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drawings/drawing5.xml" ContentType="application/vnd.openxmlformats-officedocument.drawing+xml"/>
  <Override PartName="/xl/pivotTables/pivotTable2.xml" ContentType="application/vnd.openxmlformats-officedocument.spreadsheetml.pivotTable+xml"/>
  <Override PartName="/xl/drawings/drawing6.xml" ContentType="application/vnd.openxmlformats-officedocument.drawing+xml"/>
  <Override PartName="/xl/slicers/slicer1.xml" ContentType="application/vnd.ms-excel.slicer+xml"/>
  <Override PartName="/xl/pivotTables/pivotTable3.xml" ContentType="application/vnd.openxmlformats-officedocument.spreadsheetml.pivotTable+xml"/>
  <Override PartName="/xl/drawings/drawing7.xml" ContentType="application/vnd.openxmlformats-officedocument.drawing+xml"/>
  <Override PartName="/xl/pivotTables/pivotTable4.xml" ContentType="application/vnd.openxmlformats-officedocument.spreadsheetml.pivotTable+xml"/>
  <Override PartName="/xl/drawings/drawing8.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9.xml" ContentType="application/vnd.openxmlformats-officedocument.drawing+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10.xml" ContentType="application/vnd.openxmlformats-officedocument.drawing+xml"/>
  <Override PartName="/xl/pivotTables/pivotTable9.xml" ContentType="application/vnd.openxmlformats-officedocument.spreadsheetml.pivotTable+xml"/>
  <Override PartName="/xl/drawings/drawing11.xml" ContentType="application/vnd.openxmlformats-officedocument.drawing+xml"/>
  <Override PartName="/xl/drawings/drawing1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15"/>
  <workbookPr filterPrivacy="1" updateLinks="never" codeName="ThisWorkbook" hidePivotFieldList="1"/>
  <xr:revisionPtr revIDLastSave="2" documentId="11_F8E69BFD1ECF601BF1441FD21EF33013B58B7DEE" xr6:coauthVersionLast="47" xr6:coauthVersionMax="47" xr10:uidLastSave="{BC7DD78B-BE17-4BDC-B71F-0E5258881BB2}"/>
  <bookViews>
    <workbookView xWindow="-120" yWindow="-120" windowWidth="29040" windowHeight="15720" tabRatio="922" firstSheet="1" activeTab="1" xr2:uid="{00000000-000D-0000-FFFF-FFFF00000000}"/>
  </bookViews>
  <sheets>
    <sheet name="Balance de Comprob. Plantilla" sheetId="1" state="hidden" r:id="rId1"/>
    <sheet name="Inicio" sheetId="40" r:id="rId2"/>
    <sheet name="Balance Comprobación Inicial" sheetId="14" r:id="rId3"/>
    <sheet name="Libro Diario" sheetId="19" r:id="rId4"/>
    <sheet name="Q-LD Tabla" sheetId="33" state="hidden" r:id="rId5"/>
    <sheet name="Cuentas Individuales" sheetId="26" r:id="rId6"/>
    <sheet name="Libro Mayor" sheetId="37" r:id="rId7"/>
    <sheet name="Balance Comprobación" sheetId="27" r:id="rId8"/>
    <sheet name="Q-LD Asientos (2024)" sheetId="10" state="hidden" r:id="rId9"/>
    <sheet name="Q-LM Cuentas (2024)" sheetId="11" state="hidden" r:id="rId10"/>
    <sheet name="Q-BC 31.12.2025 o" sheetId="15" state="hidden" r:id="rId11"/>
    <sheet name="Q-BCSyS " sheetId="38" state="hidden" r:id="rId12"/>
    <sheet name="Cuenta de PyG" sheetId="34" r:id="rId13"/>
    <sheet name="Balance de Situación" sheetId="35" r:id="rId14"/>
    <sheet name="Q-BS 31.12.2025 O" sheetId="17" state="hidden" r:id="rId15"/>
    <sheet name="Q-BS 31.12.25 c-ctas" sheetId="29" state="hidden" r:id="rId16"/>
    <sheet name="Q-PyG 31.12.2025 o" sheetId="16" state="hidden" r:id="rId17"/>
    <sheet name="Ratios" sheetId="18" r:id="rId18"/>
    <sheet name="Interp. Ratios" sheetId="41" state="hidden" r:id="rId19"/>
    <sheet name="Listas" sheetId="32" state="hidden" r:id="rId20"/>
    <sheet name="LD-Proceso" sheetId="20" state="hidden" r:id="rId21"/>
    <sheet name="CC - Balance" sheetId="23" state="hidden" r:id="rId22"/>
    <sheet name="CC-PyG" sheetId="28" state="hidden" r:id="rId23"/>
  </sheets>
  <externalReferences>
    <externalReference r:id="rId24"/>
  </externalReferences>
  <definedNames>
    <definedName name="_xlnm._FilterDatabase" localSheetId="5" hidden="1">'Cuentas Individuales'!$B$15:$Z$150</definedName>
    <definedName name="_xlnm._FilterDatabase" localSheetId="20" hidden="1">'LD-Proceso'!$A$2:$F$2000</definedName>
    <definedName name="Cuentas" localSheetId="7">Estructura_Balance[Nombre Cuenta ()]</definedName>
    <definedName name="Cuentas" localSheetId="5">Estructura_Balance[Nombre Cuenta ()]</definedName>
    <definedName name="Cuentas" localSheetId="6">Estructura_Balance[Nombre Cuenta ()]</definedName>
    <definedName name="Cuentas" localSheetId="11">Estructura_Balance[Nombre Cuenta ()]</definedName>
    <definedName name="Cuentas">Estructura_Balance[Nombre Cuenta ()]</definedName>
    <definedName name="Cuentas1" localSheetId="7">Estructura_Balance[Nombre Cuenta]</definedName>
    <definedName name="Cuentas1" localSheetId="5">Estructura_Balance[Nombre Cuenta]</definedName>
    <definedName name="Cuentas1" localSheetId="6">Estructura_Balance[Nombre Cuenta]</definedName>
    <definedName name="Cuentas1" localSheetId="11">Estructura_Balance[Nombre Cuenta]</definedName>
    <definedName name="Cuentas1">Estructura_Balance[Nombre Cuenta]</definedName>
    <definedName name="SegmentaciónDeDatos_Grupos">#N/A</definedName>
    <definedName name="SegmentaciónDeDatos_Grupos1">#N/A</definedName>
    <definedName name="SegmentaciónDeDatos_Niveles_2">#N/A</definedName>
    <definedName name="SegmentaciónDeDatos_Niveles_21">#N/A</definedName>
    <definedName name="Tipo_Asiento">Listas!$A$2:$A$13</definedName>
    <definedName name="Tipo_Asiento2">Listas!$C$2:$C$13</definedName>
  </definedNames>
  <calcPr calcId="191028"/>
  <pivotCaches>
    <pivotCache cacheId="31" r:id="rId25"/>
  </pivotCaches>
  <extLst>
    <ext xmlns:x14="http://schemas.microsoft.com/office/spreadsheetml/2009/9/main" uri="{BBE1A952-AA13-448e-AADC-164F8A28A991}">
      <x14:slicerCaches>
        <x14:slicerCache r:id="rId26"/>
        <x14:slicerCache r:id="rId27"/>
        <x14:slicerCache r:id="rId28"/>
        <x14:slicerCache r:id="rId2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58" i="20" l="1"/>
  <c r="C358" i="20"/>
  <c r="A358" i="20"/>
  <c r="K126" i="23" l="1"/>
  <c r="K383" i="23"/>
  <c r="K382" i="23"/>
  <c r="K381" i="23"/>
  <c r="K380" i="23"/>
  <c r="K379" i="23"/>
  <c r="K378" i="23"/>
  <c r="K377" i="23"/>
  <c r="K376" i="23"/>
  <c r="K375" i="23"/>
  <c r="K374" i="23"/>
  <c r="K373" i="23"/>
  <c r="K372" i="23"/>
  <c r="K371" i="23"/>
  <c r="K370" i="23"/>
  <c r="K369" i="23"/>
  <c r="K368" i="23"/>
  <c r="K367" i="23"/>
  <c r="L366" i="23"/>
  <c r="K366" i="23"/>
  <c r="H366" i="23"/>
  <c r="G366" i="23"/>
  <c r="F366" i="23"/>
  <c r="L365" i="23"/>
  <c r="K365" i="23"/>
  <c r="H365" i="23"/>
  <c r="G365" i="23"/>
  <c r="F365" i="23"/>
  <c r="L364" i="23"/>
  <c r="K364" i="23"/>
  <c r="H364" i="23"/>
  <c r="G364" i="23"/>
  <c r="F364" i="23"/>
  <c r="L363" i="23"/>
  <c r="K363" i="23"/>
  <c r="H363" i="23"/>
  <c r="G363" i="23"/>
  <c r="F363" i="23"/>
  <c r="L362" i="23"/>
  <c r="K362" i="23"/>
  <c r="H362" i="23"/>
  <c r="G362" i="23"/>
  <c r="F362" i="23"/>
  <c r="K360" i="23"/>
  <c r="K357" i="23"/>
  <c r="K356" i="23"/>
  <c r="K355" i="23"/>
  <c r="L353" i="23"/>
  <c r="K353" i="23"/>
  <c r="H353" i="23"/>
  <c r="G353" i="23"/>
  <c r="F353" i="23"/>
  <c r="L352" i="23"/>
  <c r="K352" i="23"/>
  <c r="L349" i="23"/>
  <c r="K349" i="23"/>
  <c r="L348" i="23"/>
  <c r="K348" i="23"/>
  <c r="K350" i="23"/>
  <c r="L350" i="23"/>
  <c r="L347" i="23"/>
  <c r="K347" i="23"/>
  <c r="L345" i="23"/>
  <c r="K345" i="23"/>
  <c r="H345" i="23"/>
  <c r="G345" i="23"/>
  <c r="F345" i="23"/>
  <c r="L343" i="23"/>
  <c r="K343" i="23"/>
  <c r="L341" i="23"/>
  <c r="K341" i="23"/>
  <c r="H341" i="23"/>
  <c r="G341" i="23"/>
  <c r="F341" i="23"/>
  <c r="K337" i="23"/>
  <c r="K336" i="23"/>
  <c r="K332" i="23"/>
  <c r="K331" i="23"/>
  <c r="K330" i="23"/>
  <c r="K329" i="23"/>
  <c r="K328" i="23"/>
  <c r="K327" i="23"/>
  <c r="K326" i="23"/>
  <c r="K325" i="23"/>
  <c r="K324" i="23"/>
  <c r="K323" i="23"/>
  <c r="K319" i="23"/>
  <c r="K318" i="23"/>
  <c r="K317" i="23"/>
  <c r="K316" i="23"/>
  <c r="K315" i="23"/>
  <c r="L313" i="23"/>
  <c r="K313" i="23"/>
  <c r="L311" i="23"/>
  <c r="K311" i="23"/>
  <c r="L309" i="23"/>
  <c r="K309" i="23"/>
  <c r="L308" i="23"/>
  <c r="K308" i="23"/>
  <c r="L305" i="23"/>
  <c r="K305" i="23"/>
  <c r="K303" i="23"/>
  <c r="K302" i="23"/>
  <c r="K301" i="23"/>
  <c r="K300" i="23"/>
  <c r="K299" i="23"/>
  <c r="K298" i="23"/>
  <c r="K297" i="23"/>
  <c r="K293" i="23"/>
  <c r="K292" i="23"/>
  <c r="K291" i="23"/>
  <c r="K290" i="23"/>
  <c r="K289" i="23"/>
  <c r="K288" i="23"/>
  <c r="K286" i="23"/>
  <c r="K285" i="23"/>
  <c r="K284" i="23"/>
  <c r="K283" i="23"/>
  <c r="K282" i="23"/>
  <c r="K281" i="23"/>
  <c r="K280" i="23"/>
  <c r="K279" i="23"/>
  <c r="L276" i="23"/>
  <c r="K276" i="23"/>
  <c r="H276" i="23"/>
  <c r="G276" i="23"/>
  <c r="F276" i="23"/>
  <c r="K273" i="23"/>
  <c r="K271" i="23"/>
  <c r="K270" i="23"/>
  <c r="K269" i="23"/>
  <c r="K266" i="23"/>
  <c r="K265" i="23"/>
  <c r="K264" i="23"/>
  <c r="K263" i="23"/>
  <c r="K262" i="23"/>
  <c r="K261" i="23"/>
  <c r="K260" i="23"/>
  <c r="K259" i="23"/>
  <c r="K258" i="23"/>
  <c r="K257" i="23"/>
  <c r="K256" i="23"/>
  <c r="K255" i="23"/>
  <c r="K254" i="23"/>
  <c r="K253" i="23"/>
  <c r="K252" i="23"/>
  <c r="L250" i="23"/>
  <c r="K250" i="23"/>
  <c r="H250" i="23"/>
  <c r="G250" i="23"/>
  <c r="F250" i="23"/>
  <c r="L249" i="23"/>
  <c r="K249" i="23"/>
  <c r="H249" i="23"/>
  <c r="G249" i="23"/>
  <c r="F249" i="23"/>
  <c r="L248" i="23"/>
  <c r="K248" i="23"/>
  <c r="H248" i="23"/>
  <c r="G248" i="23"/>
  <c r="F248" i="23"/>
  <c r="L247" i="23"/>
  <c r="K247" i="23"/>
  <c r="H247" i="23"/>
  <c r="G247" i="23"/>
  <c r="F247" i="23"/>
  <c r="L245" i="23"/>
  <c r="K245" i="23"/>
  <c r="H245" i="23"/>
  <c r="G245" i="23"/>
  <c r="F245" i="23"/>
  <c r="L243" i="23"/>
  <c r="K243" i="23"/>
  <c r="H243" i="23"/>
  <c r="G243" i="23"/>
  <c r="F243" i="23"/>
  <c r="L242" i="23"/>
  <c r="K242" i="23"/>
  <c r="H242" i="23"/>
  <c r="G242" i="23"/>
  <c r="F242" i="23"/>
  <c r="L241" i="23"/>
  <c r="K241" i="23"/>
  <c r="H241" i="23"/>
  <c r="G241" i="23"/>
  <c r="F241" i="23"/>
  <c r="L240" i="23"/>
  <c r="K240" i="23"/>
  <c r="H240" i="23"/>
  <c r="G240" i="23"/>
  <c r="F240" i="23"/>
  <c r="L238" i="23"/>
  <c r="K238" i="23"/>
  <c r="H238" i="23"/>
  <c r="G238" i="23"/>
  <c r="F238" i="23"/>
  <c r="K236" i="23"/>
  <c r="K235" i="23"/>
  <c r="K234" i="23"/>
  <c r="K233" i="23"/>
  <c r="K232" i="23"/>
  <c r="K231" i="23"/>
  <c r="K230" i="23"/>
  <c r="K229" i="23"/>
  <c r="K228" i="23"/>
  <c r="K227" i="23"/>
  <c r="K226" i="23"/>
  <c r="K225" i="23"/>
  <c r="K224" i="23"/>
  <c r="K223" i="23"/>
  <c r="K222" i="23"/>
  <c r="K221" i="23"/>
  <c r="K220" i="23"/>
  <c r="K219" i="23"/>
  <c r="K218" i="23"/>
  <c r="K217" i="23"/>
  <c r="L216" i="23"/>
  <c r="K216" i="23"/>
  <c r="L215" i="23"/>
  <c r="K215" i="23"/>
  <c r="L214" i="23"/>
  <c r="K214" i="23"/>
  <c r="L213" i="23"/>
  <c r="K213" i="23"/>
  <c r="L212" i="23"/>
  <c r="K212" i="23"/>
  <c r="L211" i="23"/>
  <c r="K211" i="23"/>
  <c r="K210" i="23"/>
  <c r="K202" i="23"/>
  <c r="L202" i="23"/>
  <c r="H202" i="23"/>
  <c r="G202" i="23"/>
  <c r="F202" i="23"/>
  <c r="L201" i="23"/>
  <c r="K201" i="23"/>
  <c r="H201" i="23"/>
  <c r="G201" i="23"/>
  <c r="F201" i="23"/>
  <c r="L198" i="23"/>
  <c r="K198" i="23"/>
  <c r="H198" i="23"/>
  <c r="G198" i="23"/>
  <c r="F198" i="23"/>
  <c r="L197" i="23"/>
  <c r="K197" i="23"/>
  <c r="H197" i="23"/>
  <c r="G197" i="23"/>
  <c r="F197" i="23"/>
  <c r="L195" i="23"/>
  <c r="K195" i="23"/>
  <c r="H195" i="23"/>
  <c r="G195" i="23"/>
  <c r="F195" i="23"/>
  <c r="L194" i="23"/>
  <c r="K194" i="23"/>
  <c r="H194" i="23"/>
  <c r="G194" i="23"/>
  <c r="F194" i="23"/>
  <c r="L192" i="23"/>
  <c r="K192" i="23"/>
  <c r="L191" i="23"/>
  <c r="K191" i="23"/>
  <c r="L190" i="23"/>
  <c r="K190" i="23"/>
  <c r="L189" i="23"/>
  <c r="K189" i="23"/>
  <c r="K187" i="23"/>
  <c r="K186" i="23"/>
  <c r="K185" i="23"/>
  <c r="K184" i="23"/>
  <c r="K183" i="23"/>
  <c r="K182" i="23"/>
  <c r="K181" i="23"/>
  <c r="G179" i="23"/>
  <c r="G178" i="23"/>
  <c r="L179" i="23"/>
  <c r="K179" i="23"/>
  <c r="L178" i="23"/>
  <c r="K178" i="23"/>
  <c r="K169" i="23"/>
  <c r="L169" i="23"/>
  <c r="H169" i="23"/>
  <c r="G169" i="23"/>
  <c r="F169" i="23"/>
  <c r="K165" i="23"/>
  <c r="L165" i="23"/>
  <c r="H165" i="23"/>
  <c r="G165" i="23"/>
  <c r="F165" i="23"/>
  <c r="L163" i="23"/>
  <c r="K163" i="23"/>
  <c r="H163" i="23"/>
  <c r="G163" i="23"/>
  <c r="F163" i="23"/>
  <c r="L162" i="23"/>
  <c r="K162" i="23"/>
  <c r="H162" i="23"/>
  <c r="G162" i="23"/>
  <c r="F162" i="23"/>
  <c r="L159" i="23"/>
  <c r="K159" i="23"/>
  <c r="H159" i="23"/>
  <c r="G159" i="23"/>
  <c r="F159" i="23"/>
  <c r="L158" i="23"/>
  <c r="K158" i="23"/>
  <c r="H158" i="23"/>
  <c r="G158" i="23"/>
  <c r="F158" i="23"/>
  <c r="L157" i="23"/>
  <c r="K157" i="23"/>
  <c r="H157" i="23"/>
  <c r="G157" i="23"/>
  <c r="F157" i="23"/>
  <c r="L155" i="23"/>
  <c r="K155" i="23"/>
  <c r="H155" i="23"/>
  <c r="G155" i="23"/>
  <c r="F155" i="23"/>
  <c r="L154" i="23"/>
  <c r="K154" i="23"/>
  <c r="H154" i="23"/>
  <c r="G154" i="23"/>
  <c r="F154" i="23"/>
  <c r="L153" i="23"/>
  <c r="K153" i="23"/>
  <c r="H153" i="23"/>
  <c r="G153" i="23"/>
  <c r="F153" i="23"/>
  <c r="L152" i="23"/>
  <c r="K152" i="23"/>
  <c r="H152" i="23"/>
  <c r="G152" i="23"/>
  <c r="F152" i="23"/>
  <c r="L151" i="23"/>
  <c r="K151" i="23"/>
  <c r="H151" i="23"/>
  <c r="G151" i="23"/>
  <c r="F151" i="23"/>
  <c r="L150" i="23"/>
  <c r="K150" i="23"/>
  <c r="H150" i="23"/>
  <c r="G150" i="23"/>
  <c r="F150" i="23"/>
  <c r="L149" i="23"/>
  <c r="K149" i="23"/>
  <c r="H149" i="23"/>
  <c r="G149" i="23"/>
  <c r="F149" i="23"/>
  <c r="L148" i="23"/>
  <c r="K148" i="23"/>
  <c r="H148" i="23"/>
  <c r="G148" i="23"/>
  <c r="F148" i="23"/>
  <c r="L146" i="23"/>
  <c r="K146" i="23"/>
  <c r="H146" i="23"/>
  <c r="G146" i="23"/>
  <c r="F146" i="23"/>
  <c r="L145" i="23"/>
  <c r="K145" i="23"/>
  <c r="H145" i="23"/>
  <c r="G145" i="23"/>
  <c r="F145" i="23"/>
  <c r="L143" i="23"/>
  <c r="K143" i="23"/>
  <c r="H143" i="23"/>
  <c r="G143" i="23"/>
  <c r="F143" i="23"/>
  <c r="L142" i="23"/>
  <c r="K142" i="23"/>
  <c r="H142" i="23"/>
  <c r="G142" i="23"/>
  <c r="F142" i="23"/>
  <c r="L141" i="23"/>
  <c r="K141" i="23"/>
  <c r="H141" i="23"/>
  <c r="G141" i="23"/>
  <c r="F141" i="23"/>
  <c r="L140" i="23"/>
  <c r="K140" i="23"/>
  <c r="H140" i="23"/>
  <c r="G140" i="23"/>
  <c r="F140" i="23"/>
  <c r="L139" i="23"/>
  <c r="K139" i="23"/>
  <c r="H139" i="23"/>
  <c r="G139" i="23"/>
  <c r="F139" i="23"/>
  <c r="L138" i="23"/>
  <c r="K138" i="23"/>
  <c r="H138" i="23"/>
  <c r="G138" i="23"/>
  <c r="F138" i="23"/>
  <c r="K137" i="23"/>
  <c r="K136" i="23"/>
  <c r="K135" i="23"/>
  <c r="K134" i="23"/>
  <c r="K133" i="23"/>
  <c r="K132" i="23"/>
  <c r="K131" i="23"/>
  <c r="K129" i="23"/>
  <c r="K128" i="23"/>
  <c r="K127" i="23"/>
  <c r="K125" i="23"/>
  <c r="K124" i="23"/>
  <c r="K123" i="23"/>
  <c r="K122" i="23"/>
  <c r="K121" i="23"/>
  <c r="K120" i="23"/>
  <c r="K119" i="23"/>
  <c r="K118" i="23"/>
  <c r="K117" i="23"/>
  <c r="L114" i="23"/>
  <c r="K114" i="23"/>
  <c r="H114" i="23"/>
  <c r="G114" i="23"/>
  <c r="F114" i="23"/>
  <c r="L113" i="23"/>
  <c r="K113" i="23"/>
  <c r="H113" i="23"/>
  <c r="G113" i="23"/>
  <c r="F113" i="23"/>
  <c r="L112" i="23"/>
  <c r="K112" i="23"/>
  <c r="H112" i="23"/>
  <c r="G112" i="23"/>
  <c r="F112" i="23"/>
  <c r="L111" i="23"/>
  <c r="K111" i="23"/>
  <c r="H111" i="23"/>
  <c r="G111" i="23"/>
  <c r="F111" i="23"/>
  <c r="L110" i="23"/>
  <c r="K110" i="23"/>
  <c r="H110" i="23"/>
  <c r="G110" i="23"/>
  <c r="F110" i="23"/>
  <c r="L109" i="23"/>
  <c r="K109" i="23"/>
  <c r="H109" i="23"/>
  <c r="G109" i="23"/>
  <c r="F109" i="23"/>
  <c r="L108" i="23"/>
  <c r="K108" i="23"/>
  <c r="H108" i="23"/>
  <c r="G108" i="23"/>
  <c r="F108" i="23"/>
  <c r="L103" i="23"/>
  <c r="K103" i="23"/>
  <c r="H103" i="23"/>
  <c r="G103" i="23"/>
  <c r="F103" i="23"/>
  <c r="K100" i="23"/>
  <c r="K99" i="23"/>
  <c r="K98" i="23"/>
  <c r="K97" i="23"/>
  <c r="K96" i="23"/>
  <c r="K95" i="23"/>
  <c r="K94" i="23"/>
  <c r="K93" i="23"/>
  <c r="K92" i="23"/>
  <c r="K91" i="23"/>
  <c r="L91" i="23"/>
  <c r="L90" i="23"/>
  <c r="K90" i="23"/>
  <c r="L89" i="23"/>
  <c r="K89" i="23"/>
  <c r="K87" i="23"/>
  <c r="K86" i="23"/>
  <c r="K85" i="23"/>
  <c r="K84" i="23"/>
  <c r="K83" i="23"/>
  <c r="K82" i="23"/>
  <c r="K79" i="23"/>
  <c r="K74" i="23"/>
  <c r="K75" i="23"/>
  <c r="K72" i="23"/>
  <c r="K69" i="23"/>
  <c r="K67" i="23"/>
  <c r="K66" i="23"/>
  <c r="K64" i="23"/>
  <c r="K63" i="23"/>
  <c r="K61" i="23"/>
  <c r="K60" i="23"/>
  <c r="K59" i="23"/>
  <c r="K58" i="23"/>
  <c r="K57" i="23"/>
  <c r="K56" i="23"/>
  <c r="H52" i="23"/>
  <c r="G52" i="23"/>
  <c r="F52" i="23"/>
  <c r="L55" i="23"/>
  <c r="K55" i="23"/>
  <c r="L54" i="23"/>
  <c r="K54" i="23"/>
  <c r="L51" i="23"/>
  <c r="K51" i="23"/>
  <c r="H51" i="23"/>
  <c r="G51" i="23"/>
  <c r="F51" i="23"/>
  <c r="L50" i="23"/>
  <c r="K50" i="23"/>
  <c r="H50" i="23"/>
  <c r="G50" i="23"/>
  <c r="F50" i="23"/>
  <c r="L49" i="23"/>
  <c r="K49" i="23"/>
  <c r="H49" i="23"/>
  <c r="G49" i="23"/>
  <c r="F49" i="23"/>
  <c r="L48" i="23"/>
  <c r="K48" i="23"/>
  <c r="H48" i="23"/>
  <c r="G48" i="23"/>
  <c r="F48" i="23"/>
  <c r="L47" i="23"/>
  <c r="K47" i="23"/>
  <c r="H47" i="23"/>
  <c r="G47" i="23"/>
  <c r="F47" i="23"/>
  <c r="L46" i="23"/>
  <c r="K46" i="23"/>
  <c r="H46" i="23"/>
  <c r="G46" i="23"/>
  <c r="F46" i="23"/>
  <c r="L44" i="23"/>
  <c r="K44" i="23"/>
  <c r="H44" i="23"/>
  <c r="G44" i="23"/>
  <c r="F44" i="23"/>
  <c r="L43" i="23"/>
  <c r="K43" i="23"/>
  <c r="H43" i="23"/>
  <c r="G43" i="23"/>
  <c r="F43" i="23"/>
  <c r="L41" i="23"/>
  <c r="K41" i="23"/>
  <c r="L40" i="23"/>
  <c r="K40" i="23"/>
  <c r="L39" i="23"/>
  <c r="K39" i="23"/>
  <c r="L37" i="23"/>
  <c r="K37" i="23"/>
  <c r="L36" i="23"/>
  <c r="K36" i="23"/>
  <c r="K34" i="23"/>
  <c r="K33" i="23"/>
  <c r="K32" i="23"/>
  <c r="K31" i="23"/>
  <c r="K30" i="23"/>
  <c r="K29" i="23"/>
  <c r="K28" i="23"/>
  <c r="L2" i="23"/>
  <c r="L3" i="23"/>
  <c r="L4" i="23"/>
  <c r="L5" i="23"/>
  <c r="L6" i="23"/>
  <c r="L7" i="23"/>
  <c r="L8" i="23"/>
  <c r="L9" i="23"/>
  <c r="L10" i="23"/>
  <c r="L11" i="23"/>
  <c r="L12" i="23"/>
  <c r="L13" i="23"/>
  <c r="L14" i="23"/>
  <c r="L15" i="23"/>
  <c r="L16" i="23"/>
  <c r="L17" i="23"/>
  <c r="L18" i="23"/>
  <c r="L19" i="23"/>
  <c r="L20" i="23"/>
  <c r="L21" i="23"/>
  <c r="L22" i="23"/>
  <c r="L23" i="23"/>
  <c r="L24" i="23"/>
  <c r="L25" i="23"/>
  <c r="L26" i="23"/>
  <c r="L27" i="23"/>
  <c r="L28" i="23"/>
  <c r="L29" i="23"/>
  <c r="L30" i="23"/>
  <c r="L31" i="23"/>
  <c r="L32" i="23"/>
  <c r="L33" i="23"/>
  <c r="L34" i="23"/>
  <c r="L35" i="23"/>
  <c r="L38" i="23"/>
  <c r="L42" i="23"/>
  <c r="L45" i="23"/>
  <c r="L52" i="23"/>
  <c r="L53" i="23"/>
  <c r="L62" i="23"/>
  <c r="L65" i="23"/>
  <c r="L68" i="23"/>
  <c r="L70" i="23"/>
  <c r="L71" i="23"/>
  <c r="L73" i="23"/>
  <c r="L76" i="23"/>
  <c r="L77" i="23"/>
  <c r="L78" i="23"/>
  <c r="L80" i="23"/>
  <c r="L81" i="23"/>
  <c r="L88" i="23"/>
  <c r="L92" i="23"/>
  <c r="L101" i="23"/>
  <c r="L102" i="23"/>
  <c r="L104" i="23"/>
  <c r="L105" i="23"/>
  <c r="L106" i="23"/>
  <c r="L107" i="23"/>
  <c r="L115" i="23"/>
  <c r="L116" i="23"/>
  <c r="L130" i="23"/>
  <c r="L137" i="23"/>
  <c r="L144" i="23"/>
  <c r="L147" i="23"/>
  <c r="L156" i="23"/>
  <c r="L160" i="23"/>
  <c r="L161" i="23"/>
  <c r="L164" i="23"/>
  <c r="L166" i="23"/>
  <c r="L167" i="23"/>
  <c r="L168" i="23"/>
  <c r="L170" i="23"/>
  <c r="L171" i="23"/>
  <c r="L172" i="23"/>
  <c r="L173" i="23"/>
  <c r="L174" i="23"/>
  <c r="L175" i="23"/>
  <c r="L176" i="23"/>
  <c r="L177" i="23"/>
  <c r="L180" i="23"/>
  <c r="L188" i="23"/>
  <c r="L193" i="23"/>
  <c r="L196" i="23"/>
  <c r="L199" i="23"/>
  <c r="L200" i="23"/>
  <c r="L203" i="23"/>
  <c r="L204" i="23"/>
  <c r="L205" i="23"/>
  <c r="L206" i="23"/>
  <c r="L207" i="23"/>
  <c r="L208" i="23"/>
  <c r="L209" i="23"/>
  <c r="L210" i="23"/>
  <c r="L237" i="23"/>
  <c r="L239" i="23"/>
  <c r="L244" i="23"/>
  <c r="L246" i="23"/>
  <c r="L251" i="23"/>
  <c r="L267" i="23"/>
  <c r="L268" i="23"/>
  <c r="L272" i="23"/>
  <c r="L274" i="23"/>
  <c r="L275" i="23"/>
  <c r="L277" i="23"/>
  <c r="L278" i="23"/>
  <c r="L287" i="23"/>
  <c r="L294" i="23"/>
  <c r="L295" i="23"/>
  <c r="L296" i="23"/>
  <c r="L304" i="23"/>
  <c r="L306" i="23"/>
  <c r="L307" i="23"/>
  <c r="L310" i="23"/>
  <c r="L312" i="23"/>
  <c r="L314" i="23"/>
  <c r="L320" i="23"/>
  <c r="L321" i="23"/>
  <c r="L322" i="23"/>
  <c r="L333" i="23"/>
  <c r="L334" i="23"/>
  <c r="L335" i="23"/>
  <c r="L338" i="23"/>
  <c r="L339" i="23"/>
  <c r="L340" i="23"/>
  <c r="L342" i="23"/>
  <c r="L344" i="23"/>
  <c r="L346" i="23"/>
  <c r="L351" i="23"/>
  <c r="L354" i="23"/>
  <c r="L358" i="23"/>
  <c r="L359" i="23"/>
  <c r="L361" i="23"/>
  <c r="H34" i="23"/>
  <c r="G34" i="23"/>
  <c r="F34" i="23"/>
  <c r="H33" i="23"/>
  <c r="G33" i="23"/>
  <c r="F33" i="23"/>
  <c r="H32" i="23"/>
  <c r="G32" i="23"/>
  <c r="F32" i="23"/>
  <c r="H31" i="23"/>
  <c r="G31" i="23"/>
  <c r="F31" i="23"/>
  <c r="H30" i="23"/>
  <c r="G30" i="23"/>
  <c r="F30" i="23"/>
  <c r="H29" i="23"/>
  <c r="G29" i="23"/>
  <c r="F29" i="23"/>
  <c r="H28" i="23"/>
  <c r="G28" i="23"/>
  <c r="F28" i="23"/>
  <c r="K27" i="23" l="1"/>
  <c r="H27" i="23"/>
  <c r="G27" i="23"/>
  <c r="F27" i="23"/>
  <c r="K26" i="23"/>
  <c r="H26" i="23"/>
  <c r="G26" i="23"/>
  <c r="F26" i="23"/>
  <c r="K25" i="23"/>
  <c r="H25" i="23"/>
  <c r="G25" i="23"/>
  <c r="F25" i="23"/>
  <c r="K24" i="23"/>
  <c r="H24" i="23"/>
  <c r="G24" i="23"/>
  <c r="F24" i="23"/>
  <c r="K23" i="23"/>
  <c r="H23" i="23"/>
  <c r="G23" i="23"/>
  <c r="F23" i="23"/>
  <c r="K22" i="23"/>
  <c r="H22" i="23"/>
  <c r="G22" i="23"/>
  <c r="F22" i="23"/>
  <c r="K21" i="23"/>
  <c r="H21" i="23"/>
  <c r="G21" i="23"/>
  <c r="F21" i="23"/>
  <c r="K20" i="23"/>
  <c r="H20" i="23"/>
  <c r="G20" i="23"/>
  <c r="F20" i="23"/>
  <c r="K18" i="23"/>
  <c r="H18" i="23"/>
  <c r="G18" i="23"/>
  <c r="F18" i="23"/>
  <c r="G16" i="23"/>
  <c r="G15" i="23"/>
  <c r="K16" i="23"/>
  <c r="K14" i="23"/>
  <c r="H14" i="23"/>
  <c r="G14" i="23"/>
  <c r="F14" i="23"/>
  <c r="K13" i="23"/>
  <c r="H13" i="23"/>
  <c r="G13" i="23"/>
  <c r="F13" i="23"/>
  <c r="K8" i="23"/>
  <c r="G8" i="23"/>
  <c r="G10" i="23"/>
  <c r="G9" i="23"/>
  <c r="G7" i="23"/>
  <c r="G6" i="23"/>
  <c r="G5" i="23"/>
  <c r="K6" i="23"/>
  <c r="K4" i="23"/>
  <c r="H4" i="23"/>
  <c r="G4" i="23"/>
  <c r="F4" i="23"/>
  <c r="K3" i="23"/>
  <c r="H3" i="23"/>
  <c r="G3" i="23"/>
  <c r="F3" i="23"/>
  <c r="H102" i="23"/>
  <c r="G102" i="23"/>
  <c r="F102" i="23"/>
  <c r="K209" i="23" l="1"/>
  <c r="K208" i="23"/>
  <c r="K207" i="23"/>
  <c r="K206" i="23"/>
  <c r="K205" i="23"/>
  <c r="K204" i="23"/>
  <c r="K203" i="23"/>
  <c r="H209" i="23"/>
  <c r="G209" i="23"/>
  <c r="F209" i="23"/>
  <c r="H208" i="23"/>
  <c r="G208" i="23"/>
  <c r="F208" i="23"/>
  <c r="H207" i="23"/>
  <c r="G207" i="23"/>
  <c r="F207" i="23"/>
  <c r="H206" i="23"/>
  <c r="G206" i="23"/>
  <c r="F206" i="23"/>
  <c r="H205" i="23"/>
  <c r="G205" i="23"/>
  <c r="F205" i="23"/>
  <c r="H204" i="23"/>
  <c r="G204" i="23"/>
  <c r="F204" i="23"/>
  <c r="H203" i="23"/>
  <c r="G203" i="23"/>
  <c r="F203" i="23"/>
  <c r="K164" i="23"/>
  <c r="H164" i="23"/>
  <c r="G164" i="23"/>
  <c r="F164" i="23"/>
  <c r="E693" i="19" l="1"/>
  <c r="B693" i="19"/>
  <c r="F691" i="19"/>
  <c r="I690" i="19"/>
  <c r="I691" i="19" s="1"/>
  <c r="H690" i="19"/>
  <c r="H691" i="19" s="1"/>
  <c r="G690" i="19"/>
  <c r="G691" i="19" s="1"/>
  <c r="E689" i="19"/>
  <c r="B689" i="19"/>
  <c r="E686" i="19"/>
  <c r="B686" i="19"/>
  <c r="F684" i="19"/>
  <c r="I683" i="19"/>
  <c r="I684" i="19" s="1"/>
  <c r="H683" i="19"/>
  <c r="H684" i="19" s="1"/>
  <c r="G683" i="19"/>
  <c r="G684" i="19" s="1"/>
  <c r="E682" i="19"/>
  <c r="B682" i="19"/>
  <c r="E679" i="19"/>
  <c r="B679" i="19"/>
  <c r="F677" i="19"/>
  <c r="I676" i="19"/>
  <c r="I677" i="19" s="1"/>
  <c r="H676" i="19"/>
  <c r="H677" i="19" s="1"/>
  <c r="G676" i="19"/>
  <c r="G677" i="19" s="1"/>
  <c r="E675" i="19"/>
  <c r="B675" i="19"/>
  <c r="E672" i="19"/>
  <c r="B672" i="19"/>
  <c r="F670" i="19"/>
  <c r="I669" i="19"/>
  <c r="I670" i="19" s="1"/>
  <c r="H669" i="19"/>
  <c r="H670" i="19" s="1"/>
  <c r="G669" i="19"/>
  <c r="G670" i="19" s="1"/>
  <c r="E668" i="19"/>
  <c r="B668" i="19"/>
  <c r="E665" i="19"/>
  <c r="B665" i="19"/>
  <c r="F663" i="19"/>
  <c r="I662" i="19"/>
  <c r="I663" i="19" s="1"/>
  <c r="H662" i="19"/>
  <c r="H663" i="19" s="1"/>
  <c r="G662" i="19"/>
  <c r="G663" i="19" s="1"/>
  <c r="E661" i="19"/>
  <c r="B661" i="19"/>
  <c r="E658" i="19"/>
  <c r="B658" i="19"/>
  <c r="F656" i="19"/>
  <c r="I655" i="19"/>
  <c r="I656" i="19" s="1"/>
  <c r="H655" i="19"/>
  <c r="H656" i="19" s="1"/>
  <c r="G655" i="19"/>
  <c r="G656" i="19" s="1"/>
  <c r="E654" i="19"/>
  <c r="B654" i="19"/>
  <c r="E651" i="19"/>
  <c r="B651" i="19"/>
  <c r="F649" i="19"/>
  <c r="I648" i="19"/>
  <c r="I649" i="19" s="1"/>
  <c r="H648" i="19"/>
  <c r="H649" i="19" s="1"/>
  <c r="G648" i="19"/>
  <c r="G649" i="19" s="1"/>
  <c r="E647" i="19"/>
  <c r="B647" i="19"/>
  <c r="E644" i="19"/>
  <c r="B644" i="19"/>
  <c r="F642" i="19"/>
  <c r="I641" i="19"/>
  <c r="I642" i="19" s="1"/>
  <c r="H641" i="19"/>
  <c r="H642" i="19" s="1"/>
  <c r="G641" i="19"/>
  <c r="G642" i="19" s="1"/>
  <c r="E640" i="19"/>
  <c r="B640" i="19"/>
  <c r="E637" i="19"/>
  <c r="B637" i="19"/>
  <c r="F635" i="19"/>
  <c r="I634" i="19"/>
  <c r="I635" i="19" s="1"/>
  <c r="H634" i="19"/>
  <c r="H635" i="19" s="1"/>
  <c r="G634" i="19"/>
  <c r="G635" i="19" s="1"/>
  <c r="E633" i="19"/>
  <c r="B633" i="19"/>
  <c r="E630" i="19"/>
  <c r="B630" i="19"/>
  <c r="F628" i="19"/>
  <c r="I627" i="19"/>
  <c r="I628" i="19" s="1"/>
  <c r="H627" i="19"/>
  <c r="H628" i="19" s="1"/>
  <c r="G627" i="19"/>
  <c r="G628" i="19" s="1"/>
  <c r="E626" i="19"/>
  <c r="B626" i="19"/>
  <c r="E623" i="19"/>
  <c r="B623" i="19"/>
  <c r="F621" i="19"/>
  <c r="I620" i="19"/>
  <c r="I621" i="19" s="1"/>
  <c r="H620" i="19"/>
  <c r="H621" i="19" s="1"/>
  <c r="G620" i="19"/>
  <c r="G621" i="19" s="1"/>
  <c r="E619" i="19"/>
  <c r="B619" i="19"/>
  <c r="E616" i="19"/>
  <c r="B616" i="19"/>
  <c r="F614" i="19"/>
  <c r="I613" i="19"/>
  <c r="I614" i="19" s="1"/>
  <c r="H613" i="19"/>
  <c r="H614" i="19" s="1"/>
  <c r="G613" i="19"/>
  <c r="G614" i="19" s="1"/>
  <c r="E612" i="19"/>
  <c r="B612" i="19"/>
  <c r="E609" i="19"/>
  <c r="B609" i="19"/>
  <c r="F607" i="19"/>
  <c r="I606" i="19"/>
  <c r="I607" i="19" s="1"/>
  <c r="H606" i="19"/>
  <c r="H607" i="19" s="1"/>
  <c r="G606" i="19"/>
  <c r="G607" i="19" s="1"/>
  <c r="E605" i="19"/>
  <c r="B605" i="19"/>
  <c r="E602" i="19"/>
  <c r="B602" i="19"/>
  <c r="F600" i="19"/>
  <c r="I599" i="19"/>
  <c r="I600" i="19" s="1"/>
  <c r="H599" i="19"/>
  <c r="H600" i="19" s="1"/>
  <c r="G599" i="19"/>
  <c r="G600" i="19" s="1"/>
  <c r="E598" i="19"/>
  <c r="B598" i="19"/>
  <c r="E595" i="19"/>
  <c r="B595" i="19"/>
  <c r="F593" i="19"/>
  <c r="I592" i="19"/>
  <c r="I593" i="19" s="1"/>
  <c r="H592" i="19"/>
  <c r="H593" i="19" s="1"/>
  <c r="G592" i="19"/>
  <c r="G593" i="19" s="1"/>
  <c r="E591" i="19"/>
  <c r="B591" i="19"/>
  <c r="H14" i="19" l="1"/>
  <c r="H15" i="19" s="1"/>
  <c r="H16" i="19" s="1"/>
  <c r="H17" i="19" s="1"/>
  <c r="H18" i="19" s="1"/>
  <c r="H19" i="19" s="1"/>
  <c r="H20" i="19" s="1"/>
  <c r="H21" i="19" s="1"/>
  <c r="H22" i="19" s="1"/>
  <c r="H23" i="19" s="1"/>
  <c r="H24" i="19" s="1"/>
  <c r="H25" i="19" s="1"/>
  <c r="H26" i="19" s="1"/>
  <c r="H27" i="19" s="1"/>
  <c r="H28" i="19" s="1"/>
  <c r="H29" i="19" s="1"/>
  <c r="H30" i="19" s="1"/>
  <c r="H31" i="19" s="1"/>
  <c r="H32" i="19" s="1"/>
  <c r="H33" i="19" s="1"/>
  <c r="H34" i="19" s="1"/>
  <c r="H35" i="19" s="1"/>
  <c r="H36" i="19" s="1"/>
  <c r="H37" i="19" s="1"/>
  <c r="H38" i="19" s="1"/>
  <c r="H39" i="19" s="1"/>
  <c r="H40" i="19" s="1"/>
  <c r="H41" i="19" s="1"/>
  <c r="H42" i="19" s="1"/>
  <c r="H43" i="19" s="1"/>
  <c r="H44" i="19" s="1"/>
  <c r="H45" i="19" s="1"/>
  <c r="H46" i="19" s="1"/>
  <c r="H47" i="19" s="1"/>
  <c r="H48" i="19" s="1"/>
  <c r="H49" i="19" s="1"/>
  <c r="H50" i="19" s="1"/>
  <c r="H51" i="19" s="1"/>
  <c r="H52" i="19" s="1"/>
  <c r="AC271" i="26" l="1"/>
  <c r="AC272" i="26"/>
  <c r="AC273" i="26"/>
  <c r="AC274" i="26"/>
  <c r="AC275" i="26"/>
  <c r="AC276" i="26"/>
  <c r="AC277" i="26"/>
  <c r="AC278" i="26"/>
  <c r="AC279" i="26"/>
  <c r="AC280" i="26"/>
  <c r="AC281" i="26"/>
  <c r="AC282" i="26"/>
  <c r="AC283" i="26"/>
  <c r="AC284" i="26"/>
  <c r="AC285" i="26"/>
  <c r="AC286" i="26"/>
  <c r="AC287" i="26"/>
  <c r="AC288" i="26"/>
  <c r="AC289" i="26"/>
  <c r="AC290" i="26"/>
  <c r="AC291" i="26"/>
  <c r="AC292" i="26"/>
  <c r="AC293" i="26"/>
  <c r="AC294" i="26"/>
  <c r="AC295" i="26"/>
  <c r="AC296" i="26"/>
  <c r="AC297" i="26"/>
  <c r="AC298" i="26"/>
  <c r="AC299" i="26"/>
  <c r="AC300" i="26"/>
  <c r="AC301" i="26"/>
  <c r="AC302" i="26"/>
  <c r="AC303" i="26"/>
  <c r="AC304" i="26"/>
  <c r="AC305" i="26"/>
  <c r="AC306" i="26"/>
  <c r="AC307" i="26"/>
  <c r="AC308" i="26"/>
  <c r="AC309" i="26"/>
  <c r="AC310" i="26"/>
  <c r="AC311" i="26"/>
  <c r="AC312" i="26"/>
  <c r="AC313" i="26"/>
  <c r="AC314" i="26"/>
  <c r="AC315" i="26"/>
  <c r="AC316" i="26"/>
  <c r="AC317" i="26"/>
  <c r="AC318" i="26"/>
  <c r="AC319" i="26"/>
  <c r="AC320" i="26"/>
  <c r="AC321" i="26"/>
  <c r="AC322" i="26"/>
  <c r="AC323" i="26"/>
  <c r="AC324" i="26"/>
  <c r="AC325" i="26"/>
  <c r="AC326" i="26"/>
  <c r="AC327" i="26"/>
  <c r="AC328" i="26"/>
  <c r="AC329" i="26"/>
  <c r="AC330" i="26"/>
  <c r="AC331" i="26"/>
  <c r="AC332" i="26"/>
  <c r="AC333" i="26"/>
  <c r="AC334" i="26"/>
  <c r="AC335" i="26"/>
  <c r="AC336" i="26"/>
  <c r="AC337" i="26"/>
  <c r="AC338" i="26"/>
  <c r="AC339" i="26"/>
  <c r="AC340" i="26"/>
  <c r="AC341" i="26"/>
  <c r="AC342" i="26"/>
  <c r="AC343" i="26"/>
  <c r="AC344" i="26"/>
  <c r="AC345" i="26"/>
  <c r="AC346" i="26"/>
  <c r="AC347" i="26"/>
  <c r="AC348" i="26"/>
  <c r="AC349" i="26"/>
  <c r="AC350" i="26"/>
  <c r="AC351" i="26"/>
  <c r="AC352" i="26"/>
  <c r="AC353" i="26"/>
  <c r="AC354" i="26"/>
  <c r="AC355" i="26"/>
  <c r="AC356" i="26"/>
  <c r="AC357" i="26"/>
  <c r="AC358" i="26"/>
  <c r="AC359" i="26"/>
  <c r="AC360" i="26"/>
  <c r="AC361" i="26"/>
  <c r="AC362" i="26"/>
  <c r="AC363" i="26"/>
  <c r="AC364" i="26"/>
  <c r="AC365" i="26"/>
  <c r="AC366" i="26"/>
  <c r="AC367" i="26"/>
  <c r="AC368" i="26"/>
  <c r="AC369" i="26"/>
  <c r="AC370" i="26"/>
  <c r="AC371" i="26"/>
  <c r="AC372" i="26"/>
  <c r="AC373" i="26"/>
  <c r="AC374" i="26"/>
  <c r="AC375" i="26"/>
  <c r="AC376" i="26"/>
  <c r="AC377" i="26"/>
  <c r="AC378" i="26"/>
  <c r="AC379" i="26"/>
  <c r="AC380" i="26"/>
  <c r="AC381" i="26"/>
  <c r="AC382" i="26"/>
  <c r="AC383" i="26"/>
  <c r="AC384" i="26"/>
  <c r="AC385" i="26"/>
  <c r="AC386" i="26"/>
  <c r="AC387" i="26"/>
  <c r="AC388" i="26"/>
  <c r="AC389" i="26"/>
  <c r="AC390" i="26"/>
  <c r="AC391" i="26"/>
  <c r="AC392" i="26"/>
  <c r="AC393" i="26"/>
  <c r="AC394" i="26"/>
  <c r="AC395" i="26"/>
  <c r="AC396" i="26"/>
  <c r="AC397" i="26"/>
  <c r="AC398" i="26"/>
  <c r="AC399" i="26"/>
  <c r="AC400" i="26"/>
  <c r="AD271" i="26"/>
  <c r="AD272" i="26"/>
  <c r="AD273" i="26"/>
  <c r="AD274" i="26"/>
  <c r="AD275" i="26"/>
  <c r="AD276" i="26"/>
  <c r="AD277" i="26"/>
  <c r="AD278" i="26"/>
  <c r="AD279" i="26"/>
  <c r="AD280" i="26"/>
  <c r="AD281" i="26"/>
  <c r="AD282" i="26"/>
  <c r="AD283" i="26"/>
  <c r="AD284" i="26"/>
  <c r="AD285" i="26"/>
  <c r="AD286" i="26"/>
  <c r="AD287" i="26"/>
  <c r="AD288" i="26"/>
  <c r="AD289" i="26"/>
  <c r="AD290" i="26"/>
  <c r="AD291" i="26"/>
  <c r="AD292" i="26"/>
  <c r="AD293" i="26"/>
  <c r="AD294" i="26"/>
  <c r="AD295" i="26"/>
  <c r="AD296" i="26"/>
  <c r="AD297" i="26"/>
  <c r="AD298" i="26"/>
  <c r="AD299" i="26"/>
  <c r="AD300" i="26"/>
  <c r="AD301" i="26"/>
  <c r="AD302" i="26"/>
  <c r="AD303" i="26"/>
  <c r="AD304" i="26"/>
  <c r="AD305" i="26"/>
  <c r="AD306" i="26"/>
  <c r="AD307" i="26"/>
  <c r="AD308" i="26"/>
  <c r="AD309" i="26"/>
  <c r="AD310" i="26"/>
  <c r="AD311" i="26"/>
  <c r="AD312" i="26"/>
  <c r="AD313" i="26"/>
  <c r="AD314" i="26"/>
  <c r="AD315" i="26"/>
  <c r="AD316" i="26"/>
  <c r="AD317" i="26"/>
  <c r="AD318" i="26"/>
  <c r="AD319" i="26"/>
  <c r="AD320" i="26"/>
  <c r="AD321" i="26"/>
  <c r="AD322" i="26"/>
  <c r="AD323" i="26"/>
  <c r="AD324" i="26"/>
  <c r="AD325" i="26"/>
  <c r="AD326" i="26"/>
  <c r="AD327" i="26"/>
  <c r="AD328" i="26"/>
  <c r="AD329" i="26"/>
  <c r="AD330" i="26"/>
  <c r="AD331" i="26"/>
  <c r="AD332" i="26"/>
  <c r="AD333" i="26"/>
  <c r="AD334" i="26"/>
  <c r="AD335" i="26"/>
  <c r="AD336" i="26"/>
  <c r="AD337" i="26"/>
  <c r="AD338" i="26"/>
  <c r="AD339" i="26"/>
  <c r="AD340" i="26"/>
  <c r="AD341" i="26"/>
  <c r="AD342" i="26"/>
  <c r="AD343" i="26"/>
  <c r="AD344" i="26"/>
  <c r="AD345" i="26"/>
  <c r="AD346" i="26"/>
  <c r="AD347" i="26"/>
  <c r="AD348" i="26"/>
  <c r="AD349" i="26"/>
  <c r="AD350" i="26"/>
  <c r="AD351" i="26"/>
  <c r="AD352" i="26"/>
  <c r="AD353" i="26"/>
  <c r="AD354" i="26"/>
  <c r="AD355" i="26"/>
  <c r="AD356" i="26"/>
  <c r="AD357" i="26"/>
  <c r="AD358" i="26"/>
  <c r="AD359" i="26"/>
  <c r="AD360" i="26"/>
  <c r="AD361" i="26"/>
  <c r="AD362" i="26"/>
  <c r="AD363" i="26"/>
  <c r="AD364" i="26"/>
  <c r="AD365" i="26"/>
  <c r="AD366" i="26"/>
  <c r="AD367" i="26"/>
  <c r="AD368" i="26"/>
  <c r="AD369" i="26"/>
  <c r="AD370" i="26"/>
  <c r="AD371" i="26"/>
  <c r="AD372" i="26"/>
  <c r="AD373" i="26"/>
  <c r="AD374" i="26"/>
  <c r="AD375" i="26"/>
  <c r="AD376" i="26"/>
  <c r="AD377" i="26"/>
  <c r="AD378" i="26"/>
  <c r="AD379" i="26"/>
  <c r="AD380" i="26"/>
  <c r="AD381" i="26"/>
  <c r="AD382" i="26"/>
  <c r="AD383" i="26"/>
  <c r="AD384" i="26"/>
  <c r="AD385" i="26"/>
  <c r="AD386" i="26"/>
  <c r="AD387" i="26"/>
  <c r="AD388" i="26"/>
  <c r="AD389" i="26"/>
  <c r="AD390" i="26"/>
  <c r="AD391" i="26"/>
  <c r="AD392" i="26"/>
  <c r="AD393" i="26"/>
  <c r="AD394" i="26"/>
  <c r="AD395" i="26"/>
  <c r="AD396" i="26"/>
  <c r="AD397" i="26"/>
  <c r="AD398" i="26"/>
  <c r="AD399" i="26"/>
  <c r="AD400" i="26"/>
  <c r="AD401" i="26"/>
  <c r="AD402" i="26"/>
  <c r="AD403" i="26"/>
  <c r="AD404" i="26"/>
  <c r="AD405" i="26"/>
  <c r="AD406" i="26"/>
  <c r="AD407" i="26"/>
  <c r="AD408" i="26"/>
  <c r="AD409" i="26"/>
  <c r="AD410" i="26"/>
  <c r="AD411" i="26"/>
  <c r="AD412" i="26"/>
  <c r="AD413" i="26"/>
  <c r="AD414" i="26"/>
  <c r="AD415" i="26"/>
  <c r="AD416" i="26"/>
  <c r="AD417" i="26"/>
  <c r="AD418" i="26"/>
  <c r="AD419" i="26"/>
  <c r="AD420" i="26"/>
  <c r="AD421" i="26"/>
  <c r="AD422" i="26"/>
  <c r="AD423" i="26"/>
  <c r="AD424" i="26"/>
  <c r="AD425" i="26"/>
  <c r="AD426" i="26"/>
  <c r="AD427" i="26"/>
  <c r="AD428" i="26"/>
  <c r="AD429" i="26"/>
  <c r="AD430" i="26"/>
  <c r="AD431" i="26"/>
  <c r="AD432" i="26"/>
  <c r="AD433" i="26"/>
  <c r="AD434" i="26"/>
  <c r="AD435" i="26"/>
  <c r="AD436" i="26"/>
  <c r="AD437" i="26"/>
  <c r="AD438" i="26"/>
  <c r="AD439" i="26"/>
  <c r="AD440" i="26"/>
  <c r="AD441" i="26"/>
  <c r="AD442" i="26"/>
  <c r="AD443" i="26"/>
  <c r="AD444" i="26"/>
  <c r="AD445" i="26"/>
  <c r="AD446" i="26"/>
  <c r="AD447" i="26"/>
  <c r="AD448" i="26"/>
  <c r="AD449" i="26"/>
  <c r="AD450" i="26"/>
  <c r="AD451" i="26"/>
  <c r="AD452" i="26"/>
  <c r="AD453" i="26"/>
  <c r="AD454" i="26"/>
  <c r="AD455" i="26"/>
  <c r="AD456" i="26"/>
  <c r="AD457" i="26"/>
  <c r="AD458" i="26"/>
  <c r="AD459" i="26"/>
  <c r="AD460" i="26"/>
  <c r="AD461" i="26"/>
  <c r="AD462" i="26"/>
  <c r="AD463" i="26"/>
  <c r="AD464" i="26"/>
  <c r="AD465" i="26"/>
  <c r="AD466" i="26"/>
  <c r="AD467" i="26"/>
  <c r="AD468" i="26"/>
  <c r="AD469" i="26"/>
  <c r="AD470" i="26"/>
  <c r="AD471" i="26"/>
  <c r="AD472" i="26"/>
  <c r="AD473" i="26"/>
  <c r="AD474" i="26"/>
  <c r="AD475" i="26"/>
  <c r="AD476" i="26"/>
  <c r="AD477" i="26"/>
  <c r="AD478" i="26"/>
  <c r="AD479" i="26"/>
  <c r="AD480" i="26"/>
  <c r="AD481" i="26"/>
  <c r="AD482" i="26"/>
  <c r="AD483" i="26"/>
  <c r="AD484" i="26"/>
  <c r="AD485" i="26"/>
  <c r="AD486" i="26"/>
  <c r="AD487" i="26"/>
  <c r="AD488" i="26"/>
  <c r="AD489" i="26"/>
  <c r="AD490" i="26"/>
  <c r="AD491" i="26"/>
  <c r="AD492" i="26"/>
  <c r="AD493" i="26"/>
  <c r="AD494" i="26"/>
  <c r="AD495" i="26"/>
  <c r="AD496" i="26"/>
  <c r="AD497" i="26"/>
  <c r="AD498" i="26"/>
  <c r="AD499" i="26"/>
  <c r="AD500" i="26"/>
  <c r="C68" i="20"/>
  <c r="C798" i="20"/>
  <c r="F798" i="20" s="1"/>
  <c r="D798" i="20"/>
  <c r="C799" i="20"/>
  <c r="F799" i="20" s="1"/>
  <c r="D799" i="20"/>
  <c r="C800" i="20"/>
  <c r="F800" i="20" s="1"/>
  <c r="D800" i="20"/>
  <c r="C801" i="20"/>
  <c r="F801" i="20" s="1"/>
  <c r="D801" i="20"/>
  <c r="C802" i="20"/>
  <c r="F802" i="20" s="1"/>
  <c r="D802" i="20"/>
  <c r="C803" i="20"/>
  <c r="F803" i="20" s="1"/>
  <c r="D803" i="20"/>
  <c r="C804" i="20"/>
  <c r="F804" i="20" s="1"/>
  <c r="D804" i="20"/>
  <c r="C805" i="20"/>
  <c r="F805" i="20" s="1"/>
  <c r="D805" i="20"/>
  <c r="C806" i="20"/>
  <c r="F806" i="20" s="1"/>
  <c r="D806" i="20"/>
  <c r="C807" i="20"/>
  <c r="F807" i="20" s="1"/>
  <c r="D807" i="20"/>
  <c r="C808" i="20"/>
  <c r="F808" i="20" s="1"/>
  <c r="D808" i="20"/>
  <c r="C809" i="20"/>
  <c r="F809" i="20" s="1"/>
  <c r="D809" i="20"/>
  <c r="C810" i="20"/>
  <c r="F810" i="20" s="1"/>
  <c r="D810" i="20"/>
  <c r="C811" i="20"/>
  <c r="F811" i="20" s="1"/>
  <c r="D811" i="20"/>
  <c r="C812" i="20"/>
  <c r="F812" i="20" s="1"/>
  <c r="D812" i="20"/>
  <c r="C813" i="20"/>
  <c r="F813" i="20" s="1"/>
  <c r="D813" i="20"/>
  <c r="C814" i="20"/>
  <c r="F814" i="20" s="1"/>
  <c r="D814" i="20"/>
  <c r="C815" i="20"/>
  <c r="F815" i="20" s="1"/>
  <c r="D815" i="20"/>
  <c r="C816" i="20"/>
  <c r="F816" i="20" s="1"/>
  <c r="D816" i="20"/>
  <c r="C817" i="20"/>
  <c r="F817" i="20" s="1"/>
  <c r="D817" i="20"/>
  <c r="C818" i="20"/>
  <c r="F818" i="20" s="1"/>
  <c r="D818" i="20"/>
  <c r="C819" i="20"/>
  <c r="F819" i="20" s="1"/>
  <c r="D819" i="20"/>
  <c r="C820" i="20"/>
  <c r="F820" i="20" s="1"/>
  <c r="D820" i="20"/>
  <c r="C821" i="20"/>
  <c r="F821" i="20" s="1"/>
  <c r="D821" i="20"/>
  <c r="C822" i="20"/>
  <c r="F822" i="20" s="1"/>
  <c r="D822" i="20"/>
  <c r="C823" i="20"/>
  <c r="F823" i="20" s="1"/>
  <c r="D823" i="20"/>
  <c r="C824" i="20"/>
  <c r="F824" i="20" s="1"/>
  <c r="D824" i="20"/>
  <c r="C825" i="20"/>
  <c r="F825" i="20" s="1"/>
  <c r="D825" i="20"/>
  <c r="C826" i="20"/>
  <c r="F826" i="20" s="1"/>
  <c r="D826" i="20"/>
  <c r="C827" i="20"/>
  <c r="F827" i="20" s="1"/>
  <c r="D827" i="20"/>
  <c r="C828" i="20"/>
  <c r="F828" i="20" s="1"/>
  <c r="D828" i="20"/>
  <c r="C829" i="20"/>
  <c r="F829" i="20" s="1"/>
  <c r="D829" i="20"/>
  <c r="C830" i="20"/>
  <c r="F830" i="20" s="1"/>
  <c r="D830" i="20"/>
  <c r="C831" i="20"/>
  <c r="F831" i="20" s="1"/>
  <c r="D831" i="20"/>
  <c r="C832" i="20"/>
  <c r="F832" i="20" s="1"/>
  <c r="D832" i="20"/>
  <c r="C833" i="20"/>
  <c r="F833" i="20" s="1"/>
  <c r="D833" i="20"/>
  <c r="C834" i="20"/>
  <c r="F834" i="20" s="1"/>
  <c r="D834" i="20"/>
  <c r="C835" i="20"/>
  <c r="F835" i="20" s="1"/>
  <c r="D835" i="20"/>
  <c r="A836" i="20"/>
  <c r="B836" i="20"/>
  <c r="C836" i="20"/>
  <c r="F836" i="20" s="1"/>
  <c r="D836" i="20"/>
  <c r="G836" i="20"/>
  <c r="H836" i="20"/>
  <c r="A837" i="20"/>
  <c r="B837" i="20"/>
  <c r="C837" i="20"/>
  <c r="F837" i="20" s="1"/>
  <c r="G837" i="20"/>
  <c r="H837" i="20"/>
  <c r="A838" i="20"/>
  <c r="B838" i="20"/>
  <c r="C838" i="20"/>
  <c r="F838" i="20" s="1"/>
  <c r="D838" i="20"/>
  <c r="G838" i="20"/>
  <c r="H838" i="20"/>
  <c r="A839" i="20"/>
  <c r="B839" i="20"/>
  <c r="C839" i="20"/>
  <c r="F839" i="20" s="1"/>
  <c r="D839" i="20"/>
  <c r="G839" i="20"/>
  <c r="H839" i="20"/>
  <c r="A840" i="20"/>
  <c r="B840" i="20"/>
  <c r="C840" i="20"/>
  <c r="D840" i="20"/>
  <c r="F840" i="20"/>
  <c r="G840" i="20"/>
  <c r="H840" i="20"/>
  <c r="A841" i="20"/>
  <c r="B841" i="20"/>
  <c r="C841" i="20"/>
  <c r="F841" i="20" s="1"/>
  <c r="G841" i="20"/>
  <c r="H841" i="20"/>
  <c r="A1612" i="20"/>
  <c r="C1612" i="20"/>
  <c r="F1612" i="20" s="1"/>
  <c r="D1612" i="20"/>
  <c r="C1613" i="20"/>
  <c r="F1613" i="20" s="1"/>
  <c r="D1613" i="20"/>
  <c r="C1614" i="20"/>
  <c r="F1614" i="20" s="1"/>
  <c r="D1614" i="20"/>
  <c r="C1615" i="20"/>
  <c r="F1615" i="20" s="1"/>
  <c r="D1615" i="20"/>
  <c r="C1616" i="20"/>
  <c r="F1616" i="20" s="1"/>
  <c r="D1616" i="20"/>
  <c r="C1617" i="20"/>
  <c r="F1617" i="20" s="1"/>
  <c r="D1617" i="20"/>
  <c r="C1618" i="20"/>
  <c r="F1618" i="20" s="1"/>
  <c r="D1618" i="20"/>
  <c r="C1619" i="20"/>
  <c r="F1619" i="20" s="1"/>
  <c r="D1619" i="20"/>
  <c r="C1620" i="20"/>
  <c r="F1620" i="20" s="1"/>
  <c r="D1620" i="20"/>
  <c r="C1621" i="20"/>
  <c r="F1621" i="20" s="1"/>
  <c r="D1621" i="20"/>
  <c r="C1622" i="20"/>
  <c r="F1622" i="20" s="1"/>
  <c r="D1622" i="20"/>
  <c r="C1623" i="20"/>
  <c r="F1623" i="20" s="1"/>
  <c r="D1623" i="20"/>
  <c r="C1624" i="20"/>
  <c r="F1624" i="20" s="1"/>
  <c r="D1624" i="20"/>
  <c r="C1625" i="20"/>
  <c r="F1625" i="20" s="1"/>
  <c r="D1625" i="20"/>
  <c r="C1626" i="20"/>
  <c r="F1626" i="20" s="1"/>
  <c r="D1626" i="20"/>
  <c r="C1627" i="20"/>
  <c r="F1627" i="20" s="1"/>
  <c r="D1627" i="20"/>
  <c r="C1628" i="20"/>
  <c r="F1628" i="20" s="1"/>
  <c r="D1628" i="20"/>
  <c r="C1629" i="20"/>
  <c r="F1629" i="20" s="1"/>
  <c r="D1629" i="20"/>
  <c r="C1630" i="20"/>
  <c r="F1630" i="20" s="1"/>
  <c r="D1630" i="20"/>
  <c r="A842" i="20"/>
  <c r="B842" i="20"/>
  <c r="C842" i="20"/>
  <c r="F842" i="20" s="1"/>
  <c r="D842" i="20"/>
  <c r="G842" i="20"/>
  <c r="H842" i="20"/>
  <c r="A843" i="20"/>
  <c r="B843" i="20"/>
  <c r="C843" i="20"/>
  <c r="F843" i="20" s="1"/>
  <c r="G843" i="20"/>
  <c r="H843" i="20"/>
  <c r="A844" i="20"/>
  <c r="B844" i="20"/>
  <c r="C844" i="20"/>
  <c r="F844" i="20" s="1"/>
  <c r="D844" i="20"/>
  <c r="G844" i="20"/>
  <c r="H844" i="20"/>
  <c r="A845" i="20"/>
  <c r="B845" i="20"/>
  <c r="C845" i="20"/>
  <c r="F845" i="20" s="1"/>
  <c r="D845" i="20"/>
  <c r="G845" i="20"/>
  <c r="H845" i="20"/>
  <c r="A846" i="20"/>
  <c r="B846" i="20"/>
  <c r="C846" i="20"/>
  <c r="F846" i="20" s="1"/>
  <c r="G846" i="20"/>
  <c r="H846" i="20"/>
  <c r="A1633" i="20"/>
  <c r="C1633" i="20"/>
  <c r="F1633" i="20" s="1"/>
  <c r="D1633" i="20"/>
  <c r="C1634" i="20"/>
  <c r="F1634" i="20" s="1"/>
  <c r="D1634" i="20"/>
  <c r="A847" i="20"/>
  <c r="B847" i="20"/>
  <c r="C847" i="20"/>
  <c r="F847" i="20" s="1"/>
  <c r="D847" i="20"/>
  <c r="G847" i="20"/>
  <c r="H847" i="20"/>
  <c r="A848" i="20"/>
  <c r="B848" i="20"/>
  <c r="C848" i="20"/>
  <c r="F848" i="20" s="1"/>
  <c r="G848" i="20"/>
  <c r="H848" i="20"/>
  <c r="A849" i="20"/>
  <c r="B849" i="20"/>
  <c r="C849" i="20"/>
  <c r="F849" i="20" s="1"/>
  <c r="D849" i="20"/>
  <c r="G849" i="20"/>
  <c r="H849" i="20"/>
  <c r="A850" i="20"/>
  <c r="B850" i="20"/>
  <c r="C850" i="20"/>
  <c r="F850" i="20" s="1"/>
  <c r="D850" i="20"/>
  <c r="G850" i="20"/>
  <c r="H850" i="20"/>
  <c r="A851" i="20"/>
  <c r="B851" i="20"/>
  <c r="C851" i="20"/>
  <c r="F851" i="20" s="1"/>
  <c r="G851" i="20"/>
  <c r="H851" i="20"/>
  <c r="A1637" i="20"/>
  <c r="C1637" i="20"/>
  <c r="F1637" i="20" s="1"/>
  <c r="D1637" i="20"/>
  <c r="C1638" i="20"/>
  <c r="F1638" i="20" s="1"/>
  <c r="D1638" i="20"/>
  <c r="A852" i="20"/>
  <c r="B852" i="20"/>
  <c r="C852" i="20"/>
  <c r="F852" i="20" s="1"/>
  <c r="D852" i="20"/>
  <c r="G852" i="20"/>
  <c r="H852" i="20"/>
  <c r="A853" i="20"/>
  <c r="B853" i="20"/>
  <c r="C853" i="20"/>
  <c r="F853" i="20" s="1"/>
  <c r="G853" i="20"/>
  <c r="H853" i="20"/>
  <c r="A854" i="20"/>
  <c r="B854" i="20"/>
  <c r="C854" i="20"/>
  <c r="F854" i="20" s="1"/>
  <c r="D854" i="20"/>
  <c r="G854" i="20"/>
  <c r="H854" i="20"/>
  <c r="A855" i="20"/>
  <c r="B855" i="20"/>
  <c r="C855" i="20"/>
  <c r="F855" i="20" s="1"/>
  <c r="D855" i="20"/>
  <c r="G855" i="20"/>
  <c r="H855" i="20"/>
  <c r="A856" i="20"/>
  <c r="B856" i="20"/>
  <c r="C856" i="20"/>
  <c r="F856" i="20" s="1"/>
  <c r="G856" i="20"/>
  <c r="H856" i="20"/>
  <c r="A1641" i="20"/>
  <c r="C1641" i="20"/>
  <c r="F1641" i="20" s="1"/>
  <c r="D1641" i="20"/>
  <c r="C1642" i="20"/>
  <c r="F1642" i="20" s="1"/>
  <c r="D1642" i="20"/>
  <c r="A857" i="20"/>
  <c r="B857" i="20"/>
  <c r="C857" i="20"/>
  <c r="F857" i="20" s="1"/>
  <c r="D857" i="20"/>
  <c r="G857" i="20"/>
  <c r="H857" i="20"/>
  <c r="A858" i="20"/>
  <c r="B858" i="20"/>
  <c r="C858" i="20"/>
  <c r="F858" i="20" s="1"/>
  <c r="G858" i="20"/>
  <c r="H858" i="20"/>
  <c r="A859" i="20"/>
  <c r="B859" i="20"/>
  <c r="C859" i="20"/>
  <c r="F859" i="20" s="1"/>
  <c r="D859" i="20"/>
  <c r="G859" i="20"/>
  <c r="H859" i="20"/>
  <c r="A860" i="20"/>
  <c r="B860" i="20"/>
  <c r="C860" i="20"/>
  <c r="F860" i="20" s="1"/>
  <c r="D860" i="20"/>
  <c r="G860" i="20"/>
  <c r="H860" i="20"/>
  <c r="A861" i="20"/>
  <c r="B861" i="20"/>
  <c r="C861" i="20"/>
  <c r="F861" i="20" s="1"/>
  <c r="G861" i="20"/>
  <c r="H861" i="20"/>
  <c r="A1646" i="20"/>
  <c r="C1646" i="20"/>
  <c r="F1646" i="20" s="1"/>
  <c r="D1646" i="20"/>
  <c r="A1647" i="20"/>
  <c r="C1647" i="20"/>
  <c r="F1647" i="20" s="1"/>
  <c r="D1647" i="20"/>
  <c r="H1647" i="20"/>
  <c r="C1648" i="20"/>
  <c r="F1648" i="20" s="1"/>
  <c r="D1648" i="20"/>
  <c r="A862" i="20"/>
  <c r="B862" i="20"/>
  <c r="C862" i="20"/>
  <c r="F862" i="20" s="1"/>
  <c r="D862" i="20"/>
  <c r="G862" i="20"/>
  <c r="H862" i="20"/>
  <c r="A863" i="20"/>
  <c r="B863" i="20"/>
  <c r="C863" i="20"/>
  <c r="F863" i="20" s="1"/>
  <c r="G863" i="20"/>
  <c r="H863" i="20"/>
  <c r="A864" i="20"/>
  <c r="B864" i="20"/>
  <c r="C864" i="20"/>
  <c r="D864" i="20"/>
  <c r="F864" i="20"/>
  <c r="G864" i="20"/>
  <c r="H864" i="20"/>
  <c r="A865" i="20"/>
  <c r="B865" i="20"/>
  <c r="C865" i="20"/>
  <c r="F865" i="20" s="1"/>
  <c r="D865" i="20"/>
  <c r="G865" i="20"/>
  <c r="H865" i="20"/>
  <c r="A866" i="20"/>
  <c r="B866" i="20"/>
  <c r="C866" i="20"/>
  <c r="F866" i="20" s="1"/>
  <c r="G866" i="20"/>
  <c r="H866" i="20"/>
  <c r="A1652" i="20"/>
  <c r="C1652" i="20"/>
  <c r="F1652" i="20" s="1"/>
  <c r="D1652" i="20"/>
  <c r="C1653" i="20"/>
  <c r="F1653" i="20" s="1"/>
  <c r="D1653" i="20"/>
  <c r="C1654" i="20"/>
  <c r="F1654" i="20" s="1"/>
  <c r="D1654" i="20"/>
  <c r="A867" i="20"/>
  <c r="B867" i="20"/>
  <c r="C867" i="20"/>
  <c r="F867" i="20" s="1"/>
  <c r="D867" i="20"/>
  <c r="G867" i="20"/>
  <c r="H867" i="20"/>
  <c r="A868" i="20"/>
  <c r="B868" i="20"/>
  <c r="C868" i="20"/>
  <c r="F868" i="20" s="1"/>
  <c r="G868" i="20"/>
  <c r="H868" i="20"/>
  <c r="A869" i="20"/>
  <c r="B869" i="20"/>
  <c r="C869" i="20"/>
  <c r="F869" i="20" s="1"/>
  <c r="D869" i="20"/>
  <c r="G869" i="20"/>
  <c r="H869" i="20"/>
  <c r="A870" i="20"/>
  <c r="B870" i="20"/>
  <c r="C870" i="20"/>
  <c r="F870" i="20" s="1"/>
  <c r="D870" i="20"/>
  <c r="G870" i="20"/>
  <c r="H870" i="20"/>
  <c r="A871" i="20"/>
  <c r="B871" i="20"/>
  <c r="C871" i="20"/>
  <c r="F871" i="20" s="1"/>
  <c r="G871" i="20"/>
  <c r="H871" i="20"/>
  <c r="A1657" i="20"/>
  <c r="C1657" i="20"/>
  <c r="F1657" i="20" s="1"/>
  <c r="D1657" i="20"/>
  <c r="C1658" i="20"/>
  <c r="F1658" i="20" s="1"/>
  <c r="D1658" i="20"/>
  <c r="A872" i="20"/>
  <c r="B872" i="20"/>
  <c r="C872" i="20"/>
  <c r="F872" i="20" s="1"/>
  <c r="D872" i="20"/>
  <c r="G872" i="20"/>
  <c r="H872" i="20"/>
  <c r="A873" i="20"/>
  <c r="B873" i="20"/>
  <c r="C873" i="20"/>
  <c r="F873" i="20" s="1"/>
  <c r="G873" i="20"/>
  <c r="H873" i="20"/>
  <c r="A874" i="20"/>
  <c r="B874" i="20"/>
  <c r="C874" i="20"/>
  <c r="F874" i="20" s="1"/>
  <c r="D874" i="20"/>
  <c r="G874" i="20"/>
  <c r="H874" i="20"/>
  <c r="A875" i="20"/>
  <c r="B875" i="20"/>
  <c r="C875" i="20"/>
  <c r="F875" i="20" s="1"/>
  <c r="D875" i="20"/>
  <c r="G875" i="20"/>
  <c r="H875" i="20"/>
  <c r="A876" i="20"/>
  <c r="B876" i="20"/>
  <c r="C876" i="20"/>
  <c r="F876" i="20" s="1"/>
  <c r="G876" i="20"/>
  <c r="H876" i="20"/>
  <c r="A1661" i="20"/>
  <c r="C1661" i="20"/>
  <c r="F1661" i="20" s="1"/>
  <c r="D1661" i="20"/>
  <c r="C1662" i="20"/>
  <c r="F1662" i="20" s="1"/>
  <c r="D1662" i="20"/>
  <c r="A877" i="20"/>
  <c r="B877" i="20"/>
  <c r="C877" i="20"/>
  <c r="F877" i="20" s="1"/>
  <c r="D877" i="20"/>
  <c r="G877" i="20"/>
  <c r="H877" i="20"/>
  <c r="A878" i="20"/>
  <c r="B878" i="20"/>
  <c r="C878" i="20"/>
  <c r="F878" i="20" s="1"/>
  <c r="G878" i="20"/>
  <c r="H878" i="20"/>
  <c r="A879" i="20"/>
  <c r="B879" i="20"/>
  <c r="C879" i="20"/>
  <c r="F879" i="20" s="1"/>
  <c r="D879" i="20"/>
  <c r="G879" i="20"/>
  <c r="H879" i="20"/>
  <c r="A880" i="20"/>
  <c r="B880" i="20"/>
  <c r="C880" i="20"/>
  <c r="F880" i="20" s="1"/>
  <c r="D880" i="20"/>
  <c r="G880" i="20"/>
  <c r="H880" i="20"/>
  <c r="A881" i="20"/>
  <c r="B881" i="20"/>
  <c r="C881" i="20"/>
  <c r="F881" i="20" s="1"/>
  <c r="G881" i="20"/>
  <c r="H881" i="20"/>
  <c r="A1665" i="20"/>
  <c r="C1665" i="20"/>
  <c r="F1665" i="20" s="1"/>
  <c r="D1665" i="20"/>
  <c r="C1666" i="20"/>
  <c r="F1666" i="20" s="1"/>
  <c r="D1666" i="20"/>
  <c r="A882" i="20"/>
  <c r="B882" i="20"/>
  <c r="C882" i="20"/>
  <c r="F882" i="20" s="1"/>
  <c r="D882" i="20"/>
  <c r="G882" i="20"/>
  <c r="H882" i="20"/>
  <c r="A883" i="20"/>
  <c r="B883" i="20"/>
  <c r="C883" i="20"/>
  <c r="F883" i="20" s="1"/>
  <c r="G883" i="20"/>
  <c r="H883" i="20"/>
  <c r="A884" i="20"/>
  <c r="B884" i="20"/>
  <c r="C884" i="20"/>
  <c r="F884" i="20" s="1"/>
  <c r="D884" i="20"/>
  <c r="G884" i="20"/>
  <c r="H884" i="20"/>
  <c r="A885" i="20"/>
  <c r="B885" i="20"/>
  <c r="C885" i="20"/>
  <c r="F885" i="20" s="1"/>
  <c r="D885" i="20"/>
  <c r="G885" i="20"/>
  <c r="H885" i="20"/>
  <c r="A886" i="20"/>
  <c r="B886" i="20"/>
  <c r="C886" i="20"/>
  <c r="F886" i="20" s="1"/>
  <c r="G886" i="20"/>
  <c r="H886" i="20"/>
  <c r="A1669" i="20"/>
  <c r="C1669" i="20"/>
  <c r="F1669" i="20" s="1"/>
  <c r="D1669" i="20"/>
  <c r="C1670" i="20"/>
  <c r="F1670" i="20" s="1"/>
  <c r="D1670" i="20"/>
  <c r="A887" i="20"/>
  <c r="B887" i="20"/>
  <c r="C887" i="20"/>
  <c r="F887" i="20" s="1"/>
  <c r="D887" i="20"/>
  <c r="G887" i="20"/>
  <c r="H887" i="20"/>
  <c r="A888" i="20"/>
  <c r="B888" i="20"/>
  <c r="C888" i="20"/>
  <c r="F888" i="20" s="1"/>
  <c r="G888" i="20"/>
  <c r="H888" i="20"/>
  <c r="A889" i="20"/>
  <c r="B889" i="20"/>
  <c r="C889" i="20"/>
  <c r="F889" i="20" s="1"/>
  <c r="D889" i="20"/>
  <c r="G889" i="20"/>
  <c r="H889" i="20"/>
  <c r="A890" i="20"/>
  <c r="B890" i="20"/>
  <c r="C890" i="20"/>
  <c r="F890" i="20" s="1"/>
  <c r="D890" i="20"/>
  <c r="G890" i="20"/>
  <c r="H890" i="20"/>
  <c r="A891" i="20"/>
  <c r="B891" i="20"/>
  <c r="C891" i="20"/>
  <c r="F891" i="20" s="1"/>
  <c r="G891" i="20"/>
  <c r="H891" i="20"/>
  <c r="A1673" i="20"/>
  <c r="C1673" i="20"/>
  <c r="F1673" i="20" s="1"/>
  <c r="D1673" i="20"/>
  <c r="C1674" i="20"/>
  <c r="F1674" i="20" s="1"/>
  <c r="D1674" i="20"/>
  <c r="A892" i="20"/>
  <c r="B892" i="20"/>
  <c r="C892" i="20"/>
  <c r="F892" i="20" s="1"/>
  <c r="D892" i="20"/>
  <c r="G892" i="20"/>
  <c r="H892" i="20"/>
  <c r="A893" i="20"/>
  <c r="B893" i="20"/>
  <c r="C893" i="20"/>
  <c r="F893" i="20" s="1"/>
  <c r="G893" i="20"/>
  <c r="H893" i="20"/>
  <c r="A894" i="20"/>
  <c r="B894" i="20"/>
  <c r="C894" i="20"/>
  <c r="F894" i="20" s="1"/>
  <c r="D894" i="20"/>
  <c r="G894" i="20"/>
  <c r="H894" i="20"/>
  <c r="A895" i="20"/>
  <c r="B895" i="20"/>
  <c r="C895" i="20"/>
  <c r="F895" i="20" s="1"/>
  <c r="D895" i="20"/>
  <c r="G895" i="20"/>
  <c r="H895" i="20"/>
  <c r="A896" i="20"/>
  <c r="B896" i="20"/>
  <c r="C896" i="20"/>
  <c r="F896" i="20" s="1"/>
  <c r="G896" i="20"/>
  <c r="H896" i="20"/>
  <c r="A1677" i="20"/>
  <c r="C1677" i="20"/>
  <c r="F1677" i="20" s="1"/>
  <c r="D1677" i="20"/>
  <c r="C1678" i="20"/>
  <c r="F1678" i="20" s="1"/>
  <c r="D1678" i="20"/>
  <c r="A897" i="20"/>
  <c r="B897" i="20"/>
  <c r="C897" i="20"/>
  <c r="F897" i="20" s="1"/>
  <c r="D897" i="20"/>
  <c r="G897" i="20"/>
  <c r="H897" i="20"/>
  <c r="A898" i="20"/>
  <c r="B898" i="20"/>
  <c r="C898" i="20"/>
  <c r="F898" i="20" s="1"/>
  <c r="G898" i="20"/>
  <c r="H898" i="20"/>
  <c r="A899" i="20"/>
  <c r="B899" i="20"/>
  <c r="C899" i="20"/>
  <c r="F899" i="20" s="1"/>
  <c r="D899" i="20"/>
  <c r="G899" i="20"/>
  <c r="H899" i="20"/>
  <c r="A900" i="20"/>
  <c r="B900" i="20"/>
  <c r="C900" i="20"/>
  <c r="F900" i="20" s="1"/>
  <c r="D900" i="20"/>
  <c r="G900" i="20"/>
  <c r="H900" i="20"/>
  <c r="A901" i="20"/>
  <c r="B901" i="20"/>
  <c r="C901" i="20"/>
  <c r="F901" i="20" s="1"/>
  <c r="G901" i="20"/>
  <c r="H901" i="20"/>
  <c r="A1682" i="20"/>
  <c r="C1682" i="20"/>
  <c r="F1682" i="20" s="1"/>
  <c r="D1682" i="20"/>
  <c r="C1683" i="20"/>
  <c r="F1683" i="20" s="1"/>
  <c r="D1683" i="20"/>
  <c r="C1684" i="20"/>
  <c r="F1684" i="20" s="1"/>
  <c r="D1684" i="20"/>
  <c r="A902" i="20"/>
  <c r="B902" i="20"/>
  <c r="C902" i="20"/>
  <c r="F902" i="20" s="1"/>
  <c r="D902" i="20"/>
  <c r="G902" i="20"/>
  <c r="H902" i="20"/>
  <c r="A903" i="20"/>
  <c r="B903" i="20"/>
  <c r="C903" i="20"/>
  <c r="F903" i="20" s="1"/>
  <c r="G903" i="20"/>
  <c r="H903" i="20"/>
  <c r="A904" i="20"/>
  <c r="B904" i="20"/>
  <c r="C904" i="20"/>
  <c r="F904" i="20" s="1"/>
  <c r="D904" i="20"/>
  <c r="G904" i="20"/>
  <c r="H904" i="20"/>
  <c r="A905" i="20"/>
  <c r="B905" i="20"/>
  <c r="C905" i="20"/>
  <c r="F905" i="20" s="1"/>
  <c r="D905" i="20"/>
  <c r="G905" i="20"/>
  <c r="H905" i="20"/>
  <c r="A906" i="20"/>
  <c r="B906" i="20"/>
  <c r="C906" i="20"/>
  <c r="F906" i="20" s="1"/>
  <c r="G906" i="20"/>
  <c r="H906" i="20"/>
  <c r="A1687" i="20"/>
  <c r="C1687" i="20"/>
  <c r="F1687" i="20" s="1"/>
  <c r="D1687" i="20"/>
  <c r="C1688" i="20"/>
  <c r="F1688" i="20" s="1"/>
  <c r="D1688" i="20"/>
  <c r="A907" i="20"/>
  <c r="B907" i="20"/>
  <c r="C907" i="20"/>
  <c r="F907" i="20" s="1"/>
  <c r="D907" i="20"/>
  <c r="G907" i="20"/>
  <c r="H907" i="20"/>
  <c r="A908" i="20"/>
  <c r="B908" i="20"/>
  <c r="C908" i="20"/>
  <c r="F908" i="20" s="1"/>
  <c r="G908" i="20"/>
  <c r="H908" i="20"/>
  <c r="A909" i="20"/>
  <c r="B909" i="20"/>
  <c r="C909" i="20"/>
  <c r="F909" i="20" s="1"/>
  <c r="D909" i="20"/>
  <c r="G909" i="20"/>
  <c r="H909" i="20"/>
  <c r="A910" i="20"/>
  <c r="B910" i="20"/>
  <c r="C910" i="20"/>
  <c r="F910" i="20" s="1"/>
  <c r="D910" i="20"/>
  <c r="G910" i="20"/>
  <c r="H910" i="20"/>
  <c r="A911" i="20"/>
  <c r="B911" i="20"/>
  <c r="C911" i="20"/>
  <c r="F911" i="20" s="1"/>
  <c r="G911" i="20"/>
  <c r="H911" i="20"/>
  <c r="A1691" i="20"/>
  <c r="C1691" i="20"/>
  <c r="F1691" i="20" s="1"/>
  <c r="D1691" i="20"/>
  <c r="C1692" i="20"/>
  <c r="F1692" i="20" s="1"/>
  <c r="D1692" i="20"/>
  <c r="A912" i="20"/>
  <c r="B912" i="20"/>
  <c r="C912" i="20"/>
  <c r="F912" i="20" s="1"/>
  <c r="D912" i="20"/>
  <c r="G912" i="20"/>
  <c r="H912" i="20"/>
  <c r="A913" i="20"/>
  <c r="B913" i="20"/>
  <c r="C913" i="20"/>
  <c r="F913" i="20" s="1"/>
  <c r="G913" i="20"/>
  <c r="H913" i="20"/>
  <c r="A914" i="20"/>
  <c r="B914" i="20"/>
  <c r="C914" i="20"/>
  <c r="F914" i="20" s="1"/>
  <c r="D914" i="20"/>
  <c r="G914" i="20"/>
  <c r="H914" i="20"/>
  <c r="A915" i="20"/>
  <c r="B915" i="20"/>
  <c r="C915" i="20"/>
  <c r="F915" i="20" s="1"/>
  <c r="D915" i="20"/>
  <c r="G915" i="20"/>
  <c r="H915" i="20"/>
  <c r="A916" i="20"/>
  <c r="B916" i="20"/>
  <c r="C916" i="20"/>
  <c r="F916" i="20" s="1"/>
  <c r="G916" i="20"/>
  <c r="H916" i="20"/>
  <c r="A1695" i="20"/>
  <c r="C1695" i="20"/>
  <c r="F1695" i="20" s="1"/>
  <c r="D1695" i="20"/>
  <c r="C1696" i="20"/>
  <c r="F1696" i="20" s="1"/>
  <c r="D1696" i="20"/>
  <c r="A917" i="20"/>
  <c r="B917" i="20"/>
  <c r="C917" i="20"/>
  <c r="F917" i="20" s="1"/>
  <c r="D917" i="20"/>
  <c r="G917" i="20"/>
  <c r="H917" i="20"/>
  <c r="A918" i="20"/>
  <c r="B918" i="20"/>
  <c r="C918" i="20"/>
  <c r="F918" i="20" s="1"/>
  <c r="G918" i="20"/>
  <c r="H918" i="20"/>
  <c r="A919" i="20"/>
  <c r="B919" i="20"/>
  <c r="C919" i="20"/>
  <c r="F919" i="20" s="1"/>
  <c r="D919" i="20"/>
  <c r="G919" i="20"/>
  <c r="H919" i="20"/>
  <c r="A920" i="20"/>
  <c r="B920" i="20"/>
  <c r="C920" i="20"/>
  <c r="F920" i="20" s="1"/>
  <c r="D920" i="20"/>
  <c r="G920" i="20"/>
  <c r="H920" i="20"/>
  <c r="A921" i="20"/>
  <c r="B921" i="20"/>
  <c r="C921" i="20"/>
  <c r="F921" i="20" s="1"/>
  <c r="G921" i="20"/>
  <c r="H921" i="20"/>
  <c r="A1699" i="20"/>
  <c r="C1699" i="20"/>
  <c r="F1699" i="20" s="1"/>
  <c r="D1699" i="20"/>
  <c r="C1700" i="20"/>
  <c r="F1700" i="20" s="1"/>
  <c r="D1700" i="20"/>
  <c r="A922" i="20"/>
  <c r="B922" i="20"/>
  <c r="C922" i="20"/>
  <c r="F922" i="20" s="1"/>
  <c r="D922" i="20"/>
  <c r="G922" i="20"/>
  <c r="H922" i="20"/>
  <c r="A923" i="20"/>
  <c r="B923" i="20"/>
  <c r="C923" i="20"/>
  <c r="F923" i="20" s="1"/>
  <c r="G923" i="20"/>
  <c r="H923" i="20"/>
  <c r="A924" i="20"/>
  <c r="B924" i="20"/>
  <c r="C924" i="20"/>
  <c r="F924" i="20" s="1"/>
  <c r="D924" i="20"/>
  <c r="G924" i="20"/>
  <c r="H924" i="20"/>
  <c r="A925" i="20"/>
  <c r="B925" i="20"/>
  <c r="C925" i="20"/>
  <c r="F925" i="20" s="1"/>
  <c r="D925" i="20"/>
  <c r="G925" i="20"/>
  <c r="H925" i="20"/>
  <c r="A926" i="20"/>
  <c r="B926" i="20"/>
  <c r="C926" i="20"/>
  <c r="F926" i="20" s="1"/>
  <c r="G926" i="20"/>
  <c r="H926" i="20"/>
  <c r="A1705" i="20"/>
  <c r="C1705" i="20"/>
  <c r="F1705" i="20" s="1"/>
  <c r="D1705" i="20"/>
  <c r="C1706" i="20"/>
  <c r="F1706" i="20" s="1"/>
  <c r="D1706" i="20"/>
  <c r="C1707" i="20"/>
  <c r="F1707" i="20" s="1"/>
  <c r="D1707" i="20"/>
  <c r="C1708" i="20"/>
  <c r="F1708" i="20" s="1"/>
  <c r="D1708" i="20"/>
  <c r="A927" i="20"/>
  <c r="B927" i="20"/>
  <c r="C927" i="20"/>
  <c r="F927" i="20" s="1"/>
  <c r="D927" i="20"/>
  <c r="G927" i="20"/>
  <c r="H927" i="20"/>
  <c r="A928" i="20"/>
  <c r="B928" i="20"/>
  <c r="C928" i="20"/>
  <c r="F928" i="20" s="1"/>
  <c r="G928" i="20"/>
  <c r="H928" i="20"/>
  <c r="A929" i="20"/>
  <c r="B929" i="20"/>
  <c r="C929" i="20"/>
  <c r="F929" i="20" s="1"/>
  <c r="D929" i="20"/>
  <c r="G929" i="20"/>
  <c r="H929" i="20"/>
  <c r="A930" i="20"/>
  <c r="B930" i="20"/>
  <c r="C930" i="20"/>
  <c r="F930" i="20" s="1"/>
  <c r="D930" i="20"/>
  <c r="G930" i="20"/>
  <c r="H930" i="20"/>
  <c r="A931" i="20"/>
  <c r="B931" i="20"/>
  <c r="C931" i="20"/>
  <c r="F931" i="20" s="1"/>
  <c r="G931" i="20"/>
  <c r="H931" i="20"/>
  <c r="A1711" i="20"/>
  <c r="C1711" i="20"/>
  <c r="F1711" i="20" s="1"/>
  <c r="D1711" i="20"/>
  <c r="C1712" i="20"/>
  <c r="F1712" i="20" s="1"/>
  <c r="D1712" i="20"/>
  <c r="A932" i="20"/>
  <c r="B932" i="20"/>
  <c r="C932" i="20"/>
  <c r="F932" i="20" s="1"/>
  <c r="D932" i="20"/>
  <c r="G932" i="20"/>
  <c r="H932" i="20"/>
  <c r="A933" i="20"/>
  <c r="B933" i="20"/>
  <c r="C933" i="20"/>
  <c r="F933" i="20" s="1"/>
  <c r="G933" i="20"/>
  <c r="H933" i="20"/>
  <c r="A934" i="20"/>
  <c r="B934" i="20"/>
  <c r="C934" i="20"/>
  <c r="F934" i="20" s="1"/>
  <c r="D934" i="20"/>
  <c r="G934" i="20"/>
  <c r="H934" i="20"/>
  <c r="A935" i="20"/>
  <c r="B935" i="20"/>
  <c r="C935" i="20"/>
  <c r="F935" i="20" s="1"/>
  <c r="D935" i="20"/>
  <c r="G935" i="20"/>
  <c r="H935" i="20"/>
  <c r="A936" i="20"/>
  <c r="B936" i="20"/>
  <c r="C936" i="20"/>
  <c r="F936" i="20" s="1"/>
  <c r="G936" i="20"/>
  <c r="H936" i="20"/>
  <c r="A1715" i="20"/>
  <c r="C1715" i="20"/>
  <c r="F1715" i="20" s="1"/>
  <c r="D1715" i="20"/>
  <c r="C1716" i="20"/>
  <c r="F1716" i="20" s="1"/>
  <c r="D1716" i="20"/>
  <c r="A937" i="20"/>
  <c r="B937" i="20"/>
  <c r="C937" i="20"/>
  <c r="F937" i="20" s="1"/>
  <c r="D937" i="20"/>
  <c r="G937" i="20"/>
  <c r="H937" i="20"/>
  <c r="A938" i="20"/>
  <c r="B938" i="20"/>
  <c r="C938" i="20"/>
  <c r="F938" i="20" s="1"/>
  <c r="G938" i="20"/>
  <c r="H938" i="20"/>
  <c r="A939" i="20"/>
  <c r="B939" i="20"/>
  <c r="C939" i="20"/>
  <c r="F939" i="20" s="1"/>
  <c r="D939" i="20"/>
  <c r="G939" i="20"/>
  <c r="H939" i="20"/>
  <c r="A940" i="20"/>
  <c r="B940" i="20"/>
  <c r="C940" i="20"/>
  <c r="F940" i="20" s="1"/>
  <c r="D940" i="20"/>
  <c r="G940" i="20"/>
  <c r="H940" i="20"/>
  <c r="A941" i="20"/>
  <c r="B941" i="20"/>
  <c r="C941" i="20"/>
  <c r="F941" i="20" s="1"/>
  <c r="G941" i="20"/>
  <c r="H941" i="20"/>
  <c r="A1719" i="20"/>
  <c r="C1719" i="20"/>
  <c r="F1719" i="20" s="1"/>
  <c r="D1719" i="20"/>
  <c r="C1720" i="20"/>
  <c r="F1720" i="20" s="1"/>
  <c r="D1720" i="20"/>
  <c r="A942" i="20"/>
  <c r="B942" i="20"/>
  <c r="C942" i="20"/>
  <c r="F942" i="20" s="1"/>
  <c r="D942" i="20"/>
  <c r="G942" i="20"/>
  <c r="H942" i="20"/>
  <c r="A943" i="20"/>
  <c r="B943" i="20"/>
  <c r="C943" i="20"/>
  <c r="F943" i="20" s="1"/>
  <c r="G943" i="20"/>
  <c r="H943" i="20"/>
  <c r="A944" i="20"/>
  <c r="B944" i="20"/>
  <c r="C944" i="20"/>
  <c r="F944" i="20" s="1"/>
  <c r="D944" i="20"/>
  <c r="G944" i="20"/>
  <c r="H944" i="20"/>
  <c r="A945" i="20"/>
  <c r="B945" i="20"/>
  <c r="C945" i="20"/>
  <c r="F945" i="20" s="1"/>
  <c r="D945" i="20"/>
  <c r="G945" i="20"/>
  <c r="H945" i="20"/>
  <c r="A946" i="20"/>
  <c r="B946" i="20"/>
  <c r="C946" i="20"/>
  <c r="F946" i="20" s="1"/>
  <c r="G946" i="20"/>
  <c r="H946" i="20"/>
  <c r="A1723" i="20"/>
  <c r="C1723" i="20"/>
  <c r="F1723" i="20" s="1"/>
  <c r="D1723" i="20"/>
  <c r="C1724" i="20"/>
  <c r="F1724" i="20" s="1"/>
  <c r="D1724" i="20"/>
  <c r="A947" i="20"/>
  <c r="B947" i="20"/>
  <c r="C947" i="20"/>
  <c r="F947" i="20" s="1"/>
  <c r="D947" i="20"/>
  <c r="G947" i="20"/>
  <c r="H947" i="20"/>
  <c r="A948" i="20"/>
  <c r="B948" i="20"/>
  <c r="C948" i="20"/>
  <c r="F948" i="20" s="1"/>
  <c r="G948" i="20"/>
  <c r="H948" i="20"/>
  <c r="A949" i="20"/>
  <c r="B949" i="20"/>
  <c r="C949" i="20"/>
  <c r="F949" i="20" s="1"/>
  <c r="D949" i="20"/>
  <c r="G949" i="20"/>
  <c r="H949" i="20"/>
  <c r="A950" i="20"/>
  <c r="B950" i="20"/>
  <c r="C950" i="20"/>
  <c r="F950" i="20" s="1"/>
  <c r="D950" i="20"/>
  <c r="G950" i="20"/>
  <c r="H950" i="20"/>
  <c r="A951" i="20"/>
  <c r="B951" i="20"/>
  <c r="C951" i="20"/>
  <c r="F951" i="20" s="1"/>
  <c r="G951" i="20"/>
  <c r="H951" i="20"/>
  <c r="A1727" i="20"/>
  <c r="C1727" i="20"/>
  <c r="F1727" i="20" s="1"/>
  <c r="D1727" i="20"/>
  <c r="C1728" i="20"/>
  <c r="F1728" i="20" s="1"/>
  <c r="D1728" i="20"/>
  <c r="A952" i="20"/>
  <c r="B952" i="20"/>
  <c r="C952" i="20"/>
  <c r="F952" i="20" s="1"/>
  <c r="D952" i="20"/>
  <c r="G952" i="20"/>
  <c r="H952" i="20"/>
  <c r="A953" i="20"/>
  <c r="B953" i="20"/>
  <c r="C953" i="20"/>
  <c r="F953" i="20" s="1"/>
  <c r="G953" i="20"/>
  <c r="H953" i="20"/>
  <c r="A954" i="20"/>
  <c r="B954" i="20"/>
  <c r="C954" i="20"/>
  <c r="F954" i="20" s="1"/>
  <c r="D954" i="20"/>
  <c r="G954" i="20"/>
  <c r="H954" i="20"/>
  <c r="A955" i="20"/>
  <c r="B955" i="20"/>
  <c r="C955" i="20"/>
  <c r="F955" i="20" s="1"/>
  <c r="D955" i="20"/>
  <c r="G955" i="20"/>
  <c r="H955" i="20"/>
  <c r="A956" i="20"/>
  <c r="B956" i="20"/>
  <c r="C956" i="20"/>
  <c r="F956" i="20" s="1"/>
  <c r="G956" i="20"/>
  <c r="H956" i="20"/>
  <c r="A1731" i="20"/>
  <c r="C1731" i="20"/>
  <c r="F1731" i="20" s="1"/>
  <c r="D1731" i="20"/>
  <c r="C1732" i="20"/>
  <c r="F1732" i="20" s="1"/>
  <c r="D1732" i="20"/>
  <c r="A957" i="20"/>
  <c r="B957" i="20"/>
  <c r="C957" i="20"/>
  <c r="F957" i="20" s="1"/>
  <c r="D957" i="20"/>
  <c r="G957" i="20"/>
  <c r="H957" i="20"/>
  <c r="A958" i="20"/>
  <c r="B958" i="20"/>
  <c r="C958" i="20"/>
  <c r="F958" i="20" s="1"/>
  <c r="G958" i="20"/>
  <c r="H958" i="20"/>
  <c r="A959" i="20"/>
  <c r="B959" i="20"/>
  <c r="C959" i="20"/>
  <c r="D959" i="20"/>
  <c r="F959" i="20"/>
  <c r="G959" i="20"/>
  <c r="H959" i="20"/>
  <c r="A960" i="20"/>
  <c r="B960" i="20"/>
  <c r="C960" i="20"/>
  <c r="F960" i="20" s="1"/>
  <c r="D960" i="20"/>
  <c r="G960" i="20"/>
  <c r="H960" i="20"/>
  <c r="A961" i="20"/>
  <c r="B961" i="20"/>
  <c r="C961" i="20"/>
  <c r="F961" i="20" s="1"/>
  <c r="G961" i="20"/>
  <c r="H961" i="20"/>
  <c r="A1735" i="20"/>
  <c r="C1735" i="20"/>
  <c r="F1735" i="20" s="1"/>
  <c r="D1735" i="20"/>
  <c r="C1736" i="20"/>
  <c r="F1736" i="20" s="1"/>
  <c r="D1736" i="20"/>
  <c r="A962" i="20"/>
  <c r="B962" i="20"/>
  <c r="C962" i="20"/>
  <c r="F962" i="20" s="1"/>
  <c r="D962" i="20"/>
  <c r="G962" i="20"/>
  <c r="H962" i="20"/>
  <c r="A963" i="20"/>
  <c r="B963" i="20"/>
  <c r="C963" i="20"/>
  <c r="F963" i="20" s="1"/>
  <c r="G963" i="20"/>
  <c r="H963" i="20"/>
  <c r="A964" i="20"/>
  <c r="B964" i="20"/>
  <c r="C964" i="20"/>
  <c r="D964" i="20"/>
  <c r="F964" i="20"/>
  <c r="G964" i="20"/>
  <c r="H964" i="20"/>
  <c r="A965" i="20"/>
  <c r="B965" i="20"/>
  <c r="C965" i="20"/>
  <c r="F965" i="20" s="1"/>
  <c r="D965" i="20"/>
  <c r="G965" i="20"/>
  <c r="H965" i="20"/>
  <c r="A966" i="20"/>
  <c r="B966" i="20"/>
  <c r="C966" i="20"/>
  <c r="F966" i="20" s="1"/>
  <c r="G966" i="20"/>
  <c r="H966" i="20"/>
  <c r="A1739" i="20"/>
  <c r="C1739" i="20"/>
  <c r="F1739" i="20" s="1"/>
  <c r="D1739" i="20"/>
  <c r="C1740" i="20"/>
  <c r="F1740" i="20" s="1"/>
  <c r="D1740" i="20"/>
  <c r="A967" i="20"/>
  <c r="B967" i="20"/>
  <c r="C967" i="20"/>
  <c r="F967" i="20" s="1"/>
  <c r="D967" i="20"/>
  <c r="G967" i="20"/>
  <c r="H967" i="20"/>
  <c r="A968" i="20"/>
  <c r="B968" i="20"/>
  <c r="C968" i="20"/>
  <c r="F968" i="20" s="1"/>
  <c r="G968" i="20"/>
  <c r="H968" i="20"/>
  <c r="A969" i="20"/>
  <c r="B969" i="20"/>
  <c r="C969" i="20"/>
  <c r="F969" i="20" s="1"/>
  <c r="D969" i="20"/>
  <c r="G969" i="20"/>
  <c r="H969" i="20"/>
  <c r="A970" i="20"/>
  <c r="B970" i="20"/>
  <c r="C970" i="20"/>
  <c r="D970" i="20"/>
  <c r="F970" i="20"/>
  <c r="G970" i="20"/>
  <c r="H970" i="20"/>
  <c r="A971" i="20"/>
  <c r="B971" i="20"/>
  <c r="C971" i="20"/>
  <c r="F971" i="20" s="1"/>
  <c r="G971" i="20"/>
  <c r="H971" i="20"/>
  <c r="A1743" i="20"/>
  <c r="C1743" i="20"/>
  <c r="F1743" i="20" s="1"/>
  <c r="D1743" i="20"/>
  <c r="C1744" i="20"/>
  <c r="F1744" i="20" s="1"/>
  <c r="D1744" i="20"/>
  <c r="A972" i="20"/>
  <c r="B972" i="20"/>
  <c r="C972" i="20"/>
  <c r="F972" i="20" s="1"/>
  <c r="D972" i="20"/>
  <c r="G972" i="20"/>
  <c r="H972" i="20"/>
  <c r="A973" i="20"/>
  <c r="B973" i="20"/>
  <c r="C973" i="20"/>
  <c r="F973" i="20" s="1"/>
  <c r="G973" i="20"/>
  <c r="H973" i="20"/>
  <c r="A974" i="20"/>
  <c r="B974" i="20"/>
  <c r="C974" i="20"/>
  <c r="F974" i="20" s="1"/>
  <c r="D974" i="20"/>
  <c r="G974" i="20"/>
  <c r="H974" i="20"/>
  <c r="A975" i="20"/>
  <c r="B975" i="20"/>
  <c r="C975" i="20"/>
  <c r="F975" i="20" s="1"/>
  <c r="D975" i="20"/>
  <c r="G975" i="20"/>
  <c r="H975" i="20"/>
  <c r="A976" i="20"/>
  <c r="B976" i="20"/>
  <c r="C976" i="20"/>
  <c r="F976" i="20" s="1"/>
  <c r="G976" i="20"/>
  <c r="H976" i="20"/>
  <c r="A1747" i="20"/>
  <c r="C1747" i="20"/>
  <c r="F1747" i="20" s="1"/>
  <c r="D1747" i="20"/>
  <c r="C1748" i="20"/>
  <c r="F1748" i="20" s="1"/>
  <c r="D1748" i="20"/>
  <c r="A977" i="20"/>
  <c r="B977" i="20"/>
  <c r="C977" i="20"/>
  <c r="F977" i="20" s="1"/>
  <c r="D977" i="20"/>
  <c r="G977" i="20"/>
  <c r="H977" i="20"/>
  <c r="A978" i="20"/>
  <c r="B978" i="20"/>
  <c r="C978" i="20"/>
  <c r="F978" i="20" s="1"/>
  <c r="G978" i="20"/>
  <c r="H978" i="20"/>
  <c r="A979" i="20"/>
  <c r="B979" i="20"/>
  <c r="C979" i="20"/>
  <c r="F979" i="20" s="1"/>
  <c r="D979" i="20"/>
  <c r="G979" i="20"/>
  <c r="H979" i="20"/>
  <c r="A980" i="20"/>
  <c r="B980" i="20"/>
  <c r="C980" i="20"/>
  <c r="F980" i="20" s="1"/>
  <c r="D980" i="20"/>
  <c r="G980" i="20"/>
  <c r="H980" i="20"/>
  <c r="A981" i="20"/>
  <c r="B981" i="20"/>
  <c r="C981" i="20"/>
  <c r="F981" i="20" s="1"/>
  <c r="G981" i="20"/>
  <c r="H981" i="20"/>
  <c r="A1751" i="20"/>
  <c r="C1751" i="20"/>
  <c r="F1751" i="20" s="1"/>
  <c r="D1751" i="20"/>
  <c r="C1752" i="20"/>
  <c r="F1752" i="20" s="1"/>
  <c r="D1752" i="20"/>
  <c r="A982" i="20"/>
  <c r="B982" i="20"/>
  <c r="C982" i="20"/>
  <c r="F982" i="20" s="1"/>
  <c r="D982" i="20"/>
  <c r="G982" i="20"/>
  <c r="H982" i="20"/>
  <c r="A983" i="20"/>
  <c r="B983" i="20"/>
  <c r="C983" i="20"/>
  <c r="F983" i="20" s="1"/>
  <c r="G983" i="20"/>
  <c r="H983" i="20"/>
  <c r="A984" i="20"/>
  <c r="B984" i="20"/>
  <c r="C984" i="20"/>
  <c r="F984" i="20" s="1"/>
  <c r="D984" i="20"/>
  <c r="G984" i="20"/>
  <c r="H984" i="20"/>
  <c r="A985" i="20"/>
  <c r="B985" i="20"/>
  <c r="C985" i="20"/>
  <c r="F985" i="20" s="1"/>
  <c r="D985" i="20"/>
  <c r="G985" i="20"/>
  <c r="H985" i="20"/>
  <c r="A986" i="20"/>
  <c r="B986" i="20"/>
  <c r="C986" i="20"/>
  <c r="F986" i="20" s="1"/>
  <c r="G986" i="20"/>
  <c r="H986" i="20"/>
  <c r="A1755" i="20"/>
  <c r="C1755" i="20"/>
  <c r="F1755" i="20" s="1"/>
  <c r="D1755" i="20"/>
  <c r="C1756" i="20"/>
  <c r="F1756" i="20" s="1"/>
  <c r="D1756" i="20"/>
  <c r="A987" i="20"/>
  <c r="B987" i="20"/>
  <c r="C987" i="20"/>
  <c r="F987" i="20" s="1"/>
  <c r="D987" i="20"/>
  <c r="G987" i="20"/>
  <c r="H987" i="20"/>
  <c r="A988" i="20"/>
  <c r="B988" i="20"/>
  <c r="C988" i="20"/>
  <c r="F988" i="20" s="1"/>
  <c r="G988" i="20"/>
  <c r="H988" i="20"/>
  <c r="A989" i="20"/>
  <c r="B989" i="20"/>
  <c r="C989" i="20"/>
  <c r="F989" i="20" s="1"/>
  <c r="D989" i="20"/>
  <c r="G989" i="20"/>
  <c r="H989" i="20"/>
  <c r="A990" i="20"/>
  <c r="B990" i="20"/>
  <c r="C990" i="20"/>
  <c r="F990" i="20" s="1"/>
  <c r="D990" i="20"/>
  <c r="G990" i="20"/>
  <c r="H990" i="20"/>
  <c r="A991" i="20"/>
  <c r="B991" i="20"/>
  <c r="C991" i="20"/>
  <c r="F991" i="20" s="1"/>
  <c r="G991" i="20"/>
  <c r="H991" i="20"/>
  <c r="A1759" i="20"/>
  <c r="C1759" i="20"/>
  <c r="F1759" i="20" s="1"/>
  <c r="D1759" i="20"/>
  <c r="C1760" i="20"/>
  <c r="F1760" i="20" s="1"/>
  <c r="D1760" i="20"/>
  <c r="A992" i="20"/>
  <c r="B992" i="20"/>
  <c r="C992" i="20"/>
  <c r="F992" i="20" s="1"/>
  <c r="D992" i="20"/>
  <c r="G992" i="20"/>
  <c r="H992" i="20"/>
  <c r="A993" i="20"/>
  <c r="B993" i="20"/>
  <c r="C993" i="20"/>
  <c r="F993" i="20" s="1"/>
  <c r="G993" i="20"/>
  <c r="H993" i="20"/>
  <c r="A994" i="20"/>
  <c r="B994" i="20"/>
  <c r="C994" i="20"/>
  <c r="F994" i="20" s="1"/>
  <c r="D994" i="20"/>
  <c r="G994" i="20"/>
  <c r="H994" i="20"/>
  <c r="A995" i="20"/>
  <c r="B995" i="20"/>
  <c r="C995" i="20"/>
  <c r="F995" i="20" s="1"/>
  <c r="D995" i="20"/>
  <c r="G995" i="20"/>
  <c r="H995" i="20"/>
  <c r="A996" i="20"/>
  <c r="B996" i="20"/>
  <c r="C996" i="20"/>
  <c r="F996" i="20" s="1"/>
  <c r="G996" i="20"/>
  <c r="H996" i="20"/>
  <c r="A1763" i="20"/>
  <c r="C1763" i="20"/>
  <c r="F1763" i="20" s="1"/>
  <c r="D1763" i="20"/>
  <c r="C1764" i="20"/>
  <c r="F1764" i="20" s="1"/>
  <c r="D1764" i="20"/>
  <c r="A997" i="20"/>
  <c r="B997" i="20"/>
  <c r="C997" i="20"/>
  <c r="F997" i="20" s="1"/>
  <c r="D997" i="20"/>
  <c r="G997" i="20"/>
  <c r="H997" i="20"/>
  <c r="A998" i="20"/>
  <c r="B998" i="20"/>
  <c r="C998" i="20"/>
  <c r="F998" i="20" s="1"/>
  <c r="G998" i="20"/>
  <c r="H998" i="20"/>
  <c r="A999" i="20"/>
  <c r="B999" i="20"/>
  <c r="C999" i="20"/>
  <c r="F999" i="20" s="1"/>
  <c r="D999" i="20"/>
  <c r="G999" i="20"/>
  <c r="H999" i="20"/>
  <c r="A1000" i="20"/>
  <c r="B1000" i="20"/>
  <c r="C1000" i="20"/>
  <c r="F1000" i="20" s="1"/>
  <c r="D1000" i="20"/>
  <c r="G1000" i="20"/>
  <c r="H1000" i="20"/>
  <c r="A1001" i="20"/>
  <c r="B1001" i="20"/>
  <c r="C1001" i="20"/>
  <c r="F1001" i="20" s="1"/>
  <c r="G1001" i="20"/>
  <c r="H1001" i="20"/>
  <c r="A1767" i="20"/>
  <c r="C1767" i="20"/>
  <c r="F1767" i="20" s="1"/>
  <c r="D1767" i="20"/>
  <c r="C1768" i="20"/>
  <c r="F1768" i="20" s="1"/>
  <c r="D1768" i="20"/>
  <c r="A1002" i="20"/>
  <c r="B1002" i="20"/>
  <c r="C1002" i="20"/>
  <c r="F1002" i="20" s="1"/>
  <c r="D1002" i="20"/>
  <c r="G1002" i="20"/>
  <c r="H1002" i="20"/>
  <c r="A1003" i="20"/>
  <c r="B1003" i="20"/>
  <c r="C1003" i="20"/>
  <c r="F1003" i="20" s="1"/>
  <c r="G1003" i="20"/>
  <c r="H1003" i="20"/>
  <c r="A1004" i="20"/>
  <c r="B1004" i="20"/>
  <c r="C1004" i="20"/>
  <c r="D1004" i="20"/>
  <c r="F1004" i="20"/>
  <c r="G1004" i="20"/>
  <c r="H1004" i="20"/>
  <c r="A1005" i="20"/>
  <c r="B1005" i="20"/>
  <c r="C1005" i="20"/>
  <c r="F1005" i="20" s="1"/>
  <c r="D1005" i="20"/>
  <c r="G1005" i="20"/>
  <c r="H1005" i="20"/>
  <c r="A1006" i="20"/>
  <c r="B1006" i="20"/>
  <c r="C1006" i="20"/>
  <c r="F1006" i="20" s="1"/>
  <c r="G1006" i="20"/>
  <c r="H1006" i="20"/>
  <c r="A1771" i="20"/>
  <c r="C1771" i="20"/>
  <c r="F1771" i="20" s="1"/>
  <c r="D1771" i="20"/>
  <c r="C1772" i="20"/>
  <c r="F1772" i="20" s="1"/>
  <c r="D1772" i="20"/>
  <c r="A1007" i="20"/>
  <c r="B1007" i="20"/>
  <c r="C1007" i="20"/>
  <c r="F1007" i="20" s="1"/>
  <c r="D1007" i="20"/>
  <c r="G1007" i="20"/>
  <c r="H1007" i="20"/>
  <c r="A1008" i="20"/>
  <c r="B1008" i="20"/>
  <c r="C1008" i="20"/>
  <c r="F1008" i="20" s="1"/>
  <c r="G1008" i="20"/>
  <c r="H1008" i="20"/>
  <c r="A1009" i="20"/>
  <c r="B1009" i="20"/>
  <c r="C1009" i="20"/>
  <c r="F1009" i="20" s="1"/>
  <c r="D1009" i="20"/>
  <c r="G1009" i="20"/>
  <c r="H1009" i="20"/>
  <c r="A1010" i="20"/>
  <c r="B1010" i="20"/>
  <c r="C1010" i="20"/>
  <c r="F1010" i="20" s="1"/>
  <c r="D1010" i="20"/>
  <c r="G1010" i="20"/>
  <c r="H1010" i="20"/>
  <c r="A1011" i="20"/>
  <c r="B1011" i="20"/>
  <c r="C1011" i="20"/>
  <c r="F1011" i="20" s="1"/>
  <c r="G1011" i="20"/>
  <c r="H1011" i="20"/>
  <c r="A1775" i="20"/>
  <c r="C1775" i="20"/>
  <c r="F1775" i="20" s="1"/>
  <c r="D1775" i="20"/>
  <c r="C1776" i="20"/>
  <c r="F1776" i="20" s="1"/>
  <c r="D1776" i="20"/>
  <c r="A1012" i="20"/>
  <c r="B1012" i="20"/>
  <c r="C1012" i="20"/>
  <c r="F1012" i="20" s="1"/>
  <c r="D1012" i="20"/>
  <c r="G1012" i="20"/>
  <c r="H1012" i="20"/>
  <c r="A1013" i="20"/>
  <c r="B1013" i="20"/>
  <c r="C1013" i="20"/>
  <c r="F1013" i="20" s="1"/>
  <c r="G1013" i="20"/>
  <c r="H1013" i="20"/>
  <c r="A1014" i="20"/>
  <c r="B1014" i="20"/>
  <c r="C1014" i="20"/>
  <c r="F1014" i="20" s="1"/>
  <c r="D1014" i="20"/>
  <c r="G1014" i="20"/>
  <c r="H1014" i="20"/>
  <c r="A1015" i="20"/>
  <c r="B1015" i="20"/>
  <c r="C1015" i="20"/>
  <c r="F1015" i="20" s="1"/>
  <c r="D1015" i="20"/>
  <c r="G1015" i="20"/>
  <c r="H1015" i="20"/>
  <c r="A1016" i="20"/>
  <c r="B1016" i="20"/>
  <c r="C1016" i="20"/>
  <c r="F1016" i="20" s="1"/>
  <c r="G1016" i="20"/>
  <c r="H1016" i="20"/>
  <c r="A1779" i="20"/>
  <c r="C1779" i="20"/>
  <c r="F1779" i="20" s="1"/>
  <c r="D1779" i="20"/>
  <c r="C1780" i="20"/>
  <c r="F1780" i="20" s="1"/>
  <c r="D1780" i="20"/>
  <c r="A1017" i="20"/>
  <c r="B1017" i="20"/>
  <c r="C1017" i="20"/>
  <c r="F1017" i="20" s="1"/>
  <c r="D1017" i="20"/>
  <c r="G1017" i="20"/>
  <c r="H1017" i="20"/>
  <c r="A1018" i="20"/>
  <c r="B1018" i="20"/>
  <c r="C1018" i="20"/>
  <c r="F1018" i="20" s="1"/>
  <c r="G1018" i="20"/>
  <c r="H1018" i="20"/>
  <c r="A1019" i="20"/>
  <c r="B1019" i="20"/>
  <c r="C1019" i="20"/>
  <c r="F1019" i="20" s="1"/>
  <c r="D1019" i="20"/>
  <c r="G1019" i="20"/>
  <c r="H1019" i="20"/>
  <c r="A1020" i="20"/>
  <c r="B1020" i="20"/>
  <c r="C1020" i="20"/>
  <c r="F1020" i="20" s="1"/>
  <c r="D1020" i="20"/>
  <c r="G1020" i="20"/>
  <c r="H1020" i="20"/>
  <c r="A1021" i="20"/>
  <c r="B1021" i="20"/>
  <c r="C1021" i="20"/>
  <c r="F1021" i="20" s="1"/>
  <c r="G1021" i="20"/>
  <c r="H1021" i="20"/>
  <c r="A1784" i="20"/>
  <c r="C1784" i="20"/>
  <c r="F1784" i="20" s="1"/>
  <c r="D1784" i="20"/>
  <c r="C1785" i="20"/>
  <c r="F1785" i="20" s="1"/>
  <c r="D1785" i="20"/>
  <c r="C1786" i="20"/>
  <c r="F1786" i="20" s="1"/>
  <c r="D1786" i="20"/>
  <c r="A1022" i="20"/>
  <c r="B1022" i="20"/>
  <c r="C1022" i="20"/>
  <c r="F1022" i="20" s="1"/>
  <c r="D1022" i="20"/>
  <c r="G1022" i="20"/>
  <c r="H1022" i="20"/>
  <c r="A1023" i="20"/>
  <c r="B1023" i="20"/>
  <c r="C1023" i="20"/>
  <c r="F1023" i="20" s="1"/>
  <c r="G1023" i="20"/>
  <c r="H1023" i="20"/>
  <c r="A1024" i="20"/>
  <c r="B1024" i="20"/>
  <c r="C1024" i="20"/>
  <c r="F1024" i="20" s="1"/>
  <c r="D1024" i="20"/>
  <c r="G1024" i="20"/>
  <c r="H1024" i="20"/>
  <c r="A1025" i="20"/>
  <c r="B1025" i="20"/>
  <c r="C1025" i="20"/>
  <c r="F1025" i="20" s="1"/>
  <c r="D1025" i="20"/>
  <c r="G1025" i="20"/>
  <c r="H1025" i="20"/>
  <c r="A1026" i="20"/>
  <c r="B1026" i="20"/>
  <c r="C1026" i="20"/>
  <c r="F1026" i="20" s="1"/>
  <c r="G1026" i="20"/>
  <c r="H1026" i="20"/>
  <c r="A1789" i="20"/>
  <c r="C1789" i="20"/>
  <c r="F1789" i="20" s="1"/>
  <c r="D1789" i="20"/>
  <c r="C1790" i="20"/>
  <c r="F1790" i="20" s="1"/>
  <c r="D1790" i="20"/>
  <c r="A1027" i="20"/>
  <c r="B1027" i="20"/>
  <c r="C1027" i="20"/>
  <c r="F1027" i="20" s="1"/>
  <c r="D1027" i="20"/>
  <c r="G1027" i="20"/>
  <c r="H1027" i="20"/>
  <c r="A1028" i="20"/>
  <c r="B1028" i="20"/>
  <c r="C1028" i="20"/>
  <c r="F1028" i="20" s="1"/>
  <c r="G1028" i="20"/>
  <c r="H1028" i="20"/>
  <c r="A1029" i="20"/>
  <c r="B1029" i="20"/>
  <c r="C1029" i="20"/>
  <c r="F1029" i="20" s="1"/>
  <c r="D1029" i="20"/>
  <c r="G1029" i="20"/>
  <c r="H1029" i="20"/>
  <c r="A1030" i="20"/>
  <c r="B1030" i="20"/>
  <c r="C1030" i="20"/>
  <c r="F1030" i="20" s="1"/>
  <c r="D1030" i="20"/>
  <c r="G1030" i="20"/>
  <c r="H1030" i="20"/>
  <c r="A1031" i="20"/>
  <c r="B1031" i="20"/>
  <c r="C1031" i="20"/>
  <c r="F1031" i="20" s="1"/>
  <c r="G1031" i="20"/>
  <c r="H1031" i="20"/>
  <c r="A1793" i="20"/>
  <c r="C1793" i="20"/>
  <c r="F1793" i="20" s="1"/>
  <c r="D1793" i="20"/>
  <c r="C1794" i="20"/>
  <c r="F1794" i="20" s="1"/>
  <c r="D1794" i="20"/>
  <c r="A1032" i="20"/>
  <c r="B1032" i="20"/>
  <c r="C1032" i="20"/>
  <c r="F1032" i="20" s="1"/>
  <c r="D1032" i="20"/>
  <c r="G1032" i="20"/>
  <c r="H1032" i="20"/>
  <c r="A1033" i="20"/>
  <c r="B1033" i="20"/>
  <c r="C1033" i="20"/>
  <c r="F1033" i="20" s="1"/>
  <c r="G1033" i="20"/>
  <c r="H1033" i="20"/>
  <c r="A1034" i="20"/>
  <c r="B1034" i="20"/>
  <c r="C1034" i="20"/>
  <c r="F1034" i="20" s="1"/>
  <c r="D1034" i="20"/>
  <c r="G1034" i="20"/>
  <c r="H1034" i="20"/>
  <c r="A1035" i="20"/>
  <c r="B1035" i="20"/>
  <c r="C1035" i="20"/>
  <c r="F1035" i="20" s="1"/>
  <c r="D1035" i="20"/>
  <c r="G1035" i="20"/>
  <c r="H1035" i="20"/>
  <c r="A1036" i="20"/>
  <c r="B1036" i="20"/>
  <c r="C1036" i="20"/>
  <c r="F1036" i="20" s="1"/>
  <c r="G1036" i="20"/>
  <c r="H1036" i="20"/>
  <c r="A1798" i="20"/>
  <c r="C1798" i="20"/>
  <c r="F1798" i="20" s="1"/>
  <c r="D1798" i="20"/>
  <c r="C1799" i="20"/>
  <c r="F1799" i="20" s="1"/>
  <c r="D1799" i="20"/>
  <c r="C1800" i="20"/>
  <c r="F1800" i="20" s="1"/>
  <c r="D1800" i="20"/>
  <c r="A1037" i="20"/>
  <c r="B1037" i="20"/>
  <c r="C1037" i="20"/>
  <c r="F1037" i="20" s="1"/>
  <c r="D1037" i="20"/>
  <c r="G1037" i="20"/>
  <c r="H1037" i="20"/>
  <c r="A1038" i="20"/>
  <c r="B1038" i="20"/>
  <c r="C1038" i="20"/>
  <c r="F1038" i="20" s="1"/>
  <c r="G1038" i="20"/>
  <c r="H1038" i="20"/>
  <c r="A1039" i="20"/>
  <c r="B1039" i="20"/>
  <c r="C1039" i="20"/>
  <c r="F1039" i="20" s="1"/>
  <c r="D1039" i="20"/>
  <c r="G1039" i="20"/>
  <c r="H1039" i="20"/>
  <c r="A1040" i="20"/>
  <c r="B1040" i="20"/>
  <c r="C1040" i="20"/>
  <c r="F1040" i="20" s="1"/>
  <c r="D1040" i="20"/>
  <c r="G1040" i="20"/>
  <c r="H1040" i="20"/>
  <c r="A1041" i="20"/>
  <c r="B1041" i="20"/>
  <c r="C1041" i="20"/>
  <c r="F1041" i="20" s="1"/>
  <c r="G1041" i="20"/>
  <c r="H1041" i="20"/>
  <c r="A1803" i="20"/>
  <c r="C1803" i="20"/>
  <c r="F1803" i="20" s="1"/>
  <c r="D1803" i="20"/>
  <c r="C1804" i="20"/>
  <c r="F1804" i="20" s="1"/>
  <c r="D1804" i="20"/>
  <c r="A1042" i="20"/>
  <c r="B1042" i="20"/>
  <c r="C1042" i="20"/>
  <c r="F1042" i="20" s="1"/>
  <c r="D1042" i="20"/>
  <c r="G1042" i="20"/>
  <c r="H1042" i="20"/>
  <c r="A1043" i="20"/>
  <c r="B1043" i="20"/>
  <c r="C1043" i="20"/>
  <c r="F1043" i="20" s="1"/>
  <c r="G1043" i="20"/>
  <c r="H1043" i="20"/>
  <c r="A1044" i="20"/>
  <c r="B1044" i="20"/>
  <c r="C1044" i="20"/>
  <c r="F1044" i="20" s="1"/>
  <c r="D1044" i="20"/>
  <c r="G1044" i="20"/>
  <c r="H1044" i="20"/>
  <c r="A1045" i="20"/>
  <c r="B1045" i="20"/>
  <c r="C1045" i="20"/>
  <c r="F1045" i="20" s="1"/>
  <c r="D1045" i="20"/>
  <c r="G1045" i="20"/>
  <c r="H1045" i="20"/>
  <c r="A1046" i="20"/>
  <c r="B1046" i="20"/>
  <c r="C1046" i="20"/>
  <c r="F1046" i="20" s="1"/>
  <c r="G1046" i="20"/>
  <c r="H1046" i="20"/>
  <c r="A1810" i="20"/>
  <c r="C1810" i="20"/>
  <c r="F1810" i="20" s="1"/>
  <c r="D1810" i="20"/>
  <c r="C1811" i="20"/>
  <c r="F1811" i="20" s="1"/>
  <c r="D1811" i="20"/>
  <c r="C1812" i="20"/>
  <c r="F1812" i="20" s="1"/>
  <c r="D1812" i="20"/>
  <c r="C1813" i="20"/>
  <c r="F1813" i="20" s="1"/>
  <c r="D1813" i="20"/>
  <c r="C1814" i="20"/>
  <c r="F1814" i="20" s="1"/>
  <c r="D1814" i="20"/>
  <c r="A1047" i="20"/>
  <c r="B1047" i="20"/>
  <c r="C1047" i="20"/>
  <c r="F1047" i="20" s="1"/>
  <c r="D1047" i="20"/>
  <c r="G1047" i="20"/>
  <c r="H1047" i="20"/>
  <c r="A1048" i="20"/>
  <c r="B1048" i="20"/>
  <c r="C1048" i="20"/>
  <c r="F1048" i="20" s="1"/>
  <c r="G1048" i="20"/>
  <c r="H1048" i="20"/>
  <c r="A1049" i="20"/>
  <c r="B1049" i="20"/>
  <c r="C1049" i="20"/>
  <c r="F1049" i="20" s="1"/>
  <c r="D1049" i="20"/>
  <c r="G1049" i="20"/>
  <c r="H1049" i="20"/>
  <c r="A1050" i="20"/>
  <c r="B1050" i="20"/>
  <c r="C1050" i="20"/>
  <c r="F1050" i="20" s="1"/>
  <c r="D1050" i="20"/>
  <c r="G1050" i="20"/>
  <c r="H1050" i="20"/>
  <c r="A1051" i="20"/>
  <c r="B1051" i="20"/>
  <c r="C1051" i="20"/>
  <c r="F1051" i="20" s="1"/>
  <c r="G1051" i="20"/>
  <c r="H1051" i="20"/>
  <c r="A1817" i="20"/>
  <c r="C1817" i="20"/>
  <c r="F1817" i="20" s="1"/>
  <c r="D1817" i="20"/>
  <c r="C1818" i="20"/>
  <c r="F1818" i="20" s="1"/>
  <c r="D1818" i="20"/>
  <c r="A1052" i="20"/>
  <c r="B1052" i="20"/>
  <c r="C1052" i="20"/>
  <c r="F1052" i="20" s="1"/>
  <c r="D1052" i="20"/>
  <c r="G1052" i="20"/>
  <c r="H1052" i="20"/>
  <c r="A1053" i="20"/>
  <c r="B1053" i="20"/>
  <c r="C1053" i="20"/>
  <c r="F1053" i="20" s="1"/>
  <c r="G1053" i="20"/>
  <c r="H1053" i="20"/>
  <c r="A1054" i="20"/>
  <c r="B1054" i="20"/>
  <c r="C1054" i="20"/>
  <c r="F1054" i="20" s="1"/>
  <c r="D1054" i="20"/>
  <c r="G1054" i="20"/>
  <c r="H1054" i="20"/>
  <c r="A1055" i="20"/>
  <c r="B1055" i="20"/>
  <c r="C1055" i="20"/>
  <c r="F1055" i="20" s="1"/>
  <c r="D1055" i="20"/>
  <c r="G1055" i="20"/>
  <c r="H1055" i="20"/>
  <c r="A1056" i="20"/>
  <c r="B1056" i="20"/>
  <c r="C1056" i="20"/>
  <c r="F1056" i="20" s="1"/>
  <c r="G1056" i="20"/>
  <c r="H1056" i="20"/>
  <c r="A1821" i="20"/>
  <c r="C1821" i="20"/>
  <c r="F1821" i="20" s="1"/>
  <c r="D1821" i="20"/>
  <c r="C1822" i="20"/>
  <c r="F1822" i="20" s="1"/>
  <c r="D1822" i="20"/>
  <c r="A1057" i="20"/>
  <c r="B1057" i="20"/>
  <c r="C1057" i="20"/>
  <c r="D1057" i="20"/>
  <c r="F1057" i="20"/>
  <c r="G1057" i="20"/>
  <c r="H1057" i="20"/>
  <c r="A1058" i="20"/>
  <c r="B1058" i="20"/>
  <c r="C1058" i="20"/>
  <c r="F1058" i="20" s="1"/>
  <c r="G1058" i="20"/>
  <c r="H1058" i="20"/>
  <c r="A1059" i="20"/>
  <c r="B1059" i="20"/>
  <c r="C1059" i="20"/>
  <c r="F1059" i="20" s="1"/>
  <c r="D1059" i="20"/>
  <c r="G1059" i="20"/>
  <c r="H1059" i="20"/>
  <c r="A1060" i="20"/>
  <c r="B1060" i="20"/>
  <c r="C1060" i="20"/>
  <c r="F1060" i="20" s="1"/>
  <c r="D1060" i="20"/>
  <c r="G1060" i="20"/>
  <c r="H1060" i="20"/>
  <c r="A1061" i="20"/>
  <c r="B1061" i="20"/>
  <c r="C1061" i="20"/>
  <c r="F1061" i="20" s="1"/>
  <c r="G1061" i="20"/>
  <c r="H1061" i="20"/>
  <c r="A1825" i="20"/>
  <c r="C1825" i="20"/>
  <c r="F1825" i="20" s="1"/>
  <c r="D1825" i="20"/>
  <c r="C1826" i="20"/>
  <c r="F1826" i="20" s="1"/>
  <c r="D1826" i="20"/>
  <c r="A1062" i="20"/>
  <c r="B1062" i="20"/>
  <c r="C1062" i="20"/>
  <c r="F1062" i="20" s="1"/>
  <c r="D1062" i="20"/>
  <c r="G1062" i="20"/>
  <c r="H1062" i="20"/>
  <c r="A1063" i="20"/>
  <c r="B1063" i="20"/>
  <c r="C1063" i="20"/>
  <c r="F1063" i="20" s="1"/>
  <c r="G1063" i="20"/>
  <c r="H1063" i="20"/>
  <c r="A1064" i="20"/>
  <c r="B1064" i="20"/>
  <c r="C1064" i="20"/>
  <c r="F1064" i="20" s="1"/>
  <c r="D1064" i="20"/>
  <c r="G1064" i="20"/>
  <c r="H1064" i="20"/>
  <c r="A1065" i="20"/>
  <c r="B1065" i="20"/>
  <c r="C1065" i="20"/>
  <c r="F1065" i="20" s="1"/>
  <c r="D1065" i="20"/>
  <c r="G1065" i="20"/>
  <c r="H1065" i="20"/>
  <c r="A1066" i="20"/>
  <c r="B1066" i="20"/>
  <c r="C1066" i="20"/>
  <c r="F1066" i="20" s="1"/>
  <c r="G1066" i="20"/>
  <c r="H1066" i="20"/>
  <c r="A1829" i="20"/>
  <c r="C1829" i="20"/>
  <c r="F1829" i="20" s="1"/>
  <c r="D1829" i="20"/>
  <c r="C1830" i="20"/>
  <c r="F1830" i="20" s="1"/>
  <c r="D1830" i="20"/>
  <c r="A1067" i="20"/>
  <c r="B1067" i="20"/>
  <c r="C1067" i="20"/>
  <c r="F1067" i="20" s="1"/>
  <c r="D1067" i="20"/>
  <c r="G1067" i="20"/>
  <c r="H1067" i="20"/>
  <c r="A1068" i="20"/>
  <c r="B1068" i="20"/>
  <c r="C1068" i="20"/>
  <c r="F1068" i="20" s="1"/>
  <c r="G1068" i="20"/>
  <c r="H1068" i="20"/>
  <c r="A1069" i="20"/>
  <c r="B1069" i="20"/>
  <c r="C1069" i="20"/>
  <c r="F1069" i="20" s="1"/>
  <c r="D1069" i="20"/>
  <c r="G1069" i="20"/>
  <c r="H1069" i="20"/>
  <c r="A1070" i="20"/>
  <c r="B1070" i="20"/>
  <c r="C1070" i="20"/>
  <c r="F1070" i="20" s="1"/>
  <c r="D1070" i="20"/>
  <c r="G1070" i="20"/>
  <c r="H1070" i="20"/>
  <c r="A1071" i="20"/>
  <c r="B1071" i="20"/>
  <c r="C1071" i="20"/>
  <c r="F1071" i="20" s="1"/>
  <c r="G1071" i="20"/>
  <c r="H1071" i="20"/>
  <c r="A1833" i="20"/>
  <c r="C1833" i="20"/>
  <c r="F1833" i="20" s="1"/>
  <c r="D1833" i="20"/>
  <c r="C1834" i="20"/>
  <c r="F1834" i="20" s="1"/>
  <c r="D1834" i="20"/>
  <c r="A1072" i="20"/>
  <c r="B1072" i="20"/>
  <c r="C1072" i="20"/>
  <c r="F1072" i="20" s="1"/>
  <c r="D1072" i="20"/>
  <c r="G1072" i="20"/>
  <c r="H1072" i="20"/>
  <c r="A1073" i="20"/>
  <c r="B1073" i="20"/>
  <c r="C1073" i="20"/>
  <c r="F1073" i="20" s="1"/>
  <c r="G1073" i="20"/>
  <c r="H1073" i="20"/>
  <c r="A1074" i="20"/>
  <c r="B1074" i="20"/>
  <c r="C1074" i="20"/>
  <c r="F1074" i="20" s="1"/>
  <c r="D1074" i="20"/>
  <c r="G1074" i="20"/>
  <c r="H1074" i="20"/>
  <c r="A1075" i="20"/>
  <c r="B1075" i="20"/>
  <c r="C1075" i="20"/>
  <c r="F1075" i="20" s="1"/>
  <c r="D1075" i="20"/>
  <c r="G1075" i="20"/>
  <c r="H1075" i="20"/>
  <c r="A1076" i="20"/>
  <c r="B1076" i="20"/>
  <c r="C1076" i="20"/>
  <c r="F1076" i="20" s="1"/>
  <c r="G1076" i="20"/>
  <c r="H1076" i="20"/>
  <c r="A1837" i="20"/>
  <c r="C1837" i="20"/>
  <c r="F1837" i="20" s="1"/>
  <c r="D1837" i="20"/>
  <c r="C1838" i="20"/>
  <c r="F1838" i="20" s="1"/>
  <c r="D1838" i="20"/>
  <c r="A1077" i="20"/>
  <c r="B1077" i="20"/>
  <c r="C1077" i="20"/>
  <c r="F1077" i="20" s="1"/>
  <c r="D1077" i="20"/>
  <c r="G1077" i="20"/>
  <c r="H1077" i="20"/>
  <c r="A1078" i="20"/>
  <c r="B1078" i="20"/>
  <c r="C1078" i="20"/>
  <c r="F1078" i="20" s="1"/>
  <c r="G1078" i="20"/>
  <c r="H1078" i="20"/>
  <c r="A1079" i="20"/>
  <c r="B1079" i="20"/>
  <c r="C1079" i="20"/>
  <c r="D1079" i="20"/>
  <c r="F1079" i="20"/>
  <c r="G1079" i="20"/>
  <c r="H1079" i="20"/>
  <c r="A1080" i="20"/>
  <c r="B1080" i="20"/>
  <c r="C1080" i="20"/>
  <c r="F1080" i="20" s="1"/>
  <c r="D1080" i="20"/>
  <c r="G1080" i="20"/>
  <c r="H1080" i="20"/>
  <c r="A1081" i="20"/>
  <c r="B1081" i="20"/>
  <c r="C1081" i="20"/>
  <c r="F1081" i="20" s="1"/>
  <c r="G1081" i="20"/>
  <c r="H1081" i="20"/>
  <c r="A1841" i="20"/>
  <c r="C1841" i="20"/>
  <c r="F1841" i="20" s="1"/>
  <c r="D1841" i="20"/>
  <c r="C1842" i="20"/>
  <c r="F1842" i="20" s="1"/>
  <c r="D1842" i="20"/>
  <c r="A1082" i="20"/>
  <c r="B1082" i="20"/>
  <c r="C1082" i="20"/>
  <c r="F1082" i="20" s="1"/>
  <c r="D1082" i="20"/>
  <c r="G1082" i="20"/>
  <c r="H1082" i="20"/>
  <c r="A1083" i="20"/>
  <c r="B1083" i="20"/>
  <c r="C1083" i="20"/>
  <c r="F1083" i="20"/>
  <c r="G1083" i="20"/>
  <c r="H1083" i="20"/>
  <c r="A1084" i="20"/>
  <c r="B1084" i="20"/>
  <c r="C1084" i="20"/>
  <c r="F1084" i="20" s="1"/>
  <c r="D1084" i="20"/>
  <c r="G1084" i="20"/>
  <c r="H1084" i="20"/>
  <c r="A1085" i="20"/>
  <c r="B1085" i="20"/>
  <c r="C1085" i="20"/>
  <c r="F1085" i="20" s="1"/>
  <c r="D1085" i="20"/>
  <c r="G1085" i="20"/>
  <c r="H1085" i="20"/>
  <c r="A1086" i="20"/>
  <c r="B1086" i="20"/>
  <c r="C1086" i="20"/>
  <c r="F1086" i="20" s="1"/>
  <c r="G1086" i="20"/>
  <c r="H1086" i="20"/>
  <c r="A1845" i="20"/>
  <c r="C1845" i="20"/>
  <c r="F1845" i="20" s="1"/>
  <c r="C1846" i="20"/>
  <c r="F1846" i="20" s="1"/>
  <c r="D1846" i="20"/>
  <c r="A1087" i="20"/>
  <c r="B1087" i="20"/>
  <c r="C1087" i="20"/>
  <c r="F1087" i="20" s="1"/>
  <c r="D1087" i="20"/>
  <c r="G1087" i="20"/>
  <c r="H1087" i="20"/>
  <c r="A1088" i="20"/>
  <c r="B1088" i="20"/>
  <c r="C1088" i="20"/>
  <c r="F1088" i="20" s="1"/>
  <c r="G1088" i="20"/>
  <c r="H1088" i="20"/>
  <c r="A1089" i="20"/>
  <c r="B1089" i="20"/>
  <c r="C1089" i="20"/>
  <c r="F1089" i="20" s="1"/>
  <c r="D1089" i="20"/>
  <c r="G1089" i="20"/>
  <c r="H1089" i="20"/>
  <c r="A1090" i="20"/>
  <c r="B1090" i="20"/>
  <c r="C1090" i="20"/>
  <c r="F1090" i="20" s="1"/>
  <c r="D1090" i="20"/>
  <c r="G1090" i="20"/>
  <c r="H1090" i="20"/>
  <c r="A1091" i="20"/>
  <c r="B1091" i="20"/>
  <c r="C1091" i="20"/>
  <c r="F1091" i="20" s="1"/>
  <c r="G1091" i="20"/>
  <c r="H1091" i="20"/>
  <c r="A1849" i="20"/>
  <c r="C1849" i="20"/>
  <c r="F1849" i="20" s="1"/>
  <c r="D1849" i="20"/>
  <c r="C1850" i="20"/>
  <c r="F1850" i="20" s="1"/>
  <c r="D1850" i="20"/>
  <c r="A1092" i="20"/>
  <c r="B1092" i="20"/>
  <c r="C1092" i="20"/>
  <c r="F1092" i="20" s="1"/>
  <c r="D1092" i="20"/>
  <c r="G1092" i="20"/>
  <c r="H1092" i="20"/>
  <c r="A1093" i="20"/>
  <c r="B1093" i="20"/>
  <c r="C1093" i="20"/>
  <c r="F1093" i="20" s="1"/>
  <c r="G1093" i="20"/>
  <c r="H1093" i="20"/>
  <c r="A1094" i="20"/>
  <c r="B1094" i="20"/>
  <c r="C1094" i="20"/>
  <c r="F1094" i="20" s="1"/>
  <c r="D1094" i="20"/>
  <c r="G1094" i="20"/>
  <c r="H1094" i="20"/>
  <c r="A1095" i="20"/>
  <c r="B1095" i="20"/>
  <c r="C1095" i="20"/>
  <c r="F1095" i="20" s="1"/>
  <c r="D1095" i="20"/>
  <c r="G1095" i="20"/>
  <c r="H1095" i="20"/>
  <c r="A1096" i="20"/>
  <c r="B1096" i="20"/>
  <c r="C1096" i="20"/>
  <c r="F1096" i="20" s="1"/>
  <c r="G1096" i="20"/>
  <c r="H1096" i="20"/>
  <c r="A1853" i="20"/>
  <c r="C1853" i="20"/>
  <c r="D1853" i="20"/>
  <c r="C1854" i="20"/>
  <c r="D1854" i="20"/>
  <c r="A1097" i="20"/>
  <c r="B1097" i="20"/>
  <c r="C1097" i="20"/>
  <c r="F1097" i="20" s="1"/>
  <c r="D1097" i="20"/>
  <c r="G1097" i="20"/>
  <c r="H1097" i="20"/>
  <c r="A1098" i="20"/>
  <c r="B1098" i="20"/>
  <c r="C1098" i="20"/>
  <c r="F1098" i="20" s="1"/>
  <c r="G1098" i="20"/>
  <c r="H1098" i="20"/>
  <c r="A1099" i="20"/>
  <c r="B1099" i="20"/>
  <c r="C1099" i="20"/>
  <c r="F1099" i="20" s="1"/>
  <c r="D1099" i="20"/>
  <c r="G1099" i="20"/>
  <c r="H1099" i="20"/>
  <c r="A1100" i="20"/>
  <c r="B1100" i="20"/>
  <c r="C1100" i="20"/>
  <c r="F1100" i="20" s="1"/>
  <c r="D1100" i="20"/>
  <c r="G1100" i="20"/>
  <c r="H1100" i="20"/>
  <c r="A1101" i="20"/>
  <c r="B1101" i="20"/>
  <c r="C1101" i="20"/>
  <c r="F1101" i="20" s="1"/>
  <c r="G1101" i="20"/>
  <c r="H1101" i="20"/>
  <c r="A1857" i="20"/>
  <c r="C1857" i="20"/>
  <c r="F1857" i="20" s="1"/>
  <c r="D1857" i="20"/>
  <c r="C1858" i="20"/>
  <c r="F1858" i="20" s="1"/>
  <c r="D1858" i="20"/>
  <c r="A1102" i="20"/>
  <c r="B1102" i="20"/>
  <c r="C1102" i="20"/>
  <c r="F1102" i="20" s="1"/>
  <c r="D1102" i="20"/>
  <c r="G1102" i="20"/>
  <c r="H1102" i="20"/>
  <c r="A1103" i="20"/>
  <c r="B1103" i="20"/>
  <c r="C1103" i="20"/>
  <c r="F1103" i="20" s="1"/>
  <c r="G1103" i="20"/>
  <c r="H1103" i="20"/>
  <c r="A1104" i="20"/>
  <c r="B1104" i="20"/>
  <c r="C1104" i="20"/>
  <c r="F1104" i="20" s="1"/>
  <c r="D1104" i="20"/>
  <c r="G1104" i="20"/>
  <c r="H1104" i="20"/>
  <c r="A1105" i="20"/>
  <c r="B1105" i="20"/>
  <c r="C1105" i="20"/>
  <c r="F1105" i="20" s="1"/>
  <c r="D1105" i="20"/>
  <c r="G1105" i="20"/>
  <c r="H1105" i="20"/>
  <c r="A1106" i="20"/>
  <c r="B1106" i="20"/>
  <c r="C1106" i="20"/>
  <c r="F1106" i="20" s="1"/>
  <c r="G1106" i="20"/>
  <c r="H1106" i="20"/>
  <c r="A1861" i="20"/>
  <c r="C1861" i="20"/>
  <c r="D1861" i="20"/>
  <c r="C1862" i="20"/>
  <c r="F1862" i="20" s="1"/>
  <c r="D1862" i="20"/>
  <c r="A1107" i="20"/>
  <c r="B1107" i="20"/>
  <c r="C1107" i="20"/>
  <c r="F1107" i="20" s="1"/>
  <c r="D1107" i="20"/>
  <c r="G1107" i="20"/>
  <c r="H1107" i="20"/>
  <c r="A1108" i="20"/>
  <c r="B1108" i="20"/>
  <c r="C1108" i="20"/>
  <c r="F1108" i="20" s="1"/>
  <c r="G1108" i="20"/>
  <c r="H1108" i="20"/>
  <c r="A1109" i="20"/>
  <c r="B1109" i="20"/>
  <c r="C1109" i="20"/>
  <c r="F1109" i="20" s="1"/>
  <c r="D1109" i="20"/>
  <c r="G1109" i="20"/>
  <c r="H1109" i="20"/>
  <c r="A1110" i="20"/>
  <c r="B1110" i="20"/>
  <c r="C1110" i="20"/>
  <c r="F1110" i="20" s="1"/>
  <c r="D1110" i="20"/>
  <c r="G1110" i="20"/>
  <c r="H1110" i="20"/>
  <c r="A1111" i="20"/>
  <c r="B1111" i="20"/>
  <c r="C1111" i="20"/>
  <c r="F1111" i="20" s="1"/>
  <c r="G1111" i="20"/>
  <c r="H1111" i="20"/>
  <c r="A1865" i="20"/>
  <c r="C1865" i="20"/>
  <c r="F1865" i="20" s="1"/>
  <c r="D1865" i="20"/>
  <c r="C1866" i="20"/>
  <c r="F1866" i="20" s="1"/>
  <c r="D1866" i="20"/>
  <c r="A1112" i="20"/>
  <c r="B1112" i="20"/>
  <c r="C1112" i="20"/>
  <c r="F1112" i="20" s="1"/>
  <c r="D1112" i="20"/>
  <c r="G1112" i="20"/>
  <c r="H1112" i="20"/>
  <c r="A1113" i="20"/>
  <c r="B1113" i="20"/>
  <c r="C1113" i="20"/>
  <c r="F1113" i="20" s="1"/>
  <c r="G1113" i="20"/>
  <c r="H1113" i="20"/>
  <c r="A1114" i="20"/>
  <c r="B1114" i="20"/>
  <c r="C1114" i="20"/>
  <c r="F1114" i="20" s="1"/>
  <c r="D1114" i="20"/>
  <c r="G1114" i="20"/>
  <c r="H1114" i="20"/>
  <c r="A1115" i="20"/>
  <c r="B1115" i="20"/>
  <c r="C1115" i="20"/>
  <c r="F1115" i="20" s="1"/>
  <c r="D1115" i="20"/>
  <c r="G1115" i="20"/>
  <c r="H1115" i="20"/>
  <c r="A1116" i="20"/>
  <c r="B1116" i="20"/>
  <c r="C1116" i="20"/>
  <c r="F1116" i="20" s="1"/>
  <c r="G1116" i="20"/>
  <c r="H1116" i="20"/>
  <c r="A1869" i="20"/>
  <c r="C1869" i="20"/>
  <c r="F1869" i="20" s="1"/>
  <c r="D1869" i="20"/>
  <c r="C1870" i="20"/>
  <c r="F1870" i="20" s="1"/>
  <c r="D1870" i="20"/>
  <c r="A1117" i="20"/>
  <c r="B1117" i="20"/>
  <c r="C1117" i="20"/>
  <c r="F1117" i="20" s="1"/>
  <c r="D1117" i="20"/>
  <c r="G1117" i="20"/>
  <c r="H1117" i="20"/>
  <c r="A1118" i="20"/>
  <c r="B1118" i="20"/>
  <c r="C1118" i="20"/>
  <c r="F1118" i="20"/>
  <c r="G1118" i="20"/>
  <c r="H1118" i="20"/>
  <c r="A1119" i="20"/>
  <c r="B1119" i="20"/>
  <c r="C1119" i="20"/>
  <c r="F1119" i="20" s="1"/>
  <c r="D1119" i="20"/>
  <c r="G1119" i="20"/>
  <c r="H1119" i="20"/>
  <c r="A1120" i="20"/>
  <c r="B1120" i="20"/>
  <c r="C1120" i="20"/>
  <c r="F1120" i="20" s="1"/>
  <c r="D1120" i="20"/>
  <c r="G1120" i="20"/>
  <c r="H1120" i="20"/>
  <c r="A1121" i="20"/>
  <c r="B1121" i="20"/>
  <c r="C1121" i="20"/>
  <c r="F1121" i="20" s="1"/>
  <c r="G1121" i="20"/>
  <c r="H1121" i="20"/>
  <c r="A1873" i="20"/>
  <c r="C1873" i="20"/>
  <c r="F1873" i="20" s="1"/>
  <c r="D1873" i="20"/>
  <c r="C1874" i="20"/>
  <c r="F1874" i="20" s="1"/>
  <c r="D1874" i="20"/>
  <c r="A1122" i="20"/>
  <c r="B1122" i="20"/>
  <c r="C1122" i="20"/>
  <c r="F1122" i="20" s="1"/>
  <c r="D1122" i="20"/>
  <c r="G1122" i="20"/>
  <c r="H1122" i="20"/>
  <c r="A1123" i="20"/>
  <c r="B1123" i="20"/>
  <c r="C1123" i="20"/>
  <c r="F1123" i="20" s="1"/>
  <c r="G1123" i="20"/>
  <c r="H1123" i="20"/>
  <c r="A1124" i="20"/>
  <c r="B1124" i="20"/>
  <c r="C1124" i="20"/>
  <c r="F1124" i="20" s="1"/>
  <c r="D1124" i="20"/>
  <c r="G1124" i="20"/>
  <c r="H1124" i="20"/>
  <c r="A1125" i="20"/>
  <c r="B1125" i="20"/>
  <c r="C1125" i="20"/>
  <c r="F1125" i="20" s="1"/>
  <c r="D1125" i="20"/>
  <c r="G1125" i="20"/>
  <c r="H1125" i="20"/>
  <c r="A1126" i="20"/>
  <c r="B1126" i="20"/>
  <c r="C1126" i="20"/>
  <c r="F1126" i="20" s="1"/>
  <c r="G1126" i="20"/>
  <c r="H1126" i="20"/>
  <c r="A1877" i="20"/>
  <c r="C1877" i="20"/>
  <c r="F1877" i="20" s="1"/>
  <c r="D1877" i="20"/>
  <c r="C1878" i="20"/>
  <c r="F1878" i="20" s="1"/>
  <c r="D1878" i="20"/>
  <c r="A1127" i="20"/>
  <c r="B1127" i="20"/>
  <c r="C1127" i="20"/>
  <c r="F1127" i="20" s="1"/>
  <c r="D1127" i="20"/>
  <c r="G1127" i="20"/>
  <c r="H1127" i="20"/>
  <c r="A1128" i="20"/>
  <c r="B1128" i="20"/>
  <c r="C1128" i="20"/>
  <c r="F1128" i="20" s="1"/>
  <c r="G1128" i="20"/>
  <c r="H1128" i="20"/>
  <c r="A1129" i="20"/>
  <c r="B1129" i="20"/>
  <c r="C1129" i="20"/>
  <c r="F1129" i="20" s="1"/>
  <c r="D1129" i="20"/>
  <c r="G1129" i="20"/>
  <c r="H1129" i="20"/>
  <c r="A1130" i="20"/>
  <c r="B1130" i="20"/>
  <c r="C1130" i="20"/>
  <c r="F1130" i="20" s="1"/>
  <c r="D1130" i="20"/>
  <c r="G1130" i="20"/>
  <c r="H1130" i="20"/>
  <c r="A1131" i="20"/>
  <c r="B1131" i="20"/>
  <c r="C1131" i="20"/>
  <c r="F1131" i="20" s="1"/>
  <c r="G1131" i="20"/>
  <c r="H1131" i="20"/>
  <c r="A1881" i="20"/>
  <c r="C1881" i="20"/>
  <c r="F1881" i="20" s="1"/>
  <c r="D1881" i="20"/>
  <c r="C1882" i="20"/>
  <c r="F1882" i="20" s="1"/>
  <c r="D1882" i="20"/>
  <c r="A1132" i="20"/>
  <c r="B1132" i="20"/>
  <c r="C1132" i="20"/>
  <c r="F1132" i="20" s="1"/>
  <c r="D1132" i="20"/>
  <c r="G1132" i="20"/>
  <c r="H1132" i="20"/>
  <c r="A1133" i="20"/>
  <c r="B1133" i="20"/>
  <c r="C1133" i="20"/>
  <c r="F1133" i="20" s="1"/>
  <c r="G1133" i="20"/>
  <c r="H1133" i="20"/>
  <c r="A1134" i="20"/>
  <c r="B1134" i="20"/>
  <c r="C1134" i="20"/>
  <c r="F1134" i="20" s="1"/>
  <c r="D1134" i="20"/>
  <c r="G1134" i="20"/>
  <c r="H1134" i="20"/>
  <c r="A1135" i="20"/>
  <c r="B1135" i="20"/>
  <c r="C1135" i="20"/>
  <c r="F1135" i="20" s="1"/>
  <c r="D1135" i="20"/>
  <c r="G1135" i="20"/>
  <c r="H1135" i="20"/>
  <c r="A1136" i="20"/>
  <c r="B1136" i="20"/>
  <c r="C1136" i="20"/>
  <c r="F1136" i="20" s="1"/>
  <c r="G1136" i="20"/>
  <c r="H1136" i="20"/>
  <c r="A1885" i="20"/>
  <c r="C1885" i="20"/>
  <c r="F1885" i="20" s="1"/>
  <c r="D1885" i="20"/>
  <c r="C1886" i="20"/>
  <c r="F1886" i="20" s="1"/>
  <c r="D1886" i="20"/>
  <c r="A1137" i="20"/>
  <c r="B1137" i="20"/>
  <c r="C1137" i="20"/>
  <c r="F1137" i="20" s="1"/>
  <c r="D1137" i="20"/>
  <c r="G1137" i="20"/>
  <c r="H1137" i="20"/>
  <c r="A1138" i="20"/>
  <c r="B1138" i="20"/>
  <c r="C1138" i="20"/>
  <c r="F1138" i="20" s="1"/>
  <c r="G1138" i="20"/>
  <c r="H1138" i="20"/>
  <c r="A1139" i="20"/>
  <c r="B1139" i="20"/>
  <c r="C1139" i="20"/>
  <c r="F1139" i="20" s="1"/>
  <c r="D1139" i="20"/>
  <c r="G1139" i="20"/>
  <c r="H1139" i="20"/>
  <c r="A1140" i="20"/>
  <c r="B1140" i="20"/>
  <c r="C1140" i="20"/>
  <c r="F1140" i="20" s="1"/>
  <c r="D1140" i="20"/>
  <c r="G1140" i="20"/>
  <c r="H1140" i="20"/>
  <c r="A1141" i="20"/>
  <c r="B1141" i="20"/>
  <c r="C1141" i="20"/>
  <c r="F1141" i="20" s="1"/>
  <c r="G1141" i="20"/>
  <c r="H1141" i="20"/>
  <c r="A1889" i="20"/>
  <c r="C1889" i="20"/>
  <c r="F1889" i="20" s="1"/>
  <c r="D1889" i="20"/>
  <c r="C1890" i="20"/>
  <c r="F1890" i="20" s="1"/>
  <c r="D1890" i="20"/>
  <c r="A1142" i="20"/>
  <c r="B1142" i="20"/>
  <c r="C1142" i="20"/>
  <c r="F1142" i="20" s="1"/>
  <c r="D1142" i="20"/>
  <c r="G1142" i="20"/>
  <c r="H1142" i="20"/>
  <c r="A1143" i="20"/>
  <c r="B1143" i="20"/>
  <c r="C1143" i="20"/>
  <c r="F1143" i="20" s="1"/>
  <c r="G1143" i="20"/>
  <c r="H1143" i="20"/>
  <c r="A1144" i="20"/>
  <c r="B1144" i="20"/>
  <c r="C1144" i="20"/>
  <c r="F1144" i="20" s="1"/>
  <c r="D1144" i="20"/>
  <c r="G1144" i="20"/>
  <c r="H1144" i="20"/>
  <c r="A1145" i="20"/>
  <c r="B1145" i="20"/>
  <c r="C1145" i="20"/>
  <c r="F1145" i="20" s="1"/>
  <c r="D1145" i="20"/>
  <c r="G1145" i="20"/>
  <c r="H1145" i="20"/>
  <c r="A1146" i="20"/>
  <c r="B1146" i="20"/>
  <c r="C1146" i="20"/>
  <c r="F1146" i="20" s="1"/>
  <c r="G1146" i="20"/>
  <c r="H1146" i="20"/>
  <c r="A1907" i="20"/>
  <c r="C1907" i="20"/>
  <c r="F1907" i="20" s="1"/>
  <c r="D1907" i="20"/>
  <c r="C1908" i="20"/>
  <c r="F1908" i="20" s="1"/>
  <c r="D1908" i="20"/>
  <c r="C1909" i="20"/>
  <c r="F1909" i="20" s="1"/>
  <c r="D1909" i="20"/>
  <c r="C1910" i="20"/>
  <c r="F1910" i="20" s="1"/>
  <c r="D1910" i="20"/>
  <c r="C1911" i="20"/>
  <c r="F1911" i="20" s="1"/>
  <c r="D1911" i="20"/>
  <c r="C1912" i="20"/>
  <c r="F1912" i="20" s="1"/>
  <c r="D1912" i="20"/>
  <c r="C1913" i="20"/>
  <c r="F1913" i="20" s="1"/>
  <c r="D1913" i="20"/>
  <c r="C1914" i="20"/>
  <c r="F1914" i="20" s="1"/>
  <c r="D1914" i="20"/>
  <c r="C1915" i="20"/>
  <c r="F1915" i="20" s="1"/>
  <c r="D1915" i="20"/>
  <c r="C1916" i="20"/>
  <c r="F1916" i="20" s="1"/>
  <c r="D1916" i="20"/>
  <c r="C1917" i="20"/>
  <c r="F1917" i="20" s="1"/>
  <c r="D1917" i="20"/>
  <c r="C1918" i="20"/>
  <c r="F1918" i="20" s="1"/>
  <c r="D1918" i="20"/>
  <c r="C1919" i="20"/>
  <c r="F1919" i="20" s="1"/>
  <c r="D1919" i="20"/>
  <c r="C1920" i="20"/>
  <c r="F1920" i="20" s="1"/>
  <c r="D1920" i="20"/>
  <c r="C1921" i="20"/>
  <c r="F1921" i="20" s="1"/>
  <c r="D1921" i="20"/>
  <c r="C1922" i="20"/>
  <c r="F1922" i="20" s="1"/>
  <c r="D1922" i="20"/>
  <c r="A1147" i="20"/>
  <c r="B1147" i="20"/>
  <c r="C1147" i="20"/>
  <c r="F1147" i="20" s="1"/>
  <c r="D1147" i="20"/>
  <c r="G1147" i="20"/>
  <c r="H1147" i="20"/>
  <c r="A1148" i="20"/>
  <c r="B1148" i="20"/>
  <c r="C1148" i="20"/>
  <c r="F1148" i="20" s="1"/>
  <c r="G1148" i="20"/>
  <c r="H1148" i="20"/>
  <c r="A1149" i="20"/>
  <c r="B1149" i="20"/>
  <c r="C1149" i="20"/>
  <c r="F1149" i="20" s="1"/>
  <c r="D1149" i="20"/>
  <c r="G1149" i="20"/>
  <c r="H1149" i="20"/>
  <c r="A1150" i="20"/>
  <c r="B1150" i="20"/>
  <c r="C1150" i="20"/>
  <c r="F1150" i="20" s="1"/>
  <c r="D1150" i="20"/>
  <c r="G1150" i="20"/>
  <c r="H1150" i="20"/>
  <c r="A1151" i="20"/>
  <c r="B1151" i="20"/>
  <c r="C1151" i="20"/>
  <c r="F1151" i="20" s="1"/>
  <c r="G1151" i="20"/>
  <c r="H1151" i="20"/>
  <c r="A1935" i="20"/>
  <c r="C1935" i="20"/>
  <c r="F1935" i="20" s="1"/>
  <c r="D1935" i="20"/>
  <c r="C1936" i="20"/>
  <c r="F1936" i="20" s="1"/>
  <c r="D1936" i="20"/>
  <c r="C1937" i="20"/>
  <c r="F1937" i="20" s="1"/>
  <c r="D1937" i="20"/>
  <c r="C1938" i="20"/>
  <c r="F1938" i="20" s="1"/>
  <c r="D1938" i="20"/>
  <c r="C1939" i="20"/>
  <c r="F1939" i="20" s="1"/>
  <c r="D1939" i="20"/>
  <c r="C1940" i="20"/>
  <c r="F1940" i="20" s="1"/>
  <c r="D1940" i="20"/>
  <c r="C1941" i="20"/>
  <c r="F1941" i="20" s="1"/>
  <c r="D1941" i="20"/>
  <c r="C1942" i="20"/>
  <c r="F1942" i="20" s="1"/>
  <c r="D1942" i="20"/>
  <c r="C1943" i="20"/>
  <c r="F1943" i="20" s="1"/>
  <c r="D1943" i="20"/>
  <c r="C1944" i="20"/>
  <c r="F1944" i="20" s="1"/>
  <c r="D1944" i="20"/>
  <c r="C1945" i="20"/>
  <c r="F1945" i="20" s="1"/>
  <c r="D1945" i="20"/>
  <c r="C1946" i="20"/>
  <c r="F1946" i="20" s="1"/>
  <c r="D1946" i="20"/>
  <c r="A1152" i="20"/>
  <c r="B1152" i="20"/>
  <c r="C1152" i="20"/>
  <c r="F1152" i="20" s="1"/>
  <c r="D1152" i="20"/>
  <c r="G1152" i="20"/>
  <c r="H1152" i="20"/>
  <c r="A1153" i="20"/>
  <c r="B1153" i="20"/>
  <c r="C1153" i="20"/>
  <c r="F1153" i="20" s="1"/>
  <c r="G1153" i="20"/>
  <c r="H1153" i="20"/>
  <c r="A1154" i="20"/>
  <c r="B1154" i="20"/>
  <c r="C1154" i="20"/>
  <c r="F1154" i="20" s="1"/>
  <c r="D1154" i="20"/>
  <c r="G1154" i="20"/>
  <c r="H1154" i="20"/>
  <c r="A1155" i="20"/>
  <c r="B1155" i="20"/>
  <c r="C1155" i="20"/>
  <c r="F1155" i="20" s="1"/>
  <c r="D1155" i="20"/>
  <c r="G1155" i="20"/>
  <c r="H1155" i="20"/>
  <c r="A1156" i="20"/>
  <c r="B1156" i="20"/>
  <c r="C1156" i="20"/>
  <c r="F1156" i="20" s="1"/>
  <c r="G1156" i="20"/>
  <c r="H1156" i="20"/>
  <c r="A1949" i="20"/>
  <c r="C1949" i="20"/>
  <c r="F1949" i="20" s="1"/>
  <c r="D1949" i="20"/>
  <c r="C1950" i="20"/>
  <c r="F1950" i="20" s="1"/>
  <c r="A1157" i="20"/>
  <c r="B1157" i="20"/>
  <c r="C1157" i="20"/>
  <c r="F1157" i="20" s="1"/>
  <c r="D1157" i="20"/>
  <c r="G1157" i="20"/>
  <c r="H1157" i="20"/>
  <c r="A1158" i="20"/>
  <c r="B1158" i="20"/>
  <c r="C1158" i="20"/>
  <c r="F1158" i="20" s="1"/>
  <c r="G1158" i="20"/>
  <c r="H1158" i="20"/>
  <c r="A1159" i="20"/>
  <c r="B1159" i="20"/>
  <c r="C1159" i="20"/>
  <c r="D1159" i="20"/>
  <c r="F1159" i="20"/>
  <c r="G1159" i="20"/>
  <c r="H1159" i="20"/>
  <c r="A1160" i="20"/>
  <c r="B1160" i="20"/>
  <c r="C1160" i="20"/>
  <c r="F1160" i="20" s="1"/>
  <c r="D1160" i="20"/>
  <c r="G1160" i="20"/>
  <c r="H1160" i="20"/>
  <c r="A1161" i="20"/>
  <c r="B1161" i="20"/>
  <c r="C1161" i="20"/>
  <c r="F1161" i="20" s="1"/>
  <c r="G1161" i="20"/>
  <c r="H1161" i="20"/>
  <c r="A1953" i="20"/>
  <c r="C1953" i="20"/>
  <c r="F1953" i="20" s="1"/>
  <c r="C1954" i="20"/>
  <c r="F1954" i="20" s="1"/>
  <c r="D1954" i="20"/>
  <c r="A1162" i="20"/>
  <c r="B1162" i="20"/>
  <c r="C1162" i="20"/>
  <c r="F1162" i="20" s="1"/>
  <c r="D1162" i="20"/>
  <c r="G1162" i="20"/>
  <c r="H1162" i="20"/>
  <c r="A1163" i="20"/>
  <c r="B1163" i="20"/>
  <c r="C1163" i="20"/>
  <c r="F1163" i="20" s="1"/>
  <c r="G1163" i="20"/>
  <c r="H1163" i="20"/>
  <c r="A1164" i="20"/>
  <c r="B1164" i="20"/>
  <c r="C1164" i="20"/>
  <c r="F1164" i="20" s="1"/>
  <c r="D1164" i="20"/>
  <c r="G1164" i="20"/>
  <c r="H1164" i="20"/>
  <c r="A1165" i="20"/>
  <c r="B1165" i="20"/>
  <c r="C1165" i="20"/>
  <c r="F1165" i="20" s="1"/>
  <c r="D1165" i="20"/>
  <c r="G1165" i="20"/>
  <c r="H1165" i="20"/>
  <c r="A1166" i="20"/>
  <c r="B1166" i="20"/>
  <c r="C1166" i="20"/>
  <c r="F1166" i="20" s="1"/>
  <c r="G1166" i="20"/>
  <c r="H1166" i="20"/>
  <c r="A1978" i="20"/>
  <c r="C1978" i="20"/>
  <c r="F1978" i="20" s="1"/>
  <c r="D1978" i="20"/>
  <c r="C1979" i="20"/>
  <c r="F1979" i="20" s="1"/>
  <c r="D1979" i="20"/>
  <c r="C1980" i="20"/>
  <c r="F1980" i="20" s="1"/>
  <c r="D1980" i="20"/>
  <c r="C1981" i="20"/>
  <c r="F1981" i="20" s="1"/>
  <c r="D1981" i="20"/>
  <c r="C1982" i="20"/>
  <c r="F1982" i="20" s="1"/>
  <c r="D1982" i="20"/>
  <c r="C1983" i="20"/>
  <c r="F1983" i="20" s="1"/>
  <c r="D1983" i="20"/>
  <c r="C1984" i="20"/>
  <c r="F1984" i="20" s="1"/>
  <c r="D1984" i="20"/>
  <c r="C1985" i="20"/>
  <c r="F1985" i="20" s="1"/>
  <c r="D1985" i="20"/>
  <c r="C1986" i="20"/>
  <c r="F1986" i="20" s="1"/>
  <c r="D1986" i="20"/>
  <c r="C1987" i="20"/>
  <c r="F1987" i="20" s="1"/>
  <c r="D1987" i="20"/>
  <c r="C1988" i="20"/>
  <c r="F1988" i="20" s="1"/>
  <c r="D1988" i="20"/>
  <c r="C1989" i="20"/>
  <c r="F1989" i="20" s="1"/>
  <c r="D1989" i="20"/>
  <c r="C1990" i="20"/>
  <c r="F1990" i="20" s="1"/>
  <c r="D1990" i="20"/>
  <c r="C1991" i="20"/>
  <c r="F1991" i="20" s="1"/>
  <c r="D1991" i="20"/>
  <c r="C1992" i="20"/>
  <c r="F1992" i="20" s="1"/>
  <c r="D1992" i="20"/>
  <c r="C1993" i="20"/>
  <c r="F1993" i="20" s="1"/>
  <c r="D1993" i="20"/>
  <c r="C1994" i="20"/>
  <c r="F1994" i="20" s="1"/>
  <c r="D1994" i="20"/>
  <c r="C1995" i="20"/>
  <c r="F1995" i="20" s="1"/>
  <c r="D1995" i="20"/>
  <c r="C1996" i="20"/>
  <c r="F1996" i="20" s="1"/>
  <c r="D1996" i="20"/>
  <c r="C1997" i="20"/>
  <c r="F1997" i="20" s="1"/>
  <c r="D1997" i="20"/>
  <c r="C1998" i="20"/>
  <c r="F1998" i="20" s="1"/>
  <c r="D1998" i="20"/>
  <c r="C1999" i="20"/>
  <c r="F1999" i="20" s="1"/>
  <c r="D1999" i="20"/>
  <c r="C2000" i="20"/>
  <c r="F2000" i="20" s="1"/>
  <c r="D2000" i="20"/>
  <c r="A1167" i="20"/>
  <c r="B1167" i="20"/>
  <c r="C1167" i="20"/>
  <c r="F1167" i="20" s="1"/>
  <c r="D1167" i="20"/>
  <c r="G1167" i="20"/>
  <c r="H1167" i="20"/>
  <c r="A1168" i="20"/>
  <c r="B1168" i="20"/>
  <c r="C1168" i="20"/>
  <c r="F1168" i="20" s="1"/>
  <c r="G1168" i="20"/>
  <c r="H1168" i="20"/>
  <c r="A1169" i="20"/>
  <c r="B1169" i="20"/>
  <c r="C1169" i="20"/>
  <c r="F1169" i="20" s="1"/>
  <c r="D1169" i="20"/>
  <c r="G1169" i="20"/>
  <c r="H1169" i="20"/>
  <c r="A1170" i="20"/>
  <c r="B1170" i="20"/>
  <c r="C1170" i="20"/>
  <c r="F1170" i="20" s="1"/>
  <c r="D1170" i="20"/>
  <c r="G1170" i="20"/>
  <c r="H1170" i="20"/>
  <c r="A1171" i="20"/>
  <c r="B1171" i="20"/>
  <c r="C1171" i="20"/>
  <c r="F1171" i="20" s="1"/>
  <c r="D1171" i="20"/>
  <c r="G1171" i="20"/>
  <c r="H1171" i="20"/>
  <c r="A1172" i="20"/>
  <c r="B1172" i="20"/>
  <c r="C1172" i="20"/>
  <c r="F1172" i="20" s="1"/>
  <c r="D1172" i="20"/>
  <c r="G1172" i="20"/>
  <c r="H1172" i="20"/>
  <c r="A1173" i="20"/>
  <c r="B1173" i="20"/>
  <c r="C1173" i="20"/>
  <c r="F1173" i="20" s="1"/>
  <c r="D1173" i="20"/>
  <c r="G1173" i="20"/>
  <c r="H1173" i="20"/>
  <c r="A1174" i="20"/>
  <c r="B1174" i="20"/>
  <c r="C1174" i="20"/>
  <c r="F1174" i="20" s="1"/>
  <c r="D1174" i="20"/>
  <c r="G1174" i="20"/>
  <c r="H1174" i="20"/>
  <c r="A1175" i="20"/>
  <c r="B1175" i="20"/>
  <c r="C1175" i="20"/>
  <c r="F1175" i="20" s="1"/>
  <c r="D1175" i="20"/>
  <c r="G1175" i="20"/>
  <c r="H1175" i="20"/>
  <c r="A1176" i="20"/>
  <c r="B1176" i="20"/>
  <c r="C1176" i="20"/>
  <c r="F1176" i="20" s="1"/>
  <c r="D1176" i="20"/>
  <c r="G1176" i="20"/>
  <c r="H1176" i="20"/>
  <c r="A1177" i="20"/>
  <c r="B1177" i="20"/>
  <c r="C1177" i="20"/>
  <c r="F1177" i="20" s="1"/>
  <c r="D1177" i="20"/>
  <c r="G1177" i="20"/>
  <c r="H1177" i="20"/>
  <c r="A1178" i="20"/>
  <c r="B1178" i="20"/>
  <c r="C1178" i="20"/>
  <c r="F1178" i="20" s="1"/>
  <c r="D1178" i="20"/>
  <c r="G1178" i="20"/>
  <c r="H1178" i="20"/>
  <c r="A1179" i="20"/>
  <c r="B1179" i="20"/>
  <c r="C1179" i="20"/>
  <c r="F1179" i="20" s="1"/>
  <c r="D1179" i="20"/>
  <c r="G1179" i="20"/>
  <c r="H1179" i="20"/>
  <c r="A1180" i="20"/>
  <c r="B1180" i="20"/>
  <c r="C1180" i="20"/>
  <c r="F1180" i="20" s="1"/>
  <c r="D1180" i="20"/>
  <c r="G1180" i="20"/>
  <c r="H1180" i="20"/>
  <c r="A1181" i="20"/>
  <c r="B1181" i="20"/>
  <c r="C1181" i="20"/>
  <c r="F1181" i="20" s="1"/>
  <c r="D1181" i="20"/>
  <c r="G1181" i="20"/>
  <c r="H1181" i="20"/>
  <c r="A1182" i="20"/>
  <c r="B1182" i="20"/>
  <c r="C1182" i="20"/>
  <c r="F1182" i="20" s="1"/>
  <c r="D1182" i="20"/>
  <c r="G1182" i="20"/>
  <c r="H1182" i="20"/>
  <c r="A1183" i="20"/>
  <c r="B1183" i="20"/>
  <c r="C1183" i="20"/>
  <c r="F1183" i="20" s="1"/>
  <c r="D1183" i="20"/>
  <c r="G1183" i="20"/>
  <c r="H1183" i="20"/>
  <c r="A1184" i="20"/>
  <c r="B1184" i="20"/>
  <c r="C1184" i="20"/>
  <c r="F1184" i="20" s="1"/>
  <c r="D1184" i="20"/>
  <c r="G1184" i="20"/>
  <c r="H1184" i="20"/>
  <c r="A1185" i="20"/>
  <c r="B1185" i="20"/>
  <c r="C1185" i="20"/>
  <c r="F1185" i="20" s="1"/>
  <c r="D1185" i="20"/>
  <c r="G1185" i="20"/>
  <c r="H1185" i="20"/>
  <c r="A1186" i="20"/>
  <c r="B1186" i="20"/>
  <c r="C1186" i="20"/>
  <c r="F1186" i="20" s="1"/>
  <c r="D1186" i="20"/>
  <c r="G1186" i="20"/>
  <c r="H1186" i="20"/>
  <c r="A1187" i="20"/>
  <c r="B1187" i="20"/>
  <c r="C1187" i="20"/>
  <c r="F1187" i="20" s="1"/>
  <c r="D1187" i="20"/>
  <c r="G1187" i="20"/>
  <c r="H1187" i="20"/>
  <c r="A1188" i="20"/>
  <c r="B1188" i="20"/>
  <c r="C1188" i="20"/>
  <c r="F1188" i="20" s="1"/>
  <c r="D1188" i="20"/>
  <c r="G1188" i="20"/>
  <c r="H1188" i="20"/>
  <c r="A1189" i="20"/>
  <c r="B1189" i="20"/>
  <c r="C1189" i="20"/>
  <c r="F1189" i="20" s="1"/>
  <c r="D1189" i="20"/>
  <c r="G1189" i="20"/>
  <c r="H1189" i="20"/>
  <c r="A1190" i="20"/>
  <c r="B1190" i="20"/>
  <c r="C1190" i="20"/>
  <c r="F1190" i="20" s="1"/>
  <c r="D1190" i="20"/>
  <c r="G1190" i="20"/>
  <c r="H1190" i="20"/>
  <c r="A1191" i="20"/>
  <c r="B1191" i="20"/>
  <c r="C1191" i="20"/>
  <c r="F1191" i="20" s="1"/>
  <c r="D1191" i="20"/>
  <c r="G1191" i="20"/>
  <c r="H1191" i="20"/>
  <c r="A1192" i="20"/>
  <c r="B1192" i="20"/>
  <c r="C1192" i="20"/>
  <c r="F1192" i="20" s="1"/>
  <c r="D1192" i="20"/>
  <c r="G1192" i="20"/>
  <c r="H1192" i="20"/>
  <c r="A1193" i="20"/>
  <c r="B1193" i="20"/>
  <c r="C1193" i="20"/>
  <c r="F1193" i="20" s="1"/>
  <c r="D1193" i="20"/>
  <c r="G1193" i="20"/>
  <c r="H1193" i="20"/>
  <c r="A1194" i="20"/>
  <c r="B1194" i="20"/>
  <c r="C1194" i="20"/>
  <c r="F1194" i="20" s="1"/>
  <c r="D1194" i="20"/>
  <c r="G1194" i="20"/>
  <c r="H1194" i="20"/>
  <c r="A1195" i="20"/>
  <c r="B1195" i="20"/>
  <c r="C1195" i="20"/>
  <c r="F1195" i="20" s="1"/>
  <c r="D1195" i="20"/>
  <c r="G1195" i="20"/>
  <c r="H1195" i="20"/>
  <c r="A1196" i="20"/>
  <c r="B1196" i="20"/>
  <c r="C1196" i="20"/>
  <c r="F1196" i="20" s="1"/>
  <c r="D1196" i="20"/>
  <c r="G1196" i="20"/>
  <c r="H1196" i="20"/>
  <c r="A1197" i="20"/>
  <c r="B1197" i="20"/>
  <c r="C1197" i="20"/>
  <c r="F1197" i="20" s="1"/>
  <c r="D1197" i="20"/>
  <c r="G1197" i="20"/>
  <c r="H1197" i="20"/>
  <c r="A1198" i="20"/>
  <c r="B1198" i="20"/>
  <c r="C1198" i="20"/>
  <c r="F1198" i="20" s="1"/>
  <c r="D1198" i="20"/>
  <c r="G1198" i="20"/>
  <c r="H1198" i="20"/>
  <c r="A1199" i="20"/>
  <c r="B1199" i="20"/>
  <c r="C1199" i="20"/>
  <c r="F1199" i="20" s="1"/>
  <c r="D1199" i="20"/>
  <c r="G1199" i="20"/>
  <c r="H1199" i="20"/>
  <c r="A1200" i="20"/>
  <c r="B1200" i="20"/>
  <c r="C1200" i="20"/>
  <c r="F1200" i="20" s="1"/>
  <c r="D1200" i="20"/>
  <c r="G1200" i="20"/>
  <c r="H1200" i="20"/>
  <c r="A1201" i="20"/>
  <c r="B1201" i="20"/>
  <c r="C1201" i="20"/>
  <c r="F1201" i="20" s="1"/>
  <c r="D1201" i="20"/>
  <c r="G1201" i="20"/>
  <c r="H1201" i="20"/>
  <c r="A1202" i="20"/>
  <c r="B1202" i="20"/>
  <c r="C1202" i="20"/>
  <c r="F1202" i="20" s="1"/>
  <c r="D1202" i="20"/>
  <c r="G1202" i="20"/>
  <c r="H1202" i="20"/>
  <c r="A1203" i="20"/>
  <c r="B1203" i="20"/>
  <c r="C1203" i="20"/>
  <c r="F1203" i="20" s="1"/>
  <c r="D1203" i="20"/>
  <c r="G1203" i="20"/>
  <c r="H1203" i="20"/>
  <c r="A1204" i="20"/>
  <c r="B1204" i="20"/>
  <c r="C1204" i="20"/>
  <c r="F1204" i="20" s="1"/>
  <c r="D1204" i="20"/>
  <c r="G1204" i="20"/>
  <c r="H1204" i="20"/>
  <c r="A1205" i="20"/>
  <c r="B1205" i="20"/>
  <c r="C1205" i="20"/>
  <c r="F1205" i="20" s="1"/>
  <c r="D1205" i="20"/>
  <c r="G1205" i="20"/>
  <c r="H1205" i="20"/>
  <c r="A1206" i="20"/>
  <c r="B1206" i="20"/>
  <c r="C1206" i="20"/>
  <c r="F1206" i="20" s="1"/>
  <c r="D1206" i="20"/>
  <c r="G1206" i="20"/>
  <c r="H1206" i="20"/>
  <c r="A1207" i="20"/>
  <c r="B1207" i="20"/>
  <c r="C1207" i="20"/>
  <c r="D1207" i="20"/>
  <c r="G1207" i="20"/>
  <c r="H1207" i="20"/>
  <c r="A1208" i="20"/>
  <c r="B1208" i="20"/>
  <c r="C1208" i="20"/>
  <c r="F1208" i="20" s="1"/>
  <c r="D1208" i="20"/>
  <c r="G1208" i="20"/>
  <c r="H1208" i="20"/>
  <c r="A1209" i="20"/>
  <c r="B1209" i="20"/>
  <c r="C1209" i="20"/>
  <c r="F1209" i="20" s="1"/>
  <c r="D1209" i="20"/>
  <c r="G1209" i="20"/>
  <c r="H1209" i="20"/>
  <c r="A1210" i="20"/>
  <c r="B1210" i="20"/>
  <c r="C1210" i="20"/>
  <c r="F1210" i="20" s="1"/>
  <c r="D1210" i="20"/>
  <c r="G1210" i="20"/>
  <c r="H1210" i="20"/>
  <c r="A1211" i="20"/>
  <c r="B1211" i="20"/>
  <c r="C1211" i="20"/>
  <c r="F1211" i="20" s="1"/>
  <c r="D1211" i="20"/>
  <c r="G1211" i="20"/>
  <c r="H1211" i="20"/>
  <c r="A1212" i="20"/>
  <c r="B1212" i="20"/>
  <c r="C1212" i="20"/>
  <c r="F1212" i="20" s="1"/>
  <c r="D1212" i="20"/>
  <c r="G1212" i="20"/>
  <c r="H1212" i="20"/>
  <c r="A1213" i="20"/>
  <c r="B1213" i="20"/>
  <c r="C1213" i="20"/>
  <c r="F1213" i="20" s="1"/>
  <c r="D1213" i="20"/>
  <c r="G1213" i="20"/>
  <c r="H1213" i="20"/>
  <c r="A1214" i="20"/>
  <c r="B1214" i="20"/>
  <c r="C1214" i="20"/>
  <c r="F1214" i="20" s="1"/>
  <c r="D1214" i="20"/>
  <c r="G1214" i="20"/>
  <c r="H1214" i="20"/>
  <c r="A1215" i="20"/>
  <c r="B1215" i="20"/>
  <c r="C1215" i="20"/>
  <c r="F1215" i="20" s="1"/>
  <c r="D1215" i="20"/>
  <c r="G1215" i="20"/>
  <c r="H1215" i="20"/>
  <c r="A1216" i="20"/>
  <c r="B1216" i="20"/>
  <c r="C1216" i="20"/>
  <c r="F1216" i="20" s="1"/>
  <c r="D1216" i="20"/>
  <c r="G1216" i="20"/>
  <c r="H1216" i="20"/>
  <c r="A1217" i="20"/>
  <c r="B1217" i="20"/>
  <c r="C1217" i="20"/>
  <c r="F1217" i="20" s="1"/>
  <c r="D1217" i="20"/>
  <c r="G1217" i="20"/>
  <c r="H1217" i="20"/>
  <c r="A1218" i="20"/>
  <c r="B1218" i="20"/>
  <c r="C1218" i="20"/>
  <c r="F1218" i="20" s="1"/>
  <c r="D1218" i="20"/>
  <c r="G1218" i="20"/>
  <c r="H1218" i="20"/>
  <c r="A1219" i="20"/>
  <c r="B1219" i="20"/>
  <c r="C1219" i="20"/>
  <c r="F1219" i="20" s="1"/>
  <c r="D1219" i="20"/>
  <c r="G1219" i="20"/>
  <c r="H1219" i="20"/>
  <c r="A1220" i="20"/>
  <c r="B1220" i="20"/>
  <c r="C1220" i="20"/>
  <c r="F1220" i="20" s="1"/>
  <c r="D1220" i="20"/>
  <c r="G1220" i="20"/>
  <c r="H1220" i="20"/>
  <c r="A1221" i="20"/>
  <c r="B1221" i="20"/>
  <c r="C1221" i="20"/>
  <c r="F1221" i="20" s="1"/>
  <c r="D1221" i="20"/>
  <c r="G1221" i="20"/>
  <c r="H1221" i="20"/>
  <c r="A1222" i="20"/>
  <c r="B1222" i="20"/>
  <c r="C1222" i="20"/>
  <c r="F1222" i="20" s="1"/>
  <c r="D1222" i="20"/>
  <c r="G1222" i="20"/>
  <c r="H1222" i="20"/>
  <c r="A1223" i="20"/>
  <c r="B1223" i="20"/>
  <c r="C1223" i="20"/>
  <c r="F1223" i="20" s="1"/>
  <c r="D1223" i="20"/>
  <c r="G1223" i="20"/>
  <c r="H1223" i="20"/>
  <c r="A1224" i="20"/>
  <c r="B1224" i="20"/>
  <c r="C1224" i="20"/>
  <c r="F1224" i="20" s="1"/>
  <c r="D1224" i="20"/>
  <c r="G1224" i="20"/>
  <c r="H1224" i="20"/>
  <c r="A1225" i="20"/>
  <c r="B1225" i="20"/>
  <c r="C1225" i="20"/>
  <c r="F1225" i="20" s="1"/>
  <c r="D1225" i="20"/>
  <c r="G1225" i="20"/>
  <c r="H1225" i="20"/>
  <c r="A1226" i="20"/>
  <c r="B1226" i="20"/>
  <c r="C1226" i="20"/>
  <c r="F1226" i="20" s="1"/>
  <c r="D1226" i="20"/>
  <c r="G1226" i="20"/>
  <c r="H1226" i="20"/>
  <c r="A1227" i="20"/>
  <c r="B1227" i="20"/>
  <c r="C1227" i="20"/>
  <c r="F1227" i="20" s="1"/>
  <c r="D1227" i="20"/>
  <c r="G1227" i="20"/>
  <c r="H1227" i="20"/>
  <c r="A1228" i="20"/>
  <c r="B1228" i="20"/>
  <c r="C1228" i="20"/>
  <c r="F1228" i="20" s="1"/>
  <c r="D1228" i="20"/>
  <c r="G1228" i="20"/>
  <c r="H1228" i="20"/>
  <c r="A1229" i="20"/>
  <c r="B1229" i="20"/>
  <c r="C1229" i="20"/>
  <c r="F1229" i="20" s="1"/>
  <c r="D1229" i="20"/>
  <c r="G1229" i="20"/>
  <c r="H1229" i="20"/>
  <c r="A1230" i="20"/>
  <c r="B1230" i="20"/>
  <c r="C1230" i="20"/>
  <c r="F1230" i="20" s="1"/>
  <c r="D1230" i="20"/>
  <c r="G1230" i="20"/>
  <c r="H1230" i="20"/>
  <c r="A1231" i="20"/>
  <c r="B1231" i="20"/>
  <c r="C1231" i="20"/>
  <c r="F1231" i="20" s="1"/>
  <c r="D1231" i="20"/>
  <c r="G1231" i="20"/>
  <c r="H1231" i="20"/>
  <c r="A1232" i="20"/>
  <c r="B1232" i="20"/>
  <c r="C1232" i="20"/>
  <c r="F1232" i="20" s="1"/>
  <c r="D1232" i="20"/>
  <c r="G1232" i="20"/>
  <c r="H1232" i="20"/>
  <c r="A1233" i="20"/>
  <c r="B1233" i="20"/>
  <c r="C1233" i="20"/>
  <c r="F1233" i="20" s="1"/>
  <c r="D1233" i="20"/>
  <c r="G1233" i="20"/>
  <c r="H1233" i="20"/>
  <c r="A1234" i="20"/>
  <c r="B1234" i="20"/>
  <c r="C1234" i="20"/>
  <c r="F1234" i="20" s="1"/>
  <c r="D1234" i="20"/>
  <c r="G1234" i="20"/>
  <c r="H1234" i="20"/>
  <c r="A1235" i="20"/>
  <c r="B1235" i="20"/>
  <c r="C1235" i="20"/>
  <c r="F1235" i="20" s="1"/>
  <c r="D1235" i="20"/>
  <c r="G1235" i="20"/>
  <c r="H1235" i="20"/>
  <c r="A1236" i="20"/>
  <c r="B1236" i="20"/>
  <c r="C1236" i="20"/>
  <c r="F1236" i="20" s="1"/>
  <c r="D1236" i="20"/>
  <c r="G1236" i="20"/>
  <c r="H1236" i="20"/>
  <c r="A1237" i="20"/>
  <c r="B1237" i="20"/>
  <c r="C1237" i="20"/>
  <c r="F1237" i="20" s="1"/>
  <c r="D1237" i="20"/>
  <c r="G1237" i="20"/>
  <c r="H1237" i="20"/>
  <c r="A1238" i="20"/>
  <c r="B1238" i="20"/>
  <c r="C1238" i="20"/>
  <c r="F1238" i="20" s="1"/>
  <c r="D1238" i="20"/>
  <c r="G1238" i="20"/>
  <c r="H1238" i="20"/>
  <c r="A1239" i="20"/>
  <c r="B1239" i="20"/>
  <c r="C1239" i="20"/>
  <c r="F1239" i="20" s="1"/>
  <c r="D1239" i="20"/>
  <c r="G1239" i="20"/>
  <c r="H1239" i="20"/>
  <c r="A1240" i="20"/>
  <c r="B1240" i="20"/>
  <c r="C1240" i="20"/>
  <c r="F1240" i="20" s="1"/>
  <c r="D1240" i="20"/>
  <c r="G1240" i="20"/>
  <c r="H1240" i="20"/>
  <c r="A1241" i="20"/>
  <c r="B1241" i="20"/>
  <c r="C1241" i="20"/>
  <c r="F1241" i="20" s="1"/>
  <c r="D1241" i="20"/>
  <c r="G1241" i="20"/>
  <c r="H1241" i="20"/>
  <c r="A1242" i="20"/>
  <c r="B1242" i="20"/>
  <c r="C1242" i="20"/>
  <c r="F1242" i="20" s="1"/>
  <c r="D1242" i="20"/>
  <c r="G1242" i="20"/>
  <c r="H1242" i="20"/>
  <c r="A1243" i="20"/>
  <c r="B1243" i="20"/>
  <c r="C1243" i="20"/>
  <c r="F1243" i="20" s="1"/>
  <c r="D1243" i="20"/>
  <c r="G1243" i="20"/>
  <c r="H1243" i="20"/>
  <c r="A1244" i="20"/>
  <c r="B1244" i="20"/>
  <c r="C1244" i="20"/>
  <c r="F1244" i="20" s="1"/>
  <c r="D1244" i="20"/>
  <c r="G1244" i="20"/>
  <c r="H1244" i="20"/>
  <c r="A1245" i="20"/>
  <c r="B1245" i="20"/>
  <c r="C1245" i="20"/>
  <c r="F1245" i="20" s="1"/>
  <c r="D1245" i="20"/>
  <c r="G1245" i="20"/>
  <c r="H1245" i="20"/>
  <c r="A1246" i="20"/>
  <c r="B1246" i="20"/>
  <c r="C1246" i="20"/>
  <c r="F1246" i="20" s="1"/>
  <c r="D1246" i="20"/>
  <c r="G1246" i="20"/>
  <c r="H1246" i="20"/>
  <c r="A1247" i="20"/>
  <c r="B1247" i="20"/>
  <c r="C1247" i="20"/>
  <c r="F1247" i="20" s="1"/>
  <c r="D1247" i="20"/>
  <c r="G1247" i="20"/>
  <c r="H1247" i="20"/>
  <c r="A1248" i="20"/>
  <c r="B1248" i="20"/>
  <c r="C1248" i="20"/>
  <c r="F1248" i="20" s="1"/>
  <c r="D1248" i="20"/>
  <c r="G1248" i="20"/>
  <c r="H1248" i="20"/>
  <c r="A1249" i="20"/>
  <c r="B1249" i="20"/>
  <c r="C1249" i="20"/>
  <c r="F1249" i="20" s="1"/>
  <c r="D1249" i="20"/>
  <c r="G1249" i="20"/>
  <c r="H1249" i="20"/>
  <c r="A1250" i="20"/>
  <c r="B1250" i="20"/>
  <c r="C1250" i="20"/>
  <c r="F1250" i="20" s="1"/>
  <c r="D1250" i="20"/>
  <c r="G1250" i="20"/>
  <c r="H1250" i="20"/>
  <c r="A1251" i="20"/>
  <c r="B1251" i="20"/>
  <c r="C1251" i="20"/>
  <c r="F1251" i="20" s="1"/>
  <c r="D1251" i="20"/>
  <c r="G1251" i="20"/>
  <c r="H1251" i="20"/>
  <c r="A1252" i="20"/>
  <c r="B1252" i="20"/>
  <c r="C1252" i="20"/>
  <c r="F1252" i="20" s="1"/>
  <c r="D1252" i="20"/>
  <c r="G1252" i="20"/>
  <c r="H1252" i="20"/>
  <c r="A1253" i="20"/>
  <c r="B1253" i="20"/>
  <c r="C1253" i="20"/>
  <c r="F1253" i="20" s="1"/>
  <c r="D1253" i="20"/>
  <c r="G1253" i="20"/>
  <c r="H1253" i="20"/>
  <c r="A1254" i="20"/>
  <c r="B1254" i="20"/>
  <c r="C1254" i="20"/>
  <c r="F1254" i="20" s="1"/>
  <c r="D1254" i="20"/>
  <c r="G1254" i="20"/>
  <c r="H1254" i="20"/>
  <c r="A1255" i="20"/>
  <c r="B1255" i="20"/>
  <c r="C1255" i="20"/>
  <c r="F1255" i="20" s="1"/>
  <c r="D1255" i="20"/>
  <c r="G1255" i="20"/>
  <c r="H1255" i="20"/>
  <c r="A1256" i="20"/>
  <c r="B1256" i="20"/>
  <c r="C1256" i="20"/>
  <c r="F1256" i="20" s="1"/>
  <c r="D1256" i="20"/>
  <c r="G1256" i="20"/>
  <c r="H1256" i="20"/>
  <c r="A1257" i="20"/>
  <c r="B1257" i="20"/>
  <c r="C1257" i="20"/>
  <c r="F1257" i="20" s="1"/>
  <c r="D1257" i="20"/>
  <c r="G1257" i="20"/>
  <c r="H1257" i="20"/>
  <c r="A1258" i="20"/>
  <c r="B1258" i="20"/>
  <c r="C1258" i="20"/>
  <c r="F1258" i="20" s="1"/>
  <c r="D1258" i="20"/>
  <c r="G1258" i="20"/>
  <c r="H1258" i="20"/>
  <c r="A1259" i="20"/>
  <c r="B1259" i="20"/>
  <c r="C1259" i="20"/>
  <c r="F1259" i="20" s="1"/>
  <c r="D1259" i="20"/>
  <c r="G1259" i="20"/>
  <c r="H1259" i="20"/>
  <c r="A1260" i="20"/>
  <c r="B1260" i="20"/>
  <c r="C1260" i="20"/>
  <c r="F1260" i="20" s="1"/>
  <c r="D1260" i="20"/>
  <c r="G1260" i="20"/>
  <c r="H1260" i="20"/>
  <c r="A1261" i="20"/>
  <c r="B1261" i="20"/>
  <c r="C1261" i="20"/>
  <c r="F1261" i="20" s="1"/>
  <c r="D1261" i="20"/>
  <c r="G1261" i="20"/>
  <c r="H1261" i="20"/>
  <c r="A1262" i="20"/>
  <c r="B1262" i="20"/>
  <c r="C1262" i="20"/>
  <c r="F1262" i="20" s="1"/>
  <c r="D1262" i="20"/>
  <c r="G1262" i="20"/>
  <c r="H1262" i="20"/>
  <c r="A1263" i="20"/>
  <c r="B1263" i="20"/>
  <c r="C1263" i="20"/>
  <c r="F1263" i="20" s="1"/>
  <c r="D1263" i="20"/>
  <c r="G1263" i="20"/>
  <c r="H1263" i="20"/>
  <c r="A1264" i="20"/>
  <c r="B1264" i="20"/>
  <c r="C1264" i="20"/>
  <c r="F1264" i="20" s="1"/>
  <c r="D1264" i="20"/>
  <c r="G1264" i="20"/>
  <c r="H1264" i="20"/>
  <c r="A1265" i="20"/>
  <c r="B1265" i="20"/>
  <c r="C1265" i="20"/>
  <c r="F1265" i="20" s="1"/>
  <c r="D1265" i="20"/>
  <c r="G1265" i="20"/>
  <c r="H1265" i="20"/>
  <c r="A1266" i="20"/>
  <c r="B1266" i="20"/>
  <c r="C1266" i="20"/>
  <c r="F1266" i="20" s="1"/>
  <c r="D1266" i="20"/>
  <c r="G1266" i="20"/>
  <c r="H1266" i="20"/>
  <c r="A1267" i="20"/>
  <c r="B1267" i="20"/>
  <c r="C1267" i="20"/>
  <c r="F1267" i="20" s="1"/>
  <c r="D1267" i="20"/>
  <c r="G1267" i="20"/>
  <c r="H1267" i="20"/>
  <c r="A1268" i="20"/>
  <c r="B1268" i="20"/>
  <c r="C1268" i="20"/>
  <c r="F1268" i="20" s="1"/>
  <c r="D1268" i="20"/>
  <c r="G1268" i="20"/>
  <c r="H1268" i="20"/>
  <c r="A1269" i="20"/>
  <c r="B1269" i="20"/>
  <c r="C1269" i="20"/>
  <c r="F1269" i="20" s="1"/>
  <c r="D1269" i="20"/>
  <c r="G1269" i="20"/>
  <c r="H1269" i="20"/>
  <c r="A1270" i="20"/>
  <c r="B1270" i="20"/>
  <c r="C1270" i="20"/>
  <c r="F1270" i="20" s="1"/>
  <c r="D1270" i="20"/>
  <c r="G1270" i="20"/>
  <c r="H1270" i="20"/>
  <c r="A1271" i="20"/>
  <c r="B1271" i="20"/>
  <c r="C1271" i="20"/>
  <c r="F1271" i="20" s="1"/>
  <c r="D1271" i="20"/>
  <c r="G1271" i="20"/>
  <c r="H1271" i="20"/>
  <c r="A1272" i="20"/>
  <c r="B1272" i="20"/>
  <c r="C1272" i="20"/>
  <c r="F1272" i="20" s="1"/>
  <c r="D1272" i="20"/>
  <c r="G1272" i="20"/>
  <c r="H1272" i="20"/>
  <c r="A1273" i="20"/>
  <c r="B1273" i="20"/>
  <c r="C1273" i="20"/>
  <c r="F1273" i="20" s="1"/>
  <c r="D1273" i="20"/>
  <c r="G1273" i="20"/>
  <c r="H1273" i="20"/>
  <c r="A1274" i="20"/>
  <c r="B1274" i="20"/>
  <c r="C1274" i="20"/>
  <c r="F1274" i="20" s="1"/>
  <c r="D1274" i="20"/>
  <c r="G1274" i="20"/>
  <c r="H1274" i="20"/>
  <c r="A1275" i="20"/>
  <c r="B1275" i="20"/>
  <c r="C1275" i="20"/>
  <c r="F1275" i="20" s="1"/>
  <c r="D1275" i="20"/>
  <c r="G1275" i="20"/>
  <c r="H1275" i="20"/>
  <c r="A1276" i="20"/>
  <c r="B1276" i="20"/>
  <c r="C1276" i="20"/>
  <c r="F1276" i="20" s="1"/>
  <c r="D1276" i="20"/>
  <c r="G1276" i="20"/>
  <c r="H1276" i="20"/>
  <c r="A1277" i="20"/>
  <c r="B1277" i="20"/>
  <c r="C1277" i="20"/>
  <c r="F1277" i="20" s="1"/>
  <c r="D1277" i="20"/>
  <c r="G1277" i="20"/>
  <c r="H1277" i="20"/>
  <c r="A1278" i="20"/>
  <c r="B1278" i="20"/>
  <c r="C1278" i="20"/>
  <c r="F1278" i="20" s="1"/>
  <c r="D1278" i="20"/>
  <c r="G1278" i="20"/>
  <c r="H1278" i="20"/>
  <c r="A1279" i="20"/>
  <c r="B1279" i="20"/>
  <c r="C1279" i="20"/>
  <c r="F1279" i="20" s="1"/>
  <c r="D1279" i="20"/>
  <c r="G1279" i="20"/>
  <c r="H1279" i="20"/>
  <c r="A1280" i="20"/>
  <c r="B1280" i="20"/>
  <c r="C1280" i="20"/>
  <c r="F1280" i="20" s="1"/>
  <c r="D1280" i="20"/>
  <c r="G1280" i="20"/>
  <c r="H1280" i="20"/>
  <c r="A1281" i="20"/>
  <c r="B1281" i="20"/>
  <c r="C1281" i="20"/>
  <c r="F1281" i="20" s="1"/>
  <c r="D1281" i="20"/>
  <c r="G1281" i="20"/>
  <c r="H1281" i="20"/>
  <c r="A1282" i="20"/>
  <c r="B1282" i="20"/>
  <c r="C1282" i="20"/>
  <c r="F1282" i="20" s="1"/>
  <c r="D1282" i="20"/>
  <c r="G1282" i="20"/>
  <c r="H1282" i="20"/>
  <c r="A1283" i="20"/>
  <c r="B1283" i="20"/>
  <c r="C1283" i="20"/>
  <c r="F1283" i="20" s="1"/>
  <c r="D1283" i="20"/>
  <c r="G1283" i="20"/>
  <c r="H1283" i="20"/>
  <c r="A1284" i="20"/>
  <c r="B1284" i="20"/>
  <c r="C1284" i="20"/>
  <c r="F1284" i="20" s="1"/>
  <c r="D1284" i="20"/>
  <c r="G1284" i="20"/>
  <c r="H1284" i="20"/>
  <c r="A1285" i="20"/>
  <c r="B1285" i="20"/>
  <c r="C1285" i="20"/>
  <c r="F1285" i="20" s="1"/>
  <c r="D1285" i="20"/>
  <c r="G1285" i="20"/>
  <c r="H1285" i="20"/>
  <c r="A1286" i="20"/>
  <c r="B1286" i="20"/>
  <c r="C1286" i="20"/>
  <c r="F1286" i="20" s="1"/>
  <c r="D1286" i="20"/>
  <c r="G1286" i="20"/>
  <c r="H1286" i="20"/>
  <c r="A1287" i="20"/>
  <c r="B1287" i="20"/>
  <c r="C1287" i="20"/>
  <c r="F1287" i="20" s="1"/>
  <c r="D1287" i="20"/>
  <c r="G1287" i="20"/>
  <c r="H1287" i="20"/>
  <c r="A1288" i="20"/>
  <c r="B1288" i="20"/>
  <c r="C1288" i="20"/>
  <c r="D1288" i="20"/>
  <c r="F1288" i="20"/>
  <c r="G1288" i="20"/>
  <c r="H1288" i="20"/>
  <c r="A1289" i="20"/>
  <c r="B1289" i="20"/>
  <c r="C1289" i="20"/>
  <c r="F1289" i="20" s="1"/>
  <c r="D1289" i="20"/>
  <c r="G1289" i="20"/>
  <c r="H1289" i="20"/>
  <c r="A1290" i="20"/>
  <c r="B1290" i="20"/>
  <c r="C1290" i="20"/>
  <c r="F1290" i="20" s="1"/>
  <c r="D1290" i="20"/>
  <c r="G1290" i="20"/>
  <c r="H1290" i="20"/>
  <c r="A1291" i="20"/>
  <c r="B1291" i="20"/>
  <c r="C1291" i="20"/>
  <c r="F1291" i="20" s="1"/>
  <c r="D1291" i="20"/>
  <c r="G1291" i="20"/>
  <c r="H1291" i="20"/>
  <c r="A1292" i="20"/>
  <c r="B1292" i="20"/>
  <c r="C1292" i="20"/>
  <c r="F1292" i="20" s="1"/>
  <c r="D1292" i="20"/>
  <c r="G1292" i="20"/>
  <c r="H1292" i="20"/>
  <c r="A1293" i="20"/>
  <c r="B1293" i="20"/>
  <c r="C1293" i="20"/>
  <c r="F1293" i="20" s="1"/>
  <c r="D1293" i="20"/>
  <c r="G1293" i="20"/>
  <c r="H1293" i="20"/>
  <c r="A1294" i="20"/>
  <c r="B1294" i="20"/>
  <c r="C1294" i="20"/>
  <c r="F1294" i="20" s="1"/>
  <c r="D1294" i="20"/>
  <c r="G1294" i="20"/>
  <c r="H1294" i="20"/>
  <c r="A1295" i="20"/>
  <c r="B1295" i="20"/>
  <c r="C1295" i="20"/>
  <c r="F1295" i="20" s="1"/>
  <c r="D1295" i="20"/>
  <c r="G1295" i="20"/>
  <c r="H1295" i="20"/>
  <c r="A1296" i="20"/>
  <c r="B1296" i="20"/>
  <c r="C1296" i="20"/>
  <c r="F1296" i="20" s="1"/>
  <c r="D1296" i="20"/>
  <c r="G1296" i="20"/>
  <c r="H1296" i="20"/>
  <c r="A1297" i="20"/>
  <c r="B1297" i="20"/>
  <c r="C1297" i="20"/>
  <c r="F1297" i="20" s="1"/>
  <c r="D1297" i="20"/>
  <c r="G1297" i="20"/>
  <c r="H1297" i="20"/>
  <c r="A1298" i="20"/>
  <c r="B1298" i="20"/>
  <c r="C1298" i="20"/>
  <c r="F1298" i="20" s="1"/>
  <c r="D1298" i="20"/>
  <c r="G1298" i="20"/>
  <c r="H1298" i="20"/>
  <c r="A1299" i="20"/>
  <c r="B1299" i="20"/>
  <c r="C1299" i="20"/>
  <c r="F1299" i="20" s="1"/>
  <c r="D1299" i="20"/>
  <c r="G1299" i="20"/>
  <c r="H1299" i="20"/>
  <c r="A1300" i="20"/>
  <c r="B1300" i="20"/>
  <c r="C1300" i="20"/>
  <c r="F1300" i="20" s="1"/>
  <c r="D1300" i="20"/>
  <c r="G1300" i="20"/>
  <c r="H1300" i="20"/>
  <c r="A1301" i="20"/>
  <c r="B1301" i="20"/>
  <c r="C1301" i="20"/>
  <c r="F1301" i="20" s="1"/>
  <c r="D1301" i="20"/>
  <c r="G1301" i="20"/>
  <c r="H1301" i="20"/>
  <c r="A1302" i="20"/>
  <c r="B1302" i="20"/>
  <c r="C1302" i="20"/>
  <c r="F1302" i="20" s="1"/>
  <c r="D1302" i="20"/>
  <c r="G1302" i="20"/>
  <c r="H1302" i="20"/>
  <c r="A1303" i="20"/>
  <c r="B1303" i="20"/>
  <c r="C1303" i="20"/>
  <c r="F1303" i="20" s="1"/>
  <c r="D1303" i="20"/>
  <c r="G1303" i="20"/>
  <c r="H1303" i="20"/>
  <c r="A1304" i="20"/>
  <c r="B1304" i="20"/>
  <c r="C1304" i="20"/>
  <c r="F1304" i="20" s="1"/>
  <c r="D1304" i="20"/>
  <c r="G1304" i="20"/>
  <c r="H1304" i="20"/>
  <c r="A1305" i="20"/>
  <c r="B1305" i="20"/>
  <c r="C1305" i="20"/>
  <c r="F1305" i="20" s="1"/>
  <c r="D1305" i="20"/>
  <c r="G1305" i="20"/>
  <c r="H1305" i="20"/>
  <c r="A1306" i="20"/>
  <c r="B1306" i="20"/>
  <c r="C1306" i="20"/>
  <c r="F1306" i="20" s="1"/>
  <c r="D1306" i="20"/>
  <c r="G1306" i="20"/>
  <c r="H1306" i="20"/>
  <c r="A1307" i="20"/>
  <c r="B1307" i="20"/>
  <c r="C1307" i="20"/>
  <c r="F1307" i="20" s="1"/>
  <c r="D1307" i="20"/>
  <c r="G1307" i="20"/>
  <c r="H1307" i="20"/>
  <c r="A1308" i="20"/>
  <c r="B1308" i="20"/>
  <c r="C1308" i="20"/>
  <c r="F1308" i="20" s="1"/>
  <c r="D1308" i="20"/>
  <c r="G1308" i="20"/>
  <c r="H1308" i="20"/>
  <c r="A1309" i="20"/>
  <c r="B1309" i="20"/>
  <c r="C1309" i="20"/>
  <c r="F1309" i="20" s="1"/>
  <c r="D1309" i="20"/>
  <c r="G1309" i="20"/>
  <c r="H1309" i="20"/>
  <c r="A1310" i="20"/>
  <c r="B1310" i="20"/>
  <c r="C1310" i="20"/>
  <c r="F1310" i="20" s="1"/>
  <c r="D1310" i="20"/>
  <c r="G1310" i="20"/>
  <c r="H1310" i="20"/>
  <c r="A1311" i="20"/>
  <c r="B1311" i="20"/>
  <c r="C1311" i="20"/>
  <c r="F1311" i="20" s="1"/>
  <c r="D1311" i="20"/>
  <c r="G1311" i="20"/>
  <c r="H1311" i="20"/>
  <c r="A1312" i="20"/>
  <c r="B1312" i="20"/>
  <c r="C1312" i="20"/>
  <c r="F1312" i="20" s="1"/>
  <c r="D1312" i="20"/>
  <c r="G1312" i="20"/>
  <c r="H1312" i="20"/>
  <c r="A1313" i="20"/>
  <c r="B1313" i="20"/>
  <c r="C1313" i="20"/>
  <c r="F1313" i="20" s="1"/>
  <c r="D1313" i="20"/>
  <c r="G1313" i="20"/>
  <c r="H1313" i="20"/>
  <c r="A1314" i="20"/>
  <c r="B1314" i="20"/>
  <c r="C1314" i="20"/>
  <c r="F1314" i="20" s="1"/>
  <c r="D1314" i="20"/>
  <c r="G1314" i="20"/>
  <c r="H1314" i="20"/>
  <c r="A1315" i="20"/>
  <c r="B1315" i="20"/>
  <c r="C1315" i="20"/>
  <c r="F1315" i="20" s="1"/>
  <c r="D1315" i="20"/>
  <c r="G1315" i="20"/>
  <c r="H1315" i="20"/>
  <c r="A1316" i="20"/>
  <c r="B1316" i="20"/>
  <c r="C1316" i="20"/>
  <c r="F1316" i="20" s="1"/>
  <c r="D1316" i="20"/>
  <c r="G1316" i="20"/>
  <c r="H1316" i="20"/>
  <c r="A1317" i="20"/>
  <c r="B1317" i="20"/>
  <c r="C1317" i="20"/>
  <c r="F1317" i="20" s="1"/>
  <c r="D1317" i="20"/>
  <c r="G1317" i="20"/>
  <c r="H1317" i="20"/>
  <c r="A1318" i="20"/>
  <c r="B1318" i="20"/>
  <c r="C1318" i="20"/>
  <c r="F1318" i="20" s="1"/>
  <c r="D1318" i="20"/>
  <c r="G1318" i="20"/>
  <c r="H1318" i="20"/>
  <c r="A1319" i="20"/>
  <c r="B1319" i="20"/>
  <c r="C1319" i="20"/>
  <c r="F1319" i="20" s="1"/>
  <c r="D1319" i="20"/>
  <c r="G1319" i="20"/>
  <c r="H1319" i="20"/>
  <c r="A1320" i="20"/>
  <c r="B1320" i="20"/>
  <c r="C1320" i="20"/>
  <c r="F1320" i="20" s="1"/>
  <c r="D1320" i="20"/>
  <c r="G1320" i="20"/>
  <c r="H1320" i="20"/>
  <c r="A1321" i="20"/>
  <c r="B1321" i="20"/>
  <c r="C1321" i="20"/>
  <c r="F1321" i="20" s="1"/>
  <c r="D1321" i="20"/>
  <c r="G1321" i="20"/>
  <c r="H1321" i="20"/>
  <c r="A1322" i="20"/>
  <c r="B1322" i="20"/>
  <c r="C1322" i="20"/>
  <c r="F1322" i="20" s="1"/>
  <c r="D1322" i="20"/>
  <c r="G1322" i="20"/>
  <c r="H1322" i="20"/>
  <c r="A1323" i="20"/>
  <c r="B1323" i="20"/>
  <c r="C1323" i="20"/>
  <c r="F1323" i="20" s="1"/>
  <c r="D1323" i="20"/>
  <c r="G1323" i="20"/>
  <c r="H1323" i="20"/>
  <c r="A1324" i="20"/>
  <c r="B1324" i="20"/>
  <c r="C1324" i="20"/>
  <c r="F1324" i="20" s="1"/>
  <c r="D1324" i="20"/>
  <c r="G1324" i="20"/>
  <c r="H1324" i="20"/>
  <c r="A1325" i="20"/>
  <c r="B1325" i="20"/>
  <c r="C1325" i="20"/>
  <c r="F1325" i="20" s="1"/>
  <c r="D1325" i="20"/>
  <c r="G1325" i="20"/>
  <c r="H1325" i="20"/>
  <c r="A1326" i="20"/>
  <c r="B1326" i="20"/>
  <c r="C1326" i="20"/>
  <c r="F1326" i="20" s="1"/>
  <c r="D1326" i="20"/>
  <c r="G1326" i="20"/>
  <c r="H1326" i="20"/>
  <c r="A1327" i="20"/>
  <c r="B1327" i="20"/>
  <c r="C1327" i="20"/>
  <c r="F1327" i="20" s="1"/>
  <c r="D1327" i="20"/>
  <c r="G1327" i="20"/>
  <c r="H1327" i="20"/>
  <c r="A1328" i="20"/>
  <c r="B1328" i="20"/>
  <c r="C1328" i="20"/>
  <c r="F1328" i="20" s="1"/>
  <c r="D1328" i="20"/>
  <c r="G1328" i="20"/>
  <c r="H1328" i="20"/>
  <c r="A1329" i="20"/>
  <c r="B1329" i="20"/>
  <c r="C1329" i="20"/>
  <c r="F1329" i="20" s="1"/>
  <c r="D1329" i="20"/>
  <c r="G1329" i="20"/>
  <c r="H1329" i="20"/>
  <c r="A1330" i="20"/>
  <c r="B1330" i="20"/>
  <c r="C1330" i="20"/>
  <c r="F1330" i="20" s="1"/>
  <c r="D1330" i="20"/>
  <c r="G1330" i="20"/>
  <c r="H1330" i="20"/>
  <c r="A1331" i="20"/>
  <c r="B1331" i="20"/>
  <c r="C1331" i="20"/>
  <c r="F1331" i="20" s="1"/>
  <c r="D1331" i="20"/>
  <c r="G1331" i="20"/>
  <c r="H1331" i="20"/>
  <c r="A1332" i="20"/>
  <c r="B1332" i="20"/>
  <c r="C1332" i="20"/>
  <c r="F1332" i="20" s="1"/>
  <c r="D1332" i="20"/>
  <c r="G1332" i="20"/>
  <c r="H1332" i="20"/>
  <c r="A1333" i="20"/>
  <c r="B1333" i="20"/>
  <c r="C1333" i="20"/>
  <c r="F1333" i="20" s="1"/>
  <c r="D1333" i="20"/>
  <c r="G1333" i="20"/>
  <c r="H1333" i="20"/>
  <c r="A1334" i="20"/>
  <c r="B1334" i="20"/>
  <c r="C1334" i="20"/>
  <c r="F1334" i="20" s="1"/>
  <c r="D1334" i="20"/>
  <c r="G1334" i="20"/>
  <c r="H1334" i="20"/>
  <c r="A1335" i="20"/>
  <c r="B1335" i="20"/>
  <c r="C1335" i="20"/>
  <c r="F1335" i="20" s="1"/>
  <c r="D1335" i="20"/>
  <c r="G1335" i="20"/>
  <c r="H1335" i="20"/>
  <c r="A1336" i="20"/>
  <c r="B1336" i="20"/>
  <c r="C1336" i="20"/>
  <c r="F1336" i="20" s="1"/>
  <c r="D1336" i="20"/>
  <c r="G1336" i="20"/>
  <c r="H1336" i="20"/>
  <c r="A1337" i="20"/>
  <c r="B1337" i="20"/>
  <c r="C1337" i="20"/>
  <c r="F1337" i="20" s="1"/>
  <c r="D1337" i="20"/>
  <c r="G1337" i="20"/>
  <c r="H1337" i="20"/>
  <c r="A1338" i="20"/>
  <c r="B1338" i="20"/>
  <c r="C1338" i="20"/>
  <c r="F1338" i="20" s="1"/>
  <c r="D1338" i="20"/>
  <c r="G1338" i="20"/>
  <c r="H1338" i="20"/>
  <c r="A1339" i="20"/>
  <c r="B1339" i="20"/>
  <c r="C1339" i="20"/>
  <c r="F1339" i="20" s="1"/>
  <c r="D1339" i="20"/>
  <c r="G1339" i="20"/>
  <c r="H1339" i="20"/>
  <c r="A1340" i="20"/>
  <c r="B1340" i="20"/>
  <c r="C1340" i="20"/>
  <c r="F1340" i="20" s="1"/>
  <c r="D1340" i="20"/>
  <c r="G1340" i="20"/>
  <c r="H1340" i="20"/>
  <c r="A1341" i="20"/>
  <c r="B1341" i="20"/>
  <c r="C1341" i="20"/>
  <c r="F1341" i="20" s="1"/>
  <c r="D1341" i="20"/>
  <c r="G1341" i="20"/>
  <c r="H1341" i="20"/>
  <c r="A1342" i="20"/>
  <c r="B1342" i="20"/>
  <c r="C1342" i="20"/>
  <c r="F1342" i="20" s="1"/>
  <c r="D1342" i="20"/>
  <c r="G1342" i="20"/>
  <c r="H1342" i="20"/>
  <c r="A1343" i="20"/>
  <c r="B1343" i="20"/>
  <c r="C1343" i="20"/>
  <c r="F1343" i="20" s="1"/>
  <c r="D1343" i="20"/>
  <c r="G1343" i="20"/>
  <c r="H1343" i="20"/>
  <c r="A1344" i="20"/>
  <c r="B1344" i="20"/>
  <c r="C1344" i="20"/>
  <c r="F1344" i="20" s="1"/>
  <c r="D1344" i="20"/>
  <c r="G1344" i="20"/>
  <c r="H1344" i="20"/>
  <c r="A1345" i="20"/>
  <c r="B1345" i="20"/>
  <c r="C1345" i="20"/>
  <c r="F1345" i="20" s="1"/>
  <c r="D1345" i="20"/>
  <c r="G1345" i="20"/>
  <c r="H1345" i="20"/>
  <c r="A1346" i="20"/>
  <c r="B1346" i="20"/>
  <c r="C1346" i="20"/>
  <c r="D1346" i="20"/>
  <c r="F1346" i="20"/>
  <c r="G1346" i="20"/>
  <c r="H1346" i="20"/>
  <c r="A1347" i="20"/>
  <c r="B1347" i="20"/>
  <c r="C1347" i="20"/>
  <c r="F1347" i="20" s="1"/>
  <c r="D1347" i="20"/>
  <c r="G1347" i="20"/>
  <c r="H1347" i="20"/>
  <c r="A1348" i="20"/>
  <c r="B1348" i="20"/>
  <c r="C1348" i="20"/>
  <c r="F1348" i="20" s="1"/>
  <c r="D1348" i="20"/>
  <c r="G1348" i="20"/>
  <c r="H1348" i="20"/>
  <c r="A1349" i="20"/>
  <c r="B1349" i="20"/>
  <c r="C1349" i="20"/>
  <c r="F1349" i="20" s="1"/>
  <c r="D1349" i="20"/>
  <c r="G1349" i="20"/>
  <c r="H1349" i="20"/>
  <c r="A1350" i="20"/>
  <c r="B1350" i="20"/>
  <c r="C1350" i="20"/>
  <c r="F1350" i="20" s="1"/>
  <c r="D1350" i="20"/>
  <c r="G1350" i="20"/>
  <c r="H1350" i="20"/>
  <c r="A1351" i="20"/>
  <c r="B1351" i="20"/>
  <c r="C1351" i="20"/>
  <c r="F1351" i="20" s="1"/>
  <c r="D1351" i="20"/>
  <c r="G1351" i="20"/>
  <c r="H1351" i="20"/>
  <c r="A1352" i="20"/>
  <c r="B1352" i="20"/>
  <c r="C1352" i="20"/>
  <c r="F1352" i="20" s="1"/>
  <c r="D1352" i="20"/>
  <c r="G1352" i="20"/>
  <c r="H1352" i="20"/>
  <c r="A1353" i="20"/>
  <c r="B1353" i="20"/>
  <c r="C1353" i="20"/>
  <c r="F1353" i="20" s="1"/>
  <c r="D1353" i="20"/>
  <c r="G1353" i="20"/>
  <c r="H1353" i="20"/>
  <c r="A1354" i="20"/>
  <c r="B1354" i="20"/>
  <c r="C1354" i="20"/>
  <c r="F1354" i="20" s="1"/>
  <c r="D1354" i="20"/>
  <c r="G1354" i="20"/>
  <c r="H1354" i="20"/>
  <c r="A1355" i="20"/>
  <c r="B1355" i="20"/>
  <c r="C1355" i="20"/>
  <c r="F1355" i="20" s="1"/>
  <c r="D1355" i="20"/>
  <c r="G1355" i="20"/>
  <c r="H1355" i="20"/>
  <c r="A1356" i="20"/>
  <c r="B1356" i="20"/>
  <c r="C1356" i="20"/>
  <c r="F1356" i="20" s="1"/>
  <c r="D1356" i="20"/>
  <c r="G1356" i="20"/>
  <c r="H1356" i="20"/>
  <c r="A1357" i="20"/>
  <c r="B1357" i="20"/>
  <c r="C1357" i="20"/>
  <c r="F1357" i="20" s="1"/>
  <c r="D1357" i="20"/>
  <c r="G1357" i="20"/>
  <c r="H1357" i="20"/>
  <c r="A1358" i="20"/>
  <c r="B1358" i="20"/>
  <c r="C1358" i="20"/>
  <c r="F1358" i="20" s="1"/>
  <c r="D1358" i="20"/>
  <c r="G1358" i="20"/>
  <c r="H1358" i="20"/>
  <c r="A1359" i="20"/>
  <c r="B1359" i="20"/>
  <c r="C1359" i="20"/>
  <c r="F1359" i="20" s="1"/>
  <c r="D1359" i="20"/>
  <c r="G1359" i="20"/>
  <c r="H1359" i="20"/>
  <c r="A1360" i="20"/>
  <c r="B1360" i="20"/>
  <c r="C1360" i="20"/>
  <c r="F1360" i="20" s="1"/>
  <c r="D1360" i="20"/>
  <c r="G1360" i="20"/>
  <c r="H1360" i="20"/>
  <c r="A1361" i="20"/>
  <c r="B1361" i="20"/>
  <c r="C1361" i="20"/>
  <c r="F1361" i="20" s="1"/>
  <c r="D1361" i="20"/>
  <c r="G1361" i="20"/>
  <c r="H1361" i="20"/>
  <c r="A1362" i="20"/>
  <c r="B1362" i="20"/>
  <c r="C1362" i="20"/>
  <c r="F1362" i="20" s="1"/>
  <c r="D1362" i="20"/>
  <c r="G1362" i="20"/>
  <c r="H1362" i="20"/>
  <c r="A1363" i="20"/>
  <c r="B1363" i="20"/>
  <c r="C1363" i="20"/>
  <c r="F1363" i="20" s="1"/>
  <c r="D1363" i="20"/>
  <c r="G1363" i="20"/>
  <c r="H1363" i="20"/>
  <c r="A1364" i="20"/>
  <c r="B1364" i="20"/>
  <c r="C1364" i="20"/>
  <c r="F1364" i="20" s="1"/>
  <c r="D1364" i="20"/>
  <c r="G1364" i="20"/>
  <c r="H1364" i="20"/>
  <c r="A1365" i="20"/>
  <c r="B1365" i="20"/>
  <c r="C1365" i="20"/>
  <c r="F1365" i="20" s="1"/>
  <c r="D1365" i="20"/>
  <c r="G1365" i="20"/>
  <c r="H1365" i="20"/>
  <c r="A1366" i="20"/>
  <c r="B1366" i="20"/>
  <c r="C1366" i="20"/>
  <c r="F1366" i="20" s="1"/>
  <c r="D1366" i="20"/>
  <c r="G1366" i="20"/>
  <c r="H1366" i="20"/>
  <c r="A1367" i="20"/>
  <c r="B1367" i="20"/>
  <c r="C1367" i="20"/>
  <c r="F1367" i="20" s="1"/>
  <c r="D1367" i="20"/>
  <c r="G1367" i="20"/>
  <c r="H1367" i="20"/>
  <c r="A1368" i="20"/>
  <c r="B1368" i="20"/>
  <c r="C1368" i="20"/>
  <c r="F1368" i="20" s="1"/>
  <c r="D1368" i="20"/>
  <c r="G1368" i="20"/>
  <c r="H1368" i="20"/>
  <c r="A1369" i="20"/>
  <c r="B1369" i="20"/>
  <c r="C1369" i="20"/>
  <c r="F1369" i="20" s="1"/>
  <c r="D1369" i="20"/>
  <c r="G1369" i="20"/>
  <c r="H1369" i="20"/>
  <c r="A1370" i="20"/>
  <c r="B1370" i="20"/>
  <c r="C1370" i="20"/>
  <c r="F1370" i="20" s="1"/>
  <c r="D1370" i="20"/>
  <c r="G1370" i="20"/>
  <c r="H1370" i="20"/>
  <c r="A1371" i="20"/>
  <c r="B1371" i="20"/>
  <c r="C1371" i="20"/>
  <c r="F1371" i="20" s="1"/>
  <c r="D1371" i="20"/>
  <c r="G1371" i="20"/>
  <c r="H1371" i="20"/>
  <c r="A1372" i="20"/>
  <c r="B1372" i="20"/>
  <c r="C1372" i="20"/>
  <c r="F1372" i="20" s="1"/>
  <c r="D1372" i="20"/>
  <c r="G1372" i="20"/>
  <c r="H1372" i="20"/>
  <c r="A1373" i="20"/>
  <c r="B1373" i="20"/>
  <c r="C1373" i="20"/>
  <c r="F1373" i="20" s="1"/>
  <c r="D1373" i="20"/>
  <c r="G1373" i="20"/>
  <c r="H1373" i="20"/>
  <c r="A1374" i="20"/>
  <c r="B1374" i="20"/>
  <c r="C1374" i="20"/>
  <c r="F1374" i="20" s="1"/>
  <c r="D1374" i="20"/>
  <c r="G1374" i="20"/>
  <c r="H1374" i="20"/>
  <c r="A1375" i="20"/>
  <c r="B1375" i="20"/>
  <c r="C1375" i="20"/>
  <c r="F1375" i="20" s="1"/>
  <c r="D1375" i="20"/>
  <c r="G1375" i="20"/>
  <c r="H1375" i="20"/>
  <c r="A1376" i="20"/>
  <c r="B1376" i="20"/>
  <c r="C1376" i="20"/>
  <c r="F1376" i="20" s="1"/>
  <c r="D1376" i="20"/>
  <c r="G1376" i="20"/>
  <c r="H1376" i="20"/>
  <c r="A1377" i="20"/>
  <c r="B1377" i="20"/>
  <c r="C1377" i="20"/>
  <c r="F1377" i="20" s="1"/>
  <c r="D1377" i="20"/>
  <c r="G1377" i="20"/>
  <c r="H1377" i="20"/>
  <c r="A1378" i="20"/>
  <c r="B1378" i="20"/>
  <c r="C1378" i="20"/>
  <c r="D1378" i="20"/>
  <c r="F1378" i="20"/>
  <c r="G1378" i="20"/>
  <c r="H1378" i="20"/>
  <c r="A1379" i="20"/>
  <c r="B1379" i="20"/>
  <c r="C1379" i="20"/>
  <c r="F1379" i="20" s="1"/>
  <c r="D1379" i="20"/>
  <c r="G1379" i="20"/>
  <c r="H1379" i="20"/>
  <c r="A1380" i="20"/>
  <c r="B1380" i="20"/>
  <c r="C1380" i="20"/>
  <c r="F1380" i="20" s="1"/>
  <c r="D1380" i="20"/>
  <c r="G1380" i="20"/>
  <c r="H1380" i="20"/>
  <c r="A1381" i="20"/>
  <c r="B1381" i="20"/>
  <c r="C1381" i="20"/>
  <c r="F1381" i="20" s="1"/>
  <c r="D1381" i="20"/>
  <c r="G1381" i="20"/>
  <c r="H1381" i="20"/>
  <c r="A1382" i="20"/>
  <c r="B1382" i="20"/>
  <c r="C1382" i="20"/>
  <c r="F1382" i="20" s="1"/>
  <c r="D1382" i="20"/>
  <c r="G1382" i="20"/>
  <c r="H1382" i="20"/>
  <c r="A1383" i="20"/>
  <c r="B1383" i="20"/>
  <c r="C1383" i="20"/>
  <c r="F1383" i="20" s="1"/>
  <c r="D1383" i="20"/>
  <c r="G1383" i="20"/>
  <c r="H1383" i="20"/>
  <c r="A1384" i="20"/>
  <c r="B1384" i="20"/>
  <c r="C1384" i="20"/>
  <c r="F1384" i="20" s="1"/>
  <c r="D1384" i="20"/>
  <c r="G1384" i="20"/>
  <c r="H1384" i="20"/>
  <c r="A1385" i="20"/>
  <c r="B1385" i="20"/>
  <c r="C1385" i="20"/>
  <c r="F1385" i="20" s="1"/>
  <c r="D1385" i="20"/>
  <c r="G1385" i="20"/>
  <c r="H1385" i="20"/>
  <c r="A1386" i="20"/>
  <c r="B1386" i="20"/>
  <c r="C1386" i="20"/>
  <c r="F1386" i="20" s="1"/>
  <c r="D1386" i="20"/>
  <c r="G1386" i="20"/>
  <c r="H1386" i="20"/>
  <c r="A1387" i="20"/>
  <c r="B1387" i="20"/>
  <c r="C1387" i="20"/>
  <c r="F1387" i="20" s="1"/>
  <c r="D1387" i="20"/>
  <c r="G1387" i="20"/>
  <c r="H1387" i="20"/>
  <c r="A1388" i="20"/>
  <c r="B1388" i="20"/>
  <c r="C1388" i="20"/>
  <c r="F1388" i="20" s="1"/>
  <c r="D1388" i="20"/>
  <c r="G1388" i="20"/>
  <c r="H1388" i="20"/>
  <c r="A1389" i="20"/>
  <c r="B1389" i="20"/>
  <c r="C1389" i="20"/>
  <c r="F1389" i="20" s="1"/>
  <c r="D1389" i="20"/>
  <c r="G1389" i="20"/>
  <c r="H1389" i="20"/>
  <c r="A1390" i="20"/>
  <c r="B1390" i="20"/>
  <c r="C1390" i="20"/>
  <c r="F1390" i="20" s="1"/>
  <c r="D1390" i="20"/>
  <c r="G1390" i="20"/>
  <c r="H1390" i="20"/>
  <c r="A1391" i="20"/>
  <c r="B1391" i="20"/>
  <c r="C1391" i="20"/>
  <c r="F1391" i="20" s="1"/>
  <c r="D1391" i="20"/>
  <c r="G1391" i="20"/>
  <c r="H1391" i="20"/>
  <c r="A1392" i="20"/>
  <c r="B1392" i="20"/>
  <c r="C1392" i="20"/>
  <c r="F1392" i="20" s="1"/>
  <c r="D1392" i="20"/>
  <c r="G1392" i="20"/>
  <c r="H1392" i="20"/>
  <c r="A1393" i="20"/>
  <c r="B1393" i="20"/>
  <c r="C1393" i="20"/>
  <c r="F1393" i="20" s="1"/>
  <c r="D1393" i="20"/>
  <c r="G1393" i="20"/>
  <c r="H1393" i="20"/>
  <c r="A1394" i="20"/>
  <c r="B1394" i="20"/>
  <c r="C1394" i="20"/>
  <c r="F1394" i="20" s="1"/>
  <c r="D1394" i="20"/>
  <c r="G1394" i="20"/>
  <c r="H1394" i="20"/>
  <c r="A1395" i="20"/>
  <c r="B1395" i="20"/>
  <c r="C1395" i="20"/>
  <c r="F1395" i="20" s="1"/>
  <c r="D1395" i="20"/>
  <c r="G1395" i="20"/>
  <c r="H1395" i="20"/>
  <c r="A1396" i="20"/>
  <c r="B1396" i="20"/>
  <c r="C1396" i="20"/>
  <c r="F1396" i="20" s="1"/>
  <c r="D1396" i="20"/>
  <c r="G1396" i="20"/>
  <c r="H1396" i="20"/>
  <c r="A1397" i="20"/>
  <c r="B1397" i="20"/>
  <c r="C1397" i="20"/>
  <c r="F1397" i="20" s="1"/>
  <c r="D1397" i="20"/>
  <c r="G1397" i="20"/>
  <c r="H1397" i="20"/>
  <c r="A1398" i="20"/>
  <c r="B1398" i="20"/>
  <c r="C1398" i="20"/>
  <c r="F1398" i="20" s="1"/>
  <c r="D1398" i="20"/>
  <c r="G1398" i="20"/>
  <c r="H1398" i="20"/>
  <c r="A1399" i="20"/>
  <c r="B1399" i="20"/>
  <c r="C1399" i="20"/>
  <c r="F1399" i="20" s="1"/>
  <c r="D1399" i="20"/>
  <c r="G1399" i="20"/>
  <c r="H1399" i="20"/>
  <c r="A1400" i="20"/>
  <c r="B1400" i="20"/>
  <c r="C1400" i="20"/>
  <c r="F1400" i="20" s="1"/>
  <c r="D1400" i="20"/>
  <c r="G1400" i="20"/>
  <c r="H1400" i="20"/>
  <c r="A1401" i="20"/>
  <c r="B1401" i="20"/>
  <c r="C1401" i="20"/>
  <c r="F1401" i="20" s="1"/>
  <c r="D1401" i="20"/>
  <c r="G1401" i="20"/>
  <c r="H1401" i="20"/>
  <c r="A1402" i="20"/>
  <c r="B1402" i="20"/>
  <c r="C1402" i="20"/>
  <c r="F1402" i="20" s="1"/>
  <c r="D1402" i="20"/>
  <c r="G1402" i="20"/>
  <c r="H1402" i="20"/>
  <c r="A1403" i="20"/>
  <c r="B1403" i="20"/>
  <c r="C1403" i="20"/>
  <c r="F1403" i="20" s="1"/>
  <c r="D1403" i="20"/>
  <c r="G1403" i="20"/>
  <c r="H1403" i="20"/>
  <c r="A1404" i="20"/>
  <c r="B1404" i="20"/>
  <c r="C1404" i="20"/>
  <c r="F1404" i="20" s="1"/>
  <c r="D1404" i="20"/>
  <c r="G1404" i="20"/>
  <c r="H1404" i="20"/>
  <c r="A1405" i="20"/>
  <c r="B1405" i="20"/>
  <c r="C1405" i="20"/>
  <c r="D1405" i="20"/>
  <c r="F1405" i="20"/>
  <c r="G1405" i="20"/>
  <c r="H1405" i="20"/>
  <c r="A1406" i="20"/>
  <c r="B1406" i="20"/>
  <c r="C1406" i="20"/>
  <c r="F1406" i="20" s="1"/>
  <c r="D1406" i="20"/>
  <c r="G1406" i="20"/>
  <c r="H1406" i="20"/>
  <c r="A1407" i="20"/>
  <c r="B1407" i="20"/>
  <c r="C1407" i="20"/>
  <c r="F1407" i="20" s="1"/>
  <c r="D1407" i="20"/>
  <c r="G1407" i="20"/>
  <c r="H1407" i="20"/>
  <c r="A1408" i="20"/>
  <c r="B1408" i="20"/>
  <c r="C1408" i="20"/>
  <c r="F1408" i="20" s="1"/>
  <c r="D1408" i="20"/>
  <c r="G1408" i="20"/>
  <c r="H1408" i="20"/>
  <c r="A1409" i="20"/>
  <c r="B1409" i="20"/>
  <c r="C1409" i="20"/>
  <c r="F1409" i="20" s="1"/>
  <c r="D1409" i="20"/>
  <c r="G1409" i="20"/>
  <c r="H1409" i="20"/>
  <c r="A1410" i="20"/>
  <c r="B1410" i="20"/>
  <c r="C1410" i="20"/>
  <c r="F1410" i="20" s="1"/>
  <c r="D1410" i="20"/>
  <c r="G1410" i="20"/>
  <c r="H1410" i="20"/>
  <c r="A1411" i="20"/>
  <c r="B1411" i="20"/>
  <c r="C1411" i="20"/>
  <c r="F1411" i="20" s="1"/>
  <c r="D1411" i="20"/>
  <c r="G1411" i="20"/>
  <c r="H1411" i="20"/>
  <c r="A1412" i="20"/>
  <c r="B1412" i="20"/>
  <c r="C1412" i="20"/>
  <c r="F1412" i="20" s="1"/>
  <c r="D1412" i="20"/>
  <c r="G1412" i="20"/>
  <c r="H1412" i="20"/>
  <c r="A1413" i="20"/>
  <c r="B1413" i="20"/>
  <c r="C1413" i="20"/>
  <c r="F1413" i="20" s="1"/>
  <c r="D1413" i="20"/>
  <c r="G1413" i="20"/>
  <c r="H1413" i="20"/>
  <c r="A1414" i="20"/>
  <c r="B1414" i="20"/>
  <c r="C1414" i="20"/>
  <c r="F1414" i="20" s="1"/>
  <c r="D1414" i="20"/>
  <c r="G1414" i="20"/>
  <c r="H1414" i="20"/>
  <c r="A1415" i="20"/>
  <c r="B1415" i="20"/>
  <c r="C1415" i="20"/>
  <c r="F1415" i="20" s="1"/>
  <c r="D1415" i="20"/>
  <c r="G1415" i="20"/>
  <c r="H1415" i="20"/>
  <c r="A1416" i="20"/>
  <c r="B1416" i="20"/>
  <c r="C1416" i="20"/>
  <c r="F1416" i="20" s="1"/>
  <c r="D1416" i="20"/>
  <c r="G1416" i="20"/>
  <c r="H1416" i="20"/>
  <c r="A1417" i="20"/>
  <c r="B1417" i="20"/>
  <c r="C1417" i="20"/>
  <c r="F1417" i="20" s="1"/>
  <c r="D1417" i="20"/>
  <c r="G1417" i="20"/>
  <c r="H1417" i="20"/>
  <c r="A1418" i="20"/>
  <c r="B1418" i="20"/>
  <c r="C1418" i="20"/>
  <c r="F1418" i="20" s="1"/>
  <c r="D1418" i="20"/>
  <c r="G1418" i="20"/>
  <c r="H1418" i="20"/>
  <c r="A1419" i="20"/>
  <c r="B1419" i="20"/>
  <c r="C1419" i="20"/>
  <c r="F1419" i="20" s="1"/>
  <c r="D1419" i="20"/>
  <c r="G1419" i="20"/>
  <c r="H1419" i="20"/>
  <c r="A1420" i="20"/>
  <c r="B1420" i="20"/>
  <c r="C1420" i="20"/>
  <c r="F1420" i="20" s="1"/>
  <c r="D1420" i="20"/>
  <c r="G1420" i="20"/>
  <c r="H1420" i="20"/>
  <c r="A1421" i="20"/>
  <c r="B1421" i="20"/>
  <c r="C1421" i="20"/>
  <c r="F1421" i="20" s="1"/>
  <c r="D1421" i="20"/>
  <c r="G1421" i="20"/>
  <c r="H1421" i="20"/>
  <c r="A1422" i="20"/>
  <c r="B1422" i="20"/>
  <c r="C1422" i="20"/>
  <c r="F1422" i="20" s="1"/>
  <c r="D1422" i="20"/>
  <c r="G1422" i="20"/>
  <c r="H1422" i="20"/>
  <c r="A1423" i="20"/>
  <c r="B1423" i="20"/>
  <c r="C1423" i="20"/>
  <c r="F1423" i="20" s="1"/>
  <c r="D1423" i="20"/>
  <c r="G1423" i="20"/>
  <c r="H1423" i="20"/>
  <c r="A1424" i="20"/>
  <c r="B1424" i="20"/>
  <c r="C1424" i="20"/>
  <c r="F1424" i="20" s="1"/>
  <c r="D1424" i="20"/>
  <c r="G1424" i="20"/>
  <c r="H1424" i="20"/>
  <c r="A1425" i="20"/>
  <c r="B1425" i="20"/>
  <c r="C1425" i="20"/>
  <c r="F1425" i="20" s="1"/>
  <c r="D1425" i="20"/>
  <c r="G1425" i="20"/>
  <c r="H1425" i="20"/>
  <c r="A1426" i="20"/>
  <c r="B1426" i="20"/>
  <c r="C1426" i="20"/>
  <c r="F1426" i="20" s="1"/>
  <c r="D1426" i="20"/>
  <c r="G1426" i="20"/>
  <c r="H1426" i="20"/>
  <c r="A1427" i="20"/>
  <c r="B1427" i="20"/>
  <c r="C1427" i="20"/>
  <c r="F1427" i="20" s="1"/>
  <c r="D1427" i="20"/>
  <c r="G1427" i="20"/>
  <c r="H1427" i="20"/>
  <c r="A1428" i="20"/>
  <c r="B1428" i="20"/>
  <c r="C1428" i="20"/>
  <c r="F1428" i="20" s="1"/>
  <c r="D1428" i="20"/>
  <c r="G1428" i="20"/>
  <c r="H1428" i="20"/>
  <c r="A1429" i="20"/>
  <c r="B1429" i="20"/>
  <c r="C1429" i="20"/>
  <c r="F1429" i="20" s="1"/>
  <c r="D1429" i="20"/>
  <c r="G1429" i="20"/>
  <c r="H1429" i="20"/>
  <c r="A1430" i="20"/>
  <c r="B1430" i="20"/>
  <c r="C1430" i="20"/>
  <c r="F1430" i="20" s="1"/>
  <c r="D1430" i="20"/>
  <c r="G1430" i="20"/>
  <c r="H1430" i="20"/>
  <c r="A1431" i="20"/>
  <c r="B1431" i="20"/>
  <c r="C1431" i="20"/>
  <c r="D1431" i="20"/>
  <c r="F1431" i="20"/>
  <c r="G1431" i="20"/>
  <c r="H1431" i="20"/>
  <c r="A1432" i="20"/>
  <c r="B1432" i="20"/>
  <c r="C1432" i="20"/>
  <c r="F1432" i="20" s="1"/>
  <c r="D1432" i="20"/>
  <c r="G1432" i="20"/>
  <c r="H1432" i="20"/>
  <c r="A1433" i="20"/>
  <c r="B1433" i="20"/>
  <c r="C1433" i="20"/>
  <c r="F1433" i="20" s="1"/>
  <c r="D1433" i="20"/>
  <c r="G1433" i="20"/>
  <c r="H1433" i="20"/>
  <c r="A1434" i="20"/>
  <c r="B1434" i="20"/>
  <c r="C1434" i="20"/>
  <c r="F1434" i="20" s="1"/>
  <c r="D1434" i="20"/>
  <c r="G1434" i="20"/>
  <c r="H1434" i="20"/>
  <c r="A1435" i="20"/>
  <c r="B1435" i="20"/>
  <c r="C1435" i="20"/>
  <c r="F1435" i="20" s="1"/>
  <c r="D1435" i="20"/>
  <c r="G1435" i="20"/>
  <c r="H1435" i="20"/>
  <c r="A1436" i="20"/>
  <c r="B1436" i="20"/>
  <c r="C1436" i="20"/>
  <c r="F1436" i="20" s="1"/>
  <c r="D1436" i="20"/>
  <c r="G1436" i="20"/>
  <c r="H1436" i="20"/>
  <c r="A1437" i="20"/>
  <c r="B1437" i="20"/>
  <c r="C1437" i="20"/>
  <c r="F1437" i="20" s="1"/>
  <c r="D1437" i="20"/>
  <c r="G1437" i="20"/>
  <c r="H1437" i="20"/>
  <c r="A1438" i="20"/>
  <c r="B1438" i="20"/>
  <c r="C1438" i="20"/>
  <c r="F1438" i="20" s="1"/>
  <c r="D1438" i="20"/>
  <c r="G1438" i="20"/>
  <c r="H1438" i="20"/>
  <c r="A1439" i="20"/>
  <c r="B1439" i="20"/>
  <c r="C1439" i="20"/>
  <c r="F1439" i="20" s="1"/>
  <c r="D1439" i="20"/>
  <c r="G1439" i="20"/>
  <c r="H1439" i="20"/>
  <c r="A1440" i="20"/>
  <c r="B1440" i="20"/>
  <c r="C1440" i="20"/>
  <c r="F1440" i="20" s="1"/>
  <c r="D1440" i="20"/>
  <c r="G1440" i="20"/>
  <c r="H1440" i="20"/>
  <c r="A1441" i="20"/>
  <c r="B1441" i="20"/>
  <c r="C1441" i="20"/>
  <c r="F1441" i="20" s="1"/>
  <c r="D1441" i="20"/>
  <c r="G1441" i="20"/>
  <c r="H1441" i="20"/>
  <c r="A1442" i="20"/>
  <c r="B1442" i="20"/>
  <c r="C1442" i="20"/>
  <c r="F1442" i="20" s="1"/>
  <c r="D1442" i="20"/>
  <c r="G1442" i="20"/>
  <c r="H1442" i="20"/>
  <c r="A1443" i="20"/>
  <c r="B1443" i="20"/>
  <c r="C1443" i="20"/>
  <c r="F1443" i="20" s="1"/>
  <c r="D1443" i="20"/>
  <c r="G1443" i="20"/>
  <c r="H1443" i="20"/>
  <c r="A1444" i="20"/>
  <c r="B1444" i="20"/>
  <c r="C1444" i="20"/>
  <c r="F1444" i="20" s="1"/>
  <c r="D1444" i="20"/>
  <c r="G1444" i="20"/>
  <c r="H1444" i="20"/>
  <c r="A1445" i="20"/>
  <c r="B1445" i="20"/>
  <c r="C1445" i="20"/>
  <c r="F1445" i="20" s="1"/>
  <c r="D1445" i="20"/>
  <c r="G1445" i="20"/>
  <c r="H1445" i="20"/>
  <c r="A1446" i="20"/>
  <c r="B1446" i="20"/>
  <c r="C1446" i="20"/>
  <c r="F1446" i="20" s="1"/>
  <c r="D1446" i="20"/>
  <c r="G1446" i="20"/>
  <c r="H1446" i="20"/>
  <c r="A1447" i="20"/>
  <c r="B1447" i="20"/>
  <c r="C1447" i="20"/>
  <c r="F1447" i="20" s="1"/>
  <c r="D1447" i="20"/>
  <c r="G1447" i="20"/>
  <c r="H1447" i="20"/>
  <c r="A1448" i="20"/>
  <c r="B1448" i="20"/>
  <c r="C1448" i="20"/>
  <c r="F1448" i="20" s="1"/>
  <c r="D1448" i="20"/>
  <c r="G1448" i="20"/>
  <c r="H1448" i="20"/>
  <c r="A1449" i="20"/>
  <c r="B1449" i="20"/>
  <c r="C1449" i="20"/>
  <c r="F1449" i="20" s="1"/>
  <c r="D1449" i="20"/>
  <c r="G1449" i="20"/>
  <c r="H1449" i="20"/>
  <c r="A1450" i="20"/>
  <c r="B1450" i="20"/>
  <c r="C1450" i="20"/>
  <c r="F1450" i="20" s="1"/>
  <c r="D1450" i="20"/>
  <c r="G1450" i="20"/>
  <c r="H1450" i="20"/>
  <c r="A1451" i="20"/>
  <c r="B1451" i="20"/>
  <c r="C1451" i="20"/>
  <c r="D1451" i="20"/>
  <c r="F1451" i="20"/>
  <c r="G1451" i="20"/>
  <c r="H1451" i="20"/>
  <c r="A1452" i="20"/>
  <c r="B1452" i="20"/>
  <c r="C1452" i="20"/>
  <c r="F1452" i="20" s="1"/>
  <c r="D1452" i="20"/>
  <c r="G1452" i="20"/>
  <c r="H1452" i="20"/>
  <c r="A1453" i="20"/>
  <c r="B1453" i="20"/>
  <c r="C1453" i="20"/>
  <c r="F1453" i="20" s="1"/>
  <c r="D1453" i="20"/>
  <c r="G1453" i="20"/>
  <c r="H1453" i="20"/>
  <c r="A1454" i="20"/>
  <c r="B1454" i="20"/>
  <c r="C1454" i="20"/>
  <c r="F1454" i="20" s="1"/>
  <c r="D1454" i="20"/>
  <c r="G1454" i="20"/>
  <c r="H1454" i="20"/>
  <c r="A1455" i="20"/>
  <c r="B1455" i="20"/>
  <c r="C1455" i="20"/>
  <c r="F1455" i="20" s="1"/>
  <c r="D1455" i="20"/>
  <c r="G1455" i="20"/>
  <c r="H1455" i="20"/>
  <c r="A1456" i="20"/>
  <c r="B1456" i="20"/>
  <c r="C1456" i="20"/>
  <c r="F1456" i="20" s="1"/>
  <c r="D1456" i="20"/>
  <c r="G1456" i="20"/>
  <c r="H1456" i="20"/>
  <c r="A1457" i="20"/>
  <c r="B1457" i="20"/>
  <c r="C1457" i="20"/>
  <c r="F1457" i="20" s="1"/>
  <c r="D1457" i="20"/>
  <c r="G1457" i="20"/>
  <c r="H1457" i="20"/>
  <c r="A1458" i="20"/>
  <c r="B1458" i="20"/>
  <c r="C1458" i="20"/>
  <c r="F1458" i="20" s="1"/>
  <c r="D1458" i="20"/>
  <c r="G1458" i="20"/>
  <c r="H1458" i="20"/>
  <c r="A1459" i="20"/>
  <c r="B1459" i="20"/>
  <c r="C1459" i="20"/>
  <c r="F1459" i="20" s="1"/>
  <c r="D1459" i="20"/>
  <c r="G1459" i="20"/>
  <c r="H1459" i="20"/>
  <c r="A1460" i="20"/>
  <c r="B1460" i="20"/>
  <c r="C1460" i="20"/>
  <c r="F1460" i="20" s="1"/>
  <c r="D1460" i="20"/>
  <c r="G1460" i="20"/>
  <c r="H1460" i="20"/>
  <c r="A1461" i="20"/>
  <c r="B1461" i="20"/>
  <c r="C1461" i="20"/>
  <c r="F1461" i="20" s="1"/>
  <c r="D1461" i="20"/>
  <c r="G1461" i="20"/>
  <c r="H1461" i="20"/>
  <c r="A1462" i="20"/>
  <c r="B1462" i="20"/>
  <c r="C1462" i="20"/>
  <c r="F1462" i="20" s="1"/>
  <c r="D1462" i="20"/>
  <c r="G1462" i="20"/>
  <c r="H1462" i="20"/>
  <c r="A1463" i="20"/>
  <c r="B1463" i="20"/>
  <c r="C1463" i="20"/>
  <c r="F1463" i="20" s="1"/>
  <c r="D1463" i="20"/>
  <c r="G1463" i="20"/>
  <c r="H1463" i="20"/>
  <c r="A1464" i="20"/>
  <c r="B1464" i="20"/>
  <c r="C1464" i="20"/>
  <c r="D1464" i="20"/>
  <c r="F1464" i="20"/>
  <c r="G1464" i="20"/>
  <c r="H1464" i="20"/>
  <c r="A1465" i="20"/>
  <c r="B1465" i="20"/>
  <c r="C1465" i="20"/>
  <c r="F1465" i="20" s="1"/>
  <c r="D1465" i="20"/>
  <c r="G1465" i="20"/>
  <c r="H1465" i="20"/>
  <c r="A1466" i="20"/>
  <c r="B1466" i="20"/>
  <c r="C1466" i="20"/>
  <c r="F1466" i="20" s="1"/>
  <c r="D1466" i="20"/>
  <c r="G1466" i="20"/>
  <c r="H1466" i="20"/>
  <c r="A1467" i="20"/>
  <c r="B1467" i="20"/>
  <c r="C1467" i="20"/>
  <c r="D1467" i="20"/>
  <c r="F1467" i="20"/>
  <c r="G1467" i="20"/>
  <c r="H1467" i="20"/>
  <c r="A1468" i="20"/>
  <c r="B1468" i="20"/>
  <c r="C1468" i="20"/>
  <c r="F1468" i="20" s="1"/>
  <c r="D1468" i="20"/>
  <c r="G1468" i="20"/>
  <c r="H1468" i="20"/>
  <c r="A1469" i="20"/>
  <c r="B1469" i="20"/>
  <c r="C1469" i="20"/>
  <c r="F1469" i="20" s="1"/>
  <c r="D1469" i="20"/>
  <c r="G1469" i="20"/>
  <c r="H1469" i="20"/>
  <c r="A1470" i="20"/>
  <c r="B1470" i="20"/>
  <c r="C1470" i="20"/>
  <c r="F1470" i="20" s="1"/>
  <c r="D1470" i="20"/>
  <c r="G1470" i="20"/>
  <c r="H1470" i="20"/>
  <c r="A1471" i="20"/>
  <c r="B1471" i="20"/>
  <c r="C1471" i="20"/>
  <c r="F1471" i="20" s="1"/>
  <c r="D1471" i="20"/>
  <c r="G1471" i="20"/>
  <c r="H1471" i="20"/>
  <c r="A1472" i="20"/>
  <c r="B1472" i="20"/>
  <c r="C1472" i="20"/>
  <c r="F1472" i="20" s="1"/>
  <c r="D1472" i="20"/>
  <c r="G1472" i="20"/>
  <c r="H1472" i="20"/>
  <c r="A1473" i="20"/>
  <c r="B1473" i="20"/>
  <c r="C1473" i="20"/>
  <c r="F1473" i="20" s="1"/>
  <c r="D1473" i="20"/>
  <c r="G1473" i="20"/>
  <c r="H1473" i="20"/>
  <c r="A1474" i="20"/>
  <c r="B1474" i="20"/>
  <c r="C1474" i="20"/>
  <c r="F1474" i="20" s="1"/>
  <c r="D1474" i="20"/>
  <c r="G1474" i="20"/>
  <c r="H1474" i="20"/>
  <c r="A1475" i="20"/>
  <c r="B1475" i="20"/>
  <c r="C1475" i="20"/>
  <c r="F1475" i="20" s="1"/>
  <c r="D1475" i="20"/>
  <c r="G1475" i="20"/>
  <c r="H1475" i="20"/>
  <c r="A1476" i="20"/>
  <c r="B1476" i="20"/>
  <c r="C1476" i="20"/>
  <c r="D1476" i="20"/>
  <c r="F1476" i="20"/>
  <c r="G1476" i="20"/>
  <c r="H1476" i="20"/>
  <c r="A1477" i="20"/>
  <c r="B1477" i="20"/>
  <c r="C1477" i="20"/>
  <c r="F1477" i="20" s="1"/>
  <c r="D1477" i="20"/>
  <c r="G1477" i="20"/>
  <c r="H1477" i="20"/>
  <c r="A1478" i="20"/>
  <c r="B1478" i="20"/>
  <c r="C1478" i="20"/>
  <c r="F1478" i="20" s="1"/>
  <c r="D1478" i="20"/>
  <c r="G1478" i="20"/>
  <c r="H1478" i="20"/>
  <c r="A1479" i="20"/>
  <c r="B1479" i="20"/>
  <c r="C1479" i="20"/>
  <c r="F1479" i="20" s="1"/>
  <c r="D1479" i="20"/>
  <c r="G1479" i="20"/>
  <c r="H1479" i="20"/>
  <c r="A1480" i="20"/>
  <c r="B1480" i="20"/>
  <c r="C1480" i="20"/>
  <c r="F1480" i="20" s="1"/>
  <c r="D1480" i="20"/>
  <c r="G1480" i="20"/>
  <c r="H1480" i="20"/>
  <c r="A1481" i="20"/>
  <c r="B1481" i="20"/>
  <c r="C1481" i="20"/>
  <c r="F1481" i="20" s="1"/>
  <c r="D1481" i="20"/>
  <c r="G1481" i="20"/>
  <c r="H1481" i="20"/>
  <c r="A1482" i="20"/>
  <c r="B1482" i="20"/>
  <c r="C1482" i="20"/>
  <c r="F1482" i="20" s="1"/>
  <c r="D1482" i="20"/>
  <c r="G1482" i="20"/>
  <c r="H1482" i="20"/>
  <c r="A1483" i="20"/>
  <c r="B1483" i="20"/>
  <c r="C1483" i="20"/>
  <c r="F1483" i="20" s="1"/>
  <c r="D1483" i="20"/>
  <c r="G1483" i="20"/>
  <c r="H1483" i="20"/>
  <c r="A1484" i="20"/>
  <c r="B1484" i="20"/>
  <c r="C1484" i="20"/>
  <c r="F1484" i="20" s="1"/>
  <c r="D1484" i="20"/>
  <c r="G1484" i="20"/>
  <c r="H1484" i="20"/>
  <c r="A1485" i="20"/>
  <c r="B1485" i="20"/>
  <c r="C1485" i="20"/>
  <c r="F1485" i="20" s="1"/>
  <c r="D1485" i="20"/>
  <c r="G1485" i="20"/>
  <c r="H1485" i="20"/>
  <c r="A1486" i="20"/>
  <c r="B1486" i="20"/>
  <c r="C1486" i="20"/>
  <c r="F1486" i="20" s="1"/>
  <c r="D1486" i="20"/>
  <c r="G1486" i="20"/>
  <c r="H1486" i="20"/>
  <c r="A1487" i="20"/>
  <c r="B1487" i="20"/>
  <c r="C1487" i="20"/>
  <c r="D1487" i="20"/>
  <c r="F1487" i="20"/>
  <c r="G1487" i="20"/>
  <c r="H1487" i="20"/>
  <c r="A1488" i="20"/>
  <c r="B1488" i="20"/>
  <c r="C1488" i="20"/>
  <c r="F1488" i="20" s="1"/>
  <c r="D1488" i="20"/>
  <c r="G1488" i="20"/>
  <c r="H1488" i="20"/>
  <c r="A1489" i="20"/>
  <c r="B1489" i="20"/>
  <c r="C1489" i="20"/>
  <c r="F1489" i="20" s="1"/>
  <c r="D1489" i="20"/>
  <c r="G1489" i="20"/>
  <c r="H1489" i="20"/>
  <c r="A1490" i="20"/>
  <c r="B1490" i="20"/>
  <c r="C1490" i="20"/>
  <c r="F1490" i="20" s="1"/>
  <c r="D1490" i="20"/>
  <c r="G1490" i="20"/>
  <c r="H1490" i="20"/>
  <c r="A1491" i="20"/>
  <c r="B1491" i="20"/>
  <c r="C1491" i="20"/>
  <c r="F1491" i="20" s="1"/>
  <c r="D1491" i="20"/>
  <c r="G1491" i="20"/>
  <c r="H1491" i="20"/>
  <c r="A1492" i="20"/>
  <c r="B1492" i="20"/>
  <c r="C1492" i="20"/>
  <c r="D1492" i="20"/>
  <c r="F1492" i="20"/>
  <c r="G1492" i="20"/>
  <c r="H1492" i="20"/>
  <c r="A1493" i="20"/>
  <c r="B1493" i="20"/>
  <c r="C1493" i="20"/>
  <c r="F1493" i="20" s="1"/>
  <c r="D1493" i="20"/>
  <c r="G1493" i="20"/>
  <c r="H1493" i="20"/>
  <c r="A1494" i="20"/>
  <c r="B1494" i="20"/>
  <c r="C1494" i="20"/>
  <c r="F1494" i="20" s="1"/>
  <c r="D1494" i="20"/>
  <c r="G1494" i="20"/>
  <c r="H1494" i="20"/>
  <c r="A1495" i="20"/>
  <c r="B1495" i="20"/>
  <c r="C1495" i="20"/>
  <c r="F1495" i="20" s="1"/>
  <c r="D1495" i="20"/>
  <c r="G1495" i="20"/>
  <c r="H1495" i="20"/>
  <c r="A1496" i="20"/>
  <c r="B1496" i="20"/>
  <c r="C1496" i="20"/>
  <c r="F1496" i="20" s="1"/>
  <c r="D1496" i="20"/>
  <c r="G1496" i="20"/>
  <c r="H1496" i="20"/>
  <c r="A1497" i="20"/>
  <c r="B1497" i="20"/>
  <c r="C1497" i="20"/>
  <c r="F1497" i="20" s="1"/>
  <c r="D1497" i="20"/>
  <c r="G1497" i="20"/>
  <c r="H1497" i="20"/>
  <c r="A1498" i="20"/>
  <c r="B1498" i="20"/>
  <c r="C1498" i="20"/>
  <c r="F1498" i="20" s="1"/>
  <c r="D1498" i="20"/>
  <c r="G1498" i="20"/>
  <c r="H1498" i="20"/>
  <c r="A1499" i="20"/>
  <c r="B1499" i="20"/>
  <c r="C1499" i="20"/>
  <c r="F1499" i="20" s="1"/>
  <c r="D1499" i="20"/>
  <c r="G1499" i="20"/>
  <c r="H1499" i="20"/>
  <c r="A1500" i="20"/>
  <c r="B1500" i="20"/>
  <c r="C1500" i="20"/>
  <c r="D1500" i="20"/>
  <c r="F1500" i="20"/>
  <c r="G1500" i="20"/>
  <c r="H1500" i="20"/>
  <c r="A1501" i="20"/>
  <c r="B1501" i="20"/>
  <c r="C1501" i="20"/>
  <c r="F1501" i="20" s="1"/>
  <c r="D1501" i="20"/>
  <c r="G1501" i="20"/>
  <c r="H1501" i="20"/>
  <c r="A1502" i="20"/>
  <c r="B1502" i="20"/>
  <c r="C1502" i="20"/>
  <c r="F1502" i="20" s="1"/>
  <c r="D1502" i="20"/>
  <c r="G1502" i="20"/>
  <c r="H1502" i="20"/>
  <c r="A1503" i="20"/>
  <c r="B1503" i="20"/>
  <c r="C1503" i="20"/>
  <c r="F1503" i="20" s="1"/>
  <c r="D1503" i="20"/>
  <c r="G1503" i="20"/>
  <c r="H1503" i="20"/>
  <c r="A1504" i="20"/>
  <c r="B1504" i="20"/>
  <c r="C1504" i="20"/>
  <c r="F1504" i="20" s="1"/>
  <c r="D1504" i="20"/>
  <c r="G1504" i="20"/>
  <c r="H1504" i="20"/>
  <c r="A1505" i="20"/>
  <c r="B1505" i="20"/>
  <c r="C1505" i="20"/>
  <c r="F1505" i="20" s="1"/>
  <c r="D1505" i="20"/>
  <c r="G1505" i="20"/>
  <c r="H1505" i="20"/>
  <c r="A1506" i="20"/>
  <c r="B1506" i="20"/>
  <c r="C1506" i="20"/>
  <c r="F1506" i="20" s="1"/>
  <c r="D1506" i="20"/>
  <c r="G1506" i="20"/>
  <c r="H1506" i="20"/>
  <c r="A1507" i="20"/>
  <c r="B1507" i="20"/>
  <c r="C1507" i="20"/>
  <c r="F1507" i="20" s="1"/>
  <c r="D1507" i="20"/>
  <c r="G1507" i="20"/>
  <c r="H1507" i="20"/>
  <c r="A1508" i="20"/>
  <c r="B1508" i="20"/>
  <c r="C1508" i="20"/>
  <c r="F1508" i="20" s="1"/>
  <c r="D1508" i="20"/>
  <c r="G1508" i="20"/>
  <c r="H1508" i="20"/>
  <c r="A1509" i="20"/>
  <c r="B1509" i="20"/>
  <c r="C1509" i="20"/>
  <c r="F1509" i="20" s="1"/>
  <c r="D1509" i="20"/>
  <c r="G1509" i="20"/>
  <c r="H1509" i="20"/>
  <c r="A1510" i="20"/>
  <c r="B1510" i="20"/>
  <c r="C1510" i="20"/>
  <c r="F1510" i="20" s="1"/>
  <c r="D1510" i="20"/>
  <c r="G1510" i="20"/>
  <c r="H1510" i="20"/>
  <c r="A1511" i="20"/>
  <c r="B1511" i="20"/>
  <c r="C1511" i="20"/>
  <c r="F1511" i="20" s="1"/>
  <c r="D1511" i="20"/>
  <c r="G1511" i="20"/>
  <c r="H1511" i="20"/>
  <c r="A1512" i="20"/>
  <c r="B1512" i="20"/>
  <c r="C1512" i="20"/>
  <c r="F1512" i="20" s="1"/>
  <c r="D1512" i="20"/>
  <c r="G1512" i="20"/>
  <c r="H1512" i="20"/>
  <c r="A1513" i="20"/>
  <c r="B1513" i="20"/>
  <c r="C1513" i="20"/>
  <c r="F1513" i="20" s="1"/>
  <c r="D1513" i="20"/>
  <c r="G1513" i="20"/>
  <c r="H1513" i="20"/>
  <c r="A1514" i="20"/>
  <c r="B1514" i="20"/>
  <c r="C1514" i="20"/>
  <c r="F1514" i="20" s="1"/>
  <c r="D1514" i="20"/>
  <c r="G1514" i="20"/>
  <c r="H1514" i="20"/>
  <c r="A1515" i="20"/>
  <c r="B1515" i="20"/>
  <c r="C1515" i="20"/>
  <c r="F1515" i="20" s="1"/>
  <c r="D1515" i="20"/>
  <c r="G1515" i="20"/>
  <c r="H1515" i="20"/>
  <c r="A1516" i="20"/>
  <c r="B1516" i="20"/>
  <c r="C1516" i="20"/>
  <c r="D1516" i="20"/>
  <c r="F1516" i="20"/>
  <c r="G1516" i="20"/>
  <c r="H1516" i="20"/>
  <c r="A1517" i="20"/>
  <c r="B1517" i="20"/>
  <c r="C1517" i="20"/>
  <c r="F1517" i="20" s="1"/>
  <c r="D1517" i="20"/>
  <c r="G1517" i="20"/>
  <c r="H1517" i="20"/>
  <c r="A1518" i="20"/>
  <c r="B1518" i="20"/>
  <c r="C1518" i="20"/>
  <c r="F1518" i="20" s="1"/>
  <c r="D1518" i="20"/>
  <c r="G1518" i="20"/>
  <c r="H1518" i="20"/>
  <c r="A1519" i="20"/>
  <c r="B1519" i="20"/>
  <c r="C1519" i="20"/>
  <c r="F1519" i="20" s="1"/>
  <c r="D1519" i="20"/>
  <c r="G1519" i="20"/>
  <c r="H1519" i="20"/>
  <c r="A1520" i="20"/>
  <c r="B1520" i="20"/>
  <c r="C1520" i="20"/>
  <c r="F1520" i="20" s="1"/>
  <c r="D1520" i="20"/>
  <c r="G1520" i="20"/>
  <c r="H1520" i="20"/>
  <c r="A1521" i="20"/>
  <c r="B1521" i="20"/>
  <c r="C1521" i="20"/>
  <c r="F1521" i="20" s="1"/>
  <c r="D1521" i="20"/>
  <c r="G1521" i="20"/>
  <c r="H1521" i="20"/>
  <c r="A1522" i="20"/>
  <c r="B1522" i="20"/>
  <c r="C1522" i="20"/>
  <c r="F1522" i="20" s="1"/>
  <c r="D1522" i="20"/>
  <c r="G1522" i="20"/>
  <c r="H1522" i="20"/>
  <c r="A1523" i="20"/>
  <c r="B1523" i="20"/>
  <c r="C1523" i="20"/>
  <c r="F1523" i="20" s="1"/>
  <c r="D1523" i="20"/>
  <c r="G1523" i="20"/>
  <c r="H1523" i="20"/>
  <c r="A1524" i="20"/>
  <c r="B1524" i="20"/>
  <c r="C1524" i="20"/>
  <c r="F1524" i="20" s="1"/>
  <c r="D1524" i="20"/>
  <c r="G1524" i="20"/>
  <c r="H1524" i="20"/>
  <c r="A1525" i="20"/>
  <c r="B1525" i="20"/>
  <c r="C1525" i="20"/>
  <c r="F1525" i="20" s="1"/>
  <c r="D1525" i="20"/>
  <c r="G1525" i="20"/>
  <c r="H1525" i="20"/>
  <c r="A1526" i="20"/>
  <c r="B1526" i="20"/>
  <c r="C1526" i="20"/>
  <c r="F1526" i="20" s="1"/>
  <c r="D1526" i="20"/>
  <c r="G1526" i="20"/>
  <c r="H1526" i="20"/>
  <c r="A1527" i="20"/>
  <c r="B1527" i="20"/>
  <c r="C1527" i="20"/>
  <c r="F1527" i="20" s="1"/>
  <c r="D1527" i="20"/>
  <c r="G1527" i="20"/>
  <c r="H1527" i="20"/>
  <c r="A1528" i="20"/>
  <c r="B1528" i="20"/>
  <c r="C1528" i="20"/>
  <c r="F1528" i="20" s="1"/>
  <c r="D1528" i="20"/>
  <c r="G1528" i="20"/>
  <c r="H1528" i="20"/>
  <c r="A1529" i="20"/>
  <c r="B1529" i="20"/>
  <c r="C1529" i="20"/>
  <c r="F1529" i="20" s="1"/>
  <c r="D1529" i="20"/>
  <c r="G1529" i="20"/>
  <c r="H1529" i="20"/>
  <c r="A1530" i="20"/>
  <c r="B1530" i="20"/>
  <c r="C1530" i="20"/>
  <c r="F1530" i="20" s="1"/>
  <c r="D1530" i="20"/>
  <c r="G1530" i="20"/>
  <c r="H1530" i="20"/>
  <c r="A1531" i="20"/>
  <c r="B1531" i="20"/>
  <c r="C1531" i="20"/>
  <c r="F1531" i="20" s="1"/>
  <c r="D1531" i="20"/>
  <c r="G1531" i="20"/>
  <c r="H1531" i="20"/>
  <c r="A1532" i="20"/>
  <c r="B1532" i="20"/>
  <c r="C1532" i="20"/>
  <c r="F1532" i="20" s="1"/>
  <c r="D1532" i="20"/>
  <c r="G1532" i="20"/>
  <c r="H1532" i="20"/>
  <c r="A1533" i="20"/>
  <c r="B1533" i="20"/>
  <c r="C1533" i="20"/>
  <c r="F1533" i="20" s="1"/>
  <c r="D1533" i="20"/>
  <c r="G1533" i="20"/>
  <c r="H1533" i="20"/>
  <c r="A1534" i="20"/>
  <c r="B1534" i="20"/>
  <c r="C1534" i="20"/>
  <c r="F1534" i="20" s="1"/>
  <c r="D1534" i="20"/>
  <c r="G1534" i="20"/>
  <c r="H1534" i="20"/>
  <c r="A1535" i="20"/>
  <c r="B1535" i="20"/>
  <c r="C1535" i="20"/>
  <c r="F1535" i="20" s="1"/>
  <c r="D1535" i="20"/>
  <c r="G1535" i="20"/>
  <c r="H1535" i="20"/>
  <c r="A1536" i="20"/>
  <c r="B1536" i="20"/>
  <c r="C1536" i="20"/>
  <c r="F1536" i="20" s="1"/>
  <c r="D1536" i="20"/>
  <c r="G1536" i="20"/>
  <c r="H1536" i="20"/>
  <c r="A1537" i="20"/>
  <c r="B1537" i="20"/>
  <c r="C1537" i="20"/>
  <c r="F1537" i="20" s="1"/>
  <c r="D1537" i="20"/>
  <c r="G1537" i="20"/>
  <c r="H1537" i="20"/>
  <c r="A1538" i="20"/>
  <c r="B1538" i="20"/>
  <c r="C1538" i="20"/>
  <c r="F1538" i="20" s="1"/>
  <c r="D1538" i="20"/>
  <c r="G1538" i="20"/>
  <c r="H1538" i="20"/>
  <c r="A1539" i="20"/>
  <c r="B1539" i="20"/>
  <c r="C1539" i="20"/>
  <c r="F1539" i="20" s="1"/>
  <c r="D1539" i="20"/>
  <c r="G1539" i="20"/>
  <c r="H1539" i="20"/>
  <c r="A1540" i="20"/>
  <c r="B1540" i="20"/>
  <c r="C1540" i="20"/>
  <c r="F1540" i="20" s="1"/>
  <c r="D1540" i="20"/>
  <c r="G1540" i="20"/>
  <c r="H1540" i="20"/>
  <c r="A1541" i="20"/>
  <c r="B1541" i="20"/>
  <c r="C1541" i="20"/>
  <c r="F1541" i="20" s="1"/>
  <c r="D1541" i="20"/>
  <c r="G1541" i="20"/>
  <c r="H1541" i="20"/>
  <c r="A1542" i="20"/>
  <c r="B1542" i="20"/>
  <c r="C1542" i="20"/>
  <c r="F1542" i="20" s="1"/>
  <c r="D1542" i="20"/>
  <c r="G1542" i="20"/>
  <c r="H1542" i="20"/>
  <c r="A1543" i="20"/>
  <c r="B1543" i="20"/>
  <c r="C1543" i="20"/>
  <c r="F1543" i="20" s="1"/>
  <c r="D1543" i="20"/>
  <c r="G1543" i="20"/>
  <c r="H1543" i="20"/>
  <c r="A1544" i="20"/>
  <c r="B1544" i="20"/>
  <c r="C1544" i="20"/>
  <c r="F1544" i="20" s="1"/>
  <c r="D1544" i="20"/>
  <c r="G1544" i="20"/>
  <c r="H1544" i="20"/>
  <c r="A1545" i="20"/>
  <c r="B1545" i="20"/>
  <c r="C1545" i="20"/>
  <c r="F1545" i="20" s="1"/>
  <c r="D1545" i="20"/>
  <c r="G1545" i="20"/>
  <c r="H1545" i="20"/>
  <c r="A1546" i="20"/>
  <c r="B1546" i="20"/>
  <c r="C1546" i="20"/>
  <c r="F1546" i="20" s="1"/>
  <c r="D1546" i="20"/>
  <c r="G1546" i="20"/>
  <c r="H1546" i="20"/>
  <c r="A1547" i="20"/>
  <c r="B1547" i="20"/>
  <c r="C1547" i="20"/>
  <c r="F1547" i="20" s="1"/>
  <c r="D1547" i="20"/>
  <c r="G1547" i="20"/>
  <c r="H1547" i="20"/>
  <c r="A1548" i="20"/>
  <c r="B1548" i="20"/>
  <c r="C1548" i="20"/>
  <c r="D1548" i="20"/>
  <c r="F1548" i="20"/>
  <c r="G1548" i="20"/>
  <c r="H1548" i="20"/>
  <c r="A1549" i="20"/>
  <c r="B1549" i="20"/>
  <c r="C1549" i="20"/>
  <c r="F1549" i="20" s="1"/>
  <c r="D1549" i="20"/>
  <c r="G1549" i="20"/>
  <c r="H1549" i="20"/>
  <c r="A1550" i="20"/>
  <c r="B1550" i="20"/>
  <c r="C1550" i="20"/>
  <c r="F1550" i="20" s="1"/>
  <c r="D1550" i="20"/>
  <c r="G1550" i="20"/>
  <c r="H1550" i="20"/>
  <c r="A1551" i="20"/>
  <c r="B1551" i="20"/>
  <c r="C1551" i="20"/>
  <c r="F1551" i="20" s="1"/>
  <c r="D1551" i="20"/>
  <c r="G1551" i="20"/>
  <c r="H1551" i="20"/>
  <c r="A1552" i="20"/>
  <c r="B1552" i="20"/>
  <c r="C1552" i="20"/>
  <c r="F1552" i="20" s="1"/>
  <c r="D1552" i="20"/>
  <c r="G1552" i="20"/>
  <c r="H1552" i="20"/>
  <c r="A1553" i="20"/>
  <c r="B1553" i="20"/>
  <c r="C1553" i="20"/>
  <c r="F1553" i="20" s="1"/>
  <c r="D1553" i="20"/>
  <c r="G1553" i="20"/>
  <c r="H1553" i="20"/>
  <c r="A1554" i="20"/>
  <c r="B1554" i="20"/>
  <c r="C1554" i="20"/>
  <c r="F1554" i="20" s="1"/>
  <c r="D1554" i="20"/>
  <c r="G1554" i="20"/>
  <c r="H1554" i="20"/>
  <c r="A1555" i="20"/>
  <c r="B1555" i="20"/>
  <c r="C1555" i="20"/>
  <c r="F1555" i="20" s="1"/>
  <c r="D1555" i="20"/>
  <c r="G1555" i="20"/>
  <c r="H1555" i="20"/>
  <c r="A1556" i="20"/>
  <c r="B1556" i="20"/>
  <c r="C1556" i="20"/>
  <c r="D1556" i="20"/>
  <c r="F1556" i="20"/>
  <c r="G1556" i="20"/>
  <c r="H1556" i="20"/>
  <c r="A1557" i="20"/>
  <c r="B1557" i="20"/>
  <c r="C1557" i="20"/>
  <c r="F1557" i="20" s="1"/>
  <c r="D1557" i="20"/>
  <c r="G1557" i="20"/>
  <c r="H1557" i="20"/>
  <c r="A1558" i="20"/>
  <c r="B1558" i="20"/>
  <c r="C1558" i="20"/>
  <c r="F1558" i="20" s="1"/>
  <c r="D1558" i="20"/>
  <c r="G1558" i="20"/>
  <c r="H1558" i="20"/>
  <c r="A1559" i="20"/>
  <c r="B1559" i="20"/>
  <c r="C1559" i="20"/>
  <c r="F1559" i="20" s="1"/>
  <c r="D1559" i="20"/>
  <c r="G1559" i="20"/>
  <c r="H1559" i="20"/>
  <c r="A1560" i="20"/>
  <c r="B1560" i="20"/>
  <c r="C1560" i="20"/>
  <c r="F1560" i="20" s="1"/>
  <c r="D1560" i="20"/>
  <c r="G1560" i="20"/>
  <c r="H1560" i="20"/>
  <c r="A1561" i="20"/>
  <c r="B1561" i="20"/>
  <c r="C1561" i="20"/>
  <c r="F1561" i="20" s="1"/>
  <c r="D1561" i="20"/>
  <c r="G1561" i="20"/>
  <c r="H1561" i="20"/>
  <c r="A1562" i="20"/>
  <c r="B1562" i="20"/>
  <c r="C1562" i="20"/>
  <c r="F1562" i="20" s="1"/>
  <c r="D1562" i="20"/>
  <c r="G1562" i="20"/>
  <c r="H1562" i="20"/>
  <c r="A1563" i="20"/>
  <c r="B1563" i="20"/>
  <c r="C1563" i="20"/>
  <c r="F1563" i="20" s="1"/>
  <c r="D1563" i="20"/>
  <c r="G1563" i="20"/>
  <c r="H1563" i="20"/>
  <c r="A1564" i="20"/>
  <c r="B1564" i="20"/>
  <c r="C1564" i="20"/>
  <c r="F1564" i="20" s="1"/>
  <c r="D1564" i="20"/>
  <c r="G1564" i="20"/>
  <c r="H1564" i="20"/>
  <c r="A1565" i="20"/>
  <c r="B1565" i="20"/>
  <c r="C1565" i="20"/>
  <c r="F1565" i="20" s="1"/>
  <c r="D1565" i="20"/>
  <c r="G1565" i="20"/>
  <c r="H1565" i="20"/>
  <c r="A1566" i="20"/>
  <c r="B1566" i="20"/>
  <c r="C1566" i="20"/>
  <c r="F1566" i="20" s="1"/>
  <c r="D1566" i="20"/>
  <c r="G1566" i="20"/>
  <c r="H1566" i="20"/>
  <c r="A1567" i="20"/>
  <c r="B1567" i="20"/>
  <c r="C1567" i="20"/>
  <c r="F1567" i="20" s="1"/>
  <c r="D1567" i="20"/>
  <c r="G1567" i="20"/>
  <c r="H1567" i="20"/>
  <c r="A1568" i="20"/>
  <c r="B1568" i="20"/>
  <c r="C1568" i="20"/>
  <c r="F1568" i="20" s="1"/>
  <c r="D1568" i="20"/>
  <c r="G1568" i="20"/>
  <c r="H1568" i="20"/>
  <c r="A1569" i="20"/>
  <c r="B1569" i="20"/>
  <c r="C1569" i="20"/>
  <c r="F1569" i="20" s="1"/>
  <c r="D1569" i="20"/>
  <c r="G1569" i="20"/>
  <c r="H1569" i="20"/>
  <c r="A1570" i="20"/>
  <c r="B1570" i="20"/>
  <c r="C1570" i="20"/>
  <c r="F1570" i="20" s="1"/>
  <c r="D1570" i="20"/>
  <c r="G1570" i="20"/>
  <c r="H1570" i="20"/>
  <c r="A1571" i="20"/>
  <c r="B1571" i="20"/>
  <c r="C1571" i="20"/>
  <c r="F1571" i="20" s="1"/>
  <c r="D1571" i="20"/>
  <c r="G1571" i="20"/>
  <c r="H1571" i="20"/>
  <c r="A1572" i="20"/>
  <c r="B1572" i="20"/>
  <c r="C1572" i="20"/>
  <c r="F1572" i="20" s="1"/>
  <c r="D1572" i="20"/>
  <c r="G1572" i="20"/>
  <c r="H1572" i="20"/>
  <c r="A1573" i="20"/>
  <c r="B1573" i="20"/>
  <c r="C1573" i="20"/>
  <c r="F1573" i="20" s="1"/>
  <c r="D1573" i="20"/>
  <c r="G1573" i="20"/>
  <c r="H1573" i="20"/>
  <c r="A1574" i="20"/>
  <c r="B1574" i="20"/>
  <c r="C1574" i="20"/>
  <c r="F1574" i="20" s="1"/>
  <c r="D1574" i="20"/>
  <c r="G1574" i="20"/>
  <c r="H1574" i="20"/>
  <c r="A1575" i="20"/>
  <c r="B1575" i="20"/>
  <c r="C1575" i="20"/>
  <c r="F1575" i="20" s="1"/>
  <c r="D1575" i="20"/>
  <c r="G1575" i="20"/>
  <c r="H1575" i="20"/>
  <c r="A1576" i="20"/>
  <c r="B1576" i="20"/>
  <c r="C1576" i="20"/>
  <c r="F1576" i="20" s="1"/>
  <c r="D1576" i="20"/>
  <c r="G1576" i="20"/>
  <c r="H1576" i="20"/>
  <c r="A1577" i="20"/>
  <c r="B1577" i="20"/>
  <c r="C1577" i="20"/>
  <c r="F1577" i="20" s="1"/>
  <c r="D1577" i="20"/>
  <c r="G1577" i="20"/>
  <c r="H1577" i="20"/>
  <c r="A1578" i="20"/>
  <c r="B1578" i="20"/>
  <c r="C1578" i="20"/>
  <c r="F1578" i="20" s="1"/>
  <c r="D1578" i="20"/>
  <c r="G1578" i="20"/>
  <c r="H1578" i="20"/>
  <c r="A1579" i="20"/>
  <c r="B1579" i="20"/>
  <c r="C1579" i="20"/>
  <c r="F1579" i="20" s="1"/>
  <c r="D1579" i="20"/>
  <c r="G1579" i="20"/>
  <c r="H1579" i="20"/>
  <c r="A1580" i="20"/>
  <c r="B1580" i="20"/>
  <c r="C1580" i="20"/>
  <c r="D1580" i="20"/>
  <c r="F1580" i="20"/>
  <c r="G1580" i="20"/>
  <c r="H1580" i="20"/>
  <c r="A1581" i="20"/>
  <c r="B1581" i="20"/>
  <c r="C1581" i="20"/>
  <c r="F1581" i="20" s="1"/>
  <c r="D1581" i="20"/>
  <c r="G1581" i="20"/>
  <c r="H1581" i="20"/>
  <c r="A1582" i="20"/>
  <c r="B1582" i="20"/>
  <c r="C1582" i="20"/>
  <c r="F1582" i="20" s="1"/>
  <c r="D1582" i="20"/>
  <c r="G1582" i="20"/>
  <c r="H1582" i="20"/>
  <c r="A1583" i="20"/>
  <c r="B1583" i="20"/>
  <c r="C1583" i="20"/>
  <c r="F1583" i="20" s="1"/>
  <c r="D1583" i="20"/>
  <c r="G1583" i="20"/>
  <c r="H1583" i="20"/>
  <c r="A1584" i="20"/>
  <c r="B1584" i="20"/>
  <c r="C1584" i="20"/>
  <c r="F1584" i="20" s="1"/>
  <c r="D1584" i="20"/>
  <c r="G1584" i="20"/>
  <c r="H1584" i="20"/>
  <c r="A1585" i="20"/>
  <c r="B1585" i="20"/>
  <c r="C1585" i="20"/>
  <c r="F1585" i="20" s="1"/>
  <c r="D1585" i="20"/>
  <c r="G1585" i="20"/>
  <c r="H1585" i="20"/>
  <c r="A1586" i="20"/>
  <c r="B1586" i="20"/>
  <c r="C1586" i="20"/>
  <c r="F1586" i="20" s="1"/>
  <c r="D1586" i="20"/>
  <c r="G1586" i="20"/>
  <c r="H1586" i="20"/>
  <c r="A1587" i="20"/>
  <c r="B1587" i="20"/>
  <c r="C1587" i="20"/>
  <c r="F1587" i="20" s="1"/>
  <c r="D1587" i="20"/>
  <c r="G1587" i="20"/>
  <c r="H1587" i="20"/>
  <c r="A1588" i="20"/>
  <c r="B1588" i="20"/>
  <c r="C1588" i="20"/>
  <c r="F1588" i="20" s="1"/>
  <c r="D1588" i="20"/>
  <c r="G1588" i="20"/>
  <c r="H1588" i="20"/>
  <c r="A1589" i="20"/>
  <c r="B1589" i="20"/>
  <c r="C1589" i="20"/>
  <c r="F1589" i="20" s="1"/>
  <c r="D1589" i="20"/>
  <c r="G1589" i="20"/>
  <c r="H1589" i="20"/>
  <c r="A1590" i="20"/>
  <c r="B1590" i="20"/>
  <c r="C1590" i="20"/>
  <c r="F1590" i="20" s="1"/>
  <c r="D1590" i="20"/>
  <c r="G1590" i="20"/>
  <c r="H1590" i="20"/>
  <c r="A1591" i="20"/>
  <c r="B1591" i="20"/>
  <c r="C1591" i="20"/>
  <c r="F1591" i="20" s="1"/>
  <c r="D1591" i="20"/>
  <c r="G1591" i="20"/>
  <c r="H1591" i="20"/>
  <c r="A1592" i="20"/>
  <c r="B1592" i="20"/>
  <c r="C1592" i="20"/>
  <c r="F1592" i="20" s="1"/>
  <c r="D1592" i="20"/>
  <c r="G1592" i="20"/>
  <c r="H1592" i="20"/>
  <c r="D797" i="20"/>
  <c r="C797" i="20"/>
  <c r="F797" i="20" s="1"/>
  <c r="A797" i="20"/>
  <c r="A796" i="20"/>
  <c r="B796" i="20"/>
  <c r="C796" i="20"/>
  <c r="F796" i="20" s="1"/>
  <c r="D796" i="20"/>
  <c r="G796" i="20"/>
  <c r="H796" i="20"/>
  <c r="C4" i="20"/>
  <c r="F4" i="20" s="1"/>
  <c r="D4" i="20"/>
  <c r="C5" i="20"/>
  <c r="F5" i="20" s="1"/>
  <c r="D5" i="20"/>
  <c r="C6" i="20"/>
  <c r="F6" i="20" s="1"/>
  <c r="D6" i="20"/>
  <c r="C7" i="20"/>
  <c r="F7" i="20" s="1"/>
  <c r="D7" i="20"/>
  <c r="C8" i="20"/>
  <c r="F8" i="20" s="1"/>
  <c r="D8" i="20"/>
  <c r="C9" i="20"/>
  <c r="F9" i="20" s="1"/>
  <c r="D9" i="20"/>
  <c r="C10" i="20"/>
  <c r="F10" i="20" s="1"/>
  <c r="D10" i="20"/>
  <c r="C11" i="20"/>
  <c r="F11" i="20" s="1"/>
  <c r="D11" i="20"/>
  <c r="C12" i="20"/>
  <c r="F12" i="20" s="1"/>
  <c r="D12" i="20"/>
  <c r="C13" i="20"/>
  <c r="F13" i="20" s="1"/>
  <c r="D13" i="20"/>
  <c r="C14" i="20"/>
  <c r="F14" i="20" s="1"/>
  <c r="D14" i="20"/>
  <c r="C15" i="20"/>
  <c r="F15" i="20" s="1"/>
  <c r="D15" i="20"/>
  <c r="C16" i="20"/>
  <c r="F16" i="20" s="1"/>
  <c r="D16" i="20"/>
  <c r="C17" i="20"/>
  <c r="F17" i="20" s="1"/>
  <c r="D17" i="20"/>
  <c r="C18" i="20"/>
  <c r="F18" i="20" s="1"/>
  <c r="D18" i="20"/>
  <c r="C19" i="20"/>
  <c r="F19" i="20" s="1"/>
  <c r="D19" i="20"/>
  <c r="C20" i="20"/>
  <c r="F20" i="20" s="1"/>
  <c r="D20" i="20"/>
  <c r="C21" i="20"/>
  <c r="F21" i="20" s="1"/>
  <c r="D21" i="20"/>
  <c r="C22" i="20"/>
  <c r="F22" i="20" s="1"/>
  <c r="D22" i="20"/>
  <c r="C23" i="20"/>
  <c r="F23" i="20" s="1"/>
  <c r="D23" i="20"/>
  <c r="C24" i="20"/>
  <c r="F24" i="20" s="1"/>
  <c r="D24" i="20"/>
  <c r="C25" i="20"/>
  <c r="F25" i="20" s="1"/>
  <c r="D25" i="20"/>
  <c r="C26" i="20"/>
  <c r="F26" i="20" s="1"/>
  <c r="D26" i="20"/>
  <c r="C27" i="20"/>
  <c r="F27" i="20" s="1"/>
  <c r="D27" i="20"/>
  <c r="C28" i="20"/>
  <c r="F28" i="20" s="1"/>
  <c r="D28" i="20"/>
  <c r="C29" i="20"/>
  <c r="F29" i="20" s="1"/>
  <c r="D29" i="20"/>
  <c r="C30" i="20"/>
  <c r="F30" i="20" s="1"/>
  <c r="D30" i="20"/>
  <c r="C31" i="20"/>
  <c r="F31" i="20" s="1"/>
  <c r="D31" i="20"/>
  <c r="C32" i="20"/>
  <c r="F32" i="20" s="1"/>
  <c r="D32" i="20"/>
  <c r="C33" i="20"/>
  <c r="F33" i="20" s="1"/>
  <c r="D33" i="20"/>
  <c r="C34" i="20"/>
  <c r="F34" i="20" s="1"/>
  <c r="D34" i="20"/>
  <c r="C35" i="20"/>
  <c r="F35" i="20" s="1"/>
  <c r="D35" i="20"/>
  <c r="C36" i="20"/>
  <c r="F36" i="20" s="1"/>
  <c r="D36" i="20"/>
  <c r="C37" i="20"/>
  <c r="F37" i="20" s="1"/>
  <c r="D37" i="20"/>
  <c r="C38" i="20"/>
  <c r="F38" i="20" s="1"/>
  <c r="D38" i="20"/>
  <c r="C39" i="20"/>
  <c r="F39" i="20" s="1"/>
  <c r="D39" i="20"/>
  <c r="C40" i="20"/>
  <c r="F40" i="20" s="1"/>
  <c r="D40" i="20"/>
  <c r="C41" i="20"/>
  <c r="F41" i="20" s="1"/>
  <c r="D41" i="20"/>
  <c r="A42" i="20"/>
  <c r="B42" i="20"/>
  <c r="C42" i="20"/>
  <c r="F42" i="20" s="1"/>
  <c r="D42" i="20"/>
  <c r="G42" i="20"/>
  <c r="H42" i="20"/>
  <c r="A43" i="20"/>
  <c r="B43" i="20"/>
  <c r="C43" i="20"/>
  <c r="F43" i="20" s="1"/>
  <c r="G43" i="20"/>
  <c r="H43" i="20"/>
  <c r="A44" i="20"/>
  <c r="B44" i="20"/>
  <c r="C44" i="20"/>
  <c r="F44" i="20" s="1"/>
  <c r="D44" i="20"/>
  <c r="G44" i="20"/>
  <c r="H44" i="20"/>
  <c r="A45" i="20"/>
  <c r="B45" i="20"/>
  <c r="C45" i="20"/>
  <c r="F45" i="20" s="1"/>
  <c r="D45" i="20"/>
  <c r="G45" i="20"/>
  <c r="H45" i="20"/>
  <c r="A46" i="20"/>
  <c r="B46" i="20"/>
  <c r="C46" i="20"/>
  <c r="F46" i="20" s="1"/>
  <c r="D46" i="20"/>
  <c r="G46" i="20"/>
  <c r="H46" i="20"/>
  <c r="A47" i="20"/>
  <c r="B47" i="20"/>
  <c r="C47" i="20"/>
  <c r="F47" i="20" s="1"/>
  <c r="G47" i="20"/>
  <c r="H47" i="20"/>
  <c r="A1593" i="20"/>
  <c r="C1593" i="20"/>
  <c r="F1593" i="20" s="1"/>
  <c r="D1593" i="20"/>
  <c r="C1594" i="20"/>
  <c r="F1594" i="20" s="1"/>
  <c r="D1594" i="20"/>
  <c r="C1595" i="20"/>
  <c r="F1595" i="20" s="1"/>
  <c r="D1595" i="20"/>
  <c r="C1596" i="20"/>
  <c r="F1596" i="20" s="1"/>
  <c r="D1596" i="20"/>
  <c r="C1597" i="20"/>
  <c r="F1597" i="20" s="1"/>
  <c r="D1597" i="20"/>
  <c r="C1598" i="20"/>
  <c r="F1598" i="20" s="1"/>
  <c r="D1598" i="20"/>
  <c r="C1599" i="20"/>
  <c r="F1599" i="20" s="1"/>
  <c r="D1599" i="20"/>
  <c r="C1600" i="20"/>
  <c r="F1600" i="20" s="1"/>
  <c r="D1600" i="20"/>
  <c r="C1601" i="20"/>
  <c r="F1601" i="20" s="1"/>
  <c r="D1601" i="20"/>
  <c r="C1602" i="20"/>
  <c r="F1602" i="20" s="1"/>
  <c r="D1602" i="20"/>
  <c r="C1603" i="20"/>
  <c r="F1603" i="20" s="1"/>
  <c r="D1603" i="20"/>
  <c r="C1604" i="20"/>
  <c r="F1604" i="20" s="1"/>
  <c r="D1604" i="20"/>
  <c r="C1605" i="20"/>
  <c r="F1605" i="20" s="1"/>
  <c r="D1605" i="20"/>
  <c r="C1606" i="20"/>
  <c r="F1606" i="20" s="1"/>
  <c r="D1606" i="20"/>
  <c r="C1607" i="20"/>
  <c r="F1607" i="20" s="1"/>
  <c r="D1607" i="20"/>
  <c r="C1608" i="20"/>
  <c r="F1608" i="20" s="1"/>
  <c r="D1608" i="20"/>
  <c r="C1609" i="20"/>
  <c r="F1609" i="20" s="1"/>
  <c r="D1609" i="20"/>
  <c r="C1610" i="20"/>
  <c r="F1610" i="20" s="1"/>
  <c r="D1610" i="20"/>
  <c r="C1611" i="20"/>
  <c r="F1611" i="20" s="1"/>
  <c r="D1611" i="20"/>
  <c r="A48" i="20"/>
  <c r="B48" i="20"/>
  <c r="C48" i="20"/>
  <c r="F48" i="20" s="1"/>
  <c r="D48" i="20"/>
  <c r="G48" i="20"/>
  <c r="H48" i="20"/>
  <c r="A49" i="20"/>
  <c r="B49" i="20"/>
  <c r="C49" i="20"/>
  <c r="F49" i="20"/>
  <c r="G49" i="20"/>
  <c r="H49" i="20"/>
  <c r="A50" i="20"/>
  <c r="B50" i="20"/>
  <c r="C50" i="20"/>
  <c r="F50" i="20" s="1"/>
  <c r="D50" i="20"/>
  <c r="G50" i="20"/>
  <c r="H50" i="20"/>
  <c r="A51" i="20"/>
  <c r="B51" i="20"/>
  <c r="C51" i="20"/>
  <c r="F51" i="20" s="1"/>
  <c r="D51" i="20"/>
  <c r="G51" i="20"/>
  <c r="H51" i="20"/>
  <c r="A52" i="20"/>
  <c r="B52" i="20"/>
  <c r="C52" i="20"/>
  <c r="F52" i="20" s="1"/>
  <c r="G52" i="20"/>
  <c r="H52" i="20"/>
  <c r="A1631" i="20"/>
  <c r="C1631" i="20"/>
  <c r="F1631" i="20" s="1"/>
  <c r="D1631" i="20"/>
  <c r="C1632" i="20"/>
  <c r="F1632" i="20" s="1"/>
  <c r="D1632" i="20"/>
  <c r="A53" i="20"/>
  <c r="B53" i="20"/>
  <c r="C53" i="20"/>
  <c r="F53" i="20" s="1"/>
  <c r="D53" i="20"/>
  <c r="G53" i="20"/>
  <c r="H53" i="20"/>
  <c r="A54" i="20"/>
  <c r="B54" i="20"/>
  <c r="C54" i="20"/>
  <c r="F54" i="20" s="1"/>
  <c r="G54" i="20"/>
  <c r="H54" i="20"/>
  <c r="A55" i="20"/>
  <c r="B55" i="20"/>
  <c r="C55" i="20"/>
  <c r="F55" i="20" s="1"/>
  <c r="D55" i="20"/>
  <c r="G55" i="20"/>
  <c r="H55" i="20"/>
  <c r="A56" i="20"/>
  <c r="B56" i="20"/>
  <c r="C56" i="20"/>
  <c r="F56" i="20" s="1"/>
  <c r="D56" i="20"/>
  <c r="G56" i="20"/>
  <c r="H56" i="20"/>
  <c r="A57" i="20"/>
  <c r="B57" i="20"/>
  <c r="C57" i="20"/>
  <c r="F57" i="20" s="1"/>
  <c r="G57" i="20"/>
  <c r="H57" i="20"/>
  <c r="A1635" i="20"/>
  <c r="C1635" i="20"/>
  <c r="F1635" i="20" s="1"/>
  <c r="D1635" i="20"/>
  <c r="C1636" i="20"/>
  <c r="F1636" i="20" s="1"/>
  <c r="D1636" i="20"/>
  <c r="A58" i="20"/>
  <c r="B58" i="20"/>
  <c r="C58" i="20"/>
  <c r="F58" i="20" s="1"/>
  <c r="D58" i="20"/>
  <c r="G58" i="20"/>
  <c r="H58" i="20"/>
  <c r="A59" i="20"/>
  <c r="B59" i="20"/>
  <c r="C59" i="20"/>
  <c r="F59" i="20" s="1"/>
  <c r="G59" i="20"/>
  <c r="H59" i="20"/>
  <c r="A60" i="20"/>
  <c r="B60" i="20"/>
  <c r="C60" i="20"/>
  <c r="F60" i="20" s="1"/>
  <c r="D60" i="20"/>
  <c r="G60" i="20"/>
  <c r="H60" i="20"/>
  <c r="A61" i="20"/>
  <c r="B61" i="20"/>
  <c r="C61" i="20"/>
  <c r="F61" i="20" s="1"/>
  <c r="D61" i="20"/>
  <c r="G61" i="20"/>
  <c r="H61" i="20"/>
  <c r="A62" i="20"/>
  <c r="B62" i="20"/>
  <c r="C62" i="20"/>
  <c r="F62" i="20" s="1"/>
  <c r="G62" i="20"/>
  <c r="H62" i="20"/>
  <c r="A1639" i="20"/>
  <c r="C1639" i="20"/>
  <c r="F1639" i="20" s="1"/>
  <c r="D1639" i="20"/>
  <c r="C1640" i="20"/>
  <c r="F1640" i="20" s="1"/>
  <c r="D1640" i="20"/>
  <c r="A63" i="20"/>
  <c r="B63" i="20"/>
  <c r="C63" i="20"/>
  <c r="F63" i="20" s="1"/>
  <c r="D63" i="20"/>
  <c r="G63" i="20"/>
  <c r="H63" i="20"/>
  <c r="A64" i="20"/>
  <c r="B64" i="20"/>
  <c r="C64" i="20"/>
  <c r="F64" i="20" s="1"/>
  <c r="G64" i="20"/>
  <c r="H64" i="20"/>
  <c r="A65" i="20"/>
  <c r="B65" i="20"/>
  <c r="C65" i="20"/>
  <c r="F65" i="20" s="1"/>
  <c r="D65" i="20"/>
  <c r="G65" i="20"/>
  <c r="H65" i="20"/>
  <c r="A66" i="20"/>
  <c r="B66" i="20"/>
  <c r="C66" i="20"/>
  <c r="F66" i="20" s="1"/>
  <c r="D66" i="20"/>
  <c r="G66" i="20"/>
  <c r="H66" i="20"/>
  <c r="A67" i="20"/>
  <c r="B67" i="20"/>
  <c r="C67" i="20"/>
  <c r="F67" i="20" s="1"/>
  <c r="G67" i="20"/>
  <c r="H67" i="20"/>
  <c r="A1643" i="20"/>
  <c r="C1643" i="20"/>
  <c r="F1643" i="20" s="1"/>
  <c r="D1643" i="20"/>
  <c r="A1644" i="20"/>
  <c r="C1644" i="20"/>
  <c r="F1644" i="20" s="1"/>
  <c r="D1644" i="20"/>
  <c r="H1644" i="20"/>
  <c r="C1645" i="20"/>
  <c r="F1645" i="20" s="1"/>
  <c r="D1645" i="20"/>
  <c r="A68" i="20"/>
  <c r="B68" i="20"/>
  <c r="D68" i="20"/>
  <c r="F68" i="20"/>
  <c r="G68" i="20"/>
  <c r="H68" i="20"/>
  <c r="A69" i="20"/>
  <c r="B69" i="20"/>
  <c r="C69" i="20"/>
  <c r="F69" i="20" s="1"/>
  <c r="G69" i="20"/>
  <c r="H69" i="20"/>
  <c r="A70" i="20"/>
  <c r="B70" i="20"/>
  <c r="C70" i="20"/>
  <c r="F70" i="20" s="1"/>
  <c r="D70" i="20"/>
  <c r="G70" i="20"/>
  <c r="H70" i="20"/>
  <c r="A71" i="20"/>
  <c r="B71" i="20"/>
  <c r="C71" i="20"/>
  <c r="F71" i="20" s="1"/>
  <c r="D71" i="20"/>
  <c r="G71" i="20"/>
  <c r="H71" i="20"/>
  <c r="A72" i="20"/>
  <c r="B72" i="20"/>
  <c r="C72" i="20"/>
  <c r="F72" i="20" s="1"/>
  <c r="G72" i="20"/>
  <c r="H72" i="20"/>
  <c r="A1649" i="20"/>
  <c r="C1649" i="20"/>
  <c r="F1649" i="20" s="1"/>
  <c r="D1649" i="20"/>
  <c r="C1650" i="20"/>
  <c r="F1650" i="20" s="1"/>
  <c r="D1650" i="20"/>
  <c r="C1651" i="20"/>
  <c r="F1651" i="20" s="1"/>
  <c r="D1651" i="20"/>
  <c r="A73" i="20"/>
  <c r="B73" i="20"/>
  <c r="C73" i="20"/>
  <c r="F73" i="20" s="1"/>
  <c r="D73" i="20"/>
  <c r="G73" i="20"/>
  <c r="H73" i="20"/>
  <c r="A74" i="20"/>
  <c r="B74" i="20"/>
  <c r="C74" i="20"/>
  <c r="F74" i="20" s="1"/>
  <c r="G74" i="20"/>
  <c r="H74" i="20"/>
  <c r="A75" i="20"/>
  <c r="B75" i="20"/>
  <c r="C75" i="20"/>
  <c r="F75" i="20" s="1"/>
  <c r="D75" i="20"/>
  <c r="G75" i="20"/>
  <c r="H75" i="20"/>
  <c r="A76" i="20"/>
  <c r="B76" i="20"/>
  <c r="C76" i="20"/>
  <c r="F76" i="20" s="1"/>
  <c r="D76" i="20"/>
  <c r="G76" i="20"/>
  <c r="H76" i="20"/>
  <c r="A77" i="20"/>
  <c r="B77" i="20"/>
  <c r="C77" i="20"/>
  <c r="F77" i="20" s="1"/>
  <c r="G77" i="20"/>
  <c r="H77" i="20"/>
  <c r="A1655" i="20"/>
  <c r="C1655" i="20"/>
  <c r="F1655" i="20" s="1"/>
  <c r="D1655" i="20"/>
  <c r="C1656" i="20"/>
  <c r="F1656" i="20" s="1"/>
  <c r="D1656" i="20"/>
  <c r="A78" i="20"/>
  <c r="B78" i="20"/>
  <c r="C78" i="20"/>
  <c r="F78" i="20" s="1"/>
  <c r="D78" i="20"/>
  <c r="G78" i="20"/>
  <c r="H78" i="20"/>
  <c r="A79" i="20"/>
  <c r="B79" i="20"/>
  <c r="C79" i="20"/>
  <c r="F79" i="20" s="1"/>
  <c r="G79" i="20"/>
  <c r="H79" i="20"/>
  <c r="A80" i="20"/>
  <c r="B80" i="20"/>
  <c r="C80" i="20"/>
  <c r="F80" i="20" s="1"/>
  <c r="D80" i="20"/>
  <c r="G80" i="20"/>
  <c r="H80" i="20"/>
  <c r="A81" i="20"/>
  <c r="B81" i="20"/>
  <c r="C81" i="20"/>
  <c r="F81" i="20" s="1"/>
  <c r="D81" i="20"/>
  <c r="G81" i="20"/>
  <c r="H81" i="20"/>
  <c r="A82" i="20"/>
  <c r="B82" i="20"/>
  <c r="C82" i="20"/>
  <c r="F82" i="20" s="1"/>
  <c r="G82" i="20"/>
  <c r="H82" i="20"/>
  <c r="A1659" i="20"/>
  <c r="C1659" i="20"/>
  <c r="F1659" i="20" s="1"/>
  <c r="D1659" i="20"/>
  <c r="C1660" i="20"/>
  <c r="F1660" i="20" s="1"/>
  <c r="D1660" i="20"/>
  <c r="A83" i="20"/>
  <c r="B83" i="20"/>
  <c r="C83" i="20"/>
  <c r="F83" i="20" s="1"/>
  <c r="D83" i="20"/>
  <c r="G83" i="20"/>
  <c r="H83" i="20"/>
  <c r="A84" i="20"/>
  <c r="B84" i="20"/>
  <c r="C84" i="20"/>
  <c r="F84" i="20" s="1"/>
  <c r="G84" i="20"/>
  <c r="H84" i="20"/>
  <c r="A85" i="20"/>
  <c r="B85" i="20"/>
  <c r="C85" i="20"/>
  <c r="F85" i="20" s="1"/>
  <c r="D85" i="20"/>
  <c r="G85" i="20"/>
  <c r="H85" i="20"/>
  <c r="A86" i="20"/>
  <c r="B86" i="20"/>
  <c r="C86" i="20"/>
  <c r="D86" i="20"/>
  <c r="F86" i="20"/>
  <c r="G86" i="20"/>
  <c r="H86" i="20"/>
  <c r="A87" i="20"/>
  <c r="B87" i="20"/>
  <c r="C87" i="20"/>
  <c r="F87" i="20" s="1"/>
  <c r="G87" i="20"/>
  <c r="H87" i="20"/>
  <c r="A1663" i="20"/>
  <c r="C1663" i="20"/>
  <c r="F1663" i="20" s="1"/>
  <c r="D1663" i="20"/>
  <c r="C1664" i="20"/>
  <c r="F1664" i="20" s="1"/>
  <c r="D1664" i="20"/>
  <c r="A88" i="20"/>
  <c r="B88" i="20"/>
  <c r="C88" i="20"/>
  <c r="F88" i="20" s="1"/>
  <c r="D88" i="20"/>
  <c r="G88" i="20"/>
  <c r="H88" i="20"/>
  <c r="A89" i="20"/>
  <c r="B89" i="20"/>
  <c r="C89" i="20"/>
  <c r="F89" i="20" s="1"/>
  <c r="G89" i="20"/>
  <c r="H89" i="20"/>
  <c r="A90" i="20"/>
  <c r="B90" i="20"/>
  <c r="C90" i="20"/>
  <c r="F90" i="20" s="1"/>
  <c r="D90" i="20"/>
  <c r="G90" i="20"/>
  <c r="H90" i="20"/>
  <c r="A91" i="20"/>
  <c r="B91" i="20"/>
  <c r="C91" i="20"/>
  <c r="F91" i="20" s="1"/>
  <c r="D91" i="20"/>
  <c r="G91" i="20"/>
  <c r="H91" i="20"/>
  <c r="A92" i="20"/>
  <c r="B92" i="20"/>
  <c r="C92" i="20"/>
  <c r="F92" i="20" s="1"/>
  <c r="G92" i="20"/>
  <c r="H92" i="20"/>
  <c r="A1667" i="20"/>
  <c r="C1667" i="20"/>
  <c r="F1667" i="20" s="1"/>
  <c r="D1667" i="20"/>
  <c r="C1668" i="20"/>
  <c r="F1668" i="20" s="1"/>
  <c r="D1668" i="20"/>
  <c r="A93" i="20"/>
  <c r="B93" i="20"/>
  <c r="C93" i="20"/>
  <c r="F93" i="20" s="1"/>
  <c r="D93" i="20"/>
  <c r="G93" i="20"/>
  <c r="H93" i="20"/>
  <c r="A94" i="20"/>
  <c r="B94" i="20"/>
  <c r="C94" i="20"/>
  <c r="F94" i="20" s="1"/>
  <c r="G94" i="20"/>
  <c r="H94" i="20"/>
  <c r="A95" i="20"/>
  <c r="B95" i="20"/>
  <c r="C95" i="20"/>
  <c r="F95" i="20" s="1"/>
  <c r="D95" i="20"/>
  <c r="G95" i="20"/>
  <c r="H95" i="20"/>
  <c r="A96" i="20"/>
  <c r="B96" i="20"/>
  <c r="C96" i="20"/>
  <c r="F96" i="20" s="1"/>
  <c r="D96" i="20"/>
  <c r="G96" i="20"/>
  <c r="H96" i="20"/>
  <c r="A97" i="20"/>
  <c r="B97" i="20"/>
  <c r="C97" i="20"/>
  <c r="F97" i="20" s="1"/>
  <c r="G97" i="20"/>
  <c r="H97" i="20"/>
  <c r="A1671" i="20"/>
  <c r="C1671" i="20"/>
  <c r="F1671" i="20" s="1"/>
  <c r="D1671" i="20"/>
  <c r="C1672" i="20"/>
  <c r="F1672" i="20" s="1"/>
  <c r="D1672" i="20"/>
  <c r="A98" i="20"/>
  <c r="B98" i="20"/>
  <c r="C98" i="20"/>
  <c r="F98" i="20" s="1"/>
  <c r="D98" i="20"/>
  <c r="G98" i="20"/>
  <c r="H98" i="20"/>
  <c r="A99" i="20"/>
  <c r="B99" i="20"/>
  <c r="C99" i="20"/>
  <c r="F99" i="20" s="1"/>
  <c r="G99" i="20"/>
  <c r="H99" i="20"/>
  <c r="A100" i="20"/>
  <c r="B100" i="20"/>
  <c r="C100" i="20"/>
  <c r="F100" i="20" s="1"/>
  <c r="D100" i="20"/>
  <c r="G100" i="20"/>
  <c r="H100" i="20"/>
  <c r="A101" i="20"/>
  <c r="B101" i="20"/>
  <c r="C101" i="20"/>
  <c r="F101" i="20" s="1"/>
  <c r="D101" i="20"/>
  <c r="G101" i="20"/>
  <c r="H101" i="20"/>
  <c r="A102" i="20"/>
  <c r="B102" i="20"/>
  <c r="C102" i="20"/>
  <c r="F102" i="20" s="1"/>
  <c r="G102" i="20"/>
  <c r="H102" i="20"/>
  <c r="A1675" i="20"/>
  <c r="C1675" i="20"/>
  <c r="F1675" i="20" s="1"/>
  <c r="D1675" i="20"/>
  <c r="C1676" i="20"/>
  <c r="F1676" i="20" s="1"/>
  <c r="D1676" i="20"/>
  <c r="A103" i="20"/>
  <c r="B103" i="20"/>
  <c r="C103" i="20"/>
  <c r="F103" i="20" s="1"/>
  <c r="D103" i="20"/>
  <c r="G103" i="20"/>
  <c r="H103" i="20"/>
  <c r="A104" i="20"/>
  <c r="B104" i="20"/>
  <c r="C104" i="20"/>
  <c r="F104" i="20" s="1"/>
  <c r="G104" i="20"/>
  <c r="H104" i="20"/>
  <c r="A105" i="20"/>
  <c r="B105" i="20"/>
  <c r="C105" i="20"/>
  <c r="F105" i="20" s="1"/>
  <c r="D105" i="20"/>
  <c r="G105" i="20"/>
  <c r="H105" i="20"/>
  <c r="A106" i="20"/>
  <c r="B106" i="20"/>
  <c r="C106" i="20"/>
  <c r="F106" i="20" s="1"/>
  <c r="D106" i="20"/>
  <c r="G106" i="20"/>
  <c r="H106" i="20"/>
  <c r="A107" i="20"/>
  <c r="B107" i="20"/>
  <c r="C107" i="20"/>
  <c r="F107" i="20" s="1"/>
  <c r="G107" i="20"/>
  <c r="H107" i="20"/>
  <c r="A1679" i="20"/>
  <c r="C1679" i="20"/>
  <c r="F1679" i="20" s="1"/>
  <c r="D1679" i="20"/>
  <c r="C1680" i="20"/>
  <c r="F1680" i="20" s="1"/>
  <c r="D1680" i="20"/>
  <c r="C1681" i="20"/>
  <c r="F1681" i="20" s="1"/>
  <c r="D1681" i="20"/>
  <c r="A108" i="20"/>
  <c r="B108" i="20"/>
  <c r="C108" i="20"/>
  <c r="F108" i="20" s="1"/>
  <c r="D108" i="20"/>
  <c r="G108" i="20"/>
  <c r="H108" i="20"/>
  <c r="A109" i="20"/>
  <c r="B109" i="20"/>
  <c r="C109" i="20"/>
  <c r="F109" i="20" s="1"/>
  <c r="G109" i="20"/>
  <c r="H109" i="20"/>
  <c r="A110" i="20"/>
  <c r="B110" i="20"/>
  <c r="C110" i="20"/>
  <c r="F110" i="20" s="1"/>
  <c r="D110" i="20"/>
  <c r="G110" i="20"/>
  <c r="H110" i="20"/>
  <c r="A111" i="20"/>
  <c r="B111" i="20"/>
  <c r="C111" i="20"/>
  <c r="F111" i="20" s="1"/>
  <c r="D111" i="20"/>
  <c r="G111" i="20"/>
  <c r="H111" i="20"/>
  <c r="A112" i="20"/>
  <c r="B112" i="20"/>
  <c r="C112" i="20"/>
  <c r="F112" i="20" s="1"/>
  <c r="G112" i="20"/>
  <c r="H112" i="20"/>
  <c r="A1685" i="20"/>
  <c r="C1685" i="20"/>
  <c r="F1685" i="20" s="1"/>
  <c r="D1685" i="20"/>
  <c r="C1686" i="20"/>
  <c r="F1686" i="20" s="1"/>
  <c r="D1686" i="20"/>
  <c r="A113" i="20"/>
  <c r="B113" i="20"/>
  <c r="C113" i="20"/>
  <c r="F113" i="20" s="1"/>
  <c r="D113" i="20"/>
  <c r="G113" i="20"/>
  <c r="H113" i="20"/>
  <c r="A114" i="20"/>
  <c r="B114" i="20"/>
  <c r="C114" i="20"/>
  <c r="F114" i="20" s="1"/>
  <c r="G114" i="20"/>
  <c r="H114" i="20"/>
  <c r="A115" i="20"/>
  <c r="B115" i="20"/>
  <c r="C115" i="20"/>
  <c r="F115" i="20" s="1"/>
  <c r="D115" i="20"/>
  <c r="G115" i="20"/>
  <c r="H115" i="20"/>
  <c r="A116" i="20"/>
  <c r="B116" i="20"/>
  <c r="C116" i="20"/>
  <c r="F116" i="20" s="1"/>
  <c r="D116" i="20"/>
  <c r="G116" i="20"/>
  <c r="H116" i="20"/>
  <c r="A117" i="20"/>
  <c r="B117" i="20"/>
  <c r="C117" i="20"/>
  <c r="F117" i="20" s="1"/>
  <c r="G117" i="20"/>
  <c r="H117" i="20"/>
  <c r="A1689" i="20"/>
  <c r="C1689" i="20"/>
  <c r="F1689" i="20" s="1"/>
  <c r="D1689" i="20"/>
  <c r="C1690" i="20"/>
  <c r="F1690" i="20" s="1"/>
  <c r="D1690" i="20"/>
  <c r="A118" i="20"/>
  <c r="B118" i="20"/>
  <c r="C118" i="20"/>
  <c r="F118" i="20" s="1"/>
  <c r="D118" i="20"/>
  <c r="G118" i="20"/>
  <c r="H118" i="20"/>
  <c r="A119" i="20"/>
  <c r="B119" i="20"/>
  <c r="C119" i="20"/>
  <c r="F119" i="20" s="1"/>
  <c r="G119" i="20"/>
  <c r="H119" i="20"/>
  <c r="A120" i="20"/>
  <c r="B120" i="20"/>
  <c r="C120" i="20"/>
  <c r="F120" i="20" s="1"/>
  <c r="D120" i="20"/>
  <c r="G120" i="20"/>
  <c r="H120" i="20"/>
  <c r="A121" i="20"/>
  <c r="B121" i="20"/>
  <c r="C121" i="20"/>
  <c r="F121" i="20" s="1"/>
  <c r="D121" i="20"/>
  <c r="G121" i="20"/>
  <c r="H121" i="20"/>
  <c r="A122" i="20"/>
  <c r="B122" i="20"/>
  <c r="C122" i="20"/>
  <c r="F122" i="20" s="1"/>
  <c r="G122" i="20"/>
  <c r="H122" i="20"/>
  <c r="A1693" i="20"/>
  <c r="C1693" i="20"/>
  <c r="F1693" i="20" s="1"/>
  <c r="D1693" i="20"/>
  <c r="C1694" i="20"/>
  <c r="F1694" i="20" s="1"/>
  <c r="D1694" i="20"/>
  <c r="A123" i="20"/>
  <c r="B123" i="20"/>
  <c r="C123" i="20"/>
  <c r="F123" i="20" s="1"/>
  <c r="D123" i="20"/>
  <c r="G123" i="20"/>
  <c r="H123" i="20"/>
  <c r="A124" i="20"/>
  <c r="B124" i="20"/>
  <c r="C124" i="20"/>
  <c r="F124" i="20" s="1"/>
  <c r="G124" i="20"/>
  <c r="H124" i="20"/>
  <c r="A125" i="20"/>
  <c r="B125" i="20"/>
  <c r="C125" i="20"/>
  <c r="F125" i="20" s="1"/>
  <c r="D125" i="20"/>
  <c r="G125" i="20"/>
  <c r="H125" i="20"/>
  <c r="A126" i="20"/>
  <c r="B126" i="20"/>
  <c r="C126" i="20"/>
  <c r="F126" i="20" s="1"/>
  <c r="D126" i="20"/>
  <c r="G126" i="20"/>
  <c r="H126" i="20"/>
  <c r="A127" i="20"/>
  <c r="B127" i="20"/>
  <c r="C127" i="20"/>
  <c r="F127" i="20" s="1"/>
  <c r="G127" i="20"/>
  <c r="H127" i="20"/>
  <c r="A1697" i="20"/>
  <c r="C1697" i="20"/>
  <c r="F1697" i="20" s="1"/>
  <c r="D1697" i="20"/>
  <c r="C1698" i="20"/>
  <c r="F1698" i="20" s="1"/>
  <c r="D1698" i="20"/>
  <c r="A128" i="20"/>
  <c r="B128" i="20"/>
  <c r="C128" i="20"/>
  <c r="F128" i="20" s="1"/>
  <c r="D128" i="20"/>
  <c r="G128" i="20"/>
  <c r="H128" i="20"/>
  <c r="A129" i="20"/>
  <c r="B129" i="20"/>
  <c r="C129" i="20"/>
  <c r="F129" i="20" s="1"/>
  <c r="G129" i="20"/>
  <c r="H129" i="20"/>
  <c r="A130" i="20"/>
  <c r="B130" i="20"/>
  <c r="C130" i="20"/>
  <c r="F130" i="20" s="1"/>
  <c r="D130" i="20"/>
  <c r="G130" i="20"/>
  <c r="H130" i="20"/>
  <c r="A131" i="20"/>
  <c r="B131" i="20"/>
  <c r="C131" i="20"/>
  <c r="F131" i="20" s="1"/>
  <c r="D131" i="20"/>
  <c r="G131" i="20"/>
  <c r="H131" i="20"/>
  <c r="A132" i="20"/>
  <c r="B132" i="20"/>
  <c r="C132" i="20"/>
  <c r="F132" i="20" s="1"/>
  <c r="G132" i="20"/>
  <c r="H132" i="20"/>
  <c r="A1701" i="20"/>
  <c r="C1701" i="20"/>
  <c r="F1701" i="20" s="1"/>
  <c r="D1701" i="20"/>
  <c r="C1702" i="20"/>
  <c r="F1702" i="20" s="1"/>
  <c r="D1702" i="20"/>
  <c r="C1703" i="20"/>
  <c r="F1703" i="20" s="1"/>
  <c r="D1703" i="20"/>
  <c r="C1704" i="20"/>
  <c r="F1704" i="20" s="1"/>
  <c r="D1704" i="20"/>
  <c r="A133" i="20"/>
  <c r="B133" i="20"/>
  <c r="C133" i="20"/>
  <c r="F133" i="20" s="1"/>
  <c r="D133" i="20"/>
  <c r="G133" i="20"/>
  <c r="H133" i="20"/>
  <c r="A134" i="20"/>
  <c r="B134" i="20"/>
  <c r="C134" i="20"/>
  <c r="F134" i="20" s="1"/>
  <c r="G134" i="20"/>
  <c r="H134" i="20"/>
  <c r="A135" i="20"/>
  <c r="B135" i="20"/>
  <c r="C135" i="20"/>
  <c r="F135" i="20" s="1"/>
  <c r="D135" i="20"/>
  <c r="G135" i="20"/>
  <c r="H135" i="20"/>
  <c r="A136" i="20"/>
  <c r="B136" i="20"/>
  <c r="C136" i="20"/>
  <c r="F136" i="20" s="1"/>
  <c r="D136" i="20"/>
  <c r="G136" i="20"/>
  <c r="H136" i="20"/>
  <c r="A137" i="20"/>
  <c r="B137" i="20"/>
  <c r="C137" i="20"/>
  <c r="F137" i="20" s="1"/>
  <c r="G137" i="20"/>
  <c r="H137" i="20"/>
  <c r="A1709" i="20"/>
  <c r="C1709" i="20"/>
  <c r="F1709" i="20" s="1"/>
  <c r="D1709" i="20"/>
  <c r="C1710" i="20"/>
  <c r="F1710" i="20" s="1"/>
  <c r="D1710" i="20"/>
  <c r="A138" i="20"/>
  <c r="B138" i="20"/>
  <c r="C138" i="20"/>
  <c r="F138" i="20" s="1"/>
  <c r="D138" i="20"/>
  <c r="G138" i="20"/>
  <c r="H138" i="20"/>
  <c r="A139" i="20"/>
  <c r="B139" i="20"/>
  <c r="C139" i="20"/>
  <c r="F139" i="20" s="1"/>
  <c r="G139" i="20"/>
  <c r="H139" i="20"/>
  <c r="A140" i="20"/>
  <c r="B140" i="20"/>
  <c r="C140" i="20"/>
  <c r="F140" i="20" s="1"/>
  <c r="D140" i="20"/>
  <c r="G140" i="20"/>
  <c r="H140" i="20"/>
  <c r="A141" i="20"/>
  <c r="B141" i="20"/>
  <c r="C141" i="20"/>
  <c r="F141" i="20" s="1"/>
  <c r="D141" i="20"/>
  <c r="G141" i="20"/>
  <c r="H141" i="20"/>
  <c r="A142" i="20"/>
  <c r="B142" i="20"/>
  <c r="C142" i="20"/>
  <c r="F142" i="20" s="1"/>
  <c r="G142" i="20"/>
  <c r="H142" i="20"/>
  <c r="A1713" i="20"/>
  <c r="C1713" i="20"/>
  <c r="F1713" i="20" s="1"/>
  <c r="D1713" i="20"/>
  <c r="C1714" i="20"/>
  <c r="F1714" i="20" s="1"/>
  <c r="D1714" i="20"/>
  <c r="A143" i="20"/>
  <c r="B143" i="20"/>
  <c r="C143" i="20"/>
  <c r="F143" i="20" s="1"/>
  <c r="D143" i="20"/>
  <c r="G143" i="20"/>
  <c r="H143" i="20"/>
  <c r="A144" i="20"/>
  <c r="B144" i="20"/>
  <c r="C144" i="20"/>
  <c r="F144" i="20" s="1"/>
  <c r="G144" i="20"/>
  <c r="H144" i="20"/>
  <c r="A145" i="20"/>
  <c r="B145" i="20"/>
  <c r="C145" i="20"/>
  <c r="F145" i="20" s="1"/>
  <c r="D145" i="20"/>
  <c r="G145" i="20"/>
  <c r="H145" i="20"/>
  <c r="A146" i="20"/>
  <c r="B146" i="20"/>
  <c r="C146" i="20"/>
  <c r="F146" i="20" s="1"/>
  <c r="D146" i="20"/>
  <c r="G146" i="20"/>
  <c r="H146" i="20"/>
  <c r="A147" i="20"/>
  <c r="B147" i="20"/>
  <c r="C147" i="20"/>
  <c r="F147" i="20" s="1"/>
  <c r="G147" i="20"/>
  <c r="H147" i="20"/>
  <c r="A1717" i="20"/>
  <c r="C1717" i="20"/>
  <c r="F1717" i="20" s="1"/>
  <c r="D1717" i="20"/>
  <c r="C1718" i="20"/>
  <c r="F1718" i="20" s="1"/>
  <c r="D1718" i="20"/>
  <c r="A148" i="20"/>
  <c r="B148" i="20"/>
  <c r="C148" i="20"/>
  <c r="F148" i="20" s="1"/>
  <c r="D148" i="20"/>
  <c r="G148" i="20"/>
  <c r="H148" i="20"/>
  <c r="A149" i="20"/>
  <c r="B149" i="20"/>
  <c r="C149" i="20"/>
  <c r="F149" i="20" s="1"/>
  <c r="G149" i="20"/>
  <c r="H149" i="20"/>
  <c r="A150" i="20"/>
  <c r="B150" i="20"/>
  <c r="C150" i="20"/>
  <c r="F150" i="20" s="1"/>
  <c r="D150" i="20"/>
  <c r="G150" i="20"/>
  <c r="H150" i="20"/>
  <c r="A151" i="20"/>
  <c r="B151" i="20"/>
  <c r="C151" i="20"/>
  <c r="F151" i="20" s="1"/>
  <c r="D151" i="20"/>
  <c r="G151" i="20"/>
  <c r="H151" i="20"/>
  <c r="A152" i="20"/>
  <c r="B152" i="20"/>
  <c r="C152" i="20"/>
  <c r="F152" i="20" s="1"/>
  <c r="G152" i="20"/>
  <c r="H152" i="20"/>
  <c r="A1721" i="20"/>
  <c r="C1721" i="20"/>
  <c r="F1721" i="20" s="1"/>
  <c r="D1721" i="20"/>
  <c r="C1722" i="20"/>
  <c r="F1722" i="20" s="1"/>
  <c r="D1722" i="20"/>
  <c r="A153" i="20"/>
  <c r="B153" i="20"/>
  <c r="C153" i="20"/>
  <c r="F153" i="20" s="1"/>
  <c r="D153" i="20"/>
  <c r="G153" i="20"/>
  <c r="H153" i="20"/>
  <c r="A154" i="20"/>
  <c r="B154" i="20"/>
  <c r="C154" i="20"/>
  <c r="F154" i="20" s="1"/>
  <c r="G154" i="20"/>
  <c r="H154" i="20"/>
  <c r="A155" i="20"/>
  <c r="B155" i="20"/>
  <c r="C155" i="20"/>
  <c r="F155" i="20" s="1"/>
  <c r="D155" i="20"/>
  <c r="G155" i="20"/>
  <c r="H155" i="20"/>
  <c r="A156" i="20"/>
  <c r="B156" i="20"/>
  <c r="C156" i="20"/>
  <c r="F156" i="20" s="1"/>
  <c r="D156" i="20"/>
  <c r="G156" i="20"/>
  <c r="H156" i="20"/>
  <c r="A157" i="20"/>
  <c r="B157" i="20"/>
  <c r="C157" i="20"/>
  <c r="F157" i="20" s="1"/>
  <c r="G157" i="20"/>
  <c r="H157" i="20"/>
  <c r="A1725" i="20"/>
  <c r="C1725" i="20"/>
  <c r="F1725" i="20" s="1"/>
  <c r="D1725" i="20"/>
  <c r="C1726" i="20"/>
  <c r="F1726" i="20" s="1"/>
  <c r="D1726" i="20"/>
  <c r="A158" i="20"/>
  <c r="B158" i="20"/>
  <c r="C158" i="20"/>
  <c r="F158" i="20" s="1"/>
  <c r="D158" i="20"/>
  <c r="G158" i="20"/>
  <c r="H158" i="20"/>
  <c r="A159" i="20"/>
  <c r="B159" i="20"/>
  <c r="C159" i="20"/>
  <c r="F159" i="20" s="1"/>
  <c r="G159" i="20"/>
  <c r="H159" i="20"/>
  <c r="A160" i="20"/>
  <c r="B160" i="20"/>
  <c r="C160" i="20"/>
  <c r="F160" i="20" s="1"/>
  <c r="D160" i="20"/>
  <c r="G160" i="20"/>
  <c r="H160" i="20"/>
  <c r="A161" i="20"/>
  <c r="B161" i="20"/>
  <c r="C161" i="20"/>
  <c r="F161" i="20" s="1"/>
  <c r="D161" i="20"/>
  <c r="G161" i="20"/>
  <c r="H161" i="20"/>
  <c r="A162" i="20"/>
  <c r="B162" i="20"/>
  <c r="C162" i="20"/>
  <c r="F162" i="20" s="1"/>
  <c r="G162" i="20"/>
  <c r="H162" i="20"/>
  <c r="A1729" i="20"/>
  <c r="C1729" i="20"/>
  <c r="F1729" i="20" s="1"/>
  <c r="D1729" i="20"/>
  <c r="C1730" i="20"/>
  <c r="F1730" i="20" s="1"/>
  <c r="D1730" i="20"/>
  <c r="A163" i="20"/>
  <c r="B163" i="20"/>
  <c r="C163" i="20"/>
  <c r="F163" i="20" s="1"/>
  <c r="D163" i="20"/>
  <c r="G163" i="20"/>
  <c r="H163" i="20"/>
  <c r="A164" i="20"/>
  <c r="B164" i="20"/>
  <c r="C164" i="20"/>
  <c r="F164" i="20" s="1"/>
  <c r="G164" i="20"/>
  <c r="H164" i="20"/>
  <c r="A165" i="20"/>
  <c r="B165" i="20"/>
  <c r="C165" i="20"/>
  <c r="F165" i="20" s="1"/>
  <c r="D165" i="20"/>
  <c r="G165" i="20"/>
  <c r="H165" i="20"/>
  <c r="A166" i="20"/>
  <c r="B166" i="20"/>
  <c r="C166" i="20"/>
  <c r="F166" i="20" s="1"/>
  <c r="D166" i="20"/>
  <c r="G166" i="20"/>
  <c r="H166" i="20"/>
  <c r="A167" i="20"/>
  <c r="B167" i="20"/>
  <c r="C167" i="20"/>
  <c r="F167" i="20" s="1"/>
  <c r="G167" i="20"/>
  <c r="H167" i="20"/>
  <c r="A1733" i="20"/>
  <c r="C1733" i="20"/>
  <c r="F1733" i="20" s="1"/>
  <c r="D1733" i="20"/>
  <c r="C1734" i="20"/>
  <c r="F1734" i="20" s="1"/>
  <c r="D1734" i="20"/>
  <c r="A168" i="20"/>
  <c r="B168" i="20"/>
  <c r="C168" i="20"/>
  <c r="F168" i="20" s="1"/>
  <c r="D168" i="20"/>
  <c r="G168" i="20"/>
  <c r="H168" i="20"/>
  <c r="A169" i="20"/>
  <c r="B169" i="20"/>
  <c r="C169" i="20"/>
  <c r="F169" i="20" s="1"/>
  <c r="G169" i="20"/>
  <c r="H169" i="20"/>
  <c r="A170" i="20"/>
  <c r="B170" i="20"/>
  <c r="C170" i="20"/>
  <c r="F170" i="20" s="1"/>
  <c r="D170" i="20"/>
  <c r="G170" i="20"/>
  <c r="H170" i="20"/>
  <c r="A171" i="20"/>
  <c r="B171" i="20"/>
  <c r="C171" i="20"/>
  <c r="F171" i="20" s="1"/>
  <c r="D171" i="20"/>
  <c r="G171" i="20"/>
  <c r="H171" i="20"/>
  <c r="A172" i="20"/>
  <c r="B172" i="20"/>
  <c r="C172" i="20"/>
  <c r="F172" i="20" s="1"/>
  <c r="G172" i="20"/>
  <c r="H172" i="20"/>
  <c r="A1737" i="20"/>
  <c r="C1737" i="20"/>
  <c r="F1737" i="20" s="1"/>
  <c r="D1737" i="20"/>
  <c r="C1738" i="20"/>
  <c r="F1738" i="20" s="1"/>
  <c r="D1738" i="20"/>
  <c r="A173" i="20"/>
  <c r="B173" i="20"/>
  <c r="C173" i="20"/>
  <c r="F173" i="20" s="1"/>
  <c r="D173" i="20"/>
  <c r="G173" i="20"/>
  <c r="H173" i="20"/>
  <c r="A174" i="20"/>
  <c r="B174" i="20"/>
  <c r="C174" i="20"/>
  <c r="F174" i="20" s="1"/>
  <c r="G174" i="20"/>
  <c r="H174" i="20"/>
  <c r="A175" i="20"/>
  <c r="B175" i="20"/>
  <c r="C175" i="20"/>
  <c r="F175" i="20" s="1"/>
  <c r="D175" i="20"/>
  <c r="G175" i="20"/>
  <c r="H175" i="20"/>
  <c r="A176" i="20"/>
  <c r="B176" i="20"/>
  <c r="C176" i="20"/>
  <c r="F176" i="20" s="1"/>
  <c r="D176" i="20"/>
  <c r="G176" i="20"/>
  <c r="H176" i="20"/>
  <c r="A177" i="20"/>
  <c r="B177" i="20"/>
  <c r="C177" i="20"/>
  <c r="F177" i="20" s="1"/>
  <c r="G177" i="20"/>
  <c r="H177" i="20"/>
  <c r="A1741" i="20"/>
  <c r="C1741" i="20"/>
  <c r="F1741" i="20" s="1"/>
  <c r="D1741" i="20"/>
  <c r="C1742" i="20"/>
  <c r="F1742" i="20" s="1"/>
  <c r="D1742" i="20"/>
  <c r="A178" i="20"/>
  <c r="B178" i="20"/>
  <c r="C178" i="20"/>
  <c r="F178" i="20" s="1"/>
  <c r="D178" i="20"/>
  <c r="G178" i="20"/>
  <c r="H178" i="20"/>
  <c r="A179" i="20"/>
  <c r="B179" i="20"/>
  <c r="C179" i="20"/>
  <c r="F179" i="20" s="1"/>
  <c r="G179" i="20"/>
  <c r="H179" i="20"/>
  <c r="A180" i="20"/>
  <c r="B180" i="20"/>
  <c r="C180" i="20"/>
  <c r="F180" i="20" s="1"/>
  <c r="D180" i="20"/>
  <c r="G180" i="20"/>
  <c r="H180" i="20"/>
  <c r="A181" i="20"/>
  <c r="B181" i="20"/>
  <c r="C181" i="20"/>
  <c r="F181" i="20" s="1"/>
  <c r="D181" i="20"/>
  <c r="G181" i="20"/>
  <c r="H181" i="20"/>
  <c r="A182" i="20"/>
  <c r="B182" i="20"/>
  <c r="C182" i="20"/>
  <c r="F182" i="20" s="1"/>
  <c r="G182" i="20"/>
  <c r="H182" i="20"/>
  <c r="A1745" i="20"/>
  <c r="C1745" i="20"/>
  <c r="F1745" i="20" s="1"/>
  <c r="D1745" i="20"/>
  <c r="C1746" i="20"/>
  <c r="F1746" i="20" s="1"/>
  <c r="D1746" i="20"/>
  <c r="A183" i="20"/>
  <c r="B183" i="20"/>
  <c r="C183" i="20"/>
  <c r="F183" i="20" s="1"/>
  <c r="D183" i="20"/>
  <c r="G183" i="20"/>
  <c r="H183" i="20"/>
  <c r="A184" i="20"/>
  <c r="B184" i="20"/>
  <c r="C184" i="20"/>
  <c r="F184" i="20" s="1"/>
  <c r="G184" i="20"/>
  <c r="H184" i="20"/>
  <c r="A185" i="20"/>
  <c r="B185" i="20"/>
  <c r="C185" i="20"/>
  <c r="F185" i="20" s="1"/>
  <c r="D185" i="20"/>
  <c r="G185" i="20"/>
  <c r="H185" i="20"/>
  <c r="A186" i="20"/>
  <c r="B186" i="20"/>
  <c r="C186" i="20"/>
  <c r="F186" i="20" s="1"/>
  <c r="D186" i="20"/>
  <c r="G186" i="20"/>
  <c r="H186" i="20"/>
  <c r="A187" i="20"/>
  <c r="B187" i="20"/>
  <c r="C187" i="20"/>
  <c r="F187" i="20" s="1"/>
  <c r="G187" i="20"/>
  <c r="H187" i="20"/>
  <c r="A1749" i="20"/>
  <c r="C1749" i="20"/>
  <c r="F1749" i="20" s="1"/>
  <c r="D1749" i="20"/>
  <c r="C1750" i="20"/>
  <c r="F1750" i="20" s="1"/>
  <c r="D1750" i="20"/>
  <c r="A188" i="20"/>
  <c r="B188" i="20"/>
  <c r="C188" i="20"/>
  <c r="F188" i="20" s="1"/>
  <c r="D188" i="20"/>
  <c r="G188" i="20"/>
  <c r="H188" i="20"/>
  <c r="A189" i="20"/>
  <c r="B189" i="20"/>
  <c r="C189" i="20"/>
  <c r="F189" i="20" s="1"/>
  <c r="G189" i="20"/>
  <c r="H189" i="20"/>
  <c r="A190" i="20"/>
  <c r="B190" i="20"/>
  <c r="C190" i="20"/>
  <c r="F190" i="20" s="1"/>
  <c r="D190" i="20"/>
  <c r="G190" i="20"/>
  <c r="H190" i="20"/>
  <c r="A191" i="20"/>
  <c r="B191" i="20"/>
  <c r="C191" i="20"/>
  <c r="F191" i="20" s="1"/>
  <c r="D191" i="20"/>
  <c r="G191" i="20"/>
  <c r="H191" i="20"/>
  <c r="A192" i="20"/>
  <c r="B192" i="20"/>
  <c r="C192" i="20"/>
  <c r="F192" i="20" s="1"/>
  <c r="G192" i="20"/>
  <c r="H192" i="20"/>
  <c r="A1753" i="20"/>
  <c r="C1753" i="20"/>
  <c r="F1753" i="20" s="1"/>
  <c r="D1753" i="20"/>
  <c r="C1754" i="20"/>
  <c r="F1754" i="20" s="1"/>
  <c r="D1754" i="20"/>
  <c r="A193" i="20"/>
  <c r="B193" i="20"/>
  <c r="C193" i="20"/>
  <c r="F193" i="20" s="1"/>
  <c r="D193" i="20"/>
  <c r="G193" i="20"/>
  <c r="H193" i="20"/>
  <c r="A194" i="20"/>
  <c r="B194" i="20"/>
  <c r="C194" i="20"/>
  <c r="F194" i="20"/>
  <c r="G194" i="20"/>
  <c r="H194" i="20"/>
  <c r="A195" i="20"/>
  <c r="B195" i="20"/>
  <c r="C195" i="20"/>
  <c r="F195" i="20" s="1"/>
  <c r="D195" i="20"/>
  <c r="G195" i="20"/>
  <c r="H195" i="20"/>
  <c r="A196" i="20"/>
  <c r="B196" i="20"/>
  <c r="C196" i="20"/>
  <c r="F196" i="20" s="1"/>
  <c r="D196" i="20"/>
  <c r="G196" i="20"/>
  <c r="H196" i="20"/>
  <c r="A197" i="20"/>
  <c r="B197" i="20"/>
  <c r="C197" i="20"/>
  <c r="F197" i="20" s="1"/>
  <c r="G197" i="20"/>
  <c r="H197" i="20"/>
  <c r="A1757" i="20"/>
  <c r="C1757" i="20"/>
  <c r="F1757" i="20" s="1"/>
  <c r="D1757" i="20"/>
  <c r="C1758" i="20"/>
  <c r="F1758" i="20" s="1"/>
  <c r="D1758" i="20"/>
  <c r="A198" i="20"/>
  <c r="B198" i="20"/>
  <c r="C198" i="20"/>
  <c r="F198" i="20" s="1"/>
  <c r="D198" i="20"/>
  <c r="G198" i="20"/>
  <c r="H198" i="20"/>
  <c r="A199" i="20"/>
  <c r="B199" i="20"/>
  <c r="C199" i="20"/>
  <c r="F199" i="20" s="1"/>
  <c r="G199" i="20"/>
  <c r="H199" i="20"/>
  <c r="A200" i="20"/>
  <c r="B200" i="20"/>
  <c r="C200" i="20"/>
  <c r="F200" i="20" s="1"/>
  <c r="D200" i="20"/>
  <c r="G200" i="20"/>
  <c r="H200" i="20"/>
  <c r="A201" i="20"/>
  <c r="B201" i="20"/>
  <c r="C201" i="20"/>
  <c r="F201" i="20" s="1"/>
  <c r="D201" i="20"/>
  <c r="G201" i="20"/>
  <c r="H201" i="20"/>
  <c r="A202" i="20"/>
  <c r="B202" i="20"/>
  <c r="C202" i="20"/>
  <c r="F202" i="20" s="1"/>
  <c r="G202" i="20"/>
  <c r="H202" i="20"/>
  <c r="A1761" i="20"/>
  <c r="C1761" i="20"/>
  <c r="F1761" i="20" s="1"/>
  <c r="D1761" i="20"/>
  <c r="C1762" i="20"/>
  <c r="F1762" i="20" s="1"/>
  <c r="D1762" i="20"/>
  <c r="A203" i="20"/>
  <c r="B203" i="20"/>
  <c r="C203" i="20"/>
  <c r="F203" i="20" s="1"/>
  <c r="D203" i="20"/>
  <c r="G203" i="20"/>
  <c r="H203" i="20"/>
  <c r="A204" i="20"/>
  <c r="B204" i="20"/>
  <c r="C204" i="20"/>
  <c r="F204" i="20" s="1"/>
  <c r="G204" i="20"/>
  <c r="H204" i="20"/>
  <c r="A205" i="20"/>
  <c r="B205" i="20"/>
  <c r="C205" i="20"/>
  <c r="F205" i="20" s="1"/>
  <c r="D205" i="20"/>
  <c r="G205" i="20"/>
  <c r="H205" i="20"/>
  <c r="A206" i="20"/>
  <c r="B206" i="20"/>
  <c r="C206" i="20"/>
  <c r="F206" i="20" s="1"/>
  <c r="D206" i="20"/>
  <c r="G206" i="20"/>
  <c r="H206" i="20"/>
  <c r="A207" i="20"/>
  <c r="B207" i="20"/>
  <c r="C207" i="20"/>
  <c r="F207" i="20" s="1"/>
  <c r="G207" i="20"/>
  <c r="H207" i="20"/>
  <c r="A1765" i="20"/>
  <c r="C1765" i="20"/>
  <c r="F1765" i="20" s="1"/>
  <c r="D1765" i="20"/>
  <c r="C1766" i="20"/>
  <c r="F1766" i="20" s="1"/>
  <c r="D1766" i="20"/>
  <c r="A208" i="20"/>
  <c r="B208" i="20"/>
  <c r="C208" i="20"/>
  <c r="F208" i="20" s="1"/>
  <c r="D208" i="20"/>
  <c r="G208" i="20"/>
  <c r="H208" i="20"/>
  <c r="A209" i="20"/>
  <c r="B209" i="20"/>
  <c r="C209" i="20"/>
  <c r="F209" i="20"/>
  <c r="G209" i="20"/>
  <c r="H209" i="20"/>
  <c r="A210" i="20"/>
  <c r="B210" i="20"/>
  <c r="C210" i="20"/>
  <c r="F210" i="20" s="1"/>
  <c r="D210" i="20"/>
  <c r="G210" i="20"/>
  <c r="H210" i="20"/>
  <c r="A211" i="20"/>
  <c r="B211" i="20"/>
  <c r="C211" i="20"/>
  <c r="F211" i="20" s="1"/>
  <c r="D211" i="20"/>
  <c r="G211" i="20"/>
  <c r="H211" i="20"/>
  <c r="A212" i="20"/>
  <c r="B212" i="20"/>
  <c r="C212" i="20"/>
  <c r="F212" i="20" s="1"/>
  <c r="G212" i="20"/>
  <c r="H212" i="20"/>
  <c r="A1769" i="20"/>
  <c r="C1769" i="20"/>
  <c r="F1769" i="20" s="1"/>
  <c r="D1769" i="20"/>
  <c r="C1770" i="20"/>
  <c r="F1770" i="20" s="1"/>
  <c r="D1770" i="20"/>
  <c r="A213" i="20"/>
  <c r="B213" i="20"/>
  <c r="C213" i="20"/>
  <c r="F213" i="20" s="1"/>
  <c r="D213" i="20"/>
  <c r="G213" i="20"/>
  <c r="H213" i="20"/>
  <c r="A214" i="20"/>
  <c r="B214" i="20"/>
  <c r="C214" i="20"/>
  <c r="F214" i="20" s="1"/>
  <c r="G214" i="20"/>
  <c r="H214" i="20"/>
  <c r="A215" i="20"/>
  <c r="B215" i="20"/>
  <c r="C215" i="20"/>
  <c r="F215" i="20" s="1"/>
  <c r="D215" i="20"/>
  <c r="G215" i="20"/>
  <c r="H215" i="20"/>
  <c r="A216" i="20"/>
  <c r="B216" i="20"/>
  <c r="C216" i="20"/>
  <c r="F216" i="20" s="1"/>
  <c r="D216" i="20"/>
  <c r="G216" i="20"/>
  <c r="H216" i="20"/>
  <c r="A217" i="20"/>
  <c r="B217" i="20"/>
  <c r="C217" i="20"/>
  <c r="F217" i="20" s="1"/>
  <c r="G217" i="20"/>
  <c r="H217" i="20"/>
  <c r="A1773" i="20"/>
  <c r="C1773" i="20"/>
  <c r="F1773" i="20" s="1"/>
  <c r="D1773" i="20"/>
  <c r="C1774" i="20"/>
  <c r="F1774" i="20" s="1"/>
  <c r="D1774" i="20"/>
  <c r="A218" i="20"/>
  <c r="B218" i="20"/>
  <c r="C218" i="20"/>
  <c r="F218" i="20" s="1"/>
  <c r="D218" i="20"/>
  <c r="G218" i="20"/>
  <c r="H218" i="20"/>
  <c r="A219" i="20"/>
  <c r="B219" i="20"/>
  <c r="C219" i="20"/>
  <c r="F219" i="20" s="1"/>
  <c r="G219" i="20"/>
  <c r="H219" i="20"/>
  <c r="A220" i="20"/>
  <c r="B220" i="20"/>
  <c r="C220" i="20"/>
  <c r="F220" i="20" s="1"/>
  <c r="D220" i="20"/>
  <c r="G220" i="20"/>
  <c r="H220" i="20"/>
  <c r="A221" i="20"/>
  <c r="B221" i="20"/>
  <c r="C221" i="20"/>
  <c r="F221" i="20" s="1"/>
  <c r="D221" i="20"/>
  <c r="G221" i="20"/>
  <c r="H221" i="20"/>
  <c r="A222" i="20"/>
  <c r="B222" i="20"/>
  <c r="C222" i="20"/>
  <c r="F222" i="20" s="1"/>
  <c r="G222" i="20"/>
  <c r="H222" i="20"/>
  <c r="A1777" i="20"/>
  <c r="C1777" i="20"/>
  <c r="F1777" i="20" s="1"/>
  <c r="D1777" i="20"/>
  <c r="C1778" i="20"/>
  <c r="F1778" i="20" s="1"/>
  <c r="D1778" i="20"/>
  <c r="A223" i="20"/>
  <c r="B223" i="20"/>
  <c r="C223" i="20"/>
  <c r="F223" i="20" s="1"/>
  <c r="D223" i="20"/>
  <c r="G223" i="20"/>
  <c r="H223" i="20"/>
  <c r="A224" i="20"/>
  <c r="B224" i="20"/>
  <c r="C224" i="20"/>
  <c r="F224" i="20" s="1"/>
  <c r="G224" i="20"/>
  <c r="H224" i="20"/>
  <c r="A225" i="20"/>
  <c r="B225" i="20"/>
  <c r="C225" i="20"/>
  <c r="F225" i="20" s="1"/>
  <c r="D225" i="20"/>
  <c r="G225" i="20"/>
  <c r="H225" i="20"/>
  <c r="A226" i="20"/>
  <c r="B226" i="20"/>
  <c r="C226" i="20"/>
  <c r="F226" i="20" s="1"/>
  <c r="D226" i="20"/>
  <c r="G226" i="20"/>
  <c r="H226" i="20"/>
  <c r="A227" i="20"/>
  <c r="B227" i="20"/>
  <c r="C227" i="20"/>
  <c r="F227" i="20" s="1"/>
  <c r="G227" i="20"/>
  <c r="H227" i="20"/>
  <c r="A1781" i="20"/>
  <c r="C1781" i="20"/>
  <c r="F1781" i="20" s="1"/>
  <c r="D1781" i="20"/>
  <c r="C1782" i="20"/>
  <c r="F1782" i="20" s="1"/>
  <c r="D1782" i="20"/>
  <c r="C1783" i="20"/>
  <c r="F1783" i="20" s="1"/>
  <c r="D1783" i="20"/>
  <c r="A228" i="20"/>
  <c r="B228" i="20"/>
  <c r="C228" i="20"/>
  <c r="F228" i="20" s="1"/>
  <c r="D228" i="20"/>
  <c r="G228" i="20"/>
  <c r="H228" i="20"/>
  <c r="A229" i="20"/>
  <c r="B229" i="20"/>
  <c r="C229" i="20"/>
  <c r="F229" i="20" s="1"/>
  <c r="G229" i="20"/>
  <c r="H229" i="20"/>
  <c r="A230" i="20"/>
  <c r="B230" i="20"/>
  <c r="C230" i="20"/>
  <c r="F230" i="20" s="1"/>
  <c r="D230" i="20"/>
  <c r="G230" i="20"/>
  <c r="H230" i="20"/>
  <c r="A231" i="20"/>
  <c r="B231" i="20"/>
  <c r="C231" i="20"/>
  <c r="F231" i="20" s="1"/>
  <c r="D231" i="20"/>
  <c r="G231" i="20"/>
  <c r="H231" i="20"/>
  <c r="A232" i="20"/>
  <c r="B232" i="20"/>
  <c r="C232" i="20"/>
  <c r="F232" i="20" s="1"/>
  <c r="G232" i="20"/>
  <c r="H232" i="20"/>
  <c r="A1787" i="20"/>
  <c r="C1787" i="20"/>
  <c r="F1787" i="20" s="1"/>
  <c r="D1787" i="20"/>
  <c r="C1788" i="20"/>
  <c r="F1788" i="20" s="1"/>
  <c r="D1788" i="20"/>
  <c r="A233" i="20"/>
  <c r="B233" i="20"/>
  <c r="C233" i="20"/>
  <c r="F233" i="20" s="1"/>
  <c r="D233" i="20"/>
  <c r="G233" i="20"/>
  <c r="H233" i="20"/>
  <c r="A234" i="20"/>
  <c r="B234" i="20"/>
  <c r="C234" i="20"/>
  <c r="F234" i="20" s="1"/>
  <c r="G234" i="20"/>
  <c r="H234" i="20"/>
  <c r="A235" i="20"/>
  <c r="B235" i="20"/>
  <c r="C235" i="20"/>
  <c r="D235" i="20"/>
  <c r="F235" i="20"/>
  <c r="G235" i="20"/>
  <c r="H235" i="20"/>
  <c r="A236" i="20"/>
  <c r="B236" i="20"/>
  <c r="C236" i="20"/>
  <c r="F236" i="20" s="1"/>
  <c r="D236" i="20"/>
  <c r="G236" i="20"/>
  <c r="H236" i="20"/>
  <c r="A237" i="20"/>
  <c r="B237" i="20"/>
  <c r="C237" i="20"/>
  <c r="F237" i="20" s="1"/>
  <c r="G237" i="20"/>
  <c r="H237" i="20"/>
  <c r="A1791" i="20"/>
  <c r="C1791" i="20"/>
  <c r="F1791" i="20" s="1"/>
  <c r="D1791" i="20"/>
  <c r="C1792" i="20"/>
  <c r="F1792" i="20" s="1"/>
  <c r="D1792" i="20"/>
  <c r="A238" i="20"/>
  <c r="B238" i="20"/>
  <c r="C238" i="20"/>
  <c r="F238" i="20" s="1"/>
  <c r="D238" i="20"/>
  <c r="G238" i="20"/>
  <c r="H238" i="20"/>
  <c r="A239" i="20"/>
  <c r="B239" i="20"/>
  <c r="C239" i="20"/>
  <c r="F239" i="20" s="1"/>
  <c r="G239" i="20"/>
  <c r="H239" i="20"/>
  <c r="A240" i="20"/>
  <c r="B240" i="20"/>
  <c r="C240" i="20"/>
  <c r="F240" i="20" s="1"/>
  <c r="D240" i="20"/>
  <c r="G240" i="20"/>
  <c r="H240" i="20"/>
  <c r="A241" i="20"/>
  <c r="B241" i="20"/>
  <c r="C241" i="20"/>
  <c r="F241" i="20" s="1"/>
  <c r="D241" i="20"/>
  <c r="G241" i="20"/>
  <c r="H241" i="20"/>
  <c r="A242" i="20"/>
  <c r="B242" i="20"/>
  <c r="C242" i="20"/>
  <c r="F242" i="20" s="1"/>
  <c r="G242" i="20"/>
  <c r="H242" i="20"/>
  <c r="A1795" i="20"/>
  <c r="C1795" i="20"/>
  <c r="F1795" i="20" s="1"/>
  <c r="D1795" i="20"/>
  <c r="C1796" i="20"/>
  <c r="F1796" i="20" s="1"/>
  <c r="D1796" i="20"/>
  <c r="C1797" i="20"/>
  <c r="F1797" i="20" s="1"/>
  <c r="D1797" i="20"/>
  <c r="A243" i="20"/>
  <c r="B243" i="20"/>
  <c r="C243" i="20"/>
  <c r="F243" i="20" s="1"/>
  <c r="D243" i="20"/>
  <c r="G243" i="20"/>
  <c r="H243" i="20"/>
  <c r="A244" i="20"/>
  <c r="B244" i="20"/>
  <c r="C244" i="20"/>
  <c r="F244" i="20" s="1"/>
  <c r="G244" i="20"/>
  <c r="H244" i="20"/>
  <c r="A245" i="20"/>
  <c r="B245" i="20"/>
  <c r="C245" i="20"/>
  <c r="F245" i="20" s="1"/>
  <c r="D245" i="20"/>
  <c r="G245" i="20"/>
  <c r="H245" i="20"/>
  <c r="A246" i="20"/>
  <c r="B246" i="20"/>
  <c r="C246" i="20"/>
  <c r="F246" i="20" s="1"/>
  <c r="D246" i="20"/>
  <c r="G246" i="20"/>
  <c r="H246" i="20"/>
  <c r="A247" i="20"/>
  <c r="B247" i="20"/>
  <c r="C247" i="20"/>
  <c r="F247" i="20" s="1"/>
  <c r="G247" i="20"/>
  <c r="H247" i="20"/>
  <c r="A1801" i="20"/>
  <c r="C1801" i="20"/>
  <c r="F1801" i="20" s="1"/>
  <c r="D1801" i="20"/>
  <c r="C1802" i="20"/>
  <c r="F1802" i="20" s="1"/>
  <c r="D1802" i="20"/>
  <c r="A248" i="20"/>
  <c r="B248" i="20"/>
  <c r="C248" i="20"/>
  <c r="F248" i="20" s="1"/>
  <c r="D248" i="20"/>
  <c r="G248" i="20"/>
  <c r="H248" i="20"/>
  <c r="A249" i="20"/>
  <c r="B249" i="20"/>
  <c r="C249" i="20"/>
  <c r="F249" i="20" s="1"/>
  <c r="G249" i="20"/>
  <c r="H249" i="20"/>
  <c r="A250" i="20"/>
  <c r="B250" i="20"/>
  <c r="C250" i="20"/>
  <c r="F250" i="20" s="1"/>
  <c r="D250" i="20"/>
  <c r="G250" i="20"/>
  <c r="H250" i="20"/>
  <c r="A251" i="20"/>
  <c r="B251" i="20"/>
  <c r="C251" i="20"/>
  <c r="F251" i="20" s="1"/>
  <c r="D251" i="20"/>
  <c r="G251" i="20"/>
  <c r="H251" i="20"/>
  <c r="A252" i="20"/>
  <c r="B252" i="20"/>
  <c r="C252" i="20"/>
  <c r="F252" i="20" s="1"/>
  <c r="G252" i="20"/>
  <c r="H252" i="20"/>
  <c r="A1805" i="20"/>
  <c r="C1805" i="20"/>
  <c r="F1805" i="20" s="1"/>
  <c r="D1805" i="20"/>
  <c r="C1806" i="20"/>
  <c r="F1806" i="20" s="1"/>
  <c r="D1806" i="20"/>
  <c r="C1807" i="20"/>
  <c r="F1807" i="20" s="1"/>
  <c r="D1807" i="20"/>
  <c r="C1808" i="20"/>
  <c r="D1808" i="20"/>
  <c r="F1808" i="20"/>
  <c r="C1809" i="20"/>
  <c r="F1809" i="20" s="1"/>
  <c r="D1809" i="20"/>
  <c r="A253" i="20"/>
  <c r="B253" i="20"/>
  <c r="C253" i="20"/>
  <c r="F253" i="20" s="1"/>
  <c r="D253" i="20"/>
  <c r="G253" i="20"/>
  <c r="H253" i="20"/>
  <c r="A254" i="20"/>
  <c r="B254" i="20"/>
  <c r="C254" i="20"/>
  <c r="F254" i="20" s="1"/>
  <c r="G254" i="20"/>
  <c r="H254" i="20"/>
  <c r="A255" i="20"/>
  <c r="B255" i="20"/>
  <c r="C255" i="20"/>
  <c r="F255" i="20" s="1"/>
  <c r="D255" i="20"/>
  <c r="G255" i="20"/>
  <c r="H255" i="20"/>
  <c r="A256" i="20"/>
  <c r="B256" i="20"/>
  <c r="C256" i="20"/>
  <c r="F256" i="20" s="1"/>
  <c r="D256" i="20"/>
  <c r="G256" i="20"/>
  <c r="H256" i="20"/>
  <c r="A257" i="20"/>
  <c r="B257" i="20"/>
  <c r="C257" i="20"/>
  <c r="F257" i="20" s="1"/>
  <c r="G257" i="20"/>
  <c r="H257" i="20"/>
  <c r="A1815" i="20"/>
  <c r="C1815" i="20"/>
  <c r="F1815" i="20" s="1"/>
  <c r="D1815" i="20"/>
  <c r="C1816" i="20"/>
  <c r="F1816" i="20" s="1"/>
  <c r="D1816" i="20"/>
  <c r="A258" i="20"/>
  <c r="B258" i="20"/>
  <c r="C258" i="20"/>
  <c r="F258" i="20" s="1"/>
  <c r="D258" i="20"/>
  <c r="G258" i="20"/>
  <c r="H258" i="20"/>
  <c r="A259" i="20"/>
  <c r="B259" i="20"/>
  <c r="C259" i="20"/>
  <c r="F259" i="20" s="1"/>
  <c r="G259" i="20"/>
  <c r="H259" i="20"/>
  <c r="A260" i="20"/>
  <c r="B260" i="20"/>
  <c r="C260" i="20"/>
  <c r="F260" i="20" s="1"/>
  <c r="D260" i="20"/>
  <c r="G260" i="20"/>
  <c r="H260" i="20"/>
  <c r="A261" i="20"/>
  <c r="B261" i="20"/>
  <c r="C261" i="20"/>
  <c r="F261" i="20" s="1"/>
  <c r="D261" i="20"/>
  <c r="G261" i="20"/>
  <c r="H261" i="20"/>
  <c r="A262" i="20"/>
  <c r="B262" i="20"/>
  <c r="C262" i="20"/>
  <c r="F262" i="20" s="1"/>
  <c r="G262" i="20"/>
  <c r="H262" i="20"/>
  <c r="A1819" i="20"/>
  <c r="C1819" i="20"/>
  <c r="F1819" i="20" s="1"/>
  <c r="D1819" i="20"/>
  <c r="C1820" i="20"/>
  <c r="F1820" i="20" s="1"/>
  <c r="D1820" i="20"/>
  <c r="A263" i="20"/>
  <c r="B263" i="20"/>
  <c r="C263" i="20"/>
  <c r="F263" i="20" s="1"/>
  <c r="D263" i="20"/>
  <c r="G263" i="20"/>
  <c r="H263" i="20"/>
  <c r="A264" i="20"/>
  <c r="B264" i="20"/>
  <c r="C264" i="20"/>
  <c r="F264" i="20" s="1"/>
  <c r="G264" i="20"/>
  <c r="H264" i="20"/>
  <c r="A265" i="20"/>
  <c r="B265" i="20"/>
  <c r="C265" i="20"/>
  <c r="F265" i="20" s="1"/>
  <c r="D265" i="20"/>
  <c r="G265" i="20"/>
  <c r="H265" i="20"/>
  <c r="A266" i="20"/>
  <c r="B266" i="20"/>
  <c r="C266" i="20"/>
  <c r="F266" i="20" s="1"/>
  <c r="D266" i="20"/>
  <c r="G266" i="20"/>
  <c r="H266" i="20"/>
  <c r="A267" i="20"/>
  <c r="B267" i="20"/>
  <c r="C267" i="20"/>
  <c r="F267" i="20" s="1"/>
  <c r="G267" i="20"/>
  <c r="H267" i="20"/>
  <c r="A1823" i="20"/>
  <c r="C1823" i="20"/>
  <c r="F1823" i="20" s="1"/>
  <c r="D1823" i="20"/>
  <c r="C1824" i="20"/>
  <c r="F1824" i="20" s="1"/>
  <c r="D1824" i="20"/>
  <c r="A268" i="20"/>
  <c r="B268" i="20"/>
  <c r="C268" i="20"/>
  <c r="F268" i="20" s="1"/>
  <c r="D268" i="20"/>
  <c r="G268" i="20"/>
  <c r="H268" i="20"/>
  <c r="A269" i="20"/>
  <c r="B269" i="20"/>
  <c r="C269" i="20"/>
  <c r="F269" i="20" s="1"/>
  <c r="G269" i="20"/>
  <c r="H269" i="20"/>
  <c r="A270" i="20"/>
  <c r="B270" i="20"/>
  <c r="C270" i="20"/>
  <c r="F270" i="20" s="1"/>
  <c r="D270" i="20"/>
  <c r="G270" i="20"/>
  <c r="H270" i="20"/>
  <c r="A271" i="20"/>
  <c r="B271" i="20"/>
  <c r="C271" i="20"/>
  <c r="F271" i="20" s="1"/>
  <c r="D271" i="20"/>
  <c r="G271" i="20"/>
  <c r="H271" i="20"/>
  <c r="A272" i="20"/>
  <c r="B272" i="20"/>
  <c r="C272" i="20"/>
  <c r="F272" i="20" s="1"/>
  <c r="G272" i="20"/>
  <c r="H272" i="20"/>
  <c r="A1827" i="20"/>
  <c r="C1827" i="20"/>
  <c r="F1827" i="20" s="1"/>
  <c r="D1827" i="20"/>
  <c r="C1828" i="20"/>
  <c r="F1828" i="20" s="1"/>
  <c r="D1828" i="20"/>
  <c r="A273" i="20"/>
  <c r="B273" i="20"/>
  <c r="C273" i="20"/>
  <c r="F273" i="20" s="1"/>
  <c r="D273" i="20"/>
  <c r="G273" i="20"/>
  <c r="H273" i="20"/>
  <c r="A274" i="20"/>
  <c r="B274" i="20"/>
  <c r="C274" i="20"/>
  <c r="F274" i="20" s="1"/>
  <c r="G274" i="20"/>
  <c r="H274" i="20"/>
  <c r="A275" i="20"/>
  <c r="B275" i="20"/>
  <c r="C275" i="20"/>
  <c r="F275" i="20" s="1"/>
  <c r="D275" i="20"/>
  <c r="G275" i="20"/>
  <c r="H275" i="20"/>
  <c r="A276" i="20"/>
  <c r="B276" i="20"/>
  <c r="C276" i="20"/>
  <c r="F276" i="20" s="1"/>
  <c r="D276" i="20"/>
  <c r="G276" i="20"/>
  <c r="H276" i="20"/>
  <c r="A277" i="20"/>
  <c r="B277" i="20"/>
  <c r="C277" i="20"/>
  <c r="F277" i="20" s="1"/>
  <c r="G277" i="20"/>
  <c r="H277" i="20"/>
  <c r="A1831" i="20"/>
  <c r="C1831" i="20"/>
  <c r="F1831" i="20" s="1"/>
  <c r="D1831" i="20"/>
  <c r="C1832" i="20"/>
  <c r="F1832" i="20" s="1"/>
  <c r="D1832" i="20"/>
  <c r="A278" i="20"/>
  <c r="B278" i="20"/>
  <c r="C278" i="20"/>
  <c r="F278" i="20" s="1"/>
  <c r="D278" i="20"/>
  <c r="G278" i="20"/>
  <c r="H278" i="20"/>
  <c r="A279" i="20"/>
  <c r="B279" i="20"/>
  <c r="C279" i="20"/>
  <c r="F279" i="20" s="1"/>
  <c r="G279" i="20"/>
  <c r="H279" i="20"/>
  <c r="A280" i="20"/>
  <c r="B280" i="20"/>
  <c r="C280" i="20"/>
  <c r="F280" i="20" s="1"/>
  <c r="D280" i="20"/>
  <c r="G280" i="20"/>
  <c r="H280" i="20"/>
  <c r="A281" i="20"/>
  <c r="B281" i="20"/>
  <c r="C281" i="20"/>
  <c r="F281" i="20" s="1"/>
  <c r="D281" i="20"/>
  <c r="G281" i="20"/>
  <c r="H281" i="20"/>
  <c r="A282" i="20"/>
  <c r="B282" i="20"/>
  <c r="C282" i="20"/>
  <c r="F282" i="20" s="1"/>
  <c r="G282" i="20"/>
  <c r="H282" i="20"/>
  <c r="A1835" i="20"/>
  <c r="C1835" i="20"/>
  <c r="F1835" i="20" s="1"/>
  <c r="D1835" i="20"/>
  <c r="C1836" i="20"/>
  <c r="F1836" i="20" s="1"/>
  <c r="D1836" i="20"/>
  <c r="A283" i="20"/>
  <c r="B283" i="20"/>
  <c r="C283" i="20"/>
  <c r="F283" i="20" s="1"/>
  <c r="D283" i="20"/>
  <c r="G283" i="20"/>
  <c r="H283" i="20"/>
  <c r="A284" i="20"/>
  <c r="B284" i="20"/>
  <c r="C284" i="20"/>
  <c r="F284" i="20" s="1"/>
  <c r="G284" i="20"/>
  <c r="H284" i="20"/>
  <c r="A285" i="20"/>
  <c r="B285" i="20"/>
  <c r="C285" i="20"/>
  <c r="F285" i="20" s="1"/>
  <c r="D285" i="20"/>
  <c r="G285" i="20"/>
  <c r="H285" i="20"/>
  <c r="A286" i="20"/>
  <c r="B286" i="20"/>
  <c r="C286" i="20"/>
  <c r="F286" i="20" s="1"/>
  <c r="D286" i="20"/>
  <c r="G286" i="20"/>
  <c r="H286" i="20"/>
  <c r="A287" i="20"/>
  <c r="B287" i="20"/>
  <c r="C287" i="20"/>
  <c r="F287" i="20" s="1"/>
  <c r="G287" i="20"/>
  <c r="H287" i="20"/>
  <c r="A1839" i="20"/>
  <c r="C1839" i="20"/>
  <c r="F1839" i="20" s="1"/>
  <c r="D1839" i="20"/>
  <c r="C1840" i="20"/>
  <c r="F1840" i="20" s="1"/>
  <c r="D1840" i="20"/>
  <c r="A288" i="20"/>
  <c r="B288" i="20"/>
  <c r="C288" i="20"/>
  <c r="F288" i="20" s="1"/>
  <c r="D288" i="20"/>
  <c r="G288" i="20"/>
  <c r="H288" i="20"/>
  <c r="A289" i="20"/>
  <c r="B289" i="20"/>
  <c r="C289" i="20"/>
  <c r="F289" i="20" s="1"/>
  <c r="G289" i="20"/>
  <c r="H289" i="20"/>
  <c r="A290" i="20"/>
  <c r="B290" i="20"/>
  <c r="C290" i="20"/>
  <c r="F290" i="20" s="1"/>
  <c r="D290" i="20"/>
  <c r="G290" i="20"/>
  <c r="H290" i="20"/>
  <c r="A291" i="20"/>
  <c r="B291" i="20"/>
  <c r="C291" i="20"/>
  <c r="F291" i="20" s="1"/>
  <c r="D291" i="20"/>
  <c r="G291" i="20"/>
  <c r="H291" i="20"/>
  <c r="A292" i="20"/>
  <c r="B292" i="20"/>
  <c r="C292" i="20"/>
  <c r="F292" i="20" s="1"/>
  <c r="G292" i="20"/>
  <c r="H292" i="20"/>
  <c r="A1843" i="20"/>
  <c r="C1843" i="20"/>
  <c r="F1843" i="20" s="1"/>
  <c r="D1843" i="20"/>
  <c r="C1844" i="20"/>
  <c r="F1844" i="20" s="1"/>
  <c r="D1844" i="20"/>
  <c r="A293" i="20"/>
  <c r="B293" i="20"/>
  <c r="C293" i="20"/>
  <c r="F293" i="20" s="1"/>
  <c r="D293" i="20"/>
  <c r="G293" i="20"/>
  <c r="H293" i="20"/>
  <c r="A294" i="20"/>
  <c r="B294" i="20"/>
  <c r="C294" i="20"/>
  <c r="F294" i="20" s="1"/>
  <c r="G294" i="20"/>
  <c r="H294" i="20"/>
  <c r="A295" i="20"/>
  <c r="B295" i="20"/>
  <c r="C295" i="20"/>
  <c r="F295" i="20" s="1"/>
  <c r="D295" i="20"/>
  <c r="G295" i="20"/>
  <c r="H295" i="20"/>
  <c r="A296" i="20"/>
  <c r="B296" i="20"/>
  <c r="C296" i="20"/>
  <c r="F296" i="20" s="1"/>
  <c r="D296" i="20"/>
  <c r="G296" i="20"/>
  <c r="H296" i="20"/>
  <c r="A297" i="20"/>
  <c r="B297" i="20"/>
  <c r="C297" i="20"/>
  <c r="F297" i="20" s="1"/>
  <c r="G297" i="20"/>
  <c r="H297" i="20"/>
  <c r="A1847" i="20"/>
  <c r="C1847" i="20"/>
  <c r="F1847" i="20" s="1"/>
  <c r="D1847" i="20"/>
  <c r="C1848" i="20"/>
  <c r="F1848" i="20" s="1"/>
  <c r="D1848" i="20"/>
  <c r="A298" i="20"/>
  <c r="B298" i="20"/>
  <c r="C298" i="20"/>
  <c r="F298" i="20" s="1"/>
  <c r="D298" i="20"/>
  <c r="G298" i="20"/>
  <c r="H298" i="20"/>
  <c r="A299" i="20"/>
  <c r="B299" i="20"/>
  <c r="C299" i="20"/>
  <c r="F299" i="20" s="1"/>
  <c r="G299" i="20"/>
  <c r="H299" i="20"/>
  <c r="A300" i="20"/>
  <c r="B300" i="20"/>
  <c r="C300" i="20"/>
  <c r="F300" i="20" s="1"/>
  <c r="D300" i="20"/>
  <c r="G300" i="20"/>
  <c r="H300" i="20"/>
  <c r="A301" i="20"/>
  <c r="B301" i="20"/>
  <c r="C301" i="20"/>
  <c r="F301" i="20" s="1"/>
  <c r="D301" i="20"/>
  <c r="G301" i="20"/>
  <c r="H301" i="20"/>
  <c r="A302" i="20"/>
  <c r="B302" i="20"/>
  <c r="C302" i="20"/>
  <c r="F302" i="20" s="1"/>
  <c r="G302" i="20"/>
  <c r="H302" i="20"/>
  <c r="A1851" i="20"/>
  <c r="C1851" i="20"/>
  <c r="D1851" i="20"/>
  <c r="C1852" i="20"/>
  <c r="D1852" i="20"/>
  <c r="A303" i="20"/>
  <c r="B303" i="20"/>
  <c r="C303" i="20"/>
  <c r="F303" i="20" s="1"/>
  <c r="D303" i="20"/>
  <c r="G303" i="20"/>
  <c r="H303" i="20"/>
  <c r="A304" i="20"/>
  <c r="B304" i="20"/>
  <c r="C304" i="20"/>
  <c r="F304" i="20" s="1"/>
  <c r="G304" i="20"/>
  <c r="H304" i="20"/>
  <c r="A305" i="20"/>
  <c r="B305" i="20"/>
  <c r="C305" i="20"/>
  <c r="F305" i="20" s="1"/>
  <c r="D305" i="20"/>
  <c r="G305" i="20"/>
  <c r="H305" i="20"/>
  <c r="A306" i="20"/>
  <c r="B306" i="20"/>
  <c r="C306" i="20"/>
  <c r="F306" i="20" s="1"/>
  <c r="D306" i="20"/>
  <c r="G306" i="20"/>
  <c r="H306" i="20"/>
  <c r="A307" i="20"/>
  <c r="B307" i="20"/>
  <c r="C307" i="20"/>
  <c r="F307" i="20" s="1"/>
  <c r="G307" i="20"/>
  <c r="H307" i="20"/>
  <c r="A1855" i="20"/>
  <c r="C1855" i="20"/>
  <c r="F1855" i="20" s="1"/>
  <c r="D1855" i="20"/>
  <c r="C1856" i="20"/>
  <c r="F1856" i="20" s="1"/>
  <c r="D1856" i="20"/>
  <c r="A308" i="20"/>
  <c r="B308" i="20"/>
  <c r="C308" i="20"/>
  <c r="F308" i="20" s="1"/>
  <c r="D308" i="20"/>
  <c r="G308" i="20"/>
  <c r="H308" i="20"/>
  <c r="A309" i="20"/>
  <c r="B309" i="20"/>
  <c r="C309" i="20"/>
  <c r="F309" i="20" s="1"/>
  <c r="G309" i="20"/>
  <c r="H309" i="20"/>
  <c r="A310" i="20"/>
  <c r="B310" i="20"/>
  <c r="C310" i="20"/>
  <c r="F310" i="20" s="1"/>
  <c r="D310" i="20"/>
  <c r="G310" i="20"/>
  <c r="H310" i="20"/>
  <c r="A311" i="20"/>
  <c r="B311" i="20"/>
  <c r="C311" i="20"/>
  <c r="F311" i="20" s="1"/>
  <c r="D311" i="20"/>
  <c r="G311" i="20"/>
  <c r="H311" i="20"/>
  <c r="A312" i="20"/>
  <c r="B312" i="20"/>
  <c r="C312" i="20"/>
  <c r="F312" i="20" s="1"/>
  <c r="G312" i="20"/>
  <c r="H312" i="20"/>
  <c r="A1859" i="20"/>
  <c r="C1859" i="20"/>
  <c r="F1859" i="20" s="1"/>
  <c r="D1859" i="20"/>
  <c r="C1860" i="20"/>
  <c r="F1860" i="20" s="1"/>
  <c r="D1860" i="20"/>
  <c r="A313" i="20"/>
  <c r="B313" i="20"/>
  <c r="C313" i="20"/>
  <c r="F313" i="20" s="1"/>
  <c r="D313" i="20"/>
  <c r="G313" i="20"/>
  <c r="H313" i="20"/>
  <c r="A314" i="20"/>
  <c r="B314" i="20"/>
  <c r="C314" i="20"/>
  <c r="F314" i="20" s="1"/>
  <c r="G314" i="20"/>
  <c r="H314" i="20"/>
  <c r="A315" i="20"/>
  <c r="B315" i="20"/>
  <c r="C315" i="20"/>
  <c r="F315" i="20" s="1"/>
  <c r="D315" i="20"/>
  <c r="G315" i="20"/>
  <c r="H315" i="20"/>
  <c r="A316" i="20"/>
  <c r="B316" i="20"/>
  <c r="C316" i="20"/>
  <c r="F316" i="20" s="1"/>
  <c r="D316" i="20"/>
  <c r="G316" i="20"/>
  <c r="H316" i="20"/>
  <c r="A317" i="20"/>
  <c r="B317" i="20"/>
  <c r="C317" i="20"/>
  <c r="F317" i="20" s="1"/>
  <c r="G317" i="20"/>
  <c r="H317" i="20"/>
  <c r="A1863" i="20"/>
  <c r="C1863" i="20"/>
  <c r="F1863" i="20" s="1"/>
  <c r="D1863" i="20"/>
  <c r="C1864" i="20"/>
  <c r="F1864" i="20" s="1"/>
  <c r="D1864" i="20"/>
  <c r="A318" i="20"/>
  <c r="B318" i="20"/>
  <c r="C318" i="20"/>
  <c r="F318" i="20" s="1"/>
  <c r="D318" i="20"/>
  <c r="G318" i="20"/>
  <c r="H318" i="20"/>
  <c r="A319" i="20"/>
  <c r="B319" i="20"/>
  <c r="C319" i="20"/>
  <c r="F319" i="20" s="1"/>
  <c r="G319" i="20"/>
  <c r="H319" i="20"/>
  <c r="A320" i="20"/>
  <c r="B320" i="20"/>
  <c r="C320" i="20"/>
  <c r="F320" i="20" s="1"/>
  <c r="D320" i="20"/>
  <c r="G320" i="20"/>
  <c r="H320" i="20"/>
  <c r="A321" i="20"/>
  <c r="B321" i="20"/>
  <c r="C321" i="20"/>
  <c r="F321" i="20" s="1"/>
  <c r="D321" i="20"/>
  <c r="G321" i="20"/>
  <c r="H321" i="20"/>
  <c r="A322" i="20"/>
  <c r="B322" i="20"/>
  <c r="C322" i="20"/>
  <c r="F322" i="20" s="1"/>
  <c r="G322" i="20"/>
  <c r="H322" i="20"/>
  <c r="A1867" i="20"/>
  <c r="C1867" i="20"/>
  <c r="F1867" i="20" s="1"/>
  <c r="D1867" i="20"/>
  <c r="C1868" i="20"/>
  <c r="F1868" i="20" s="1"/>
  <c r="D1868" i="20"/>
  <c r="A323" i="20"/>
  <c r="B323" i="20"/>
  <c r="C323" i="20"/>
  <c r="F323" i="20" s="1"/>
  <c r="D323" i="20"/>
  <c r="G323" i="20"/>
  <c r="H323" i="20"/>
  <c r="A324" i="20"/>
  <c r="B324" i="20"/>
  <c r="C324" i="20"/>
  <c r="F324" i="20" s="1"/>
  <c r="G324" i="20"/>
  <c r="H324" i="20"/>
  <c r="A325" i="20"/>
  <c r="B325" i="20"/>
  <c r="C325" i="20"/>
  <c r="F325" i="20" s="1"/>
  <c r="D325" i="20"/>
  <c r="G325" i="20"/>
  <c r="H325" i="20"/>
  <c r="A326" i="20"/>
  <c r="B326" i="20"/>
  <c r="C326" i="20"/>
  <c r="F326" i="20" s="1"/>
  <c r="D326" i="20"/>
  <c r="G326" i="20"/>
  <c r="H326" i="20"/>
  <c r="A327" i="20"/>
  <c r="B327" i="20"/>
  <c r="C327" i="20"/>
  <c r="F327" i="20" s="1"/>
  <c r="G327" i="20"/>
  <c r="H327" i="20"/>
  <c r="A1871" i="20"/>
  <c r="C1871" i="20"/>
  <c r="F1871" i="20" s="1"/>
  <c r="D1871" i="20"/>
  <c r="C1872" i="20"/>
  <c r="F1872" i="20" s="1"/>
  <c r="D1872" i="20"/>
  <c r="A328" i="20"/>
  <c r="B328" i="20"/>
  <c r="C328" i="20"/>
  <c r="F328" i="20" s="1"/>
  <c r="D328" i="20"/>
  <c r="G328" i="20"/>
  <c r="H328" i="20"/>
  <c r="A329" i="20"/>
  <c r="B329" i="20"/>
  <c r="C329" i="20"/>
  <c r="F329" i="20" s="1"/>
  <c r="G329" i="20"/>
  <c r="H329" i="20"/>
  <c r="A330" i="20"/>
  <c r="B330" i="20"/>
  <c r="C330" i="20"/>
  <c r="F330" i="20" s="1"/>
  <c r="D330" i="20"/>
  <c r="G330" i="20"/>
  <c r="H330" i="20"/>
  <c r="A331" i="20"/>
  <c r="B331" i="20"/>
  <c r="C331" i="20"/>
  <c r="F331" i="20" s="1"/>
  <c r="D331" i="20"/>
  <c r="G331" i="20"/>
  <c r="H331" i="20"/>
  <c r="A332" i="20"/>
  <c r="B332" i="20"/>
  <c r="C332" i="20"/>
  <c r="F332" i="20" s="1"/>
  <c r="G332" i="20"/>
  <c r="H332" i="20"/>
  <c r="A1875" i="20"/>
  <c r="C1875" i="20"/>
  <c r="F1875" i="20" s="1"/>
  <c r="D1875" i="20"/>
  <c r="C1876" i="20"/>
  <c r="F1876" i="20" s="1"/>
  <c r="D1876" i="20"/>
  <c r="A333" i="20"/>
  <c r="B333" i="20"/>
  <c r="C333" i="20"/>
  <c r="F333" i="20" s="1"/>
  <c r="D333" i="20"/>
  <c r="G333" i="20"/>
  <c r="H333" i="20"/>
  <c r="A334" i="20"/>
  <c r="B334" i="20"/>
  <c r="C334" i="20"/>
  <c r="F334" i="20"/>
  <c r="G334" i="20"/>
  <c r="H334" i="20"/>
  <c r="A335" i="20"/>
  <c r="B335" i="20"/>
  <c r="C335" i="20"/>
  <c r="F335" i="20" s="1"/>
  <c r="D335" i="20"/>
  <c r="G335" i="20"/>
  <c r="H335" i="20"/>
  <c r="A336" i="20"/>
  <c r="B336" i="20"/>
  <c r="C336" i="20"/>
  <c r="F336" i="20" s="1"/>
  <c r="D336" i="20"/>
  <c r="G336" i="20"/>
  <c r="H336" i="20"/>
  <c r="A337" i="20"/>
  <c r="B337" i="20"/>
  <c r="C337" i="20"/>
  <c r="F337" i="20" s="1"/>
  <c r="G337" i="20"/>
  <c r="H337" i="20"/>
  <c r="A1879" i="20"/>
  <c r="C1879" i="20"/>
  <c r="F1879" i="20" s="1"/>
  <c r="D1879" i="20"/>
  <c r="C1880" i="20"/>
  <c r="F1880" i="20" s="1"/>
  <c r="D1880" i="20"/>
  <c r="A338" i="20"/>
  <c r="B338" i="20"/>
  <c r="C338" i="20"/>
  <c r="F338" i="20" s="1"/>
  <c r="D338" i="20"/>
  <c r="G338" i="20"/>
  <c r="H338" i="20"/>
  <c r="A339" i="20"/>
  <c r="B339" i="20"/>
  <c r="C339" i="20"/>
  <c r="F339" i="20"/>
  <c r="G339" i="20"/>
  <c r="H339" i="20"/>
  <c r="A340" i="20"/>
  <c r="B340" i="20"/>
  <c r="C340" i="20"/>
  <c r="F340" i="20" s="1"/>
  <c r="D340" i="20"/>
  <c r="G340" i="20"/>
  <c r="H340" i="20"/>
  <c r="A341" i="20"/>
  <c r="B341" i="20"/>
  <c r="C341" i="20"/>
  <c r="F341" i="20" s="1"/>
  <c r="D341" i="20"/>
  <c r="G341" i="20"/>
  <c r="H341" i="20"/>
  <c r="A342" i="20"/>
  <c r="B342" i="20"/>
  <c r="C342" i="20"/>
  <c r="F342" i="20" s="1"/>
  <c r="G342" i="20"/>
  <c r="H342" i="20"/>
  <c r="A1883" i="20"/>
  <c r="C1883" i="20"/>
  <c r="F1883" i="20" s="1"/>
  <c r="D1883" i="20"/>
  <c r="C1884" i="20"/>
  <c r="F1884" i="20" s="1"/>
  <c r="D1884" i="20"/>
  <c r="A343" i="20"/>
  <c r="B343" i="20"/>
  <c r="C343" i="20"/>
  <c r="F343" i="20" s="1"/>
  <c r="D343" i="20"/>
  <c r="G343" i="20"/>
  <c r="H343" i="20"/>
  <c r="A344" i="20"/>
  <c r="B344" i="20"/>
  <c r="C344" i="20"/>
  <c r="F344" i="20" s="1"/>
  <c r="G344" i="20"/>
  <c r="H344" i="20"/>
  <c r="A345" i="20"/>
  <c r="B345" i="20"/>
  <c r="C345" i="20"/>
  <c r="F345" i="20" s="1"/>
  <c r="D345" i="20"/>
  <c r="G345" i="20"/>
  <c r="H345" i="20"/>
  <c r="A346" i="20"/>
  <c r="B346" i="20"/>
  <c r="C346" i="20"/>
  <c r="F346" i="20" s="1"/>
  <c r="D346" i="20"/>
  <c r="G346" i="20"/>
  <c r="H346" i="20"/>
  <c r="A347" i="20"/>
  <c r="B347" i="20"/>
  <c r="C347" i="20"/>
  <c r="F347" i="20" s="1"/>
  <c r="G347" i="20"/>
  <c r="H347" i="20"/>
  <c r="A1887" i="20"/>
  <c r="C1887" i="20"/>
  <c r="F1887" i="20" s="1"/>
  <c r="D1887" i="20"/>
  <c r="C1888" i="20"/>
  <c r="F1888" i="20" s="1"/>
  <c r="D1888" i="20"/>
  <c r="A348" i="20"/>
  <c r="B348" i="20"/>
  <c r="C348" i="20"/>
  <c r="F348" i="20" s="1"/>
  <c r="D348" i="20"/>
  <c r="G348" i="20"/>
  <c r="H348" i="20"/>
  <c r="A349" i="20"/>
  <c r="B349" i="20"/>
  <c r="C349" i="20"/>
  <c r="F349" i="20" s="1"/>
  <c r="G349" i="20"/>
  <c r="H349" i="20"/>
  <c r="A350" i="20"/>
  <c r="B350" i="20"/>
  <c r="C350" i="20"/>
  <c r="F350" i="20" s="1"/>
  <c r="D350" i="20"/>
  <c r="G350" i="20"/>
  <c r="H350" i="20"/>
  <c r="A351" i="20"/>
  <c r="B351" i="20"/>
  <c r="C351" i="20"/>
  <c r="F351" i="20" s="1"/>
  <c r="D351" i="20"/>
  <c r="G351" i="20"/>
  <c r="H351" i="20"/>
  <c r="A352" i="20"/>
  <c r="B352" i="20"/>
  <c r="C352" i="20"/>
  <c r="F352" i="20" s="1"/>
  <c r="G352" i="20"/>
  <c r="H352" i="20"/>
  <c r="A1891" i="20"/>
  <c r="C1891" i="20"/>
  <c r="F1891" i="20" s="1"/>
  <c r="D1891" i="20"/>
  <c r="C1892" i="20"/>
  <c r="F1892" i="20" s="1"/>
  <c r="D1892" i="20"/>
  <c r="C1893" i="20"/>
  <c r="F1893" i="20" s="1"/>
  <c r="D1893" i="20"/>
  <c r="C1894" i="20"/>
  <c r="F1894" i="20" s="1"/>
  <c r="D1894" i="20"/>
  <c r="C1895" i="20"/>
  <c r="F1895" i="20" s="1"/>
  <c r="D1895" i="20"/>
  <c r="C1896" i="20"/>
  <c r="F1896" i="20" s="1"/>
  <c r="D1896" i="20"/>
  <c r="C1897" i="20"/>
  <c r="F1897" i="20" s="1"/>
  <c r="D1897" i="20"/>
  <c r="C1898" i="20"/>
  <c r="F1898" i="20" s="1"/>
  <c r="D1898" i="20"/>
  <c r="C1899" i="20"/>
  <c r="F1899" i="20" s="1"/>
  <c r="D1899" i="20"/>
  <c r="C1900" i="20"/>
  <c r="F1900" i="20" s="1"/>
  <c r="D1900" i="20"/>
  <c r="C1901" i="20"/>
  <c r="F1901" i="20" s="1"/>
  <c r="D1901" i="20"/>
  <c r="C1902" i="20"/>
  <c r="F1902" i="20" s="1"/>
  <c r="D1902" i="20"/>
  <c r="C1903" i="20"/>
  <c r="F1903" i="20" s="1"/>
  <c r="D1903" i="20"/>
  <c r="C1904" i="20"/>
  <c r="F1904" i="20" s="1"/>
  <c r="D1904" i="20"/>
  <c r="C1905" i="20"/>
  <c r="F1905" i="20" s="1"/>
  <c r="D1905" i="20"/>
  <c r="C1906" i="20"/>
  <c r="F1906" i="20" s="1"/>
  <c r="D1906" i="20"/>
  <c r="A353" i="20"/>
  <c r="B353" i="20"/>
  <c r="C353" i="20"/>
  <c r="F353" i="20" s="1"/>
  <c r="D353" i="20"/>
  <c r="G353" i="20"/>
  <c r="H353" i="20"/>
  <c r="A354" i="20"/>
  <c r="B354" i="20"/>
  <c r="C354" i="20"/>
  <c r="F354" i="20" s="1"/>
  <c r="G354" i="20"/>
  <c r="H354" i="20"/>
  <c r="A355" i="20"/>
  <c r="B355" i="20"/>
  <c r="C355" i="20"/>
  <c r="F355" i="20" s="1"/>
  <c r="D355" i="20"/>
  <c r="G355" i="20"/>
  <c r="H355" i="20"/>
  <c r="A356" i="20"/>
  <c r="B356" i="20"/>
  <c r="C356" i="20"/>
  <c r="F356" i="20" s="1"/>
  <c r="D356" i="20"/>
  <c r="G356" i="20"/>
  <c r="H356" i="20"/>
  <c r="A357" i="20"/>
  <c r="B357" i="20"/>
  <c r="C357" i="20"/>
  <c r="F357" i="20" s="1"/>
  <c r="G357" i="20"/>
  <c r="H357" i="20"/>
  <c r="A1923" i="20"/>
  <c r="C1923" i="20"/>
  <c r="F1923" i="20" s="1"/>
  <c r="D1923" i="20"/>
  <c r="C1924" i="20"/>
  <c r="F1924" i="20" s="1"/>
  <c r="D1924" i="20"/>
  <c r="C1925" i="20"/>
  <c r="F1925" i="20" s="1"/>
  <c r="D1925" i="20"/>
  <c r="C1926" i="20"/>
  <c r="F1926" i="20" s="1"/>
  <c r="D1926" i="20"/>
  <c r="C1927" i="20"/>
  <c r="F1927" i="20" s="1"/>
  <c r="D1927" i="20"/>
  <c r="C1928" i="20"/>
  <c r="F1928" i="20" s="1"/>
  <c r="D1928" i="20"/>
  <c r="C1929" i="20"/>
  <c r="F1929" i="20" s="1"/>
  <c r="D1929" i="20"/>
  <c r="C1930" i="20"/>
  <c r="F1930" i="20" s="1"/>
  <c r="D1930" i="20"/>
  <c r="C1931" i="20"/>
  <c r="F1931" i="20" s="1"/>
  <c r="D1931" i="20"/>
  <c r="C1932" i="20"/>
  <c r="F1932" i="20" s="1"/>
  <c r="D1932" i="20"/>
  <c r="C1933" i="20"/>
  <c r="F1933" i="20" s="1"/>
  <c r="D1933" i="20"/>
  <c r="C1934" i="20"/>
  <c r="F1934" i="20" s="1"/>
  <c r="D1934" i="20"/>
  <c r="F358" i="20"/>
  <c r="D358" i="20"/>
  <c r="G358" i="20"/>
  <c r="H358" i="20"/>
  <c r="A359" i="20"/>
  <c r="B359" i="20"/>
  <c r="C359" i="20"/>
  <c r="F359" i="20" s="1"/>
  <c r="G359" i="20"/>
  <c r="H359" i="20"/>
  <c r="A360" i="20"/>
  <c r="B360" i="20"/>
  <c r="C360" i="20"/>
  <c r="F360" i="20" s="1"/>
  <c r="D360" i="20"/>
  <c r="G360" i="20"/>
  <c r="H360" i="20"/>
  <c r="A361" i="20"/>
  <c r="B361" i="20"/>
  <c r="C361" i="20"/>
  <c r="F361" i="20" s="1"/>
  <c r="D361" i="20"/>
  <c r="G361" i="20"/>
  <c r="H361" i="20"/>
  <c r="A362" i="20"/>
  <c r="B362" i="20"/>
  <c r="C362" i="20"/>
  <c r="F362" i="20" s="1"/>
  <c r="G362" i="20"/>
  <c r="H362" i="20"/>
  <c r="A1947" i="20"/>
  <c r="C1947" i="20"/>
  <c r="F1947" i="20" s="1"/>
  <c r="C1948" i="20"/>
  <c r="F1948" i="20" s="1"/>
  <c r="D1948" i="20"/>
  <c r="A363" i="20"/>
  <c r="B363" i="20"/>
  <c r="C363" i="20"/>
  <c r="F363" i="20" s="1"/>
  <c r="D363" i="20"/>
  <c r="G363" i="20"/>
  <c r="H363" i="20"/>
  <c r="A364" i="20"/>
  <c r="B364" i="20"/>
  <c r="C364" i="20"/>
  <c r="F364" i="20" s="1"/>
  <c r="G364" i="20"/>
  <c r="H364" i="20"/>
  <c r="A365" i="20"/>
  <c r="B365" i="20"/>
  <c r="C365" i="20"/>
  <c r="F365" i="20" s="1"/>
  <c r="D365" i="20"/>
  <c r="G365" i="20"/>
  <c r="H365" i="20"/>
  <c r="A366" i="20"/>
  <c r="B366" i="20"/>
  <c r="C366" i="20"/>
  <c r="F366" i="20" s="1"/>
  <c r="D366" i="20"/>
  <c r="G366" i="20"/>
  <c r="H366" i="20"/>
  <c r="A367" i="20"/>
  <c r="B367" i="20"/>
  <c r="C367" i="20"/>
  <c r="F367" i="20" s="1"/>
  <c r="G367" i="20"/>
  <c r="H367" i="20"/>
  <c r="A1951" i="20"/>
  <c r="C1951" i="20"/>
  <c r="F1951" i="20" s="1"/>
  <c r="C1952" i="20"/>
  <c r="F1952" i="20" s="1"/>
  <c r="D1952" i="20"/>
  <c r="A368" i="20"/>
  <c r="B368" i="20"/>
  <c r="C368" i="20"/>
  <c r="F368" i="20" s="1"/>
  <c r="D368" i="20"/>
  <c r="G368" i="20"/>
  <c r="H368" i="20"/>
  <c r="A369" i="20"/>
  <c r="B369" i="20"/>
  <c r="C369" i="20"/>
  <c r="F369" i="20" s="1"/>
  <c r="G369" i="20"/>
  <c r="H369" i="20"/>
  <c r="A370" i="20"/>
  <c r="B370" i="20"/>
  <c r="C370" i="20"/>
  <c r="F370" i="20" s="1"/>
  <c r="D370" i="20"/>
  <c r="G370" i="20"/>
  <c r="H370" i="20"/>
  <c r="A371" i="20"/>
  <c r="B371" i="20"/>
  <c r="C371" i="20"/>
  <c r="F371" i="20" s="1"/>
  <c r="D371" i="20"/>
  <c r="G371" i="20"/>
  <c r="H371" i="20"/>
  <c r="A372" i="20"/>
  <c r="B372" i="20"/>
  <c r="C372" i="20"/>
  <c r="F372" i="20" s="1"/>
  <c r="G372" i="20"/>
  <c r="H372" i="20"/>
  <c r="A1955" i="20"/>
  <c r="C1955" i="20"/>
  <c r="F1955" i="20" s="1"/>
  <c r="D1955" i="20"/>
  <c r="C1956" i="20"/>
  <c r="F1956" i="20" s="1"/>
  <c r="D1956" i="20"/>
  <c r="C1957" i="20"/>
  <c r="F1957" i="20" s="1"/>
  <c r="D1957" i="20"/>
  <c r="C1958" i="20"/>
  <c r="F1958" i="20" s="1"/>
  <c r="D1958" i="20"/>
  <c r="C1959" i="20"/>
  <c r="F1959" i="20" s="1"/>
  <c r="D1959" i="20"/>
  <c r="C1960" i="20"/>
  <c r="F1960" i="20" s="1"/>
  <c r="D1960" i="20"/>
  <c r="C1961" i="20"/>
  <c r="F1961" i="20" s="1"/>
  <c r="D1961" i="20"/>
  <c r="C1962" i="20"/>
  <c r="F1962" i="20" s="1"/>
  <c r="D1962" i="20"/>
  <c r="C1963" i="20"/>
  <c r="F1963" i="20" s="1"/>
  <c r="D1963" i="20"/>
  <c r="C1964" i="20"/>
  <c r="F1964" i="20" s="1"/>
  <c r="D1964" i="20"/>
  <c r="C1965" i="20"/>
  <c r="F1965" i="20" s="1"/>
  <c r="D1965" i="20"/>
  <c r="C1966" i="20"/>
  <c r="F1966" i="20" s="1"/>
  <c r="D1966" i="20"/>
  <c r="C1967" i="20"/>
  <c r="F1967" i="20" s="1"/>
  <c r="D1967" i="20"/>
  <c r="C1968" i="20"/>
  <c r="F1968" i="20" s="1"/>
  <c r="D1968" i="20"/>
  <c r="C1969" i="20"/>
  <c r="F1969" i="20" s="1"/>
  <c r="D1969" i="20"/>
  <c r="C1970" i="20"/>
  <c r="F1970" i="20" s="1"/>
  <c r="D1970" i="20"/>
  <c r="C1971" i="20"/>
  <c r="F1971" i="20" s="1"/>
  <c r="D1971" i="20"/>
  <c r="C1972" i="20"/>
  <c r="F1972" i="20" s="1"/>
  <c r="D1972" i="20"/>
  <c r="C1973" i="20"/>
  <c r="F1973" i="20" s="1"/>
  <c r="D1973" i="20"/>
  <c r="C1974" i="20"/>
  <c r="F1974" i="20" s="1"/>
  <c r="D1974" i="20"/>
  <c r="C1975" i="20"/>
  <c r="F1975" i="20" s="1"/>
  <c r="D1975" i="20"/>
  <c r="C1976" i="20"/>
  <c r="F1976" i="20" s="1"/>
  <c r="D1976" i="20"/>
  <c r="C1977" i="20"/>
  <c r="F1977" i="20" s="1"/>
  <c r="D1977" i="20"/>
  <c r="A373" i="20"/>
  <c r="B373" i="20"/>
  <c r="C373" i="20"/>
  <c r="F373" i="20" s="1"/>
  <c r="D373" i="20"/>
  <c r="G373" i="20"/>
  <c r="H373" i="20"/>
  <c r="A374" i="20"/>
  <c r="B374" i="20"/>
  <c r="C374" i="20"/>
  <c r="F374" i="20" s="1"/>
  <c r="G374" i="20"/>
  <c r="H374" i="20"/>
  <c r="A375" i="20"/>
  <c r="B375" i="20"/>
  <c r="C375" i="20"/>
  <c r="F375" i="20" s="1"/>
  <c r="D375" i="20"/>
  <c r="G375" i="20"/>
  <c r="H375" i="20"/>
  <c r="A376" i="20"/>
  <c r="B376" i="20"/>
  <c r="C376" i="20"/>
  <c r="F376" i="20" s="1"/>
  <c r="D376" i="20"/>
  <c r="G376" i="20"/>
  <c r="H376" i="20"/>
  <c r="A377" i="20"/>
  <c r="B377" i="20"/>
  <c r="C377" i="20"/>
  <c r="F377" i="20" s="1"/>
  <c r="D377" i="20"/>
  <c r="G377" i="20"/>
  <c r="H377" i="20"/>
  <c r="A378" i="20"/>
  <c r="B378" i="20"/>
  <c r="C378" i="20"/>
  <c r="F378" i="20" s="1"/>
  <c r="D378" i="20"/>
  <c r="G378" i="20"/>
  <c r="H378" i="20"/>
  <c r="A379" i="20"/>
  <c r="B379" i="20"/>
  <c r="C379" i="20"/>
  <c r="F379" i="20" s="1"/>
  <c r="D379" i="20"/>
  <c r="G379" i="20"/>
  <c r="H379" i="20"/>
  <c r="A380" i="20"/>
  <c r="B380" i="20"/>
  <c r="C380" i="20"/>
  <c r="F380" i="20" s="1"/>
  <c r="D380" i="20"/>
  <c r="G380" i="20"/>
  <c r="H380" i="20"/>
  <c r="A381" i="20"/>
  <c r="B381" i="20"/>
  <c r="C381" i="20"/>
  <c r="F381" i="20" s="1"/>
  <c r="D381" i="20"/>
  <c r="G381" i="20"/>
  <c r="H381" i="20"/>
  <c r="A382" i="20"/>
  <c r="B382" i="20"/>
  <c r="C382" i="20"/>
  <c r="F382" i="20" s="1"/>
  <c r="D382" i="20"/>
  <c r="G382" i="20"/>
  <c r="H382" i="20"/>
  <c r="A383" i="20"/>
  <c r="B383" i="20"/>
  <c r="C383" i="20"/>
  <c r="F383" i="20" s="1"/>
  <c r="D383" i="20"/>
  <c r="G383" i="20"/>
  <c r="H383" i="20"/>
  <c r="A384" i="20"/>
  <c r="B384" i="20"/>
  <c r="C384" i="20"/>
  <c r="F384" i="20" s="1"/>
  <c r="D384" i="20"/>
  <c r="G384" i="20"/>
  <c r="H384" i="20"/>
  <c r="A385" i="20"/>
  <c r="B385" i="20"/>
  <c r="C385" i="20"/>
  <c r="F385" i="20" s="1"/>
  <c r="D385" i="20"/>
  <c r="G385" i="20"/>
  <c r="H385" i="20"/>
  <c r="A386" i="20"/>
  <c r="B386" i="20"/>
  <c r="C386" i="20"/>
  <c r="F386" i="20" s="1"/>
  <c r="D386" i="20"/>
  <c r="G386" i="20"/>
  <c r="H386" i="20"/>
  <c r="A387" i="20"/>
  <c r="B387" i="20"/>
  <c r="C387" i="20"/>
  <c r="F387" i="20" s="1"/>
  <c r="D387" i="20"/>
  <c r="G387" i="20"/>
  <c r="H387" i="20"/>
  <c r="A388" i="20"/>
  <c r="B388" i="20"/>
  <c r="C388" i="20"/>
  <c r="F388" i="20" s="1"/>
  <c r="D388" i="20"/>
  <c r="G388" i="20"/>
  <c r="H388" i="20"/>
  <c r="A389" i="20"/>
  <c r="B389" i="20"/>
  <c r="C389" i="20"/>
  <c r="F389" i="20" s="1"/>
  <c r="D389" i="20"/>
  <c r="G389" i="20"/>
  <c r="H389" i="20"/>
  <c r="A390" i="20"/>
  <c r="B390" i="20"/>
  <c r="C390" i="20"/>
  <c r="F390" i="20" s="1"/>
  <c r="D390" i="20"/>
  <c r="G390" i="20"/>
  <c r="H390" i="20"/>
  <c r="A391" i="20"/>
  <c r="B391" i="20"/>
  <c r="C391" i="20"/>
  <c r="F391" i="20" s="1"/>
  <c r="D391" i="20"/>
  <c r="G391" i="20"/>
  <c r="H391" i="20"/>
  <c r="A392" i="20"/>
  <c r="B392" i="20"/>
  <c r="C392" i="20"/>
  <c r="F392" i="20" s="1"/>
  <c r="D392" i="20"/>
  <c r="G392" i="20"/>
  <c r="H392" i="20"/>
  <c r="A393" i="20"/>
  <c r="B393" i="20"/>
  <c r="C393" i="20"/>
  <c r="F393" i="20" s="1"/>
  <c r="D393" i="20"/>
  <c r="G393" i="20"/>
  <c r="H393" i="20"/>
  <c r="A394" i="20"/>
  <c r="B394" i="20"/>
  <c r="C394" i="20"/>
  <c r="F394" i="20" s="1"/>
  <c r="D394" i="20"/>
  <c r="G394" i="20"/>
  <c r="H394" i="20"/>
  <c r="A395" i="20"/>
  <c r="B395" i="20"/>
  <c r="C395" i="20"/>
  <c r="F395" i="20" s="1"/>
  <c r="D395" i="20"/>
  <c r="G395" i="20"/>
  <c r="H395" i="20"/>
  <c r="A396" i="20"/>
  <c r="B396" i="20"/>
  <c r="C396" i="20"/>
  <c r="F396" i="20" s="1"/>
  <c r="D396" i="20"/>
  <c r="G396" i="20"/>
  <c r="H396" i="20"/>
  <c r="A397" i="20"/>
  <c r="B397" i="20"/>
  <c r="C397" i="20"/>
  <c r="F397" i="20" s="1"/>
  <c r="D397" i="20"/>
  <c r="G397" i="20"/>
  <c r="H397" i="20"/>
  <c r="A398" i="20"/>
  <c r="B398" i="20"/>
  <c r="C398" i="20"/>
  <c r="F398" i="20" s="1"/>
  <c r="D398" i="20"/>
  <c r="G398" i="20"/>
  <c r="H398" i="20"/>
  <c r="A399" i="20"/>
  <c r="B399" i="20"/>
  <c r="C399" i="20"/>
  <c r="F399" i="20" s="1"/>
  <c r="D399" i="20"/>
  <c r="G399" i="20"/>
  <c r="H399" i="20"/>
  <c r="A400" i="20"/>
  <c r="B400" i="20"/>
  <c r="C400" i="20"/>
  <c r="F400" i="20" s="1"/>
  <c r="D400" i="20"/>
  <c r="G400" i="20"/>
  <c r="H400" i="20"/>
  <c r="A401" i="20"/>
  <c r="B401" i="20"/>
  <c r="C401" i="20"/>
  <c r="F401" i="20" s="1"/>
  <c r="D401" i="20"/>
  <c r="G401" i="20"/>
  <c r="H401" i="20"/>
  <c r="A402" i="20"/>
  <c r="B402" i="20"/>
  <c r="C402" i="20"/>
  <c r="F402" i="20" s="1"/>
  <c r="D402" i="20"/>
  <c r="G402" i="20"/>
  <c r="H402" i="20"/>
  <c r="A403" i="20"/>
  <c r="B403" i="20"/>
  <c r="C403" i="20"/>
  <c r="F403" i="20" s="1"/>
  <c r="D403" i="20"/>
  <c r="G403" i="20"/>
  <c r="H403" i="20"/>
  <c r="A404" i="20"/>
  <c r="B404" i="20"/>
  <c r="C404" i="20"/>
  <c r="F404" i="20" s="1"/>
  <c r="D404" i="20"/>
  <c r="G404" i="20"/>
  <c r="H404" i="20"/>
  <c r="A405" i="20"/>
  <c r="B405" i="20"/>
  <c r="C405" i="20"/>
  <c r="F405" i="20" s="1"/>
  <c r="D405" i="20"/>
  <c r="G405" i="20"/>
  <c r="H405" i="20"/>
  <c r="A406" i="20"/>
  <c r="B406" i="20"/>
  <c r="C406" i="20"/>
  <c r="F406" i="20" s="1"/>
  <c r="D406" i="20"/>
  <c r="G406" i="20"/>
  <c r="H406" i="20"/>
  <c r="A407" i="20"/>
  <c r="B407" i="20"/>
  <c r="C407" i="20"/>
  <c r="F407" i="20" s="1"/>
  <c r="D407" i="20"/>
  <c r="G407" i="20"/>
  <c r="H407" i="20"/>
  <c r="A408" i="20"/>
  <c r="B408" i="20"/>
  <c r="C408" i="20"/>
  <c r="F408" i="20" s="1"/>
  <c r="D408" i="20"/>
  <c r="G408" i="20"/>
  <c r="H408" i="20"/>
  <c r="A409" i="20"/>
  <c r="B409" i="20"/>
  <c r="C409" i="20"/>
  <c r="F409" i="20" s="1"/>
  <c r="D409" i="20"/>
  <c r="G409" i="20"/>
  <c r="H409" i="20"/>
  <c r="A410" i="20"/>
  <c r="B410" i="20"/>
  <c r="C410" i="20"/>
  <c r="F410" i="20" s="1"/>
  <c r="D410" i="20"/>
  <c r="G410" i="20"/>
  <c r="H410" i="20"/>
  <c r="A411" i="20"/>
  <c r="B411" i="20"/>
  <c r="C411" i="20"/>
  <c r="F411" i="20" s="1"/>
  <c r="D411" i="20"/>
  <c r="G411" i="20"/>
  <c r="H411" i="20"/>
  <c r="A412" i="20"/>
  <c r="B412" i="20"/>
  <c r="C412" i="20"/>
  <c r="F412" i="20" s="1"/>
  <c r="D412" i="20"/>
  <c r="G412" i="20"/>
  <c r="H412" i="20"/>
  <c r="A413" i="20"/>
  <c r="B413" i="20"/>
  <c r="C413" i="20"/>
  <c r="D413" i="20"/>
  <c r="G413" i="20"/>
  <c r="H413" i="20"/>
  <c r="A414" i="20"/>
  <c r="B414" i="20"/>
  <c r="C414" i="20"/>
  <c r="D414" i="20"/>
  <c r="G414" i="20"/>
  <c r="H414" i="20"/>
  <c r="A415" i="20"/>
  <c r="B415" i="20"/>
  <c r="C415" i="20"/>
  <c r="F415" i="20" s="1"/>
  <c r="D415" i="20"/>
  <c r="G415" i="20"/>
  <c r="H415" i="20"/>
  <c r="A416" i="20"/>
  <c r="B416" i="20"/>
  <c r="C416" i="20"/>
  <c r="F416" i="20" s="1"/>
  <c r="D416" i="20"/>
  <c r="G416" i="20"/>
  <c r="H416" i="20"/>
  <c r="A417" i="20"/>
  <c r="B417" i="20"/>
  <c r="C417" i="20"/>
  <c r="F417" i="20" s="1"/>
  <c r="D417" i="20"/>
  <c r="G417" i="20"/>
  <c r="H417" i="20"/>
  <c r="A418" i="20"/>
  <c r="B418" i="20"/>
  <c r="C418" i="20"/>
  <c r="F418" i="20" s="1"/>
  <c r="D418" i="20"/>
  <c r="G418" i="20"/>
  <c r="H418" i="20"/>
  <c r="A419" i="20"/>
  <c r="B419" i="20"/>
  <c r="C419" i="20"/>
  <c r="F419" i="20" s="1"/>
  <c r="D419" i="20"/>
  <c r="G419" i="20"/>
  <c r="H419" i="20"/>
  <c r="A420" i="20"/>
  <c r="B420" i="20"/>
  <c r="C420" i="20"/>
  <c r="F420" i="20" s="1"/>
  <c r="D420" i="20"/>
  <c r="G420" i="20"/>
  <c r="H420" i="20"/>
  <c r="A421" i="20"/>
  <c r="B421" i="20"/>
  <c r="C421" i="20"/>
  <c r="F421" i="20" s="1"/>
  <c r="D421" i="20"/>
  <c r="G421" i="20"/>
  <c r="H421" i="20"/>
  <c r="A422" i="20"/>
  <c r="B422" i="20"/>
  <c r="C422" i="20"/>
  <c r="F422" i="20" s="1"/>
  <c r="D422" i="20"/>
  <c r="G422" i="20"/>
  <c r="H422" i="20"/>
  <c r="A423" i="20"/>
  <c r="B423" i="20"/>
  <c r="C423" i="20"/>
  <c r="F423" i="20" s="1"/>
  <c r="D423" i="20"/>
  <c r="G423" i="20"/>
  <c r="H423" i="20"/>
  <c r="A424" i="20"/>
  <c r="B424" i="20"/>
  <c r="C424" i="20"/>
  <c r="F424" i="20" s="1"/>
  <c r="D424" i="20"/>
  <c r="G424" i="20"/>
  <c r="H424" i="20"/>
  <c r="A425" i="20"/>
  <c r="B425" i="20"/>
  <c r="C425" i="20"/>
  <c r="F425" i="20" s="1"/>
  <c r="D425" i="20"/>
  <c r="G425" i="20"/>
  <c r="H425" i="20"/>
  <c r="A426" i="20"/>
  <c r="B426" i="20"/>
  <c r="C426" i="20"/>
  <c r="F426" i="20" s="1"/>
  <c r="D426" i="20"/>
  <c r="G426" i="20"/>
  <c r="H426" i="20"/>
  <c r="A427" i="20"/>
  <c r="B427" i="20"/>
  <c r="C427" i="20"/>
  <c r="F427" i="20" s="1"/>
  <c r="D427" i="20"/>
  <c r="G427" i="20"/>
  <c r="H427" i="20"/>
  <c r="A428" i="20"/>
  <c r="B428" i="20"/>
  <c r="C428" i="20"/>
  <c r="F428" i="20" s="1"/>
  <c r="D428" i="20"/>
  <c r="G428" i="20"/>
  <c r="H428" i="20"/>
  <c r="A429" i="20"/>
  <c r="B429" i="20"/>
  <c r="C429" i="20"/>
  <c r="F429" i="20" s="1"/>
  <c r="D429" i="20"/>
  <c r="G429" i="20"/>
  <c r="H429" i="20"/>
  <c r="A430" i="20"/>
  <c r="B430" i="20"/>
  <c r="C430" i="20"/>
  <c r="F430" i="20" s="1"/>
  <c r="D430" i="20"/>
  <c r="G430" i="20"/>
  <c r="H430" i="20"/>
  <c r="A431" i="20"/>
  <c r="B431" i="20"/>
  <c r="C431" i="20"/>
  <c r="F431" i="20" s="1"/>
  <c r="D431" i="20"/>
  <c r="G431" i="20"/>
  <c r="H431" i="20"/>
  <c r="A432" i="20"/>
  <c r="B432" i="20"/>
  <c r="C432" i="20"/>
  <c r="F432" i="20" s="1"/>
  <c r="D432" i="20"/>
  <c r="G432" i="20"/>
  <c r="H432" i="20"/>
  <c r="A433" i="20"/>
  <c r="B433" i="20"/>
  <c r="C433" i="20"/>
  <c r="F433" i="20" s="1"/>
  <c r="D433" i="20"/>
  <c r="G433" i="20"/>
  <c r="H433" i="20"/>
  <c r="A434" i="20"/>
  <c r="B434" i="20"/>
  <c r="C434" i="20"/>
  <c r="F434" i="20" s="1"/>
  <c r="D434" i="20"/>
  <c r="G434" i="20"/>
  <c r="H434" i="20"/>
  <c r="A435" i="20"/>
  <c r="B435" i="20"/>
  <c r="C435" i="20"/>
  <c r="F435" i="20" s="1"/>
  <c r="D435" i="20"/>
  <c r="G435" i="20"/>
  <c r="H435" i="20"/>
  <c r="A436" i="20"/>
  <c r="B436" i="20"/>
  <c r="C436" i="20"/>
  <c r="F436" i="20" s="1"/>
  <c r="D436" i="20"/>
  <c r="G436" i="20"/>
  <c r="H436" i="20"/>
  <c r="A437" i="20"/>
  <c r="B437" i="20"/>
  <c r="C437" i="20"/>
  <c r="F437" i="20" s="1"/>
  <c r="D437" i="20"/>
  <c r="G437" i="20"/>
  <c r="H437" i="20"/>
  <c r="A438" i="20"/>
  <c r="B438" i="20"/>
  <c r="C438" i="20"/>
  <c r="F438" i="20" s="1"/>
  <c r="D438" i="20"/>
  <c r="G438" i="20"/>
  <c r="H438" i="20"/>
  <c r="A439" i="20"/>
  <c r="B439" i="20"/>
  <c r="C439" i="20"/>
  <c r="F439" i="20" s="1"/>
  <c r="D439" i="20"/>
  <c r="G439" i="20"/>
  <c r="H439" i="20"/>
  <c r="A440" i="20"/>
  <c r="B440" i="20"/>
  <c r="C440" i="20"/>
  <c r="F440" i="20" s="1"/>
  <c r="D440" i="20"/>
  <c r="G440" i="20"/>
  <c r="H440" i="20"/>
  <c r="A441" i="20"/>
  <c r="B441" i="20"/>
  <c r="C441" i="20"/>
  <c r="F441" i="20" s="1"/>
  <c r="D441" i="20"/>
  <c r="G441" i="20"/>
  <c r="H441" i="20"/>
  <c r="A442" i="20"/>
  <c r="B442" i="20"/>
  <c r="C442" i="20"/>
  <c r="F442" i="20" s="1"/>
  <c r="D442" i="20"/>
  <c r="G442" i="20"/>
  <c r="H442" i="20"/>
  <c r="A443" i="20"/>
  <c r="B443" i="20"/>
  <c r="C443" i="20"/>
  <c r="F443" i="20" s="1"/>
  <c r="D443" i="20"/>
  <c r="G443" i="20"/>
  <c r="H443" i="20"/>
  <c r="A444" i="20"/>
  <c r="B444" i="20"/>
  <c r="C444" i="20"/>
  <c r="F444" i="20" s="1"/>
  <c r="D444" i="20"/>
  <c r="G444" i="20"/>
  <c r="H444" i="20"/>
  <c r="A445" i="20"/>
  <c r="B445" i="20"/>
  <c r="C445" i="20"/>
  <c r="F445" i="20" s="1"/>
  <c r="D445" i="20"/>
  <c r="G445" i="20"/>
  <c r="H445" i="20"/>
  <c r="A446" i="20"/>
  <c r="B446" i="20"/>
  <c r="C446" i="20"/>
  <c r="F446" i="20" s="1"/>
  <c r="D446" i="20"/>
  <c r="G446" i="20"/>
  <c r="H446" i="20"/>
  <c r="A447" i="20"/>
  <c r="B447" i="20"/>
  <c r="C447" i="20"/>
  <c r="F447" i="20" s="1"/>
  <c r="D447" i="20"/>
  <c r="G447" i="20"/>
  <c r="H447" i="20"/>
  <c r="A448" i="20"/>
  <c r="B448" i="20"/>
  <c r="C448" i="20"/>
  <c r="F448" i="20" s="1"/>
  <c r="D448" i="20"/>
  <c r="G448" i="20"/>
  <c r="H448" i="20"/>
  <c r="A449" i="20"/>
  <c r="B449" i="20"/>
  <c r="C449" i="20"/>
  <c r="F449" i="20" s="1"/>
  <c r="D449" i="20"/>
  <c r="G449" i="20"/>
  <c r="H449" i="20"/>
  <c r="A450" i="20"/>
  <c r="B450" i="20"/>
  <c r="C450" i="20"/>
  <c r="F450" i="20" s="1"/>
  <c r="D450" i="20"/>
  <c r="G450" i="20"/>
  <c r="H450" i="20"/>
  <c r="A451" i="20"/>
  <c r="B451" i="20"/>
  <c r="C451" i="20"/>
  <c r="F451" i="20" s="1"/>
  <c r="D451" i="20"/>
  <c r="G451" i="20"/>
  <c r="H451" i="20"/>
  <c r="A452" i="20"/>
  <c r="B452" i="20"/>
  <c r="C452" i="20"/>
  <c r="F452" i="20" s="1"/>
  <c r="D452" i="20"/>
  <c r="G452" i="20"/>
  <c r="H452" i="20"/>
  <c r="A453" i="20"/>
  <c r="B453" i="20"/>
  <c r="C453" i="20"/>
  <c r="F453" i="20" s="1"/>
  <c r="D453" i="20"/>
  <c r="G453" i="20"/>
  <c r="H453" i="20"/>
  <c r="A454" i="20"/>
  <c r="B454" i="20"/>
  <c r="C454" i="20"/>
  <c r="F454" i="20" s="1"/>
  <c r="D454" i="20"/>
  <c r="G454" i="20"/>
  <c r="H454" i="20"/>
  <c r="A455" i="20"/>
  <c r="B455" i="20"/>
  <c r="C455" i="20"/>
  <c r="F455" i="20" s="1"/>
  <c r="D455" i="20"/>
  <c r="G455" i="20"/>
  <c r="H455" i="20"/>
  <c r="A456" i="20"/>
  <c r="B456" i="20"/>
  <c r="C456" i="20"/>
  <c r="F456" i="20" s="1"/>
  <c r="D456" i="20"/>
  <c r="G456" i="20"/>
  <c r="H456" i="20"/>
  <c r="A457" i="20"/>
  <c r="B457" i="20"/>
  <c r="C457" i="20"/>
  <c r="F457" i="20" s="1"/>
  <c r="D457" i="20"/>
  <c r="G457" i="20"/>
  <c r="H457" i="20"/>
  <c r="A458" i="20"/>
  <c r="B458" i="20"/>
  <c r="C458" i="20"/>
  <c r="F458" i="20" s="1"/>
  <c r="D458" i="20"/>
  <c r="G458" i="20"/>
  <c r="H458" i="20"/>
  <c r="A459" i="20"/>
  <c r="B459" i="20"/>
  <c r="C459" i="20"/>
  <c r="F459" i="20" s="1"/>
  <c r="D459" i="20"/>
  <c r="G459" i="20"/>
  <c r="H459" i="20"/>
  <c r="A460" i="20"/>
  <c r="B460" i="20"/>
  <c r="C460" i="20"/>
  <c r="F460" i="20" s="1"/>
  <c r="D460" i="20"/>
  <c r="G460" i="20"/>
  <c r="H460" i="20"/>
  <c r="A461" i="20"/>
  <c r="B461" i="20"/>
  <c r="C461" i="20"/>
  <c r="F461" i="20" s="1"/>
  <c r="D461" i="20"/>
  <c r="G461" i="20"/>
  <c r="H461" i="20"/>
  <c r="A462" i="20"/>
  <c r="B462" i="20"/>
  <c r="C462" i="20"/>
  <c r="F462" i="20" s="1"/>
  <c r="D462" i="20"/>
  <c r="G462" i="20"/>
  <c r="H462" i="20"/>
  <c r="A463" i="20"/>
  <c r="B463" i="20"/>
  <c r="C463" i="20"/>
  <c r="F463" i="20" s="1"/>
  <c r="D463" i="20"/>
  <c r="G463" i="20"/>
  <c r="H463" i="20"/>
  <c r="A464" i="20"/>
  <c r="B464" i="20"/>
  <c r="C464" i="20"/>
  <c r="F464" i="20" s="1"/>
  <c r="D464" i="20"/>
  <c r="G464" i="20"/>
  <c r="H464" i="20"/>
  <c r="A465" i="20"/>
  <c r="B465" i="20"/>
  <c r="C465" i="20"/>
  <c r="F465" i="20" s="1"/>
  <c r="D465" i="20"/>
  <c r="G465" i="20"/>
  <c r="H465" i="20"/>
  <c r="A466" i="20"/>
  <c r="B466" i="20"/>
  <c r="C466" i="20"/>
  <c r="F466" i="20" s="1"/>
  <c r="D466" i="20"/>
  <c r="G466" i="20"/>
  <c r="H466" i="20"/>
  <c r="A467" i="20"/>
  <c r="B467" i="20"/>
  <c r="C467" i="20"/>
  <c r="F467" i="20" s="1"/>
  <c r="D467" i="20"/>
  <c r="G467" i="20"/>
  <c r="H467" i="20"/>
  <c r="A468" i="20"/>
  <c r="B468" i="20"/>
  <c r="C468" i="20"/>
  <c r="F468" i="20" s="1"/>
  <c r="D468" i="20"/>
  <c r="G468" i="20"/>
  <c r="H468" i="20"/>
  <c r="A469" i="20"/>
  <c r="B469" i="20"/>
  <c r="C469" i="20"/>
  <c r="F469" i="20" s="1"/>
  <c r="D469" i="20"/>
  <c r="G469" i="20"/>
  <c r="H469" i="20"/>
  <c r="A470" i="20"/>
  <c r="B470" i="20"/>
  <c r="C470" i="20"/>
  <c r="F470" i="20" s="1"/>
  <c r="D470" i="20"/>
  <c r="G470" i="20"/>
  <c r="H470" i="20"/>
  <c r="A471" i="20"/>
  <c r="B471" i="20"/>
  <c r="C471" i="20"/>
  <c r="F471" i="20" s="1"/>
  <c r="D471" i="20"/>
  <c r="G471" i="20"/>
  <c r="H471" i="20"/>
  <c r="A472" i="20"/>
  <c r="B472" i="20"/>
  <c r="C472" i="20"/>
  <c r="F472" i="20" s="1"/>
  <c r="D472" i="20"/>
  <c r="G472" i="20"/>
  <c r="H472" i="20"/>
  <c r="A473" i="20"/>
  <c r="B473" i="20"/>
  <c r="C473" i="20"/>
  <c r="F473" i="20" s="1"/>
  <c r="D473" i="20"/>
  <c r="G473" i="20"/>
  <c r="H473" i="20"/>
  <c r="A474" i="20"/>
  <c r="B474" i="20"/>
  <c r="C474" i="20"/>
  <c r="F474" i="20" s="1"/>
  <c r="D474" i="20"/>
  <c r="G474" i="20"/>
  <c r="H474" i="20"/>
  <c r="A475" i="20"/>
  <c r="B475" i="20"/>
  <c r="C475" i="20"/>
  <c r="F475" i="20" s="1"/>
  <c r="D475" i="20"/>
  <c r="G475" i="20"/>
  <c r="H475" i="20"/>
  <c r="A476" i="20"/>
  <c r="B476" i="20"/>
  <c r="C476" i="20"/>
  <c r="F476" i="20" s="1"/>
  <c r="D476" i="20"/>
  <c r="G476" i="20"/>
  <c r="H476" i="20"/>
  <c r="A477" i="20"/>
  <c r="B477" i="20"/>
  <c r="C477" i="20"/>
  <c r="F477" i="20" s="1"/>
  <c r="D477" i="20"/>
  <c r="G477" i="20"/>
  <c r="H477" i="20"/>
  <c r="A478" i="20"/>
  <c r="B478" i="20"/>
  <c r="C478" i="20"/>
  <c r="F478" i="20" s="1"/>
  <c r="D478" i="20"/>
  <c r="G478" i="20"/>
  <c r="H478" i="20"/>
  <c r="A479" i="20"/>
  <c r="B479" i="20"/>
  <c r="C479" i="20"/>
  <c r="F479" i="20" s="1"/>
  <c r="D479" i="20"/>
  <c r="G479" i="20"/>
  <c r="H479" i="20"/>
  <c r="A480" i="20"/>
  <c r="B480" i="20"/>
  <c r="C480" i="20"/>
  <c r="F480" i="20" s="1"/>
  <c r="D480" i="20"/>
  <c r="G480" i="20"/>
  <c r="H480" i="20"/>
  <c r="A481" i="20"/>
  <c r="B481" i="20"/>
  <c r="C481" i="20"/>
  <c r="F481" i="20" s="1"/>
  <c r="D481" i="20"/>
  <c r="G481" i="20"/>
  <c r="H481" i="20"/>
  <c r="A482" i="20"/>
  <c r="B482" i="20"/>
  <c r="C482" i="20"/>
  <c r="F482" i="20" s="1"/>
  <c r="D482" i="20"/>
  <c r="G482" i="20"/>
  <c r="H482" i="20"/>
  <c r="A483" i="20"/>
  <c r="B483" i="20"/>
  <c r="C483" i="20"/>
  <c r="F483" i="20" s="1"/>
  <c r="D483" i="20"/>
  <c r="G483" i="20"/>
  <c r="H483" i="20"/>
  <c r="A484" i="20"/>
  <c r="B484" i="20"/>
  <c r="C484" i="20"/>
  <c r="F484" i="20" s="1"/>
  <c r="D484" i="20"/>
  <c r="G484" i="20"/>
  <c r="H484" i="20"/>
  <c r="A485" i="20"/>
  <c r="B485" i="20"/>
  <c r="C485" i="20"/>
  <c r="F485" i="20" s="1"/>
  <c r="D485" i="20"/>
  <c r="G485" i="20"/>
  <c r="H485" i="20"/>
  <c r="A486" i="20"/>
  <c r="B486" i="20"/>
  <c r="C486" i="20"/>
  <c r="F486" i="20" s="1"/>
  <c r="D486" i="20"/>
  <c r="G486" i="20"/>
  <c r="H486" i="20"/>
  <c r="A487" i="20"/>
  <c r="B487" i="20"/>
  <c r="C487" i="20"/>
  <c r="F487" i="20" s="1"/>
  <c r="D487" i="20"/>
  <c r="G487" i="20"/>
  <c r="H487" i="20"/>
  <c r="A488" i="20"/>
  <c r="B488" i="20"/>
  <c r="C488" i="20"/>
  <c r="F488" i="20" s="1"/>
  <c r="D488" i="20"/>
  <c r="G488" i="20"/>
  <c r="H488" i="20"/>
  <c r="A489" i="20"/>
  <c r="B489" i="20"/>
  <c r="C489" i="20"/>
  <c r="F489" i="20" s="1"/>
  <c r="D489" i="20"/>
  <c r="G489" i="20"/>
  <c r="H489" i="20"/>
  <c r="A490" i="20"/>
  <c r="B490" i="20"/>
  <c r="C490" i="20"/>
  <c r="F490" i="20" s="1"/>
  <c r="D490" i="20"/>
  <c r="G490" i="20"/>
  <c r="H490" i="20"/>
  <c r="A491" i="20"/>
  <c r="B491" i="20"/>
  <c r="C491" i="20"/>
  <c r="F491" i="20" s="1"/>
  <c r="D491" i="20"/>
  <c r="G491" i="20"/>
  <c r="H491" i="20"/>
  <c r="A492" i="20"/>
  <c r="B492" i="20"/>
  <c r="C492" i="20"/>
  <c r="F492" i="20" s="1"/>
  <c r="D492" i="20"/>
  <c r="G492" i="20"/>
  <c r="H492" i="20"/>
  <c r="A493" i="20"/>
  <c r="B493" i="20"/>
  <c r="C493" i="20"/>
  <c r="F493" i="20" s="1"/>
  <c r="D493" i="20"/>
  <c r="G493" i="20"/>
  <c r="H493" i="20"/>
  <c r="A494" i="20"/>
  <c r="B494" i="20"/>
  <c r="C494" i="20"/>
  <c r="F494" i="20" s="1"/>
  <c r="D494" i="20"/>
  <c r="G494" i="20"/>
  <c r="H494" i="20"/>
  <c r="A495" i="20"/>
  <c r="B495" i="20"/>
  <c r="C495" i="20"/>
  <c r="F495" i="20" s="1"/>
  <c r="D495" i="20"/>
  <c r="G495" i="20"/>
  <c r="H495" i="20"/>
  <c r="A496" i="20"/>
  <c r="B496" i="20"/>
  <c r="C496" i="20"/>
  <c r="F496" i="20" s="1"/>
  <c r="D496" i="20"/>
  <c r="G496" i="20"/>
  <c r="H496" i="20"/>
  <c r="A497" i="20"/>
  <c r="B497" i="20"/>
  <c r="C497" i="20"/>
  <c r="F497" i="20" s="1"/>
  <c r="D497" i="20"/>
  <c r="G497" i="20"/>
  <c r="H497" i="20"/>
  <c r="A498" i="20"/>
  <c r="B498" i="20"/>
  <c r="C498" i="20"/>
  <c r="F498" i="20" s="1"/>
  <c r="D498" i="20"/>
  <c r="G498" i="20"/>
  <c r="H498" i="20"/>
  <c r="A499" i="20"/>
  <c r="B499" i="20"/>
  <c r="C499" i="20"/>
  <c r="D499" i="20"/>
  <c r="F499" i="20"/>
  <c r="G499" i="20"/>
  <c r="H499" i="20"/>
  <c r="A500" i="20"/>
  <c r="B500" i="20"/>
  <c r="C500" i="20"/>
  <c r="F500" i="20" s="1"/>
  <c r="D500" i="20"/>
  <c r="G500" i="20"/>
  <c r="H500" i="20"/>
  <c r="A501" i="20"/>
  <c r="B501" i="20"/>
  <c r="C501" i="20"/>
  <c r="F501" i="20" s="1"/>
  <c r="D501" i="20"/>
  <c r="G501" i="20"/>
  <c r="H501" i="20"/>
  <c r="A502" i="20"/>
  <c r="B502" i="20"/>
  <c r="C502" i="20"/>
  <c r="F502" i="20" s="1"/>
  <c r="D502" i="20"/>
  <c r="G502" i="20"/>
  <c r="H502" i="20"/>
  <c r="A503" i="20"/>
  <c r="B503" i="20"/>
  <c r="C503" i="20"/>
  <c r="F503" i="20" s="1"/>
  <c r="D503" i="20"/>
  <c r="G503" i="20"/>
  <c r="H503" i="20"/>
  <c r="A504" i="20"/>
  <c r="B504" i="20"/>
  <c r="C504" i="20"/>
  <c r="F504" i="20" s="1"/>
  <c r="D504" i="20"/>
  <c r="G504" i="20"/>
  <c r="H504" i="20"/>
  <c r="A505" i="20"/>
  <c r="B505" i="20"/>
  <c r="C505" i="20"/>
  <c r="F505" i="20" s="1"/>
  <c r="D505" i="20"/>
  <c r="G505" i="20"/>
  <c r="H505" i="20"/>
  <c r="A506" i="20"/>
  <c r="B506" i="20"/>
  <c r="C506" i="20"/>
  <c r="F506" i="20" s="1"/>
  <c r="D506" i="20"/>
  <c r="G506" i="20"/>
  <c r="H506" i="20"/>
  <c r="A507" i="20"/>
  <c r="B507" i="20"/>
  <c r="C507" i="20"/>
  <c r="F507" i="20" s="1"/>
  <c r="D507" i="20"/>
  <c r="G507" i="20"/>
  <c r="H507" i="20"/>
  <c r="A508" i="20"/>
  <c r="B508" i="20"/>
  <c r="C508" i="20"/>
  <c r="F508" i="20" s="1"/>
  <c r="D508" i="20"/>
  <c r="G508" i="20"/>
  <c r="H508" i="20"/>
  <c r="A509" i="20"/>
  <c r="B509" i="20"/>
  <c r="C509" i="20"/>
  <c r="F509" i="20" s="1"/>
  <c r="D509" i="20"/>
  <c r="G509" i="20"/>
  <c r="H509" i="20"/>
  <c r="A510" i="20"/>
  <c r="B510" i="20"/>
  <c r="C510" i="20"/>
  <c r="F510" i="20" s="1"/>
  <c r="D510" i="20"/>
  <c r="G510" i="20"/>
  <c r="H510" i="20"/>
  <c r="A511" i="20"/>
  <c r="B511" i="20"/>
  <c r="C511" i="20"/>
  <c r="F511" i="20" s="1"/>
  <c r="D511" i="20"/>
  <c r="G511" i="20"/>
  <c r="H511" i="20"/>
  <c r="A512" i="20"/>
  <c r="B512" i="20"/>
  <c r="C512" i="20"/>
  <c r="F512" i="20" s="1"/>
  <c r="D512" i="20"/>
  <c r="G512" i="20"/>
  <c r="H512" i="20"/>
  <c r="A513" i="20"/>
  <c r="B513" i="20"/>
  <c r="C513" i="20"/>
  <c r="F513" i="20" s="1"/>
  <c r="D513" i="20"/>
  <c r="G513" i="20"/>
  <c r="H513" i="20"/>
  <c r="A514" i="20"/>
  <c r="B514" i="20"/>
  <c r="C514" i="20"/>
  <c r="F514" i="20" s="1"/>
  <c r="D514" i="20"/>
  <c r="G514" i="20"/>
  <c r="H514" i="20"/>
  <c r="A515" i="20"/>
  <c r="B515" i="20"/>
  <c r="C515" i="20"/>
  <c r="F515" i="20" s="1"/>
  <c r="D515" i="20"/>
  <c r="G515" i="20"/>
  <c r="H515" i="20"/>
  <c r="A516" i="20"/>
  <c r="B516" i="20"/>
  <c r="C516" i="20"/>
  <c r="F516" i="20" s="1"/>
  <c r="D516" i="20"/>
  <c r="G516" i="20"/>
  <c r="H516" i="20"/>
  <c r="A517" i="20"/>
  <c r="B517" i="20"/>
  <c r="C517" i="20"/>
  <c r="F517" i="20" s="1"/>
  <c r="D517" i="20"/>
  <c r="G517" i="20"/>
  <c r="H517" i="20"/>
  <c r="A518" i="20"/>
  <c r="B518" i="20"/>
  <c r="C518" i="20"/>
  <c r="D518" i="20"/>
  <c r="F518" i="20"/>
  <c r="G518" i="20"/>
  <c r="H518" i="20"/>
  <c r="A519" i="20"/>
  <c r="B519" i="20"/>
  <c r="C519" i="20"/>
  <c r="F519" i="20" s="1"/>
  <c r="D519" i="20"/>
  <c r="G519" i="20"/>
  <c r="H519" i="20"/>
  <c r="A520" i="20"/>
  <c r="B520" i="20"/>
  <c r="C520" i="20"/>
  <c r="F520" i="20" s="1"/>
  <c r="D520" i="20"/>
  <c r="G520" i="20"/>
  <c r="H520" i="20"/>
  <c r="A521" i="20"/>
  <c r="B521" i="20"/>
  <c r="C521" i="20"/>
  <c r="F521" i="20" s="1"/>
  <c r="D521" i="20"/>
  <c r="G521" i="20"/>
  <c r="H521" i="20"/>
  <c r="A522" i="20"/>
  <c r="B522" i="20"/>
  <c r="C522" i="20"/>
  <c r="F522" i="20" s="1"/>
  <c r="D522" i="20"/>
  <c r="G522" i="20"/>
  <c r="H522" i="20"/>
  <c r="A523" i="20"/>
  <c r="B523" i="20"/>
  <c r="C523" i="20"/>
  <c r="F523" i="20" s="1"/>
  <c r="D523" i="20"/>
  <c r="G523" i="20"/>
  <c r="H523" i="20"/>
  <c r="A524" i="20"/>
  <c r="B524" i="20"/>
  <c r="C524" i="20"/>
  <c r="F524" i="20" s="1"/>
  <c r="D524" i="20"/>
  <c r="G524" i="20"/>
  <c r="H524" i="20"/>
  <c r="A525" i="20"/>
  <c r="B525" i="20"/>
  <c r="C525" i="20"/>
  <c r="F525" i="20" s="1"/>
  <c r="D525" i="20"/>
  <c r="G525" i="20"/>
  <c r="H525" i="20"/>
  <c r="A526" i="20"/>
  <c r="B526" i="20"/>
  <c r="C526" i="20"/>
  <c r="F526" i="20" s="1"/>
  <c r="D526" i="20"/>
  <c r="G526" i="20"/>
  <c r="H526" i="20"/>
  <c r="A527" i="20"/>
  <c r="B527" i="20"/>
  <c r="C527" i="20"/>
  <c r="D527" i="20"/>
  <c r="F527" i="20"/>
  <c r="G527" i="20"/>
  <c r="H527" i="20"/>
  <c r="A528" i="20"/>
  <c r="B528" i="20"/>
  <c r="C528" i="20"/>
  <c r="F528" i="20" s="1"/>
  <c r="D528" i="20"/>
  <c r="G528" i="20"/>
  <c r="H528" i="20"/>
  <c r="A529" i="20"/>
  <c r="B529" i="20"/>
  <c r="C529" i="20"/>
  <c r="F529" i="20" s="1"/>
  <c r="D529" i="20"/>
  <c r="G529" i="20"/>
  <c r="H529" i="20"/>
  <c r="A530" i="20"/>
  <c r="B530" i="20"/>
  <c r="C530" i="20"/>
  <c r="F530" i="20" s="1"/>
  <c r="D530" i="20"/>
  <c r="G530" i="20"/>
  <c r="H530" i="20"/>
  <c r="A531" i="20"/>
  <c r="B531" i="20"/>
  <c r="C531" i="20"/>
  <c r="F531" i="20" s="1"/>
  <c r="D531" i="20"/>
  <c r="G531" i="20"/>
  <c r="H531" i="20"/>
  <c r="A532" i="20"/>
  <c r="B532" i="20"/>
  <c r="C532" i="20"/>
  <c r="F532" i="20" s="1"/>
  <c r="D532" i="20"/>
  <c r="G532" i="20"/>
  <c r="H532" i="20"/>
  <c r="A533" i="20"/>
  <c r="B533" i="20"/>
  <c r="C533" i="20"/>
  <c r="F533" i="20" s="1"/>
  <c r="D533" i="20"/>
  <c r="G533" i="20"/>
  <c r="H533" i="20"/>
  <c r="A534" i="20"/>
  <c r="B534" i="20"/>
  <c r="C534" i="20"/>
  <c r="F534" i="20" s="1"/>
  <c r="D534" i="20"/>
  <c r="G534" i="20"/>
  <c r="H534" i="20"/>
  <c r="A535" i="20"/>
  <c r="B535" i="20"/>
  <c r="C535" i="20"/>
  <c r="F535" i="20" s="1"/>
  <c r="D535" i="20"/>
  <c r="G535" i="20"/>
  <c r="H535" i="20"/>
  <c r="A536" i="20"/>
  <c r="B536" i="20"/>
  <c r="C536" i="20"/>
  <c r="F536" i="20" s="1"/>
  <c r="D536" i="20"/>
  <c r="G536" i="20"/>
  <c r="H536" i="20"/>
  <c r="A537" i="20"/>
  <c r="B537" i="20"/>
  <c r="C537" i="20"/>
  <c r="F537" i="20" s="1"/>
  <c r="D537" i="20"/>
  <c r="G537" i="20"/>
  <c r="H537" i="20"/>
  <c r="A538" i="20"/>
  <c r="B538" i="20"/>
  <c r="C538" i="20"/>
  <c r="F538" i="20" s="1"/>
  <c r="D538" i="20"/>
  <c r="G538" i="20"/>
  <c r="H538" i="20"/>
  <c r="A539" i="20"/>
  <c r="B539" i="20"/>
  <c r="C539" i="20"/>
  <c r="F539" i="20" s="1"/>
  <c r="D539" i="20"/>
  <c r="G539" i="20"/>
  <c r="H539" i="20"/>
  <c r="A540" i="20"/>
  <c r="B540" i="20"/>
  <c r="C540" i="20"/>
  <c r="F540" i="20" s="1"/>
  <c r="D540" i="20"/>
  <c r="G540" i="20"/>
  <c r="H540" i="20"/>
  <c r="A541" i="20"/>
  <c r="B541" i="20"/>
  <c r="C541" i="20"/>
  <c r="F541" i="20" s="1"/>
  <c r="D541" i="20"/>
  <c r="G541" i="20"/>
  <c r="H541" i="20"/>
  <c r="A542" i="20"/>
  <c r="B542" i="20"/>
  <c r="C542" i="20"/>
  <c r="F542" i="20" s="1"/>
  <c r="D542" i="20"/>
  <c r="G542" i="20"/>
  <c r="H542" i="20"/>
  <c r="A543" i="20"/>
  <c r="B543" i="20"/>
  <c r="C543" i="20"/>
  <c r="F543" i="20" s="1"/>
  <c r="D543" i="20"/>
  <c r="G543" i="20"/>
  <c r="H543" i="20"/>
  <c r="A544" i="20"/>
  <c r="B544" i="20"/>
  <c r="C544" i="20"/>
  <c r="F544" i="20" s="1"/>
  <c r="D544" i="20"/>
  <c r="G544" i="20"/>
  <c r="H544" i="20"/>
  <c r="A545" i="20"/>
  <c r="B545" i="20"/>
  <c r="C545" i="20"/>
  <c r="F545" i="20" s="1"/>
  <c r="D545" i="20"/>
  <c r="G545" i="20"/>
  <c r="H545" i="20"/>
  <c r="A546" i="20"/>
  <c r="B546" i="20"/>
  <c r="C546" i="20"/>
  <c r="F546" i="20" s="1"/>
  <c r="D546" i="20"/>
  <c r="G546" i="20"/>
  <c r="H546" i="20"/>
  <c r="A547" i="20"/>
  <c r="B547" i="20"/>
  <c r="C547" i="20"/>
  <c r="F547" i="20" s="1"/>
  <c r="D547" i="20"/>
  <c r="G547" i="20"/>
  <c r="H547" i="20"/>
  <c r="A548" i="20"/>
  <c r="B548" i="20"/>
  <c r="C548" i="20"/>
  <c r="F548" i="20" s="1"/>
  <c r="D548" i="20"/>
  <c r="G548" i="20"/>
  <c r="H548" i="20"/>
  <c r="A549" i="20"/>
  <c r="B549" i="20"/>
  <c r="C549" i="20"/>
  <c r="F549" i="20" s="1"/>
  <c r="D549" i="20"/>
  <c r="G549" i="20"/>
  <c r="H549" i="20"/>
  <c r="A550" i="20"/>
  <c r="B550" i="20"/>
  <c r="C550" i="20"/>
  <c r="F550" i="20" s="1"/>
  <c r="D550" i="20"/>
  <c r="G550" i="20"/>
  <c r="H550" i="20"/>
  <c r="A551" i="20"/>
  <c r="B551" i="20"/>
  <c r="C551" i="20"/>
  <c r="F551" i="20" s="1"/>
  <c r="D551" i="20"/>
  <c r="G551" i="20"/>
  <c r="H551" i="20"/>
  <c r="A552" i="20"/>
  <c r="B552" i="20"/>
  <c r="C552" i="20"/>
  <c r="F552" i="20" s="1"/>
  <c r="D552" i="20"/>
  <c r="G552" i="20"/>
  <c r="H552" i="20"/>
  <c r="A553" i="20"/>
  <c r="B553" i="20"/>
  <c r="C553" i="20"/>
  <c r="F553" i="20" s="1"/>
  <c r="D553" i="20"/>
  <c r="G553" i="20"/>
  <c r="H553" i="20"/>
  <c r="A554" i="20"/>
  <c r="B554" i="20"/>
  <c r="C554" i="20"/>
  <c r="F554" i="20" s="1"/>
  <c r="D554" i="20"/>
  <c r="G554" i="20"/>
  <c r="H554" i="20"/>
  <c r="A555" i="20"/>
  <c r="B555" i="20"/>
  <c r="C555" i="20"/>
  <c r="F555" i="20" s="1"/>
  <c r="D555" i="20"/>
  <c r="G555" i="20"/>
  <c r="H555" i="20"/>
  <c r="A556" i="20"/>
  <c r="B556" i="20"/>
  <c r="C556" i="20"/>
  <c r="F556" i="20" s="1"/>
  <c r="D556" i="20"/>
  <c r="G556" i="20"/>
  <c r="H556" i="20"/>
  <c r="A557" i="20"/>
  <c r="B557" i="20"/>
  <c r="C557" i="20"/>
  <c r="F557" i="20" s="1"/>
  <c r="D557" i="20"/>
  <c r="G557" i="20"/>
  <c r="H557" i="20"/>
  <c r="A558" i="20"/>
  <c r="B558" i="20"/>
  <c r="C558" i="20"/>
  <c r="F558" i="20" s="1"/>
  <c r="D558" i="20"/>
  <c r="G558" i="20"/>
  <c r="H558" i="20"/>
  <c r="A559" i="20"/>
  <c r="B559" i="20"/>
  <c r="C559" i="20"/>
  <c r="F559" i="20" s="1"/>
  <c r="D559" i="20"/>
  <c r="G559" i="20"/>
  <c r="H559" i="20"/>
  <c r="A560" i="20"/>
  <c r="B560" i="20"/>
  <c r="C560" i="20"/>
  <c r="F560" i="20" s="1"/>
  <c r="D560" i="20"/>
  <c r="G560" i="20"/>
  <c r="H560" i="20"/>
  <c r="A561" i="20"/>
  <c r="B561" i="20"/>
  <c r="C561" i="20"/>
  <c r="F561" i="20" s="1"/>
  <c r="D561" i="20"/>
  <c r="G561" i="20"/>
  <c r="H561" i="20"/>
  <c r="A562" i="20"/>
  <c r="B562" i="20"/>
  <c r="C562" i="20"/>
  <c r="F562" i="20" s="1"/>
  <c r="D562" i="20"/>
  <c r="G562" i="20"/>
  <c r="H562" i="20"/>
  <c r="A563" i="20"/>
  <c r="B563" i="20"/>
  <c r="C563" i="20"/>
  <c r="F563" i="20" s="1"/>
  <c r="D563" i="20"/>
  <c r="G563" i="20"/>
  <c r="H563" i="20"/>
  <c r="A564" i="20"/>
  <c r="B564" i="20"/>
  <c r="C564" i="20"/>
  <c r="F564" i="20" s="1"/>
  <c r="D564" i="20"/>
  <c r="G564" i="20"/>
  <c r="H564" i="20"/>
  <c r="A565" i="20"/>
  <c r="B565" i="20"/>
  <c r="C565" i="20"/>
  <c r="F565" i="20" s="1"/>
  <c r="D565" i="20"/>
  <c r="G565" i="20"/>
  <c r="H565" i="20"/>
  <c r="A566" i="20"/>
  <c r="B566" i="20"/>
  <c r="C566" i="20"/>
  <c r="F566" i="20" s="1"/>
  <c r="D566" i="20"/>
  <c r="G566" i="20"/>
  <c r="H566" i="20"/>
  <c r="A567" i="20"/>
  <c r="B567" i="20"/>
  <c r="C567" i="20"/>
  <c r="F567" i="20" s="1"/>
  <c r="D567" i="20"/>
  <c r="G567" i="20"/>
  <c r="H567" i="20"/>
  <c r="A568" i="20"/>
  <c r="B568" i="20"/>
  <c r="C568" i="20"/>
  <c r="F568" i="20" s="1"/>
  <c r="D568" i="20"/>
  <c r="G568" i="20"/>
  <c r="H568" i="20"/>
  <c r="A569" i="20"/>
  <c r="B569" i="20"/>
  <c r="C569" i="20"/>
  <c r="F569" i="20" s="1"/>
  <c r="D569" i="20"/>
  <c r="G569" i="20"/>
  <c r="H569" i="20"/>
  <c r="A570" i="20"/>
  <c r="B570" i="20"/>
  <c r="C570" i="20"/>
  <c r="D570" i="20"/>
  <c r="F570" i="20"/>
  <c r="G570" i="20"/>
  <c r="H570" i="20"/>
  <c r="A571" i="20"/>
  <c r="B571" i="20"/>
  <c r="C571" i="20"/>
  <c r="F571" i="20" s="1"/>
  <c r="D571" i="20"/>
  <c r="G571" i="20"/>
  <c r="H571" i="20"/>
  <c r="A572" i="20"/>
  <c r="B572" i="20"/>
  <c r="C572" i="20"/>
  <c r="F572" i="20" s="1"/>
  <c r="D572" i="20"/>
  <c r="G572" i="20"/>
  <c r="H572" i="20"/>
  <c r="A573" i="20"/>
  <c r="B573" i="20"/>
  <c r="C573" i="20"/>
  <c r="D573" i="20"/>
  <c r="F573" i="20"/>
  <c r="G573" i="20"/>
  <c r="H573" i="20"/>
  <c r="A574" i="20"/>
  <c r="B574" i="20"/>
  <c r="C574" i="20"/>
  <c r="F574" i="20" s="1"/>
  <c r="D574" i="20"/>
  <c r="G574" i="20"/>
  <c r="H574" i="20"/>
  <c r="A575" i="20"/>
  <c r="B575" i="20"/>
  <c r="C575" i="20"/>
  <c r="F575" i="20" s="1"/>
  <c r="D575" i="20"/>
  <c r="G575" i="20"/>
  <c r="H575" i="20"/>
  <c r="A576" i="20"/>
  <c r="B576" i="20"/>
  <c r="C576" i="20"/>
  <c r="F576" i="20" s="1"/>
  <c r="D576" i="20"/>
  <c r="G576" i="20"/>
  <c r="H576" i="20"/>
  <c r="A577" i="20"/>
  <c r="B577" i="20"/>
  <c r="C577" i="20"/>
  <c r="F577" i="20" s="1"/>
  <c r="D577" i="20"/>
  <c r="G577" i="20"/>
  <c r="H577" i="20"/>
  <c r="A578" i="20"/>
  <c r="B578" i="20"/>
  <c r="C578" i="20"/>
  <c r="D578" i="20"/>
  <c r="F578" i="20"/>
  <c r="G578" i="20"/>
  <c r="H578" i="20"/>
  <c r="A579" i="20"/>
  <c r="B579" i="20"/>
  <c r="C579" i="20"/>
  <c r="F579" i="20" s="1"/>
  <c r="D579" i="20"/>
  <c r="G579" i="20"/>
  <c r="H579" i="20"/>
  <c r="A580" i="20"/>
  <c r="B580" i="20"/>
  <c r="C580" i="20"/>
  <c r="F580" i="20" s="1"/>
  <c r="D580" i="20"/>
  <c r="G580" i="20"/>
  <c r="H580" i="20"/>
  <c r="A581" i="20"/>
  <c r="B581" i="20"/>
  <c r="C581" i="20"/>
  <c r="F581" i="20" s="1"/>
  <c r="D581" i="20"/>
  <c r="G581" i="20"/>
  <c r="H581" i="20"/>
  <c r="A582" i="20"/>
  <c r="B582" i="20"/>
  <c r="C582" i="20"/>
  <c r="F582" i="20" s="1"/>
  <c r="D582" i="20"/>
  <c r="G582" i="20"/>
  <c r="H582" i="20"/>
  <c r="A583" i="20"/>
  <c r="B583" i="20"/>
  <c r="C583" i="20"/>
  <c r="F583" i="20" s="1"/>
  <c r="D583" i="20"/>
  <c r="G583" i="20"/>
  <c r="H583" i="20"/>
  <c r="A584" i="20"/>
  <c r="B584" i="20"/>
  <c r="C584" i="20"/>
  <c r="F584" i="20" s="1"/>
  <c r="D584" i="20"/>
  <c r="G584" i="20"/>
  <c r="H584" i="20"/>
  <c r="A585" i="20"/>
  <c r="B585" i="20"/>
  <c r="C585" i="20"/>
  <c r="F585" i="20" s="1"/>
  <c r="D585" i="20"/>
  <c r="G585" i="20"/>
  <c r="H585" i="20"/>
  <c r="A586" i="20"/>
  <c r="B586" i="20"/>
  <c r="C586" i="20"/>
  <c r="F586" i="20" s="1"/>
  <c r="D586" i="20"/>
  <c r="G586" i="20"/>
  <c r="H586" i="20"/>
  <c r="A587" i="20"/>
  <c r="B587" i="20"/>
  <c r="C587" i="20"/>
  <c r="F587" i="20" s="1"/>
  <c r="D587" i="20"/>
  <c r="G587" i="20"/>
  <c r="H587" i="20"/>
  <c r="A588" i="20"/>
  <c r="B588" i="20"/>
  <c r="C588" i="20"/>
  <c r="F588" i="20" s="1"/>
  <c r="D588" i="20"/>
  <c r="G588" i="20"/>
  <c r="H588" i="20"/>
  <c r="A589" i="20"/>
  <c r="B589" i="20"/>
  <c r="C589" i="20"/>
  <c r="F589" i="20" s="1"/>
  <c r="D589" i="20"/>
  <c r="G589" i="20"/>
  <c r="H589" i="20"/>
  <c r="A590" i="20"/>
  <c r="B590" i="20"/>
  <c r="C590" i="20"/>
  <c r="F590" i="20" s="1"/>
  <c r="D590" i="20"/>
  <c r="G590" i="20"/>
  <c r="H590" i="20"/>
  <c r="A591" i="20"/>
  <c r="B591" i="20"/>
  <c r="C591" i="20"/>
  <c r="F591" i="20" s="1"/>
  <c r="D591" i="20"/>
  <c r="G591" i="20"/>
  <c r="H591" i="20"/>
  <c r="A592" i="20"/>
  <c r="B592" i="20"/>
  <c r="C592" i="20"/>
  <c r="F592" i="20" s="1"/>
  <c r="D592" i="20"/>
  <c r="G592" i="20"/>
  <c r="H592" i="20"/>
  <c r="A593" i="20"/>
  <c r="B593" i="20"/>
  <c r="C593" i="20"/>
  <c r="F593" i="20" s="1"/>
  <c r="D593" i="20"/>
  <c r="G593" i="20"/>
  <c r="H593" i="20"/>
  <c r="A594" i="20"/>
  <c r="B594" i="20"/>
  <c r="C594" i="20"/>
  <c r="F594" i="20" s="1"/>
  <c r="D594" i="20"/>
  <c r="G594" i="20"/>
  <c r="H594" i="20"/>
  <c r="A595" i="20"/>
  <c r="B595" i="20"/>
  <c r="C595" i="20"/>
  <c r="F595" i="20" s="1"/>
  <c r="D595" i="20"/>
  <c r="G595" i="20"/>
  <c r="H595" i="20"/>
  <c r="A596" i="20"/>
  <c r="B596" i="20"/>
  <c r="C596" i="20"/>
  <c r="F596" i="20" s="1"/>
  <c r="D596" i="20"/>
  <c r="G596" i="20"/>
  <c r="H596" i="20"/>
  <c r="A597" i="20"/>
  <c r="B597" i="20"/>
  <c r="C597" i="20"/>
  <c r="F597" i="20" s="1"/>
  <c r="D597" i="20"/>
  <c r="G597" i="20"/>
  <c r="H597" i="20"/>
  <c r="A598" i="20"/>
  <c r="B598" i="20"/>
  <c r="C598" i="20"/>
  <c r="F598" i="20" s="1"/>
  <c r="D598" i="20"/>
  <c r="G598" i="20"/>
  <c r="H598" i="20"/>
  <c r="A599" i="20"/>
  <c r="B599" i="20"/>
  <c r="C599" i="20"/>
  <c r="F599" i="20" s="1"/>
  <c r="D599" i="20"/>
  <c r="G599" i="20"/>
  <c r="H599" i="20"/>
  <c r="A600" i="20"/>
  <c r="B600" i="20"/>
  <c r="C600" i="20"/>
  <c r="F600" i="20" s="1"/>
  <c r="D600" i="20"/>
  <c r="G600" i="20"/>
  <c r="H600" i="20"/>
  <c r="A601" i="20"/>
  <c r="B601" i="20"/>
  <c r="C601" i="20"/>
  <c r="F601" i="20" s="1"/>
  <c r="D601" i="20"/>
  <c r="G601" i="20"/>
  <c r="H601" i="20"/>
  <c r="A602" i="20"/>
  <c r="B602" i="20"/>
  <c r="C602" i="20"/>
  <c r="F602" i="20" s="1"/>
  <c r="D602" i="20"/>
  <c r="G602" i="20"/>
  <c r="H602" i="20"/>
  <c r="A603" i="20"/>
  <c r="B603" i="20"/>
  <c r="C603" i="20"/>
  <c r="F603" i="20" s="1"/>
  <c r="D603" i="20"/>
  <c r="G603" i="20"/>
  <c r="H603" i="20"/>
  <c r="A604" i="20"/>
  <c r="B604" i="20"/>
  <c r="C604" i="20"/>
  <c r="F604" i="20" s="1"/>
  <c r="D604" i="20"/>
  <c r="G604" i="20"/>
  <c r="H604" i="20"/>
  <c r="A605" i="20"/>
  <c r="B605" i="20"/>
  <c r="C605" i="20"/>
  <c r="F605" i="20" s="1"/>
  <c r="D605" i="20"/>
  <c r="G605" i="20"/>
  <c r="H605" i="20"/>
  <c r="A606" i="20"/>
  <c r="B606" i="20"/>
  <c r="C606" i="20"/>
  <c r="F606" i="20" s="1"/>
  <c r="D606" i="20"/>
  <c r="G606" i="20"/>
  <c r="H606" i="20"/>
  <c r="A607" i="20"/>
  <c r="B607" i="20"/>
  <c r="C607" i="20"/>
  <c r="D607" i="20"/>
  <c r="F607" i="20"/>
  <c r="G607" i="20"/>
  <c r="H607" i="20"/>
  <c r="A608" i="20"/>
  <c r="B608" i="20"/>
  <c r="C608" i="20"/>
  <c r="F608" i="20" s="1"/>
  <c r="D608" i="20"/>
  <c r="G608" i="20"/>
  <c r="H608" i="20"/>
  <c r="A609" i="20"/>
  <c r="B609" i="20"/>
  <c r="C609" i="20"/>
  <c r="F609" i="20" s="1"/>
  <c r="D609" i="20"/>
  <c r="G609" i="20"/>
  <c r="H609" i="20"/>
  <c r="A610" i="20"/>
  <c r="B610" i="20"/>
  <c r="C610" i="20"/>
  <c r="F610" i="20" s="1"/>
  <c r="D610" i="20"/>
  <c r="G610" i="20"/>
  <c r="H610" i="20"/>
  <c r="A611" i="20"/>
  <c r="B611" i="20"/>
  <c r="C611" i="20"/>
  <c r="F611" i="20" s="1"/>
  <c r="D611" i="20"/>
  <c r="G611" i="20"/>
  <c r="H611" i="20"/>
  <c r="A612" i="20"/>
  <c r="B612" i="20"/>
  <c r="C612" i="20"/>
  <c r="F612" i="20" s="1"/>
  <c r="D612" i="20"/>
  <c r="G612" i="20"/>
  <c r="H612" i="20"/>
  <c r="A613" i="20"/>
  <c r="B613" i="20"/>
  <c r="C613" i="20"/>
  <c r="F613" i="20" s="1"/>
  <c r="D613" i="20"/>
  <c r="G613" i="20"/>
  <c r="H613" i="20"/>
  <c r="A614" i="20"/>
  <c r="B614" i="20"/>
  <c r="C614" i="20"/>
  <c r="F614" i="20" s="1"/>
  <c r="D614" i="20"/>
  <c r="G614" i="20"/>
  <c r="H614" i="20"/>
  <c r="A615" i="20"/>
  <c r="B615" i="20"/>
  <c r="C615" i="20"/>
  <c r="F615" i="20" s="1"/>
  <c r="D615" i="20"/>
  <c r="G615" i="20"/>
  <c r="H615" i="20"/>
  <c r="A616" i="20"/>
  <c r="B616" i="20"/>
  <c r="C616" i="20"/>
  <c r="F616" i="20" s="1"/>
  <c r="D616" i="20"/>
  <c r="G616" i="20"/>
  <c r="H616" i="20"/>
  <c r="A617" i="20"/>
  <c r="B617" i="20"/>
  <c r="C617" i="20"/>
  <c r="F617" i="20" s="1"/>
  <c r="D617" i="20"/>
  <c r="G617" i="20"/>
  <c r="H617" i="20"/>
  <c r="A618" i="20"/>
  <c r="B618" i="20"/>
  <c r="C618" i="20"/>
  <c r="F618" i="20" s="1"/>
  <c r="D618" i="20"/>
  <c r="G618" i="20"/>
  <c r="H618" i="20"/>
  <c r="A619" i="20"/>
  <c r="B619" i="20"/>
  <c r="C619" i="20"/>
  <c r="F619" i="20" s="1"/>
  <c r="D619" i="20"/>
  <c r="G619" i="20"/>
  <c r="H619" i="20"/>
  <c r="A620" i="20"/>
  <c r="B620" i="20"/>
  <c r="C620" i="20"/>
  <c r="F620" i="20" s="1"/>
  <c r="D620" i="20"/>
  <c r="G620" i="20"/>
  <c r="H620" i="20"/>
  <c r="A621" i="20"/>
  <c r="B621" i="20"/>
  <c r="C621" i="20"/>
  <c r="F621" i="20" s="1"/>
  <c r="D621" i="20"/>
  <c r="G621" i="20"/>
  <c r="H621" i="20"/>
  <c r="A622" i="20"/>
  <c r="B622" i="20"/>
  <c r="C622" i="20"/>
  <c r="F622" i="20" s="1"/>
  <c r="D622" i="20"/>
  <c r="G622" i="20"/>
  <c r="H622" i="20"/>
  <c r="A623" i="20"/>
  <c r="B623" i="20"/>
  <c r="C623" i="20"/>
  <c r="F623" i="20" s="1"/>
  <c r="D623" i="20"/>
  <c r="G623" i="20"/>
  <c r="H623" i="20"/>
  <c r="A624" i="20"/>
  <c r="B624" i="20"/>
  <c r="C624" i="20"/>
  <c r="F624" i="20" s="1"/>
  <c r="D624" i="20"/>
  <c r="G624" i="20"/>
  <c r="H624" i="20"/>
  <c r="A625" i="20"/>
  <c r="B625" i="20"/>
  <c r="C625" i="20"/>
  <c r="F625" i="20" s="1"/>
  <c r="D625" i="20"/>
  <c r="G625" i="20"/>
  <c r="H625" i="20"/>
  <c r="A626" i="20"/>
  <c r="B626" i="20"/>
  <c r="C626" i="20"/>
  <c r="F626" i="20" s="1"/>
  <c r="D626" i="20"/>
  <c r="G626" i="20"/>
  <c r="H626" i="20"/>
  <c r="A627" i="20"/>
  <c r="B627" i="20"/>
  <c r="C627" i="20"/>
  <c r="F627" i="20" s="1"/>
  <c r="D627" i="20"/>
  <c r="G627" i="20"/>
  <c r="H627" i="20"/>
  <c r="A628" i="20"/>
  <c r="B628" i="20"/>
  <c r="C628" i="20"/>
  <c r="F628" i="20" s="1"/>
  <c r="D628" i="20"/>
  <c r="G628" i="20"/>
  <c r="H628" i="20"/>
  <c r="A629" i="20"/>
  <c r="B629" i="20"/>
  <c r="C629" i="20"/>
  <c r="F629" i="20" s="1"/>
  <c r="D629" i="20"/>
  <c r="G629" i="20"/>
  <c r="H629" i="20"/>
  <c r="A630" i="20"/>
  <c r="B630" i="20"/>
  <c r="C630" i="20"/>
  <c r="F630" i="20" s="1"/>
  <c r="D630" i="20"/>
  <c r="G630" i="20"/>
  <c r="H630" i="20"/>
  <c r="A631" i="20"/>
  <c r="B631" i="20"/>
  <c r="C631" i="20"/>
  <c r="F631" i="20" s="1"/>
  <c r="D631" i="20"/>
  <c r="G631" i="20"/>
  <c r="H631" i="20"/>
  <c r="A632" i="20"/>
  <c r="B632" i="20"/>
  <c r="C632" i="20"/>
  <c r="F632" i="20" s="1"/>
  <c r="D632" i="20"/>
  <c r="G632" i="20"/>
  <c r="H632" i="20"/>
  <c r="A633" i="20"/>
  <c r="B633" i="20"/>
  <c r="C633" i="20"/>
  <c r="F633" i="20" s="1"/>
  <c r="D633" i="20"/>
  <c r="G633" i="20"/>
  <c r="H633" i="20"/>
  <c r="A634" i="20"/>
  <c r="B634" i="20"/>
  <c r="C634" i="20"/>
  <c r="F634" i="20" s="1"/>
  <c r="D634" i="20"/>
  <c r="G634" i="20"/>
  <c r="H634" i="20"/>
  <c r="A635" i="20"/>
  <c r="B635" i="20"/>
  <c r="C635" i="20"/>
  <c r="F635" i="20" s="1"/>
  <c r="D635" i="20"/>
  <c r="G635" i="20"/>
  <c r="H635" i="20"/>
  <c r="A636" i="20"/>
  <c r="B636" i="20"/>
  <c r="C636" i="20"/>
  <c r="F636" i="20" s="1"/>
  <c r="D636" i="20"/>
  <c r="G636" i="20"/>
  <c r="H636" i="20"/>
  <c r="A637" i="20"/>
  <c r="B637" i="20"/>
  <c r="C637" i="20"/>
  <c r="F637" i="20" s="1"/>
  <c r="D637" i="20"/>
  <c r="G637" i="20"/>
  <c r="H637" i="20"/>
  <c r="A638" i="20"/>
  <c r="B638" i="20"/>
  <c r="C638" i="20"/>
  <c r="F638" i="20" s="1"/>
  <c r="D638" i="20"/>
  <c r="G638" i="20"/>
  <c r="H638" i="20"/>
  <c r="A639" i="20"/>
  <c r="B639" i="20"/>
  <c r="C639" i="20"/>
  <c r="F639" i="20" s="1"/>
  <c r="D639" i="20"/>
  <c r="G639" i="20"/>
  <c r="H639" i="20"/>
  <c r="A640" i="20"/>
  <c r="B640" i="20"/>
  <c r="C640" i="20"/>
  <c r="F640" i="20" s="1"/>
  <c r="D640" i="20"/>
  <c r="G640" i="20"/>
  <c r="H640" i="20"/>
  <c r="A641" i="20"/>
  <c r="B641" i="20"/>
  <c r="C641" i="20"/>
  <c r="F641" i="20" s="1"/>
  <c r="D641" i="20"/>
  <c r="G641" i="20"/>
  <c r="H641" i="20"/>
  <c r="A642" i="20"/>
  <c r="B642" i="20"/>
  <c r="C642" i="20"/>
  <c r="F642" i="20" s="1"/>
  <c r="D642" i="20"/>
  <c r="G642" i="20"/>
  <c r="H642" i="20"/>
  <c r="A643" i="20"/>
  <c r="B643" i="20"/>
  <c r="C643" i="20"/>
  <c r="F643" i="20" s="1"/>
  <c r="D643" i="20"/>
  <c r="G643" i="20"/>
  <c r="H643" i="20"/>
  <c r="A644" i="20"/>
  <c r="B644" i="20"/>
  <c r="C644" i="20"/>
  <c r="F644" i="20" s="1"/>
  <c r="D644" i="20"/>
  <c r="G644" i="20"/>
  <c r="H644" i="20"/>
  <c r="A645" i="20"/>
  <c r="B645" i="20"/>
  <c r="C645" i="20"/>
  <c r="F645" i="20" s="1"/>
  <c r="D645" i="20"/>
  <c r="G645" i="20"/>
  <c r="H645" i="20"/>
  <c r="A646" i="20"/>
  <c r="B646" i="20"/>
  <c r="C646" i="20"/>
  <c r="F646" i="20" s="1"/>
  <c r="D646" i="20"/>
  <c r="G646" i="20"/>
  <c r="H646" i="20"/>
  <c r="A647" i="20"/>
  <c r="B647" i="20"/>
  <c r="C647" i="20"/>
  <c r="D647" i="20"/>
  <c r="F647" i="20"/>
  <c r="G647" i="20"/>
  <c r="H647" i="20"/>
  <c r="A648" i="20"/>
  <c r="B648" i="20"/>
  <c r="C648" i="20"/>
  <c r="F648" i="20" s="1"/>
  <c r="D648" i="20"/>
  <c r="G648" i="20"/>
  <c r="H648" i="20"/>
  <c r="A649" i="20"/>
  <c r="B649" i="20"/>
  <c r="C649" i="20"/>
  <c r="F649" i="20" s="1"/>
  <c r="D649" i="20"/>
  <c r="G649" i="20"/>
  <c r="H649" i="20"/>
  <c r="A650" i="20"/>
  <c r="B650" i="20"/>
  <c r="C650" i="20"/>
  <c r="D650" i="20"/>
  <c r="F650" i="20"/>
  <c r="G650" i="20"/>
  <c r="H650" i="20"/>
  <c r="A651" i="20"/>
  <c r="B651" i="20"/>
  <c r="C651" i="20"/>
  <c r="F651" i="20" s="1"/>
  <c r="D651" i="20"/>
  <c r="G651" i="20"/>
  <c r="H651" i="20"/>
  <c r="A652" i="20"/>
  <c r="B652" i="20"/>
  <c r="C652" i="20"/>
  <c r="F652" i="20" s="1"/>
  <c r="D652" i="20"/>
  <c r="G652" i="20"/>
  <c r="H652" i="20"/>
  <c r="A653" i="20"/>
  <c r="B653" i="20"/>
  <c r="C653" i="20"/>
  <c r="F653" i="20" s="1"/>
  <c r="D653" i="20"/>
  <c r="G653" i="20"/>
  <c r="H653" i="20"/>
  <c r="A654" i="20"/>
  <c r="B654" i="20"/>
  <c r="C654" i="20"/>
  <c r="F654" i="20" s="1"/>
  <c r="D654" i="20"/>
  <c r="G654" i="20"/>
  <c r="H654" i="20"/>
  <c r="A655" i="20"/>
  <c r="B655" i="20"/>
  <c r="C655" i="20"/>
  <c r="F655" i="20" s="1"/>
  <c r="D655" i="20"/>
  <c r="G655" i="20"/>
  <c r="H655" i="20"/>
  <c r="A656" i="20"/>
  <c r="B656" i="20"/>
  <c r="C656" i="20"/>
  <c r="F656" i="20" s="1"/>
  <c r="D656" i="20"/>
  <c r="G656" i="20"/>
  <c r="H656" i="20"/>
  <c r="A657" i="20"/>
  <c r="B657" i="20"/>
  <c r="C657" i="20"/>
  <c r="F657" i="20" s="1"/>
  <c r="D657" i="20"/>
  <c r="G657" i="20"/>
  <c r="H657" i="20"/>
  <c r="A658" i="20"/>
  <c r="B658" i="20"/>
  <c r="C658" i="20"/>
  <c r="F658" i="20" s="1"/>
  <c r="D658" i="20"/>
  <c r="G658" i="20"/>
  <c r="H658" i="20"/>
  <c r="A659" i="20"/>
  <c r="B659" i="20"/>
  <c r="C659" i="20"/>
  <c r="F659" i="20" s="1"/>
  <c r="D659" i="20"/>
  <c r="G659" i="20"/>
  <c r="H659" i="20"/>
  <c r="A660" i="20"/>
  <c r="B660" i="20"/>
  <c r="C660" i="20"/>
  <c r="F660" i="20" s="1"/>
  <c r="D660" i="20"/>
  <c r="G660" i="20"/>
  <c r="H660" i="20"/>
  <c r="A661" i="20"/>
  <c r="B661" i="20"/>
  <c r="C661" i="20"/>
  <c r="F661" i="20" s="1"/>
  <c r="D661" i="20"/>
  <c r="G661" i="20"/>
  <c r="H661" i="20"/>
  <c r="A662" i="20"/>
  <c r="B662" i="20"/>
  <c r="C662" i="20"/>
  <c r="F662" i="20" s="1"/>
  <c r="D662" i="20"/>
  <c r="G662" i="20"/>
  <c r="H662" i="20"/>
  <c r="A663" i="20"/>
  <c r="B663" i="20"/>
  <c r="C663" i="20"/>
  <c r="F663" i="20" s="1"/>
  <c r="D663" i="20"/>
  <c r="G663" i="20"/>
  <c r="H663" i="20"/>
  <c r="A664" i="20"/>
  <c r="B664" i="20"/>
  <c r="C664" i="20"/>
  <c r="F664" i="20" s="1"/>
  <c r="D664" i="20"/>
  <c r="G664" i="20"/>
  <c r="H664" i="20"/>
  <c r="A665" i="20"/>
  <c r="B665" i="20"/>
  <c r="C665" i="20"/>
  <c r="F665" i="20" s="1"/>
  <c r="D665" i="20"/>
  <c r="G665" i="20"/>
  <c r="H665" i="20"/>
  <c r="A666" i="20"/>
  <c r="B666" i="20"/>
  <c r="C666" i="20"/>
  <c r="F666" i="20" s="1"/>
  <c r="D666" i="20"/>
  <c r="G666" i="20"/>
  <c r="H666" i="20"/>
  <c r="A667" i="20"/>
  <c r="B667" i="20"/>
  <c r="C667" i="20"/>
  <c r="F667" i="20" s="1"/>
  <c r="D667" i="20"/>
  <c r="G667" i="20"/>
  <c r="H667" i="20"/>
  <c r="A668" i="20"/>
  <c r="B668" i="20"/>
  <c r="C668" i="20"/>
  <c r="F668" i="20" s="1"/>
  <c r="D668" i="20"/>
  <c r="G668" i="20"/>
  <c r="H668" i="20"/>
  <c r="A669" i="20"/>
  <c r="B669" i="20"/>
  <c r="C669" i="20"/>
  <c r="F669" i="20" s="1"/>
  <c r="D669" i="20"/>
  <c r="G669" i="20"/>
  <c r="H669" i="20"/>
  <c r="A670" i="20"/>
  <c r="B670" i="20"/>
  <c r="C670" i="20"/>
  <c r="F670" i="20" s="1"/>
  <c r="D670" i="20"/>
  <c r="G670" i="20"/>
  <c r="H670" i="20"/>
  <c r="A671" i="20"/>
  <c r="B671" i="20"/>
  <c r="C671" i="20"/>
  <c r="F671" i="20" s="1"/>
  <c r="D671" i="20"/>
  <c r="G671" i="20"/>
  <c r="H671" i="20"/>
  <c r="A672" i="20"/>
  <c r="B672" i="20"/>
  <c r="C672" i="20"/>
  <c r="F672" i="20" s="1"/>
  <c r="D672" i="20"/>
  <c r="G672" i="20"/>
  <c r="H672" i="20"/>
  <c r="A673" i="20"/>
  <c r="B673" i="20"/>
  <c r="C673" i="20"/>
  <c r="F673" i="20" s="1"/>
  <c r="D673" i="20"/>
  <c r="G673" i="20"/>
  <c r="H673" i="20"/>
  <c r="A674" i="20"/>
  <c r="B674" i="20"/>
  <c r="C674" i="20"/>
  <c r="F674" i="20" s="1"/>
  <c r="D674" i="20"/>
  <c r="G674" i="20"/>
  <c r="H674" i="20"/>
  <c r="A675" i="20"/>
  <c r="B675" i="20"/>
  <c r="C675" i="20"/>
  <c r="F675" i="20" s="1"/>
  <c r="D675" i="20"/>
  <c r="G675" i="20"/>
  <c r="H675" i="20"/>
  <c r="A676" i="20"/>
  <c r="B676" i="20"/>
  <c r="C676" i="20"/>
  <c r="F676" i="20" s="1"/>
  <c r="D676" i="20"/>
  <c r="G676" i="20"/>
  <c r="H676" i="20"/>
  <c r="A677" i="20"/>
  <c r="B677" i="20"/>
  <c r="C677" i="20"/>
  <c r="F677" i="20" s="1"/>
  <c r="D677" i="20"/>
  <c r="G677" i="20"/>
  <c r="H677" i="20"/>
  <c r="A678" i="20"/>
  <c r="B678" i="20"/>
  <c r="C678" i="20"/>
  <c r="F678" i="20" s="1"/>
  <c r="D678" i="20"/>
  <c r="G678" i="20"/>
  <c r="H678" i="20"/>
  <c r="A679" i="20"/>
  <c r="B679" i="20"/>
  <c r="C679" i="20"/>
  <c r="F679" i="20" s="1"/>
  <c r="D679" i="20"/>
  <c r="G679" i="20"/>
  <c r="H679" i="20"/>
  <c r="A680" i="20"/>
  <c r="B680" i="20"/>
  <c r="C680" i="20"/>
  <c r="F680" i="20" s="1"/>
  <c r="D680" i="20"/>
  <c r="G680" i="20"/>
  <c r="H680" i="20"/>
  <c r="A681" i="20"/>
  <c r="B681" i="20"/>
  <c r="C681" i="20"/>
  <c r="F681" i="20" s="1"/>
  <c r="D681" i="20"/>
  <c r="G681" i="20"/>
  <c r="H681" i="20"/>
  <c r="A682" i="20"/>
  <c r="B682" i="20"/>
  <c r="C682" i="20"/>
  <c r="F682" i="20" s="1"/>
  <c r="D682" i="20"/>
  <c r="G682" i="20"/>
  <c r="H682" i="20"/>
  <c r="A683" i="20"/>
  <c r="B683" i="20"/>
  <c r="C683" i="20"/>
  <c r="F683" i="20" s="1"/>
  <c r="D683" i="20"/>
  <c r="G683" i="20"/>
  <c r="H683" i="20"/>
  <c r="A684" i="20"/>
  <c r="B684" i="20"/>
  <c r="C684" i="20"/>
  <c r="F684" i="20" s="1"/>
  <c r="D684" i="20"/>
  <c r="G684" i="20"/>
  <c r="H684" i="20"/>
  <c r="A685" i="20"/>
  <c r="B685" i="20"/>
  <c r="C685" i="20"/>
  <c r="F685" i="20" s="1"/>
  <c r="D685" i="20"/>
  <c r="G685" i="20"/>
  <c r="H685" i="20"/>
  <c r="A686" i="20"/>
  <c r="B686" i="20"/>
  <c r="C686" i="20"/>
  <c r="F686" i="20" s="1"/>
  <c r="D686" i="20"/>
  <c r="G686" i="20"/>
  <c r="H686" i="20"/>
  <c r="A687" i="20"/>
  <c r="B687" i="20"/>
  <c r="C687" i="20"/>
  <c r="F687" i="20" s="1"/>
  <c r="D687" i="20"/>
  <c r="G687" i="20"/>
  <c r="H687" i="20"/>
  <c r="A688" i="20"/>
  <c r="B688" i="20"/>
  <c r="C688" i="20"/>
  <c r="F688" i="20" s="1"/>
  <c r="D688" i="20"/>
  <c r="G688" i="20"/>
  <c r="H688" i="20"/>
  <c r="A689" i="20"/>
  <c r="B689" i="20"/>
  <c r="C689" i="20"/>
  <c r="F689" i="20" s="1"/>
  <c r="D689" i="20"/>
  <c r="G689" i="20"/>
  <c r="H689" i="20"/>
  <c r="A690" i="20"/>
  <c r="B690" i="20"/>
  <c r="C690" i="20"/>
  <c r="F690" i="20" s="1"/>
  <c r="D690" i="20"/>
  <c r="G690" i="20"/>
  <c r="H690" i="20"/>
  <c r="A691" i="20"/>
  <c r="B691" i="20"/>
  <c r="C691" i="20"/>
  <c r="F691" i="20" s="1"/>
  <c r="D691" i="20"/>
  <c r="G691" i="20"/>
  <c r="H691" i="20"/>
  <c r="A692" i="20"/>
  <c r="B692" i="20"/>
  <c r="C692" i="20"/>
  <c r="F692" i="20" s="1"/>
  <c r="D692" i="20"/>
  <c r="G692" i="20"/>
  <c r="H692" i="20"/>
  <c r="A693" i="20"/>
  <c r="B693" i="20"/>
  <c r="C693" i="20"/>
  <c r="F693" i="20" s="1"/>
  <c r="D693" i="20"/>
  <c r="G693" i="20"/>
  <c r="H693" i="20"/>
  <c r="A694" i="20"/>
  <c r="B694" i="20"/>
  <c r="C694" i="20"/>
  <c r="F694" i="20" s="1"/>
  <c r="D694" i="20"/>
  <c r="G694" i="20"/>
  <c r="H694" i="20"/>
  <c r="A695" i="20"/>
  <c r="B695" i="20"/>
  <c r="C695" i="20"/>
  <c r="F695" i="20" s="1"/>
  <c r="D695" i="20"/>
  <c r="G695" i="20"/>
  <c r="H695" i="20"/>
  <c r="A696" i="20"/>
  <c r="B696" i="20"/>
  <c r="C696" i="20"/>
  <c r="F696" i="20" s="1"/>
  <c r="D696" i="20"/>
  <c r="G696" i="20"/>
  <c r="H696" i="20"/>
  <c r="A697" i="20"/>
  <c r="B697" i="20"/>
  <c r="C697" i="20"/>
  <c r="F697" i="20" s="1"/>
  <c r="D697" i="20"/>
  <c r="G697" i="20"/>
  <c r="H697" i="20"/>
  <c r="A698" i="20"/>
  <c r="B698" i="20"/>
  <c r="C698" i="20"/>
  <c r="F698" i="20" s="1"/>
  <c r="D698" i="20"/>
  <c r="G698" i="20"/>
  <c r="H698" i="20"/>
  <c r="A699" i="20"/>
  <c r="B699" i="20"/>
  <c r="C699" i="20"/>
  <c r="F699" i="20" s="1"/>
  <c r="D699" i="20"/>
  <c r="G699" i="20"/>
  <c r="H699" i="20"/>
  <c r="A700" i="20"/>
  <c r="B700" i="20"/>
  <c r="C700" i="20"/>
  <c r="F700" i="20" s="1"/>
  <c r="D700" i="20"/>
  <c r="G700" i="20"/>
  <c r="H700" i="20"/>
  <c r="A701" i="20"/>
  <c r="B701" i="20"/>
  <c r="C701" i="20"/>
  <c r="F701" i="20" s="1"/>
  <c r="D701" i="20"/>
  <c r="G701" i="20"/>
  <c r="H701" i="20"/>
  <c r="A702" i="20"/>
  <c r="B702" i="20"/>
  <c r="C702" i="20"/>
  <c r="F702" i="20" s="1"/>
  <c r="D702" i="20"/>
  <c r="G702" i="20"/>
  <c r="H702" i="20"/>
  <c r="A703" i="20"/>
  <c r="B703" i="20"/>
  <c r="C703" i="20"/>
  <c r="F703" i="20" s="1"/>
  <c r="D703" i="20"/>
  <c r="G703" i="20"/>
  <c r="H703" i="20"/>
  <c r="A704" i="20"/>
  <c r="B704" i="20"/>
  <c r="C704" i="20"/>
  <c r="F704" i="20" s="1"/>
  <c r="D704" i="20"/>
  <c r="G704" i="20"/>
  <c r="H704" i="20"/>
  <c r="A705" i="20"/>
  <c r="B705" i="20"/>
  <c r="C705" i="20"/>
  <c r="F705" i="20" s="1"/>
  <c r="D705" i="20"/>
  <c r="G705" i="20"/>
  <c r="H705" i="20"/>
  <c r="A706" i="20"/>
  <c r="B706" i="20"/>
  <c r="C706" i="20"/>
  <c r="F706" i="20" s="1"/>
  <c r="D706" i="20"/>
  <c r="G706" i="20"/>
  <c r="H706" i="20"/>
  <c r="A707" i="20"/>
  <c r="B707" i="20"/>
  <c r="C707" i="20"/>
  <c r="D707" i="20"/>
  <c r="F707" i="20"/>
  <c r="G707" i="20"/>
  <c r="H707" i="20"/>
  <c r="A708" i="20"/>
  <c r="B708" i="20"/>
  <c r="C708" i="20"/>
  <c r="F708" i="20" s="1"/>
  <c r="D708" i="20"/>
  <c r="G708" i="20"/>
  <c r="H708" i="20"/>
  <c r="A709" i="20"/>
  <c r="B709" i="20"/>
  <c r="C709" i="20"/>
  <c r="F709" i="20" s="1"/>
  <c r="D709" i="20"/>
  <c r="G709" i="20"/>
  <c r="H709" i="20"/>
  <c r="A710" i="20"/>
  <c r="B710" i="20"/>
  <c r="C710" i="20"/>
  <c r="F710" i="20" s="1"/>
  <c r="D710" i="20"/>
  <c r="G710" i="20"/>
  <c r="H710" i="20"/>
  <c r="A711" i="20"/>
  <c r="B711" i="20"/>
  <c r="C711" i="20"/>
  <c r="F711" i="20" s="1"/>
  <c r="D711" i="20"/>
  <c r="G711" i="20"/>
  <c r="H711" i="20"/>
  <c r="A712" i="20"/>
  <c r="B712" i="20"/>
  <c r="C712" i="20"/>
  <c r="F712" i="20" s="1"/>
  <c r="D712" i="20"/>
  <c r="G712" i="20"/>
  <c r="H712" i="20"/>
  <c r="A713" i="20"/>
  <c r="B713" i="20"/>
  <c r="C713" i="20"/>
  <c r="F713" i="20" s="1"/>
  <c r="D713" i="20"/>
  <c r="G713" i="20"/>
  <c r="H713" i="20"/>
  <c r="A714" i="20"/>
  <c r="B714" i="20"/>
  <c r="C714" i="20"/>
  <c r="F714" i="20" s="1"/>
  <c r="D714" i="20"/>
  <c r="G714" i="20"/>
  <c r="H714" i="20"/>
  <c r="A715" i="20"/>
  <c r="B715" i="20"/>
  <c r="C715" i="20"/>
  <c r="F715" i="20" s="1"/>
  <c r="D715" i="20"/>
  <c r="G715" i="20"/>
  <c r="H715" i="20"/>
  <c r="A716" i="20"/>
  <c r="B716" i="20"/>
  <c r="C716" i="20"/>
  <c r="F716" i="20" s="1"/>
  <c r="D716" i="20"/>
  <c r="G716" i="20"/>
  <c r="H716" i="20"/>
  <c r="A717" i="20"/>
  <c r="B717" i="20"/>
  <c r="C717" i="20"/>
  <c r="D717" i="20"/>
  <c r="F717" i="20"/>
  <c r="G717" i="20"/>
  <c r="H717" i="20"/>
  <c r="A718" i="20"/>
  <c r="B718" i="20"/>
  <c r="C718" i="20"/>
  <c r="F718" i="20" s="1"/>
  <c r="D718" i="20"/>
  <c r="G718" i="20"/>
  <c r="H718" i="20"/>
  <c r="A719" i="20"/>
  <c r="B719" i="20"/>
  <c r="C719" i="20"/>
  <c r="F719" i="20" s="1"/>
  <c r="D719" i="20"/>
  <c r="G719" i="20"/>
  <c r="H719" i="20"/>
  <c r="A720" i="20"/>
  <c r="B720" i="20"/>
  <c r="C720" i="20"/>
  <c r="F720" i="20" s="1"/>
  <c r="D720" i="20"/>
  <c r="G720" i="20"/>
  <c r="H720" i="20"/>
  <c r="A721" i="20"/>
  <c r="B721" i="20"/>
  <c r="C721" i="20"/>
  <c r="F721" i="20" s="1"/>
  <c r="D721" i="20"/>
  <c r="G721" i="20"/>
  <c r="H721" i="20"/>
  <c r="A722" i="20"/>
  <c r="B722" i="20"/>
  <c r="C722" i="20"/>
  <c r="F722" i="20" s="1"/>
  <c r="D722" i="20"/>
  <c r="G722" i="20"/>
  <c r="H722" i="20"/>
  <c r="A723" i="20"/>
  <c r="B723" i="20"/>
  <c r="C723" i="20"/>
  <c r="F723" i="20" s="1"/>
  <c r="D723" i="20"/>
  <c r="G723" i="20"/>
  <c r="H723" i="20"/>
  <c r="A724" i="20"/>
  <c r="B724" i="20"/>
  <c r="C724" i="20"/>
  <c r="F724" i="20" s="1"/>
  <c r="D724" i="20"/>
  <c r="G724" i="20"/>
  <c r="H724" i="20"/>
  <c r="A725" i="20"/>
  <c r="B725" i="20"/>
  <c r="C725" i="20"/>
  <c r="F725" i="20" s="1"/>
  <c r="D725" i="20"/>
  <c r="G725" i="20"/>
  <c r="H725" i="20"/>
  <c r="A726" i="20"/>
  <c r="B726" i="20"/>
  <c r="C726" i="20"/>
  <c r="F726" i="20" s="1"/>
  <c r="D726" i="20"/>
  <c r="G726" i="20"/>
  <c r="H726" i="20"/>
  <c r="A727" i="20"/>
  <c r="B727" i="20"/>
  <c r="C727" i="20"/>
  <c r="F727" i="20" s="1"/>
  <c r="D727" i="20"/>
  <c r="G727" i="20"/>
  <c r="H727" i="20"/>
  <c r="A728" i="20"/>
  <c r="B728" i="20"/>
  <c r="C728" i="20"/>
  <c r="F728" i="20" s="1"/>
  <c r="D728" i="20"/>
  <c r="G728" i="20"/>
  <c r="H728" i="20"/>
  <c r="A729" i="20"/>
  <c r="B729" i="20"/>
  <c r="C729" i="20"/>
  <c r="F729" i="20" s="1"/>
  <c r="D729" i="20"/>
  <c r="G729" i="20"/>
  <c r="H729" i="20"/>
  <c r="A730" i="20"/>
  <c r="B730" i="20"/>
  <c r="C730" i="20"/>
  <c r="F730" i="20" s="1"/>
  <c r="D730" i="20"/>
  <c r="G730" i="20"/>
  <c r="H730" i="20"/>
  <c r="A731" i="20"/>
  <c r="B731" i="20"/>
  <c r="C731" i="20"/>
  <c r="F731" i="20" s="1"/>
  <c r="D731" i="20"/>
  <c r="G731" i="20"/>
  <c r="H731" i="20"/>
  <c r="A732" i="20"/>
  <c r="B732" i="20"/>
  <c r="C732" i="20"/>
  <c r="D732" i="20"/>
  <c r="F732" i="20"/>
  <c r="G732" i="20"/>
  <c r="H732" i="20"/>
  <c r="A733" i="20"/>
  <c r="B733" i="20"/>
  <c r="C733" i="20"/>
  <c r="F733" i="20" s="1"/>
  <c r="D733" i="20"/>
  <c r="G733" i="20"/>
  <c r="H733" i="20"/>
  <c r="A734" i="20"/>
  <c r="B734" i="20"/>
  <c r="C734" i="20"/>
  <c r="F734" i="20" s="1"/>
  <c r="D734" i="20"/>
  <c r="G734" i="20"/>
  <c r="H734" i="20"/>
  <c r="A735" i="20"/>
  <c r="B735" i="20"/>
  <c r="C735" i="20"/>
  <c r="F735" i="20" s="1"/>
  <c r="D735" i="20"/>
  <c r="G735" i="20"/>
  <c r="H735" i="20"/>
  <c r="A736" i="20"/>
  <c r="B736" i="20"/>
  <c r="C736" i="20"/>
  <c r="F736" i="20" s="1"/>
  <c r="D736" i="20"/>
  <c r="G736" i="20"/>
  <c r="H736" i="20"/>
  <c r="A737" i="20"/>
  <c r="B737" i="20"/>
  <c r="C737" i="20"/>
  <c r="F737" i="20" s="1"/>
  <c r="D737" i="20"/>
  <c r="G737" i="20"/>
  <c r="H737" i="20"/>
  <c r="A738" i="20"/>
  <c r="B738" i="20"/>
  <c r="C738" i="20"/>
  <c r="F738" i="20" s="1"/>
  <c r="D738" i="20"/>
  <c r="G738" i="20"/>
  <c r="H738" i="20"/>
  <c r="A739" i="20"/>
  <c r="B739" i="20"/>
  <c r="C739" i="20"/>
  <c r="F739" i="20" s="1"/>
  <c r="D739" i="20"/>
  <c r="G739" i="20"/>
  <c r="H739" i="20"/>
  <c r="A740" i="20"/>
  <c r="B740" i="20"/>
  <c r="C740" i="20"/>
  <c r="F740" i="20" s="1"/>
  <c r="D740" i="20"/>
  <c r="G740" i="20"/>
  <c r="H740" i="20"/>
  <c r="A741" i="20"/>
  <c r="B741" i="20"/>
  <c r="C741" i="20"/>
  <c r="F741" i="20" s="1"/>
  <c r="D741" i="20"/>
  <c r="G741" i="20"/>
  <c r="H741" i="20"/>
  <c r="A742" i="20"/>
  <c r="B742" i="20"/>
  <c r="C742" i="20"/>
  <c r="D742" i="20"/>
  <c r="F742" i="20"/>
  <c r="G742" i="20"/>
  <c r="H742" i="20"/>
  <c r="A743" i="20"/>
  <c r="B743" i="20"/>
  <c r="C743" i="20"/>
  <c r="F743" i="20" s="1"/>
  <c r="D743" i="20"/>
  <c r="G743" i="20"/>
  <c r="H743" i="20"/>
  <c r="A744" i="20"/>
  <c r="B744" i="20"/>
  <c r="C744" i="20"/>
  <c r="F744" i="20" s="1"/>
  <c r="D744" i="20"/>
  <c r="G744" i="20"/>
  <c r="H744" i="20"/>
  <c r="A745" i="20"/>
  <c r="B745" i="20"/>
  <c r="C745" i="20"/>
  <c r="F745" i="20" s="1"/>
  <c r="D745" i="20"/>
  <c r="G745" i="20"/>
  <c r="H745" i="20"/>
  <c r="A746" i="20"/>
  <c r="B746" i="20"/>
  <c r="C746" i="20"/>
  <c r="D746" i="20"/>
  <c r="F746" i="20"/>
  <c r="G746" i="20"/>
  <c r="H746" i="20"/>
  <c r="A747" i="20"/>
  <c r="B747" i="20"/>
  <c r="C747" i="20"/>
  <c r="F747" i="20" s="1"/>
  <c r="D747" i="20"/>
  <c r="G747" i="20"/>
  <c r="H747" i="20"/>
  <c r="A748" i="20"/>
  <c r="B748" i="20"/>
  <c r="C748" i="20"/>
  <c r="F748" i="20" s="1"/>
  <c r="D748" i="20"/>
  <c r="G748" i="20"/>
  <c r="H748" i="20"/>
  <c r="A749" i="20"/>
  <c r="B749" i="20"/>
  <c r="C749" i="20"/>
  <c r="F749" i="20" s="1"/>
  <c r="D749" i="20"/>
  <c r="G749" i="20"/>
  <c r="H749" i="20"/>
  <c r="A750" i="20"/>
  <c r="B750" i="20"/>
  <c r="C750" i="20"/>
  <c r="F750" i="20" s="1"/>
  <c r="D750" i="20"/>
  <c r="G750" i="20"/>
  <c r="H750" i="20"/>
  <c r="A751" i="20"/>
  <c r="B751" i="20"/>
  <c r="C751" i="20"/>
  <c r="F751" i="20" s="1"/>
  <c r="D751" i="20"/>
  <c r="G751" i="20"/>
  <c r="H751" i="20"/>
  <c r="A752" i="20"/>
  <c r="B752" i="20"/>
  <c r="C752" i="20"/>
  <c r="F752" i="20" s="1"/>
  <c r="D752" i="20"/>
  <c r="G752" i="20"/>
  <c r="H752" i="20"/>
  <c r="A753" i="20"/>
  <c r="B753" i="20"/>
  <c r="C753" i="20"/>
  <c r="F753" i="20" s="1"/>
  <c r="D753" i="20"/>
  <c r="G753" i="20"/>
  <c r="H753" i="20"/>
  <c r="A754" i="20"/>
  <c r="B754" i="20"/>
  <c r="C754" i="20"/>
  <c r="F754" i="20" s="1"/>
  <c r="D754" i="20"/>
  <c r="G754" i="20"/>
  <c r="H754" i="20"/>
  <c r="A755" i="20"/>
  <c r="B755" i="20"/>
  <c r="C755" i="20"/>
  <c r="F755" i="20" s="1"/>
  <c r="D755" i="20"/>
  <c r="G755" i="20"/>
  <c r="H755" i="20"/>
  <c r="A756" i="20"/>
  <c r="B756" i="20"/>
  <c r="C756" i="20"/>
  <c r="F756" i="20" s="1"/>
  <c r="D756" i="20"/>
  <c r="G756" i="20"/>
  <c r="H756" i="20"/>
  <c r="A757" i="20"/>
  <c r="B757" i="20"/>
  <c r="C757" i="20"/>
  <c r="F757" i="20" s="1"/>
  <c r="D757" i="20"/>
  <c r="G757" i="20"/>
  <c r="H757" i="20"/>
  <c r="A758" i="20"/>
  <c r="B758" i="20"/>
  <c r="C758" i="20"/>
  <c r="F758" i="20" s="1"/>
  <c r="D758" i="20"/>
  <c r="G758" i="20"/>
  <c r="H758" i="20"/>
  <c r="A759" i="20"/>
  <c r="B759" i="20"/>
  <c r="C759" i="20"/>
  <c r="F759" i="20" s="1"/>
  <c r="D759" i="20"/>
  <c r="G759" i="20"/>
  <c r="H759" i="20"/>
  <c r="A760" i="20"/>
  <c r="B760" i="20"/>
  <c r="C760" i="20"/>
  <c r="F760" i="20" s="1"/>
  <c r="D760" i="20"/>
  <c r="G760" i="20"/>
  <c r="H760" i="20"/>
  <c r="A761" i="20"/>
  <c r="B761" i="20"/>
  <c r="C761" i="20"/>
  <c r="F761" i="20" s="1"/>
  <c r="D761" i="20"/>
  <c r="G761" i="20"/>
  <c r="H761" i="20"/>
  <c r="A762" i="20"/>
  <c r="B762" i="20"/>
  <c r="C762" i="20"/>
  <c r="F762" i="20" s="1"/>
  <c r="D762" i="20"/>
  <c r="G762" i="20"/>
  <c r="H762" i="20"/>
  <c r="A763" i="20"/>
  <c r="B763" i="20"/>
  <c r="C763" i="20"/>
  <c r="F763" i="20" s="1"/>
  <c r="D763" i="20"/>
  <c r="G763" i="20"/>
  <c r="H763" i="20"/>
  <c r="A764" i="20"/>
  <c r="B764" i="20"/>
  <c r="C764" i="20"/>
  <c r="F764" i="20" s="1"/>
  <c r="D764" i="20"/>
  <c r="G764" i="20"/>
  <c r="H764" i="20"/>
  <c r="A765" i="20"/>
  <c r="B765" i="20"/>
  <c r="C765" i="20"/>
  <c r="F765" i="20" s="1"/>
  <c r="D765" i="20"/>
  <c r="G765" i="20"/>
  <c r="H765" i="20"/>
  <c r="A766" i="20"/>
  <c r="B766" i="20"/>
  <c r="C766" i="20"/>
  <c r="F766" i="20" s="1"/>
  <c r="D766" i="20"/>
  <c r="G766" i="20"/>
  <c r="H766" i="20"/>
  <c r="A767" i="20"/>
  <c r="B767" i="20"/>
  <c r="C767" i="20"/>
  <c r="F767" i="20" s="1"/>
  <c r="D767" i="20"/>
  <c r="G767" i="20"/>
  <c r="H767" i="20"/>
  <c r="A768" i="20"/>
  <c r="B768" i="20"/>
  <c r="C768" i="20"/>
  <c r="F768" i="20" s="1"/>
  <c r="D768" i="20"/>
  <c r="G768" i="20"/>
  <c r="H768" i="20"/>
  <c r="A769" i="20"/>
  <c r="B769" i="20"/>
  <c r="C769" i="20"/>
  <c r="F769" i="20" s="1"/>
  <c r="D769" i="20"/>
  <c r="G769" i="20"/>
  <c r="H769" i="20"/>
  <c r="A770" i="20"/>
  <c r="B770" i="20"/>
  <c r="C770" i="20"/>
  <c r="F770" i="20" s="1"/>
  <c r="D770" i="20"/>
  <c r="G770" i="20"/>
  <c r="H770" i="20"/>
  <c r="A771" i="20"/>
  <c r="B771" i="20"/>
  <c r="C771" i="20"/>
  <c r="F771" i="20" s="1"/>
  <c r="D771" i="20"/>
  <c r="G771" i="20"/>
  <c r="H771" i="20"/>
  <c r="A772" i="20"/>
  <c r="B772" i="20"/>
  <c r="C772" i="20"/>
  <c r="F772" i="20" s="1"/>
  <c r="D772" i="20"/>
  <c r="G772" i="20"/>
  <c r="H772" i="20"/>
  <c r="A773" i="20"/>
  <c r="B773" i="20"/>
  <c r="C773" i="20"/>
  <c r="F773" i="20" s="1"/>
  <c r="D773" i="20"/>
  <c r="G773" i="20"/>
  <c r="H773" i="20"/>
  <c r="A774" i="20"/>
  <c r="B774" i="20"/>
  <c r="C774" i="20"/>
  <c r="F774" i="20" s="1"/>
  <c r="D774" i="20"/>
  <c r="G774" i="20"/>
  <c r="H774" i="20"/>
  <c r="A775" i="20"/>
  <c r="B775" i="20"/>
  <c r="C775" i="20"/>
  <c r="F775" i="20" s="1"/>
  <c r="D775" i="20"/>
  <c r="G775" i="20"/>
  <c r="H775" i="20"/>
  <c r="A776" i="20"/>
  <c r="B776" i="20"/>
  <c r="C776" i="20"/>
  <c r="F776" i="20" s="1"/>
  <c r="D776" i="20"/>
  <c r="G776" i="20"/>
  <c r="H776" i="20"/>
  <c r="A777" i="20"/>
  <c r="B777" i="20"/>
  <c r="C777" i="20"/>
  <c r="F777" i="20" s="1"/>
  <c r="D777" i="20"/>
  <c r="G777" i="20"/>
  <c r="H777" i="20"/>
  <c r="A778" i="20"/>
  <c r="B778" i="20"/>
  <c r="C778" i="20"/>
  <c r="F778" i="20" s="1"/>
  <c r="D778" i="20"/>
  <c r="G778" i="20"/>
  <c r="H778" i="20"/>
  <c r="A779" i="20"/>
  <c r="B779" i="20"/>
  <c r="C779" i="20"/>
  <c r="F779" i="20" s="1"/>
  <c r="D779" i="20"/>
  <c r="G779" i="20"/>
  <c r="H779" i="20"/>
  <c r="A780" i="20"/>
  <c r="B780" i="20"/>
  <c r="C780" i="20"/>
  <c r="F780" i="20" s="1"/>
  <c r="D780" i="20"/>
  <c r="G780" i="20"/>
  <c r="H780" i="20"/>
  <c r="A781" i="20"/>
  <c r="B781" i="20"/>
  <c r="C781" i="20"/>
  <c r="F781" i="20" s="1"/>
  <c r="D781" i="20"/>
  <c r="G781" i="20"/>
  <c r="H781" i="20"/>
  <c r="A782" i="20"/>
  <c r="B782" i="20"/>
  <c r="C782" i="20"/>
  <c r="F782" i="20" s="1"/>
  <c r="D782" i="20"/>
  <c r="G782" i="20"/>
  <c r="H782" i="20"/>
  <c r="A783" i="20"/>
  <c r="B783" i="20"/>
  <c r="C783" i="20"/>
  <c r="F783" i="20" s="1"/>
  <c r="D783" i="20"/>
  <c r="G783" i="20"/>
  <c r="H783" i="20"/>
  <c r="A784" i="20"/>
  <c r="B784" i="20"/>
  <c r="C784" i="20"/>
  <c r="F784" i="20" s="1"/>
  <c r="D784" i="20"/>
  <c r="G784" i="20"/>
  <c r="H784" i="20"/>
  <c r="A785" i="20"/>
  <c r="B785" i="20"/>
  <c r="C785" i="20"/>
  <c r="F785" i="20" s="1"/>
  <c r="D785" i="20"/>
  <c r="G785" i="20"/>
  <c r="H785" i="20"/>
  <c r="A786" i="20"/>
  <c r="B786" i="20"/>
  <c r="C786" i="20"/>
  <c r="F786" i="20" s="1"/>
  <c r="D786" i="20"/>
  <c r="G786" i="20"/>
  <c r="H786" i="20"/>
  <c r="A787" i="20"/>
  <c r="B787" i="20"/>
  <c r="C787" i="20"/>
  <c r="F787" i="20" s="1"/>
  <c r="D787" i="20"/>
  <c r="G787" i="20"/>
  <c r="H787" i="20"/>
  <c r="A788" i="20"/>
  <c r="B788" i="20"/>
  <c r="C788" i="20"/>
  <c r="F788" i="20" s="1"/>
  <c r="D788" i="20"/>
  <c r="G788" i="20"/>
  <c r="H788" i="20"/>
  <c r="A789" i="20"/>
  <c r="B789" i="20"/>
  <c r="C789" i="20"/>
  <c r="F789" i="20" s="1"/>
  <c r="D789" i="20"/>
  <c r="G789" i="20"/>
  <c r="H789" i="20"/>
  <c r="A790" i="20"/>
  <c r="B790" i="20"/>
  <c r="C790" i="20"/>
  <c r="F790" i="20" s="1"/>
  <c r="D790" i="20"/>
  <c r="G790" i="20"/>
  <c r="H790" i="20"/>
  <c r="A791" i="20"/>
  <c r="B791" i="20"/>
  <c r="C791" i="20"/>
  <c r="F791" i="20" s="1"/>
  <c r="D791" i="20"/>
  <c r="G791" i="20"/>
  <c r="H791" i="20"/>
  <c r="A792" i="20"/>
  <c r="B792" i="20"/>
  <c r="C792" i="20"/>
  <c r="F792" i="20" s="1"/>
  <c r="D792" i="20"/>
  <c r="G792" i="20"/>
  <c r="H792" i="20"/>
  <c r="A793" i="20"/>
  <c r="B793" i="20"/>
  <c r="C793" i="20"/>
  <c r="D793" i="20"/>
  <c r="F793" i="20"/>
  <c r="G793" i="20"/>
  <c r="H793" i="20"/>
  <c r="A794" i="20"/>
  <c r="B794" i="20"/>
  <c r="C794" i="20"/>
  <c r="F794" i="20" s="1"/>
  <c r="D794" i="20"/>
  <c r="G794" i="20"/>
  <c r="H794" i="20"/>
  <c r="A795" i="20"/>
  <c r="B795" i="20"/>
  <c r="C795" i="20"/>
  <c r="F795" i="20" s="1"/>
  <c r="D795" i="20"/>
  <c r="G795" i="20"/>
  <c r="H795" i="20"/>
  <c r="C3" i="20"/>
  <c r="F106" i="19"/>
  <c r="D39" i="34"/>
  <c r="F414" i="20" l="1"/>
  <c r="F413" i="20"/>
  <c r="F1852" i="20"/>
  <c r="F1851" i="20"/>
  <c r="F1207" i="20"/>
  <c r="F1861" i="20"/>
  <c r="F1854" i="20"/>
  <c r="F1853" i="20"/>
  <c r="D49" i="34"/>
  <c r="A1648" i="20"/>
  <c r="A1645" i="20"/>
  <c r="E19" i="27"/>
  <c r="D19" i="27"/>
  <c r="K52" i="23"/>
  <c r="K102" i="23"/>
  <c r="D19" i="18"/>
  <c r="G564" i="19" l="1"/>
  <c r="E563" i="19"/>
  <c r="D1166" i="20" s="1"/>
  <c r="B563" i="19"/>
  <c r="D372" i="20" s="1"/>
  <c r="G558" i="19"/>
  <c r="G551" i="19"/>
  <c r="G534" i="19"/>
  <c r="E533" i="19"/>
  <c r="D1151" i="20" s="1"/>
  <c r="B533" i="19"/>
  <c r="D357" i="20" s="1"/>
  <c r="G513" i="19"/>
  <c r="E512" i="19"/>
  <c r="D1146" i="20" s="1"/>
  <c r="B512" i="19"/>
  <c r="D352" i="20" s="1"/>
  <c r="G506" i="19"/>
  <c r="E505" i="19"/>
  <c r="D1141" i="20" s="1"/>
  <c r="B505" i="19"/>
  <c r="D347" i="20" s="1"/>
  <c r="G499" i="19"/>
  <c r="E498" i="19"/>
  <c r="D1136" i="20" s="1"/>
  <c r="B498" i="19"/>
  <c r="D342" i="20" s="1"/>
  <c r="G492" i="19"/>
  <c r="E491" i="19"/>
  <c r="D1131" i="20" s="1"/>
  <c r="B491" i="19"/>
  <c r="D337" i="20" s="1"/>
  <c r="G485" i="19"/>
  <c r="E484" i="19"/>
  <c r="D1126" i="20" s="1"/>
  <c r="B484" i="19"/>
  <c r="D332" i="20" s="1"/>
  <c r="G478" i="19"/>
  <c r="E477" i="19"/>
  <c r="D1121" i="20" s="1"/>
  <c r="B477" i="19"/>
  <c r="D327" i="20" s="1"/>
  <c r="G471" i="19"/>
  <c r="E470" i="19"/>
  <c r="D1116" i="20" s="1"/>
  <c r="B470" i="19"/>
  <c r="D322" i="20" s="1"/>
  <c r="G464" i="19"/>
  <c r="E463" i="19"/>
  <c r="D1111" i="20" s="1"/>
  <c r="B463" i="19"/>
  <c r="D317" i="20" s="1"/>
  <c r="G457" i="19"/>
  <c r="E456" i="19"/>
  <c r="D1106" i="20" s="1"/>
  <c r="B456" i="19"/>
  <c r="D312" i="20" s="1"/>
  <c r="G450" i="19"/>
  <c r="E449" i="19"/>
  <c r="D1101" i="20" s="1"/>
  <c r="B449" i="19"/>
  <c r="D307" i="20" s="1"/>
  <c r="G443" i="19"/>
  <c r="E442" i="19"/>
  <c r="D1096" i="20" s="1"/>
  <c r="B442" i="19"/>
  <c r="D302" i="20" s="1"/>
  <c r="G436" i="19"/>
  <c r="E435" i="19"/>
  <c r="D1091" i="20" s="1"/>
  <c r="B435" i="19"/>
  <c r="D297" i="20" s="1"/>
  <c r="G429" i="19"/>
  <c r="G422" i="19"/>
  <c r="E421" i="19"/>
  <c r="D1081" i="20" s="1"/>
  <c r="B421" i="19"/>
  <c r="D287" i="20" s="1"/>
  <c r="G415" i="19"/>
  <c r="E414" i="19"/>
  <c r="D1076" i="20" s="1"/>
  <c r="B414" i="19"/>
  <c r="D282" i="20" s="1"/>
  <c r="G408" i="19"/>
  <c r="E407" i="19"/>
  <c r="D1071" i="20" s="1"/>
  <c r="B407" i="19"/>
  <c r="D277" i="20" s="1"/>
  <c r="G401" i="19"/>
  <c r="E400" i="19"/>
  <c r="D1066" i="20" s="1"/>
  <c r="B400" i="19"/>
  <c r="D272" i="20" s="1"/>
  <c r="G394" i="19"/>
  <c r="E393" i="19"/>
  <c r="D1061" i="20" s="1"/>
  <c r="B393" i="19"/>
  <c r="D267" i="20" s="1"/>
  <c r="G387" i="19"/>
  <c r="E386" i="19"/>
  <c r="D1056" i="20" s="1"/>
  <c r="B386" i="19"/>
  <c r="D262" i="20" s="1"/>
  <c r="G380" i="19"/>
  <c r="E379" i="19"/>
  <c r="D1051" i="20" s="1"/>
  <c r="B379" i="19"/>
  <c r="D257" i="20" s="1"/>
  <c r="G370" i="19"/>
  <c r="E369" i="19"/>
  <c r="D1046" i="20" s="1"/>
  <c r="B369" i="19"/>
  <c r="D252" i="20" s="1"/>
  <c r="G363" i="19"/>
  <c r="E362" i="19"/>
  <c r="D1041" i="20" s="1"/>
  <c r="B362" i="19"/>
  <c r="D247" i="20" s="1"/>
  <c r="B354" i="19"/>
  <c r="D242" i="20" s="1"/>
  <c r="E354" i="19"/>
  <c r="D1036" i="20" s="1"/>
  <c r="G355" i="19"/>
  <c r="G348" i="19"/>
  <c r="E347" i="19"/>
  <c r="D1031" i="20" s="1"/>
  <c r="B347" i="19"/>
  <c r="D237" i="20" s="1"/>
  <c r="G341" i="19"/>
  <c r="E340" i="19"/>
  <c r="D1026" i="20" s="1"/>
  <c r="B340" i="19"/>
  <c r="D232" i="20" s="1"/>
  <c r="G333" i="19"/>
  <c r="E332" i="19"/>
  <c r="D1021" i="20" s="1"/>
  <c r="B332" i="19"/>
  <c r="D227" i="20" s="1"/>
  <c r="G326" i="19"/>
  <c r="G319" i="19"/>
  <c r="E318" i="19"/>
  <c r="D1011" i="20" s="1"/>
  <c r="B318" i="19"/>
  <c r="D217" i="20" s="1"/>
  <c r="G312" i="19"/>
  <c r="G305" i="19"/>
  <c r="E304" i="19"/>
  <c r="D1001" i="20" s="1"/>
  <c r="B304" i="19"/>
  <c r="D207" i="20" s="1"/>
  <c r="G298" i="19"/>
  <c r="E297" i="19"/>
  <c r="D996" i="20" s="1"/>
  <c r="B297" i="19"/>
  <c r="D202" i="20" s="1"/>
  <c r="G291" i="19"/>
  <c r="E290" i="19"/>
  <c r="D991" i="20" s="1"/>
  <c r="B290" i="19"/>
  <c r="D197" i="20" s="1"/>
  <c r="G284" i="19"/>
  <c r="G277" i="19"/>
  <c r="E276" i="19"/>
  <c r="D981" i="20" s="1"/>
  <c r="B276" i="19"/>
  <c r="D187" i="20" s="1"/>
  <c r="G270" i="19"/>
  <c r="E269" i="19"/>
  <c r="D976" i="20" s="1"/>
  <c r="B269" i="19"/>
  <c r="D182" i="20" s="1"/>
  <c r="G263" i="19"/>
  <c r="E262" i="19"/>
  <c r="D971" i="20" s="1"/>
  <c r="B262" i="19"/>
  <c r="D177" i="20" s="1"/>
  <c r="G256" i="19"/>
  <c r="E255" i="19"/>
  <c r="D966" i="20" s="1"/>
  <c r="B255" i="19"/>
  <c r="D172" i="20" s="1"/>
  <c r="G249" i="19"/>
  <c r="E248" i="19"/>
  <c r="D961" i="20" s="1"/>
  <c r="B248" i="19"/>
  <c r="D167" i="20" s="1"/>
  <c r="G242" i="19"/>
  <c r="E241" i="19"/>
  <c r="D956" i="20" s="1"/>
  <c r="B241" i="19"/>
  <c r="D162" i="20" s="1"/>
  <c r="G235" i="19"/>
  <c r="E234" i="19"/>
  <c r="D951" i="20" s="1"/>
  <c r="B234" i="19"/>
  <c r="D157" i="20" s="1"/>
  <c r="G228" i="19"/>
  <c r="G221" i="19"/>
  <c r="E220" i="19"/>
  <c r="D941" i="20" s="1"/>
  <c r="B220" i="19"/>
  <c r="D147" i="20" s="1"/>
  <c r="G214" i="19"/>
  <c r="E213" i="19"/>
  <c r="D936" i="20" s="1"/>
  <c r="B213" i="19"/>
  <c r="D142" i="20" s="1"/>
  <c r="G207" i="19"/>
  <c r="E206" i="19"/>
  <c r="D931" i="20" s="1"/>
  <c r="B206" i="19"/>
  <c r="D137" i="20" s="1"/>
  <c r="G198" i="19"/>
  <c r="E197" i="19"/>
  <c r="D926" i="20" s="1"/>
  <c r="B197" i="19"/>
  <c r="D132" i="20" s="1"/>
  <c r="G191" i="19"/>
  <c r="G184" i="19"/>
  <c r="E183" i="19"/>
  <c r="D916" i="20" s="1"/>
  <c r="B183" i="19"/>
  <c r="D122" i="20" s="1"/>
  <c r="G177" i="19"/>
  <c r="E176" i="19"/>
  <c r="D911" i="20" s="1"/>
  <c r="B176" i="19"/>
  <c r="D117" i="20" s="1"/>
  <c r="G170" i="19"/>
  <c r="E169" i="19"/>
  <c r="D906" i="20" s="1"/>
  <c r="B169" i="19"/>
  <c r="D112" i="20" s="1"/>
  <c r="G162" i="19"/>
  <c r="E161" i="19"/>
  <c r="D901" i="20" s="1"/>
  <c r="B161" i="19"/>
  <c r="D107" i="20" s="1"/>
  <c r="G155" i="19"/>
  <c r="E154" i="19"/>
  <c r="D896" i="20" s="1"/>
  <c r="B154" i="19"/>
  <c r="D102" i="20" s="1"/>
  <c r="G148" i="19"/>
  <c r="E147" i="19"/>
  <c r="D891" i="20" s="1"/>
  <c r="B147" i="19"/>
  <c r="D97" i="20" s="1"/>
  <c r="G141" i="19"/>
  <c r="E140" i="19"/>
  <c r="D886" i="20" s="1"/>
  <c r="B140" i="19"/>
  <c r="D92" i="20" s="1"/>
  <c r="G134" i="19"/>
  <c r="E133" i="19"/>
  <c r="D881" i="20" s="1"/>
  <c r="B133" i="19"/>
  <c r="D87" i="20" s="1"/>
  <c r="G127" i="19"/>
  <c r="E126" i="19"/>
  <c r="D876" i="20" s="1"/>
  <c r="B126" i="19"/>
  <c r="D82" i="20" s="1"/>
  <c r="G120" i="19"/>
  <c r="E119" i="19"/>
  <c r="D871" i="20" s="1"/>
  <c r="B119" i="19"/>
  <c r="D77" i="20" s="1"/>
  <c r="G112" i="19"/>
  <c r="E111" i="19"/>
  <c r="D866" i="20" s="1"/>
  <c r="B111" i="19"/>
  <c r="D72" i="20" s="1"/>
  <c r="G104" i="19"/>
  <c r="E103" i="19"/>
  <c r="D861" i="20" s="1"/>
  <c r="B103" i="19"/>
  <c r="D67" i="20" s="1"/>
  <c r="G97" i="19"/>
  <c r="G90" i="19"/>
  <c r="E96" i="19"/>
  <c r="D856" i="20" s="1"/>
  <c r="B96" i="19"/>
  <c r="D62" i="20" s="1"/>
  <c r="E89" i="19"/>
  <c r="D851" i="20" s="1"/>
  <c r="B89" i="19"/>
  <c r="D57" i="20" s="1"/>
  <c r="G83" i="19"/>
  <c r="E82" i="19"/>
  <c r="D846" i="20" s="1"/>
  <c r="B82" i="19"/>
  <c r="D52" i="20" s="1"/>
  <c r="G59" i="19"/>
  <c r="E58" i="19"/>
  <c r="D841" i="20" s="1"/>
  <c r="B58" i="19"/>
  <c r="D47" i="20" s="1"/>
  <c r="B1612" i="20" l="1"/>
  <c r="B1593" i="20"/>
  <c r="B1652" i="20"/>
  <c r="B1649" i="20"/>
  <c r="B1657" i="20"/>
  <c r="B1655" i="20"/>
  <c r="B1661" i="20"/>
  <c r="B1659" i="20"/>
  <c r="B1665" i="20"/>
  <c r="B1663" i="20"/>
  <c r="B1669" i="20"/>
  <c r="B1667" i="20"/>
  <c r="B1677" i="20"/>
  <c r="B1675" i="20"/>
  <c r="B1682" i="20"/>
  <c r="B1679" i="20"/>
  <c r="B1687" i="20"/>
  <c r="B1685" i="20"/>
  <c r="B1691" i="20"/>
  <c r="B1689" i="20"/>
  <c r="B1695" i="20"/>
  <c r="B1693" i="20"/>
  <c r="B1699" i="20"/>
  <c r="B1697" i="20"/>
  <c r="B1705" i="20"/>
  <c r="B1701" i="20"/>
  <c r="B1711" i="20"/>
  <c r="B1709" i="20"/>
  <c r="B1715" i="20"/>
  <c r="B1713" i="20"/>
  <c r="B1719" i="20"/>
  <c r="B1717" i="20"/>
  <c r="B1723" i="20"/>
  <c r="B1721" i="20"/>
  <c r="B1775" i="20"/>
  <c r="B1773" i="20"/>
  <c r="B1779" i="20"/>
  <c r="B1777" i="20"/>
  <c r="B1784" i="20"/>
  <c r="B1781" i="20"/>
  <c r="B1789" i="20"/>
  <c r="B1787" i="20"/>
  <c r="B1793" i="20"/>
  <c r="B1791" i="20"/>
  <c r="B1798" i="20"/>
  <c r="B1795" i="20"/>
  <c r="B1803" i="20"/>
  <c r="B1801" i="20"/>
  <c r="B1810" i="20"/>
  <c r="B1805" i="20"/>
  <c r="B1817" i="20"/>
  <c r="B1815" i="20"/>
  <c r="B1821" i="20"/>
  <c r="B1819" i="20"/>
  <c r="B1825" i="20"/>
  <c r="B1823" i="20"/>
  <c r="B1829" i="20"/>
  <c r="B1827" i="20"/>
  <c r="B1833" i="20"/>
  <c r="B1831" i="20"/>
  <c r="B1837" i="20"/>
  <c r="B1835" i="20"/>
  <c r="B1841" i="20"/>
  <c r="B1839" i="20"/>
  <c r="B1845" i="20"/>
  <c r="B1843" i="20"/>
  <c r="B1849" i="20"/>
  <c r="B1847" i="20"/>
  <c r="B1853" i="20"/>
  <c r="B1851" i="20"/>
  <c r="B1857" i="20"/>
  <c r="B1855" i="20"/>
  <c r="B1861" i="20"/>
  <c r="B1859" i="20"/>
  <c r="B1865" i="20"/>
  <c r="B1863" i="20"/>
  <c r="B1869" i="20"/>
  <c r="B1867" i="20"/>
  <c r="B1873" i="20"/>
  <c r="B1871" i="20"/>
  <c r="B1877" i="20"/>
  <c r="B1875" i="20"/>
  <c r="B1881" i="20"/>
  <c r="B1879" i="20"/>
  <c r="B1885" i="20"/>
  <c r="B1883" i="20"/>
  <c r="B1889" i="20"/>
  <c r="B1887" i="20"/>
  <c r="B1907" i="20"/>
  <c r="B1891" i="20"/>
  <c r="B1935" i="20"/>
  <c r="B1923" i="20"/>
  <c r="B1949" i="20"/>
  <c r="B1947" i="20"/>
  <c r="B1953" i="20"/>
  <c r="B1951" i="20"/>
  <c r="B1978" i="20"/>
  <c r="B1955" i="20"/>
  <c r="B1771" i="20"/>
  <c r="B1769" i="20"/>
  <c r="B1767" i="20"/>
  <c r="B1765" i="20"/>
  <c r="B1763" i="20"/>
  <c r="B1761" i="20"/>
  <c r="B1759" i="20"/>
  <c r="B1757" i="20"/>
  <c r="B1755" i="20"/>
  <c r="B1753" i="20"/>
  <c r="B1751" i="20"/>
  <c r="B1749" i="20"/>
  <c r="B1747" i="20"/>
  <c r="B1745" i="20"/>
  <c r="B1743" i="20"/>
  <c r="B1741" i="20"/>
  <c r="B1739" i="20"/>
  <c r="B1737" i="20"/>
  <c r="B1735" i="20"/>
  <c r="B1733" i="20"/>
  <c r="B1731" i="20"/>
  <c r="B1729" i="20"/>
  <c r="B1727" i="20"/>
  <c r="B1725" i="20"/>
  <c r="B1673" i="20"/>
  <c r="B1671" i="20"/>
  <c r="B1646" i="20"/>
  <c r="B1643" i="20"/>
  <c r="B1641" i="20"/>
  <c r="B1639" i="20"/>
  <c r="B1637" i="20"/>
  <c r="B1635" i="20"/>
  <c r="B1633" i="20"/>
  <c r="B1631" i="20"/>
  <c r="G105" i="19"/>
  <c r="D13" i="18"/>
  <c r="E13" i="18"/>
  <c r="B1647" i="20" l="1"/>
  <c r="B1644" i="20"/>
  <c r="G106" i="19"/>
  <c r="F13" i="18"/>
  <c r="G13" i="18" s="1"/>
  <c r="B1648" i="20" l="1"/>
  <c r="B1645" i="20"/>
  <c r="I2" i="28" l="1"/>
  <c r="I3" i="28"/>
  <c r="I4" i="28"/>
  <c r="I5" i="28"/>
  <c r="I6" i="28"/>
  <c r="I7" i="28"/>
  <c r="I8" i="28"/>
  <c r="I9" i="28"/>
  <c r="I10" i="28"/>
  <c r="I11" i="28"/>
  <c r="I12" i="28"/>
  <c r="I13" i="28"/>
  <c r="I14" i="28"/>
  <c r="I15" i="28"/>
  <c r="I16" i="28"/>
  <c r="I17" i="28"/>
  <c r="I18" i="28"/>
  <c r="I19" i="28"/>
  <c r="I20" i="28"/>
  <c r="I21" i="28"/>
  <c r="I22" i="28"/>
  <c r="I23" i="28"/>
  <c r="I24" i="28"/>
  <c r="I25" i="28"/>
  <c r="I26" i="28"/>
  <c r="I27" i="28"/>
  <c r="I28" i="28"/>
  <c r="I29" i="28"/>
  <c r="I30" i="28"/>
  <c r="I31" i="28"/>
  <c r="I32" i="28"/>
  <c r="I33" i="28"/>
  <c r="I34" i="28"/>
  <c r="I35" i="28"/>
  <c r="I36" i="28"/>
  <c r="I37" i="28"/>
  <c r="I38" i="28"/>
  <c r="I39" i="28"/>
  <c r="I40" i="28"/>
  <c r="I41" i="28"/>
  <c r="I42" i="28"/>
  <c r="I43" i="28"/>
  <c r="I44" i="28"/>
  <c r="I45" i="28"/>
  <c r="I46" i="28"/>
  <c r="I47" i="28"/>
  <c r="I48" i="28"/>
  <c r="I49" i="28"/>
  <c r="I50" i="28"/>
  <c r="I51" i="28"/>
  <c r="I52" i="28"/>
  <c r="I53" i="28"/>
  <c r="I54" i="28"/>
  <c r="I55" i="28"/>
  <c r="I56" i="28"/>
  <c r="I57" i="28"/>
  <c r="I58" i="28"/>
  <c r="I59" i="28"/>
  <c r="I60" i="28"/>
  <c r="I61" i="28"/>
  <c r="I62" i="28"/>
  <c r="I63" i="28"/>
  <c r="I64" i="28"/>
  <c r="I65" i="28"/>
  <c r="I66" i="28"/>
  <c r="I67" i="28"/>
  <c r="I68" i="28"/>
  <c r="I69" i="28"/>
  <c r="I70" i="28"/>
  <c r="I71" i="28"/>
  <c r="I72" i="28"/>
  <c r="I73" i="28"/>
  <c r="I74" i="28"/>
  <c r="I75" i="28"/>
  <c r="I76" i="28"/>
  <c r="I77" i="28"/>
  <c r="I78" i="28"/>
  <c r="I79" i="28"/>
  <c r="I80" i="28"/>
  <c r="I81" i="28"/>
  <c r="I82" i="28"/>
  <c r="I83" i="28"/>
  <c r="I84" i="28"/>
  <c r="I85" i="28"/>
  <c r="I86" i="28"/>
  <c r="I87" i="28"/>
  <c r="I88" i="28"/>
  <c r="I89" i="28"/>
  <c r="I90" i="28"/>
  <c r="I91" i="28"/>
  <c r="I92" i="28"/>
  <c r="I93" i="28"/>
  <c r="I94" i="28"/>
  <c r="I95" i="28"/>
  <c r="I96" i="28"/>
  <c r="I97" i="28"/>
  <c r="I98" i="28"/>
  <c r="I99" i="28"/>
  <c r="I100" i="28"/>
  <c r="I101" i="28"/>
  <c r="I102" i="28"/>
  <c r="I103" i="28"/>
  <c r="I104" i="28"/>
  <c r="I105" i="28"/>
  <c r="I106" i="28"/>
  <c r="I107" i="28"/>
  <c r="I108" i="28"/>
  <c r="I109" i="28"/>
  <c r="I110" i="28"/>
  <c r="I111" i="28"/>
  <c r="I112" i="28"/>
  <c r="I113" i="28"/>
  <c r="I114" i="28"/>
  <c r="I115" i="28"/>
  <c r="I116" i="28"/>
  <c r="I117" i="28"/>
  <c r="I118" i="28"/>
  <c r="I119" i="28"/>
  <c r="I120" i="28"/>
  <c r="I121" i="28"/>
  <c r="I122" i="28"/>
  <c r="I123" i="28"/>
  <c r="I124" i="28"/>
  <c r="I125" i="28"/>
  <c r="I126" i="28"/>
  <c r="I127" i="28"/>
  <c r="I128" i="28"/>
  <c r="I129" i="28"/>
  <c r="I130" i="28"/>
  <c r="I131" i="28"/>
  <c r="I132" i="28"/>
  <c r="I133" i="28"/>
  <c r="I134" i="28"/>
  <c r="I135" i="28"/>
  <c r="I136" i="28"/>
  <c r="I137" i="28"/>
  <c r="I138" i="28"/>
  <c r="I139" i="28"/>
  <c r="I140" i="28"/>
  <c r="I141" i="28"/>
  <c r="I142" i="28"/>
  <c r="I143" i="28"/>
  <c r="I144" i="28"/>
  <c r="I145" i="28"/>
  <c r="I146" i="28"/>
  <c r="I147" i="28"/>
  <c r="I148" i="28"/>
  <c r="I149" i="28"/>
  <c r="I150" i="28"/>
  <c r="I151" i="28"/>
  <c r="I152" i="28"/>
  <c r="I153" i="28"/>
  <c r="I154" i="28"/>
  <c r="I155" i="28"/>
  <c r="I156" i="28"/>
  <c r="I157" i="28"/>
  <c r="I158" i="28"/>
  <c r="I159" i="28"/>
  <c r="I160" i="28"/>
  <c r="I161" i="28"/>
  <c r="I162" i="28"/>
  <c r="I163" i="28"/>
  <c r="I164" i="28"/>
  <c r="I165" i="28"/>
  <c r="I166" i="28"/>
  <c r="I167" i="28"/>
  <c r="I168" i="28"/>
  <c r="I169" i="28"/>
  <c r="I170" i="28"/>
  <c r="I171" i="28"/>
  <c r="I172" i="28"/>
  <c r="I173" i="28"/>
  <c r="I174" i="28"/>
  <c r="I175" i="28"/>
  <c r="I176" i="28"/>
  <c r="I177" i="28"/>
  <c r="I178" i="28"/>
  <c r="I179" i="28"/>
  <c r="I180" i="28"/>
  <c r="I181" i="28"/>
  <c r="I182" i="28"/>
  <c r="I183" i="28"/>
  <c r="I184" i="28"/>
  <c r="I185" i="28"/>
  <c r="I186" i="28"/>
  <c r="I187" i="28"/>
  <c r="I188" i="28"/>
  <c r="I189" i="28"/>
  <c r="I190" i="28"/>
  <c r="I191" i="28"/>
  <c r="I192" i="28"/>
  <c r="I193" i="28"/>
  <c r="I194" i="28"/>
  <c r="I195" i="28"/>
  <c r="I196" i="28"/>
  <c r="I197" i="28"/>
  <c r="I198" i="28"/>
  <c r="I199" i="28"/>
  <c r="I200" i="28"/>
  <c r="I201" i="28"/>
  <c r="I202" i="28"/>
  <c r="I203" i="28"/>
  <c r="I204" i="28"/>
  <c r="I205" i="28"/>
  <c r="I206" i="28"/>
  <c r="I207" i="28"/>
  <c r="I208" i="28"/>
  <c r="I209" i="28"/>
  <c r="I210" i="28"/>
  <c r="I211" i="28"/>
  <c r="I212" i="28"/>
  <c r="I213" i="28"/>
  <c r="I214" i="28"/>
  <c r="I215" i="28"/>
  <c r="I216" i="28"/>
  <c r="I217" i="28"/>
  <c r="I218" i="28"/>
  <c r="I219" i="28"/>
  <c r="I220" i="28"/>
  <c r="I221" i="28"/>
  <c r="I222" i="28"/>
  <c r="I223" i="28"/>
  <c r="I224" i="28"/>
  <c r="I225" i="28"/>
  <c r="I226" i="28"/>
  <c r="I227" i="28"/>
  <c r="I228" i="28"/>
  <c r="I229" i="28"/>
  <c r="I230" i="28"/>
  <c r="I231" i="28"/>
  <c r="I232" i="28"/>
  <c r="I233" i="28"/>
  <c r="I234" i="28"/>
  <c r="I235" i="28"/>
  <c r="I236" i="28"/>
  <c r="I237" i="28"/>
  <c r="I238" i="28"/>
  <c r="I239" i="28"/>
  <c r="I240" i="28"/>
  <c r="I241" i="28"/>
  <c r="I242" i="28"/>
  <c r="I243" i="28"/>
  <c r="I244" i="28"/>
  <c r="I245" i="28"/>
  <c r="I246" i="28"/>
  <c r="I247" i="28"/>
  <c r="I248" i="28"/>
  <c r="I249" i="28"/>
  <c r="I250" i="28"/>
  <c r="I251" i="28"/>
  <c r="I252" i="28"/>
  <c r="I253" i="28"/>
  <c r="I254" i="28"/>
  <c r="I255" i="28"/>
  <c r="K312" i="23"/>
  <c r="K307" i="23"/>
  <c r="K304" i="23"/>
  <c r="K310" i="23"/>
  <c r="K359" i="23"/>
  <c r="K314" i="23"/>
  <c r="K351" i="23"/>
  <c r="K277" i="23"/>
  <c r="K346" i="23"/>
  <c r="K342" i="23"/>
  <c r="K188" i="23"/>
  <c r="K5" i="23"/>
  <c r="K180" i="23"/>
  <c r="K53" i="23"/>
  <c r="K175" i="23"/>
  <c r="K38" i="23"/>
  <c r="K35" i="23"/>
  <c r="K15" i="23"/>
  <c r="K7" i="23"/>
  <c r="K10" i="23"/>
  <c r="K9" i="23"/>
  <c r="K251" i="23"/>
  <c r="K168" i="23"/>
  <c r="K88" i="23"/>
  <c r="K80" i="23"/>
  <c r="K62" i="23"/>
  <c r="K174" i="23"/>
  <c r="K173" i="23"/>
  <c r="K172" i="23"/>
  <c r="K171" i="23"/>
  <c r="K2" i="23"/>
  <c r="K11" i="23"/>
  <c r="K12" i="23"/>
  <c r="K17" i="23"/>
  <c r="K19" i="23"/>
  <c r="K42" i="23"/>
  <c r="K45" i="23"/>
  <c r="K65" i="23"/>
  <c r="K68" i="23"/>
  <c r="K70" i="23"/>
  <c r="K71" i="23"/>
  <c r="K73" i="23"/>
  <c r="K76" i="23"/>
  <c r="K77" i="23"/>
  <c r="K78" i="23"/>
  <c r="K81" i="23"/>
  <c r="K101" i="23"/>
  <c r="K104" i="23"/>
  <c r="K105" i="23"/>
  <c r="K106" i="23"/>
  <c r="K107" i="23"/>
  <c r="K115" i="23"/>
  <c r="K116" i="23"/>
  <c r="K130" i="23"/>
  <c r="K144" i="23"/>
  <c r="K147" i="23"/>
  <c r="K156" i="23"/>
  <c r="K160" i="23"/>
  <c r="K161" i="23"/>
  <c r="K166" i="23"/>
  <c r="K167" i="23"/>
  <c r="K170" i="23"/>
  <c r="K176" i="23"/>
  <c r="K177" i="23"/>
  <c r="K193" i="23"/>
  <c r="K196" i="23"/>
  <c r="K199" i="23"/>
  <c r="K200" i="23"/>
  <c r="K237" i="23"/>
  <c r="K239" i="23"/>
  <c r="K244" i="23"/>
  <c r="K246" i="23"/>
  <c r="K267" i="23"/>
  <c r="K268" i="23"/>
  <c r="K272" i="23"/>
  <c r="K274" i="23"/>
  <c r="K275" i="23"/>
  <c r="K278" i="23"/>
  <c r="K287" i="23"/>
  <c r="K294" i="23"/>
  <c r="K295" i="23"/>
  <c r="K296" i="23"/>
  <c r="K306" i="23"/>
  <c r="K320" i="23"/>
  <c r="K321" i="23"/>
  <c r="K322" i="23"/>
  <c r="K333" i="23"/>
  <c r="K334" i="23"/>
  <c r="K335" i="23"/>
  <c r="K338" i="23"/>
  <c r="K339" i="23"/>
  <c r="K340" i="23"/>
  <c r="K344" i="23"/>
  <c r="K354" i="23"/>
  <c r="K358" i="23"/>
  <c r="K361" i="23"/>
  <c r="X215" i="20"/>
  <c r="X1501" i="20"/>
  <c r="X1354" i="20"/>
  <c r="X1434" i="20"/>
  <c r="X109" i="20"/>
  <c r="X1165" i="20"/>
  <c r="X53" i="20"/>
  <c r="X158" i="20"/>
  <c r="X1459" i="20"/>
  <c r="X372" i="20"/>
  <c r="X976" i="20"/>
  <c r="X1209" i="20"/>
  <c r="X1186" i="20"/>
  <c r="X1264" i="20"/>
  <c r="AB270" i="26" l="1"/>
  <c r="AC270" i="26" s="1"/>
  <c r="AB269" i="26"/>
  <c r="AC269" i="26" s="1"/>
  <c r="AB268" i="26"/>
  <c r="AC268" i="26" s="1"/>
  <c r="AB267" i="26"/>
  <c r="AC267" i="26" s="1"/>
  <c r="AB266" i="26"/>
  <c r="AC266" i="26" s="1"/>
  <c r="AB265" i="26"/>
  <c r="AC265" i="26" s="1"/>
  <c r="AB264" i="26"/>
  <c r="AC264" i="26" s="1"/>
  <c r="AB263" i="26"/>
  <c r="AC263" i="26" s="1"/>
  <c r="AB262" i="26"/>
  <c r="AC262" i="26" s="1"/>
  <c r="AB261" i="26"/>
  <c r="AC261" i="26" s="1"/>
  <c r="AB260" i="26"/>
  <c r="AC260" i="26" s="1"/>
  <c r="AB259" i="26"/>
  <c r="AC259" i="26" s="1"/>
  <c r="AB258" i="26"/>
  <c r="AC258" i="26" s="1"/>
  <c r="AB257" i="26"/>
  <c r="AC257" i="26" s="1"/>
  <c r="AB256" i="26"/>
  <c r="AC256" i="26" s="1"/>
  <c r="AB255" i="26"/>
  <c r="AC255" i="26" s="1"/>
  <c r="AB254" i="26"/>
  <c r="AC254" i="26" s="1"/>
  <c r="AB253" i="26"/>
  <c r="AC253" i="26" s="1"/>
  <c r="AB252" i="26"/>
  <c r="AC252" i="26" s="1"/>
  <c r="AB251" i="26"/>
  <c r="AC251" i="26" s="1"/>
  <c r="AB250" i="26"/>
  <c r="AC250" i="26" s="1"/>
  <c r="AB249" i="26"/>
  <c r="AC249" i="26" s="1"/>
  <c r="AB248" i="26"/>
  <c r="AC248" i="26" s="1"/>
  <c r="AB247" i="26"/>
  <c r="AC247" i="26" s="1"/>
  <c r="AB246" i="26"/>
  <c r="AC246" i="26" s="1"/>
  <c r="AB245" i="26"/>
  <c r="AC245" i="26" s="1"/>
  <c r="AB244" i="26"/>
  <c r="AC244" i="26" s="1"/>
  <c r="AB243" i="26"/>
  <c r="AC243" i="26" s="1"/>
  <c r="AB242" i="26"/>
  <c r="AC242" i="26" s="1"/>
  <c r="AB241" i="26"/>
  <c r="AC241" i="26" s="1"/>
  <c r="AB240" i="26"/>
  <c r="AC240" i="26" s="1"/>
  <c r="AB239" i="26"/>
  <c r="AC239" i="26" s="1"/>
  <c r="AB238" i="26"/>
  <c r="AC238" i="26" s="1"/>
  <c r="AB237" i="26"/>
  <c r="AC237" i="26" s="1"/>
  <c r="AB236" i="26"/>
  <c r="AC236" i="26" s="1"/>
  <c r="AB235" i="26"/>
  <c r="AC235" i="26" s="1"/>
  <c r="AB234" i="26"/>
  <c r="AC234" i="26" s="1"/>
  <c r="AB233" i="26"/>
  <c r="AC233" i="26" s="1"/>
  <c r="AB232" i="26"/>
  <c r="AC232" i="26" s="1"/>
  <c r="AB231" i="26"/>
  <c r="AC231" i="26" s="1"/>
  <c r="AB230" i="26"/>
  <c r="AC230" i="26" s="1"/>
  <c r="AB229" i="26"/>
  <c r="AC229" i="26" s="1"/>
  <c r="AB228" i="26"/>
  <c r="AC228" i="26" s="1"/>
  <c r="AB227" i="26"/>
  <c r="AC227" i="26" s="1"/>
  <c r="AB226" i="26"/>
  <c r="AC226" i="26" s="1"/>
  <c r="AB225" i="26"/>
  <c r="AC225" i="26" s="1"/>
  <c r="AB224" i="26"/>
  <c r="AC224" i="26" s="1"/>
  <c r="AB223" i="26"/>
  <c r="AC223" i="26" s="1"/>
  <c r="AB222" i="26"/>
  <c r="AC222" i="26" s="1"/>
  <c r="AB221" i="26"/>
  <c r="AC221" i="26" s="1"/>
  <c r="AB220" i="26"/>
  <c r="AC220" i="26" s="1"/>
  <c r="AB219" i="26"/>
  <c r="AC219" i="26" s="1"/>
  <c r="AB218" i="26"/>
  <c r="AC218" i="26" s="1"/>
  <c r="AB217" i="26"/>
  <c r="AC217" i="26" s="1"/>
  <c r="AB216" i="26"/>
  <c r="AC216" i="26" s="1"/>
  <c r="AB215" i="26"/>
  <c r="AC215" i="26" s="1"/>
  <c r="AB214" i="26"/>
  <c r="AC214" i="26" s="1"/>
  <c r="AB213" i="26"/>
  <c r="AC213" i="26" s="1"/>
  <c r="AB212" i="26"/>
  <c r="AC212" i="26" s="1"/>
  <c r="AB211" i="26"/>
  <c r="AC211" i="26" s="1"/>
  <c r="AB210" i="26"/>
  <c r="AC210" i="26" s="1"/>
  <c r="AB209" i="26"/>
  <c r="AC209" i="26" s="1"/>
  <c r="AB208" i="26"/>
  <c r="AC208" i="26" s="1"/>
  <c r="AB207" i="26"/>
  <c r="AC207" i="26" s="1"/>
  <c r="AB206" i="26"/>
  <c r="AC206" i="26" s="1"/>
  <c r="AB205" i="26"/>
  <c r="AC205" i="26" s="1"/>
  <c r="AB204" i="26"/>
  <c r="AC204" i="26" s="1"/>
  <c r="AB203" i="26"/>
  <c r="AC203" i="26" s="1"/>
  <c r="AB202" i="26"/>
  <c r="AC202" i="26" s="1"/>
  <c r="AB201" i="26"/>
  <c r="AC201" i="26" s="1"/>
  <c r="AB200" i="26"/>
  <c r="AC200" i="26" s="1"/>
  <c r="AB199" i="26"/>
  <c r="AC199" i="26" s="1"/>
  <c r="AB198" i="26"/>
  <c r="AC198" i="26" s="1"/>
  <c r="AB197" i="26"/>
  <c r="AC197" i="26" s="1"/>
  <c r="AB196" i="26"/>
  <c r="AC196" i="26" s="1"/>
  <c r="AB195" i="26"/>
  <c r="AC195" i="26" s="1"/>
  <c r="AB194" i="26"/>
  <c r="AC194" i="26" s="1"/>
  <c r="AB193" i="26"/>
  <c r="AC193" i="26" s="1"/>
  <c r="AB192" i="26"/>
  <c r="AC192" i="26" s="1"/>
  <c r="AB191" i="26"/>
  <c r="AC191" i="26" s="1"/>
  <c r="AB190" i="26"/>
  <c r="AC190" i="26" s="1"/>
  <c r="AB189" i="26"/>
  <c r="AC189" i="26" s="1"/>
  <c r="AB188" i="26"/>
  <c r="AC188" i="26" s="1"/>
  <c r="AB187" i="26"/>
  <c r="AC187" i="26" s="1"/>
  <c r="AB186" i="26"/>
  <c r="AC186" i="26" s="1"/>
  <c r="AB185" i="26"/>
  <c r="AC185" i="26" s="1"/>
  <c r="AB184" i="26"/>
  <c r="AC184" i="26" s="1"/>
  <c r="AB183" i="26"/>
  <c r="AC183" i="26" s="1"/>
  <c r="AB182" i="26"/>
  <c r="AC182" i="26" s="1"/>
  <c r="AB181" i="26"/>
  <c r="AC181" i="26" s="1"/>
  <c r="AB180" i="26"/>
  <c r="AC180" i="26" s="1"/>
  <c r="AB179" i="26"/>
  <c r="AC179" i="26" s="1"/>
  <c r="AB178" i="26"/>
  <c r="AC178" i="26" s="1"/>
  <c r="AB177" i="26"/>
  <c r="AC177" i="26" s="1"/>
  <c r="AB176" i="26"/>
  <c r="AC176" i="26" s="1"/>
  <c r="AB175" i="26"/>
  <c r="AC175" i="26" s="1"/>
  <c r="AB174" i="26"/>
  <c r="AC174" i="26" s="1"/>
  <c r="AB173" i="26"/>
  <c r="AC173" i="26" s="1"/>
  <c r="AB172" i="26"/>
  <c r="AC172" i="26" s="1"/>
  <c r="AB171" i="26"/>
  <c r="AC171" i="26" s="1"/>
  <c r="AB170" i="26"/>
  <c r="AC170" i="26" s="1"/>
  <c r="AB169" i="26"/>
  <c r="AC169" i="26" s="1"/>
  <c r="AB168" i="26"/>
  <c r="AC168" i="26" s="1"/>
  <c r="AB167" i="26"/>
  <c r="AC167" i="26" s="1"/>
  <c r="AB166" i="26"/>
  <c r="AC166" i="26" s="1"/>
  <c r="AB165" i="26"/>
  <c r="AC165" i="26" s="1"/>
  <c r="AB164" i="26"/>
  <c r="AC164" i="26" s="1"/>
  <c r="AB163" i="26"/>
  <c r="AC163" i="26" s="1"/>
  <c r="AB162" i="26"/>
  <c r="AC162" i="26" s="1"/>
  <c r="AB161" i="26"/>
  <c r="AC161" i="26" s="1"/>
  <c r="AB160" i="26"/>
  <c r="AC160" i="26" s="1"/>
  <c r="AB159" i="26"/>
  <c r="AC159" i="26" s="1"/>
  <c r="AB158" i="26"/>
  <c r="AC158" i="26" s="1"/>
  <c r="AB157" i="26"/>
  <c r="AC157" i="26" s="1"/>
  <c r="AB156" i="26"/>
  <c r="AC156" i="26" s="1"/>
  <c r="AB155" i="26"/>
  <c r="AC155" i="26" s="1"/>
  <c r="AB154" i="26"/>
  <c r="AC154" i="26" s="1"/>
  <c r="AB153" i="26"/>
  <c r="AC153" i="26" s="1"/>
  <c r="AB152" i="26"/>
  <c r="AC152" i="26" s="1"/>
  <c r="AB151" i="26"/>
  <c r="AC151" i="26" s="1"/>
  <c r="AB150" i="26"/>
  <c r="AC150" i="26" s="1"/>
  <c r="AB149" i="26"/>
  <c r="AC149" i="26" s="1"/>
  <c r="AB148" i="26"/>
  <c r="AC148" i="26" s="1"/>
  <c r="AB147" i="26"/>
  <c r="AC147" i="26" s="1"/>
  <c r="AB146" i="26"/>
  <c r="AC146" i="26" s="1"/>
  <c r="AB145" i="26"/>
  <c r="AC145" i="26" s="1"/>
  <c r="AB144" i="26"/>
  <c r="AC144" i="26" s="1"/>
  <c r="AB143" i="26"/>
  <c r="AC143" i="26" s="1"/>
  <c r="AB142" i="26"/>
  <c r="AC142" i="26" s="1"/>
  <c r="AB141" i="26"/>
  <c r="AC141" i="26" s="1"/>
  <c r="AB140" i="26"/>
  <c r="AC140" i="26" s="1"/>
  <c r="AB139" i="26"/>
  <c r="AC139" i="26" s="1"/>
  <c r="AB138" i="26"/>
  <c r="AC138" i="26" s="1"/>
  <c r="AB137" i="26"/>
  <c r="AC137" i="26" s="1"/>
  <c r="AB136" i="26"/>
  <c r="AC136" i="26" s="1"/>
  <c r="AB135" i="26"/>
  <c r="AC135" i="26" s="1"/>
  <c r="AB134" i="26"/>
  <c r="AC134" i="26" s="1"/>
  <c r="AB133" i="26"/>
  <c r="AC133" i="26" s="1"/>
  <c r="AB132" i="26"/>
  <c r="AC132" i="26" s="1"/>
  <c r="AB131" i="26"/>
  <c r="AC131" i="26" s="1"/>
  <c r="AB130" i="26"/>
  <c r="AC130" i="26" s="1"/>
  <c r="AB129" i="26"/>
  <c r="AC129" i="26" s="1"/>
  <c r="AB128" i="26"/>
  <c r="AC128" i="26" s="1"/>
  <c r="AB127" i="26"/>
  <c r="AC127" i="26" s="1"/>
  <c r="AB126" i="26"/>
  <c r="AC126" i="26" s="1"/>
  <c r="AB125" i="26"/>
  <c r="AC125" i="26" s="1"/>
  <c r="AB124" i="26"/>
  <c r="AC124" i="26" s="1"/>
  <c r="AB123" i="26"/>
  <c r="AC123" i="26" s="1"/>
  <c r="AB122" i="26"/>
  <c r="AC122" i="26" s="1"/>
  <c r="AB121" i="26"/>
  <c r="AC121" i="26" s="1"/>
  <c r="AB120" i="26"/>
  <c r="AC120" i="26" s="1"/>
  <c r="AB119" i="26"/>
  <c r="AC119" i="26" s="1"/>
  <c r="AB118" i="26"/>
  <c r="AC118" i="26" s="1"/>
  <c r="AB117" i="26"/>
  <c r="AC117" i="26" s="1"/>
  <c r="AB116" i="26"/>
  <c r="AC116" i="26" s="1"/>
  <c r="AB115" i="26"/>
  <c r="AC115" i="26" s="1"/>
  <c r="AB114" i="26"/>
  <c r="AC114" i="26" s="1"/>
  <c r="AB113" i="26"/>
  <c r="AC113" i="26" s="1"/>
  <c r="AB112" i="26"/>
  <c r="AC112" i="26" s="1"/>
  <c r="AB111" i="26"/>
  <c r="AC111" i="26" s="1"/>
  <c r="AB110" i="26"/>
  <c r="AC110" i="26" s="1"/>
  <c r="AB109" i="26"/>
  <c r="AC109" i="26" s="1"/>
  <c r="AB108" i="26"/>
  <c r="AC108" i="26" s="1"/>
  <c r="AB107" i="26"/>
  <c r="AC107" i="26" s="1"/>
  <c r="AB106" i="26"/>
  <c r="AC106" i="26" s="1"/>
  <c r="AB105" i="26"/>
  <c r="AC105" i="26" s="1"/>
  <c r="AB104" i="26"/>
  <c r="AC104" i="26" s="1"/>
  <c r="AB103" i="26"/>
  <c r="AC103" i="26" s="1"/>
  <c r="AB102" i="26"/>
  <c r="AC102" i="26" s="1"/>
  <c r="AB101" i="26"/>
  <c r="AC101" i="26" s="1"/>
  <c r="AB100" i="26"/>
  <c r="AC100" i="26" s="1"/>
  <c r="AB99" i="26"/>
  <c r="AC99" i="26" s="1"/>
  <c r="AB98" i="26"/>
  <c r="AC98" i="26" s="1"/>
  <c r="AB97" i="26"/>
  <c r="AC97" i="26" s="1"/>
  <c r="AB96" i="26"/>
  <c r="AC96" i="26" s="1"/>
  <c r="AB95" i="26"/>
  <c r="AC95" i="26" s="1"/>
  <c r="AB94" i="26"/>
  <c r="AC94" i="26" s="1"/>
  <c r="AB93" i="26"/>
  <c r="AC93" i="26" s="1"/>
  <c r="AB92" i="26"/>
  <c r="AC92" i="26" s="1"/>
  <c r="AB91" i="26"/>
  <c r="AC91" i="26" s="1"/>
  <c r="AB90" i="26"/>
  <c r="AC90" i="26" s="1"/>
  <c r="AB89" i="26"/>
  <c r="AC89" i="26" s="1"/>
  <c r="AB88" i="26"/>
  <c r="AC88" i="26" s="1"/>
  <c r="AB87" i="26"/>
  <c r="AC87" i="26" s="1"/>
  <c r="AB86" i="26"/>
  <c r="AC86" i="26" s="1"/>
  <c r="AB85" i="26"/>
  <c r="AC85" i="26" s="1"/>
  <c r="AB84" i="26"/>
  <c r="AC84" i="26" s="1"/>
  <c r="AB83" i="26"/>
  <c r="AC83" i="26" s="1"/>
  <c r="AB82" i="26"/>
  <c r="AC82" i="26" s="1"/>
  <c r="AB81" i="26"/>
  <c r="AC81" i="26" s="1"/>
  <c r="AB80" i="26"/>
  <c r="AC80" i="26" s="1"/>
  <c r="AB79" i="26"/>
  <c r="AC79" i="26" s="1"/>
  <c r="AB78" i="26"/>
  <c r="AC78" i="26" s="1"/>
  <c r="AB77" i="26"/>
  <c r="AC77" i="26" s="1"/>
  <c r="AB76" i="26"/>
  <c r="AC76" i="26" s="1"/>
  <c r="AB75" i="26"/>
  <c r="AC75" i="26" s="1"/>
  <c r="AB74" i="26"/>
  <c r="AC74" i="26" s="1"/>
  <c r="AB73" i="26"/>
  <c r="AC73" i="26" s="1"/>
  <c r="AB72" i="26"/>
  <c r="AC72" i="26" s="1"/>
  <c r="AB71" i="26"/>
  <c r="AC71" i="26" s="1"/>
  <c r="AB70" i="26"/>
  <c r="AC70" i="26" s="1"/>
  <c r="AB69" i="26"/>
  <c r="AC69" i="26" s="1"/>
  <c r="AB68" i="26"/>
  <c r="AC68" i="26" s="1"/>
  <c r="AB67" i="26"/>
  <c r="AC67" i="26" s="1"/>
  <c r="AB66" i="26"/>
  <c r="AC66" i="26" s="1"/>
  <c r="AB65" i="26"/>
  <c r="AC65" i="26" s="1"/>
  <c r="AB64" i="26"/>
  <c r="AC64" i="26" s="1"/>
  <c r="AB63" i="26"/>
  <c r="AC63" i="26" s="1"/>
  <c r="AB62" i="26"/>
  <c r="AC62" i="26" s="1"/>
  <c r="AB61" i="26"/>
  <c r="AC61" i="26" s="1"/>
  <c r="AB60" i="26"/>
  <c r="AC60" i="26" s="1"/>
  <c r="AB59" i="26"/>
  <c r="AC59" i="26" s="1"/>
  <c r="AB58" i="26"/>
  <c r="AC58" i="26" s="1"/>
  <c r="AB57" i="26"/>
  <c r="AC57" i="26" s="1"/>
  <c r="AB56" i="26"/>
  <c r="AC56" i="26" s="1"/>
  <c r="AB55" i="26"/>
  <c r="AC55" i="26" s="1"/>
  <c r="AB54" i="26"/>
  <c r="AC54" i="26" s="1"/>
  <c r="AB53" i="26"/>
  <c r="AC53" i="26" s="1"/>
  <c r="AB52" i="26"/>
  <c r="AC52" i="26" s="1"/>
  <c r="AB51" i="26"/>
  <c r="AC51" i="26" s="1"/>
  <c r="AB50" i="26"/>
  <c r="AC50" i="26" s="1"/>
  <c r="AB49" i="26"/>
  <c r="AC49" i="26" s="1"/>
  <c r="AB48" i="26"/>
  <c r="AC48" i="26" s="1"/>
  <c r="AB47" i="26"/>
  <c r="AC47" i="26" s="1"/>
  <c r="AB46" i="26"/>
  <c r="AC46" i="26" s="1"/>
  <c r="AB45" i="26"/>
  <c r="AC45" i="26" s="1"/>
  <c r="G19" i="27"/>
  <c r="F19" i="27"/>
  <c r="X67" i="20"/>
  <c r="X173" i="20"/>
  <c r="X1494" i="20"/>
  <c r="X278" i="20"/>
  <c r="X323" i="20"/>
  <c r="X606" i="20"/>
  <c r="X634" i="20"/>
  <c r="V1861" i="20"/>
  <c r="S1861" i="20"/>
  <c r="X1133" i="20"/>
  <c r="X167" i="20"/>
  <c r="T1853" i="20"/>
  <c r="X1605" i="20"/>
  <c r="T1851" i="20"/>
  <c r="X1840" i="20"/>
  <c r="T1861" i="20"/>
  <c r="X93" i="20"/>
  <c r="X735" i="20"/>
  <c r="X2000" i="20"/>
  <c r="X648" i="20"/>
  <c r="X268" i="20"/>
  <c r="X879" i="20"/>
  <c r="X1519" i="20"/>
  <c r="M1861" i="20"/>
  <c r="R1861" i="20"/>
  <c r="X508" i="20"/>
  <c r="X628" i="20"/>
  <c r="X885" i="20"/>
  <c r="X653" i="20"/>
  <c r="X1590" i="20"/>
  <c r="X117" i="20"/>
  <c r="X574" i="20"/>
  <c r="N1861" i="20"/>
  <c r="X505" i="20"/>
  <c r="X534" i="20"/>
  <c r="X364" i="20"/>
  <c r="X1658" i="20"/>
  <c r="X365" i="20"/>
  <c r="X663" i="20"/>
  <c r="X1167" i="20"/>
  <c r="P1861" i="20"/>
  <c r="T1854" i="20"/>
  <c r="X1357" i="20"/>
  <c r="X853" i="20"/>
  <c r="O1861" i="20"/>
  <c r="X296" i="20"/>
  <c r="X92" i="20"/>
  <c r="X931" i="20"/>
  <c r="X662" i="20"/>
  <c r="X1011" i="20"/>
  <c r="X1427" i="20"/>
  <c r="X691" i="20"/>
  <c r="X773" i="20"/>
  <c r="X1100" i="20"/>
  <c r="X762" i="20"/>
  <c r="X1286" i="20"/>
  <c r="Q1861" i="20"/>
  <c r="X136" i="20"/>
  <c r="X1636" i="20"/>
  <c r="X1088" i="20"/>
  <c r="X166" i="20"/>
  <c r="T1852" i="20"/>
  <c r="X1738" i="20"/>
  <c r="W1861" i="20"/>
  <c r="X921" i="20"/>
  <c r="X1419" i="20"/>
  <c r="X703" i="20"/>
  <c r="X680" i="20"/>
  <c r="T827" i="20"/>
  <c r="X23" i="20"/>
  <c r="X1216" i="20"/>
  <c r="T1208" i="20"/>
  <c r="T1207" i="20"/>
  <c r="X475" i="20"/>
  <c r="X452" i="20"/>
  <c r="T414" i="20"/>
  <c r="X1213" i="20"/>
  <c r="T413" i="20"/>
  <c r="X1220" i="20"/>
  <c r="X451" i="20"/>
  <c r="AD45" i="26" l="1"/>
  <c r="AD46" i="26"/>
  <c r="AD47" i="26"/>
  <c r="AD48" i="26"/>
  <c r="AD49" i="26"/>
  <c r="AD50" i="26"/>
  <c r="AD51" i="26"/>
  <c r="AD52" i="26"/>
  <c r="AD53" i="26"/>
  <c r="AD54" i="26"/>
  <c r="AD55" i="26"/>
  <c r="AD56" i="26"/>
  <c r="AD57" i="26"/>
  <c r="AD58" i="26"/>
  <c r="AD59" i="26"/>
  <c r="AD60" i="26"/>
  <c r="AD61" i="26"/>
  <c r="AD62" i="26"/>
  <c r="AD63" i="26"/>
  <c r="AD64" i="26"/>
  <c r="AD65" i="26"/>
  <c r="AD66" i="26"/>
  <c r="AD67" i="26"/>
  <c r="AD68" i="26"/>
  <c r="AD69" i="26"/>
  <c r="AD70" i="26"/>
  <c r="AD71" i="26"/>
  <c r="AD72" i="26"/>
  <c r="AD73" i="26"/>
  <c r="AD74" i="26"/>
  <c r="AD75" i="26"/>
  <c r="AD76" i="26"/>
  <c r="AD77" i="26"/>
  <c r="AD78" i="26"/>
  <c r="AD79" i="26"/>
  <c r="AD80" i="26"/>
  <c r="AD81" i="26"/>
  <c r="AD82" i="26"/>
  <c r="AD83" i="26"/>
  <c r="AD84" i="26"/>
  <c r="AD85" i="26"/>
  <c r="AD86" i="26"/>
  <c r="AD87" i="26"/>
  <c r="AD88" i="26"/>
  <c r="AD89" i="26"/>
  <c r="AD90" i="26"/>
  <c r="AD91" i="26"/>
  <c r="AD92" i="26"/>
  <c r="AD93" i="26"/>
  <c r="AD94" i="26"/>
  <c r="AD95" i="26"/>
  <c r="AD96" i="26"/>
  <c r="AD97" i="26"/>
  <c r="AD98" i="26"/>
  <c r="AD99" i="26"/>
  <c r="AD100" i="26"/>
  <c r="AD101" i="26"/>
  <c r="AD102" i="26"/>
  <c r="AD103" i="26"/>
  <c r="AD104" i="26"/>
  <c r="AD105" i="26"/>
  <c r="AD106" i="26"/>
  <c r="AD107" i="26"/>
  <c r="AD108" i="26"/>
  <c r="AD109" i="26"/>
  <c r="AD110" i="26"/>
  <c r="AD111" i="26"/>
  <c r="AD112" i="26"/>
  <c r="AD113" i="26"/>
  <c r="AD114" i="26"/>
  <c r="AD115" i="26"/>
  <c r="AD116" i="26"/>
  <c r="AD117" i="26"/>
  <c r="AD118" i="26"/>
  <c r="AD119" i="26"/>
  <c r="AD120" i="26"/>
  <c r="AD121" i="26"/>
  <c r="AD122" i="26"/>
  <c r="AD123" i="26"/>
  <c r="AD124" i="26"/>
  <c r="AD125" i="26"/>
  <c r="AD126" i="26"/>
  <c r="AD127" i="26"/>
  <c r="AD128" i="26"/>
  <c r="AD129" i="26"/>
  <c r="AD130" i="26"/>
  <c r="AD131" i="26"/>
  <c r="AD132" i="26"/>
  <c r="AD133" i="26"/>
  <c r="AD134" i="26"/>
  <c r="AD135" i="26"/>
  <c r="AD136" i="26"/>
  <c r="AD137" i="26"/>
  <c r="AD138" i="26"/>
  <c r="AD139" i="26"/>
  <c r="AD140" i="26"/>
  <c r="AD141" i="26"/>
  <c r="AD142" i="26"/>
  <c r="AD143" i="26"/>
  <c r="AD144" i="26"/>
  <c r="AD145" i="26"/>
  <c r="AD146" i="26"/>
  <c r="AD147" i="26"/>
  <c r="AD148" i="26"/>
  <c r="AD149" i="26"/>
  <c r="AD150" i="26"/>
  <c r="AD151" i="26"/>
  <c r="AD152" i="26"/>
  <c r="AD153" i="26"/>
  <c r="AD154" i="26"/>
  <c r="AD155" i="26"/>
  <c r="AD156" i="26"/>
  <c r="AD157" i="26"/>
  <c r="AD158" i="26"/>
  <c r="AD159" i="26"/>
  <c r="AD160" i="26"/>
  <c r="AD161" i="26"/>
  <c r="AD162" i="26"/>
  <c r="AD163" i="26"/>
  <c r="AD164" i="26"/>
  <c r="AD165" i="26"/>
  <c r="AD166" i="26"/>
  <c r="AD167" i="26"/>
  <c r="AD168" i="26"/>
  <c r="AD169" i="26"/>
  <c r="AD170" i="26"/>
  <c r="AD171" i="26"/>
  <c r="AD172" i="26"/>
  <c r="AD173" i="26"/>
  <c r="AD174" i="26"/>
  <c r="AD175" i="26"/>
  <c r="AD176" i="26"/>
  <c r="AD177" i="26"/>
  <c r="AD178" i="26"/>
  <c r="AD179" i="26"/>
  <c r="AD180" i="26"/>
  <c r="AD181" i="26"/>
  <c r="AD182" i="26"/>
  <c r="AD183" i="26"/>
  <c r="AD184" i="26"/>
  <c r="AD185" i="26"/>
  <c r="AD186" i="26"/>
  <c r="AD187" i="26"/>
  <c r="AD188" i="26"/>
  <c r="AD189" i="26"/>
  <c r="AD190" i="26"/>
  <c r="AD191" i="26"/>
  <c r="AD192" i="26"/>
  <c r="AD193" i="26"/>
  <c r="AD194" i="26"/>
  <c r="AD195" i="26"/>
  <c r="AD196" i="26"/>
  <c r="AD197" i="26"/>
  <c r="AD198" i="26"/>
  <c r="AD199" i="26"/>
  <c r="AD200" i="26"/>
  <c r="AD201" i="26"/>
  <c r="AD202" i="26"/>
  <c r="AD203" i="26"/>
  <c r="AD204" i="26"/>
  <c r="AD205" i="26"/>
  <c r="AD206" i="26"/>
  <c r="AD207" i="26"/>
  <c r="AD208" i="26"/>
  <c r="AD209" i="26"/>
  <c r="AD210" i="26"/>
  <c r="AD211" i="26"/>
  <c r="AD212" i="26"/>
  <c r="AD213" i="26"/>
  <c r="AD214" i="26"/>
  <c r="AD215" i="26"/>
  <c r="AD216" i="26"/>
  <c r="AD217" i="26"/>
  <c r="AD218" i="26"/>
  <c r="AD219" i="26"/>
  <c r="AD220" i="26"/>
  <c r="AD221" i="26"/>
  <c r="AD222" i="26"/>
  <c r="AD223" i="26"/>
  <c r="AD224" i="26"/>
  <c r="AD225" i="26"/>
  <c r="AD226" i="26"/>
  <c r="AD227" i="26"/>
  <c r="AD228" i="26"/>
  <c r="AD229" i="26"/>
  <c r="AD230" i="26"/>
  <c r="AD231" i="26"/>
  <c r="AD232" i="26"/>
  <c r="AD233" i="26"/>
  <c r="AD234" i="26"/>
  <c r="AD235" i="26"/>
  <c r="AD236" i="26"/>
  <c r="AD237" i="26"/>
  <c r="AD238" i="26"/>
  <c r="AD239" i="26"/>
  <c r="AD240" i="26"/>
  <c r="AD241" i="26"/>
  <c r="AD242" i="26"/>
  <c r="AD243" i="26"/>
  <c r="AD244" i="26"/>
  <c r="AD245" i="26"/>
  <c r="AD246" i="26"/>
  <c r="AD247" i="26"/>
  <c r="AD248" i="26"/>
  <c r="AD249" i="26"/>
  <c r="AD250" i="26"/>
  <c r="AD251" i="26"/>
  <c r="AD252" i="26"/>
  <c r="AD253" i="26"/>
  <c r="AD254" i="26"/>
  <c r="AD255" i="26"/>
  <c r="AD256" i="26"/>
  <c r="AD257" i="26"/>
  <c r="AD258" i="26"/>
  <c r="AD259" i="26"/>
  <c r="AD260" i="26"/>
  <c r="AD261" i="26"/>
  <c r="AD262" i="26"/>
  <c r="AD263" i="26"/>
  <c r="AD264" i="26"/>
  <c r="AD265" i="26"/>
  <c r="AD266" i="26"/>
  <c r="AD267" i="26"/>
  <c r="AD268" i="26"/>
  <c r="AD269" i="26"/>
  <c r="AD270" i="26"/>
  <c r="E20" i="18"/>
  <c r="E19" i="18"/>
  <c r="E18" i="18"/>
  <c r="D18" i="18"/>
  <c r="E17" i="18"/>
  <c r="D17" i="18"/>
  <c r="E16" i="18"/>
  <c r="D16" i="18"/>
  <c r="E15" i="18"/>
  <c r="D15" i="18"/>
  <c r="E14" i="18"/>
  <c r="D14" i="18"/>
  <c r="E12" i="18"/>
  <c r="D12" i="18"/>
  <c r="D20" i="18"/>
  <c r="F20" i="18" l="1"/>
  <c r="G20" i="18" s="1"/>
  <c r="F15" i="18"/>
  <c r="G15" i="18" s="1"/>
  <c r="F14" i="18"/>
  <c r="G14" i="18" s="1"/>
  <c r="F17" i="18"/>
  <c r="G17" i="18" s="1"/>
  <c r="F12" i="18"/>
  <c r="G12" i="18" s="1"/>
  <c r="F18" i="18"/>
  <c r="G18" i="18" s="1"/>
  <c r="F16" i="18"/>
  <c r="G16" i="18" s="1"/>
  <c r="F19" i="18"/>
  <c r="G19" i="18" s="1"/>
  <c r="E93" i="19"/>
  <c r="D853" i="20" s="1"/>
  <c r="E86" i="19"/>
  <c r="D848" i="20" s="1"/>
  <c r="E79" i="19"/>
  <c r="D843" i="20" s="1"/>
  <c r="I631" i="20" l="1"/>
  <c r="I632" i="20"/>
  <c r="I633" i="20"/>
  <c r="I634" i="20"/>
  <c r="I635" i="20"/>
  <c r="I636" i="20"/>
  <c r="I1222" i="20"/>
  <c r="I638" i="20"/>
  <c r="I639" i="20"/>
  <c r="I640" i="20"/>
  <c r="I641" i="20"/>
  <c r="I1226" i="20"/>
  <c r="I643" i="20"/>
  <c r="I644" i="20"/>
  <c r="I645" i="20"/>
  <c r="I646" i="20"/>
  <c r="I1230" i="20"/>
  <c r="I648" i="20"/>
  <c r="I649" i="20"/>
  <c r="I650" i="20"/>
  <c r="I651" i="20"/>
  <c r="I1234" i="20"/>
  <c r="I653" i="20"/>
  <c r="I654" i="20"/>
  <c r="I655" i="20"/>
  <c r="I656" i="20"/>
  <c r="I1239" i="20"/>
  <c r="I1240" i="20"/>
  <c r="I658" i="20"/>
  <c r="I659" i="20"/>
  <c r="I660" i="20"/>
  <c r="I1245" i="20"/>
  <c r="I1246" i="20"/>
  <c r="I663" i="20"/>
  <c r="I664" i="20"/>
  <c r="I665" i="20"/>
  <c r="I1249" i="20"/>
  <c r="I1250" i="20"/>
  <c r="I668" i="20"/>
  <c r="I669" i="20"/>
  <c r="I670" i="20"/>
  <c r="I1253" i="20"/>
  <c r="I1254" i="20"/>
  <c r="I673" i="20"/>
  <c r="I674" i="20"/>
  <c r="I675" i="20"/>
  <c r="I1257" i="20"/>
  <c r="I1258" i="20"/>
  <c r="I678" i="20"/>
  <c r="I679" i="20"/>
  <c r="I680" i="20"/>
  <c r="I1261" i="20"/>
  <c r="I1262" i="20"/>
  <c r="I683" i="20"/>
  <c r="I684" i="20"/>
  <c r="I685" i="20"/>
  <c r="I1265" i="20"/>
  <c r="I1266" i="20"/>
  <c r="I688" i="20"/>
  <c r="I689" i="20"/>
  <c r="I690" i="20"/>
  <c r="I1269" i="20"/>
  <c r="I1270" i="20"/>
  <c r="I693" i="20"/>
  <c r="I694" i="20"/>
  <c r="I695" i="20"/>
  <c r="I1275" i="20"/>
  <c r="I1276" i="20"/>
  <c r="I698" i="20"/>
  <c r="I699" i="20"/>
  <c r="I700" i="20"/>
  <c r="I1279" i="20"/>
  <c r="I1280" i="20"/>
  <c r="I703" i="20"/>
  <c r="I704" i="20"/>
  <c r="I705" i="20"/>
  <c r="I1283" i="20"/>
  <c r="I1284" i="20"/>
  <c r="I708" i="20"/>
  <c r="I709" i="20"/>
  <c r="I710" i="20"/>
  <c r="I1287" i="20"/>
  <c r="I1288" i="20"/>
  <c r="I713" i="20"/>
  <c r="I714" i="20"/>
  <c r="I715" i="20"/>
  <c r="I1291" i="20"/>
  <c r="I1292" i="20"/>
  <c r="I718" i="20"/>
  <c r="I719" i="20"/>
  <c r="I720" i="20"/>
  <c r="I1299" i="20"/>
  <c r="I1300" i="20"/>
  <c r="I723" i="20"/>
  <c r="I724" i="20"/>
  <c r="I725" i="20"/>
  <c r="I1303" i="20"/>
  <c r="I1304" i="20"/>
  <c r="I728" i="20"/>
  <c r="I729" i="20"/>
  <c r="I730" i="20"/>
  <c r="I1307" i="20"/>
  <c r="I1308" i="20"/>
  <c r="I733" i="20"/>
  <c r="I734" i="20"/>
  <c r="I735" i="20"/>
  <c r="I1311" i="20"/>
  <c r="I1312" i="20"/>
  <c r="I738" i="20"/>
  <c r="I739" i="20"/>
  <c r="I740" i="20"/>
  <c r="I1315" i="20"/>
  <c r="I1316" i="20"/>
  <c r="I743" i="20"/>
  <c r="I744" i="20"/>
  <c r="I745" i="20"/>
  <c r="I1319" i="20"/>
  <c r="I1320" i="20"/>
  <c r="I748" i="20"/>
  <c r="I749" i="20"/>
  <c r="I750" i="20"/>
  <c r="I1323" i="20"/>
  <c r="I1324" i="20"/>
  <c r="I753" i="20"/>
  <c r="I754" i="20"/>
  <c r="I755" i="20"/>
  <c r="I1327" i="20"/>
  <c r="I1328" i="20"/>
  <c r="I758" i="20"/>
  <c r="I759" i="20"/>
  <c r="I760" i="20"/>
  <c r="I1331" i="20"/>
  <c r="I1332" i="20"/>
  <c r="I763" i="20"/>
  <c r="I764" i="20"/>
  <c r="I765" i="20"/>
  <c r="I1335" i="20"/>
  <c r="I1336" i="20"/>
  <c r="I768" i="20"/>
  <c r="I769" i="20"/>
  <c r="I770" i="20"/>
  <c r="I1339" i="20"/>
  <c r="I1340" i="20"/>
  <c r="I773" i="20"/>
  <c r="I774" i="20"/>
  <c r="I775" i="20"/>
  <c r="I1343" i="20"/>
  <c r="I1344" i="20"/>
  <c r="I778" i="20"/>
  <c r="I779" i="20"/>
  <c r="I780" i="20"/>
  <c r="I1347" i="20"/>
  <c r="I1348" i="20"/>
  <c r="I783" i="20"/>
  <c r="I784" i="20"/>
  <c r="I785" i="20"/>
  <c r="I1351" i="20"/>
  <c r="I1352" i="20"/>
  <c r="I788" i="20"/>
  <c r="I789" i="20"/>
  <c r="I790" i="20"/>
  <c r="I1355" i="20"/>
  <c r="I1356" i="20"/>
  <c r="I793" i="20"/>
  <c r="I794" i="20"/>
  <c r="I1395" i="20"/>
  <c r="I1396" i="20"/>
  <c r="I838" i="20"/>
  <c r="I839" i="20"/>
  <c r="I1421" i="20"/>
  <c r="I1422" i="20"/>
  <c r="I844" i="20"/>
  <c r="I1425" i="20"/>
  <c r="I1426" i="20"/>
  <c r="I847" i="20"/>
  <c r="I848" i="20"/>
  <c r="I849" i="20"/>
  <c r="I852" i="20"/>
  <c r="I1433" i="20"/>
  <c r="I1434" i="20"/>
  <c r="I1437" i="20"/>
  <c r="I1438" i="20"/>
  <c r="I858" i="20"/>
  <c r="I859" i="20"/>
  <c r="I862" i="20"/>
  <c r="I1445" i="20"/>
  <c r="I1446" i="20"/>
  <c r="I1449" i="20"/>
  <c r="I1450" i="20"/>
  <c r="I867" i="20"/>
  <c r="I868" i="20"/>
  <c r="I869" i="20"/>
  <c r="I872" i="20"/>
  <c r="I1457" i="20"/>
  <c r="I1458" i="20"/>
  <c r="I1461" i="20"/>
  <c r="I1462" i="20"/>
  <c r="I878" i="20"/>
  <c r="I879" i="20"/>
  <c r="I1466" i="20"/>
  <c r="I882" i="20"/>
  <c r="I883" i="20"/>
  <c r="I1469" i="20"/>
  <c r="I1473" i="20"/>
  <c r="I1474" i="20"/>
  <c r="I889" i="20"/>
  <c r="I1477" i="20"/>
  <c r="I1478" i="20"/>
  <c r="I892" i="20"/>
  <c r="I893" i="20"/>
  <c r="I894" i="20"/>
  <c r="I897" i="20"/>
  <c r="I1513" i="20"/>
  <c r="I1514" i="20"/>
  <c r="I1537" i="20"/>
  <c r="I1538" i="20"/>
  <c r="I902" i="20"/>
  <c r="I903" i="20"/>
  <c r="I904" i="20"/>
  <c r="I907" i="20"/>
  <c r="I1545" i="20"/>
  <c r="I1546" i="20"/>
  <c r="I1591" i="20"/>
  <c r="I1592" i="20"/>
  <c r="I913" i="20"/>
  <c r="I914" i="20"/>
  <c r="I917" i="20"/>
  <c r="I918" i="20"/>
  <c r="I919" i="20"/>
  <c r="I922" i="20"/>
  <c r="I923" i="20"/>
  <c r="I924" i="20"/>
  <c r="I927" i="20"/>
  <c r="I928" i="20"/>
  <c r="I929" i="20"/>
  <c r="I932" i="20"/>
  <c r="I933" i="20"/>
  <c r="I934" i="20"/>
  <c r="I937" i="20"/>
  <c r="I938" i="20"/>
  <c r="I939" i="20"/>
  <c r="I942" i="20"/>
  <c r="I943" i="20"/>
  <c r="I944" i="20"/>
  <c r="I947" i="20"/>
  <c r="I948" i="20"/>
  <c r="I949" i="20"/>
  <c r="I952" i="20"/>
  <c r="I953" i="20"/>
  <c r="I954" i="20"/>
  <c r="I957" i="20"/>
  <c r="I958" i="20"/>
  <c r="I959" i="20"/>
  <c r="I962" i="20"/>
  <c r="I963" i="20"/>
  <c r="I964" i="20"/>
  <c r="I967" i="20"/>
  <c r="I968" i="20"/>
  <c r="I969" i="20"/>
  <c r="I972" i="20"/>
  <c r="I973" i="20"/>
  <c r="I974" i="20"/>
  <c r="I977" i="20"/>
  <c r="I978" i="20"/>
  <c r="I979" i="20"/>
  <c r="I982" i="20"/>
  <c r="I983" i="20"/>
  <c r="I984" i="20"/>
  <c r="I987" i="20"/>
  <c r="I988" i="20"/>
  <c r="I989" i="20"/>
  <c r="I992" i="20"/>
  <c r="I993" i="20"/>
  <c r="I994" i="20"/>
  <c r="I997" i="20"/>
  <c r="I998" i="20"/>
  <c r="I999" i="20"/>
  <c r="I1002" i="20"/>
  <c r="I1003" i="20"/>
  <c r="I1004" i="20"/>
  <c r="I1007" i="20"/>
  <c r="I1008" i="20"/>
  <c r="I1009" i="20"/>
  <c r="I1012" i="20"/>
  <c r="I1013" i="20"/>
  <c r="I1014" i="20"/>
  <c r="I1017" i="20"/>
  <c r="I1018" i="20"/>
  <c r="I1019" i="20"/>
  <c r="I1022" i="20"/>
  <c r="I1023" i="20"/>
  <c r="I1024" i="20"/>
  <c r="I1027" i="20"/>
  <c r="I1028" i="20"/>
  <c r="I1029" i="20"/>
  <c r="I1032" i="20"/>
  <c r="I1033" i="20"/>
  <c r="I1034" i="20"/>
  <c r="I1037" i="20"/>
  <c r="I1038" i="20"/>
  <c r="I1039" i="20"/>
  <c r="I1042" i="20"/>
  <c r="I1043" i="20"/>
  <c r="I1044" i="20"/>
  <c r="I1047" i="20"/>
  <c r="I1048" i="20"/>
  <c r="I1049" i="20"/>
  <c r="I1052" i="20"/>
  <c r="I1053" i="20"/>
  <c r="I1054" i="20"/>
  <c r="I1057" i="20"/>
  <c r="I1058" i="20"/>
  <c r="I1059" i="20"/>
  <c r="I1062" i="20"/>
  <c r="I1063" i="20"/>
  <c r="I1064" i="20"/>
  <c r="I1067" i="20"/>
  <c r="I1068" i="20"/>
  <c r="I1069" i="20"/>
  <c r="I1072" i="20"/>
  <c r="I1073" i="20"/>
  <c r="I1074" i="20"/>
  <c r="I1077" i="20"/>
  <c r="I1078" i="20"/>
  <c r="I1079" i="20"/>
  <c r="I1082" i="20"/>
  <c r="I1083" i="20"/>
  <c r="I1084" i="20"/>
  <c r="I1087" i="20"/>
  <c r="I1088" i="20"/>
  <c r="I1089" i="20"/>
  <c r="I1092" i="20"/>
  <c r="I1093" i="20"/>
  <c r="I1094" i="20"/>
  <c r="I1097" i="20"/>
  <c r="I1098" i="20"/>
  <c r="I1099" i="20"/>
  <c r="I1102" i="20"/>
  <c r="I1103" i="20"/>
  <c r="I1104" i="20"/>
  <c r="I1107" i="20"/>
  <c r="I1108" i="20"/>
  <c r="I1109" i="20"/>
  <c r="I1112" i="20"/>
  <c r="I1113" i="20"/>
  <c r="I1114" i="20"/>
  <c r="I1117" i="20"/>
  <c r="I1118" i="20"/>
  <c r="I1119" i="20"/>
  <c r="I1122" i="20"/>
  <c r="I1123" i="20"/>
  <c r="I1124" i="20"/>
  <c r="I1127" i="20"/>
  <c r="I1128" i="20"/>
  <c r="I1129" i="20"/>
  <c r="I1132" i="20"/>
  <c r="I1133" i="20"/>
  <c r="I1134" i="20"/>
  <c r="I1137" i="20"/>
  <c r="I1138" i="20"/>
  <c r="I1139" i="20"/>
  <c r="I1142" i="20"/>
  <c r="I1143" i="20"/>
  <c r="I1144" i="20"/>
  <c r="I1147" i="20"/>
  <c r="I1148" i="20"/>
  <c r="I1149" i="20"/>
  <c r="I1152" i="20"/>
  <c r="I1153" i="20"/>
  <c r="I1154" i="20"/>
  <c r="I1157" i="20"/>
  <c r="I1158" i="20"/>
  <c r="I1159" i="20"/>
  <c r="I1162" i="20"/>
  <c r="I1163" i="20"/>
  <c r="I1164" i="20"/>
  <c r="I1167" i="20"/>
  <c r="I1168" i="20"/>
  <c r="I1169" i="20"/>
  <c r="I1170" i="20"/>
  <c r="I1171" i="20"/>
  <c r="I1172" i="20"/>
  <c r="I1173" i="20"/>
  <c r="I1174" i="20"/>
  <c r="I1175" i="20"/>
  <c r="I1176" i="20"/>
  <c r="I1177" i="20"/>
  <c r="I1178" i="20"/>
  <c r="I1179" i="20"/>
  <c r="I1180" i="20"/>
  <c r="I1181" i="20"/>
  <c r="I1182" i="20"/>
  <c r="I1183" i="20"/>
  <c r="I1184" i="20"/>
  <c r="I42" i="20"/>
  <c r="I43" i="20"/>
  <c r="I44" i="20"/>
  <c r="I45" i="20"/>
  <c r="I46" i="20"/>
  <c r="I47" i="20"/>
  <c r="I48" i="20"/>
  <c r="I1237" i="20"/>
  <c r="I49" i="20"/>
  <c r="I50" i="20"/>
  <c r="I51" i="20"/>
  <c r="I53" i="20"/>
  <c r="I54" i="20"/>
  <c r="I55" i="20"/>
  <c r="I1248" i="20"/>
  <c r="I58" i="20"/>
  <c r="I1252" i="20"/>
  <c r="I60" i="20"/>
  <c r="I61" i="20"/>
  <c r="I1256" i="20"/>
  <c r="I63" i="20"/>
  <c r="I64" i="20"/>
  <c r="I65" i="20"/>
  <c r="I66" i="20"/>
  <c r="I68" i="20"/>
  <c r="I1264" i="20"/>
  <c r="I70" i="20"/>
  <c r="I71" i="20"/>
  <c r="I73" i="20"/>
  <c r="I74" i="20"/>
  <c r="I75" i="20"/>
  <c r="I1273" i="20"/>
  <c r="I78" i="20"/>
  <c r="I1278" i="20"/>
  <c r="I80" i="20"/>
  <c r="I81" i="20"/>
  <c r="I1282" i="20"/>
  <c r="I83" i="20"/>
  <c r="I84" i="20"/>
  <c r="I85" i="20"/>
  <c r="I86" i="20"/>
  <c r="I88" i="20"/>
  <c r="I89" i="20"/>
  <c r="I1290" i="20"/>
  <c r="I91" i="20"/>
  <c r="I1296" i="20"/>
  <c r="I94" i="20"/>
  <c r="I95" i="20"/>
  <c r="I96" i="20"/>
  <c r="I98" i="20"/>
  <c r="I99" i="20"/>
  <c r="I100" i="20"/>
  <c r="I1306" i="20"/>
  <c r="I103" i="20"/>
  <c r="I1310" i="20"/>
  <c r="I105" i="20"/>
  <c r="I106" i="20"/>
  <c r="I108" i="20"/>
  <c r="I109" i="20"/>
  <c r="I110" i="20"/>
  <c r="I1318" i="20"/>
  <c r="I113" i="20"/>
  <c r="I1322" i="20"/>
  <c r="I115" i="20"/>
  <c r="I116" i="20"/>
  <c r="I1326" i="20"/>
  <c r="I118" i="20"/>
  <c r="I119" i="20"/>
  <c r="I120" i="20"/>
  <c r="I121" i="20"/>
  <c r="I123" i="20"/>
  <c r="I124" i="20"/>
  <c r="I1334" i="20"/>
  <c r="I126" i="20"/>
  <c r="I1338" i="20"/>
  <c r="I129" i="20"/>
  <c r="I130" i="20"/>
  <c r="I131" i="20"/>
  <c r="I133" i="20"/>
  <c r="I1346" i="20"/>
  <c r="I135" i="20"/>
  <c r="I136" i="20"/>
  <c r="I1350" i="20"/>
  <c r="I138" i="20"/>
  <c r="I139" i="20"/>
  <c r="I140" i="20"/>
  <c r="I141" i="20"/>
  <c r="I143" i="20"/>
  <c r="I144" i="20"/>
  <c r="I1358" i="20"/>
  <c r="I146" i="20"/>
  <c r="I1362" i="20"/>
  <c r="I149" i="20"/>
  <c r="I150" i="20"/>
  <c r="I151" i="20"/>
  <c r="I153" i="20"/>
  <c r="I154" i="20"/>
  <c r="I155" i="20"/>
  <c r="I1370" i="20"/>
  <c r="I158" i="20"/>
  <c r="I160" i="20"/>
  <c r="I161" i="20"/>
  <c r="I1380" i="20"/>
  <c r="I163" i="20"/>
  <c r="I164" i="20"/>
  <c r="I165" i="20"/>
  <c r="I166" i="20"/>
  <c r="I168" i="20"/>
  <c r="I169" i="20"/>
  <c r="I1389" i="20"/>
  <c r="I171" i="20"/>
  <c r="I1394" i="20"/>
  <c r="I174" i="20"/>
  <c r="I175" i="20"/>
  <c r="I176" i="20"/>
  <c r="I178" i="20"/>
  <c r="I179" i="20"/>
  <c r="I180" i="20"/>
  <c r="I1408" i="20"/>
  <c r="I183" i="20"/>
  <c r="I1412" i="20"/>
  <c r="I185" i="20"/>
  <c r="I186" i="20"/>
  <c r="I1416" i="20"/>
  <c r="I188" i="20"/>
  <c r="I189" i="20"/>
  <c r="I190" i="20"/>
  <c r="I191" i="20"/>
  <c r="I193" i="20"/>
  <c r="I194" i="20"/>
  <c r="I1424" i="20"/>
  <c r="I196" i="20"/>
  <c r="I1428" i="20"/>
  <c r="I199" i="20"/>
  <c r="I200" i="20"/>
  <c r="I201" i="20"/>
  <c r="I203" i="20"/>
  <c r="I204" i="20"/>
  <c r="I205" i="20"/>
  <c r="I1436" i="20"/>
  <c r="I208" i="20"/>
  <c r="I1440" i="20"/>
  <c r="I210" i="20"/>
  <c r="I211" i="20"/>
  <c r="I1444" i="20"/>
  <c r="I213" i="20"/>
  <c r="I214" i="20"/>
  <c r="I215" i="20"/>
  <c r="I216" i="20"/>
  <c r="I218" i="20"/>
  <c r="I219" i="20"/>
  <c r="I1452" i="20"/>
  <c r="I221" i="20"/>
  <c r="I1456" i="20"/>
  <c r="I224" i="20"/>
  <c r="I225" i="20"/>
  <c r="I226" i="20"/>
  <c r="I228" i="20"/>
  <c r="I229" i="20"/>
  <c r="I1464" i="20"/>
  <c r="I231" i="20"/>
  <c r="I1468" i="20"/>
  <c r="I234" i="20"/>
  <c r="I235" i="20"/>
  <c r="I236" i="20"/>
  <c r="I238" i="20"/>
  <c r="I239" i="20"/>
  <c r="I240" i="20"/>
  <c r="I1476" i="20"/>
  <c r="I1480" i="20"/>
  <c r="I244" i="20"/>
  <c r="I245" i="20"/>
  <c r="I246" i="20"/>
  <c r="I248" i="20"/>
  <c r="I249" i="20"/>
  <c r="I250" i="20"/>
  <c r="I1526" i="20"/>
  <c r="I253" i="20"/>
  <c r="I254" i="20"/>
  <c r="I255" i="20"/>
  <c r="I1544" i="20"/>
  <c r="I258" i="20"/>
  <c r="I1569" i="20"/>
  <c r="I260" i="20"/>
  <c r="I261" i="20"/>
  <c r="I263" i="20"/>
  <c r="I264" i="20"/>
  <c r="I265" i="20"/>
  <c r="I266" i="20"/>
  <c r="I268" i="20"/>
  <c r="I269" i="20"/>
  <c r="I270" i="20"/>
  <c r="I271" i="20"/>
  <c r="I273" i="20"/>
  <c r="I274" i="20"/>
  <c r="I275" i="20"/>
  <c r="I276" i="20"/>
  <c r="I278" i="20"/>
  <c r="I279" i="20"/>
  <c r="I280" i="20"/>
  <c r="I281" i="20"/>
  <c r="I283" i="20"/>
  <c r="I284" i="20"/>
  <c r="I285" i="20"/>
  <c r="I286" i="20"/>
  <c r="I288" i="20"/>
  <c r="I289" i="20"/>
  <c r="I290" i="20"/>
  <c r="I291" i="20"/>
  <c r="I293" i="20"/>
  <c r="I294" i="20"/>
  <c r="I295" i="20"/>
  <c r="I296" i="20"/>
  <c r="I298" i="20"/>
  <c r="I299" i="20"/>
  <c r="I300" i="20"/>
  <c r="I301" i="20"/>
  <c r="I303" i="20"/>
  <c r="I304" i="20"/>
  <c r="I305" i="20"/>
  <c r="I306" i="20"/>
  <c r="I308" i="20"/>
  <c r="I309" i="20"/>
  <c r="I310" i="20"/>
  <c r="I311" i="20"/>
  <c r="I313" i="20"/>
  <c r="I314" i="20"/>
  <c r="I315" i="20"/>
  <c r="I316" i="20"/>
  <c r="I318" i="20"/>
  <c r="I319" i="20"/>
  <c r="I320" i="20"/>
  <c r="I321" i="20"/>
  <c r="I323" i="20"/>
  <c r="I324" i="20"/>
  <c r="I325" i="20"/>
  <c r="I326" i="20"/>
  <c r="I328" i="20"/>
  <c r="I329" i="20"/>
  <c r="I330" i="20"/>
  <c r="I331" i="20"/>
  <c r="I333" i="20"/>
  <c r="I334" i="20"/>
  <c r="I335" i="20"/>
  <c r="I336" i="20"/>
  <c r="I338" i="20"/>
  <c r="I339" i="20"/>
  <c r="I340" i="20"/>
  <c r="I341" i="20"/>
  <c r="I343" i="20"/>
  <c r="I344" i="20"/>
  <c r="I345" i="20"/>
  <c r="I346" i="20"/>
  <c r="I348" i="20"/>
  <c r="I349" i="20"/>
  <c r="I350" i="20"/>
  <c r="I351" i="20"/>
  <c r="I353" i="20"/>
  <c r="I354" i="20"/>
  <c r="I355" i="20"/>
  <c r="I356" i="20"/>
  <c r="I358" i="20"/>
  <c r="I359" i="20"/>
  <c r="I360" i="20"/>
  <c r="I361" i="20"/>
  <c r="I363" i="20"/>
  <c r="I364" i="20"/>
  <c r="I365" i="20"/>
  <c r="I366" i="20"/>
  <c r="I368" i="20"/>
  <c r="I369" i="20"/>
  <c r="I370" i="20"/>
  <c r="I371" i="20"/>
  <c r="I373" i="20"/>
  <c r="I374" i="20"/>
  <c r="I375" i="20"/>
  <c r="I376" i="20"/>
  <c r="I377" i="20"/>
  <c r="I378" i="20"/>
  <c r="I379" i="20"/>
  <c r="I380" i="20"/>
  <c r="I381" i="20"/>
  <c r="I382" i="20"/>
  <c r="I383" i="20"/>
  <c r="I384" i="20"/>
  <c r="I385" i="20"/>
  <c r="I386" i="20"/>
  <c r="I387" i="20"/>
  <c r="I388" i="20"/>
  <c r="I389" i="20"/>
  <c r="I390" i="20"/>
  <c r="I391" i="20"/>
  <c r="I392" i="20"/>
  <c r="I393" i="20"/>
  <c r="I394" i="20"/>
  <c r="I395" i="20"/>
  <c r="I396" i="20"/>
  <c r="I397" i="20"/>
  <c r="I398" i="20"/>
  <c r="I399" i="20"/>
  <c r="I400" i="20"/>
  <c r="I401" i="20"/>
  <c r="I402" i="20"/>
  <c r="I403" i="20"/>
  <c r="I404" i="20"/>
  <c r="I405" i="20"/>
  <c r="I406" i="20"/>
  <c r="I407" i="20"/>
  <c r="I408" i="20"/>
  <c r="I409" i="20"/>
  <c r="I410" i="20"/>
  <c r="I411" i="20"/>
  <c r="I412" i="20"/>
  <c r="I413" i="20"/>
  <c r="I414" i="20"/>
  <c r="I415" i="20"/>
  <c r="I416" i="20"/>
  <c r="I417" i="20"/>
  <c r="I418" i="20"/>
  <c r="I419" i="20"/>
  <c r="I420" i="20"/>
  <c r="I421" i="20"/>
  <c r="I422" i="20"/>
  <c r="I423" i="20"/>
  <c r="I424" i="20"/>
  <c r="I425" i="20"/>
  <c r="I426" i="20"/>
  <c r="I427" i="20"/>
  <c r="I428" i="20"/>
  <c r="I429" i="20"/>
  <c r="I430" i="20"/>
  <c r="I431" i="20"/>
  <c r="I432" i="20"/>
  <c r="I433" i="20"/>
  <c r="I434" i="20"/>
  <c r="I435" i="20"/>
  <c r="I436" i="20"/>
  <c r="I437" i="20"/>
  <c r="I438" i="20"/>
  <c r="I439" i="20"/>
  <c r="I440" i="20"/>
  <c r="I441" i="20"/>
  <c r="I442" i="20"/>
  <c r="I443" i="20"/>
  <c r="I444" i="20"/>
  <c r="I445" i="20"/>
  <c r="I446" i="20"/>
  <c r="I447" i="20"/>
  <c r="I448" i="20"/>
  <c r="I449" i="20"/>
  <c r="I450" i="20"/>
  <c r="I451" i="20"/>
  <c r="I452" i="20"/>
  <c r="I453" i="20"/>
  <c r="I454" i="20"/>
  <c r="I455" i="20"/>
  <c r="I456" i="20"/>
  <c r="I457" i="20"/>
  <c r="I458" i="20"/>
  <c r="I459" i="20"/>
  <c r="I460" i="20"/>
  <c r="I461" i="20"/>
  <c r="I462" i="20"/>
  <c r="I463" i="20"/>
  <c r="I464" i="20"/>
  <c r="I465" i="20"/>
  <c r="I466" i="20"/>
  <c r="I467" i="20"/>
  <c r="I468" i="20"/>
  <c r="I469" i="20"/>
  <c r="I470" i="20"/>
  <c r="I471" i="20"/>
  <c r="I472" i="20"/>
  <c r="I473" i="20"/>
  <c r="I474" i="20"/>
  <c r="I475" i="20"/>
  <c r="I476" i="20"/>
  <c r="I477" i="20"/>
  <c r="I478" i="20"/>
  <c r="I479" i="20"/>
  <c r="I480" i="20"/>
  <c r="I481" i="20"/>
  <c r="I482" i="20"/>
  <c r="I483" i="20"/>
  <c r="I484" i="20"/>
  <c r="I485" i="20"/>
  <c r="I486" i="20"/>
  <c r="I487" i="20"/>
  <c r="I488" i="20"/>
  <c r="I489" i="20"/>
  <c r="I490" i="20"/>
  <c r="I491" i="20"/>
  <c r="I492" i="20"/>
  <c r="I493" i="20"/>
  <c r="I494" i="20"/>
  <c r="I495" i="20"/>
  <c r="I496" i="20"/>
  <c r="I497" i="20"/>
  <c r="I498" i="20"/>
  <c r="I499" i="20"/>
  <c r="I500" i="20"/>
  <c r="I501" i="20"/>
  <c r="I502" i="20"/>
  <c r="I503" i="20"/>
  <c r="I504" i="20"/>
  <c r="I505" i="20"/>
  <c r="I506" i="20"/>
  <c r="I507" i="20"/>
  <c r="I508" i="20"/>
  <c r="I509" i="20"/>
  <c r="I510" i="20"/>
  <c r="I511" i="20"/>
  <c r="I512" i="20"/>
  <c r="I513" i="20"/>
  <c r="I514" i="20"/>
  <c r="I515" i="20"/>
  <c r="I516" i="20"/>
  <c r="I517" i="20"/>
  <c r="I518" i="20"/>
  <c r="I519" i="20"/>
  <c r="I520" i="20"/>
  <c r="I521" i="20"/>
  <c r="I522" i="20"/>
  <c r="I523" i="20"/>
  <c r="I524" i="20"/>
  <c r="I525" i="20"/>
  <c r="I526" i="20"/>
  <c r="I527" i="20"/>
  <c r="I528" i="20"/>
  <c r="I529" i="20"/>
  <c r="I530" i="20"/>
  <c r="I531" i="20"/>
  <c r="I532" i="20"/>
  <c r="I533" i="20"/>
  <c r="I534" i="20"/>
  <c r="I535" i="20"/>
  <c r="I536" i="20"/>
  <c r="I537" i="20"/>
  <c r="I538" i="20"/>
  <c r="I539" i="20"/>
  <c r="I540" i="20"/>
  <c r="I541" i="20"/>
  <c r="I542" i="20"/>
  <c r="I543" i="20"/>
  <c r="I544" i="20"/>
  <c r="I545" i="20"/>
  <c r="I546" i="20"/>
  <c r="I547" i="20"/>
  <c r="I548" i="20"/>
  <c r="I549" i="20"/>
  <c r="I550" i="20"/>
  <c r="I551" i="20"/>
  <c r="I552" i="20"/>
  <c r="I553" i="20"/>
  <c r="I554" i="20"/>
  <c r="I555" i="20"/>
  <c r="I556" i="20"/>
  <c r="I557" i="20"/>
  <c r="I558" i="20"/>
  <c r="I559" i="20"/>
  <c r="I560" i="20"/>
  <c r="I561" i="20"/>
  <c r="I562" i="20"/>
  <c r="I563" i="20"/>
  <c r="I564" i="20"/>
  <c r="I565" i="20"/>
  <c r="I566" i="20"/>
  <c r="I567" i="20"/>
  <c r="I568" i="20"/>
  <c r="I569" i="20"/>
  <c r="I570" i="20"/>
  <c r="I571" i="20"/>
  <c r="I572" i="20"/>
  <c r="I573" i="20"/>
  <c r="I574" i="20"/>
  <c r="I575" i="20"/>
  <c r="I576" i="20"/>
  <c r="I577" i="20"/>
  <c r="I578" i="20"/>
  <c r="I579" i="20"/>
  <c r="I580" i="20"/>
  <c r="I581" i="20"/>
  <c r="I582" i="20"/>
  <c r="I583" i="20"/>
  <c r="I584" i="20"/>
  <c r="I585" i="20"/>
  <c r="I586" i="20"/>
  <c r="I587" i="20"/>
  <c r="I588" i="20"/>
  <c r="I589" i="20"/>
  <c r="I590" i="20"/>
  <c r="I591" i="20"/>
  <c r="D3" i="20"/>
  <c r="A3" i="20"/>
  <c r="X767" i="20"/>
  <c r="X1114" i="20"/>
  <c r="X844" i="20"/>
  <c r="X922" i="20"/>
  <c r="X226" i="20"/>
  <c r="X970" i="20"/>
  <c r="X1584" i="20"/>
  <c r="X480" i="20"/>
  <c r="X776" i="20"/>
  <c r="X1395" i="20"/>
  <c r="X1944" i="20"/>
  <c r="X782" i="20"/>
  <c r="X916" i="20"/>
  <c r="X204" i="20"/>
  <c r="X261" i="20"/>
  <c r="X924" i="20"/>
  <c r="X985" i="20"/>
  <c r="X1808" i="20"/>
  <c r="X1371" i="20"/>
  <c r="X1122" i="20"/>
  <c r="X1330" i="20"/>
  <c r="X1531" i="20"/>
  <c r="X688" i="20"/>
  <c r="X989" i="20"/>
  <c r="X622" i="20"/>
  <c r="X1367" i="20"/>
  <c r="X267" i="20"/>
  <c r="X545" i="20"/>
  <c r="X1686" i="20"/>
  <c r="X717" i="20"/>
  <c r="X919" i="20"/>
  <c r="X146" i="20"/>
  <c r="X58" i="20"/>
  <c r="X97" i="20"/>
  <c r="X1844" i="20"/>
  <c r="X1099" i="20"/>
  <c r="X272" i="20"/>
  <c r="X80" i="20"/>
  <c r="X339" i="20"/>
  <c r="X1554" i="20"/>
  <c r="X295" i="20"/>
  <c r="X46" i="20"/>
  <c r="X77" i="20"/>
  <c r="X861" i="20"/>
  <c r="X1485" i="20"/>
  <c r="X1333" i="20"/>
  <c r="X1098" i="20"/>
  <c r="X171" i="20"/>
  <c r="X1348" i="20"/>
  <c r="X721" i="20"/>
  <c r="X1151" i="20"/>
  <c r="X1282" i="20"/>
  <c r="X1433" i="20"/>
  <c r="X1553" i="20"/>
  <c r="X317" i="20"/>
  <c r="X1356" i="20"/>
  <c r="X1017" i="20"/>
  <c r="X72" i="20"/>
  <c r="X1021" i="20"/>
  <c r="X481" i="20"/>
  <c r="X1288" i="20"/>
  <c r="X596" i="20"/>
  <c r="X1545" i="20"/>
  <c r="X576" i="20"/>
  <c r="X316" i="20"/>
  <c r="X306" i="20"/>
  <c r="X731" i="20"/>
  <c r="X147" i="20"/>
  <c r="X74" i="20"/>
  <c r="X1002" i="20"/>
  <c r="X513" i="20"/>
  <c r="X881" i="20"/>
  <c r="X1647" i="20"/>
  <c r="X784" i="20"/>
  <c r="X770" i="20"/>
  <c r="X1146" i="20"/>
  <c r="X1440" i="20"/>
  <c r="X1398" i="20"/>
  <c r="X189" i="20"/>
  <c r="X1365" i="20"/>
  <c r="X1375" i="20"/>
  <c r="X572" i="20"/>
  <c r="X749" i="20"/>
  <c r="X332" i="20"/>
  <c r="X133" i="20"/>
  <c r="X1734" i="20"/>
  <c r="X549" i="20"/>
  <c r="X274" i="20"/>
  <c r="X1852" i="20"/>
  <c r="X87" i="20"/>
  <c r="X841" i="20"/>
  <c r="X125" i="20"/>
  <c r="X159" i="20"/>
  <c r="X1547" i="20"/>
  <c r="X583" i="20"/>
  <c r="X1464" i="20"/>
  <c r="X303" i="20"/>
  <c r="X1894" i="20"/>
  <c r="X1036" i="20"/>
  <c r="X670" i="20"/>
  <c r="X1329" i="20"/>
  <c r="X118" i="20"/>
  <c r="X1138" i="20"/>
  <c r="X330" i="20"/>
  <c r="X1529" i="20"/>
  <c r="X792" i="20"/>
  <c r="X1279" i="20"/>
  <c r="X1303" i="20"/>
  <c r="X1336" i="20"/>
  <c r="X686" i="20"/>
  <c r="X1154" i="20"/>
  <c r="X1394" i="20"/>
  <c r="X584" i="20"/>
  <c r="X69" i="20"/>
  <c r="X282" i="20"/>
  <c r="X1952" i="20"/>
  <c r="X338" i="20"/>
  <c r="X677" i="20"/>
  <c r="X695" i="20"/>
  <c r="X251" i="20"/>
  <c r="X341" i="20"/>
  <c r="X1096" i="20"/>
  <c r="X288" i="20"/>
  <c r="X1129" i="20"/>
  <c r="X1294" i="20"/>
  <c r="X1474" i="20"/>
  <c r="X626" i="20"/>
  <c r="X1130" i="20"/>
  <c r="X665" i="20"/>
  <c r="X586" i="20"/>
  <c r="X375" i="20"/>
  <c r="X666" i="20"/>
  <c r="X667" i="20"/>
  <c r="X1306" i="20"/>
  <c r="X952" i="20"/>
  <c r="X710" i="20"/>
  <c r="X1756" i="20"/>
  <c r="X575" i="20"/>
  <c r="X1058" i="20"/>
  <c r="X1316" i="20"/>
  <c r="X65" i="20"/>
  <c r="X559" i="20"/>
  <c r="X951" i="20"/>
  <c r="X1453" i="20"/>
  <c r="X528" i="20"/>
  <c r="X1654" i="20"/>
  <c r="X1526" i="20"/>
  <c r="X864" i="20"/>
  <c r="X660" i="20"/>
  <c r="X1848" i="20"/>
  <c r="X679" i="20"/>
  <c r="X1276" i="20"/>
  <c r="X570" i="20"/>
  <c r="X1880" i="20"/>
  <c r="X1854" i="20"/>
  <c r="X1872" i="20"/>
  <c r="X1836" i="20"/>
  <c r="X1043" i="20"/>
  <c r="X1420" i="20"/>
  <c r="X793" i="20"/>
  <c r="X633" i="20"/>
  <c r="X1134" i="20"/>
  <c r="X1564" i="20"/>
  <c r="X848" i="20"/>
  <c r="X1728" i="20"/>
  <c r="X1084" i="20"/>
  <c r="X178" i="20"/>
  <c r="X211" i="20"/>
  <c r="X1325" i="20"/>
  <c r="X61" i="20"/>
  <c r="X1018" i="20"/>
  <c r="X1111" i="20"/>
  <c r="X1550" i="20"/>
  <c r="X1313" i="20"/>
  <c r="X884" i="20"/>
  <c r="X183" i="20"/>
  <c r="X299" i="20"/>
  <c r="X1007" i="20"/>
  <c r="X591" i="20"/>
  <c r="X259" i="20"/>
  <c r="X174" i="20"/>
  <c r="X930" i="20"/>
  <c r="X631" i="20"/>
  <c r="X857" i="20"/>
  <c r="X608" i="20"/>
  <c r="X718" i="20"/>
  <c r="X170" i="20"/>
  <c r="X1131" i="20"/>
  <c r="X76" i="20"/>
  <c r="X994" i="20"/>
  <c r="X331" i="20"/>
  <c r="X1358" i="20"/>
  <c r="X116" i="20"/>
  <c r="X1998" i="20"/>
  <c r="X1081" i="20"/>
  <c r="X60" i="20"/>
  <c r="X712" i="20"/>
  <c r="X910" i="20"/>
  <c r="X1462" i="20"/>
  <c r="X635" i="20"/>
  <c r="X954" i="20"/>
  <c r="X1097" i="20"/>
  <c r="X121" i="20"/>
  <c r="X127" i="20"/>
  <c r="X1451" i="20"/>
  <c r="X333" i="20"/>
  <c r="X1694" i="20"/>
  <c r="X1060" i="20"/>
  <c r="X756" i="20"/>
  <c r="X516" i="20"/>
  <c r="X229" i="20"/>
  <c r="X340" i="20"/>
  <c r="X758" i="20"/>
  <c r="X1838" i="20"/>
  <c r="X1384" i="20"/>
  <c r="X1388" i="20"/>
  <c r="X654" i="20"/>
  <c r="X242" i="20"/>
  <c r="X275" i="20"/>
  <c r="X1828" i="20"/>
  <c r="X1748" i="20"/>
  <c r="X104" i="20"/>
  <c r="X499" i="20"/>
  <c r="X1884" i="20"/>
  <c r="X354" i="20"/>
  <c r="X1019" i="20"/>
  <c r="X85" i="20"/>
  <c r="X1573" i="20"/>
  <c r="X625" i="20"/>
  <c r="X850" i="20"/>
  <c r="X237" i="20"/>
  <c r="X641" i="20"/>
  <c r="X1483" i="20"/>
  <c r="X1522" i="20"/>
  <c r="X882" i="20"/>
  <c r="X137" i="20"/>
  <c r="X991" i="20"/>
  <c r="X1389" i="20"/>
  <c r="X1118" i="20"/>
  <c r="X244" i="20"/>
  <c r="X1674" i="20"/>
  <c r="X1136" i="20"/>
  <c r="X1560" i="20"/>
  <c r="X1768" i="20"/>
  <c r="X624" i="20"/>
  <c r="X1051" i="20"/>
  <c r="X995" i="20"/>
  <c r="X1939" i="20"/>
  <c r="X1169" i="20"/>
  <c r="X579" i="20"/>
  <c r="X637" i="20"/>
  <c r="X1135" i="20"/>
  <c r="X901" i="20"/>
  <c r="X555" i="20"/>
  <c r="X1942" i="20"/>
  <c r="X1901" i="20"/>
  <c r="X273" i="20"/>
  <c r="X162" i="20"/>
  <c r="X748" i="20"/>
  <c r="X1428" i="20"/>
  <c r="X96" i="20"/>
  <c r="X1142" i="20"/>
  <c r="X1447" i="20"/>
  <c r="X187" i="20"/>
  <c r="X779" i="20"/>
  <c r="X998" i="20"/>
  <c r="X312" i="20"/>
  <c r="X1539" i="20"/>
  <c r="X49" i="20"/>
  <c r="X142" i="20"/>
  <c r="X867" i="20"/>
  <c r="X1648" i="20"/>
  <c r="X231" i="20"/>
  <c r="X1309" i="20"/>
  <c r="X145" i="20"/>
  <c r="X955" i="20"/>
  <c r="X880" i="20"/>
  <c r="X891" i="20"/>
  <c r="X571" i="20"/>
  <c r="X1858" i="20"/>
  <c r="X597" i="20"/>
  <c r="X1452" i="20"/>
  <c r="X1297" i="20"/>
  <c r="X521" i="20"/>
  <c r="X1152" i="20"/>
  <c r="X964" i="20"/>
  <c r="X577" i="20"/>
  <c r="X689" i="20"/>
  <c r="X685" i="20"/>
  <c r="X1943" i="20"/>
  <c r="X1346" i="20"/>
  <c r="X698" i="20"/>
  <c r="X546" i="20"/>
  <c r="X151" i="20"/>
  <c r="X965" i="20"/>
  <c r="X1344" i="20"/>
  <c r="X352" i="20"/>
  <c r="X192" i="20"/>
  <c r="X1536" i="20"/>
  <c r="X349" i="20"/>
  <c r="X946" i="20"/>
  <c r="X277" i="20"/>
  <c r="X1574" i="20"/>
  <c r="X558" i="20"/>
  <c r="X969" i="20"/>
  <c r="X923" i="20"/>
  <c r="X190" i="20"/>
  <c r="X556" i="20"/>
  <c r="X871" i="20"/>
  <c r="X639" i="20"/>
  <c r="X233" i="20"/>
  <c r="X1535" i="20"/>
  <c r="X1317" i="20"/>
  <c r="X1292" i="20"/>
  <c r="X1559" i="20"/>
  <c r="X725" i="20"/>
  <c r="X1055" i="20"/>
  <c r="X978" i="20"/>
  <c r="X254" i="20"/>
  <c r="X168" i="20"/>
  <c r="X205" i="20"/>
  <c r="X1373" i="20"/>
  <c r="X564" i="20"/>
  <c r="X488" i="20"/>
  <c r="X1938" i="20"/>
  <c r="X600" i="20"/>
  <c r="X1147" i="20"/>
  <c r="X1816" i="20"/>
  <c r="X988" i="20"/>
  <c r="X759" i="20"/>
  <c r="X1359" i="20"/>
  <c r="X1653" i="20"/>
  <c r="X696" i="20"/>
  <c r="X1774" i="20"/>
  <c r="X1299" i="20"/>
  <c r="X619" i="20"/>
  <c r="X64" i="20"/>
  <c r="X650" i="20"/>
  <c r="X963" i="20"/>
  <c r="X1458" i="20"/>
  <c r="X724" i="20"/>
  <c r="X1467" i="20"/>
  <c r="X872" i="20"/>
  <c r="X1881" i="20"/>
  <c r="X720" i="20"/>
  <c r="X1567" i="20"/>
  <c r="X130" i="20"/>
  <c r="X557" i="20"/>
  <c r="X1400" i="20"/>
  <c r="X1895" i="20"/>
  <c r="X1558" i="20"/>
  <c r="X760" i="20"/>
  <c r="X487" i="20"/>
  <c r="X1524" i="20"/>
  <c r="X1319" i="20"/>
  <c r="X1104" i="20"/>
  <c r="X308" i="20"/>
  <c r="X747" i="20"/>
  <c r="X1335" i="20"/>
  <c r="X895" i="20"/>
  <c r="X1117" i="20"/>
  <c r="X1066" i="20"/>
  <c r="X1478" i="20"/>
  <c r="X726" i="20"/>
  <c r="X1632" i="20"/>
  <c r="X527" i="20"/>
  <c r="X578" i="20"/>
  <c r="X1899" i="20"/>
  <c r="X161" i="20"/>
  <c r="X605" i="20"/>
  <c r="X598" i="20"/>
  <c r="X1441" i="20"/>
  <c r="X1946" i="20"/>
  <c r="X1511" i="20"/>
  <c r="X772" i="20"/>
  <c r="X207" i="20"/>
  <c r="X561" i="20"/>
  <c r="X314" i="20"/>
  <c r="X1676" i="20"/>
  <c r="X604" i="20"/>
  <c r="X1006" i="20"/>
  <c r="X1503" i="20"/>
  <c r="X1345" i="20"/>
  <c r="X912" i="20"/>
  <c r="X1076" i="20"/>
  <c r="X1472" i="20"/>
  <c r="X1666" i="20"/>
  <c r="X638" i="20"/>
  <c r="X642" i="20"/>
  <c r="X71" i="20"/>
  <c r="X1000" i="20"/>
  <c r="X875" i="20"/>
  <c r="X1945" i="20"/>
  <c r="X1318" i="20"/>
  <c r="X1788" i="20"/>
  <c r="X1482" i="20"/>
  <c r="X1591" i="20"/>
  <c r="X490" i="20"/>
  <c r="X613" i="20"/>
  <c r="X318" i="20"/>
  <c r="X1424" i="20"/>
  <c r="X1295" i="20"/>
  <c r="X927" i="20"/>
  <c r="X1543" i="20"/>
  <c r="X188" i="20"/>
  <c r="X925" i="20"/>
  <c r="X702" i="20"/>
  <c r="X1064" i="20"/>
  <c r="X1364" i="20"/>
  <c r="X502" i="20"/>
  <c r="X535" i="20"/>
  <c r="X661" i="20"/>
  <c r="X1023" i="20"/>
  <c r="X356" i="20"/>
  <c r="X1361" i="20"/>
  <c r="X56" i="20"/>
  <c r="X99" i="20"/>
  <c r="X1033" i="20"/>
  <c r="X1416" i="20"/>
  <c r="X692" i="20"/>
  <c r="X567" i="20"/>
  <c r="X1105" i="20"/>
  <c r="X657" i="20"/>
  <c r="X1868" i="20"/>
  <c r="X1340" i="20"/>
  <c r="X1121" i="20"/>
  <c r="X548" i="20"/>
  <c r="X115" i="20"/>
  <c r="X1050" i="20"/>
  <c r="X501" i="20"/>
  <c r="X1797" i="20"/>
  <c r="X1824" i="20"/>
  <c r="X858" i="20"/>
  <c r="X1508" i="20"/>
  <c r="X1449" i="20"/>
  <c r="X266" i="20"/>
  <c r="X493" i="20"/>
  <c r="X1042" i="20"/>
  <c r="X671" i="20"/>
  <c r="X209" i="20"/>
  <c r="X206" i="20"/>
  <c r="X224" i="20"/>
  <c r="X1589" i="20"/>
  <c r="X980" i="20"/>
  <c r="X281" i="20"/>
  <c r="X1439" i="20"/>
  <c r="X55" i="20"/>
  <c r="X1443" i="20"/>
  <c r="X524" i="20"/>
  <c r="X1484" i="20"/>
  <c r="X1578" i="20"/>
  <c r="X1314" i="20"/>
  <c r="X716" i="20"/>
  <c r="X1493" i="20"/>
  <c r="X1463" i="20"/>
  <c r="X771" i="20"/>
  <c r="X1860" i="20"/>
  <c r="X1163" i="20"/>
  <c r="X1490" i="20"/>
  <c r="X1864" i="20"/>
  <c r="X1038" i="20"/>
  <c r="X305" i="20"/>
  <c r="X70" i="20"/>
  <c r="X1557" i="20"/>
  <c r="X1712" i="20"/>
  <c r="X1379" i="20"/>
  <c r="X842" i="20"/>
  <c r="X182" i="20"/>
  <c r="X764" i="20"/>
  <c r="X1285" i="20"/>
  <c r="X909" i="20"/>
  <c r="X297" i="20"/>
  <c r="X1532" i="20"/>
  <c r="X165" i="20"/>
  <c r="X1586" i="20"/>
  <c r="X979" i="20"/>
  <c r="X1035" i="20"/>
  <c r="X547" i="20"/>
  <c r="X1392" i="20"/>
  <c r="X778" i="20"/>
  <c r="X1507" i="20"/>
  <c r="X141" i="20"/>
  <c r="X1999" i="20"/>
  <c r="X326" i="20"/>
  <c r="X645" i="20"/>
  <c r="X302" i="20"/>
  <c r="X1651" i="20"/>
  <c r="X1702" i="20"/>
  <c r="X538" i="20"/>
  <c r="X1132" i="20"/>
  <c r="X1772" i="20"/>
  <c r="X361" i="20"/>
  <c r="X620" i="20"/>
  <c r="X1016" i="20"/>
  <c r="X1351" i="20"/>
  <c r="X898" i="20"/>
  <c r="X1690" i="20"/>
  <c r="X942" i="20"/>
  <c r="X1486" i="20"/>
  <c r="X1347" i="20"/>
  <c r="X902" i="20"/>
  <c r="X300" i="20"/>
  <c r="X540" i="20"/>
  <c r="X324" i="20"/>
  <c r="X247" i="20"/>
  <c r="X1480" i="20"/>
  <c r="X291" i="20"/>
  <c r="X176" i="20"/>
  <c r="X112" i="20"/>
  <c r="X525" i="20"/>
  <c r="X1077" i="20"/>
  <c r="X1766" i="20"/>
  <c r="X529" i="20"/>
  <c r="X152" i="20"/>
  <c r="X905" i="20"/>
  <c r="X122" i="20"/>
  <c r="X700" i="20"/>
  <c r="X1113" i="20"/>
  <c r="X153" i="20"/>
  <c r="X355" i="20"/>
  <c r="X1308" i="20"/>
  <c r="X1094" i="20"/>
  <c r="X1030" i="20"/>
  <c r="X1722" i="20"/>
  <c r="X1369" i="20"/>
  <c r="X79" i="20"/>
  <c r="X1046" i="20"/>
  <c r="X588" i="20"/>
  <c r="X1794" i="20"/>
  <c r="X180" i="20"/>
  <c r="X1052" i="20"/>
  <c r="X1534" i="20"/>
  <c r="X90" i="20"/>
  <c r="X1074" i="20"/>
  <c r="X532" i="20"/>
  <c r="X1856" i="20"/>
  <c r="X294" i="20"/>
  <c r="X1338" i="20"/>
  <c r="X1141" i="20"/>
  <c r="X1107" i="20"/>
  <c r="X1048" i="20"/>
  <c r="X723" i="20"/>
  <c r="X248" i="20"/>
  <c r="X1569" i="20"/>
  <c r="X738" i="20"/>
  <c r="X62" i="20"/>
  <c r="X757" i="20"/>
  <c r="X603" i="20"/>
  <c r="X1572" i="20"/>
  <c r="X975" i="20"/>
  <c r="X1093" i="20"/>
  <c r="X201" i="20"/>
  <c r="X669" i="20"/>
  <c r="X1426" i="20"/>
  <c r="X1343" i="20"/>
  <c r="X368" i="20"/>
  <c r="X552" i="20"/>
  <c r="X1778" i="20"/>
  <c r="X289" i="20"/>
  <c r="X307" i="20"/>
  <c r="X489" i="20"/>
  <c r="X1056" i="20"/>
  <c r="X82" i="20"/>
  <c r="X1454" i="20"/>
  <c r="X707" i="20"/>
  <c r="X1374" i="20"/>
  <c r="X1015" i="20"/>
  <c r="X996" i="20"/>
  <c r="X203" i="20"/>
  <c r="X1123" i="20"/>
  <c r="X981" i="20"/>
  <c r="X1311" i="20"/>
  <c r="X553" i="20"/>
  <c r="X744" i="20"/>
  <c r="X1091" i="20"/>
  <c r="X1412" i="20"/>
  <c r="X1080" i="20"/>
  <c r="X1280" i="20"/>
  <c r="X253" i="20"/>
  <c r="X1075" i="20"/>
  <c r="X554" i="20"/>
  <c r="X616" i="20"/>
  <c r="X1883" i="20"/>
  <c r="X322" i="20"/>
  <c r="X132" i="20"/>
  <c r="X512" i="20"/>
  <c r="X139" i="20"/>
  <c r="X156" i="20"/>
  <c r="X1383" i="20"/>
  <c r="X1041" i="20"/>
  <c r="X960" i="20"/>
  <c r="X155" i="20"/>
  <c r="X357" i="20"/>
  <c r="X1102" i="20"/>
  <c r="X154" i="20"/>
  <c r="X1758" i="20"/>
  <c r="X1044" i="20"/>
  <c r="X1744" i="20"/>
  <c r="X987" i="20"/>
  <c r="X781" i="20"/>
  <c r="X1488" i="20"/>
  <c r="X50" i="20"/>
  <c r="X693" i="20"/>
  <c r="X1703" i="20"/>
  <c r="X1125" i="20"/>
  <c r="X1045" i="20"/>
  <c r="X865" i="20"/>
  <c r="X94" i="20"/>
  <c r="X623" i="20"/>
  <c r="X621" i="20"/>
  <c r="X1009" i="20"/>
  <c r="X1082" i="20"/>
  <c r="X1820" i="20"/>
  <c r="X131" i="20"/>
  <c r="X310" i="20"/>
  <c r="X1040" i="20"/>
  <c r="X852" i="20"/>
  <c r="X1140" i="20"/>
  <c r="X1548" i="20"/>
  <c r="X1054" i="20"/>
  <c r="X1298" i="20"/>
  <c r="X763" i="20"/>
  <c r="X108" i="20"/>
  <c r="X1001" i="20"/>
  <c r="X1396" i="20"/>
  <c r="X217" i="20"/>
  <c r="X614" i="20"/>
  <c r="X78" i="20"/>
  <c r="X907" i="20"/>
  <c r="X496" i="20"/>
  <c r="X1168" i="20"/>
  <c r="X783" i="20"/>
  <c r="X1832" i="20"/>
  <c r="X320" i="20"/>
  <c r="X706" i="20"/>
  <c r="X632" i="20"/>
  <c r="X220" i="20"/>
  <c r="X1028" i="20"/>
  <c r="X1324" i="20"/>
  <c r="X98" i="20"/>
  <c r="X492" i="20"/>
  <c r="X789" i="20"/>
  <c r="X607" i="20"/>
  <c r="X1898" i="20"/>
  <c r="X221" i="20"/>
  <c r="X1551" i="20"/>
  <c r="X651" i="20"/>
  <c r="X1518" i="20"/>
  <c r="X504" i="20"/>
  <c r="X1089" i="20"/>
  <c r="X353" i="20"/>
  <c r="X649" i="20"/>
  <c r="X854" i="20"/>
  <c r="X855" i="20"/>
  <c r="X1520" i="20"/>
  <c r="X1291" i="20"/>
  <c r="X727" i="20"/>
  <c r="X690" i="20"/>
  <c r="X908" i="20"/>
  <c r="X973" i="20"/>
  <c r="X1079" i="20"/>
  <c r="X335" i="20"/>
  <c r="X612" i="20"/>
  <c r="X246" i="20"/>
  <c r="X1506" i="20"/>
  <c r="X1581" i="20"/>
  <c r="X371" i="20"/>
  <c r="X1391" i="20"/>
  <c r="X701" i="20"/>
  <c r="X896" i="20"/>
  <c r="X708" i="20"/>
  <c r="X581" i="20"/>
  <c r="X193" i="20"/>
  <c r="X1158" i="20"/>
  <c r="X1027" i="20"/>
  <c r="X1450" i="20"/>
  <c r="X1069" i="20"/>
  <c r="X1092" i="20"/>
  <c r="X1402" i="20"/>
  <c r="X730" i="20"/>
  <c r="X659" i="20"/>
  <c r="X563" i="20"/>
  <c r="X1552" i="20"/>
  <c r="X990" i="20"/>
  <c r="X1109" i="20"/>
  <c r="X1432" i="20"/>
  <c r="X590" i="20"/>
  <c r="X1049" i="20"/>
  <c r="X1310" i="20"/>
  <c r="X705" i="20"/>
  <c r="X775" i="20"/>
  <c r="X866" i="20"/>
  <c r="X1489" i="20"/>
  <c r="X609" i="20"/>
  <c r="X191" i="20"/>
  <c r="X1390" i="20"/>
  <c r="X918" i="20"/>
  <c r="X753" i="20"/>
  <c r="X47" i="20"/>
  <c r="X199" i="20"/>
  <c r="X1904" i="20"/>
  <c r="X958" i="20"/>
  <c r="X234" i="20"/>
  <c r="X1544" i="20"/>
  <c r="X360" i="20"/>
  <c r="X208" i="20"/>
  <c r="X287" i="20"/>
  <c r="X1159" i="20"/>
  <c r="X734" i="20"/>
  <c r="X862" i="20"/>
  <c r="X715" i="20"/>
  <c r="X369" i="20"/>
  <c r="X745" i="20"/>
  <c r="X1289" i="20"/>
  <c r="X1830" i="20"/>
  <c r="X1293" i="20"/>
  <c r="X1039" i="20"/>
  <c r="X1786" i="20"/>
  <c r="X241" i="20"/>
  <c r="X530" i="20"/>
  <c r="X1323" i="20"/>
  <c r="X522" i="20"/>
  <c r="X1764" i="20"/>
  <c r="X345" i="20"/>
  <c r="X1576" i="20"/>
  <c r="X514" i="20"/>
  <c r="X1003" i="20"/>
  <c r="X1139" i="20"/>
  <c r="X68" i="20"/>
  <c r="X348" i="20"/>
  <c r="X1684" i="20"/>
  <c r="X1762" i="20"/>
  <c r="X1380" i="20"/>
  <c r="X169" i="20"/>
  <c r="X48" i="20"/>
  <c r="X1372" i="20"/>
  <c r="X202" i="20"/>
  <c r="X1888" i="20"/>
  <c r="X536" i="20"/>
  <c r="X91" i="20"/>
  <c r="X1870" i="20"/>
  <c r="X1874" i="20"/>
  <c r="X1802" i="20"/>
  <c r="X1005" i="20"/>
  <c r="X265" i="20"/>
  <c r="X252" i="20"/>
  <c r="X968" i="20"/>
  <c r="X1527" i="20"/>
  <c r="X327" i="20"/>
  <c r="X1568" i="20"/>
  <c r="X1086" i="20"/>
  <c r="X1137" i="20"/>
  <c r="X286" i="20"/>
  <c r="X874" i="20"/>
  <c r="X929" i="20"/>
  <c r="X63" i="20"/>
  <c r="X542" i="20"/>
  <c r="X1846" i="20"/>
  <c r="X845" i="20"/>
  <c r="X485" i="20"/>
  <c r="X238" i="20"/>
  <c r="X110" i="20"/>
  <c r="X1456" i="20"/>
  <c r="X595" i="20"/>
  <c r="X851" i="20"/>
  <c r="X791" i="20"/>
  <c r="X761" i="20"/>
  <c r="X568" i="20"/>
  <c r="X373" i="20"/>
  <c r="X329" i="20"/>
  <c r="X1150" i="20"/>
  <c r="X311" i="20"/>
  <c r="X1029" i="20"/>
  <c r="X939" i="20"/>
  <c r="X57" i="20"/>
  <c r="X54" i="20"/>
  <c r="X911" i="20"/>
  <c r="X120" i="20"/>
  <c r="X1634" i="20"/>
  <c r="X843" i="20"/>
  <c r="X313" i="20"/>
  <c r="X1350" i="20"/>
  <c r="X255" i="20"/>
  <c r="X1149" i="20"/>
  <c r="X290" i="20"/>
  <c r="X743" i="20"/>
  <c r="X672" i="20"/>
  <c r="X1752" i="20"/>
  <c r="X181" i="20"/>
  <c r="X1886" i="20"/>
  <c r="X746" i="20"/>
  <c r="X644" i="20"/>
  <c r="X1078" i="20"/>
  <c r="X1842" i="20"/>
  <c r="X1332" i="20"/>
  <c r="X260" i="20"/>
  <c r="X81" i="20"/>
  <c r="X961" i="20"/>
  <c r="X257" i="20"/>
  <c r="X186" i="20"/>
  <c r="X1896" i="20"/>
  <c r="X914" i="20"/>
  <c r="X1059" i="20"/>
  <c r="X1101" i="20"/>
  <c r="X66" i="20"/>
  <c r="X999" i="20"/>
  <c r="X684" i="20"/>
  <c r="X873" i="20"/>
  <c r="X683" i="20"/>
  <c r="X1436" i="20"/>
  <c r="X1363" i="20"/>
  <c r="X1300" i="20"/>
  <c r="X1850" i="20"/>
  <c r="X531" i="20"/>
  <c r="X185" i="20"/>
  <c r="X240" i="20"/>
  <c r="X1415" i="20"/>
  <c r="X1108" i="20"/>
  <c r="X903" i="20"/>
  <c r="X630" i="20"/>
  <c r="X1411" i="20"/>
  <c r="X1537" i="20"/>
  <c r="X713" i="20"/>
  <c r="X1053" i="20"/>
  <c r="X1090" i="20"/>
  <c r="X138" i="20"/>
  <c r="X1826" i="20"/>
  <c r="X537" i="20"/>
  <c r="X126" i="20"/>
  <c r="X1460" i="20"/>
  <c r="X790" i="20"/>
  <c r="X544" i="20"/>
  <c r="X482" i="20"/>
  <c r="X100" i="20"/>
  <c r="X172" i="20"/>
  <c r="X1481" i="20"/>
  <c r="X1477" i="20"/>
  <c r="X1024" i="20"/>
  <c r="X1563" i="20"/>
  <c r="X363" i="20"/>
  <c r="X729" i="20"/>
  <c r="X877" i="20"/>
  <c r="X917" i="20"/>
  <c r="X283" i="20"/>
  <c r="X1083" i="20"/>
  <c r="X1509" i="20"/>
  <c r="X1498" i="20"/>
  <c r="X336" i="20"/>
  <c r="X105" i="20"/>
  <c r="X342" i="20"/>
  <c r="X232" i="20"/>
  <c r="X709" i="20"/>
  <c r="X899" i="20"/>
  <c r="X668" i="20"/>
  <c r="X859" i="20"/>
  <c r="X1034" i="20"/>
  <c r="X777" i="20"/>
  <c r="X213" i="20"/>
  <c r="X95" i="20"/>
  <c r="X846" i="20"/>
  <c r="X1878" i="20"/>
  <c r="X1010" i="20"/>
  <c r="X486" i="20"/>
  <c r="X1790" i="20"/>
  <c r="X1760" i="20"/>
  <c r="X636" i="20"/>
  <c r="X84" i="20"/>
  <c r="X1776" i="20"/>
  <c r="X1893" i="20"/>
  <c r="X751" i="20"/>
  <c r="X974" i="20"/>
  <c r="X739" i="20"/>
  <c r="X656" i="20"/>
  <c r="X222" i="20"/>
  <c r="X1103" i="20"/>
  <c r="X640" i="20"/>
  <c r="X75" i="20"/>
  <c r="X870" i="20"/>
  <c r="X1342" i="20"/>
  <c r="X497" i="20"/>
  <c r="X1073" i="20"/>
  <c r="X1455" i="20"/>
  <c r="X699" i="20"/>
  <c r="X1031" i="20"/>
  <c r="X1341" i="20"/>
  <c r="X1505" i="20"/>
  <c r="X883" i="20"/>
  <c r="X1274" i="20"/>
  <c r="X106" i="20"/>
  <c r="X113" i="20"/>
  <c r="X1145" i="20"/>
  <c r="X678" i="20"/>
  <c r="X1475" i="20"/>
  <c r="X1334" i="20"/>
  <c r="X1403" i="20"/>
  <c r="X1378" i="20"/>
  <c r="X956" i="20"/>
  <c r="X1479" i="20"/>
  <c r="X933" i="20"/>
  <c r="X938" i="20"/>
  <c r="X681" i="20"/>
  <c r="X992" i="20"/>
  <c r="X1502" i="20"/>
  <c r="X1834" i="20"/>
  <c r="X860" i="20"/>
  <c r="X765" i="20"/>
  <c r="X263" i="20"/>
  <c r="X886" i="20"/>
  <c r="X1897" i="20"/>
  <c r="X334" i="20"/>
  <c r="X541" i="20"/>
  <c r="X1445" i="20"/>
  <c r="X904" i="20"/>
  <c r="X1444" i="20"/>
  <c r="X1430" i="20"/>
  <c r="X1804" i="20"/>
  <c r="X915" i="20"/>
  <c r="X223" i="20"/>
  <c r="X932" i="20"/>
  <c r="X520" i="20"/>
  <c r="X1061" i="20"/>
  <c r="X573" i="20"/>
  <c r="X1530" i="20"/>
  <c r="X1533" i="20"/>
  <c r="X953" i="20"/>
  <c r="X1012" i="20"/>
  <c r="X256" i="20"/>
  <c r="X124" i="20"/>
  <c r="X325" i="20"/>
  <c r="X1587" i="20"/>
  <c r="X1065" i="20"/>
  <c r="X1442" i="20"/>
  <c r="X309" i="20"/>
  <c r="X228" i="20"/>
  <c r="X962" i="20"/>
  <c r="X1143" i="20"/>
  <c r="X1562" i="20"/>
  <c r="X1376" i="20"/>
  <c r="X1423" i="20"/>
  <c r="X714" i="20"/>
  <c r="X1585" i="20"/>
  <c r="X742" i="20"/>
  <c r="X582" i="20"/>
  <c r="X337" i="20"/>
  <c r="X250" i="20"/>
  <c r="X344" i="20"/>
  <c r="X1382" i="20"/>
  <c r="X769" i="20"/>
  <c r="X1355" i="20"/>
  <c r="X675" i="20"/>
  <c r="X893" i="20"/>
  <c r="X1321" i="20"/>
  <c r="X1425" i="20"/>
  <c r="X926" i="20"/>
  <c r="X347" i="20"/>
  <c r="X601" i="20"/>
  <c r="X646" i="20"/>
  <c r="X366" i="20"/>
  <c r="X1730" i="20"/>
  <c r="X498" i="20"/>
  <c r="X51" i="20"/>
  <c r="X59" i="20"/>
  <c r="X1497" i="20"/>
  <c r="X1750" i="20"/>
  <c r="X1161" i="20"/>
  <c r="X1013" i="20"/>
  <c r="X239" i="20"/>
  <c r="X566" i="20"/>
  <c r="X1366" i="20"/>
  <c r="X1349" i="20"/>
  <c r="X1571" i="20"/>
  <c r="X1469" i="20"/>
  <c r="X647" i="20"/>
  <c r="X697" i="20"/>
  <c r="X1362" i="20"/>
  <c r="X1902" i="20"/>
  <c r="X587" i="20"/>
  <c r="X941" i="20"/>
  <c r="X977" i="20"/>
  <c r="X1164" i="20"/>
  <c r="X1429" i="20"/>
  <c r="X906" i="20"/>
  <c r="X1032" i="20"/>
  <c r="X526" i="20"/>
  <c r="X1807" i="20"/>
  <c r="X940" i="20"/>
  <c r="X869" i="20"/>
  <c r="X1087" i="20"/>
  <c r="X950" i="20"/>
  <c r="X627" i="20"/>
  <c r="X1528" i="20"/>
  <c r="X140" i="20"/>
  <c r="X103" i="20"/>
  <c r="X1387" i="20"/>
  <c r="X195" i="20"/>
  <c r="X755" i="20"/>
  <c r="X937" i="20"/>
  <c r="X484" i="20"/>
  <c r="X580" i="20"/>
  <c r="X506" i="20"/>
  <c r="X711" i="20"/>
  <c r="X1397" i="20"/>
  <c r="X560" i="20"/>
  <c r="X1157" i="20"/>
  <c r="X1127" i="20"/>
  <c r="X599" i="20"/>
  <c r="X736" i="20"/>
  <c r="X664" i="20"/>
  <c r="X1592" i="20"/>
  <c r="X1496" i="20"/>
  <c r="X1166" i="20"/>
  <c r="X350" i="20"/>
  <c r="X585" i="20"/>
  <c r="X1116" i="20"/>
  <c r="X1770" i="20"/>
  <c r="X589" i="20"/>
  <c r="X1565" i="20"/>
  <c r="X1301" i="20"/>
  <c r="X997" i="20"/>
  <c r="X673" i="20"/>
  <c r="X1437" i="20"/>
  <c r="X495" i="20"/>
  <c r="X1327" i="20"/>
  <c r="X704" i="20"/>
  <c r="X1549" i="20"/>
  <c r="X676" i="20"/>
  <c r="X1579" i="20"/>
  <c r="X593" i="20"/>
  <c r="X543" i="20"/>
  <c r="X674" i="20"/>
  <c r="X1461" i="20"/>
  <c r="X643" i="20"/>
  <c r="X594" i="20"/>
  <c r="X785" i="20"/>
  <c r="X483" i="20"/>
  <c r="X517" i="20"/>
  <c r="X1504" i="20"/>
  <c r="X1438" i="20"/>
  <c r="X878" i="20"/>
  <c r="X1704" i="20"/>
  <c r="X719" i="20"/>
  <c r="X1492" i="20"/>
  <c r="X1495" i="20"/>
  <c r="X1866" i="20"/>
  <c r="X1119" i="20"/>
  <c r="X551" i="20"/>
  <c r="X602" i="20"/>
  <c r="X1862" i="20"/>
  <c r="X1954" i="20"/>
  <c r="X1025" i="20"/>
  <c r="X1473" i="20"/>
  <c r="X1582" i="20"/>
  <c r="X1072" i="20"/>
  <c r="X500" i="20"/>
  <c r="X1368" i="20"/>
  <c r="X198" i="20"/>
  <c r="X114" i="20"/>
  <c r="X194" i="20"/>
  <c r="X1538" i="20"/>
  <c r="X1555" i="20"/>
  <c r="X615" i="20"/>
  <c r="X618" i="20"/>
  <c r="X655" i="20"/>
  <c r="X752" i="20"/>
  <c r="X947" i="20"/>
  <c r="X218" i="20"/>
  <c r="X1491" i="20"/>
  <c r="X1120" i="20"/>
  <c r="X957" i="20"/>
  <c r="X1465" i="20"/>
  <c r="X1500" i="20"/>
  <c r="X523" i="20"/>
  <c r="X515" i="20"/>
  <c r="X494" i="20"/>
  <c r="X971" i="20"/>
  <c r="X519" i="20"/>
  <c r="X1302" i="20"/>
  <c r="X658" i="20"/>
  <c r="X876" i="20"/>
  <c r="X611" i="20"/>
  <c r="X1513" i="20"/>
  <c r="X1476" i="20"/>
  <c r="X1071" i="20"/>
  <c r="X849" i="20"/>
  <c r="X722" i="20"/>
  <c r="X1063" i="20"/>
  <c r="X128" i="20"/>
  <c r="X1115" i="20"/>
  <c r="X119" i="20"/>
  <c r="X230" i="20"/>
  <c r="X1037" i="20"/>
  <c r="X321" i="20"/>
  <c r="X164" i="20"/>
  <c r="X959" i="20"/>
  <c r="X1331" i="20"/>
  <c r="X984" i="20"/>
  <c r="X270" i="20"/>
  <c r="X1640" i="20"/>
  <c r="X1510" i="20"/>
  <c r="X1457" i="20"/>
  <c r="X285" i="20"/>
  <c r="X694" i="20"/>
  <c r="X983" i="20"/>
  <c r="X1393" i="20"/>
  <c r="X509" i="20"/>
  <c r="X1525" i="20"/>
  <c r="X1277" i="20"/>
  <c r="X768" i="20"/>
  <c r="X982" i="20"/>
  <c r="X1892" i="20"/>
  <c r="X1124" i="20"/>
  <c r="X1339" i="20"/>
  <c r="X293" i="20"/>
  <c r="X1448" i="20"/>
  <c r="X1638" i="20"/>
  <c r="X943" i="20"/>
  <c r="X565" i="20"/>
  <c r="X236" i="20"/>
  <c r="X304" i="20"/>
  <c r="X888" i="20"/>
  <c r="X887" i="20"/>
  <c r="X533" i="20"/>
  <c r="X214" i="20"/>
  <c r="X1710" i="20"/>
  <c r="X889" i="20"/>
  <c r="X1337" i="20"/>
  <c r="X652" i="20"/>
  <c r="X1106" i="20"/>
  <c r="X944" i="20"/>
  <c r="X1435" i="20"/>
  <c r="X1905" i="20"/>
  <c r="X1385" i="20"/>
  <c r="X1487" i="20"/>
  <c r="X262" i="20"/>
  <c r="X1305" i="20"/>
  <c r="X1468" i="20"/>
  <c r="X1941" i="20"/>
  <c r="X1008" i="20"/>
  <c r="X280" i="20"/>
  <c r="X1471" i="20"/>
  <c r="X1948" i="20"/>
  <c r="X1876" i="20"/>
  <c r="X1556" i="20"/>
  <c r="X1822" i="20"/>
  <c r="X1431" i="20"/>
  <c r="X157" i="20"/>
  <c r="X1512" i="20"/>
  <c r="X1283" i="20"/>
  <c r="X1470" i="20"/>
  <c r="X184" i="20"/>
  <c r="X1577" i="20"/>
  <c r="X1275" i="20"/>
  <c r="X754" i="20"/>
  <c r="X610" i="20"/>
  <c r="X52" i="20"/>
  <c r="X89" i="20"/>
  <c r="X1742" i="20"/>
  <c r="X1542" i="20"/>
  <c r="X934" i="20"/>
  <c r="X733" i="20"/>
  <c r="X1110" i="20"/>
  <c r="X1148" i="20"/>
  <c r="X774" i="20"/>
  <c r="X786" i="20"/>
  <c r="X1408" i="20"/>
  <c r="X1523" i="20"/>
  <c r="X1290" i="20"/>
  <c r="X73" i="20"/>
  <c r="X319" i="20"/>
  <c r="X1575" i="20"/>
  <c r="X507" i="20"/>
  <c r="X491" i="20"/>
  <c r="X1546" i="20"/>
  <c r="X1700" i="20"/>
  <c r="X682" i="20"/>
  <c r="X1095" i="20"/>
  <c r="X370" i="20"/>
  <c r="X123" i="20"/>
  <c r="X766" i="20"/>
  <c r="X1315" i="20"/>
  <c r="X1561" i="20"/>
  <c r="X1004" i="20"/>
  <c r="X1940" i="20"/>
  <c r="X1281" i="20"/>
  <c r="X163" i="20"/>
  <c r="X1515" i="20"/>
  <c r="X1541" i="20"/>
  <c r="X1401" i="20"/>
  <c r="X949" i="20"/>
  <c r="X1900" i="20"/>
  <c r="X101" i="20"/>
  <c r="X1580" i="20"/>
  <c r="X1499" i="20"/>
  <c r="X1144" i="20"/>
  <c r="X890" i="20"/>
  <c r="X1399" i="20"/>
  <c r="X1352" i="20"/>
  <c r="X993" i="20"/>
  <c r="X1070" i="20"/>
  <c r="X1022" i="20"/>
  <c r="X518" i="20"/>
  <c r="X1287" i="20"/>
  <c r="X148" i="20"/>
  <c r="X271" i="20"/>
  <c r="X1583" i="20"/>
  <c r="X1112" i="20"/>
  <c r="X569" i="20"/>
  <c r="X539" i="20"/>
  <c r="X328" i="20"/>
  <c r="X750" i="20"/>
  <c r="X177" i="20"/>
  <c r="X279" i="20"/>
  <c r="X928" i="20"/>
  <c r="X359" i="20"/>
  <c r="X503" i="20"/>
  <c r="X1446" i="20"/>
  <c r="X780" i="20"/>
  <c r="X219" i="20"/>
  <c r="X150" i="20"/>
  <c r="X351" i="20"/>
  <c r="X863" i="20"/>
  <c r="X737" i="20"/>
  <c r="X1809" i="20"/>
  <c r="X107" i="20"/>
  <c r="X1404" i="20"/>
  <c r="X1514" i="20"/>
  <c r="X1422" i="20"/>
  <c r="X212" i="20"/>
  <c r="X196" i="20"/>
  <c r="X1724" i="20"/>
  <c r="X264" i="20"/>
  <c r="X358" i="20"/>
  <c r="X1890" i="20"/>
  <c r="X868" i="20"/>
  <c r="X111" i="20"/>
  <c r="X511" i="20"/>
  <c r="X1153" i="20"/>
  <c r="X129" i="20"/>
  <c r="X913" i="20"/>
  <c r="X1326" i="20"/>
  <c r="X1353" i="20"/>
  <c r="X741" i="20"/>
  <c r="X134" i="20"/>
  <c r="X1307" i="20"/>
  <c r="X276" i="20"/>
  <c r="X210" i="20"/>
  <c r="X216" i="20"/>
  <c r="X197" i="20"/>
  <c r="X243" i="20"/>
  <c r="X301" i="20"/>
  <c r="X787" i="20"/>
  <c r="X948" i="20"/>
  <c r="X1322" i="20"/>
  <c r="X315" i="20"/>
  <c r="X175" i="20"/>
  <c r="X592" i="20"/>
  <c r="X1304" i="20"/>
  <c r="X1068" i="20"/>
  <c r="X796" i="20"/>
  <c r="X900" i="20"/>
  <c r="X1062" i="20"/>
  <c r="X284" i="20"/>
  <c r="X897" i="20"/>
  <c r="X1047" i="20"/>
  <c r="X1516" i="20"/>
  <c r="X1320" i="20"/>
  <c r="X740" i="20"/>
  <c r="X920" i="20"/>
  <c r="X143" i="20"/>
  <c r="X135" i="20"/>
  <c r="X847" i="20"/>
  <c r="X892" i="20"/>
  <c r="X728" i="20"/>
  <c r="X160" i="20"/>
  <c r="X1521" i="20"/>
  <c r="X967" i="20"/>
  <c r="X1570" i="20"/>
  <c r="X935" i="20"/>
  <c r="X227" i="20"/>
  <c r="X102" i="20"/>
  <c r="X1407" i="20"/>
  <c r="X966" i="20"/>
  <c r="X1014" i="20"/>
  <c r="X1312" i="20"/>
  <c r="X794" i="20"/>
  <c r="X83" i="20"/>
  <c r="X1020" i="20"/>
  <c r="X1370" i="20"/>
  <c r="X1882" i="20"/>
  <c r="X1566" i="20"/>
  <c r="X258" i="20"/>
  <c r="X562" i="20"/>
  <c r="X1670" i="20"/>
  <c r="X1740" i="20"/>
  <c r="X298" i="20"/>
  <c r="X550" i="20"/>
  <c r="X149" i="20"/>
  <c r="X510" i="20"/>
  <c r="X687" i="20"/>
  <c r="X972" i="20"/>
  <c r="X235" i="20"/>
  <c r="X249" i="20"/>
  <c r="X1792" i="20"/>
  <c r="X945" i="20"/>
  <c r="X1540" i="20"/>
  <c r="X269" i="20"/>
  <c r="X986" i="20"/>
  <c r="X225" i="20"/>
  <c r="X788" i="20"/>
  <c r="X1284" i="20"/>
  <c r="X1162" i="20"/>
  <c r="X343" i="20"/>
  <c r="X1057" i="20"/>
  <c r="X1296" i="20"/>
  <c r="X1716" i="20"/>
  <c r="X732" i="20"/>
  <c r="X86" i="20"/>
  <c r="X1517" i="20"/>
  <c r="X144" i="20"/>
  <c r="X346" i="20"/>
  <c r="X200" i="20"/>
  <c r="X179" i="20"/>
  <c r="X1278" i="20"/>
  <c r="X374" i="20"/>
  <c r="X1726" i="20"/>
  <c r="X1067" i="20"/>
  <c r="X1588" i="20"/>
  <c r="X88" i="20"/>
  <c r="X1126" i="20"/>
  <c r="X1466" i="20"/>
  <c r="X1328" i="20"/>
  <c r="X894" i="20"/>
  <c r="X1026" i="20"/>
  <c r="X245" i="20"/>
  <c r="X617" i="20"/>
  <c r="X1128" i="20"/>
  <c r="X1421" i="20"/>
  <c r="X856" i="20"/>
  <c r="X936" i="20"/>
  <c r="X629" i="20"/>
  <c r="X30" i="20"/>
  <c r="X9" i="20"/>
  <c r="X29" i="20"/>
  <c r="X18" i="20"/>
  <c r="X804" i="20"/>
  <c r="X800" i="20"/>
  <c r="X827" i="20"/>
  <c r="X6" i="20"/>
  <c r="X839" i="20"/>
  <c r="X41" i="20"/>
  <c r="X8" i="20"/>
  <c r="X22" i="20"/>
  <c r="X820" i="20"/>
  <c r="X33" i="20"/>
  <c r="X798" i="20"/>
  <c r="X17" i="20"/>
  <c r="X12" i="20"/>
  <c r="X809" i="20"/>
  <c r="X25" i="20"/>
  <c r="X826" i="20"/>
  <c r="X44" i="20"/>
  <c r="X32" i="20"/>
  <c r="X832" i="20"/>
  <c r="X824" i="20"/>
  <c r="X36" i="20"/>
  <c r="X814" i="20"/>
  <c r="X43" i="20"/>
  <c r="X34" i="20"/>
  <c r="X7" i="20"/>
  <c r="X28" i="20"/>
  <c r="X20" i="20"/>
  <c r="X26" i="20"/>
  <c r="X816" i="20"/>
  <c r="X830" i="20"/>
  <c r="X836" i="20"/>
  <c r="X24" i="20"/>
  <c r="X802" i="20"/>
  <c r="X38" i="20"/>
  <c r="X811" i="20"/>
  <c r="V12" i="20"/>
  <c r="X21" i="20"/>
  <c r="V13" i="20"/>
  <c r="X810" i="20"/>
  <c r="X35" i="20"/>
  <c r="X828" i="20"/>
  <c r="X13" i="20"/>
  <c r="X805" i="20"/>
  <c r="X27" i="20"/>
  <c r="X831" i="20"/>
  <c r="X16" i="20"/>
  <c r="X837" i="20"/>
  <c r="X39" i="20"/>
  <c r="X807" i="20"/>
  <c r="X808" i="20"/>
  <c r="X31" i="20"/>
  <c r="X822" i="20"/>
  <c r="X45" i="20"/>
  <c r="X812" i="20"/>
  <c r="X838" i="20"/>
  <c r="X37" i="20"/>
  <c r="X5" i="20"/>
  <c r="X806" i="20"/>
  <c r="X40" i="20"/>
  <c r="X42" i="20"/>
  <c r="X19" i="20"/>
  <c r="X834" i="20"/>
  <c r="X1185" i="20"/>
  <c r="X442" i="20"/>
  <c r="X1267" i="20"/>
  <c r="X1273" i="20"/>
  <c r="X394" i="20"/>
  <c r="X1227" i="20"/>
  <c r="X1243" i="20"/>
  <c r="X464" i="20"/>
  <c r="X384" i="20"/>
  <c r="X402" i="20"/>
  <c r="X438" i="20"/>
  <c r="X1247" i="20"/>
  <c r="X1231" i="20"/>
  <c r="X379" i="20"/>
  <c r="X411" i="20"/>
  <c r="X1253" i="20"/>
  <c r="X1184" i="20"/>
  <c r="X1192" i="20"/>
  <c r="X453" i="20"/>
  <c r="X1268" i="20"/>
  <c r="X1233" i="20"/>
  <c r="X1261" i="20"/>
  <c r="X377" i="20"/>
  <c r="X1228" i="20"/>
  <c r="X1254" i="20"/>
  <c r="X430" i="20"/>
  <c r="X1210" i="20"/>
  <c r="X1222" i="20"/>
  <c r="X458" i="20"/>
  <c r="X1251" i="20"/>
  <c r="X429" i="20"/>
  <c r="X439" i="20"/>
  <c r="X405" i="20"/>
  <c r="X465" i="20"/>
  <c r="X419" i="20"/>
  <c r="X1262" i="20"/>
  <c r="X421" i="20"/>
  <c r="X1244" i="20"/>
  <c r="X1199" i="20"/>
  <c r="X477" i="20"/>
  <c r="X395" i="20"/>
  <c r="X403" i="20"/>
  <c r="X463" i="20"/>
  <c r="X1197" i="20"/>
  <c r="X461" i="20"/>
  <c r="X387" i="20"/>
  <c r="X1249" i="20"/>
  <c r="X382" i="20"/>
  <c r="X383" i="20"/>
  <c r="X1240" i="20"/>
  <c r="X1170" i="20"/>
  <c r="X1232" i="20"/>
  <c r="X1259" i="20"/>
  <c r="X1219" i="20"/>
  <c r="X1226" i="20"/>
  <c r="X446" i="20"/>
  <c r="X1234" i="20"/>
  <c r="X400" i="20"/>
  <c r="X432" i="20"/>
  <c r="X1198" i="20"/>
  <c r="X455" i="20"/>
  <c r="X1172" i="20"/>
  <c r="X376" i="20"/>
  <c r="X447" i="20"/>
  <c r="X1182" i="20"/>
  <c r="X469" i="20"/>
  <c r="X1221" i="20"/>
  <c r="X1181" i="20"/>
  <c r="X1180" i="20"/>
  <c r="X1260" i="20"/>
  <c r="X1193" i="20"/>
  <c r="X415" i="20"/>
  <c r="X1269" i="20"/>
  <c r="X456" i="20"/>
  <c r="X1200" i="20"/>
  <c r="X1178" i="20"/>
  <c r="X1217" i="20"/>
  <c r="X431" i="20"/>
  <c r="X450" i="20"/>
  <c r="X1176" i="20"/>
  <c r="X385" i="20"/>
  <c r="X422" i="20"/>
  <c r="X479" i="20"/>
  <c r="X1250" i="20"/>
  <c r="X1173" i="20"/>
  <c r="X420" i="20"/>
  <c r="X476" i="20"/>
  <c r="X1258" i="20"/>
  <c r="X418" i="20"/>
  <c r="X1271" i="20"/>
  <c r="X414" i="20"/>
  <c r="X1208" i="20"/>
  <c r="X1272" i="20"/>
  <c r="X423" i="20"/>
  <c r="X1183" i="20"/>
  <c r="X397" i="20"/>
  <c r="X1212" i="20"/>
  <c r="X1263" i="20"/>
  <c r="X433" i="20"/>
  <c r="X398" i="20"/>
  <c r="X478" i="20"/>
  <c r="X436" i="20"/>
  <c r="X445" i="20"/>
  <c r="X434" i="20"/>
  <c r="X449" i="20"/>
  <c r="X460" i="20"/>
  <c r="X1230" i="20"/>
  <c r="X417" i="20"/>
  <c r="X1189" i="20"/>
  <c r="X381" i="20"/>
  <c r="X1177" i="20"/>
  <c r="X399" i="20"/>
  <c r="X435" i="20"/>
  <c r="X1174" i="20"/>
  <c r="X437" i="20"/>
  <c r="X427" i="20"/>
  <c r="X1235" i="20"/>
  <c r="X390" i="20"/>
  <c r="X392" i="20"/>
  <c r="X1207" i="20"/>
  <c r="X459" i="20"/>
  <c r="X412" i="20"/>
  <c r="X1255" i="20"/>
  <c r="X467" i="20"/>
  <c r="X468" i="20"/>
  <c r="X408" i="20"/>
  <c r="X410" i="20"/>
  <c r="X1175" i="20"/>
  <c r="X416" i="20"/>
  <c r="X1248" i="20"/>
  <c r="X406" i="20"/>
  <c r="X404" i="20"/>
  <c r="X462" i="20"/>
  <c r="X1187" i="20"/>
  <c r="X1214" i="20"/>
  <c r="X457" i="20"/>
  <c r="X1202" i="20"/>
  <c r="X1191" i="20"/>
  <c r="X440" i="20"/>
  <c r="X380" i="20"/>
  <c r="X471" i="20"/>
  <c r="X407" i="20"/>
  <c r="X1215" i="20"/>
  <c r="X1203" i="20"/>
  <c r="X1225" i="20"/>
  <c r="X1242" i="20"/>
  <c r="X386" i="20"/>
  <c r="X472" i="20"/>
  <c r="X1190" i="20"/>
  <c r="X1196" i="20"/>
  <c r="X391" i="20"/>
  <c r="X388" i="20"/>
  <c r="X1265" i="20"/>
  <c r="X428" i="20"/>
  <c r="X401" i="20"/>
  <c r="X1256" i="20"/>
  <c r="X1236" i="20"/>
  <c r="X424" i="20"/>
  <c r="X473" i="20"/>
  <c r="X378" i="20"/>
  <c r="X396" i="20"/>
  <c r="X1246" i="20"/>
  <c r="X1171" i="20"/>
  <c r="X1223" i="20"/>
  <c r="X1204" i="20"/>
  <c r="X1266" i="20"/>
  <c r="X1241" i="20"/>
  <c r="X1239" i="20"/>
  <c r="X444" i="20"/>
  <c r="X1194" i="20"/>
  <c r="X448" i="20"/>
  <c r="X466" i="20"/>
  <c r="X454" i="20"/>
  <c r="X1188" i="20"/>
  <c r="X425" i="20"/>
  <c r="X1237" i="20"/>
  <c r="X426" i="20"/>
  <c r="X1206" i="20"/>
  <c r="X1179" i="20"/>
  <c r="X393" i="20"/>
  <c r="X1201" i="20"/>
  <c r="X1257" i="20"/>
  <c r="X413" i="20"/>
  <c r="X441" i="20"/>
  <c r="X1252" i="20"/>
  <c r="X409" i="20"/>
  <c r="X1270" i="20"/>
  <c r="X470" i="20"/>
  <c r="X1211" i="20"/>
  <c r="X1238" i="20"/>
  <c r="X1229" i="20"/>
  <c r="X1195" i="20"/>
  <c r="X1245" i="20"/>
  <c r="X389" i="20"/>
  <c r="X1218" i="20"/>
  <c r="X1224" i="20"/>
  <c r="X1205" i="20"/>
  <c r="X474" i="20"/>
  <c r="X443" i="20"/>
  <c r="F3" i="20" l="1"/>
  <c r="E54" i="19"/>
  <c r="D837" i="20" s="1"/>
  <c r="B54" i="19"/>
  <c r="D43" i="20" s="1"/>
  <c r="F15" i="19"/>
  <c r="I14" i="19"/>
  <c r="H797" i="20" s="1"/>
  <c r="G14" i="19"/>
  <c r="B797" i="20" s="1"/>
  <c r="X3" i="20"/>
  <c r="I795" i="20" l="1"/>
  <c r="G797" i="20"/>
  <c r="A798" i="20"/>
  <c r="A4" i="20"/>
  <c r="B3" i="20"/>
  <c r="I592" i="20"/>
  <c r="G3" i="20"/>
  <c r="I3" i="20" s="1"/>
  <c r="G15" i="19"/>
  <c r="I15" i="19"/>
  <c r="H3" i="20"/>
  <c r="F16" i="19"/>
  <c r="I564" i="19"/>
  <c r="I558" i="19"/>
  <c r="I551" i="19"/>
  <c r="I534" i="19"/>
  <c r="I513" i="19"/>
  <c r="I506" i="19"/>
  <c r="I499" i="19"/>
  <c r="I492" i="19"/>
  <c r="I485" i="19"/>
  <c r="I478" i="19"/>
  <c r="I471" i="19"/>
  <c r="I464" i="19"/>
  <c r="I457" i="19"/>
  <c r="I450" i="19"/>
  <c r="I443" i="19"/>
  <c r="I436" i="19"/>
  <c r="I429" i="19"/>
  <c r="I422" i="19"/>
  <c r="I415" i="19"/>
  <c r="I408" i="19"/>
  <c r="I401" i="19"/>
  <c r="I394" i="19"/>
  <c r="I387" i="19"/>
  <c r="I380" i="19"/>
  <c r="I370" i="19"/>
  <c r="I363" i="19"/>
  <c r="I355" i="19"/>
  <c r="I348" i="19"/>
  <c r="I341" i="19"/>
  <c r="I333" i="19"/>
  <c r="I326" i="19"/>
  <c r="I319" i="19"/>
  <c r="I312" i="19"/>
  <c r="I305" i="19"/>
  <c r="I298" i="19"/>
  <c r="I291" i="19"/>
  <c r="I284" i="19"/>
  <c r="I277" i="19"/>
  <c r="I270" i="19"/>
  <c r="I263" i="19"/>
  <c r="I256" i="19"/>
  <c r="I249" i="19"/>
  <c r="I242" i="19"/>
  <c r="I235" i="19"/>
  <c r="I228" i="19"/>
  <c r="I221" i="19"/>
  <c r="I214" i="19"/>
  <c r="I207" i="19"/>
  <c r="I198" i="19"/>
  <c r="I191" i="19"/>
  <c r="I184" i="19"/>
  <c r="I177" i="19"/>
  <c r="I162" i="19"/>
  <c r="I170" i="19"/>
  <c r="I155" i="19"/>
  <c r="I148" i="19"/>
  <c r="I141" i="19"/>
  <c r="I134" i="19"/>
  <c r="I127" i="19"/>
  <c r="I112" i="19"/>
  <c r="I120" i="19"/>
  <c r="I104" i="19"/>
  <c r="I97" i="19"/>
  <c r="I90" i="19"/>
  <c r="I83" i="19"/>
  <c r="I59" i="19"/>
  <c r="H1633" i="20" l="1"/>
  <c r="H1631" i="20"/>
  <c r="H1637" i="20"/>
  <c r="H1635" i="20"/>
  <c r="H1641" i="20"/>
  <c r="H1639" i="20"/>
  <c r="H1646" i="20"/>
  <c r="H1643" i="20"/>
  <c r="H1657" i="20"/>
  <c r="H1655" i="20"/>
  <c r="H1652" i="20"/>
  <c r="H1649" i="20"/>
  <c r="H1661" i="20"/>
  <c r="H1659" i="20"/>
  <c r="H1665" i="20"/>
  <c r="H1663" i="20"/>
  <c r="H1669" i="20"/>
  <c r="H1667" i="20"/>
  <c r="H1673" i="20"/>
  <c r="H1671" i="20"/>
  <c r="H1677" i="20"/>
  <c r="H1675" i="20"/>
  <c r="H1687" i="20"/>
  <c r="H1685" i="20"/>
  <c r="H1682" i="20"/>
  <c r="H1679" i="20"/>
  <c r="H1691" i="20"/>
  <c r="H1689" i="20"/>
  <c r="H1695" i="20"/>
  <c r="H1693" i="20"/>
  <c r="H1699" i="20"/>
  <c r="H1697" i="20"/>
  <c r="H1705" i="20"/>
  <c r="H1701" i="20"/>
  <c r="H1711" i="20"/>
  <c r="H1709" i="20"/>
  <c r="H1715" i="20"/>
  <c r="H1713" i="20"/>
  <c r="H1719" i="20"/>
  <c r="H1717" i="20"/>
  <c r="H1723" i="20"/>
  <c r="H1721" i="20"/>
  <c r="H1727" i="20"/>
  <c r="H1725" i="20"/>
  <c r="H1731" i="20"/>
  <c r="H1729" i="20"/>
  <c r="H1735" i="20"/>
  <c r="H1733" i="20"/>
  <c r="H1739" i="20"/>
  <c r="H1737" i="20"/>
  <c r="H1743" i="20"/>
  <c r="H1741" i="20"/>
  <c r="H1747" i="20"/>
  <c r="H1745" i="20"/>
  <c r="H1751" i="20"/>
  <c r="H1749" i="20"/>
  <c r="H1755" i="20"/>
  <c r="H1753" i="20"/>
  <c r="H1759" i="20"/>
  <c r="H1757" i="20"/>
  <c r="H1763" i="20"/>
  <c r="H1761" i="20"/>
  <c r="H1767" i="20"/>
  <c r="H1765" i="20"/>
  <c r="H1771" i="20"/>
  <c r="H1769" i="20"/>
  <c r="H1775" i="20"/>
  <c r="H1773" i="20"/>
  <c r="H1779" i="20"/>
  <c r="H1777" i="20"/>
  <c r="H1784" i="20"/>
  <c r="H1781" i="20"/>
  <c r="H1789" i="20"/>
  <c r="H1787" i="20"/>
  <c r="H1793" i="20"/>
  <c r="H1791" i="20"/>
  <c r="H1798" i="20"/>
  <c r="H1795" i="20"/>
  <c r="H1803" i="20"/>
  <c r="H1801" i="20"/>
  <c r="H1810" i="20"/>
  <c r="H1805" i="20"/>
  <c r="H1817" i="20"/>
  <c r="H1815" i="20"/>
  <c r="H1821" i="20"/>
  <c r="H1819" i="20"/>
  <c r="H1825" i="20"/>
  <c r="H1823" i="20"/>
  <c r="H1829" i="20"/>
  <c r="H1827" i="20"/>
  <c r="H1833" i="20"/>
  <c r="H1831" i="20"/>
  <c r="H1837" i="20"/>
  <c r="H1835" i="20"/>
  <c r="H1841" i="20"/>
  <c r="H1839" i="20"/>
  <c r="H1845" i="20"/>
  <c r="H1843" i="20"/>
  <c r="H1849" i="20"/>
  <c r="H1847" i="20"/>
  <c r="H1853" i="20"/>
  <c r="H1851" i="20"/>
  <c r="H1857" i="20"/>
  <c r="H1855" i="20"/>
  <c r="H1861" i="20"/>
  <c r="H1859" i="20"/>
  <c r="H1865" i="20"/>
  <c r="H1863" i="20"/>
  <c r="H1869" i="20"/>
  <c r="H1867" i="20"/>
  <c r="H1873" i="20"/>
  <c r="H1871" i="20"/>
  <c r="H1877" i="20"/>
  <c r="H1875" i="20"/>
  <c r="H1881" i="20"/>
  <c r="H1879" i="20"/>
  <c r="H1885" i="20"/>
  <c r="H1883" i="20"/>
  <c r="H1889" i="20"/>
  <c r="H1887" i="20"/>
  <c r="H1907" i="20"/>
  <c r="H1891" i="20"/>
  <c r="H1935" i="20"/>
  <c r="H1923" i="20"/>
  <c r="H1949" i="20"/>
  <c r="H1947" i="20"/>
  <c r="H1953" i="20"/>
  <c r="H1951" i="20"/>
  <c r="H1978" i="20"/>
  <c r="H1955" i="20"/>
  <c r="A799" i="20"/>
  <c r="A5" i="20"/>
  <c r="H798" i="20"/>
  <c r="H4" i="20"/>
  <c r="B798" i="20"/>
  <c r="B4" i="20"/>
  <c r="G798" i="20"/>
  <c r="G4" i="20"/>
  <c r="I4" i="20" s="1"/>
  <c r="H1612" i="20"/>
  <c r="H1593" i="20"/>
  <c r="I1359" i="20"/>
  <c r="I98" i="19"/>
  <c r="I106" i="19"/>
  <c r="I121" i="19"/>
  <c r="I113" i="19"/>
  <c r="I128" i="19"/>
  <c r="I135" i="19"/>
  <c r="I142" i="19"/>
  <c r="I149" i="19"/>
  <c r="I156" i="19"/>
  <c r="I171" i="19"/>
  <c r="I163" i="19"/>
  <c r="I178" i="19"/>
  <c r="I185" i="19"/>
  <c r="I192" i="19"/>
  <c r="I199" i="19"/>
  <c r="I208" i="19"/>
  <c r="I215" i="19"/>
  <c r="I222" i="19"/>
  <c r="I229" i="19"/>
  <c r="I236" i="19"/>
  <c r="I243" i="19"/>
  <c r="I250" i="19"/>
  <c r="I257" i="19"/>
  <c r="I264" i="19"/>
  <c r="I271" i="19"/>
  <c r="I278" i="19"/>
  <c r="I285" i="19"/>
  <c r="I292" i="19"/>
  <c r="I299" i="19"/>
  <c r="I306" i="19"/>
  <c r="I313" i="19"/>
  <c r="I320" i="19"/>
  <c r="I327" i="19"/>
  <c r="I334" i="19"/>
  <c r="I342" i="19"/>
  <c r="I349" i="19"/>
  <c r="I356" i="19"/>
  <c r="I357" i="19" s="1"/>
  <c r="I364" i="19"/>
  <c r="I371" i="19"/>
  <c r="I381" i="19"/>
  <c r="I388" i="19"/>
  <c r="I395" i="19"/>
  <c r="I402" i="19"/>
  <c r="I409" i="19"/>
  <c r="I416" i="19"/>
  <c r="I423" i="19"/>
  <c r="I430" i="19"/>
  <c r="I437" i="19"/>
  <c r="I444" i="19"/>
  <c r="I458" i="19"/>
  <c r="I465" i="19"/>
  <c r="I472" i="19"/>
  <c r="I479" i="19"/>
  <c r="I486" i="19"/>
  <c r="I493" i="19"/>
  <c r="I500" i="19"/>
  <c r="I507" i="19"/>
  <c r="I514" i="19"/>
  <c r="I535" i="19"/>
  <c r="I552" i="19"/>
  <c r="I565" i="19"/>
  <c r="I91" i="19"/>
  <c r="I60" i="19"/>
  <c r="I16" i="19"/>
  <c r="G16" i="19"/>
  <c r="F17" i="19"/>
  <c r="I593" i="20"/>
  <c r="I84" i="19"/>
  <c r="I451" i="19"/>
  <c r="E588" i="19"/>
  <c r="D1168" i="20" s="1"/>
  <c r="B588" i="19"/>
  <c r="D374" i="20" s="1"/>
  <c r="E509" i="19"/>
  <c r="D1143" i="20" s="1"/>
  <c r="B509" i="19"/>
  <c r="D349" i="20" s="1"/>
  <c r="E502" i="19"/>
  <c r="D1138" i="20" s="1"/>
  <c r="B502" i="19"/>
  <c r="D344" i="20" s="1"/>
  <c r="E495" i="19"/>
  <c r="D1133" i="20" s="1"/>
  <c r="B495" i="19"/>
  <c r="D339" i="20" s="1"/>
  <c r="E488" i="19"/>
  <c r="D1128" i="20" s="1"/>
  <c r="B488" i="19"/>
  <c r="D334" i="20" s="1"/>
  <c r="E481" i="19"/>
  <c r="D1123" i="20" s="1"/>
  <c r="B481" i="19"/>
  <c r="D329" i="20" s="1"/>
  <c r="E474" i="19"/>
  <c r="D1118" i="20" s="1"/>
  <c r="B474" i="19"/>
  <c r="D324" i="20" s="1"/>
  <c r="E467" i="19"/>
  <c r="D1113" i="20" s="1"/>
  <c r="B467" i="19"/>
  <c r="D319" i="20" s="1"/>
  <c r="E460" i="19"/>
  <c r="D1108" i="20" s="1"/>
  <c r="B460" i="19"/>
  <c r="D314" i="20" s="1"/>
  <c r="E453" i="19"/>
  <c r="D1103" i="20" s="1"/>
  <c r="B453" i="19"/>
  <c r="D309" i="20" s="1"/>
  <c r="E446" i="19"/>
  <c r="D1098" i="20" s="1"/>
  <c r="B446" i="19"/>
  <c r="D304" i="20" s="1"/>
  <c r="E404" i="19"/>
  <c r="D1068" i="20" s="1"/>
  <c r="B404" i="19"/>
  <c r="D274" i="20" s="1"/>
  <c r="E366" i="19"/>
  <c r="D1043" i="20" s="1"/>
  <c r="B366" i="19"/>
  <c r="D249" i="20" s="1"/>
  <c r="E344" i="19"/>
  <c r="D1028" i="20" s="1"/>
  <c r="B344" i="19"/>
  <c r="D234" i="20" s="1"/>
  <c r="E322" i="19"/>
  <c r="D1013" i="20" s="1"/>
  <c r="B322" i="19"/>
  <c r="D219" i="20" s="1"/>
  <c r="E308" i="19"/>
  <c r="D1003" i="20" s="1"/>
  <c r="B308" i="19"/>
  <c r="D209" i="20" s="1"/>
  <c r="E294" i="19"/>
  <c r="D993" i="20" s="1"/>
  <c r="B294" i="19"/>
  <c r="D199" i="20" s="1"/>
  <c r="E280" i="19"/>
  <c r="D983" i="20" s="1"/>
  <c r="B280" i="19"/>
  <c r="D189" i="20" s="1"/>
  <c r="E273" i="19"/>
  <c r="D978" i="20" s="1"/>
  <c r="B273" i="19"/>
  <c r="D184" i="20" s="1"/>
  <c r="E252" i="19"/>
  <c r="D963" i="20" s="1"/>
  <c r="B252" i="19"/>
  <c r="D169" i="20" s="1"/>
  <c r="E245" i="19"/>
  <c r="D958" i="20" s="1"/>
  <c r="B245" i="19"/>
  <c r="D164" i="20" s="1"/>
  <c r="E238" i="19"/>
  <c r="D953" i="20" s="1"/>
  <c r="B238" i="19"/>
  <c r="D159" i="20" s="1"/>
  <c r="E166" i="19"/>
  <c r="D903" i="20" s="1"/>
  <c r="B166" i="19"/>
  <c r="D109" i="20" s="1"/>
  <c r="E123" i="19"/>
  <c r="D873" i="20" s="1"/>
  <c r="B123" i="19"/>
  <c r="D79" i="20" s="1"/>
  <c r="B116" i="19"/>
  <c r="D74" i="20" s="1"/>
  <c r="E116" i="19"/>
  <c r="D868" i="20" s="1"/>
  <c r="E108" i="19"/>
  <c r="D863" i="20" s="1"/>
  <c r="B108" i="19"/>
  <c r="D69" i="20" s="1"/>
  <c r="E100" i="19"/>
  <c r="D858" i="20" s="1"/>
  <c r="B100" i="19"/>
  <c r="D64" i="20" s="1"/>
  <c r="B93" i="19"/>
  <c r="D59" i="20" s="1"/>
  <c r="B86" i="19"/>
  <c r="D54" i="20" s="1"/>
  <c r="H1858" i="20" l="1"/>
  <c r="H1856" i="20"/>
  <c r="H1800" i="20"/>
  <c r="H1797" i="20"/>
  <c r="H1634" i="20"/>
  <c r="H1632" i="20"/>
  <c r="H1638" i="20"/>
  <c r="H1636" i="20"/>
  <c r="H1979" i="20"/>
  <c r="H1956" i="20"/>
  <c r="H1954" i="20"/>
  <c r="H1952" i="20"/>
  <c r="H1950" i="20"/>
  <c r="H1948" i="20"/>
  <c r="H1936" i="20"/>
  <c r="H1924" i="20"/>
  <c r="H1908" i="20"/>
  <c r="H1892" i="20"/>
  <c r="H1890" i="20"/>
  <c r="H1888" i="20"/>
  <c r="H1886" i="20"/>
  <c r="H1884" i="20"/>
  <c r="H1882" i="20"/>
  <c r="H1880" i="20"/>
  <c r="H1878" i="20"/>
  <c r="H1876" i="20"/>
  <c r="H1874" i="20"/>
  <c r="H1872" i="20"/>
  <c r="H1870" i="20"/>
  <c r="H1868" i="20"/>
  <c r="H1866" i="20"/>
  <c r="H1864" i="20"/>
  <c r="H1862" i="20"/>
  <c r="H1860" i="20"/>
  <c r="H1854" i="20"/>
  <c r="H1852" i="20"/>
  <c r="H1850" i="20"/>
  <c r="H1848" i="20"/>
  <c r="H1846" i="20"/>
  <c r="H1844" i="20"/>
  <c r="H1842" i="20"/>
  <c r="H1840" i="20"/>
  <c r="H1838" i="20"/>
  <c r="H1836" i="20"/>
  <c r="H1834" i="20"/>
  <c r="H1832" i="20"/>
  <c r="H1830" i="20"/>
  <c r="H1828" i="20"/>
  <c r="H1826" i="20"/>
  <c r="H1824" i="20"/>
  <c r="H1822" i="20"/>
  <c r="H1820" i="20"/>
  <c r="H1818" i="20"/>
  <c r="H1816" i="20"/>
  <c r="H1811" i="20"/>
  <c r="H1806" i="20"/>
  <c r="H1804" i="20"/>
  <c r="H1802" i="20"/>
  <c r="H1799" i="20"/>
  <c r="H1796" i="20"/>
  <c r="H1794" i="20"/>
  <c r="H1792" i="20"/>
  <c r="H1790" i="20"/>
  <c r="H1788" i="20"/>
  <c r="H1785" i="20"/>
  <c r="H1782" i="20"/>
  <c r="I335" i="19"/>
  <c r="H1780" i="20"/>
  <c r="H1778" i="20"/>
  <c r="H1776" i="20"/>
  <c r="H1774" i="20"/>
  <c r="H1772" i="20"/>
  <c r="H1770" i="20"/>
  <c r="H1768" i="20"/>
  <c r="H1766" i="20"/>
  <c r="H1764" i="20"/>
  <c r="H1762" i="20"/>
  <c r="H1760" i="20"/>
  <c r="H1758" i="20"/>
  <c r="H1756" i="20"/>
  <c r="H1754" i="20"/>
  <c r="H1752" i="20"/>
  <c r="H1750" i="20"/>
  <c r="H1748" i="20"/>
  <c r="H1746" i="20"/>
  <c r="H1744" i="20"/>
  <c r="H1742" i="20"/>
  <c r="H1740" i="20"/>
  <c r="H1738" i="20"/>
  <c r="H1736" i="20"/>
  <c r="H1734" i="20"/>
  <c r="H1732" i="20"/>
  <c r="H1730" i="20"/>
  <c r="H1728" i="20"/>
  <c r="H1726" i="20"/>
  <c r="H1724" i="20"/>
  <c r="H1722" i="20"/>
  <c r="H1720" i="20"/>
  <c r="H1718" i="20"/>
  <c r="H1716" i="20"/>
  <c r="H1714" i="20"/>
  <c r="H1712" i="20"/>
  <c r="H1710" i="20"/>
  <c r="H1706" i="20"/>
  <c r="H1702" i="20"/>
  <c r="H1700" i="20"/>
  <c r="H1698" i="20"/>
  <c r="H1696" i="20"/>
  <c r="H1694" i="20"/>
  <c r="H1692" i="20"/>
  <c r="H1690" i="20"/>
  <c r="H1683" i="20"/>
  <c r="H1680" i="20"/>
  <c r="H1688" i="20"/>
  <c r="H1686" i="20"/>
  <c r="H1678" i="20"/>
  <c r="H1676" i="20"/>
  <c r="H1674" i="20"/>
  <c r="H1672" i="20"/>
  <c r="H1670" i="20"/>
  <c r="H1668" i="20"/>
  <c r="H1666" i="20"/>
  <c r="H1664" i="20"/>
  <c r="H1662" i="20"/>
  <c r="H1660" i="20"/>
  <c r="H1653" i="20"/>
  <c r="H1650" i="20"/>
  <c r="H1658" i="20"/>
  <c r="H1656" i="20"/>
  <c r="H1648" i="20"/>
  <c r="H1645" i="20"/>
  <c r="H1642" i="20"/>
  <c r="H1640" i="20"/>
  <c r="G799" i="20"/>
  <c r="G5" i="20"/>
  <c r="I5" i="20" s="1"/>
  <c r="A800" i="20"/>
  <c r="A6" i="20"/>
  <c r="B799" i="20"/>
  <c r="B5" i="20"/>
  <c r="H799" i="20"/>
  <c r="H5" i="20"/>
  <c r="H1613" i="20"/>
  <c r="H1594" i="20"/>
  <c r="I61" i="19"/>
  <c r="I62" i="19" s="1"/>
  <c r="I566" i="19"/>
  <c r="I567" i="19" s="1"/>
  <c r="I515" i="19"/>
  <c r="I372" i="19"/>
  <c r="I200" i="19"/>
  <c r="I201" i="19" s="1"/>
  <c r="I164" i="19"/>
  <c r="I1360" i="20"/>
  <c r="I516" i="19"/>
  <c r="I373" i="19"/>
  <c r="I536" i="19"/>
  <c r="I114" i="19"/>
  <c r="G17" i="19"/>
  <c r="F18" i="19"/>
  <c r="I594" i="20"/>
  <c r="I17" i="19"/>
  <c r="F163" i="19"/>
  <c r="H162" i="19"/>
  <c r="H112" i="19"/>
  <c r="F113" i="19"/>
  <c r="A1653" i="20" l="1"/>
  <c r="A1650" i="20"/>
  <c r="G1652" i="20"/>
  <c r="G1649" i="20"/>
  <c r="G1682" i="20"/>
  <c r="G1679" i="20"/>
  <c r="A1683" i="20"/>
  <c r="A1680" i="20"/>
  <c r="H1981" i="20"/>
  <c r="H1958" i="20"/>
  <c r="H1708" i="20"/>
  <c r="H1704" i="20"/>
  <c r="H1654" i="20"/>
  <c r="H1651" i="20"/>
  <c r="H1937" i="20"/>
  <c r="H1925" i="20"/>
  <c r="H1813" i="20"/>
  <c r="H1808" i="20"/>
  <c r="H1910" i="20"/>
  <c r="H1894" i="20"/>
  <c r="H1684" i="20"/>
  <c r="H1681" i="20"/>
  <c r="H1707" i="20"/>
  <c r="H1703" i="20"/>
  <c r="H1812" i="20"/>
  <c r="H1807" i="20"/>
  <c r="H1909" i="20"/>
  <c r="H1893" i="20"/>
  <c r="H1980" i="20"/>
  <c r="H1957" i="20"/>
  <c r="H1786" i="20"/>
  <c r="H1783" i="20"/>
  <c r="H800" i="20"/>
  <c r="H6" i="20"/>
  <c r="G800" i="20"/>
  <c r="G6" i="20"/>
  <c r="I6" i="20" s="1"/>
  <c r="A801" i="20"/>
  <c r="A7" i="20"/>
  <c r="B800" i="20"/>
  <c r="B6" i="20"/>
  <c r="H1615" i="20"/>
  <c r="H1596" i="20"/>
  <c r="H1614" i="20"/>
  <c r="H1595" i="20"/>
  <c r="I72" i="20"/>
  <c r="I865" i="20"/>
  <c r="I107" i="20"/>
  <c r="I900" i="20"/>
  <c r="I798" i="20"/>
  <c r="G113" i="19"/>
  <c r="F114" i="19"/>
  <c r="H113" i="19"/>
  <c r="I661" i="20"/>
  <c r="G163" i="19"/>
  <c r="H163" i="19"/>
  <c r="I696" i="20"/>
  <c r="I76" i="20"/>
  <c r="F164" i="19"/>
  <c r="I537" i="19"/>
  <c r="I374" i="19"/>
  <c r="I517" i="19"/>
  <c r="I595" i="20"/>
  <c r="F19" i="19"/>
  <c r="I18" i="19"/>
  <c r="G18" i="19"/>
  <c r="I568" i="19"/>
  <c r="I63" i="19"/>
  <c r="H1982" i="20" l="1"/>
  <c r="H1959" i="20"/>
  <c r="H1911" i="20"/>
  <c r="H1895" i="20"/>
  <c r="H1814" i="20"/>
  <c r="H1809" i="20"/>
  <c r="H1938" i="20"/>
  <c r="H1926" i="20"/>
  <c r="A1684" i="20"/>
  <c r="A1681" i="20"/>
  <c r="G1683" i="20"/>
  <c r="G1680" i="20"/>
  <c r="B1683" i="20"/>
  <c r="B1680" i="20"/>
  <c r="G1653" i="20"/>
  <c r="G1650" i="20"/>
  <c r="A1654" i="20"/>
  <c r="A1651" i="20"/>
  <c r="B1653" i="20"/>
  <c r="B1650" i="20"/>
  <c r="B801" i="20"/>
  <c r="B7" i="20"/>
  <c r="H801" i="20"/>
  <c r="H7" i="20"/>
  <c r="A802" i="20"/>
  <c r="A8" i="20"/>
  <c r="G801" i="20"/>
  <c r="G7" i="20"/>
  <c r="I7" i="20" s="1"/>
  <c r="H1616" i="20"/>
  <c r="H1597" i="20"/>
  <c r="I1679" i="20"/>
  <c r="I901" i="20"/>
  <c r="I1649" i="20"/>
  <c r="I866" i="20"/>
  <c r="I799" i="20"/>
  <c r="I518" i="19"/>
  <c r="I538" i="19"/>
  <c r="H164" i="19"/>
  <c r="I697" i="20"/>
  <c r="I1271" i="20"/>
  <c r="G164" i="19"/>
  <c r="H114" i="19"/>
  <c r="I662" i="20"/>
  <c r="I1241" i="20"/>
  <c r="G114" i="19"/>
  <c r="I19" i="19"/>
  <c r="G19" i="19"/>
  <c r="F20" i="19"/>
  <c r="I596" i="20"/>
  <c r="I64" i="19"/>
  <c r="I569" i="19"/>
  <c r="B79" i="19"/>
  <c r="D49" i="20" s="1"/>
  <c r="H1983" i="20" l="1"/>
  <c r="H1960" i="20"/>
  <c r="B1654" i="20"/>
  <c r="B1651" i="20"/>
  <c r="G1654" i="20"/>
  <c r="G1651" i="20"/>
  <c r="I1651" i="20" s="1"/>
  <c r="B1684" i="20"/>
  <c r="B1681" i="20"/>
  <c r="G1684" i="20"/>
  <c r="G1681" i="20"/>
  <c r="I1681" i="20" s="1"/>
  <c r="H1939" i="20"/>
  <c r="H1927" i="20"/>
  <c r="H1912" i="20"/>
  <c r="H1896" i="20"/>
  <c r="G802" i="20"/>
  <c r="G8" i="20"/>
  <c r="I8" i="20" s="1"/>
  <c r="A803" i="20"/>
  <c r="A9" i="20"/>
  <c r="B802" i="20"/>
  <c r="B8" i="20"/>
  <c r="H802" i="20"/>
  <c r="H8" i="20"/>
  <c r="H1617" i="20"/>
  <c r="H1598" i="20"/>
  <c r="I1268" i="20"/>
  <c r="I1652" i="20"/>
  <c r="I1314" i="20"/>
  <c r="I1682" i="20"/>
  <c r="I800" i="20"/>
  <c r="I1244" i="20"/>
  <c r="I1242" i="20"/>
  <c r="I1274" i="20"/>
  <c r="I1272" i="20"/>
  <c r="I539" i="19"/>
  <c r="I519" i="19"/>
  <c r="F21" i="19"/>
  <c r="G20" i="19"/>
  <c r="I597" i="20"/>
  <c r="I20" i="19"/>
  <c r="I570" i="19"/>
  <c r="I65" i="19"/>
  <c r="Y45" i="26"/>
  <c r="Y46" i="26"/>
  <c r="Y47" i="26"/>
  <c r="Y48" i="26"/>
  <c r="Y49" i="26"/>
  <c r="Y50" i="26"/>
  <c r="Y51" i="26"/>
  <c r="Y52" i="26"/>
  <c r="Y53" i="26"/>
  <c r="Y54" i="26"/>
  <c r="Y55" i="26"/>
  <c r="Y56" i="26"/>
  <c r="Y57" i="26"/>
  <c r="Y58" i="26"/>
  <c r="Y59" i="26"/>
  <c r="Y60" i="26"/>
  <c r="Y61" i="26"/>
  <c r="Y62" i="26"/>
  <c r="Y63" i="26"/>
  <c r="Y64" i="26"/>
  <c r="Y65" i="26"/>
  <c r="Y66" i="26"/>
  <c r="Y67" i="26"/>
  <c r="Y68" i="26"/>
  <c r="Y69" i="26"/>
  <c r="Y70" i="26"/>
  <c r="Y71" i="26"/>
  <c r="Y72" i="26"/>
  <c r="Y73" i="26"/>
  <c r="Y74" i="26"/>
  <c r="Y75" i="26"/>
  <c r="Y76" i="26"/>
  <c r="Y77" i="26"/>
  <c r="Y78" i="26"/>
  <c r="Y79" i="26"/>
  <c r="Y80" i="26"/>
  <c r="Y81" i="26"/>
  <c r="Y82" i="26"/>
  <c r="Y83" i="26"/>
  <c r="Y84" i="26"/>
  <c r="Y85" i="26"/>
  <c r="Y86" i="26"/>
  <c r="Y87" i="26"/>
  <c r="Y88" i="26"/>
  <c r="Y89" i="26"/>
  <c r="Y90" i="26"/>
  <c r="Y91" i="26"/>
  <c r="Y92" i="26"/>
  <c r="Y93" i="26"/>
  <c r="Y94" i="26"/>
  <c r="Y95" i="26"/>
  <c r="Y96" i="26"/>
  <c r="Y97" i="26"/>
  <c r="Y98" i="26"/>
  <c r="Y99" i="26"/>
  <c r="Y100" i="26"/>
  <c r="Y101" i="26"/>
  <c r="Y102" i="26"/>
  <c r="Y103" i="26"/>
  <c r="Y104" i="26"/>
  <c r="Y105" i="26"/>
  <c r="Y106" i="26"/>
  <c r="Y107" i="26"/>
  <c r="Y108" i="26"/>
  <c r="Y109" i="26"/>
  <c r="Y110" i="26"/>
  <c r="Y111" i="26"/>
  <c r="Y112" i="26"/>
  <c r="Y113" i="26"/>
  <c r="Y114" i="26"/>
  <c r="Y115" i="26"/>
  <c r="Y116" i="26"/>
  <c r="Y117" i="26"/>
  <c r="Y118" i="26"/>
  <c r="Y119" i="26"/>
  <c r="Y120" i="26"/>
  <c r="Y121" i="26"/>
  <c r="Y122" i="26"/>
  <c r="Y123" i="26"/>
  <c r="Y124" i="26"/>
  <c r="Y125" i="26"/>
  <c r="Y126" i="26"/>
  <c r="Y127" i="26"/>
  <c r="Y128" i="26"/>
  <c r="Y129" i="26"/>
  <c r="Y130" i="26"/>
  <c r="Y131" i="26"/>
  <c r="Y132" i="26"/>
  <c r="Y133" i="26"/>
  <c r="Y134" i="26"/>
  <c r="Y135" i="26"/>
  <c r="Y136" i="26"/>
  <c r="Y137" i="26"/>
  <c r="Y138" i="26"/>
  <c r="Y139" i="26"/>
  <c r="Y140" i="26"/>
  <c r="Y141" i="26"/>
  <c r="Y142" i="26"/>
  <c r="Y143" i="26"/>
  <c r="Y144" i="26"/>
  <c r="Y145" i="26"/>
  <c r="Y146" i="26"/>
  <c r="Y147" i="26"/>
  <c r="Y148" i="26"/>
  <c r="Y149" i="26"/>
  <c r="Y150" i="26"/>
  <c r="F3" i="28"/>
  <c r="F4" i="28"/>
  <c r="F5" i="28"/>
  <c r="F6" i="28"/>
  <c r="F7" i="28"/>
  <c r="F8" i="28"/>
  <c r="F9" i="28"/>
  <c r="F10" i="28"/>
  <c r="F11" i="28"/>
  <c r="F12" i="28"/>
  <c r="F13" i="28"/>
  <c r="F14" i="28"/>
  <c r="F15" i="28"/>
  <c r="F16" i="28"/>
  <c r="F17" i="28"/>
  <c r="F18" i="28"/>
  <c r="F19" i="28"/>
  <c r="F20" i="28"/>
  <c r="F21" i="28"/>
  <c r="F22" i="28"/>
  <c r="F23" i="28"/>
  <c r="F24" i="28"/>
  <c r="F25" i="28"/>
  <c r="F26" i="28"/>
  <c r="F27" i="28"/>
  <c r="F28" i="28"/>
  <c r="F29" i="28"/>
  <c r="F30" i="28"/>
  <c r="F31" i="28"/>
  <c r="F32" i="28"/>
  <c r="F33" i="28"/>
  <c r="F34" i="28"/>
  <c r="F35" i="28"/>
  <c r="F36" i="28"/>
  <c r="F37" i="28"/>
  <c r="F38" i="28"/>
  <c r="F39" i="28"/>
  <c r="F40" i="28"/>
  <c r="F41" i="28"/>
  <c r="F42" i="28"/>
  <c r="F43" i="28"/>
  <c r="F44" i="28"/>
  <c r="F45" i="28"/>
  <c r="F46" i="28"/>
  <c r="F47" i="28"/>
  <c r="F48" i="28"/>
  <c r="F49" i="28"/>
  <c r="F50" i="28"/>
  <c r="F51" i="28"/>
  <c r="F52" i="28"/>
  <c r="F53" i="28"/>
  <c r="F54" i="28"/>
  <c r="F55" i="28"/>
  <c r="F56" i="28"/>
  <c r="F57" i="28"/>
  <c r="F58" i="28"/>
  <c r="F59" i="28"/>
  <c r="F60" i="28"/>
  <c r="F61" i="28"/>
  <c r="F62" i="28"/>
  <c r="F63" i="28"/>
  <c r="F64" i="28"/>
  <c r="F65" i="28"/>
  <c r="F66" i="28"/>
  <c r="F67" i="28"/>
  <c r="F68" i="28"/>
  <c r="F69" i="28"/>
  <c r="F70" i="28"/>
  <c r="F71" i="28"/>
  <c r="F72" i="28"/>
  <c r="F73" i="28"/>
  <c r="F74" i="28"/>
  <c r="F75" i="28"/>
  <c r="F76" i="28"/>
  <c r="F77" i="28"/>
  <c r="F78" i="28"/>
  <c r="F79" i="28"/>
  <c r="F80" i="28"/>
  <c r="F81" i="28"/>
  <c r="F82" i="28"/>
  <c r="F83" i="28"/>
  <c r="F84" i="28"/>
  <c r="F85" i="28"/>
  <c r="F86" i="28"/>
  <c r="F87" i="28"/>
  <c r="F88" i="28"/>
  <c r="F89" i="28"/>
  <c r="F90" i="28"/>
  <c r="F91" i="28"/>
  <c r="F92" i="28"/>
  <c r="F93" i="28"/>
  <c r="F94" i="28"/>
  <c r="F95" i="28"/>
  <c r="F96" i="28"/>
  <c r="F97" i="28"/>
  <c r="F98" i="28"/>
  <c r="F99" i="28"/>
  <c r="F100" i="28"/>
  <c r="F101" i="28"/>
  <c r="F102" i="28"/>
  <c r="F103" i="28"/>
  <c r="F104" i="28"/>
  <c r="F105" i="28"/>
  <c r="F106" i="28"/>
  <c r="F107" i="28"/>
  <c r="F108" i="28"/>
  <c r="F109" i="28"/>
  <c r="F110" i="28"/>
  <c r="F111" i="28"/>
  <c r="F112" i="28"/>
  <c r="F113" i="28"/>
  <c r="F114" i="28"/>
  <c r="F115" i="28"/>
  <c r="F116" i="28"/>
  <c r="F117" i="28"/>
  <c r="F118" i="28"/>
  <c r="F119" i="28"/>
  <c r="F120" i="28"/>
  <c r="F121" i="28"/>
  <c r="F122" i="28"/>
  <c r="F123" i="28"/>
  <c r="F124" i="28"/>
  <c r="F125" i="28"/>
  <c r="F126" i="28"/>
  <c r="F127" i="28"/>
  <c r="F128" i="28"/>
  <c r="F129" i="28"/>
  <c r="F130" i="28"/>
  <c r="F131" i="28"/>
  <c r="F132" i="28"/>
  <c r="F133" i="28"/>
  <c r="F134" i="28"/>
  <c r="F135" i="28"/>
  <c r="F136" i="28"/>
  <c r="F137" i="28"/>
  <c r="F138" i="28"/>
  <c r="F139" i="28"/>
  <c r="F140" i="28"/>
  <c r="F141" i="28"/>
  <c r="F142" i="28"/>
  <c r="F143" i="28"/>
  <c r="F144" i="28"/>
  <c r="F145" i="28"/>
  <c r="F146" i="28"/>
  <c r="F147" i="28"/>
  <c r="F148" i="28"/>
  <c r="F149" i="28"/>
  <c r="F150" i="28"/>
  <c r="F151" i="28"/>
  <c r="F152" i="28"/>
  <c r="F153" i="28"/>
  <c r="F154" i="28"/>
  <c r="F155" i="28"/>
  <c r="F156" i="28"/>
  <c r="F157" i="28"/>
  <c r="F158" i="28"/>
  <c r="F159" i="28"/>
  <c r="F160" i="28"/>
  <c r="F161" i="28"/>
  <c r="F162" i="28"/>
  <c r="F163" i="28"/>
  <c r="F164" i="28"/>
  <c r="F165" i="28"/>
  <c r="F166" i="28"/>
  <c r="F167" i="28"/>
  <c r="F168" i="28"/>
  <c r="F169" i="28"/>
  <c r="F170" i="28"/>
  <c r="F171" i="28"/>
  <c r="F172" i="28"/>
  <c r="F173" i="28"/>
  <c r="F174" i="28"/>
  <c r="F175" i="28"/>
  <c r="F176" i="28"/>
  <c r="F177" i="28"/>
  <c r="F178" i="28"/>
  <c r="F179" i="28"/>
  <c r="F180" i="28"/>
  <c r="F181" i="28"/>
  <c r="F182" i="28"/>
  <c r="F183" i="28"/>
  <c r="F184" i="28"/>
  <c r="F185" i="28"/>
  <c r="F186" i="28"/>
  <c r="F187" i="28"/>
  <c r="F188" i="28"/>
  <c r="F189" i="28"/>
  <c r="F190" i="28"/>
  <c r="F191" i="28"/>
  <c r="F192" i="28"/>
  <c r="F193" i="28"/>
  <c r="F194" i="28"/>
  <c r="F195" i="28"/>
  <c r="F196" i="28"/>
  <c r="F197" i="28"/>
  <c r="F198" i="28"/>
  <c r="F199" i="28"/>
  <c r="F200" i="28"/>
  <c r="F201" i="28"/>
  <c r="F202" i="28"/>
  <c r="F203" i="28"/>
  <c r="F204" i="28"/>
  <c r="F205" i="28"/>
  <c r="F206" i="28"/>
  <c r="F207" i="28"/>
  <c r="F208" i="28"/>
  <c r="F209" i="28"/>
  <c r="F210" i="28"/>
  <c r="F211" i="28"/>
  <c r="F212" i="28"/>
  <c r="F213" i="28"/>
  <c r="F214" i="28"/>
  <c r="F215" i="28"/>
  <c r="F216" i="28"/>
  <c r="F217" i="28"/>
  <c r="F218" i="28"/>
  <c r="F219" i="28"/>
  <c r="F220" i="28"/>
  <c r="F221" i="28"/>
  <c r="F222" i="28"/>
  <c r="F223" i="28"/>
  <c r="F224" i="28"/>
  <c r="F225" i="28"/>
  <c r="F226" i="28"/>
  <c r="F227" i="28"/>
  <c r="F228" i="28"/>
  <c r="F229" i="28"/>
  <c r="F230" i="28"/>
  <c r="F231" i="28"/>
  <c r="F232" i="28"/>
  <c r="F233" i="28"/>
  <c r="F234" i="28"/>
  <c r="F235" i="28"/>
  <c r="F236" i="28"/>
  <c r="F237" i="28"/>
  <c r="F238" i="28"/>
  <c r="F239" i="28"/>
  <c r="F240" i="28"/>
  <c r="F241" i="28"/>
  <c r="F242" i="28"/>
  <c r="F243" i="28"/>
  <c r="F244" i="28"/>
  <c r="F245" i="28"/>
  <c r="F246" i="28"/>
  <c r="F247" i="28"/>
  <c r="F248" i="28"/>
  <c r="F249" i="28"/>
  <c r="F250" i="28"/>
  <c r="F251" i="28"/>
  <c r="F252" i="28"/>
  <c r="F253" i="28"/>
  <c r="F254" i="28"/>
  <c r="F255" i="28"/>
  <c r="F2" i="28"/>
  <c r="E3" i="28"/>
  <c r="E4" i="28"/>
  <c r="E5" i="28"/>
  <c r="E6" i="28"/>
  <c r="E7" i="28"/>
  <c r="E8" i="28"/>
  <c r="E9" i="28"/>
  <c r="E10" i="28"/>
  <c r="E11" i="28"/>
  <c r="E12" i="28"/>
  <c r="E13" i="28"/>
  <c r="E14" i="28"/>
  <c r="E15" i="28"/>
  <c r="E16" i="28"/>
  <c r="E17" i="28"/>
  <c r="E18" i="28"/>
  <c r="E19" i="28"/>
  <c r="E20" i="28"/>
  <c r="E21" i="28"/>
  <c r="E22" i="28"/>
  <c r="E23" i="28"/>
  <c r="E24" i="28"/>
  <c r="E25" i="28"/>
  <c r="E26" i="28"/>
  <c r="E27" i="28"/>
  <c r="E28" i="28"/>
  <c r="E29" i="28"/>
  <c r="E30" i="28"/>
  <c r="E31" i="28"/>
  <c r="E32" i="28"/>
  <c r="E33" i="28"/>
  <c r="E34" i="28"/>
  <c r="E35" i="28"/>
  <c r="E36" i="28"/>
  <c r="E37" i="28"/>
  <c r="E38" i="28"/>
  <c r="E39" i="28"/>
  <c r="E40" i="28"/>
  <c r="E41" i="28"/>
  <c r="E42" i="28"/>
  <c r="E43" i="28"/>
  <c r="E44" i="28"/>
  <c r="E45" i="28"/>
  <c r="E46" i="28"/>
  <c r="E47" i="28"/>
  <c r="E48" i="28"/>
  <c r="E49" i="28"/>
  <c r="E50" i="28"/>
  <c r="E51" i="28"/>
  <c r="E52" i="28"/>
  <c r="E53" i="28"/>
  <c r="E54" i="28"/>
  <c r="E55" i="28"/>
  <c r="E56" i="28"/>
  <c r="E57" i="28"/>
  <c r="E58" i="28"/>
  <c r="E59" i="28"/>
  <c r="E60" i="28"/>
  <c r="E61" i="28"/>
  <c r="E62" i="28"/>
  <c r="E63" i="28"/>
  <c r="E64" i="28"/>
  <c r="E65" i="28"/>
  <c r="E66" i="28"/>
  <c r="E67" i="28"/>
  <c r="E68" i="28"/>
  <c r="E69" i="28"/>
  <c r="E70" i="28"/>
  <c r="E71" i="28"/>
  <c r="E72" i="28"/>
  <c r="E73" i="28"/>
  <c r="E74" i="28"/>
  <c r="E75" i="28"/>
  <c r="E76" i="28"/>
  <c r="E77" i="28"/>
  <c r="E78" i="28"/>
  <c r="E79" i="28"/>
  <c r="E80" i="28"/>
  <c r="E81" i="28"/>
  <c r="E82" i="28"/>
  <c r="E83" i="28"/>
  <c r="E84" i="28"/>
  <c r="E85" i="28"/>
  <c r="E86" i="28"/>
  <c r="E87" i="28"/>
  <c r="E88" i="28"/>
  <c r="E89" i="28"/>
  <c r="E90" i="28"/>
  <c r="E91" i="28"/>
  <c r="E92" i="28"/>
  <c r="E93" i="28"/>
  <c r="E94" i="28"/>
  <c r="E95" i="28"/>
  <c r="E96" i="28"/>
  <c r="E97" i="28"/>
  <c r="E98" i="28"/>
  <c r="E99" i="28"/>
  <c r="E100" i="28"/>
  <c r="E101" i="28"/>
  <c r="E102" i="28"/>
  <c r="E103" i="28"/>
  <c r="E104" i="28"/>
  <c r="E105" i="28"/>
  <c r="E106" i="28"/>
  <c r="E107" i="28"/>
  <c r="E108" i="28"/>
  <c r="E109" i="28"/>
  <c r="E110" i="28"/>
  <c r="E111" i="28"/>
  <c r="E112" i="28"/>
  <c r="E113" i="28"/>
  <c r="E114" i="28"/>
  <c r="E115" i="28"/>
  <c r="E116" i="28"/>
  <c r="E117" i="28"/>
  <c r="E118" i="28"/>
  <c r="E119" i="28"/>
  <c r="E120" i="28"/>
  <c r="E121" i="28"/>
  <c r="E122" i="28"/>
  <c r="E123" i="28"/>
  <c r="E124" i="28"/>
  <c r="E125" i="28"/>
  <c r="E126" i="28"/>
  <c r="E127" i="28"/>
  <c r="E128" i="28"/>
  <c r="E129" i="28"/>
  <c r="E130" i="28"/>
  <c r="E131" i="28"/>
  <c r="E132" i="28"/>
  <c r="E133" i="28"/>
  <c r="E134" i="28"/>
  <c r="E135" i="28"/>
  <c r="E136" i="28"/>
  <c r="E137" i="28"/>
  <c r="E138" i="28"/>
  <c r="E139" i="28"/>
  <c r="E140" i="28"/>
  <c r="E141" i="28"/>
  <c r="E142" i="28"/>
  <c r="E143" i="28"/>
  <c r="E144" i="28"/>
  <c r="E145" i="28"/>
  <c r="E146" i="28"/>
  <c r="E147" i="28"/>
  <c r="E148" i="28"/>
  <c r="E149" i="28"/>
  <c r="E150" i="28"/>
  <c r="E151" i="28"/>
  <c r="E152" i="28"/>
  <c r="E153" i="28"/>
  <c r="E154" i="28"/>
  <c r="E155" i="28"/>
  <c r="E156" i="28"/>
  <c r="E157" i="28"/>
  <c r="E158" i="28"/>
  <c r="E159" i="28"/>
  <c r="E160" i="28"/>
  <c r="E161" i="28"/>
  <c r="E162" i="28"/>
  <c r="E163" i="28"/>
  <c r="E164" i="28"/>
  <c r="E165" i="28"/>
  <c r="E166" i="28"/>
  <c r="E167" i="28"/>
  <c r="E168" i="28"/>
  <c r="E169" i="28"/>
  <c r="E170" i="28"/>
  <c r="E171" i="28"/>
  <c r="E172" i="28"/>
  <c r="E173" i="28"/>
  <c r="E174" i="28"/>
  <c r="E175" i="28"/>
  <c r="E176" i="28"/>
  <c r="E177" i="28"/>
  <c r="E178" i="28"/>
  <c r="E179" i="28"/>
  <c r="E180" i="28"/>
  <c r="E181" i="28"/>
  <c r="E182" i="28"/>
  <c r="E183" i="28"/>
  <c r="E184" i="28"/>
  <c r="E185" i="28"/>
  <c r="E186" i="28"/>
  <c r="E187" i="28"/>
  <c r="E188" i="28"/>
  <c r="E189" i="28"/>
  <c r="E190" i="28"/>
  <c r="E191" i="28"/>
  <c r="E192" i="28"/>
  <c r="E193" i="28"/>
  <c r="E194" i="28"/>
  <c r="E195" i="28"/>
  <c r="E196" i="28"/>
  <c r="E197" i="28"/>
  <c r="E198" i="28"/>
  <c r="E199" i="28"/>
  <c r="E200" i="28"/>
  <c r="E201" i="28"/>
  <c r="E202" i="28"/>
  <c r="E203" i="28"/>
  <c r="E204" i="28"/>
  <c r="E205" i="28"/>
  <c r="E206" i="28"/>
  <c r="E207" i="28"/>
  <c r="E208" i="28"/>
  <c r="E209" i="28"/>
  <c r="E210" i="28"/>
  <c r="E211" i="28"/>
  <c r="E212" i="28"/>
  <c r="E213" i="28"/>
  <c r="E214" i="28"/>
  <c r="E215" i="28"/>
  <c r="E216" i="28"/>
  <c r="E217" i="28"/>
  <c r="E218" i="28"/>
  <c r="E219" i="28"/>
  <c r="E220" i="28"/>
  <c r="E221" i="28"/>
  <c r="E222" i="28"/>
  <c r="E223" i="28"/>
  <c r="E224" i="28"/>
  <c r="E225" i="28"/>
  <c r="E226" i="28"/>
  <c r="E227" i="28"/>
  <c r="E228" i="28"/>
  <c r="E229" i="28"/>
  <c r="E230" i="28"/>
  <c r="E231" i="28"/>
  <c r="E232" i="28"/>
  <c r="E233" i="28"/>
  <c r="E234" i="28"/>
  <c r="E235" i="28"/>
  <c r="E236" i="28"/>
  <c r="E237" i="28"/>
  <c r="E238" i="28"/>
  <c r="E239" i="28"/>
  <c r="E240" i="28"/>
  <c r="E241" i="28"/>
  <c r="E242" i="28"/>
  <c r="E243" i="28"/>
  <c r="E244" i="28"/>
  <c r="E245" i="28"/>
  <c r="E246" i="28"/>
  <c r="E247" i="28"/>
  <c r="E248" i="28"/>
  <c r="E249" i="28"/>
  <c r="E250" i="28"/>
  <c r="E251" i="28"/>
  <c r="E252" i="28"/>
  <c r="E253" i="28"/>
  <c r="E254" i="28"/>
  <c r="E255" i="28"/>
  <c r="E2" i="28"/>
  <c r="H11" i="23"/>
  <c r="H12" i="23"/>
  <c r="H17" i="23"/>
  <c r="H19" i="23"/>
  <c r="H42" i="23"/>
  <c r="H45" i="23"/>
  <c r="H65" i="23"/>
  <c r="H68" i="23"/>
  <c r="H70" i="23"/>
  <c r="H71" i="23"/>
  <c r="H73" i="23"/>
  <c r="H76" i="23"/>
  <c r="H77" i="23"/>
  <c r="H78" i="23"/>
  <c r="H81" i="23"/>
  <c r="H101" i="23"/>
  <c r="H104" i="23"/>
  <c r="H105" i="23"/>
  <c r="H106" i="23"/>
  <c r="H107" i="23"/>
  <c r="H115" i="23"/>
  <c r="H116" i="23"/>
  <c r="H130" i="23"/>
  <c r="H137" i="23"/>
  <c r="H144" i="23"/>
  <c r="H147" i="23"/>
  <c r="H156" i="23"/>
  <c r="H160" i="23"/>
  <c r="H161" i="23"/>
  <c r="H166" i="23"/>
  <c r="H167" i="23"/>
  <c r="H170" i="23"/>
  <c r="H171" i="23"/>
  <c r="H172" i="23"/>
  <c r="H173" i="23"/>
  <c r="H174" i="23"/>
  <c r="H176" i="23"/>
  <c r="H177" i="23"/>
  <c r="H193" i="23"/>
  <c r="H196" i="23"/>
  <c r="H199" i="23"/>
  <c r="H200" i="23"/>
  <c r="H237" i="23"/>
  <c r="H239" i="23"/>
  <c r="H244" i="23"/>
  <c r="H246" i="23"/>
  <c r="H267" i="23"/>
  <c r="H268" i="23"/>
  <c r="H272" i="23"/>
  <c r="H274" i="23"/>
  <c r="H275" i="23"/>
  <c r="H278" i="23"/>
  <c r="H287" i="23"/>
  <c r="H294" i="23"/>
  <c r="H295" i="23"/>
  <c r="H296" i="23"/>
  <c r="H306" i="23"/>
  <c r="H320" i="23"/>
  <c r="H321" i="23"/>
  <c r="H322" i="23"/>
  <c r="H333" i="23"/>
  <c r="H334" i="23"/>
  <c r="H335" i="23"/>
  <c r="H338" i="23"/>
  <c r="H339" i="23"/>
  <c r="H340" i="23"/>
  <c r="H344" i="23"/>
  <c r="H354" i="23"/>
  <c r="H358" i="23"/>
  <c r="H361" i="23"/>
  <c r="H2" i="23"/>
  <c r="G11" i="23"/>
  <c r="G12" i="23"/>
  <c r="G17" i="23"/>
  <c r="G19" i="23"/>
  <c r="G42" i="23"/>
  <c r="G45" i="23"/>
  <c r="G65" i="23"/>
  <c r="G68" i="23"/>
  <c r="G70" i="23"/>
  <c r="G71" i="23"/>
  <c r="G73" i="23"/>
  <c r="G76" i="23"/>
  <c r="G77" i="23"/>
  <c r="G78" i="23"/>
  <c r="G81" i="23"/>
  <c r="G101" i="23"/>
  <c r="G104" i="23"/>
  <c r="G105" i="23"/>
  <c r="G106" i="23"/>
  <c r="G107" i="23"/>
  <c r="G115" i="23"/>
  <c r="G116" i="23"/>
  <c r="G130" i="23"/>
  <c r="G137" i="23"/>
  <c r="G144" i="23"/>
  <c r="G147" i="23"/>
  <c r="G156" i="23"/>
  <c r="G160" i="23"/>
  <c r="G161" i="23"/>
  <c r="G166" i="23"/>
  <c r="G167" i="23"/>
  <c r="G170" i="23"/>
  <c r="G171" i="23"/>
  <c r="G172" i="23"/>
  <c r="G173" i="23"/>
  <c r="G174" i="23"/>
  <c r="G176" i="23"/>
  <c r="G177" i="23"/>
  <c r="G193" i="23"/>
  <c r="G196" i="23"/>
  <c r="G199" i="23"/>
  <c r="G200" i="23"/>
  <c r="G237" i="23"/>
  <c r="G239" i="23"/>
  <c r="G244" i="23"/>
  <c r="G246" i="23"/>
  <c r="G267" i="23"/>
  <c r="G268" i="23"/>
  <c r="G272" i="23"/>
  <c r="G274" i="23"/>
  <c r="G275" i="23"/>
  <c r="G278" i="23"/>
  <c r="G287" i="23"/>
  <c r="G294" i="23"/>
  <c r="G295" i="23"/>
  <c r="G296" i="23"/>
  <c r="G306" i="23"/>
  <c r="G320" i="23"/>
  <c r="G321" i="23"/>
  <c r="G322" i="23"/>
  <c r="G333" i="23"/>
  <c r="G334" i="23"/>
  <c r="G335" i="23"/>
  <c r="G338" i="23"/>
  <c r="G339" i="23"/>
  <c r="G340" i="23"/>
  <c r="G344" i="23"/>
  <c r="G354" i="23"/>
  <c r="G358" i="23"/>
  <c r="G361" i="23"/>
  <c r="G2" i="23"/>
  <c r="F11" i="23"/>
  <c r="F12" i="23"/>
  <c r="F17" i="23"/>
  <c r="F19" i="23"/>
  <c r="F42" i="23"/>
  <c r="F45" i="23"/>
  <c r="F65" i="23"/>
  <c r="F68" i="23"/>
  <c r="F70" i="23"/>
  <c r="F71" i="23"/>
  <c r="F73" i="23"/>
  <c r="F76" i="23"/>
  <c r="F77" i="23"/>
  <c r="F78" i="23"/>
  <c r="F81" i="23"/>
  <c r="F101" i="23"/>
  <c r="F104" i="23"/>
  <c r="F105" i="23"/>
  <c r="F106" i="23"/>
  <c r="F107" i="23"/>
  <c r="F115" i="23"/>
  <c r="V10" i="20" s="1"/>
  <c r="F116" i="23"/>
  <c r="F130" i="23"/>
  <c r="F137" i="23"/>
  <c r="F144" i="23"/>
  <c r="F147" i="23"/>
  <c r="F156" i="23"/>
  <c r="F160" i="23"/>
  <c r="F161" i="23"/>
  <c r="F166" i="23"/>
  <c r="F167" i="23"/>
  <c r="F170" i="23"/>
  <c r="F171" i="23"/>
  <c r="F172" i="23"/>
  <c r="F173" i="23"/>
  <c r="F174" i="23"/>
  <c r="F176" i="23"/>
  <c r="F177" i="23"/>
  <c r="F193" i="23"/>
  <c r="F196" i="23"/>
  <c r="F199" i="23"/>
  <c r="F200" i="23"/>
  <c r="F237" i="23"/>
  <c r="F239" i="23"/>
  <c r="F244" i="23"/>
  <c r="F246" i="23"/>
  <c r="F267" i="23"/>
  <c r="F268" i="23"/>
  <c r="F272" i="23"/>
  <c r="F274" i="23"/>
  <c r="F275" i="23"/>
  <c r="F278" i="23"/>
  <c r="F287" i="23"/>
  <c r="F294" i="23"/>
  <c r="F295" i="23"/>
  <c r="F296" i="23"/>
  <c r="F306" i="23"/>
  <c r="F320" i="23"/>
  <c r="F321" i="23"/>
  <c r="F322" i="23"/>
  <c r="F333" i="23"/>
  <c r="F334" i="23"/>
  <c r="F335" i="23"/>
  <c r="F338" i="23"/>
  <c r="F339" i="23"/>
  <c r="F340" i="23"/>
  <c r="F344" i="23"/>
  <c r="F354" i="23"/>
  <c r="F358" i="23"/>
  <c r="F361" i="23"/>
  <c r="F2" i="23"/>
  <c r="X1957" i="20"/>
  <c r="X1991" i="20"/>
  <c r="X1630" i="20"/>
  <c r="X1924" i="20"/>
  <c r="X1922" i="20"/>
  <c r="X1995" i="20"/>
  <c r="X1967" i="20"/>
  <c r="X1697" i="20"/>
  <c r="X1955" i="20"/>
  <c r="X1889" i="20"/>
  <c r="X1717" i="20"/>
  <c r="X1596" i="20"/>
  <c r="X1814" i="20"/>
  <c r="X1958" i="20"/>
  <c r="X1982" i="20"/>
  <c r="X1962" i="20"/>
  <c r="X1977" i="20"/>
  <c r="X1918" i="20"/>
  <c r="X1903" i="20"/>
  <c r="X1970" i="20"/>
  <c r="X1969" i="20"/>
  <c r="X1677" i="20"/>
  <c r="X1990" i="20"/>
  <c r="X1979" i="20"/>
  <c r="X1906" i="20"/>
  <c r="X1713" i="20"/>
  <c r="X1959" i="20"/>
  <c r="X1598" i="20"/>
  <c r="X1910" i="20"/>
  <c r="X1919" i="20"/>
  <c r="X1983" i="20"/>
  <c r="X1731" i="20"/>
  <c r="X1920" i="20"/>
  <c r="X1800" i="20"/>
  <c r="X1966" i="20"/>
  <c r="X1733" i="20"/>
  <c r="X1911" i="20"/>
  <c r="X1981" i="20"/>
  <c r="X1984" i="20"/>
  <c r="X1994" i="20"/>
  <c r="X1925" i="20"/>
  <c r="X1602" i="20"/>
  <c r="X1931" i="20"/>
  <c r="X1936" i="20"/>
  <c r="X1912" i="20"/>
  <c r="X1932" i="20"/>
  <c r="X1806" i="20"/>
  <c r="X1933" i="20"/>
  <c r="X1926" i="20"/>
  <c r="X1593" i="20"/>
  <c r="X1987" i="20"/>
  <c r="X1985" i="20"/>
  <c r="X1923" i="20"/>
  <c r="X1861" i="20"/>
  <c r="X1996" i="20"/>
  <c r="X1963" i="20"/>
  <c r="X1663" i="20"/>
  <c r="X1601" i="20"/>
  <c r="X1887" i="20"/>
  <c r="X1997" i="20"/>
  <c r="X1851" i="20"/>
  <c r="X1857" i="20"/>
  <c r="X1972" i="20"/>
  <c r="X1961" i="20"/>
  <c r="X1974" i="20"/>
  <c r="X1937" i="20"/>
  <c r="X1980" i="20"/>
  <c r="X1964" i="20"/>
  <c r="X1973" i="20"/>
  <c r="X1927" i="20"/>
  <c r="X1988" i="20"/>
  <c r="X1917" i="20"/>
  <c r="X1916" i="20"/>
  <c r="X1930" i="20"/>
  <c r="X1909" i="20"/>
  <c r="X1989" i="20"/>
  <c r="X1993" i="20"/>
  <c r="X1915" i="20"/>
  <c r="X1956" i="20"/>
  <c r="X1960" i="20"/>
  <c r="X1965" i="20"/>
  <c r="X1968" i="20"/>
  <c r="X1707" i="20"/>
  <c r="X1921" i="20"/>
  <c r="X1929" i="20"/>
  <c r="X1908" i="20"/>
  <c r="X1934" i="20"/>
  <c r="X1992" i="20"/>
  <c r="X1907" i="20"/>
  <c r="X1971" i="20"/>
  <c r="X1928" i="20"/>
  <c r="X1914" i="20"/>
  <c r="V11" i="20"/>
  <c r="H1984" i="20" l="1"/>
  <c r="H1961" i="20"/>
  <c r="H1913" i="20"/>
  <c r="H1897" i="20"/>
  <c r="H1940" i="20"/>
  <c r="H1928" i="20"/>
  <c r="H803" i="20"/>
  <c r="H9" i="20"/>
  <c r="G803" i="20"/>
  <c r="G9" i="20"/>
  <c r="I9" i="20" s="1"/>
  <c r="B803" i="20"/>
  <c r="B9" i="20"/>
  <c r="A804" i="20"/>
  <c r="A10" i="20"/>
  <c r="H1618" i="20"/>
  <c r="H1599" i="20"/>
  <c r="I1363" i="20"/>
  <c r="I520" i="19"/>
  <c r="I540" i="19"/>
  <c r="I598" i="20"/>
  <c r="G21" i="19"/>
  <c r="I21" i="19"/>
  <c r="F22" i="19"/>
  <c r="I66" i="19"/>
  <c r="I571" i="19"/>
  <c r="L593" i="20"/>
  <c r="K593" i="20"/>
  <c r="L594" i="20"/>
  <c r="K594" i="20"/>
  <c r="L595" i="20"/>
  <c r="K595" i="20"/>
  <c r="L596" i="20"/>
  <c r="K596" i="20"/>
  <c r="L597" i="20"/>
  <c r="K597" i="20"/>
  <c r="L598" i="20"/>
  <c r="K598" i="20"/>
  <c r="L599" i="20"/>
  <c r="K599" i="20"/>
  <c r="L600" i="20"/>
  <c r="K600" i="20"/>
  <c r="L601" i="20"/>
  <c r="K601" i="20"/>
  <c r="L602" i="20"/>
  <c r="K602" i="20"/>
  <c r="L603" i="20"/>
  <c r="K603" i="20"/>
  <c r="L604" i="20"/>
  <c r="K604" i="20"/>
  <c r="L605" i="20"/>
  <c r="K605" i="20"/>
  <c r="L606" i="20"/>
  <c r="K606" i="20"/>
  <c r="L607" i="20"/>
  <c r="K607" i="20"/>
  <c r="L608" i="20"/>
  <c r="K608" i="20"/>
  <c r="L609" i="20"/>
  <c r="K609" i="20"/>
  <c r="J610" i="20"/>
  <c r="L610" i="20"/>
  <c r="K610" i="20"/>
  <c r="J611" i="20"/>
  <c r="L611" i="20"/>
  <c r="K611" i="20"/>
  <c r="J612" i="20"/>
  <c r="L612" i="20"/>
  <c r="K612" i="20"/>
  <c r="J613" i="20"/>
  <c r="L613" i="20"/>
  <c r="K613" i="20"/>
  <c r="J614" i="20"/>
  <c r="L614" i="20"/>
  <c r="K614" i="20"/>
  <c r="J615" i="20"/>
  <c r="L615" i="20"/>
  <c r="K615" i="20"/>
  <c r="L616" i="20"/>
  <c r="K616" i="20"/>
  <c r="J617" i="20"/>
  <c r="L617" i="20"/>
  <c r="K617" i="20"/>
  <c r="J618" i="20"/>
  <c r="L618" i="20"/>
  <c r="K618" i="20"/>
  <c r="J619" i="20"/>
  <c r="L619" i="20"/>
  <c r="K619" i="20"/>
  <c r="J620" i="20"/>
  <c r="L620" i="20"/>
  <c r="K620" i="20"/>
  <c r="J621" i="20"/>
  <c r="L621" i="20"/>
  <c r="K621" i="20"/>
  <c r="J622" i="20"/>
  <c r="L622" i="20"/>
  <c r="K622" i="20"/>
  <c r="L623" i="20"/>
  <c r="K623" i="20"/>
  <c r="J624" i="20"/>
  <c r="L624" i="20"/>
  <c r="K624" i="20"/>
  <c r="J625" i="20"/>
  <c r="L625" i="20"/>
  <c r="K625" i="20"/>
  <c r="J626" i="20"/>
  <c r="L626" i="20"/>
  <c r="K626" i="20"/>
  <c r="J627" i="20"/>
  <c r="L627" i="20"/>
  <c r="K627" i="20"/>
  <c r="J628" i="20"/>
  <c r="L628" i="20"/>
  <c r="K628" i="20"/>
  <c r="J629" i="20"/>
  <c r="L629" i="20"/>
  <c r="K629" i="20"/>
  <c r="L630" i="20"/>
  <c r="K630" i="20"/>
  <c r="J631" i="20"/>
  <c r="L631" i="20"/>
  <c r="K631" i="20"/>
  <c r="J632" i="20"/>
  <c r="L632" i="20"/>
  <c r="K632" i="20"/>
  <c r="J633" i="20"/>
  <c r="L633" i="20"/>
  <c r="K633" i="20"/>
  <c r="J634" i="20"/>
  <c r="L634" i="20"/>
  <c r="K634" i="20"/>
  <c r="J635" i="20"/>
  <c r="L635" i="20"/>
  <c r="K635" i="20"/>
  <c r="J636" i="20"/>
  <c r="L636" i="20"/>
  <c r="K636" i="20"/>
  <c r="L637" i="20"/>
  <c r="K637" i="20"/>
  <c r="L1204" i="20"/>
  <c r="K1204" i="20"/>
  <c r="J1205" i="20"/>
  <c r="L1205" i="20"/>
  <c r="K1205" i="20"/>
  <c r="J1206" i="20"/>
  <c r="L1206" i="20"/>
  <c r="K1206" i="20"/>
  <c r="J1207" i="20"/>
  <c r="L1207" i="20"/>
  <c r="K1207" i="20"/>
  <c r="J1208" i="20"/>
  <c r="L1208" i="20"/>
  <c r="K1208" i="20"/>
  <c r="J1209" i="20"/>
  <c r="L1209" i="20"/>
  <c r="K1209" i="20"/>
  <c r="L1210" i="20"/>
  <c r="K1210" i="20"/>
  <c r="J1211" i="20"/>
  <c r="L1211" i="20"/>
  <c r="K1211" i="20"/>
  <c r="J1212" i="20"/>
  <c r="L1212" i="20"/>
  <c r="K1212" i="20"/>
  <c r="J1213" i="20"/>
  <c r="L1213" i="20"/>
  <c r="K1213" i="20"/>
  <c r="J1214" i="20"/>
  <c r="L1214" i="20"/>
  <c r="K1214" i="20"/>
  <c r="J1215" i="20"/>
  <c r="L1215" i="20"/>
  <c r="K1215" i="20"/>
  <c r="J1216" i="20"/>
  <c r="L1216" i="20"/>
  <c r="K1216" i="20"/>
  <c r="J1217" i="20"/>
  <c r="L1217" i="20"/>
  <c r="K1217" i="20"/>
  <c r="L1218" i="20"/>
  <c r="K1218" i="20"/>
  <c r="J1219" i="20"/>
  <c r="L1219" i="20"/>
  <c r="K1219" i="20"/>
  <c r="J1220" i="20"/>
  <c r="L1220" i="20"/>
  <c r="K1220" i="20"/>
  <c r="J1221" i="20"/>
  <c r="L1221" i="20"/>
  <c r="K1221" i="20"/>
  <c r="J1222" i="20"/>
  <c r="L1222" i="20"/>
  <c r="K1222" i="20"/>
  <c r="J638" i="20"/>
  <c r="L638" i="20"/>
  <c r="K638" i="20"/>
  <c r="J639" i="20"/>
  <c r="L639" i="20"/>
  <c r="K639" i="20"/>
  <c r="K640" i="20"/>
  <c r="K641" i="20"/>
  <c r="J642" i="20"/>
  <c r="L642" i="20"/>
  <c r="K642" i="20"/>
  <c r="J1225" i="20"/>
  <c r="K1225" i="20"/>
  <c r="J1226" i="20"/>
  <c r="L1226" i="20"/>
  <c r="K1226" i="20"/>
  <c r="J643" i="20"/>
  <c r="L643" i="20"/>
  <c r="K643" i="20"/>
  <c r="J644" i="20"/>
  <c r="L644" i="20"/>
  <c r="K644" i="20"/>
  <c r="K645" i="20"/>
  <c r="J646" i="20"/>
  <c r="L646" i="20"/>
  <c r="K646" i="20"/>
  <c r="J647" i="20"/>
  <c r="L647" i="20"/>
  <c r="K647" i="20"/>
  <c r="J1229" i="20"/>
  <c r="K1229" i="20"/>
  <c r="J1230" i="20"/>
  <c r="L1230" i="20"/>
  <c r="K1230" i="20"/>
  <c r="J648" i="20"/>
  <c r="L648" i="20"/>
  <c r="K648" i="20"/>
  <c r="J649" i="20"/>
  <c r="L649" i="20"/>
  <c r="K649" i="20"/>
  <c r="K650" i="20"/>
  <c r="J651" i="20"/>
  <c r="L651" i="20"/>
  <c r="K651" i="20"/>
  <c r="J652" i="20"/>
  <c r="L652" i="20"/>
  <c r="K652" i="20"/>
  <c r="J1233" i="20"/>
  <c r="K1233" i="20"/>
  <c r="J1234" i="20"/>
  <c r="L1234" i="20"/>
  <c r="K1234" i="20"/>
  <c r="J653" i="20"/>
  <c r="L653" i="20"/>
  <c r="K653" i="20"/>
  <c r="J654" i="20"/>
  <c r="L654" i="20"/>
  <c r="K654" i="20"/>
  <c r="K655" i="20"/>
  <c r="J656" i="20"/>
  <c r="L656" i="20"/>
  <c r="K656" i="20"/>
  <c r="J657" i="20"/>
  <c r="L657" i="20"/>
  <c r="K657" i="20"/>
  <c r="J1238" i="20"/>
  <c r="K1238" i="20"/>
  <c r="J1239" i="20"/>
  <c r="L1239" i="20"/>
  <c r="K1239" i="20"/>
  <c r="J1240" i="20"/>
  <c r="L1240" i="20"/>
  <c r="K1240" i="20"/>
  <c r="J658" i="20"/>
  <c r="L658" i="20"/>
  <c r="K658" i="20"/>
  <c r="L659" i="20"/>
  <c r="K659" i="20"/>
  <c r="K660" i="20"/>
  <c r="J661" i="20"/>
  <c r="L661" i="20"/>
  <c r="K661" i="20"/>
  <c r="J662" i="20"/>
  <c r="K662" i="20"/>
  <c r="J1244" i="20"/>
  <c r="L1244" i="20"/>
  <c r="K1244" i="20"/>
  <c r="J1245" i="20"/>
  <c r="L1245" i="20"/>
  <c r="K1245" i="20"/>
  <c r="J1246" i="20"/>
  <c r="L1246" i="20"/>
  <c r="K1246" i="20"/>
  <c r="K663" i="20"/>
  <c r="K664" i="20"/>
  <c r="J665" i="20"/>
  <c r="L665" i="20"/>
  <c r="K665" i="20"/>
  <c r="J666" i="20"/>
  <c r="L666" i="20"/>
  <c r="K666" i="20"/>
  <c r="J667" i="20"/>
  <c r="L667" i="20"/>
  <c r="K667" i="20"/>
  <c r="J1249" i="20"/>
  <c r="L1249" i="20"/>
  <c r="K1249" i="20"/>
  <c r="J1250" i="20"/>
  <c r="L1250" i="20"/>
  <c r="K1250" i="20"/>
  <c r="J668" i="20"/>
  <c r="L668" i="20"/>
  <c r="K668" i="20"/>
  <c r="K669" i="20"/>
  <c r="K670" i="20"/>
  <c r="K671" i="20"/>
  <c r="K672" i="20"/>
  <c r="J1253" i="20"/>
  <c r="L1253" i="20"/>
  <c r="K1253" i="20"/>
  <c r="J1254" i="20"/>
  <c r="K1254" i="20"/>
  <c r="J673" i="20"/>
  <c r="L673" i="20"/>
  <c r="K673" i="20"/>
  <c r="K674" i="20"/>
  <c r="K675" i="20"/>
  <c r="K676" i="20"/>
  <c r="J677" i="20"/>
  <c r="K677" i="20"/>
  <c r="J1257" i="20"/>
  <c r="L1257" i="20"/>
  <c r="K1257" i="20"/>
  <c r="J1258" i="20"/>
  <c r="K1258" i="20"/>
  <c r="J678" i="20"/>
  <c r="L678" i="20"/>
  <c r="K678" i="20"/>
  <c r="K679" i="20"/>
  <c r="K680" i="20"/>
  <c r="K681" i="20"/>
  <c r="J682" i="20"/>
  <c r="K682" i="20"/>
  <c r="J1261" i="20"/>
  <c r="L1261" i="20"/>
  <c r="K1261" i="20"/>
  <c r="J1262" i="20"/>
  <c r="K1262" i="20"/>
  <c r="J683" i="20"/>
  <c r="L683" i="20"/>
  <c r="K683" i="20"/>
  <c r="K684" i="20"/>
  <c r="J685" i="20"/>
  <c r="L685" i="20"/>
  <c r="K685" i="20"/>
  <c r="K686" i="20"/>
  <c r="J687" i="20"/>
  <c r="K687" i="20"/>
  <c r="J1265" i="20"/>
  <c r="L1265" i="20"/>
  <c r="K1265" i="20"/>
  <c r="J1266" i="20"/>
  <c r="K1266" i="20"/>
  <c r="J688" i="20"/>
  <c r="L688" i="20"/>
  <c r="K688" i="20"/>
  <c r="K689" i="20"/>
  <c r="L690" i="20"/>
  <c r="K690" i="20"/>
  <c r="L691" i="20"/>
  <c r="K691" i="20"/>
  <c r="K692" i="20"/>
  <c r="J1269" i="20"/>
  <c r="L1269" i="20"/>
  <c r="K1269" i="20"/>
  <c r="J1270" i="20"/>
  <c r="K1270" i="20"/>
  <c r="J693" i="20"/>
  <c r="L693" i="20"/>
  <c r="K693" i="20"/>
  <c r="J694" i="20"/>
  <c r="L694" i="20"/>
  <c r="K694" i="20"/>
  <c r="J695" i="20"/>
  <c r="L695" i="20"/>
  <c r="K695" i="20"/>
  <c r="K696" i="20"/>
  <c r="J697" i="20"/>
  <c r="L697" i="20"/>
  <c r="K697" i="20"/>
  <c r="J1274" i="20"/>
  <c r="L1274" i="20"/>
  <c r="K1274" i="20"/>
  <c r="J1275" i="20"/>
  <c r="K1275" i="20"/>
  <c r="J1276" i="20"/>
  <c r="L1276" i="20"/>
  <c r="K1276" i="20"/>
  <c r="J698" i="20"/>
  <c r="L698" i="20"/>
  <c r="K698" i="20"/>
  <c r="J699" i="20"/>
  <c r="L699" i="20"/>
  <c r="K699" i="20"/>
  <c r="L700" i="20"/>
  <c r="K700" i="20"/>
  <c r="K701" i="20"/>
  <c r="K702" i="20"/>
  <c r="J1279" i="20"/>
  <c r="K1279" i="20"/>
  <c r="J1280" i="20"/>
  <c r="K1280" i="20"/>
  <c r="J703" i="20"/>
  <c r="L703" i="20"/>
  <c r="K703" i="20"/>
  <c r="J704" i="20"/>
  <c r="L704" i="20"/>
  <c r="K704" i="20"/>
  <c r="K705" i="20"/>
  <c r="K706" i="20"/>
  <c r="K707" i="20"/>
  <c r="J1283" i="20"/>
  <c r="K1283" i="20"/>
  <c r="J1284" i="20"/>
  <c r="K1284" i="20"/>
  <c r="J708" i="20"/>
  <c r="L708" i="20"/>
  <c r="K708" i="20"/>
  <c r="J709" i="20"/>
  <c r="L709" i="20"/>
  <c r="K709" i="20"/>
  <c r="K710" i="20"/>
  <c r="K711" i="20"/>
  <c r="K712" i="20"/>
  <c r="J1287" i="20"/>
  <c r="K1287" i="20"/>
  <c r="J1288" i="20"/>
  <c r="K1288" i="20"/>
  <c r="J713" i="20"/>
  <c r="L713" i="20"/>
  <c r="K713" i="20"/>
  <c r="J714" i="20"/>
  <c r="L714" i="20"/>
  <c r="K714" i="20"/>
  <c r="K715" i="20"/>
  <c r="K716" i="20"/>
  <c r="J717" i="20"/>
  <c r="L717" i="20"/>
  <c r="K717" i="20"/>
  <c r="J1291" i="20"/>
  <c r="L1291" i="20"/>
  <c r="K1291" i="20"/>
  <c r="J1292" i="20"/>
  <c r="K1292" i="20"/>
  <c r="J718" i="20"/>
  <c r="L718" i="20"/>
  <c r="K718" i="20"/>
  <c r="J719" i="20"/>
  <c r="L719" i="20"/>
  <c r="K719" i="20"/>
  <c r="L720" i="20"/>
  <c r="K720" i="20"/>
  <c r="K721" i="20"/>
  <c r="J722" i="20"/>
  <c r="L722" i="20"/>
  <c r="K722" i="20"/>
  <c r="J1297" i="20"/>
  <c r="L1297" i="20"/>
  <c r="K1297" i="20"/>
  <c r="K1298" i="20"/>
  <c r="J1299" i="20"/>
  <c r="L1299" i="20"/>
  <c r="K1299" i="20"/>
  <c r="J1300" i="20"/>
  <c r="K1300" i="20"/>
  <c r="L723" i="20"/>
  <c r="K723" i="20"/>
  <c r="J724" i="20"/>
  <c r="L724" i="20"/>
  <c r="K724" i="20"/>
  <c r="J725" i="20"/>
  <c r="L725" i="20"/>
  <c r="K725" i="20"/>
  <c r="K726" i="20"/>
  <c r="J727" i="20"/>
  <c r="L727" i="20"/>
  <c r="K727" i="20"/>
  <c r="J1303" i="20"/>
  <c r="L1303" i="20"/>
  <c r="K1303" i="20"/>
  <c r="J1304" i="20"/>
  <c r="K1304" i="20"/>
  <c r="K728" i="20"/>
  <c r="K729" i="20"/>
  <c r="J730" i="20"/>
  <c r="L730" i="20"/>
  <c r="K730" i="20"/>
  <c r="J731" i="20"/>
  <c r="K731" i="20"/>
  <c r="J732" i="20"/>
  <c r="L732" i="20"/>
  <c r="K732" i="20"/>
  <c r="J1307" i="20"/>
  <c r="L1307" i="20"/>
  <c r="K1307" i="20"/>
  <c r="J1308" i="20"/>
  <c r="K1308" i="20"/>
  <c r="L733" i="20"/>
  <c r="K733" i="20"/>
  <c r="K734" i="20"/>
  <c r="J735" i="20"/>
  <c r="L735" i="20"/>
  <c r="K735" i="20"/>
  <c r="K736" i="20"/>
  <c r="K737" i="20"/>
  <c r="J1311" i="20"/>
  <c r="L1311" i="20"/>
  <c r="K1311" i="20"/>
  <c r="J1312" i="20"/>
  <c r="K1312" i="20"/>
  <c r="L738" i="20"/>
  <c r="K738" i="20"/>
  <c r="J739" i="20"/>
  <c r="L739" i="20"/>
  <c r="K739" i="20"/>
  <c r="J740" i="20"/>
  <c r="K740" i="20"/>
  <c r="K741" i="20"/>
  <c r="J742" i="20"/>
  <c r="L742" i="20"/>
  <c r="K742" i="20"/>
  <c r="J1315" i="20"/>
  <c r="L1315" i="20"/>
  <c r="K1315" i="20"/>
  <c r="J1316" i="20"/>
  <c r="K1316" i="20"/>
  <c r="L743" i="20"/>
  <c r="K743" i="20"/>
  <c r="J744" i="20"/>
  <c r="L744" i="20"/>
  <c r="K744" i="20"/>
  <c r="J745" i="20"/>
  <c r="L745" i="20"/>
  <c r="K745" i="20"/>
  <c r="J746" i="20"/>
  <c r="L746" i="20"/>
  <c r="K746" i="20"/>
  <c r="J747" i="20"/>
  <c r="L747" i="20"/>
  <c r="K747" i="20"/>
  <c r="J1319" i="20"/>
  <c r="L1319" i="20"/>
  <c r="K1319" i="20"/>
  <c r="J1320" i="20"/>
  <c r="L1320" i="20"/>
  <c r="K1320" i="20"/>
  <c r="K748" i="20"/>
  <c r="J749" i="20"/>
  <c r="L749" i="20"/>
  <c r="K749" i="20"/>
  <c r="J750" i="20"/>
  <c r="L750" i="20"/>
  <c r="K750" i="20"/>
  <c r="J751" i="20"/>
  <c r="K751" i="20"/>
  <c r="J752" i="20"/>
  <c r="L752" i="20"/>
  <c r="K752" i="20"/>
  <c r="J1323" i="20"/>
  <c r="L1323" i="20"/>
  <c r="K1323" i="20"/>
  <c r="J1324" i="20"/>
  <c r="L1324" i="20"/>
  <c r="K1324" i="20"/>
  <c r="L753" i="20"/>
  <c r="K753" i="20"/>
  <c r="J754" i="20"/>
  <c r="L754" i="20"/>
  <c r="K754" i="20"/>
  <c r="J755" i="20"/>
  <c r="L755" i="20"/>
  <c r="K755" i="20"/>
  <c r="J756" i="20"/>
  <c r="L756" i="20"/>
  <c r="K756" i="20"/>
  <c r="J757" i="20"/>
  <c r="L757" i="20"/>
  <c r="K757" i="20"/>
  <c r="J1327" i="20"/>
  <c r="L1327" i="20"/>
  <c r="K1327" i="20"/>
  <c r="J1328" i="20"/>
  <c r="L1328" i="20"/>
  <c r="K1328" i="20"/>
  <c r="K758" i="20"/>
  <c r="J759" i="20"/>
  <c r="L759" i="20"/>
  <c r="K759" i="20"/>
  <c r="J760" i="20"/>
  <c r="L760" i="20"/>
  <c r="K760" i="20"/>
  <c r="K761" i="20"/>
  <c r="K762" i="20"/>
  <c r="J1331" i="20"/>
  <c r="L1331" i="20"/>
  <c r="K1331" i="20"/>
  <c r="J1332" i="20"/>
  <c r="K1332" i="20"/>
  <c r="L763" i="20"/>
  <c r="K763" i="20"/>
  <c r="J764" i="20"/>
  <c r="L764" i="20"/>
  <c r="K764" i="20"/>
  <c r="J765" i="20"/>
  <c r="L765" i="20"/>
  <c r="K765" i="20"/>
  <c r="J766" i="20"/>
  <c r="L766" i="20"/>
  <c r="K766" i="20"/>
  <c r="K767" i="20"/>
  <c r="J1335" i="20"/>
  <c r="L1335" i="20"/>
  <c r="K1335" i="20"/>
  <c r="J1336" i="20"/>
  <c r="K1336" i="20"/>
  <c r="K768" i="20"/>
  <c r="J769" i="20"/>
  <c r="L769" i="20"/>
  <c r="K769" i="20"/>
  <c r="J770" i="20"/>
  <c r="L770" i="20"/>
  <c r="K770" i="20"/>
  <c r="J771" i="20"/>
  <c r="K771" i="20"/>
  <c r="J772" i="20"/>
  <c r="L772" i="20"/>
  <c r="K772" i="20"/>
  <c r="J1339" i="20"/>
  <c r="L1339" i="20"/>
  <c r="K1339" i="20"/>
  <c r="J1340" i="20"/>
  <c r="L1340" i="20"/>
  <c r="K1340" i="20"/>
  <c r="L773" i="20"/>
  <c r="K773" i="20"/>
  <c r="J774" i="20"/>
  <c r="L774" i="20"/>
  <c r="K774" i="20"/>
  <c r="J775" i="20"/>
  <c r="L775" i="20"/>
  <c r="K775" i="20"/>
  <c r="J776" i="20"/>
  <c r="L776" i="20"/>
  <c r="K776" i="20"/>
  <c r="J777" i="20"/>
  <c r="L777" i="20"/>
  <c r="K777" i="20"/>
  <c r="J1343" i="20"/>
  <c r="L1343" i="20"/>
  <c r="K1343" i="20"/>
  <c r="J1344" i="20"/>
  <c r="L1344" i="20"/>
  <c r="K1344" i="20"/>
  <c r="K778" i="20"/>
  <c r="K779" i="20"/>
  <c r="J780" i="20"/>
  <c r="K780" i="20"/>
  <c r="K781" i="20"/>
  <c r="J782" i="20"/>
  <c r="L782" i="20"/>
  <c r="K782" i="20"/>
  <c r="J1347" i="20"/>
  <c r="L1347" i="20"/>
  <c r="K1347" i="20"/>
  <c r="J1348" i="20"/>
  <c r="K1348" i="20"/>
  <c r="K783" i="20"/>
  <c r="K784" i="20"/>
  <c r="J785" i="20"/>
  <c r="L785" i="20"/>
  <c r="K785" i="20"/>
  <c r="J786" i="20"/>
  <c r="L786" i="20"/>
  <c r="K786" i="20"/>
  <c r="J787" i="20"/>
  <c r="K787" i="20"/>
  <c r="J1351" i="20"/>
  <c r="L1351" i="20"/>
  <c r="K1351" i="20"/>
  <c r="J1352" i="20"/>
  <c r="L1352" i="20"/>
  <c r="K1352" i="20"/>
  <c r="J788" i="20"/>
  <c r="L788" i="20"/>
  <c r="K788" i="20"/>
  <c r="L789" i="20"/>
  <c r="K789" i="20"/>
  <c r="J790" i="20"/>
  <c r="L790" i="20"/>
  <c r="K790" i="20"/>
  <c r="K791" i="20"/>
  <c r="J792" i="20"/>
  <c r="L792" i="20"/>
  <c r="K792" i="20"/>
  <c r="J1355" i="20"/>
  <c r="L1355" i="20"/>
  <c r="K1355" i="20"/>
  <c r="J1356" i="20"/>
  <c r="K1356" i="20"/>
  <c r="J793" i="20"/>
  <c r="L793" i="20"/>
  <c r="K793" i="20"/>
  <c r="K794" i="20"/>
  <c r="J795" i="20"/>
  <c r="L795" i="20"/>
  <c r="K795" i="20"/>
  <c r="J796" i="20"/>
  <c r="L796" i="20"/>
  <c r="K796" i="20"/>
  <c r="J797" i="20"/>
  <c r="K797" i="20"/>
  <c r="J1359" i="20"/>
  <c r="L1359" i="20"/>
  <c r="K1359" i="20"/>
  <c r="J1360" i="20"/>
  <c r="L1360" i="20"/>
  <c r="K1360" i="20"/>
  <c r="J798" i="20"/>
  <c r="L798" i="20"/>
  <c r="K798" i="20"/>
  <c r="L799" i="20"/>
  <c r="K799" i="20"/>
  <c r="K800" i="20"/>
  <c r="K801" i="20"/>
  <c r="J802" i="20"/>
  <c r="L802" i="20"/>
  <c r="K802" i="20"/>
  <c r="J1363" i="20"/>
  <c r="K1363" i="20"/>
  <c r="J1364" i="20"/>
  <c r="K1364" i="20"/>
  <c r="J803" i="20"/>
  <c r="L803" i="20"/>
  <c r="K803" i="20"/>
  <c r="J804" i="20"/>
  <c r="L804" i="20"/>
  <c r="K804" i="20"/>
  <c r="L805" i="20"/>
  <c r="K805" i="20"/>
  <c r="J806" i="20"/>
  <c r="L806" i="20"/>
  <c r="K806" i="20"/>
  <c r="J807" i="20"/>
  <c r="L807" i="20"/>
  <c r="K807" i="20"/>
  <c r="J1367" i="20"/>
  <c r="L1367" i="20"/>
  <c r="K1367" i="20"/>
  <c r="J1368" i="20"/>
  <c r="L1368" i="20"/>
  <c r="K1368" i="20"/>
  <c r="J808" i="20"/>
  <c r="L808" i="20"/>
  <c r="K808" i="20"/>
  <c r="J809" i="20"/>
  <c r="L809" i="20"/>
  <c r="K809" i="20"/>
  <c r="K810" i="20"/>
  <c r="K811" i="20"/>
  <c r="K812" i="20"/>
  <c r="L1371" i="20"/>
  <c r="K1371" i="20"/>
  <c r="K1372" i="20"/>
  <c r="J813" i="20"/>
  <c r="L813" i="20"/>
  <c r="K813" i="20"/>
  <c r="J814" i="20"/>
  <c r="K814" i="20"/>
  <c r="J815" i="20"/>
  <c r="L815" i="20"/>
  <c r="K815" i="20"/>
  <c r="K816" i="20"/>
  <c r="K817" i="20"/>
  <c r="L1376" i="20"/>
  <c r="K1376" i="20"/>
  <c r="K1377" i="20"/>
  <c r="J1378" i="20"/>
  <c r="K1378" i="20"/>
  <c r="J818" i="20"/>
  <c r="K818" i="20"/>
  <c r="J819" i="20"/>
  <c r="L819" i="20"/>
  <c r="K819" i="20"/>
  <c r="J820" i="20"/>
  <c r="L820" i="20"/>
  <c r="K820" i="20"/>
  <c r="J821" i="20"/>
  <c r="L821" i="20"/>
  <c r="K821" i="20"/>
  <c r="K822" i="20"/>
  <c r="J1381" i="20"/>
  <c r="L1381" i="20"/>
  <c r="K1381" i="20"/>
  <c r="J1382" i="20"/>
  <c r="L1382" i="20"/>
  <c r="K1382" i="20"/>
  <c r="J823" i="20"/>
  <c r="K823" i="20"/>
  <c r="J824" i="20"/>
  <c r="L824" i="20"/>
  <c r="K824" i="20"/>
  <c r="J825" i="20"/>
  <c r="L825" i="20"/>
  <c r="K825" i="20"/>
  <c r="K826" i="20"/>
  <c r="K827" i="20"/>
  <c r="J1385" i="20"/>
  <c r="L1385" i="20"/>
  <c r="K1385" i="20"/>
  <c r="J1386" i="20"/>
  <c r="K1386" i="20"/>
  <c r="J828" i="20"/>
  <c r="K828" i="20"/>
  <c r="J829" i="20"/>
  <c r="L829" i="20"/>
  <c r="K829" i="20"/>
  <c r="J830" i="20"/>
  <c r="L830" i="20"/>
  <c r="K830" i="20"/>
  <c r="J831" i="20"/>
  <c r="L831" i="20"/>
  <c r="K831" i="20"/>
  <c r="K832" i="20"/>
  <c r="J1390" i="20"/>
  <c r="L1390" i="20"/>
  <c r="K1390" i="20"/>
  <c r="J1391" i="20"/>
  <c r="L1391" i="20"/>
  <c r="K1391" i="20"/>
  <c r="J1392" i="20"/>
  <c r="K1392" i="20"/>
  <c r="J833" i="20"/>
  <c r="L833" i="20"/>
  <c r="K833" i="20"/>
  <c r="J834" i="20"/>
  <c r="L834" i="20"/>
  <c r="K834" i="20"/>
  <c r="J835" i="20"/>
  <c r="L835" i="20"/>
  <c r="K835" i="20"/>
  <c r="K836" i="20"/>
  <c r="J837" i="20"/>
  <c r="L837" i="20"/>
  <c r="K837" i="20"/>
  <c r="J1395" i="20"/>
  <c r="L1395" i="20"/>
  <c r="K1395" i="20"/>
  <c r="J1396" i="20"/>
  <c r="K1396" i="20"/>
  <c r="J838" i="20"/>
  <c r="L838" i="20"/>
  <c r="K838" i="20"/>
  <c r="J839" i="20"/>
  <c r="L839" i="20"/>
  <c r="K839" i="20"/>
  <c r="J840" i="20"/>
  <c r="L840" i="20"/>
  <c r="K840" i="20"/>
  <c r="K841" i="20"/>
  <c r="K1612" i="20"/>
  <c r="J1402" i="20"/>
  <c r="L1402" i="20"/>
  <c r="K1402" i="20"/>
  <c r="J1403" i="20"/>
  <c r="K1403" i="20"/>
  <c r="J1404" i="20"/>
  <c r="L1404" i="20"/>
  <c r="K1404" i="20"/>
  <c r="J1405" i="20"/>
  <c r="L1405" i="20"/>
  <c r="K1405" i="20"/>
  <c r="J1406" i="20"/>
  <c r="K1406" i="20"/>
  <c r="K1613" i="20"/>
  <c r="J1614" i="20"/>
  <c r="L1614" i="20"/>
  <c r="K1614" i="20"/>
  <c r="J1615" i="20"/>
  <c r="L1615" i="20"/>
  <c r="K1615" i="20"/>
  <c r="J1616" i="20"/>
  <c r="K1616" i="20"/>
  <c r="K1617" i="20"/>
  <c r="J1409" i="20"/>
  <c r="L1409" i="20"/>
  <c r="K1409" i="20"/>
  <c r="J1410" i="20"/>
  <c r="K1410" i="20"/>
  <c r="K1618" i="20"/>
  <c r="J1619" i="20"/>
  <c r="L1619" i="20"/>
  <c r="K1619" i="20"/>
  <c r="J1620" i="20"/>
  <c r="L1620" i="20"/>
  <c r="K1620" i="20"/>
  <c r="K1621" i="20"/>
  <c r="J1622" i="20"/>
  <c r="L1622" i="20"/>
  <c r="K1622" i="20"/>
  <c r="J1413" i="20"/>
  <c r="L1413" i="20"/>
  <c r="K1413" i="20"/>
  <c r="J1414" i="20"/>
  <c r="K1414" i="20"/>
  <c r="K1623" i="20"/>
  <c r="J1624" i="20"/>
  <c r="L1624" i="20"/>
  <c r="K1624" i="20"/>
  <c r="J1625" i="20"/>
  <c r="L1625" i="20"/>
  <c r="K1625" i="20"/>
  <c r="K1626" i="20"/>
  <c r="J1627" i="20"/>
  <c r="L1627" i="20"/>
  <c r="K1627" i="20"/>
  <c r="J1417" i="20"/>
  <c r="L1417" i="20"/>
  <c r="K1417" i="20"/>
  <c r="J1418" i="20"/>
  <c r="K1418" i="20"/>
  <c r="L1628" i="20"/>
  <c r="K1628" i="20"/>
  <c r="J1629" i="20"/>
  <c r="L1629" i="20"/>
  <c r="K1629" i="20"/>
  <c r="J1630" i="20"/>
  <c r="L1630" i="20"/>
  <c r="K1630" i="20"/>
  <c r="J842" i="20"/>
  <c r="L842" i="20"/>
  <c r="K842" i="20"/>
  <c r="J843" i="20"/>
  <c r="L843" i="20"/>
  <c r="K843" i="20"/>
  <c r="J1421" i="20"/>
  <c r="L1421" i="20"/>
  <c r="K1421" i="20"/>
  <c r="J1422" i="20"/>
  <c r="L1422" i="20"/>
  <c r="K1422" i="20"/>
  <c r="L844" i="20"/>
  <c r="K844" i="20"/>
  <c r="J845" i="20"/>
  <c r="L845" i="20"/>
  <c r="K845" i="20"/>
  <c r="J846" i="20"/>
  <c r="L846" i="20"/>
  <c r="K846" i="20"/>
  <c r="K1633" i="20"/>
  <c r="J1634" i="20"/>
  <c r="L1634" i="20"/>
  <c r="K1634" i="20"/>
  <c r="J1425" i="20"/>
  <c r="L1425" i="20"/>
  <c r="K1425" i="20"/>
  <c r="J1426" i="20"/>
  <c r="K1426" i="20"/>
  <c r="L847" i="20"/>
  <c r="K847" i="20"/>
  <c r="J848" i="20"/>
  <c r="L848" i="20"/>
  <c r="K848" i="20"/>
  <c r="J849" i="20"/>
  <c r="L849" i="20"/>
  <c r="K849" i="20"/>
  <c r="K850" i="20"/>
  <c r="J851" i="20"/>
  <c r="L851" i="20"/>
  <c r="K851" i="20"/>
  <c r="J1429" i="20"/>
  <c r="L1429" i="20"/>
  <c r="K1429" i="20"/>
  <c r="J1430" i="20"/>
  <c r="K1430" i="20"/>
  <c r="L1637" i="20"/>
  <c r="K1637" i="20"/>
  <c r="J1638" i="20"/>
  <c r="L1638" i="20"/>
  <c r="K1638" i="20"/>
  <c r="J852" i="20"/>
  <c r="L852" i="20"/>
  <c r="K852" i="20"/>
  <c r="K853" i="20"/>
  <c r="J854" i="20"/>
  <c r="L854" i="20"/>
  <c r="K854" i="20"/>
  <c r="J1433" i="20"/>
  <c r="L1433" i="20"/>
  <c r="K1433" i="20"/>
  <c r="J1434" i="20"/>
  <c r="K1434" i="20"/>
  <c r="L855" i="20"/>
  <c r="K855" i="20"/>
  <c r="J856" i="20"/>
  <c r="L856" i="20"/>
  <c r="K856" i="20"/>
  <c r="J1641" i="20"/>
  <c r="K1641" i="20"/>
  <c r="K1642" i="20"/>
  <c r="J857" i="20"/>
  <c r="L857" i="20"/>
  <c r="K857" i="20"/>
  <c r="J1437" i="20"/>
  <c r="L1437" i="20"/>
  <c r="K1437" i="20"/>
  <c r="J1438" i="20"/>
  <c r="K1438" i="20"/>
  <c r="L858" i="20"/>
  <c r="K858" i="20"/>
  <c r="J859" i="20"/>
  <c r="L859" i="20"/>
  <c r="K859" i="20"/>
  <c r="J860" i="20"/>
  <c r="L860" i="20"/>
  <c r="K860" i="20"/>
  <c r="K861" i="20"/>
  <c r="J1646" i="20"/>
  <c r="L1646" i="20"/>
  <c r="K1646" i="20"/>
  <c r="J1441" i="20"/>
  <c r="L1441" i="20"/>
  <c r="K1441" i="20"/>
  <c r="J1442" i="20"/>
  <c r="K1442" i="20"/>
  <c r="L1647" i="20"/>
  <c r="K1647" i="20"/>
  <c r="J1648" i="20"/>
  <c r="L1648" i="20"/>
  <c r="K1648" i="20"/>
  <c r="J862" i="20"/>
  <c r="L862" i="20"/>
  <c r="K862" i="20"/>
  <c r="J863" i="20"/>
  <c r="L863" i="20"/>
  <c r="K863" i="20"/>
  <c r="J864" i="20"/>
  <c r="L864" i="20"/>
  <c r="K864" i="20"/>
  <c r="J1445" i="20"/>
  <c r="L1445" i="20"/>
  <c r="K1445" i="20"/>
  <c r="J1446" i="20"/>
  <c r="L1446" i="20"/>
  <c r="K1446" i="20"/>
  <c r="L865" i="20"/>
  <c r="K865" i="20"/>
  <c r="J866" i="20"/>
  <c r="L866" i="20"/>
  <c r="K866" i="20"/>
  <c r="J1652" i="20"/>
  <c r="L1652" i="20"/>
  <c r="K1652" i="20"/>
  <c r="J1653" i="20"/>
  <c r="L1653" i="20"/>
  <c r="K1653" i="20"/>
  <c r="J1654" i="20"/>
  <c r="L1654" i="20"/>
  <c r="K1654" i="20"/>
  <c r="J1449" i="20"/>
  <c r="L1449" i="20"/>
  <c r="K1449" i="20"/>
  <c r="J1450" i="20"/>
  <c r="L1450" i="20"/>
  <c r="K1450" i="20"/>
  <c r="L867" i="20"/>
  <c r="K867" i="20"/>
  <c r="J868" i="20"/>
  <c r="L868" i="20"/>
  <c r="K868" i="20"/>
  <c r="J869" i="20"/>
  <c r="L869" i="20"/>
  <c r="K869" i="20"/>
  <c r="J870" i="20"/>
  <c r="L870" i="20"/>
  <c r="K870" i="20"/>
  <c r="J871" i="20"/>
  <c r="L871" i="20"/>
  <c r="K871" i="20"/>
  <c r="J1453" i="20"/>
  <c r="L1453" i="20"/>
  <c r="K1453" i="20"/>
  <c r="J1454" i="20"/>
  <c r="L1454" i="20"/>
  <c r="K1454" i="20"/>
  <c r="L1657" i="20"/>
  <c r="K1657" i="20"/>
  <c r="J1658" i="20"/>
  <c r="L1658" i="20"/>
  <c r="K1658" i="20"/>
  <c r="J872" i="20"/>
  <c r="L872" i="20"/>
  <c r="K872" i="20"/>
  <c r="J873" i="20"/>
  <c r="L873" i="20"/>
  <c r="K873" i="20"/>
  <c r="J874" i="20"/>
  <c r="L874" i="20"/>
  <c r="K874" i="20"/>
  <c r="J1457" i="20"/>
  <c r="L1457" i="20"/>
  <c r="K1457" i="20"/>
  <c r="J1458" i="20"/>
  <c r="L1458" i="20"/>
  <c r="K1458" i="20"/>
  <c r="L875" i="20"/>
  <c r="K875" i="20"/>
  <c r="L876" i="20"/>
  <c r="K876" i="20"/>
  <c r="L1661" i="20"/>
  <c r="K1661" i="20"/>
  <c r="L1662" i="20"/>
  <c r="K1662" i="20"/>
  <c r="L877" i="20"/>
  <c r="K877" i="20"/>
  <c r="K1461" i="20"/>
  <c r="L1462" i="20"/>
  <c r="K1462" i="20"/>
  <c r="K878" i="20"/>
  <c r="L879" i="20"/>
  <c r="K879" i="20"/>
  <c r="L880" i="20"/>
  <c r="K880" i="20"/>
  <c r="L881" i="20"/>
  <c r="K881" i="20"/>
  <c r="L1665" i="20"/>
  <c r="K1665" i="20"/>
  <c r="L1465" i="20"/>
  <c r="K1465" i="20"/>
  <c r="L1466" i="20"/>
  <c r="K1466" i="20"/>
  <c r="K1666" i="20"/>
  <c r="L882" i="20"/>
  <c r="K882" i="20"/>
  <c r="J883" i="20"/>
  <c r="K883" i="20"/>
  <c r="J884" i="20"/>
  <c r="K884" i="20"/>
  <c r="J885" i="20"/>
  <c r="L885" i="20"/>
  <c r="K885" i="20"/>
  <c r="J1469" i="20"/>
  <c r="L1469" i="20"/>
  <c r="K1469" i="20"/>
  <c r="J1470" i="20"/>
  <c r="L1470" i="20"/>
  <c r="K1470" i="20"/>
  <c r="K886" i="20"/>
  <c r="J1669" i="20"/>
  <c r="L1669" i="20"/>
  <c r="K1669" i="20"/>
  <c r="J1670" i="20"/>
  <c r="K1670" i="20"/>
  <c r="J887" i="20"/>
  <c r="L887" i="20"/>
  <c r="K887" i="20"/>
  <c r="J888" i="20"/>
  <c r="K888" i="20"/>
  <c r="J1473" i="20"/>
  <c r="L1473" i="20"/>
  <c r="K1473" i="20"/>
  <c r="J1474" i="20"/>
  <c r="L1474" i="20"/>
  <c r="K1474" i="20"/>
  <c r="J889" i="20"/>
  <c r="L889" i="20"/>
  <c r="K889" i="20"/>
  <c r="J890" i="20"/>
  <c r="L890" i="20"/>
  <c r="K890" i="20"/>
  <c r="J891" i="20"/>
  <c r="L891" i="20"/>
  <c r="K891" i="20"/>
  <c r="J1673" i="20"/>
  <c r="L1673" i="20"/>
  <c r="K1673" i="20"/>
  <c r="J1674" i="20"/>
  <c r="L1674" i="20"/>
  <c r="K1674" i="20"/>
  <c r="J1477" i="20"/>
  <c r="L1477" i="20"/>
  <c r="K1477" i="20"/>
  <c r="J1478" i="20"/>
  <c r="K1478" i="20"/>
  <c r="J892" i="20"/>
  <c r="L892" i="20"/>
  <c r="K892" i="20"/>
  <c r="J893" i="20"/>
  <c r="K893" i="20"/>
  <c r="J894" i="20"/>
  <c r="L894" i="20"/>
  <c r="K894" i="20"/>
  <c r="L895" i="20"/>
  <c r="K895" i="20"/>
  <c r="K896" i="20"/>
  <c r="J1481" i="20"/>
  <c r="L1481" i="20"/>
  <c r="K1481" i="20"/>
  <c r="J1482" i="20"/>
  <c r="K1482" i="20"/>
  <c r="J1677" i="20"/>
  <c r="L1677" i="20"/>
  <c r="K1677" i="20"/>
  <c r="J1678" i="20"/>
  <c r="K1678" i="20"/>
  <c r="J897" i="20"/>
  <c r="L897" i="20"/>
  <c r="K897" i="20"/>
  <c r="K898" i="20"/>
  <c r="J899" i="20"/>
  <c r="L899" i="20"/>
  <c r="K899" i="20"/>
  <c r="J1499" i="20"/>
  <c r="L1499" i="20"/>
  <c r="K1499" i="20"/>
  <c r="J1500" i="20"/>
  <c r="K1500" i="20"/>
  <c r="J1501" i="20"/>
  <c r="L1501" i="20"/>
  <c r="K1501" i="20"/>
  <c r="J1502" i="20"/>
  <c r="L1502" i="20"/>
  <c r="K1502" i="20"/>
  <c r="J1503" i="20"/>
  <c r="L1503" i="20"/>
  <c r="K1503" i="20"/>
  <c r="L1504" i="20"/>
  <c r="K1504" i="20"/>
  <c r="L1505" i="20"/>
  <c r="K1505" i="20"/>
  <c r="L1506" i="20"/>
  <c r="K1506" i="20"/>
  <c r="L1507" i="20"/>
  <c r="K1507" i="20"/>
  <c r="L1508" i="20"/>
  <c r="K1508" i="20"/>
  <c r="L1509" i="20"/>
  <c r="K1509" i="20"/>
  <c r="L1510" i="20"/>
  <c r="K1510" i="20"/>
  <c r="L1511" i="20"/>
  <c r="K1511" i="20"/>
  <c r="L1512" i="20"/>
  <c r="K1512" i="20"/>
  <c r="L1513" i="20"/>
  <c r="K1513" i="20"/>
  <c r="K1514" i="20"/>
  <c r="L900" i="20"/>
  <c r="K900" i="20"/>
  <c r="L901" i="20"/>
  <c r="K901" i="20"/>
  <c r="L1682" i="20"/>
  <c r="K1682" i="20"/>
  <c r="K1683" i="20"/>
  <c r="L1684" i="20"/>
  <c r="K1684" i="20"/>
  <c r="L1527" i="20"/>
  <c r="K1527" i="20"/>
  <c r="L1528" i="20"/>
  <c r="K1528" i="20"/>
  <c r="J1529" i="20"/>
  <c r="L1529" i="20"/>
  <c r="K1529" i="20"/>
  <c r="J1530" i="20"/>
  <c r="L1530" i="20"/>
  <c r="K1530" i="20"/>
  <c r="J1531" i="20"/>
  <c r="L1531" i="20"/>
  <c r="K1531" i="20"/>
  <c r="J1532" i="20"/>
  <c r="L1532" i="20"/>
  <c r="K1532" i="20"/>
  <c r="J1533" i="20"/>
  <c r="L1533" i="20"/>
  <c r="K1533" i="20"/>
  <c r="J1534" i="20"/>
  <c r="L1534" i="20"/>
  <c r="K1534" i="20"/>
  <c r="J1535" i="20"/>
  <c r="L1535" i="20"/>
  <c r="K1535" i="20"/>
  <c r="J1536" i="20"/>
  <c r="L1536" i="20"/>
  <c r="K1536" i="20"/>
  <c r="J1537" i="20"/>
  <c r="L1537" i="20"/>
  <c r="K1537" i="20"/>
  <c r="J1538" i="20"/>
  <c r="K1538" i="20"/>
  <c r="J902" i="20"/>
  <c r="L902" i="20"/>
  <c r="K902" i="20"/>
  <c r="J903" i="20"/>
  <c r="L903" i="20"/>
  <c r="K903" i="20"/>
  <c r="J904" i="20"/>
  <c r="K904" i="20"/>
  <c r="J905" i="20"/>
  <c r="L905" i="20"/>
  <c r="K905" i="20"/>
  <c r="K906" i="20"/>
  <c r="J1541" i="20"/>
  <c r="L1541" i="20"/>
  <c r="K1541" i="20"/>
  <c r="J1542" i="20"/>
  <c r="K1542" i="20"/>
  <c r="J1687" i="20"/>
  <c r="L1687" i="20"/>
  <c r="K1687" i="20"/>
  <c r="J1688" i="20"/>
  <c r="K1688" i="20"/>
  <c r="J907" i="20"/>
  <c r="K907" i="20"/>
  <c r="K908" i="20"/>
  <c r="J909" i="20"/>
  <c r="L909" i="20"/>
  <c r="K909" i="20"/>
  <c r="J1545" i="20"/>
  <c r="L1545" i="20"/>
  <c r="K1545" i="20"/>
  <c r="J1546" i="20"/>
  <c r="K1546" i="20"/>
  <c r="J910" i="20"/>
  <c r="L910" i="20"/>
  <c r="K910" i="20"/>
  <c r="J911" i="20"/>
  <c r="L911" i="20"/>
  <c r="K911" i="20"/>
  <c r="J1691" i="20"/>
  <c r="L1691" i="20"/>
  <c r="K1691" i="20"/>
  <c r="J1692" i="20"/>
  <c r="L1692" i="20"/>
  <c r="K1692" i="20"/>
  <c r="J912" i="20"/>
  <c r="L912" i="20"/>
  <c r="K912" i="20"/>
  <c r="J1570" i="20"/>
  <c r="L1570" i="20"/>
  <c r="K1570" i="20"/>
  <c r="J1571" i="20"/>
  <c r="L1571" i="20"/>
  <c r="K1571" i="20"/>
  <c r="J1572" i="20"/>
  <c r="L1572" i="20"/>
  <c r="K1572" i="20"/>
  <c r="J1573" i="20"/>
  <c r="L1573" i="20"/>
  <c r="K1573" i="20"/>
  <c r="J1574" i="20"/>
  <c r="L1574" i="20"/>
  <c r="K1574" i="20"/>
  <c r="J1575" i="20"/>
  <c r="L1575" i="20"/>
  <c r="K1575" i="20"/>
  <c r="J1576" i="20"/>
  <c r="L1576" i="20"/>
  <c r="K1576" i="20"/>
  <c r="J1577" i="20"/>
  <c r="L1577" i="20"/>
  <c r="K1577" i="20"/>
  <c r="J1578" i="20"/>
  <c r="L1578" i="20"/>
  <c r="K1578" i="20"/>
  <c r="J1579" i="20"/>
  <c r="L1579" i="20"/>
  <c r="K1579" i="20"/>
  <c r="J1580" i="20"/>
  <c r="L1580" i="20"/>
  <c r="K1580" i="20"/>
  <c r="J1581" i="20"/>
  <c r="L1581" i="20"/>
  <c r="K1581" i="20"/>
  <c r="J1582" i="20"/>
  <c r="L1582" i="20"/>
  <c r="K1582" i="20"/>
  <c r="J1583" i="20"/>
  <c r="L1583" i="20"/>
  <c r="K1583" i="20"/>
  <c r="J1584" i="20"/>
  <c r="L1584" i="20"/>
  <c r="K1584" i="20"/>
  <c r="J1585" i="20"/>
  <c r="L1585" i="20"/>
  <c r="K1585" i="20"/>
  <c r="J1586" i="20"/>
  <c r="L1586" i="20"/>
  <c r="K1586" i="20"/>
  <c r="J1587" i="20"/>
  <c r="L1587" i="20"/>
  <c r="K1587" i="20"/>
  <c r="J1588" i="20"/>
  <c r="L1588" i="20"/>
  <c r="K1588" i="20"/>
  <c r="J1589" i="20"/>
  <c r="L1589" i="20"/>
  <c r="K1589" i="20"/>
  <c r="J1590" i="20"/>
  <c r="L1590" i="20"/>
  <c r="K1590" i="20"/>
  <c r="J1591" i="20"/>
  <c r="K1591" i="20"/>
  <c r="J1592" i="20"/>
  <c r="L1592" i="20"/>
  <c r="K1592" i="20"/>
  <c r="J913" i="20"/>
  <c r="K913" i="20"/>
  <c r="J914" i="20"/>
  <c r="L914" i="20"/>
  <c r="K914" i="20"/>
  <c r="J915" i="20"/>
  <c r="L915" i="20"/>
  <c r="K915" i="20"/>
  <c r="J916" i="20"/>
  <c r="L916" i="20"/>
  <c r="K916" i="20"/>
  <c r="J1695" i="20"/>
  <c r="L1695" i="20"/>
  <c r="K1695" i="20"/>
  <c r="J1696" i="20"/>
  <c r="K1696" i="20"/>
  <c r="J917" i="20"/>
  <c r="L917" i="20"/>
  <c r="K917" i="20"/>
  <c r="J918" i="20"/>
  <c r="K918" i="20"/>
  <c r="J919" i="20"/>
  <c r="K919" i="20"/>
  <c r="J920" i="20"/>
  <c r="L920" i="20"/>
  <c r="K920" i="20"/>
  <c r="J921" i="20"/>
  <c r="K921" i="20"/>
  <c r="J1699" i="20"/>
  <c r="L1699" i="20"/>
  <c r="K1699" i="20"/>
  <c r="J1700" i="20"/>
  <c r="K1700" i="20"/>
  <c r="J922" i="20"/>
  <c r="L922" i="20"/>
  <c r="K922" i="20"/>
  <c r="J923" i="20"/>
  <c r="K923" i="20"/>
  <c r="J924" i="20"/>
  <c r="L924" i="20"/>
  <c r="K924" i="20"/>
  <c r="J925" i="20"/>
  <c r="L925" i="20"/>
  <c r="K925" i="20"/>
  <c r="J926" i="20"/>
  <c r="L926" i="20"/>
  <c r="K926" i="20"/>
  <c r="J1705" i="20"/>
  <c r="L1705" i="20"/>
  <c r="K1705" i="20"/>
  <c r="J1706" i="20"/>
  <c r="L1706" i="20"/>
  <c r="K1706" i="20"/>
  <c r="J1707" i="20"/>
  <c r="L1707" i="20"/>
  <c r="K1707" i="20"/>
  <c r="J1708" i="20"/>
  <c r="K1708" i="20"/>
  <c r="J927" i="20"/>
  <c r="L927" i="20"/>
  <c r="K927" i="20"/>
  <c r="J928" i="20"/>
  <c r="K928" i="20"/>
  <c r="J929" i="20"/>
  <c r="L929" i="20"/>
  <c r="K929" i="20"/>
  <c r="J930" i="20"/>
  <c r="L930" i="20"/>
  <c r="K930" i="20"/>
  <c r="J931" i="20"/>
  <c r="L931" i="20"/>
  <c r="K931" i="20"/>
  <c r="J1711" i="20"/>
  <c r="L1711" i="20"/>
  <c r="K1711" i="20"/>
  <c r="J1712" i="20"/>
  <c r="K1712" i="20"/>
  <c r="J932" i="20"/>
  <c r="L932" i="20"/>
  <c r="K932" i="20"/>
  <c r="J933" i="20"/>
  <c r="K933" i="20"/>
  <c r="J934" i="20"/>
  <c r="L934" i="20"/>
  <c r="K934" i="20"/>
  <c r="J935" i="20"/>
  <c r="L935" i="20"/>
  <c r="K935" i="20"/>
  <c r="J936" i="20"/>
  <c r="L936" i="20"/>
  <c r="K936" i="20"/>
  <c r="J1715" i="20"/>
  <c r="L1715" i="20"/>
  <c r="K1715" i="20"/>
  <c r="J1716" i="20"/>
  <c r="K1716" i="20"/>
  <c r="J937" i="20"/>
  <c r="L937" i="20"/>
  <c r="K937" i="20"/>
  <c r="J938" i="20"/>
  <c r="K938" i="20"/>
  <c r="J939" i="20"/>
  <c r="L939" i="20"/>
  <c r="K939" i="20"/>
  <c r="J940" i="20"/>
  <c r="L940" i="20"/>
  <c r="K940" i="20"/>
  <c r="J941" i="20"/>
  <c r="L941" i="20"/>
  <c r="K941" i="20"/>
  <c r="J1719" i="20"/>
  <c r="L1719" i="20"/>
  <c r="K1719" i="20"/>
  <c r="J1720" i="20"/>
  <c r="K1720" i="20"/>
  <c r="J942" i="20"/>
  <c r="L942" i="20"/>
  <c r="K942" i="20"/>
  <c r="J943" i="20"/>
  <c r="K943" i="20"/>
  <c r="J944" i="20"/>
  <c r="K944" i="20"/>
  <c r="J945" i="20"/>
  <c r="L945" i="20"/>
  <c r="K945" i="20"/>
  <c r="J946" i="20"/>
  <c r="K946" i="20"/>
  <c r="J1723" i="20"/>
  <c r="L1723" i="20"/>
  <c r="K1723" i="20"/>
  <c r="J1724" i="20"/>
  <c r="K1724" i="20"/>
  <c r="J947" i="20"/>
  <c r="L947" i="20"/>
  <c r="K947" i="20"/>
  <c r="J948" i="20"/>
  <c r="K948" i="20"/>
  <c r="J949" i="20"/>
  <c r="L949" i="20"/>
  <c r="K949" i="20"/>
  <c r="J950" i="20"/>
  <c r="L950" i="20"/>
  <c r="K950" i="20"/>
  <c r="J951" i="20"/>
  <c r="L951" i="20"/>
  <c r="K951" i="20"/>
  <c r="J1727" i="20"/>
  <c r="L1727" i="20"/>
  <c r="K1727" i="20"/>
  <c r="J1728" i="20"/>
  <c r="L1728" i="20"/>
  <c r="K1728" i="20"/>
  <c r="J952" i="20"/>
  <c r="L952" i="20"/>
  <c r="K952" i="20"/>
  <c r="J953" i="20"/>
  <c r="L953" i="20"/>
  <c r="K953" i="20"/>
  <c r="J954" i="20"/>
  <c r="L954" i="20"/>
  <c r="K954" i="20"/>
  <c r="J955" i="20"/>
  <c r="L955" i="20"/>
  <c r="K955" i="20"/>
  <c r="J956" i="20"/>
  <c r="L956" i="20"/>
  <c r="K956" i="20"/>
  <c r="J1731" i="20"/>
  <c r="L1731" i="20"/>
  <c r="K1731" i="20"/>
  <c r="J1732" i="20"/>
  <c r="L1732" i="20"/>
  <c r="K1732" i="20"/>
  <c r="J957" i="20"/>
  <c r="L957" i="20"/>
  <c r="K957" i="20"/>
  <c r="J958" i="20"/>
  <c r="L958" i="20"/>
  <c r="K958" i="20"/>
  <c r="J959" i="20"/>
  <c r="L959" i="20"/>
  <c r="K959" i="20"/>
  <c r="J960" i="20"/>
  <c r="L960" i="20"/>
  <c r="K960" i="20"/>
  <c r="J961" i="20"/>
  <c r="L961" i="20"/>
  <c r="K961" i="20"/>
  <c r="J1735" i="20"/>
  <c r="L1735" i="20"/>
  <c r="K1735" i="20"/>
  <c r="J1736" i="20"/>
  <c r="L1736" i="20"/>
  <c r="K1736" i="20"/>
  <c r="J962" i="20"/>
  <c r="L962" i="20"/>
  <c r="K962" i="20"/>
  <c r="J963" i="20"/>
  <c r="L963" i="20"/>
  <c r="K963" i="20"/>
  <c r="J964" i="20"/>
  <c r="L964" i="20"/>
  <c r="K964" i="20"/>
  <c r="J965" i="20"/>
  <c r="L965" i="20"/>
  <c r="K965" i="20"/>
  <c r="J966" i="20"/>
  <c r="L966" i="20"/>
  <c r="K966" i="20"/>
  <c r="J1739" i="20"/>
  <c r="L1739" i="20"/>
  <c r="K1739" i="20"/>
  <c r="J1740" i="20"/>
  <c r="K1740" i="20"/>
  <c r="J967" i="20"/>
  <c r="L967" i="20"/>
  <c r="K967" i="20"/>
  <c r="J968" i="20"/>
  <c r="K968" i="20"/>
  <c r="J969" i="20"/>
  <c r="L969" i="20"/>
  <c r="K969" i="20"/>
  <c r="J970" i="20"/>
  <c r="L970" i="20"/>
  <c r="K970" i="20"/>
  <c r="J971" i="20"/>
  <c r="L971" i="20"/>
  <c r="K971" i="20"/>
  <c r="J1743" i="20"/>
  <c r="L1743" i="20"/>
  <c r="K1743" i="20"/>
  <c r="J1744" i="20"/>
  <c r="K1744" i="20"/>
  <c r="J972" i="20"/>
  <c r="L972" i="20"/>
  <c r="K972" i="20"/>
  <c r="J973" i="20"/>
  <c r="K973" i="20"/>
  <c r="J974" i="20"/>
  <c r="L974" i="20"/>
  <c r="K974" i="20"/>
  <c r="J975" i="20"/>
  <c r="L975" i="20"/>
  <c r="K975" i="20"/>
  <c r="J976" i="20"/>
  <c r="L976" i="20"/>
  <c r="K976" i="20"/>
  <c r="J1747" i="20"/>
  <c r="L1747" i="20"/>
  <c r="K1747" i="20"/>
  <c r="J1748" i="20"/>
  <c r="L1748" i="20"/>
  <c r="K1748" i="20"/>
  <c r="J977" i="20"/>
  <c r="L977" i="20"/>
  <c r="K977" i="20"/>
  <c r="J978" i="20"/>
  <c r="L978" i="20"/>
  <c r="K978" i="20"/>
  <c r="J979" i="20"/>
  <c r="L979" i="20"/>
  <c r="K979" i="20"/>
  <c r="J980" i="20"/>
  <c r="L980" i="20"/>
  <c r="K980" i="20"/>
  <c r="J981" i="20"/>
  <c r="L981" i="20"/>
  <c r="K981" i="20"/>
  <c r="J1751" i="20"/>
  <c r="L1751" i="20"/>
  <c r="K1751" i="20"/>
  <c r="J1752" i="20"/>
  <c r="L1752" i="20"/>
  <c r="K1752" i="20"/>
  <c r="J982" i="20"/>
  <c r="L982" i="20"/>
  <c r="K982" i="20"/>
  <c r="J983" i="20"/>
  <c r="L983" i="20"/>
  <c r="K983" i="20"/>
  <c r="J984" i="20"/>
  <c r="K984" i="20"/>
  <c r="J985" i="20"/>
  <c r="L985" i="20"/>
  <c r="K985" i="20"/>
  <c r="J986" i="20"/>
  <c r="K986" i="20"/>
  <c r="J1755" i="20"/>
  <c r="L1755" i="20"/>
  <c r="K1755" i="20"/>
  <c r="J1756" i="20"/>
  <c r="K1756" i="20"/>
  <c r="J987" i="20"/>
  <c r="L987" i="20"/>
  <c r="K987" i="20"/>
  <c r="J988" i="20"/>
  <c r="K988" i="20"/>
  <c r="J989" i="20"/>
  <c r="L989" i="20"/>
  <c r="K989" i="20"/>
  <c r="J990" i="20"/>
  <c r="L990" i="20"/>
  <c r="K990" i="20"/>
  <c r="J991" i="20"/>
  <c r="L991" i="20"/>
  <c r="K991" i="20"/>
  <c r="J1759" i="20"/>
  <c r="L1759" i="20"/>
  <c r="K1759" i="20"/>
  <c r="J1760" i="20"/>
  <c r="L1760" i="20"/>
  <c r="K1760" i="20"/>
  <c r="J992" i="20"/>
  <c r="L992" i="20"/>
  <c r="K992" i="20"/>
  <c r="J993" i="20"/>
  <c r="L993" i="20"/>
  <c r="K993" i="20"/>
  <c r="J994" i="20"/>
  <c r="L994" i="20"/>
  <c r="K994" i="20"/>
  <c r="J995" i="20"/>
  <c r="L995" i="20"/>
  <c r="K995" i="20"/>
  <c r="J996" i="20"/>
  <c r="L996" i="20"/>
  <c r="K996" i="20"/>
  <c r="J1763" i="20"/>
  <c r="L1763" i="20"/>
  <c r="K1763" i="20"/>
  <c r="J1764" i="20"/>
  <c r="K1764" i="20"/>
  <c r="J997" i="20"/>
  <c r="L997" i="20"/>
  <c r="K997" i="20"/>
  <c r="J998" i="20"/>
  <c r="K998" i="20"/>
  <c r="J999" i="20"/>
  <c r="L999" i="20"/>
  <c r="K999" i="20"/>
  <c r="J1000" i="20"/>
  <c r="L1000" i="20"/>
  <c r="K1000" i="20"/>
  <c r="J1001" i="20"/>
  <c r="L1001" i="20"/>
  <c r="K1001" i="20"/>
  <c r="J1767" i="20"/>
  <c r="L1767" i="20"/>
  <c r="K1767" i="20"/>
  <c r="J1768" i="20"/>
  <c r="L1768" i="20"/>
  <c r="K1768" i="20"/>
  <c r="J1002" i="20"/>
  <c r="L1002" i="20"/>
  <c r="K1002" i="20"/>
  <c r="J1003" i="20"/>
  <c r="L1003" i="20"/>
  <c r="K1003" i="20"/>
  <c r="J1004" i="20"/>
  <c r="K1004" i="20"/>
  <c r="J1005" i="20"/>
  <c r="L1005" i="20"/>
  <c r="K1005" i="20"/>
  <c r="J1006" i="20"/>
  <c r="K1006" i="20"/>
  <c r="J1771" i="20"/>
  <c r="L1771" i="20"/>
  <c r="K1771" i="20"/>
  <c r="J1772" i="20"/>
  <c r="K1772" i="20"/>
  <c r="J1007" i="20"/>
  <c r="L1007" i="20"/>
  <c r="K1007" i="20"/>
  <c r="J1008" i="20"/>
  <c r="K1008" i="20"/>
  <c r="J1009" i="20"/>
  <c r="L1009" i="20"/>
  <c r="K1009" i="20"/>
  <c r="J1010" i="20"/>
  <c r="L1010" i="20"/>
  <c r="K1010" i="20"/>
  <c r="J1011" i="20"/>
  <c r="L1011" i="20"/>
  <c r="K1011" i="20"/>
  <c r="J1775" i="20"/>
  <c r="L1775" i="20"/>
  <c r="K1775" i="20"/>
  <c r="J1776" i="20"/>
  <c r="L1776" i="20"/>
  <c r="K1776" i="20"/>
  <c r="J1012" i="20"/>
  <c r="L1012" i="20"/>
  <c r="K1012" i="20"/>
  <c r="J1013" i="20"/>
  <c r="L1013" i="20"/>
  <c r="K1013" i="20"/>
  <c r="J1014" i="20"/>
  <c r="K1014" i="20"/>
  <c r="J1015" i="20"/>
  <c r="L1015" i="20"/>
  <c r="K1015" i="20"/>
  <c r="J1016" i="20"/>
  <c r="K1016" i="20"/>
  <c r="J1779" i="20"/>
  <c r="L1779" i="20"/>
  <c r="K1779" i="20"/>
  <c r="J1780" i="20"/>
  <c r="K1780" i="20"/>
  <c r="J1017" i="20"/>
  <c r="L1017" i="20"/>
  <c r="K1017" i="20"/>
  <c r="J1018" i="20"/>
  <c r="K1018" i="20"/>
  <c r="J1019" i="20"/>
  <c r="L1019" i="20"/>
  <c r="K1019" i="20"/>
  <c r="J1020" i="20"/>
  <c r="L1020" i="20"/>
  <c r="K1020" i="20"/>
  <c r="J1021" i="20"/>
  <c r="L1021" i="20"/>
  <c r="K1021" i="20"/>
  <c r="J1784" i="20"/>
  <c r="L1784" i="20"/>
  <c r="K1784" i="20"/>
  <c r="J1785" i="20"/>
  <c r="L1785" i="20"/>
  <c r="K1785" i="20"/>
  <c r="J1786" i="20"/>
  <c r="K1786" i="20"/>
  <c r="J1022" i="20"/>
  <c r="L1022" i="20"/>
  <c r="K1022" i="20"/>
  <c r="J1023" i="20"/>
  <c r="K1023" i="20"/>
  <c r="J1024" i="20"/>
  <c r="L1024" i="20"/>
  <c r="K1024" i="20"/>
  <c r="J1025" i="20"/>
  <c r="L1025" i="20"/>
  <c r="K1025" i="20"/>
  <c r="J1026" i="20"/>
  <c r="L1026" i="20"/>
  <c r="K1026" i="20"/>
  <c r="J1789" i="20"/>
  <c r="L1789" i="20"/>
  <c r="K1789" i="20"/>
  <c r="J1790" i="20"/>
  <c r="L1790" i="20"/>
  <c r="K1790" i="20"/>
  <c r="J1027" i="20"/>
  <c r="L1027" i="20"/>
  <c r="K1027" i="20"/>
  <c r="J1028" i="20"/>
  <c r="L1028" i="20"/>
  <c r="K1028" i="20"/>
  <c r="J1029" i="20"/>
  <c r="L1029" i="20"/>
  <c r="K1029" i="20"/>
  <c r="J1030" i="20"/>
  <c r="L1030" i="20"/>
  <c r="K1030" i="20"/>
  <c r="J1031" i="20"/>
  <c r="L1031" i="20"/>
  <c r="K1031" i="20"/>
  <c r="J1793" i="20"/>
  <c r="L1793" i="20"/>
  <c r="K1793" i="20"/>
  <c r="J1794" i="20"/>
  <c r="K1794" i="20"/>
  <c r="J1032" i="20"/>
  <c r="L1032" i="20"/>
  <c r="K1032" i="20"/>
  <c r="J1033" i="20"/>
  <c r="K1033" i="20"/>
  <c r="J1034" i="20"/>
  <c r="L1034" i="20"/>
  <c r="K1034" i="20"/>
  <c r="J1035" i="20"/>
  <c r="L1035" i="20"/>
  <c r="K1035" i="20"/>
  <c r="J1036" i="20"/>
  <c r="L1036" i="20"/>
  <c r="K1036" i="20"/>
  <c r="J1798" i="20"/>
  <c r="L1798" i="20"/>
  <c r="K1798" i="20"/>
  <c r="J1799" i="20"/>
  <c r="L1799" i="20"/>
  <c r="K1799" i="20"/>
  <c r="J1800" i="20"/>
  <c r="K1800" i="20"/>
  <c r="J1037" i="20"/>
  <c r="L1037" i="20"/>
  <c r="K1037" i="20"/>
  <c r="J1038" i="20"/>
  <c r="K1038" i="20"/>
  <c r="J1039" i="20"/>
  <c r="L1039" i="20"/>
  <c r="K1039" i="20"/>
  <c r="J1040" i="20"/>
  <c r="L1040" i="20"/>
  <c r="K1040" i="20"/>
  <c r="J1041" i="20"/>
  <c r="L1041" i="20"/>
  <c r="K1041" i="20"/>
  <c r="J1803" i="20"/>
  <c r="L1803" i="20"/>
  <c r="K1803" i="20"/>
  <c r="J1804" i="20"/>
  <c r="L1804" i="20"/>
  <c r="K1804" i="20"/>
  <c r="J1042" i="20"/>
  <c r="L1042" i="20"/>
  <c r="K1042" i="20"/>
  <c r="J1043" i="20"/>
  <c r="L1043" i="20"/>
  <c r="K1043" i="20"/>
  <c r="J1044" i="20"/>
  <c r="L1044" i="20"/>
  <c r="K1044" i="20"/>
  <c r="J1045" i="20"/>
  <c r="L1045" i="20"/>
  <c r="K1045" i="20"/>
  <c r="J1046" i="20"/>
  <c r="L1046" i="20"/>
  <c r="K1046" i="20"/>
  <c r="J1810" i="20"/>
  <c r="L1810" i="20"/>
  <c r="K1810" i="20"/>
  <c r="J1811" i="20"/>
  <c r="L1811" i="20"/>
  <c r="K1811" i="20"/>
  <c r="J1812" i="20"/>
  <c r="L1812" i="20"/>
  <c r="K1812" i="20"/>
  <c r="J1813" i="20"/>
  <c r="L1813" i="20"/>
  <c r="K1813" i="20"/>
  <c r="J1814" i="20"/>
  <c r="K1814" i="20"/>
  <c r="J1047" i="20"/>
  <c r="L1047" i="20"/>
  <c r="K1047" i="20"/>
  <c r="J1048" i="20"/>
  <c r="K1048" i="20"/>
  <c r="J1049" i="20"/>
  <c r="L1049" i="20"/>
  <c r="K1049" i="20"/>
  <c r="J1050" i="20"/>
  <c r="L1050" i="20"/>
  <c r="K1050" i="20"/>
  <c r="J1051" i="20"/>
  <c r="L1051" i="20"/>
  <c r="K1051" i="20"/>
  <c r="J1817" i="20"/>
  <c r="L1817" i="20"/>
  <c r="K1817" i="20"/>
  <c r="J1818" i="20"/>
  <c r="K1818" i="20"/>
  <c r="J1052" i="20"/>
  <c r="L1052" i="20"/>
  <c r="K1052" i="20"/>
  <c r="J1053" i="20"/>
  <c r="K1053" i="20"/>
  <c r="J1054" i="20"/>
  <c r="L1054" i="20"/>
  <c r="K1054" i="20"/>
  <c r="J1055" i="20"/>
  <c r="L1055" i="20"/>
  <c r="K1055" i="20"/>
  <c r="J1056" i="20"/>
  <c r="L1056" i="20"/>
  <c r="K1056" i="20"/>
  <c r="J1821" i="20"/>
  <c r="L1821" i="20"/>
  <c r="K1821" i="20"/>
  <c r="J1822" i="20"/>
  <c r="K1822" i="20"/>
  <c r="J1057" i="20"/>
  <c r="L1057" i="20"/>
  <c r="K1057" i="20"/>
  <c r="J1058" i="20"/>
  <c r="K1058" i="20"/>
  <c r="J1059" i="20"/>
  <c r="L1059" i="20"/>
  <c r="K1059" i="20"/>
  <c r="J1060" i="20"/>
  <c r="L1060" i="20"/>
  <c r="K1060" i="20"/>
  <c r="J1061" i="20"/>
  <c r="L1061" i="20"/>
  <c r="K1061" i="20"/>
  <c r="J1825" i="20"/>
  <c r="L1825" i="20"/>
  <c r="K1825" i="20"/>
  <c r="J1826" i="20"/>
  <c r="K1826" i="20"/>
  <c r="J1062" i="20"/>
  <c r="L1062" i="20"/>
  <c r="K1062" i="20"/>
  <c r="J1063" i="20"/>
  <c r="K1063" i="20"/>
  <c r="J1064" i="20"/>
  <c r="L1064" i="20"/>
  <c r="K1064" i="20"/>
  <c r="J1065" i="20"/>
  <c r="L1065" i="20"/>
  <c r="K1065" i="20"/>
  <c r="J1066" i="20"/>
  <c r="L1066" i="20"/>
  <c r="K1066" i="20"/>
  <c r="J1829" i="20"/>
  <c r="L1829" i="20"/>
  <c r="K1829" i="20"/>
  <c r="J1830" i="20"/>
  <c r="L1830" i="20"/>
  <c r="K1830" i="20"/>
  <c r="J1067" i="20"/>
  <c r="L1067" i="20"/>
  <c r="K1067" i="20"/>
  <c r="J1068" i="20"/>
  <c r="L1068" i="20"/>
  <c r="K1068" i="20"/>
  <c r="J1069" i="20"/>
  <c r="L1069" i="20"/>
  <c r="K1069" i="20"/>
  <c r="J1070" i="20"/>
  <c r="L1070" i="20"/>
  <c r="K1070" i="20"/>
  <c r="J1071" i="20"/>
  <c r="L1071" i="20"/>
  <c r="K1071" i="20"/>
  <c r="J1833" i="20"/>
  <c r="L1833" i="20"/>
  <c r="K1833" i="20"/>
  <c r="J1834" i="20"/>
  <c r="K1834" i="20"/>
  <c r="J1072" i="20"/>
  <c r="L1072" i="20"/>
  <c r="K1072" i="20"/>
  <c r="J1073" i="20"/>
  <c r="K1073" i="20"/>
  <c r="J1074" i="20"/>
  <c r="L1074" i="20"/>
  <c r="K1074" i="20"/>
  <c r="J1075" i="20"/>
  <c r="L1075" i="20"/>
  <c r="K1075" i="20"/>
  <c r="J1076" i="20"/>
  <c r="L1076" i="20"/>
  <c r="K1076" i="20"/>
  <c r="J1837" i="20"/>
  <c r="L1837" i="20"/>
  <c r="K1837" i="20"/>
  <c r="J1838" i="20"/>
  <c r="K1838" i="20"/>
  <c r="J1077" i="20"/>
  <c r="L1077" i="20"/>
  <c r="K1077" i="20"/>
  <c r="J1078" i="20"/>
  <c r="K1078" i="20"/>
  <c r="J1079" i="20"/>
  <c r="L1079" i="20"/>
  <c r="K1079" i="20"/>
  <c r="J1080" i="20"/>
  <c r="L1080" i="20"/>
  <c r="K1080" i="20"/>
  <c r="J1081" i="20"/>
  <c r="L1081" i="20"/>
  <c r="K1081" i="20"/>
  <c r="J1841" i="20"/>
  <c r="L1841" i="20"/>
  <c r="K1841" i="20"/>
  <c r="J1842" i="20"/>
  <c r="K1842" i="20"/>
  <c r="J1082" i="20"/>
  <c r="L1082" i="20"/>
  <c r="K1082" i="20"/>
  <c r="J1083" i="20"/>
  <c r="K1083" i="20"/>
  <c r="J1084" i="20"/>
  <c r="K1084" i="20"/>
  <c r="K1085" i="20"/>
  <c r="J1086" i="20"/>
  <c r="K1086" i="20"/>
  <c r="K1845" i="20"/>
  <c r="J1846" i="20"/>
  <c r="K1846" i="20"/>
  <c r="J1087" i="20"/>
  <c r="L1087" i="20"/>
  <c r="K1087" i="20"/>
  <c r="J1088" i="20"/>
  <c r="K1088" i="20"/>
  <c r="J1089" i="20"/>
  <c r="L1089" i="20"/>
  <c r="K1089" i="20"/>
  <c r="J1090" i="20"/>
  <c r="L1090" i="20"/>
  <c r="K1090" i="20"/>
  <c r="J1091" i="20"/>
  <c r="L1091" i="20"/>
  <c r="K1091" i="20"/>
  <c r="J1849" i="20"/>
  <c r="L1849" i="20"/>
  <c r="K1849" i="20"/>
  <c r="J1850" i="20"/>
  <c r="K1850" i="20"/>
  <c r="J1092" i="20"/>
  <c r="L1092" i="20"/>
  <c r="K1092" i="20"/>
  <c r="J1093" i="20"/>
  <c r="K1093" i="20"/>
  <c r="J1094" i="20"/>
  <c r="L1094" i="20"/>
  <c r="K1094" i="20"/>
  <c r="J1095" i="20"/>
  <c r="L1095" i="20"/>
  <c r="K1095" i="20"/>
  <c r="J1096" i="20"/>
  <c r="L1096" i="20"/>
  <c r="K1096" i="20"/>
  <c r="J1853" i="20"/>
  <c r="L1853" i="20"/>
  <c r="K1853" i="20"/>
  <c r="J1854" i="20"/>
  <c r="L1854" i="20"/>
  <c r="K1854" i="20"/>
  <c r="J1097" i="20"/>
  <c r="L1097" i="20"/>
  <c r="K1097" i="20"/>
  <c r="J1098" i="20"/>
  <c r="L1098" i="20"/>
  <c r="K1098" i="20"/>
  <c r="J1099" i="20"/>
  <c r="L1099" i="20"/>
  <c r="K1099" i="20"/>
  <c r="J1100" i="20"/>
  <c r="L1100" i="20"/>
  <c r="K1100" i="20"/>
  <c r="J1101" i="20"/>
  <c r="L1101" i="20"/>
  <c r="K1101" i="20"/>
  <c r="J1857" i="20"/>
  <c r="L1857" i="20"/>
  <c r="K1857" i="20"/>
  <c r="J1858" i="20"/>
  <c r="L1858" i="20"/>
  <c r="K1858" i="20"/>
  <c r="J1102" i="20"/>
  <c r="L1102" i="20"/>
  <c r="K1102" i="20"/>
  <c r="J1103" i="20"/>
  <c r="L1103" i="20"/>
  <c r="K1103" i="20"/>
  <c r="J1104" i="20"/>
  <c r="L1104" i="20"/>
  <c r="K1104" i="20"/>
  <c r="J1105" i="20"/>
  <c r="L1105" i="20"/>
  <c r="K1105" i="20"/>
  <c r="J1106" i="20"/>
  <c r="L1106" i="20"/>
  <c r="K1106" i="20"/>
  <c r="J1861" i="20"/>
  <c r="L1861" i="20"/>
  <c r="K1861" i="20"/>
  <c r="J1862" i="20"/>
  <c r="L1862" i="20"/>
  <c r="K1862" i="20"/>
  <c r="J1107" i="20"/>
  <c r="L1107" i="20"/>
  <c r="K1107" i="20"/>
  <c r="J1108" i="20"/>
  <c r="L1108" i="20"/>
  <c r="K1108" i="20"/>
  <c r="J1109" i="20"/>
  <c r="L1109" i="20"/>
  <c r="K1109" i="20"/>
  <c r="J1110" i="20"/>
  <c r="L1110" i="20"/>
  <c r="K1110" i="20"/>
  <c r="J1111" i="20"/>
  <c r="L1111" i="20"/>
  <c r="K1111" i="20"/>
  <c r="J1865" i="20"/>
  <c r="L1865" i="20"/>
  <c r="K1865" i="20"/>
  <c r="J1866" i="20"/>
  <c r="L1866" i="20"/>
  <c r="K1866" i="20"/>
  <c r="J1112" i="20"/>
  <c r="L1112" i="20"/>
  <c r="K1112" i="20"/>
  <c r="J1113" i="20"/>
  <c r="L1113" i="20"/>
  <c r="K1113" i="20"/>
  <c r="J1114" i="20"/>
  <c r="L1114" i="20"/>
  <c r="K1114" i="20"/>
  <c r="J1115" i="20"/>
  <c r="L1115" i="20"/>
  <c r="K1115" i="20"/>
  <c r="J1116" i="20"/>
  <c r="L1116" i="20"/>
  <c r="K1116" i="20"/>
  <c r="J1869" i="20"/>
  <c r="L1869" i="20"/>
  <c r="K1869" i="20"/>
  <c r="J1870" i="20"/>
  <c r="L1870" i="20"/>
  <c r="K1870" i="20"/>
  <c r="J1117" i="20"/>
  <c r="L1117" i="20"/>
  <c r="K1117" i="20"/>
  <c r="J1118" i="20"/>
  <c r="L1118" i="20"/>
  <c r="K1118" i="20"/>
  <c r="J1119" i="20"/>
  <c r="L1119" i="20"/>
  <c r="K1119" i="20"/>
  <c r="J1120" i="20"/>
  <c r="L1120" i="20"/>
  <c r="K1120" i="20"/>
  <c r="J1121" i="20"/>
  <c r="L1121" i="20"/>
  <c r="K1121" i="20"/>
  <c r="J1873" i="20"/>
  <c r="L1873" i="20"/>
  <c r="K1873" i="20"/>
  <c r="J1874" i="20"/>
  <c r="L1874" i="20"/>
  <c r="K1874" i="20"/>
  <c r="J1122" i="20"/>
  <c r="L1122" i="20"/>
  <c r="K1122" i="20"/>
  <c r="J1123" i="20"/>
  <c r="L1123" i="20"/>
  <c r="K1123" i="20"/>
  <c r="J1124" i="20"/>
  <c r="L1124" i="20"/>
  <c r="K1124" i="20"/>
  <c r="J1125" i="20"/>
  <c r="L1125" i="20"/>
  <c r="K1125" i="20"/>
  <c r="J1126" i="20"/>
  <c r="L1126" i="20"/>
  <c r="K1126" i="20"/>
  <c r="J1877" i="20"/>
  <c r="L1877" i="20"/>
  <c r="K1877" i="20"/>
  <c r="J1878" i="20"/>
  <c r="L1878" i="20"/>
  <c r="K1878" i="20"/>
  <c r="J1127" i="20"/>
  <c r="L1127" i="20"/>
  <c r="K1127" i="20"/>
  <c r="J1128" i="20"/>
  <c r="L1128" i="20"/>
  <c r="K1128" i="20"/>
  <c r="J1129" i="20"/>
  <c r="L1129" i="20"/>
  <c r="K1129" i="20"/>
  <c r="J1130" i="20"/>
  <c r="L1130" i="20"/>
  <c r="K1130" i="20"/>
  <c r="J1131" i="20"/>
  <c r="L1131" i="20"/>
  <c r="K1131" i="20"/>
  <c r="J1881" i="20"/>
  <c r="L1881" i="20"/>
  <c r="K1881" i="20"/>
  <c r="J1882" i="20"/>
  <c r="L1882" i="20"/>
  <c r="K1882" i="20"/>
  <c r="J1132" i="20"/>
  <c r="L1132" i="20"/>
  <c r="K1132" i="20"/>
  <c r="J1133" i="20"/>
  <c r="L1133" i="20"/>
  <c r="K1133" i="20"/>
  <c r="J1134" i="20"/>
  <c r="L1134" i="20"/>
  <c r="K1134" i="20"/>
  <c r="J1135" i="20"/>
  <c r="L1135" i="20"/>
  <c r="K1135" i="20"/>
  <c r="J1136" i="20"/>
  <c r="L1136" i="20"/>
  <c r="K1136" i="20"/>
  <c r="J1885" i="20"/>
  <c r="L1885" i="20"/>
  <c r="K1885" i="20"/>
  <c r="J1886" i="20"/>
  <c r="L1886" i="20"/>
  <c r="K1886" i="20"/>
  <c r="J1137" i="20"/>
  <c r="L1137" i="20"/>
  <c r="K1137" i="20"/>
  <c r="J1138" i="20"/>
  <c r="L1138" i="20"/>
  <c r="K1138" i="20"/>
  <c r="J1139" i="20"/>
  <c r="L1139" i="20"/>
  <c r="K1139" i="20"/>
  <c r="J1140" i="20"/>
  <c r="L1140" i="20"/>
  <c r="K1140" i="20"/>
  <c r="J1141" i="20"/>
  <c r="L1141" i="20"/>
  <c r="K1141" i="20"/>
  <c r="J1889" i="20"/>
  <c r="L1889" i="20"/>
  <c r="K1889" i="20"/>
  <c r="J1890" i="20"/>
  <c r="L1890" i="20"/>
  <c r="K1890" i="20"/>
  <c r="J1142" i="20"/>
  <c r="L1142" i="20"/>
  <c r="K1142" i="20"/>
  <c r="J1143" i="20"/>
  <c r="L1143" i="20"/>
  <c r="K1143" i="20"/>
  <c r="J1144" i="20"/>
  <c r="L1144" i="20"/>
  <c r="K1144" i="20"/>
  <c r="J1145" i="20"/>
  <c r="L1145" i="20"/>
  <c r="K1145" i="20"/>
  <c r="J1146" i="20"/>
  <c r="L1146" i="20"/>
  <c r="K1146" i="20"/>
  <c r="J1907" i="20"/>
  <c r="L1907" i="20"/>
  <c r="K1907" i="20"/>
  <c r="J1908" i="20"/>
  <c r="L1908" i="20"/>
  <c r="K1908" i="20"/>
  <c r="J1909" i="20"/>
  <c r="L1909" i="20"/>
  <c r="K1909" i="20"/>
  <c r="J1910" i="20"/>
  <c r="L1910" i="20"/>
  <c r="K1910" i="20"/>
  <c r="J1911" i="20"/>
  <c r="L1911" i="20"/>
  <c r="K1911" i="20"/>
  <c r="J1912" i="20"/>
  <c r="L1912" i="20"/>
  <c r="K1912" i="20"/>
  <c r="J1913" i="20"/>
  <c r="L1913" i="20"/>
  <c r="K1913" i="20"/>
  <c r="J1914" i="20"/>
  <c r="L1914" i="20"/>
  <c r="K1914" i="20"/>
  <c r="J1915" i="20"/>
  <c r="L1915" i="20"/>
  <c r="K1915" i="20"/>
  <c r="J1916" i="20"/>
  <c r="L1916" i="20"/>
  <c r="K1916" i="20"/>
  <c r="J1917" i="20"/>
  <c r="L1917" i="20"/>
  <c r="K1917" i="20"/>
  <c r="J1918" i="20"/>
  <c r="L1918" i="20"/>
  <c r="K1918" i="20"/>
  <c r="J1919" i="20"/>
  <c r="L1919" i="20"/>
  <c r="K1919" i="20"/>
  <c r="J1920" i="20"/>
  <c r="L1920" i="20"/>
  <c r="K1920" i="20"/>
  <c r="J1921" i="20"/>
  <c r="L1921" i="20"/>
  <c r="K1921" i="20"/>
  <c r="J1922" i="20"/>
  <c r="K1922" i="20"/>
  <c r="J1147" i="20"/>
  <c r="L1147" i="20"/>
  <c r="K1147" i="20"/>
  <c r="J1148" i="20"/>
  <c r="K1148" i="20"/>
  <c r="J1149" i="20"/>
  <c r="L1149" i="20"/>
  <c r="K1149" i="20"/>
  <c r="J1150" i="20"/>
  <c r="L1150" i="20"/>
  <c r="K1150" i="20"/>
  <c r="J1151" i="20"/>
  <c r="L1151" i="20"/>
  <c r="K1151" i="20"/>
  <c r="J1935" i="20"/>
  <c r="L1935" i="20"/>
  <c r="K1935" i="20"/>
  <c r="J1936" i="20"/>
  <c r="L1936" i="20"/>
  <c r="K1936" i="20"/>
  <c r="J1937" i="20"/>
  <c r="L1937" i="20"/>
  <c r="K1937" i="20"/>
  <c r="J1938" i="20"/>
  <c r="L1938" i="20"/>
  <c r="K1938" i="20"/>
  <c r="J1939" i="20"/>
  <c r="L1939" i="20"/>
  <c r="K1939" i="20"/>
  <c r="J1940" i="20"/>
  <c r="L1940" i="20"/>
  <c r="K1940" i="20"/>
  <c r="J1941" i="20"/>
  <c r="L1941" i="20"/>
  <c r="K1941" i="20"/>
  <c r="J1942" i="20"/>
  <c r="L1942" i="20"/>
  <c r="K1942" i="20"/>
  <c r="J1943" i="20"/>
  <c r="L1943" i="20"/>
  <c r="K1943" i="20"/>
  <c r="J1944" i="20"/>
  <c r="L1944" i="20"/>
  <c r="K1944" i="20"/>
  <c r="J1945" i="20"/>
  <c r="L1945" i="20"/>
  <c r="K1945" i="20"/>
  <c r="J1946" i="20"/>
  <c r="K1946" i="20"/>
  <c r="J1152" i="20"/>
  <c r="L1152" i="20"/>
  <c r="K1152" i="20"/>
  <c r="J1153" i="20"/>
  <c r="K1153" i="20"/>
  <c r="J1154" i="20"/>
  <c r="K1154" i="20"/>
  <c r="J1155" i="20"/>
  <c r="L1155" i="20"/>
  <c r="K1155" i="20"/>
  <c r="K1156" i="20"/>
  <c r="J1949" i="20"/>
  <c r="L1949" i="20"/>
  <c r="K1949" i="20"/>
  <c r="K1950" i="20"/>
  <c r="J1157" i="20"/>
  <c r="L1157" i="20"/>
  <c r="K1157" i="20"/>
  <c r="J1158" i="20"/>
  <c r="K1158" i="20"/>
  <c r="J1159" i="20"/>
  <c r="K1159" i="20"/>
  <c r="K1160" i="20"/>
  <c r="J1161" i="20"/>
  <c r="K1161" i="20"/>
  <c r="K1953" i="20"/>
  <c r="J1954" i="20"/>
  <c r="K1954" i="20"/>
  <c r="J1162" i="20"/>
  <c r="L1162" i="20"/>
  <c r="K1162" i="20"/>
  <c r="J1163" i="20"/>
  <c r="K1163" i="20"/>
  <c r="J1164" i="20"/>
  <c r="L1164" i="20"/>
  <c r="K1164" i="20"/>
  <c r="J1165" i="20"/>
  <c r="L1165" i="20"/>
  <c r="K1165" i="20"/>
  <c r="J1166" i="20"/>
  <c r="L1166" i="20"/>
  <c r="K1166" i="20"/>
  <c r="J1978" i="20"/>
  <c r="L1978" i="20"/>
  <c r="K1978" i="20"/>
  <c r="J1979" i="20"/>
  <c r="L1979" i="20"/>
  <c r="K1979" i="20"/>
  <c r="J1980" i="20"/>
  <c r="L1980" i="20"/>
  <c r="K1980" i="20"/>
  <c r="J1981" i="20"/>
  <c r="L1981" i="20"/>
  <c r="K1981" i="20"/>
  <c r="J1982" i="20"/>
  <c r="L1982" i="20"/>
  <c r="K1982" i="20"/>
  <c r="J1983" i="20"/>
  <c r="L1983" i="20"/>
  <c r="K1983" i="20"/>
  <c r="J1984" i="20"/>
  <c r="L1984" i="20"/>
  <c r="K1984" i="20"/>
  <c r="J1985" i="20"/>
  <c r="L1985" i="20"/>
  <c r="K1985" i="20"/>
  <c r="J1986" i="20"/>
  <c r="L1986" i="20"/>
  <c r="K1986" i="20"/>
  <c r="J1987" i="20"/>
  <c r="L1987" i="20"/>
  <c r="K1987" i="20"/>
  <c r="J1988" i="20"/>
  <c r="L1988" i="20"/>
  <c r="K1988" i="20"/>
  <c r="J1989" i="20"/>
  <c r="L1989" i="20"/>
  <c r="K1989" i="20"/>
  <c r="J1990" i="20"/>
  <c r="L1990" i="20"/>
  <c r="K1990" i="20"/>
  <c r="J1991" i="20"/>
  <c r="L1991" i="20"/>
  <c r="K1991" i="20"/>
  <c r="J1992" i="20"/>
  <c r="L1992" i="20"/>
  <c r="K1992" i="20"/>
  <c r="J1993" i="20"/>
  <c r="L1993" i="20"/>
  <c r="K1993" i="20"/>
  <c r="J1994" i="20"/>
  <c r="L1994" i="20"/>
  <c r="K1994" i="20"/>
  <c r="J1995" i="20"/>
  <c r="L1995" i="20"/>
  <c r="K1995" i="20"/>
  <c r="J1996" i="20"/>
  <c r="L1996" i="20"/>
  <c r="K1996" i="20"/>
  <c r="J1997" i="20"/>
  <c r="L1997" i="20"/>
  <c r="K1997" i="20"/>
  <c r="J1998" i="20"/>
  <c r="L1998" i="20"/>
  <c r="K1998" i="20"/>
  <c r="J1999" i="20"/>
  <c r="L1999" i="20"/>
  <c r="K1999" i="20"/>
  <c r="J2000" i="20"/>
  <c r="L2000" i="20"/>
  <c r="K2000" i="20"/>
  <c r="J1167" i="20"/>
  <c r="L1167" i="20"/>
  <c r="K1167" i="20"/>
  <c r="J1168" i="20"/>
  <c r="L1168" i="20"/>
  <c r="K1168" i="20"/>
  <c r="J1169" i="20"/>
  <c r="L1169" i="20"/>
  <c r="K1169" i="20"/>
  <c r="J1170" i="20"/>
  <c r="L1170" i="20"/>
  <c r="K1170" i="20"/>
  <c r="J1171" i="20"/>
  <c r="L1171" i="20"/>
  <c r="K1171" i="20"/>
  <c r="J1172" i="20"/>
  <c r="L1172" i="20"/>
  <c r="K1172" i="20"/>
  <c r="J1173" i="20"/>
  <c r="L1173" i="20"/>
  <c r="K1173" i="20"/>
  <c r="J1174" i="20"/>
  <c r="L1174" i="20"/>
  <c r="K1174" i="20"/>
  <c r="J1175" i="20"/>
  <c r="L1175" i="20"/>
  <c r="K1175" i="20"/>
  <c r="J1176" i="20"/>
  <c r="L1176" i="20"/>
  <c r="K1176" i="20"/>
  <c r="J1177" i="20"/>
  <c r="L1177" i="20"/>
  <c r="K1177" i="20"/>
  <c r="J1178" i="20"/>
  <c r="L1178" i="20"/>
  <c r="K1178" i="20"/>
  <c r="J1179" i="20"/>
  <c r="L1179" i="20"/>
  <c r="K1179" i="20"/>
  <c r="J1180" i="20"/>
  <c r="L1180" i="20"/>
  <c r="K1180" i="20"/>
  <c r="J1181" i="20"/>
  <c r="L1181" i="20"/>
  <c r="K1181" i="20"/>
  <c r="J1182" i="20"/>
  <c r="L1182" i="20"/>
  <c r="K1182" i="20"/>
  <c r="J1183" i="20"/>
  <c r="L1183" i="20"/>
  <c r="K1183" i="20"/>
  <c r="J1184" i="20"/>
  <c r="L1184" i="20"/>
  <c r="K1184" i="20"/>
  <c r="K592" i="20"/>
  <c r="K3" i="20"/>
  <c r="L3" i="20"/>
  <c r="H564" i="19"/>
  <c r="H558" i="19"/>
  <c r="H551" i="19"/>
  <c r="H534" i="19"/>
  <c r="H513" i="19"/>
  <c r="H506" i="19"/>
  <c r="H499" i="19"/>
  <c r="H492" i="19"/>
  <c r="H485" i="19"/>
  <c r="H478" i="19"/>
  <c r="H471" i="19"/>
  <c r="H464" i="19"/>
  <c r="H457" i="19"/>
  <c r="H450" i="19"/>
  <c r="H443" i="19"/>
  <c r="H436" i="19"/>
  <c r="H429" i="19"/>
  <c r="H422" i="19"/>
  <c r="H415" i="19"/>
  <c r="H408" i="19"/>
  <c r="H401" i="19"/>
  <c r="H394" i="19"/>
  <c r="H387" i="19"/>
  <c r="H380" i="19"/>
  <c r="H370" i="19"/>
  <c r="H363" i="19"/>
  <c r="F364" i="19"/>
  <c r="H355" i="19"/>
  <c r="H348" i="19"/>
  <c r="H341" i="19"/>
  <c r="H333" i="19"/>
  <c r="H326" i="19"/>
  <c r="H319" i="19"/>
  <c r="H312" i="19"/>
  <c r="H305" i="19"/>
  <c r="H298" i="19"/>
  <c r="H291" i="19"/>
  <c r="H284" i="19"/>
  <c r="H277" i="19"/>
  <c r="H270" i="19"/>
  <c r="H263" i="19"/>
  <c r="H256" i="19"/>
  <c r="H249" i="19"/>
  <c r="H242" i="19"/>
  <c r="H235" i="19"/>
  <c r="H228" i="19"/>
  <c r="H221" i="19"/>
  <c r="H214" i="19"/>
  <c r="H207" i="19"/>
  <c r="H198" i="19"/>
  <c r="H191" i="19"/>
  <c r="H184" i="19"/>
  <c r="H177" i="19"/>
  <c r="H170" i="19"/>
  <c r="H155" i="19"/>
  <c r="H148" i="19"/>
  <c r="H141" i="19"/>
  <c r="H134" i="19"/>
  <c r="H127" i="19"/>
  <c r="H120" i="19"/>
  <c r="H104" i="19"/>
  <c r="H97" i="19"/>
  <c r="H90" i="19"/>
  <c r="H83" i="19"/>
  <c r="H59" i="19"/>
  <c r="X1986" i="20"/>
  <c r="X1699" i="20"/>
  <c r="X1951" i="20"/>
  <c r="X1360" i="20"/>
  <c r="X1673" i="20"/>
  <c r="X1613" i="20"/>
  <c r="X1773" i="20"/>
  <c r="X1671" i="20"/>
  <c r="X1825" i="20"/>
  <c r="X1708" i="20"/>
  <c r="X1771" i="20"/>
  <c r="X1873" i="20"/>
  <c r="X1156" i="20"/>
  <c r="X1615" i="20"/>
  <c r="X1715" i="20"/>
  <c r="X1817" i="20"/>
  <c r="X1622" i="20"/>
  <c r="X1875" i="20"/>
  <c r="X1949" i="20"/>
  <c r="X1837" i="20"/>
  <c r="X1691" i="20"/>
  <c r="X1796" i="20"/>
  <c r="X1754" i="20"/>
  <c r="X1785" i="20"/>
  <c r="X1935" i="20"/>
  <c r="X1618" i="20"/>
  <c r="X1641" i="20"/>
  <c r="X1624" i="20"/>
  <c r="X1381" i="20"/>
  <c r="X1645" i="20"/>
  <c r="X1721" i="20"/>
  <c r="X1417" i="20"/>
  <c r="X1418" i="20"/>
  <c r="X1595" i="20"/>
  <c r="X1747" i="20"/>
  <c r="X1798" i="20"/>
  <c r="X1623" i="20"/>
  <c r="X1597" i="20"/>
  <c r="X1849" i="20"/>
  <c r="X1711" i="20"/>
  <c r="X1646" i="20"/>
  <c r="X1675" i="20"/>
  <c r="X1621" i="20"/>
  <c r="X1732" i="20"/>
  <c r="X367" i="20"/>
  <c r="X1841" i="20"/>
  <c r="X1614" i="20"/>
  <c r="X1682" i="20"/>
  <c r="X1607" i="20"/>
  <c r="X1681" i="20"/>
  <c r="X1845" i="20"/>
  <c r="X1978" i="20"/>
  <c r="X1406" i="20"/>
  <c r="X1620" i="20"/>
  <c r="X1625" i="20"/>
  <c r="X1410" i="20"/>
  <c r="X1643" i="20"/>
  <c r="X1815" i="20"/>
  <c r="X1637" i="20"/>
  <c r="X1839" i="20"/>
  <c r="X1377" i="20"/>
  <c r="X1687" i="20"/>
  <c r="X1665" i="20"/>
  <c r="X1779" i="20"/>
  <c r="X1867" i="20"/>
  <c r="X1865" i="20"/>
  <c r="X1155" i="20"/>
  <c r="X1803" i="20"/>
  <c r="X1594" i="20"/>
  <c r="X1608" i="20"/>
  <c r="X1775" i="20"/>
  <c r="X1783" i="20"/>
  <c r="X1672" i="20"/>
  <c r="X1831" i="20"/>
  <c r="X1612" i="20"/>
  <c r="X1843" i="20"/>
  <c r="X1689" i="20"/>
  <c r="X1693" i="20"/>
  <c r="X1818" i="20"/>
  <c r="X1619" i="20"/>
  <c r="X1714" i="20"/>
  <c r="X1913" i="20"/>
  <c r="X1869" i="20"/>
  <c r="X1855" i="20"/>
  <c r="X1976" i="20"/>
  <c r="X1656" i="20"/>
  <c r="X362" i="20"/>
  <c r="X1678" i="20"/>
  <c r="X1757" i="20"/>
  <c r="X1661" i="20"/>
  <c r="X1655" i="20"/>
  <c r="X1847" i="20"/>
  <c r="X1599" i="20"/>
  <c r="X1793" i="20"/>
  <c r="X1953" i="20"/>
  <c r="X1660" i="20"/>
  <c r="X1863" i="20"/>
  <c r="X1743" i="20"/>
  <c r="X1751" i="20"/>
  <c r="X1639" i="20"/>
  <c r="X1414" i="20"/>
  <c r="X1737" i="20"/>
  <c r="X1853" i="20"/>
  <c r="X1720" i="20"/>
  <c r="X1600" i="20"/>
  <c r="X1749" i="20"/>
  <c r="X1810" i="20"/>
  <c r="X1746" i="20"/>
  <c r="X1745" i="20"/>
  <c r="X1667" i="20"/>
  <c r="X1627" i="20"/>
  <c r="X1664" i="20"/>
  <c r="X1950" i="20"/>
  <c r="X1791" i="20"/>
  <c r="X1695" i="20"/>
  <c r="X1626" i="20"/>
  <c r="X1662" i="20"/>
  <c r="X1763" i="20"/>
  <c r="X1688" i="20"/>
  <c r="X1680" i="20"/>
  <c r="X1799" i="20"/>
  <c r="X1617" i="20"/>
  <c r="X1975" i="20"/>
  <c r="X1718" i="20"/>
  <c r="X1827" i="20"/>
  <c r="X1735" i="20"/>
  <c r="X1683" i="20"/>
  <c r="X1696" i="20"/>
  <c r="X1692" i="20"/>
  <c r="X1606" i="20"/>
  <c r="X1795" i="20"/>
  <c r="X1823" i="20"/>
  <c r="X1723" i="20"/>
  <c r="X1386" i="20"/>
  <c r="X1801" i="20"/>
  <c r="X1657" i="20"/>
  <c r="X1709" i="20"/>
  <c r="X1755" i="20"/>
  <c r="X1650" i="20"/>
  <c r="X1642" i="20"/>
  <c r="X1859" i="20"/>
  <c r="X1698" i="20"/>
  <c r="X1835" i="20"/>
  <c r="X1811" i="20"/>
  <c r="X1611" i="20"/>
  <c r="X1741" i="20"/>
  <c r="X1736" i="20"/>
  <c r="X1765" i="20"/>
  <c r="X1767" i="20"/>
  <c r="X1631" i="20"/>
  <c r="X1753" i="20"/>
  <c r="X1679" i="20"/>
  <c r="X1644" i="20"/>
  <c r="X1727" i="20"/>
  <c r="X1947" i="20"/>
  <c r="X1725" i="20"/>
  <c r="X1787" i="20"/>
  <c r="X1603" i="20"/>
  <c r="X1706" i="20"/>
  <c r="X292" i="20"/>
  <c r="X1759" i="20"/>
  <c r="X1885" i="20"/>
  <c r="X1781" i="20"/>
  <c r="X1610" i="20"/>
  <c r="X1739" i="20"/>
  <c r="X1821" i="20"/>
  <c r="X1789" i="20"/>
  <c r="X1405" i="20"/>
  <c r="X1085" i="20"/>
  <c r="X1604" i="20"/>
  <c r="X1669" i="20"/>
  <c r="X1784" i="20"/>
  <c r="X795" i="20"/>
  <c r="X1649" i="20"/>
  <c r="X1871" i="20"/>
  <c r="X1719" i="20"/>
  <c r="X1813" i="20"/>
  <c r="X1701" i="20"/>
  <c r="X1812" i="20"/>
  <c r="X1782" i="20"/>
  <c r="X1629" i="20"/>
  <c r="X1635" i="20"/>
  <c r="X1777" i="20"/>
  <c r="X1633" i="20"/>
  <c r="X1729" i="20"/>
  <c r="X840" i="20"/>
  <c r="X1628" i="20"/>
  <c r="X1413" i="20"/>
  <c r="X1819" i="20"/>
  <c r="X1160" i="20"/>
  <c r="X1829" i="20"/>
  <c r="X1805" i="20"/>
  <c r="X1833" i="20"/>
  <c r="X1659" i="20"/>
  <c r="X1879" i="20"/>
  <c r="X1616" i="20"/>
  <c r="X1761" i="20"/>
  <c r="X1409" i="20"/>
  <c r="X1891" i="20"/>
  <c r="X1780" i="20"/>
  <c r="X1668" i="20"/>
  <c r="X1877" i="20"/>
  <c r="X1652" i="20"/>
  <c r="X1705" i="20"/>
  <c r="X1685" i="20"/>
  <c r="X1609" i="20"/>
  <c r="X1769" i="20"/>
  <c r="X821" i="20"/>
  <c r="X825" i="20"/>
  <c r="X14" i="20"/>
  <c r="X833" i="20"/>
  <c r="X835" i="20"/>
  <c r="X829" i="20"/>
  <c r="X817" i="20"/>
  <c r="X818" i="20"/>
  <c r="X815" i="20"/>
  <c r="X803" i="20"/>
  <c r="X813" i="20"/>
  <c r="X823" i="20"/>
  <c r="X799" i="20"/>
  <c r="X15" i="20"/>
  <c r="X4" i="20"/>
  <c r="X10" i="20"/>
  <c r="X819" i="20"/>
  <c r="X801" i="20"/>
  <c r="X11" i="20"/>
  <c r="X797" i="20"/>
  <c r="G1612" i="20" l="1"/>
  <c r="G1593" i="20"/>
  <c r="I1593" i="20" s="1"/>
  <c r="G1633" i="20"/>
  <c r="G1631" i="20"/>
  <c r="I1631" i="20" s="1"/>
  <c r="G1637" i="20"/>
  <c r="I1637" i="20" s="1"/>
  <c r="G1635" i="20"/>
  <c r="G1641" i="20"/>
  <c r="I1641" i="20" s="1"/>
  <c r="G1639" i="20"/>
  <c r="G1646" i="20"/>
  <c r="G1643" i="20"/>
  <c r="G1657" i="20"/>
  <c r="I1657" i="20" s="1"/>
  <c r="G1655" i="20"/>
  <c r="G1661" i="20"/>
  <c r="I1661" i="20" s="1"/>
  <c r="G1659" i="20"/>
  <c r="G1665" i="20"/>
  <c r="G1663" i="20"/>
  <c r="G1669" i="20"/>
  <c r="I1669" i="20" s="1"/>
  <c r="G1667" i="20"/>
  <c r="G1673" i="20"/>
  <c r="I1673" i="20" s="1"/>
  <c r="G1671" i="20"/>
  <c r="I1671" i="20" s="1"/>
  <c r="G1677" i="20"/>
  <c r="I1677" i="20" s="1"/>
  <c r="G1675" i="20"/>
  <c r="G1687" i="20"/>
  <c r="I1687" i="20" s="1"/>
  <c r="G1685" i="20"/>
  <c r="G1691" i="20"/>
  <c r="I1691" i="20" s="1"/>
  <c r="G1689" i="20"/>
  <c r="G1695" i="20"/>
  <c r="I1695" i="20" s="1"/>
  <c r="G1693" i="20"/>
  <c r="G1699" i="20"/>
  <c r="I1699" i="20" s="1"/>
  <c r="G1697" i="20"/>
  <c r="G1705" i="20"/>
  <c r="G1701" i="20"/>
  <c r="I1701" i="20" s="1"/>
  <c r="G1711" i="20"/>
  <c r="I1711" i="20" s="1"/>
  <c r="G1709" i="20"/>
  <c r="G1715" i="20"/>
  <c r="I1715" i="20" s="1"/>
  <c r="G1713" i="20"/>
  <c r="G1719" i="20"/>
  <c r="I1719" i="20" s="1"/>
  <c r="G1717" i="20"/>
  <c r="G1723" i="20"/>
  <c r="I1723" i="20" s="1"/>
  <c r="G1721" i="20"/>
  <c r="I1721" i="20" s="1"/>
  <c r="G1727" i="20"/>
  <c r="I1727" i="20" s="1"/>
  <c r="G1725" i="20"/>
  <c r="G1731" i="20"/>
  <c r="I1731" i="20" s="1"/>
  <c r="G1729" i="20"/>
  <c r="G1735" i="20"/>
  <c r="I1735" i="20" s="1"/>
  <c r="G1733" i="20"/>
  <c r="G1739" i="20"/>
  <c r="I1739" i="20" s="1"/>
  <c r="G1737" i="20"/>
  <c r="G1743" i="20"/>
  <c r="I1743" i="20" s="1"/>
  <c r="G1741" i="20"/>
  <c r="I1741" i="20" s="1"/>
  <c r="G1747" i="20"/>
  <c r="I1747" i="20" s="1"/>
  <c r="G1745" i="20"/>
  <c r="G1751" i="20"/>
  <c r="I1751" i="20" s="1"/>
  <c r="G1749" i="20"/>
  <c r="G1755" i="20"/>
  <c r="I1755" i="20" s="1"/>
  <c r="G1753" i="20"/>
  <c r="G1759" i="20"/>
  <c r="I1759" i="20" s="1"/>
  <c r="G1757" i="20"/>
  <c r="G1763" i="20"/>
  <c r="I1763" i="20" s="1"/>
  <c r="G1761" i="20"/>
  <c r="I1761" i="20" s="1"/>
  <c r="G1767" i="20"/>
  <c r="I1767" i="20" s="1"/>
  <c r="G1765" i="20"/>
  <c r="G1771" i="20"/>
  <c r="I1771" i="20" s="1"/>
  <c r="G1769" i="20"/>
  <c r="G1775" i="20"/>
  <c r="I1775" i="20" s="1"/>
  <c r="G1773" i="20"/>
  <c r="G1779" i="20"/>
  <c r="I1779" i="20" s="1"/>
  <c r="G1777" i="20"/>
  <c r="G1784" i="20"/>
  <c r="G1781" i="20"/>
  <c r="I1781" i="20" s="1"/>
  <c r="G1789" i="20"/>
  <c r="I1789" i="20" s="1"/>
  <c r="G1787" i="20"/>
  <c r="G1793" i="20"/>
  <c r="I1793" i="20" s="1"/>
  <c r="G1791" i="20"/>
  <c r="I1791" i="20" s="1"/>
  <c r="G1798" i="20"/>
  <c r="G1795" i="20"/>
  <c r="A1804" i="20"/>
  <c r="A1802" i="20"/>
  <c r="G1803" i="20"/>
  <c r="I1803" i="20" s="1"/>
  <c r="G1801" i="20"/>
  <c r="I1801" i="20" s="1"/>
  <c r="G1810" i="20"/>
  <c r="G1805" i="20"/>
  <c r="G1817" i="20"/>
  <c r="I1817" i="20" s="1"/>
  <c r="G1815" i="20"/>
  <c r="G1821" i="20"/>
  <c r="I1821" i="20" s="1"/>
  <c r="G1819" i="20"/>
  <c r="G1825" i="20"/>
  <c r="I1825" i="20" s="1"/>
  <c r="G1823" i="20"/>
  <c r="G1829" i="20"/>
  <c r="I1829" i="20" s="1"/>
  <c r="G1827" i="20"/>
  <c r="G1833" i="20"/>
  <c r="I1833" i="20" s="1"/>
  <c r="G1831" i="20"/>
  <c r="G1837" i="20"/>
  <c r="I1837" i="20" s="1"/>
  <c r="G1835" i="20"/>
  <c r="G1841" i="20"/>
  <c r="I1841" i="20" s="1"/>
  <c r="G1839" i="20"/>
  <c r="G1845" i="20"/>
  <c r="I1845" i="20" s="1"/>
  <c r="G1843" i="20"/>
  <c r="G1849" i="20"/>
  <c r="I1849" i="20" s="1"/>
  <c r="G1847" i="20"/>
  <c r="G1853" i="20"/>
  <c r="I1853" i="20" s="1"/>
  <c r="G1851" i="20"/>
  <c r="G1857" i="20"/>
  <c r="I1857" i="20" s="1"/>
  <c r="G1855" i="20"/>
  <c r="G1861" i="20"/>
  <c r="I1861" i="20" s="1"/>
  <c r="G1859" i="20"/>
  <c r="G1865" i="20"/>
  <c r="I1865" i="20" s="1"/>
  <c r="G1863" i="20"/>
  <c r="G1869" i="20"/>
  <c r="I1869" i="20" s="1"/>
  <c r="G1867" i="20"/>
  <c r="G1873" i="20"/>
  <c r="I1873" i="20" s="1"/>
  <c r="G1871" i="20"/>
  <c r="G1877" i="20"/>
  <c r="I1877" i="20" s="1"/>
  <c r="G1875" i="20"/>
  <c r="G1881" i="20"/>
  <c r="I1881" i="20" s="1"/>
  <c r="G1879" i="20"/>
  <c r="G1885" i="20"/>
  <c r="I1885" i="20" s="1"/>
  <c r="G1883" i="20"/>
  <c r="G1889" i="20"/>
  <c r="I1889" i="20" s="1"/>
  <c r="G1887" i="20"/>
  <c r="G1907" i="20"/>
  <c r="G1891" i="20"/>
  <c r="G1935" i="20"/>
  <c r="G1923" i="20"/>
  <c r="G1949" i="20"/>
  <c r="I1949" i="20" s="1"/>
  <c r="G1947" i="20"/>
  <c r="G1953" i="20"/>
  <c r="I1953" i="20" s="1"/>
  <c r="G1951" i="20"/>
  <c r="G1978" i="20"/>
  <c r="G1955" i="20"/>
  <c r="H1985" i="20"/>
  <c r="H1962" i="20"/>
  <c r="H1941" i="20"/>
  <c r="H1929" i="20"/>
  <c r="H1914" i="20"/>
  <c r="H1898" i="20"/>
  <c r="A805" i="20"/>
  <c r="A11" i="20"/>
  <c r="H804" i="20"/>
  <c r="H10" i="20"/>
  <c r="B804" i="20"/>
  <c r="B10" i="20"/>
  <c r="G804" i="20"/>
  <c r="G10" i="20"/>
  <c r="I10" i="20" s="1"/>
  <c r="H1619" i="20"/>
  <c r="H1600" i="20"/>
  <c r="I840" i="20"/>
  <c r="I52" i="20"/>
  <c r="I845" i="20"/>
  <c r="I57" i="20"/>
  <c r="I1429" i="20"/>
  <c r="I62" i="20"/>
  <c r="I855" i="20"/>
  <c r="H105" i="19"/>
  <c r="I1260" i="20"/>
  <c r="I860" i="20"/>
  <c r="I77" i="20"/>
  <c r="I1453" i="20"/>
  <c r="I82" i="20"/>
  <c r="I875" i="20"/>
  <c r="I1286" i="20"/>
  <c r="I880" i="20"/>
  <c r="I92" i="20"/>
  <c r="I1470" i="20"/>
  <c r="I97" i="20"/>
  <c r="I890" i="20"/>
  <c r="I102" i="20"/>
  <c r="I1481" i="20"/>
  <c r="I112" i="20"/>
  <c r="I1541" i="20"/>
  <c r="I117" i="20"/>
  <c r="I910" i="20"/>
  <c r="I1330" i="20"/>
  <c r="I915" i="20"/>
  <c r="I127" i="20"/>
  <c r="I920" i="20"/>
  <c r="I132" i="20"/>
  <c r="I925" i="20"/>
  <c r="I137" i="20"/>
  <c r="I930" i="20"/>
  <c r="I1354" i="20"/>
  <c r="I935" i="20"/>
  <c r="I147" i="20"/>
  <c r="I940" i="20"/>
  <c r="I152" i="20"/>
  <c r="I945" i="20"/>
  <c r="I157" i="20"/>
  <c r="I950" i="20"/>
  <c r="I162" i="20"/>
  <c r="I955" i="20"/>
  <c r="I1384" i="20"/>
  <c r="I960" i="20"/>
  <c r="I172" i="20"/>
  <c r="I965" i="20"/>
  <c r="I177" i="20"/>
  <c r="I970" i="20"/>
  <c r="I182" i="20"/>
  <c r="I975" i="20"/>
  <c r="I187" i="20"/>
  <c r="I980" i="20"/>
  <c r="I1420" i="20"/>
  <c r="I985" i="20"/>
  <c r="I197" i="20"/>
  <c r="I990" i="20"/>
  <c r="I202" i="20"/>
  <c r="I995" i="20"/>
  <c r="I207" i="20"/>
  <c r="I1000" i="20"/>
  <c r="I212" i="20"/>
  <c r="I1005" i="20"/>
  <c r="I1448" i="20"/>
  <c r="I1010" i="20"/>
  <c r="I222" i="20"/>
  <c r="I1015" i="20"/>
  <c r="I227" i="20"/>
  <c r="I1020" i="20"/>
  <c r="I232" i="20"/>
  <c r="I1025" i="20"/>
  <c r="I237" i="20"/>
  <c r="I1030" i="20"/>
  <c r="I242" i="20"/>
  <c r="I1035" i="20"/>
  <c r="I247" i="20"/>
  <c r="I1040" i="20"/>
  <c r="I252" i="20"/>
  <c r="I1045" i="20"/>
  <c r="I257" i="20"/>
  <c r="I1050" i="20"/>
  <c r="I262" i="20"/>
  <c r="I1055" i="20"/>
  <c r="I267" i="20"/>
  <c r="I1060" i="20"/>
  <c r="I272" i="20"/>
  <c r="I1065" i="20"/>
  <c r="I277" i="20"/>
  <c r="I1070" i="20"/>
  <c r="I282" i="20"/>
  <c r="I1075" i="20"/>
  <c r="I287" i="20"/>
  <c r="I1080" i="20"/>
  <c r="I292" i="20"/>
  <c r="I1085" i="20"/>
  <c r="I297" i="20"/>
  <c r="I1090" i="20"/>
  <c r="I302" i="20"/>
  <c r="I1095" i="20"/>
  <c r="I307" i="20"/>
  <c r="I1100" i="20"/>
  <c r="I312" i="20"/>
  <c r="I1105" i="20"/>
  <c r="I317" i="20"/>
  <c r="I1110" i="20"/>
  <c r="I322" i="20"/>
  <c r="I1115" i="20"/>
  <c r="I327" i="20"/>
  <c r="I1120" i="20"/>
  <c r="I332" i="20"/>
  <c r="I1125" i="20"/>
  <c r="I337" i="20"/>
  <c r="I1130" i="20"/>
  <c r="I342" i="20"/>
  <c r="I1135" i="20"/>
  <c r="I347" i="20"/>
  <c r="I1140" i="20"/>
  <c r="I352" i="20"/>
  <c r="I1145" i="20"/>
  <c r="I357" i="20"/>
  <c r="I1150" i="20"/>
  <c r="I362" i="20"/>
  <c r="I1155" i="20"/>
  <c r="I367" i="20"/>
  <c r="I1160" i="20"/>
  <c r="I372" i="20"/>
  <c r="I1165" i="20"/>
  <c r="I1364" i="20"/>
  <c r="H60" i="19"/>
  <c r="H61" i="19" s="1"/>
  <c r="I637" i="20"/>
  <c r="I1185" i="20"/>
  <c r="I642" i="20"/>
  <c r="I1223" i="20"/>
  <c r="I647" i="20"/>
  <c r="I1227" i="20"/>
  <c r="I652" i="20"/>
  <c r="I1231" i="20"/>
  <c r="I657" i="20"/>
  <c r="I1235" i="20"/>
  <c r="I666" i="20"/>
  <c r="I56" i="20"/>
  <c r="I671" i="20"/>
  <c r="I59" i="20"/>
  <c r="I676" i="20"/>
  <c r="I681" i="20"/>
  <c r="I67" i="20"/>
  <c r="I686" i="20"/>
  <c r="I69" i="20"/>
  <c r="I691" i="20"/>
  <c r="I1650" i="20"/>
  <c r="I701" i="20"/>
  <c r="I79" i="20"/>
  <c r="I706" i="20"/>
  <c r="I711" i="20"/>
  <c r="I87" i="20"/>
  <c r="I716" i="20"/>
  <c r="I90" i="20"/>
  <c r="I721" i="20"/>
  <c r="I93" i="20"/>
  <c r="I726" i="20"/>
  <c r="I731" i="20"/>
  <c r="I101" i="20"/>
  <c r="I736" i="20"/>
  <c r="I104" i="20"/>
  <c r="I741" i="20"/>
  <c r="I1680" i="20"/>
  <c r="I746" i="20"/>
  <c r="I111" i="20"/>
  <c r="I751" i="20"/>
  <c r="I114" i="20"/>
  <c r="I756" i="20"/>
  <c r="I761" i="20"/>
  <c r="I122" i="20"/>
  <c r="I766" i="20"/>
  <c r="I125" i="20"/>
  <c r="I771" i="20"/>
  <c r="I128" i="20"/>
  <c r="I776" i="20"/>
  <c r="I781" i="20"/>
  <c r="I134" i="20"/>
  <c r="I786" i="20"/>
  <c r="I791" i="20"/>
  <c r="I142" i="20"/>
  <c r="I796" i="20"/>
  <c r="I145" i="20"/>
  <c r="I801" i="20"/>
  <c r="I148" i="20"/>
  <c r="I156" i="20"/>
  <c r="I159" i="20"/>
  <c r="I167" i="20"/>
  <c r="I170" i="20"/>
  <c r="I836" i="20"/>
  <c r="I173" i="20"/>
  <c r="I841" i="20"/>
  <c r="I181" i="20"/>
  <c r="I184" i="20"/>
  <c r="I842" i="20"/>
  <c r="I192" i="20"/>
  <c r="I1633" i="20"/>
  <c r="I195" i="20"/>
  <c r="I850" i="20"/>
  <c r="I198" i="20"/>
  <c r="I853" i="20"/>
  <c r="I206" i="20"/>
  <c r="I861" i="20"/>
  <c r="I209" i="20"/>
  <c r="I863" i="20"/>
  <c r="I1653" i="20"/>
  <c r="I217" i="20"/>
  <c r="I870" i="20"/>
  <c r="I220" i="20"/>
  <c r="I873" i="20"/>
  <c r="I223" i="20"/>
  <c r="I881" i="20"/>
  <c r="I230" i="20"/>
  <c r="I884" i="20"/>
  <c r="I233" i="20"/>
  <c r="I887" i="20"/>
  <c r="I241" i="20"/>
  <c r="I895" i="20"/>
  <c r="I243" i="20"/>
  <c r="I898" i="20"/>
  <c r="I1683" i="20"/>
  <c r="I251" i="20"/>
  <c r="I905" i="20"/>
  <c r="I908" i="20"/>
  <c r="I256" i="20"/>
  <c r="I259" i="20"/>
  <c r="I541" i="19"/>
  <c r="I521" i="19"/>
  <c r="I22" i="19"/>
  <c r="G22" i="19"/>
  <c r="F23" i="19"/>
  <c r="I599" i="20"/>
  <c r="I572" i="19"/>
  <c r="I67" i="19"/>
  <c r="H121" i="19"/>
  <c r="H199" i="19"/>
  <c r="H371" i="19"/>
  <c r="H514" i="19"/>
  <c r="H535" i="19"/>
  <c r="H565" i="19"/>
  <c r="J3" i="20"/>
  <c r="J1371" i="20"/>
  <c r="J597" i="20"/>
  <c r="J604" i="20"/>
  <c r="J594" i="20"/>
  <c r="J623" i="20"/>
  <c r="J609" i="20"/>
  <c r="J1204" i="20"/>
  <c r="J595" i="20"/>
  <c r="H388" i="19"/>
  <c r="H500" i="19"/>
  <c r="H292" i="19"/>
  <c r="H507" i="19"/>
  <c r="H243" i="19"/>
  <c r="H299" i="19"/>
  <c r="H342" i="19"/>
  <c r="H402" i="19"/>
  <c r="H458" i="19"/>
  <c r="H192" i="19"/>
  <c r="H236" i="19"/>
  <c r="H250" i="19"/>
  <c r="H306" i="19"/>
  <c r="H349" i="19"/>
  <c r="H409" i="19"/>
  <c r="H465" i="19"/>
  <c r="H229" i="19"/>
  <c r="H444" i="19"/>
  <c r="H84" i="19"/>
  <c r="H257" i="19"/>
  <c r="H313" i="19"/>
  <c r="H416" i="19"/>
  <c r="H472" i="19"/>
  <c r="H149" i="19"/>
  <c r="H285" i="19"/>
  <c r="H364" i="19"/>
  <c r="H451" i="19"/>
  <c r="H91" i="19"/>
  <c r="H128" i="19"/>
  <c r="H171" i="19"/>
  <c r="H208" i="19"/>
  <c r="H264" i="19"/>
  <c r="H320" i="19"/>
  <c r="H356" i="19"/>
  <c r="H423" i="19"/>
  <c r="H479" i="19"/>
  <c r="H156" i="19"/>
  <c r="H395" i="19"/>
  <c r="H98" i="19"/>
  <c r="H135" i="19"/>
  <c r="H178" i="19"/>
  <c r="H215" i="19"/>
  <c r="H271" i="19"/>
  <c r="H327" i="19"/>
  <c r="H430" i="19"/>
  <c r="H486" i="19"/>
  <c r="H142" i="19"/>
  <c r="H185" i="19"/>
  <c r="H222" i="19"/>
  <c r="H278" i="19"/>
  <c r="H334" i="19"/>
  <c r="H381" i="19"/>
  <c r="H437" i="19"/>
  <c r="H493" i="19"/>
  <c r="J1628" i="20"/>
  <c r="J1512" i="20"/>
  <c r="J1506" i="20"/>
  <c r="J1504" i="20"/>
  <c r="J690" i="20"/>
  <c r="J598" i="20"/>
  <c r="J659" i="20"/>
  <c r="J763" i="20"/>
  <c r="J844" i="20"/>
  <c r="J1657" i="20"/>
  <c r="J600" i="20"/>
  <c r="J1507" i="20"/>
  <c r="J880" i="20"/>
  <c r="J738" i="20"/>
  <c r="J876" i="20"/>
  <c r="J700" i="20"/>
  <c r="J606" i="20"/>
  <c r="J1684" i="20"/>
  <c r="J1682" i="20"/>
  <c r="J1513" i="20"/>
  <c r="J875" i="20"/>
  <c r="J865" i="20"/>
  <c r="J607" i="20"/>
  <c r="J743" i="20"/>
  <c r="J601" i="20"/>
  <c r="J901" i="20"/>
  <c r="J1527" i="20"/>
  <c r="J753" i="20"/>
  <c r="J691" i="20"/>
  <c r="J605" i="20"/>
  <c r="J602" i="20"/>
  <c r="J1509" i="20"/>
  <c r="J895" i="20"/>
  <c r="J805" i="20"/>
  <c r="J1514" i="20"/>
  <c r="J720" i="20"/>
  <c r="J630" i="20"/>
  <c r="J1210" i="20"/>
  <c r="J900" i="20"/>
  <c r="J1508" i="20"/>
  <c r="J1647" i="20"/>
  <c r="J858" i="20"/>
  <c r="J879" i="20"/>
  <c r="J1218" i="20"/>
  <c r="J1510" i="20"/>
  <c r="J1666" i="20"/>
  <c r="J1372" i="20"/>
  <c r="J1505" i="20"/>
  <c r="J1528" i="20"/>
  <c r="J1465" i="20"/>
  <c r="J877" i="20"/>
  <c r="J1376" i="20"/>
  <c r="J637" i="20"/>
  <c r="J881" i="20"/>
  <c r="J1661" i="20"/>
  <c r="J867" i="20"/>
  <c r="J789" i="20"/>
  <c r="J723" i="20"/>
  <c r="J616" i="20"/>
  <c r="J855" i="20"/>
  <c r="J599" i="20"/>
  <c r="J596" i="20"/>
  <c r="J593" i="20"/>
  <c r="J799" i="20"/>
  <c r="J715" i="20"/>
  <c r="J608" i="20"/>
  <c r="J1462" i="20"/>
  <c r="J847" i="20"/>
  <c r="J1511" i="20"/>
  <c r="J1466" i="20"/>
  <c r="J1461" i="20"/>
  <c r="J1665" i="20"/>
  <c r="J1662" i="20"/>
  <c r="J882" i="20"/>
  <c r="J878" i="20"/>
  <c r="J1637" i="20"/>
  <c r="J773" i="20"/>
  <c r="J603" i="20"/>
  <c r="J733" i="20"/>
  <c r="H552" i="19"/>
  <c r="J146" i="20"/>
  <c r="G1954" i="20" l="1"/>
  <c r="I1954" i="20" s="1"/>
  <c r="G1952" i="20"/>
  <c r="I1952" i="20" s="1"/>
  <c r="G1950" i="20"/>
  <c r="I1950" i="20" s="1"/>
  <c r="G1948" i="20"/>
  <c r="I1948" i="20" s="1"/>
  <c r="G1882" i="20"/>
  <c r="I1882" i="20" s="1"/>
  <c r="G1880" i="20"/>
  <c r="I1880" i="20" s="1"/>
  <c r="G1850" i="20"/>
  <c r="I1850" i="20" s="1"/>
  <c r="G1848" i="20"/>
  <c r="I1848" i="20" s="1"/>
  <c r="G1818" i="20"/>
  <c r="I1818" i="20" s="1"/>
  <c r="G1816" i="20"/>
  <c r="I1816" i="20" s="1"/>
  <c r="G1785" i="20"/>
  <c r="I1785" i="20" s="1"/>
  <c r="G1782" i="20"/>
  <c r="G1752" i="20"/>
  <c r="I1752" i="20" s="1"/>
  <c r="G1750" i="20"/>
  <c r="I1750" i="20" s="1"/>
  <c r="G1720" i="20"/>
  <c r="I1720" i="20" s="1"/>
  <c r="G1718" i="20"/>
  <c r="I1718" i="20" s="1"/>
  <c r="G1696" i="20"/>
  <c r="I1696" i="20" s="1"/>
  <c r="G1694" i="20"/>
  <c r="I1694" i="20" s="1"/>
  <c r="G1670" i="20"/>
  <c r="I1670" i="20" s="1"/>
  <c r="G1668" i="20"/>
  <c r="I1668" i="20" s="1"/>
  <c r="G1878" i="20"/>
  <c r="I1878" i="20" s="1"/>
  <c r="G1876" i="20"/>
  <c r="I1876" i="20" s="1"/>
  <c r="G1846" i="20"/>
  <c r="I1846" i="20" s="1"/>
  <c r="G1844" i="20"/>
  <c r="I1844" i="20" s="1"/>
  <c r="G1780" i="20"/>
  <c r="I1780" i="20" s="1"/>
  <c r="G1778" i="20"/>
  <c r="I1778" i="20" s="1"/>
  <c r="G1748" i="20"/>
  <c r="I1748" i="20" s="1"/>
  <c r="G1746" i="20"/>
  <c r="I1746" i="20" s="1"/>
  <c r="G1716" i="20"/>
  <c r="I1716" i="20" s="1"/>
  <c r="G1714" i="20"/>
  <c r="I1714" i="20" s="1"/>
  <c r="G1692" i="20"/>
  <c r="I1692" i="20" s="1"/>
  <c r="G1690" i="20"/>
  <c r="I1690" i="20" s="1"/>
  <c r="G1666" i="20"/>
  <c r="I1666" i="20" s="1"/>
  <c r="G1664" i="20"/>
  <c r="I1664" i="20" s="1"/>
  <c r="G1642" i="20"/>
  <c r="I1642" i="20" s="1"/>
  <c r="G1640" i="20"/>
  <c r="I1640" i="20" s="1"/>
  <c r="G1826" i="20"/>
  <c r="I1826" i="20" s="1"/>
  <c r="G1824" i="20"/>
  <c r="I1824" i="20" s="1"/>
  <c r="G1678" i="20"/>
  <c r="I1678" i="20" s="1"/>
  <c r="G1676" i="20"/>
  <c r="I1676" i="20" s="1"/>
  <c r="G1874" i="20"/>
  <c r="I1874" i="20" s="1"/>
  <c r="G1872" i="20"/>
  <c r="I1872" i="20" s="1"/>
  <c r="G1842" i="20"/>
  <c r="I1842" i="20" s="1"/>
  <c r="G1840" i="20"/>
  <c r="I1840" i="20" s="1"/>
  <c r="G1799" i="20"/>
  <c r="I1799" i="20" s="1"/>
  <c r="G1796" i="20"/>
  <c r="G1776" i="20"/>
  <c r="I1776" i="20" s="1"/>
  <c r="G1774" i="20"/>
  <c r="I1774" i="20" s="1"/>
  <c r="G1744" i="20"/>
  <c r="I1744" i="20" s="1"/>
  <c r="G1742" i="20"/>
  <c r="I1742" i="20" s="1"/>
  <c r="G1712" i="20"/>
  <c r="I1712" i="20" s="1"/>
  <c r="G1710" i="20"/>
  <c r="I1710" i="20" s="1"/>
  <c r="G1688" i="20"/>
  <c r="I1688" i="20" s="1"/>
  <c r="G1686" i="20"/>
  <c r="I1686" i="20" s="1"/>
  <c r="G1662" i="20"/>
  <c r="I1662" i="20" s="1"/>
  <c r="G1660" i="20"/>
  <c r="I1660" i="20" s="1"/>
  <c r="G1638" i="20"/>
  <c r="I1638" i="20" s="1"/>
  <c r="G1636" i="20"/>
  <c r="I1636" i="20" s="1"/>
  <c r="G1858" i="20"/>
  <c r="I1858" i="20" s="1"/>
  <c r="G1856" i="20"/>
  <c r="I1856" i="20" s="1"/>
  <c r="G1804" i="20"/>
  <c r="I1804" i="20" s="1"/>
  <c r="G1802" i="20"/>
  <c r="I1802" i="20" s="1"/>
  <c r="G1756" i="20"/>
  <c r="I1756" i="20" s="1"/>
  <c r="G1754" i="20"/>
  <c r="I1754" i="20" s="1"/>
  <c r="G1674" i="20"/>
  <c r="G1672" i="20"/>
  <c r="I1672" i="20" s="1"/>
  <c r="G1870" i="20"/>
  <c r="I1870" i="20" s="1"/>
  <c r="G1868" i="20"/>
  <c r="I1868" i="20" s="1"/>
  <c r="G1838" i="20"/>
  <c r="I1838" i="20" s="1"/>
  <c r="G1836" i="20"/>
  <c r="I1836" i="20" s="1"/>
  <c r="G1772" i="20"/>
  <c r="I1772" i="20" s="1"/>
  <c r="G1770" i="20"/>
  <c r="I1770" i="20" s="1"/>
  <c r="G1740" i="20"/>
  <c r="I1740" i="20" s="1"/>
  <c r="G1738" i="20"/>
  <c r="I1738" i="20" s="1"/>
  <c r="G1634" i="20"/>
  <c r="G1632" i="20"/>
  <c r="I1632" i="20" s="1"/>
  <c r="G1854" i="20"/>
  <c r="I1854" i="20" s="1"/>
  <c r="G1852" i="20"/>
  <c r="I1852" i="20" s="1"/>
  <c r="G1724" i="20"/>
  <c r="I1724" i="20" s="1"/>
  <c r="G1722" i="20"/>
  <c r="I1722" i="20" s="1"/>
  <c r="G1866" i="20"/>
  <c r="I1866" i="20" s="1"/>
  <c r="G1864" i="20"/>
  <c r="I1864" i="20" s="1"/>
  <c r="G1834" i="20"/>
  <c r="I1834" i="20" s="1"/>
  <c r="G1832" i="20"/>
  <c r="I1832" i="20" s="1"/>
  <c r="G1794" i="20"/>
  <c r="I1794" i="20" s="1"/>
  <c r="G1792" i="20"/>
  <c r="I1792" i="20" s="1"/>
  <c r="G1768" i="20"/>
  <c r="I1768" i="20" s="1"/>
  <c r="G1766" i="20"/>
  <c r="I1766" i="20" s="1"/>
  <c r="G1736" i="20"/>
  <c r="I1736" i="20" s="1"/>
  <c r="G1734" i="20"/>
  <c r="I1734" i="20" s="1"/>
  <c r="G1728" i="20"/>
  <c r="I1728" i="20" s="1"/>
  <c r="G1726" i="20"/>
  <c r="I1726" i="20" s="1"/>
  <c r="G1700" i="20"/>
  <c r="I1700" i="20" s="1"/>
  <c r="G1698" i="20"/>
  <c r="I1698" i="20" s="1"/>
  <c r="G1862" i="20"/>
  <c r="I1862" i="20" s="1"/>
  <c r="G1860" i="20"/>
  <c r="I1860" i="20" s="1"/>
  <c r="G1830" i="20"/>
  <c r="I1830" i="20" s="1"/>
  <c r="G1828" i="20"/>
  <c r="I1828" i="20" s="1"/>
  <c r="G1790" i="20"/>
  <c r="I1790" i="20" s="1"/>
  <c r="G1788" i="20"/>
  <c r="I1788" i="20" s="1"/>
  <c r="G1764" i="20"/>
  <c r="I1764" i="20" s="1"/>
  <c r="G1762" i="20"/>
  <c r="I1762" i="20" s="1"/>
  <c r="G1732" i="20"/>
  <c r="I1732" i="20" s="1"/>
  <c r="G1730" i="20"/>
  <c r="I1730" i="20" s="1"/>
  <c r="G1890" i="20"/>
  <c r="I1890" i="20" s="1"/>
  <c r="G1888" i="20"/>
  <c r="I1888" i="20" s="1"/>
  <c r="G1760" i="20"/>
  <c r="I1760" i="20" s="1"/>
  <c r="G1758" i="20"/>
  <c r="I1758" i="20" s="1"/>
  <c r="G1886" i="20"/>
  <c r="I1886" i="20" s="1"/>
  <c r="G1884" i="20"/>
  <c r="I1884" i="20" s="1"/>
  <c r="G1822" i="20"/>
  <c r="I1822" i="20" s="1"/>
  <c r="G1820" i="20"/>
  <c r="I1820" i="20" s="1"/>
  <c r="G1614" i="20"/>
  <c r="G1595" i="20"/>
  <c r="I1595" i="20" s="1"/>
  <c r="G1979" i="20"/>
  <c r="G1956" i="20"/>
  <c r="G1936" i="20"/>
  <c r="G1924" i="20"/>
  <c r="G1908" i="20"/>
  <c r="G1892" i="20"/>
  <c r="G1811" i="20"/>
  <c r="G1806" i="20"/>
  <c r="G1706" i="20"/>
  <c r="G1702" i="20"/>
  <c r="G1658" i="20"/>
  <c r="I1658" i="20" s="1"/>
  <c r="G1656" i="20"/>
  <c r="I1656" i="20" s="1"/>
  <c r="H1986" i="20"/>
  <c r="H1963" i="20"/>
  <c r="H1915" i="20"/>
  <c r="H1899" i="20"/>
  <c r="H1942" i="20"/>
  <c r="H1930" i="20"/>
  <c r="G1613" i="20"/>
  <c r="G1594" i="20"/>
  <c r="I1594" i="20" s="1"/>
  <c r="G1647" i="20"/>
  <c r="I1647" i="20" s="1"/>
  <c r="G1644" i="20"/>
  <c r="G805" i="20"/>
  <c r="G11" i="20"/>
  <c r="I11" i="20" s="1"/>
  <c r="A806" i="20"/>
  <c r="A12" i="20"/>
  <c r="B805" i="20"/>
  <c r="B11" i="20"/>
  <c r="H805" i="20"/>
  <c r="H11" i="20"/>
  <c r="H1620" i="20"/>
  <c r="H1601" i="20"/>
  <c r="I1951" i="20"/>
  <c r="I1161" i="20"/>
  <c r="I1947" i="20"/>
  <c r="I1156" i="20"/>
  <c r="I1879" i="20"/>
  <c r="I1131" i="20"/>
  <c r="I1847" i="20"/>
  <c r="I1091" i="20"/>
  <c r="I1815" i="20"/>
  <c r="I1051" i="20"/>
  <c r="I1460" i="20"/>
  <c r="I1021" i="20"/>
  <c r="I1749" i="20"/>
  <c r="I981" i="20"/>
  <c r="I1717" i="20"/>
  <c r="I941" i="20"/>
  <c r="I1693" i="20"/>
  <c r="I916" i="20"/>
  <c r="I1667" i="20"/>
  <c r="I886" i="20"/>
  <c r="I1875" i="20"/>
  <c r="I1126" i="20"/>
  <c r="I1843" i="20"/>
  <c r="I1086" i="20"/>
  <c r="I1777" i="20"/>
  <c r="I1016" i="20"/>
  <c r="I1745" i="20"/>
  <c r="I976" i="20"/>
  <c r="I1713" i="20"/>
  <c r="I936" i="20"/>
  <c r="I1689" i="20"/>
  <c r="I911" i="20"/>
  <c r="I1663" i="20"/>
  <c r="I1465" i="20"/>
  <c r="I1639" i="20"/>
  <c r="I856" i="20"/>
  <c r="I1823" i="20"/>
  <c r="I1061" i="20"/>
  <c r="I1675" i="20"/>
  <c r="I1482" i="20"/>
  <c r="I1871" i="20"/>
  <c r="I1121" i="20"/>
  <c r="I1839" i="20"/>
  <c r="I1081" i="20"/>
  <c r="I1795" i="20"/>
  <c r="I1036" i="20"/>
  <c r="I1773" i="20"/>
  <c r="I1011" i="20"/>
  <c r="I1401" i="20"/>
  <c r="I971" i="20"/>
  <c r="I1709" i="20"/>
  <c r="I931" i="20"/>
  <c r="I1685" i="20"/>
  <c r="I1542" i="20"/>
  <c r="I1659" i="20"/>
  <c r="I876" i="20"/>
  <c r="I1635" i="20"/>
  <c r="I1430" i="20"/>
  <c r="I1855" i="20"/>
  <c r="I1101" i="20"/>
  <c r="I1498" i="20"/>
  <c r="I1041" i="20"/>
  <c r="I1753" i="20"/>
  <c r="I986" i="20"/>
  <c r="I1302" i="20"/>
  <c r="I891" i="20"/>
  <c r="I1867" i="20"/>
  <c r="I1116" i="20"/>
  <c r="I1835" i="20"/>
  <c r="I1076" i="20"/>
  <c r="I1769" i="20"/>
  <c r="I1006" i="20"/>
  <c r="I1737" i="20"/>
  <c r="I966" i="20"/>
  <c r="I1243" i="20"/>
  <c r="I846" i="20"/>
  <c r="I1851" i="20"/>
  <c r="I1096" i="20"/>
  <c r="I1366" i="20"/>
  <c r="I946" i="20"/>
  <c r="I1863" i="20"/>
  <c r="I1111" i="20"/>
  <c r="I1831" i="20"/>
  <c r="I1071" i="20"/>
  <c r="I1472" i="20"/>
  <c r="I1031" i="20"/>
  <c r="I1765" i="20"/>
  <c r="I1001" i="20"/>
  <c r="I1733" i="20"/>
  <c r="I961" i="20"/>
  <c r="I1725" i="20"/>
  <c r="I951" i="20"/>
  <c r="I1697" i="20"/>
  <c r="I921" i="20"/>
  <c r="I1859" i="20"/>
  <c r="I1106" i="20"/>
  <c r="I1827" i="20"/>
  <c r="I1066" i="20"/>
  <c r="I1787" i="20"/>
  <c r="I1026" i="20"/>
  <c r="I1432" i="20"/>
  <c r="I996" i="20"/>
  <c r="I1729" i="20"/>
  <c r="I956" i="20"/>
  <c r="I1887" i="20"/>
  <c r="I1141" i="20"/>
  <c r="I1757" i="20"/>
  <c r="I991" i="20"/>
  <c r="I1883" i="20"/>
  <c r="I1136" i="20"/>
  <c r="I1819" i="20"/>
  <c r="I1056" i="20"/>
  <c r="I1406" i="20"/>
  <c r="I1955" i="20"/>
  <c r="I1166" i="20"/>
  <c r="I1923" i="20"/>
  <c r="I1151" i="20"/>
  <c r="I1891" i="20"/>
  <c r="I1146" i="20"/>
  <c r="I1805" i="20"/>
  <c r="I1046" i="20"/>
  <c r="I1342" i="20"/>
  <c r="I926" i="20"/>
  <c r="I1655" i="20"/>
  <c r="I1454" i="20"/>
  <c r="I1405" i="20"/>
  <c r="H106" i="19"/>
  <c r="I1643" i="20"/>
  <c r="I1441" i="20"/>
  <c r="I803" i="20"/>
  <c r="I909" i="20"/>
  <c r="I1543" i="20"/>
  <c r="I906" i="20"/>
  <c r="I1539" i="20"/>
  <c r="I888" i="20"/>
  <c r="I1471" i="20"/>
  <c r="I1646" i="20"/>
  <c r="I1439" i="20"/>
  <c r="I1407" i="20"/>
  <c r="I1373" i="20"/>
  <c r="I777" i="20"/>
  <c r="I1341" i="20"/>
  <c r="I737" i="20"/>
  <c r="I1309" i="20"/>
  <c r="I712" i="20"/>
  <c r="I1285" i="20"/>
  <c r="I682" i="20"/>
  <c r="I1259" i="20"/>
  <c r="I1238" i="20"/>
  <c r="I1236" i="20"/>
  <c r="I885" i="20"/>
  <c r="I1467" i="20"/>
  <c r="I857" i="20"/>
  <c r="I1435" i="20"/>
  <c r="I1369" i="20"/>
  <c r="I772" i="20"/>
  <c r="I1337" i="20"/>
  <c r="I732" i="20"/>
  <c r="I1305" i="20"/>
  <c r="I707" i="20"/>
  <c r="I1281" i="20"/>
  <c r="I677" i="20"/>
  <c r="I1255" i="20"/>
  <c r="I1233" i="20"/>
  <c r="I1232" i="20"/>
  <c r="I1415" i="20"/>
  <c r="I692" i="20"/>
  <c r="I1267" i="20"/>
  <c r="I1665" i="20"/>
  <c r="I1463" i="20"/>
  <c r="I854" i="20"/>
  <c r="I1431" i="20"/>
  <c r="I1387" i="20"/>
  <c r="I1365" i="20"/>
  <c r="I767" i="20"/>
  <c r="I1333" i="20"/>
  <c r="I727" i="20"/>
  <c r="I1301" i="20"/>
  <c r="I702" i="20"/>
  <c r="I1277" i="20"/>
  <c r="I672" i="20"/>
  <c r="I1251" i="20"/>
  <c r="I1229" i="20"/>
  <c r="I1228" i="20"/>
  <c r="I1654" i="20"/>
  <c r="I1447" i="20"/>
  <c r="I837" i="20"/>
  <c r="I1393" i="20"/>
  <c r="I782" i="20"/>
  <c r="I1345" i="20"/>
  <c r="I687" i="20"/>
  <c r="I1263" i="20"/>
  <c r="I877" i="20"/>
  <c r="I1459" i="20"/>
  <c r="I851" i="20"/>
  <c r="I1427" i="20"/>
  <c r="I802" i="20"/>
  <c r="I1361" i="20"/>
  <c r="I762" i="20"/>
  <c r="I1329" i="20"/>
  <c r="I1225" i="20"/>
  <c r="I1224" i="20"/>
  <c r="I864" i="20"/>
  <c r="I1443" i="20"/>
  <c r="I742" i="20"/>
  <c r="I1313" i="20"/>
  <c r="I874" i="20"/>
  <c r="I1455" i="20"/>
  <c r="I1634" i="20"/>
  <c r="I1423" i="20"/>
  <c r="I1383" i="20"/>
  <c r="I797" i="20"/>
  <c r="I1357" i="20"/>
  <c r="I757" i="20"/>
  <c r="I1325" i="20"/>
  <c r="I747" i="20"/>
  <c r="I1317" i="20"/>
  <c r="I717" i="20"/>
  <c r="I1289" i="20"/>
  <c r="I871" i="20"/>
  <c r="I1451" i="20"/>
  <c r="I843" i="20"/>
  <c r="I1419" i="20"/>
  <c r="I1379" i="20"/>
  <c r="I792" i="20"/>
  <c r="I1353" i="20"/>
  <c r="I752" i="20"/>
  <c r="I1321" i="20"/>
  <c r="I896" i="20"/>
  <c r="I1479" i="20"/>
  <c r="I787" i="20"/>
  <c r="I1349" i="20"/>
  <c r="I1674" i="20"/>
  <c r="I1475" i="20"/>
  <c r="I1411" i="20"/>
  <c r="I1205" i="20"/>
  <c r="I1187" i="20"/>
  <c r="H566" i="19"/>
  <c r="I912" i="20"/>
  <c r="I1547" i="20"/>
  <c r="H536" i="19"/>
  <c r="I1684" i="20"/>
  <c r="I1515" i="20"/>
  <c r="H515" i="19"/>
  <c r="H516" i="19" s="1"/>
  <c r="I899" i="20"/>
  <c r="I1483" i="20"/>
  <c r="H372" i="19"/>
  <c r="H373" i="19" s="1"/>
  <c r="I1612" i="20"/>
  <c r="I1397" i="20"/>
  <c r="I722" i="20"/>
  <c r="I1293" i="20"/>
  <c r="I667" i="20"/>
  <c r="I1247" i="20"/>
  <c r="I522" i="19"/>
  <c r="I542" i="19"/>
  <c r="I1204" i="20"/>
  <c r="I1186" i="20"/>
  <c r="F24" i="19"/>
  <c r="G23" i="19"/>
  <c r="I600" i="20"/>
  <c r="I23" i="19"/>
  <c r="I68" i="19"/>
  <c r="I573" i="19"/>
  <c r="H200" i="19"/>
  <c r="H357" i="19"/>
  <c r="H62" i="19"/>
  <c r="H335" i="19"/>
  <c r="K1839" i="20"/>
  <c r="K1840" i="20"/>
  <c r="L1840" i="20"/>
  <c r="J289" i="20"/>
  <c r="J290" i="20"/>
  <c r="K290" i="20"/>
  <c r="L291" i="20"/>
  <c r="L292" i="20"/>
  <c r="J1843" i="20"/>
  <c r="K1843" i="20"/>
  <c r="J1844" i="20"/>
  <c r="K1844" i="20"/>
  <c r="L293" i="20"/>
  <c r="L294" i="20"/>
  <c r="J295" i="20"/>
  <c r="K295" i="20"/>
  <c r="J296" i="20"/>
  <c r="K296" i="20"/>
  <c r="K297" i="20"/>
  <c r="L297" i="20"/>
  <c r="K1847" i="20"/>
  <c r="L1847" i="20"/>
  <c r="J1848" i="20"/>
  <c r="K1848" i="20"/>
  <c r="J298" i="20"/>
  <c r="L299" i="20"/>
  <c r="L1717" i="20"/>
  <c r="K1361" i="20"/>
  <c r="L1361" i="20"/>
  <c r="K302" i="20"/>
  <c r="L302" i="20"/>
  <c r="J1851" i="20"/>
  <c r="K1851" i="20"/>
  <c r="J1362" i="20"/>
  <c r="L149" i="20"/>
  <c r="K150" i="20"/>
  <c r="L150" i="20"/>
  <c r="J304" i="20"/>
  <c r="K304" i="20"/>
  <c r="K305" i="20"/>
  <c r="L305" i="20"/>
  <c r="L152" i="20"/>
  <c r="J1721" i="20"/>
  <c r="K1721" i="20"/>
  <c r="J1365" i="20"/>
  <c r="K1365" i="20"/>
  <c r="L1366" i="20"/>
  <c r="K1855" i="20"/>
  <c r="L1855" i="20"/>
  <c r="J1856" i="20"/>
  <c r="K1856" i="20"/>
  <c r="J1722" i="20"/>
  <c r="K1722" i="20"/>
  <c r="L153" i="20"/>
  <c r="L154" i="20"/>
  <c r="J310" i="20"/>
  <c r="K310" i="20"/>
  <c r="K311" i="20"/>
  <c r="L311" i="20"/>
  <c r="L156" i="20"/>
  <c r="J1369" i="20"/>
  <c r="K1369" i="20"/>
  <c r="J1370" i="20"/>
  <c r="K1370" i="20"/>
  <c r="L157" i="20"/>
  <c r="K313" i="20"/>
  <c r="L313" i="20"/>
  <c r="J314" i="20"/>
  <c r="K314" i="20"/>
  <c r="J315" i="20"/>
  <c r="K315" i="20"/>
  <c r="K1725" i="20"/>
  <c r="L1725" i="20"/>
  <c r="L1726" i="20"/>
  <c r="J158" i="20"/>
  <c r="K158" i="20"/>
  <c r="J159" i="20"/>
  <c r="K159" i="20"/>
  <c r="K1863" i="20"/>
  <c r="J1864" i="20"/>
  <c r="K1864" i="20"/>
  <c r="L1864" i="20"/>
  <c r="L1374" i="20"/>
  <c r="K1375" i="20"/>
  <c r="L1375" i="20"/>
  <c r="L160" i="20"/>
  <c r="J320" i="20"/>
  <c r="K320" i="20"/>
  <c r="J321" i="20"/>
  <c r="K321" i="20"/>
  <c r="J162" i="20"/>
  <c r="K162" i="20"/>
  <c r="L162" i="20"/>
  <c r="J1729" i="20"/>
  <c r="K1729" i="20"/>
  <c r="K1730" i="20"/>
  <c r="L1730" i="20"/>
  <c r="K1868" i="20"/>
  <c r="K323" i="20"/>
  <c r="L323" i="20"/>
  <c r="J1380" i="20"/>
  <c r="K1380" i="20"/>
  <c r="L1380" i="20"/>
  <c r="K163" i="20"/>
  <c r="J164" i="20"/>
  <c r="L164" i="20"/>
  <c r="J326" i="20"/>
  <c r="K326" i="20"/>
  <c r="K327" i="20"/>
  <c r="L327" i="20"/>
  <c r="K165" i="20"/>
  <c r="K166" i="20"/>
  <c r="L166" i="20"/>
  <c r="L1383" i="20"/>
  <c r="K328" i="20"/>
  <c r="J329" i="20"/>
  <c r="K329" i="20"/>
  <c r="L329" i="20"/>
  <c r="J1384" i="20"/>
  <c r="K1384" i="20"/>
  <c r="L1733" i="20"/>
  <c r="K168" i="20"/>
  <c r="L168" i="20"/>
  <c r="J332" i="20"/>
  <c r="K332" i="20"/>
  <c r="J1875" i="20"/>
  <c r="K1875" i="20"/>
  <c r="K169" i="20"/>
  <c r="L170" i="20"/>
  <c r="K1388" i="20"/>
  <c r="L1388" i="20"/>
  <c r="K335" i="20"/>
  <c r="K336" i="20"/>
  <c r="J337" i="20"/>
  <c r="K337" i="20"/>
  <c r="J1389" i="20"/>
  <c r="K1389" i="20"/>
  <c r="L1389" i="20"/>
  <c r="J172" i="20"/>
  <c r="K172" i="20"/>
  <c r="L172" i="20"/>
  <c r="J1737" i="20"/>
  <c r="K1737" i="20"/>
  <c r="K338" i="20"/>
  <c r="K339" i="20"/>
  <c r="K1738" i="20"/>
  <c r="L1738" i="20"/>
  <c r="J173" i="20"/>
  <c r="K173" i="20"/>
  <c r="J1393" i="20"/>
  <c r="K1393" i="20"/>
  <c r="L1393" i="20"/>
  <c r="J342" i="20"/>
  <c r="K342" i="20"/>
  <c r="J1883" i="20"/>
  <c r="K1883" i="20"/>
  <c r="L174" i="20"/>
  <c r="K175" i="20"/>
  <c r="K176" i="20"/>
  <c r="L176" i="20"/>
  <c r="J177" i="20"/>
  <c r="K177" i="20"/>
  <c r="J344" i="20"/>
  <c r="K344" i="20"/>
  <c r="K345" i="20"/>
  <c r="J1741" i="20"/>
  <c r="K1741" i="20"/>
  <c r="L1741" i="20"/>
  <c r="K1398" i="20"/>
  <c r="L1398" i="20"/>
  <c r="K1887" i="20"/>
  <c r="J1888" i="20"/>
  <c r="K1888" i="20"/>
  <c r="J1400" i="20"/>
  <c r="K1400" i="20"/>
  <c r="L1400" i="20"/>
  <c r="K1401" i="20"/>
  <c r="J1742" i="20"/>
  <c r="L1742" i="20"/>
  <c r="K352" i="20"/>
  <c r="K1891" i="20"/>
  <c r="K1892" i="20"/>
  <c r="L1892" i="20"/>
  <c r="J1893" i="20"/>
  <c r="K1893" i="20"/>
  <c r="J179" i="20"/>
  <c r="L179" i="20"/>
  <c r="K180" i="20"/>
  <c r="J181" i="20"/>
  <c r="L181" i="20"/>
  <c r="J1407" i="20"/>
  <c r="K1407" i="20"/>
  <c r="K1896" i="20"/>
  <c r="K1897" i="20"/>
  <c r="K1408" i="20"/>
  <c r="L1408" i="20"/>
  <c r="J182" i="20"/>
  <c r="L1745" i="20"/>
  <c r="K1746" i="20"/>
  <c r="J1900" i="20"/>
  <c r="K1900" i="20"/>
  <c r="L1900" i="20"/>
  <c r="J1901" i="20"/>
  <c r="K1901" i="20"/>
  <c r="K183" i="20"/>
  <c r="L183" i="20"/>
  <c r="K1411" i="20"/>
  <c r="L1411" i="20"/>
  <c r="J1412" i="20"/>
  <c r="K1412" i="20"/>
  <c r="K1904" i="20"/>
  <c r="K1905" i="20"/>
  <c r="J185" i="20"/>
  <c r="L185" i="20"/>
  <c r="K187" i="20"/>
  <c r="L187" i="20"/>
  <c r="K1749" i="20"/>
  <c r="J355" i="20"/>
  <c r="K355" i="20"/>
  <c r="L1750" i="20"/>
  <c r="K1415" i="20"/>
  <c r="J1416" i="20"/>
  <c r="K1416" i="20"/>
  <c r="L1416" i="20"/>
  <c r="J188" i="20"/>
  <c r="K1923" i="20"/>
  <c r="L1923" i="20"/>
  <c r="K1924" i="20"/>
  <c r="K189" i="20"/>
  <c r="L189" i="20"/>
  <c r="J190" i="20"/>
  <c r="K190" i="20"/>
  <c r="L191" i="20"/>
  <c r="J1927" i="20"/>
  <c r="K1927" i="20"/>
  <c r="L1927" i="20"/>
  <c r="J1928" i="20"/>
  <c r="K1928" i="20"/>
  <c r="K1419" i="20"/>
  <c r="L1419" i="20"/>
  <c r="K1420" i="20"/>
  <c r="K1753" i="20"/>
  <c r="L1753" i="20"/>
  <c r="J1754" i="20"/>
  <c r="K1754" i="20"/>
  <c r="K1931" i="20"/>
  <c r="L1931" i="20"/>
  <c r="K1932" i="20"/>
  <c r="J193" i="20"/>
  <c r="L193" i="20"/>
  <c r="J194" i="20"/>
  <c r="L195" i="20"/>
  <c r="K1423" i="20"/>
  <c r="J359" i="20"/>
  <c r="K1424" i="20"/>
  <c r="L1424" i="20"/>
  <c r="J197" i="20"/>
  <c r="K197" i="20"/>
  <c r="L197" i="20"/>
  <c r="J1757" i="20"/>
  <c r="K1757" i="20"/>
  <c r="L362" i="20"/>
  <c r="K1758" i="20"/>
  <c r="L1758" i="20"/>
  <c r="J198" i="20"/>
  <c r="K1427" i="20"/>
  <c r="L1427" i="20"/>
  <c r="K1428" i="20"/>
  <c r="J364" i="20"/>
  <c r="L364" i="20"/>
  <c r="J365" i="20"/>
  <c r="K365" i="20"/>
  <c r="L199" i="20"/>
  <c r="K200" i="20"/>
  <c r="K201" i="20"/>
  <c r="L201" i="20"/>
  <c r="J202" i="20"/>
  <c r="K202" i="20"/>
  <c r="L1951" i="20"/>
  <c r="K1952" i="20"/>
  <c r="L1761" i="20"/>
  <c r="J1431" i="20"/>
  <c r="K1431" i="20"/>
  <c r="K1432" i="20"/>
  <c r="L1432" i="20"/>
  <c r="K370" i="20"/>
  <c r="J371" i="20"/>
  <c r="K371" i="20"/>
  <c r="L203" i="20"/>
  <c r="J205" i="20"/>
  <c r="K205" i="20"/>
  <c r="L205" i="20"/>
  <c r="K1956" i="20"/>
  <c r="L1956" i="20"/>
  <c r="K1957" i="20"/>
  <c r="K1435" i="20"/>
  <c r="L1435" i="20"/>
  <c r="J1436" i="20"/>
  <c r="K1436" i="20"/>
  <c r="L207" i="20"/>
  <c r="K1765" i="20"/>
  <c r="J1960" i="20"/>
  <c r="K1960" i="20"/>
  <c r="J1961" i="20"/>
  <c r="K1961" i="20"/>
  <c r="K1766" i="20"/>
  <c r="L1766" i="20"/>
  <c r="K208" i="20"/>
  <c r="L209" i="20"/>
  <c r="J1439" i="20"/>
  <c r="K1439" i="20"/>
  <c r="J1964" i="20"/>
  <c r="K1964" i="20"/>
  <c r="L1964" i="20"/>
  <c r="K1965" i="20"/>
  <c r="J1440" i="20"/>
  <c r="K1440" i="20"/>
  <c r="L1440" i="20"/>
  <c r="J210" i="20"/>
  <c r="L211" i="20"/>
  <c r="J1968" i="20"/>
  <c r="K1968" i="20"/>
  <c r="J1969" i="20"/>
  <c r="K1969" i="20"/>
  <c r="J1769" i="20"/>
  <c r="K1769" i="20"/>
  <c r="L1769" i="20"/>
  <c r="J1443" i="20"/>
  <c r="K1443" i="20"/>
  <c r="L1443" i="20"/>
  <c r="J1444" i="20"/>
  <c r="K1444" i="20"/>
  <c r="K1972" i="20"/>
  <c r="L1972" i="20"/>
  <c r="K1973" i="20"/>
  <c r="L213" i="20"/>
  <c r="J214" i="20"/>
  <c r="K215" i="20"/>
  <c r="L215" i="20"/>
  <c r="K216" i="20"/>
  <c r="J1976" i="20"/>
  <c r="K1976" i="20"/>
  <c r="J1977" i="20"/>
  <c r="K1977" i="20"/>
  <c r="L217" i="20"/>
  <c r="K1447" i="20"/>
  <c r="K1448" i="20"/>
  <c r="L1448" i="20"/>
  <c r="J1773" i="20"/>
  <c r="K1773" i="20"/>
  <c r="K376" i="20"/>
  <c r="K377" i="20"/>
  <c r="J378" i="20"/>
  <c r="K378" i="20"/>
  <c r="L378" i="20"/>
  <c r="J1774" i="20"/>
  <c r="K1774" i="20"/>
  <c r="K218" i="20"/>
  <c r="L218" i="20"/>
  <c r="K219" i="20"/>
  <c r="L220" i="20"/>
  <c r="J381" i="20"/>
  <c r="K381" i="20"/>
  <c r="J382" i="20"/>
  <c r="K382" i="20"/>
  <c r="L382" i="20"/>
  <c r="K1451" i="20"/>
  <c r="J1452" i="20"/>
  <c r="K1452" i="20"/>
  <c r="L1452" i="20"/>
  <c r="L222" i="20"/>
  <c r="K385" i="20"/>
  <c r="J386" i="20"/>
  <c r="K386" i="20"/>
  <c r="L386" i="20"/>
  <c r="J1777" i="20"/>
  <c r="K1777" i="20"/>
  <c r="J1778" i="20"/>
  <c r="K1778" i="20"/>
  <c r="L1778" i="20"/>
  <c r="J1455" i="20"/>
  <c r="K1455" i="20"/>
  <c r="L1455" i="20"/>
  <c r="J390" i="20"/>
  <c r="K390" i="20"/>
  <c r="K391" i="20"/>
  <c r="K392" i="20"/>
  <c r="J1456" i="20"/>
  <c r="L1456" i="20"/>
  <c r="J224" i="20"/>
  <c r="L225" i="20"/>
  <c r="K226" i="20"/>
  <c r="J395" i="20"/>
  <c r="K395" i="20"/>
  <c r="L395" i="20"/>
  <c r="J396" i="20"/>
  <c r="K396" i="20"/>
  <c r="K227" i="20"/>
  <c r="L227" i="20"/>
  <c r="K1781" i="20"/>
  <c r="K1459" i="20"/>
  <c r="L1459" i="20"/>
  <c r="J1460" i="20"/>
  <c r="K1460" i="20"/>
  <c r="K402" i="20"/>
  <c r="K403" i="20"/>
  <c r="J404" i="20"/>
  <c r="K404" i="20"/>
  <c r="L404" i="20"/>
  <c r="J405" i="20"/>
  <c r="K405" i="20"/>
  <c r="K406" i="20"/>
  <c r="L406" i="20"/>
  <c r="K1782" i="20"/>
  <c r="K1783" i="20"/>
  <c r="L1783" i="20"/>
  <c r="J228" i="20"/>
  <c r="J229" i="20"/>
  <c r="L229" i="20"/>
  <c r="K409" i="20"/>
  <c r="L409" i="20"/>
  <c r="J410" i="20"/>
  <c r="K410" i="20"/>
  <c r="J230" i="20"/>
  <c r="K230" i="20"/>
  <c r="K1463" i="20"/>
  <c r="L1463" i="20"/>
  <c r="K1464" i="20"/>
  <c r="K231" i="20"/>
  <c r="L231" i="20"/>
  <c r="J413" i="20"/>
  <c r="K413" i="20"/>
  <c r="K414" i="20"/>
  <c r="L414" i="20"/>
  <c r="K232" i="20"/>
  <c r="J1787" i="20"/>
  <c r="K1787" i="20"/>
  <c r="J1788" i="20"/>
  <c r="K1788" i="20"/>
  <c r="J233" i="20"/>
  <c r="L233" i="20"/>
  <c r="K417" i="20"/>
  <c r="K418" i="20"/>
  <c r="J1467" i="20"/>
  <c r="K1467" i="20"/>
  <c r="K1468" i="20"/>
  <c r="L1468" i="20"/>
  <c r="K234" i="20"/>
  <c r="J235" i="20"/>
  <c r="K235" i="20"/>
  <c r="J421" i="20"/>
  <c r="K421" i="20"/>
  <c r="J422" i="20"/>
  <c r="K422" i="20"/>
  <c r="L422" i="20"/>
  <c r="K236" i="20"/>
  <c r="L236" i="20"/>
  <c r="K237" i="20"/>
  <c r="L237" i="20"/>
  <c r="J1791" i="20"/>
  <c r="K1791" i="20"/>
  <c r="K1471" i="20"/>
  <c r="L1471" i="20"/>
  <c r="K425" i="20"/>
  <c r="J426" i="20"/>
  <c r="K426" i="20"/>
  <c r="J1472" i="20"/>
  <c r="K1472" i="20"/>
  <c r="J1792" i="20"/>
  <c r="K1792" i="20"/>
  <c r="L1792" i="20"/>
  <c r="L238" i="20"/>
  <c r="J429" i="20"/>
  <c r="K429" i="20"/>
  <c r="K430" i="20"/>
  <c r="L430" i="20"/>
  <c r="K240" i="20"/>
  <c r="J241" i="20"/>
  <c r="K241" i="20"/>
  <c r="J1475" i="20"/>
  <c r="K1475" i="20"/>
  <c r="J1476" i="20"/>
  <c r="K1476" i="20"/>
  <c r="L1476" i="20"/>
  <c r="K433" i="20"/>
  <c r="K434" i="20"/>
  <c r="L434" i="20"/>
  <c r="J242" i="20"/>
  <c r="K1795" i="20"/>
  <c r="L1795" i="20"/>
  <c r="K1796" i="20"/>
  <c r="J1797" i="20"/>
  <c r="K1797" i="20"/>
  <c r="L1797" i="20"/>
  <c r="J437" i="20"/>
  <c r="K437" i="20"/>
  <c r="J438" i="20"/>
  <c r="K438" i="20"/>
  <c r="L438" i="20"/>
  <c r="L243" i="20"/>
  <c r="K1479" i="20"/>
  <c r="J1480" i="20"/>
  <c r="L244" i="20"/>
  <c r="K441" i="20"/>
  <c r="J442" i="20"/>
  <c r="K442" i="20"/>
  <c r="J245" i="20"/>
  <c r="K245" i="20"/>
  <c r="J246" i="20"/>
  <c r="K246" i="20"/>
  <c r="L246" i="20"/>
  <c r="K247" i="20"/>
  <c r="L247" i="20"/>
  <c r="L1801" i="20"/>
  <c r="J445" i="20"/>
  <c r="K445" i="20"/>
  <c r="K446" i="20"/>
  <c r="L446" i="20"/>
  <c r="K1483" i="20"/>
  <c r="J1484" i="20"/>
  <c r="K1484" i="20"/>
  <c r="L1484" i="20"/>
  <c r="J1485" i="20"/>
  <c r="J1486" i="20"/>
  <c r="K1486" i="20"/>
  <c r="L1486" i="20"/>
  <c r="K449" i="20"/>
  <c r="L449" i="20"/>
  <c r="K450" i="20"/>
  <c r="J1487" i="20"/>
  <c r="K1487" i="20"/>
  <c r="J1488" i="20"/>
  <c r="K1488" i="20"/>
  <c r="L1488" i="20"/>
  <c r="K1489" i="20"/>
  <c r="L1489" i="20"/>
  <c r="K1490" i="20"/>
  <c r="L1490" i="20"/>
  <c r="J453" i="20"/>
  <c r="K453" i="20"/>
  <c r="J454" i="20"/>
  <c r="K454" i="20"/>
  <c r="K1491" i="20"/>
  <c r="L1491" i="20"/>
  <c r="K1492" i="20"/>
  <c r="J1493" i="20"/>
  <c r="K1493" i="20"/>
  <c r="J1494" i="20"/>
  <c r="K1494" i="20"/>
  <c r="L1494" i="20"/>
  <c r="K457" i="20"/>
  <c r="L457" i="20"/>
  <c r="K458" i="20"/>
  <c r="L458" i="20"/>
  <c r="J1495" i="20"/>
  <c r="K1495" i="20"/>
  <c r="J1496" i="20"/>
  <c r="K1496" i="20"/>
  <c r="K1497" i="20"/>
  <c r="L1497" i="20"/>
  <c r="K1498" i="20"/>
  <c r="J461" i="20"/>
  <c r="K461" i="20"/>
  <c r="J462" i="20"/>
  <c r="K462" i="20"/>
  <c r="L462" i="20"/>
  <c r="L1802" i="20"/>
  <c r="K248" i="20"/>
  <c r="L248" i="20"/>
  <c r="J249" i="20"/>
  <c r="K249" i="20"/>
  <c r="J250" i="20"/>
  <c r="K250" i="20"/>
  <c r="K465" i="20"/>
  <c r="L465" i="20"/>
  <c r="K466" i="20"/>
  <c r="J251" i="20"/>
  <c r="K251" i="20"/>
  <c r="J1515" i="20"/>
  <c r="K1515" i="20"/>
  <c r="L1515" i="20"/>
  <c r="K1516" i="20"/>
  <c r="L1516" i="20"/>
  <c r="K1517" i="20"/>
  <c r="L1517" i="20"/>
  <c r="J469" i="20"/>
  <c r="K469" i="20"/>
  <c r="J470" i="20"/>
  <c r="K470" i="20"/>
  <c r="K1518" i="20"/>
  <c r="L1518" i="20"/>
  <c r="K1519" i="20"/>
  <c r="J1520" i="20"/>
  <c r="K1520" i="20"/>
  <c r="J1521" i="20"/>
  <c r="K1521" i="20"/>
  <c r="L1521" i="20"/>
  <c r="K473" i="20"/>
  <c r="L473" i="20"/>
  <c r="K474" i="20"/>
  <c r="L474" i="20"/>
  <c r="J1522" i="20"/>
  <c r="K1522" i="20"/>
  <c r="J1523" i="20"/>
  <c r="K1523" i="20"/>
  <c r="L1524" i="20"/>
  <c r="K1525" i="20"/>
  <c r="J477" i="20"/>
  <c r="K477" i="20"/>
  <c r="J478" i="20"/>
  <c r="K478" i="20"/>
  <c r="K1526" i="20"/>
  <c r="L1526" i="20"/>
  <c r="L252" i="20"/>
  <c r="J1805" i="20"/>
  <c r="K1805" i="20"/>
  <c r="J1806" i="20"/>
  <c r="K1806" i="20"/>
  <c r="K481" i="20"/>
  <c r="L481" i="20"/>
  <c r="K482" i="20"/>
  <c r="K1539" i="20"/>
  <c r="L1539" i="20"/>
  <c r="K1540" i="20"/>
  <c r="L1540" i="20"/>
  <c r="J499" i="20"/>
  <c r="K499" i="20"/>
  <c r="J500" i="20"/>
  <c r="K500" i="20"/>
  <c r="L500" i="20"/>
  <c r="K501" i="20"/>
  <c r="L501" i="20"/>
  <c r="K502" i="20"/>
  <c r="J503" i="20"/>
  <c r="K503" i="20"/>
  <c r="J504" i="20"/>
  <c r="K504" i="20"/>
  <c r="L504" i="20"/>
  <c r="K505" i="20"/>
  <c r="L505" i="20"/>
  <c r="K506" i="20"/>
  <c r="L506" i="20"/>
  <c r="J507" i="20"/>
  <c r="K507" i="20"/>
  <c r="J508" i="20"/>
  <c r="K508" i="20"/>
  <c r="K509" i="20"/>
  <c r="L509" i="20"/>
  <c r="K510" i="20"/>
  <c r="J511" i="20"/>
  <c r="K511" i="20"/>
  <c r="J512" i="20"/>
  <c r="K512" i="20"/>
  <c r="L512" i="20"/>
  <c r="K513" i="20"/>
  <c r="L513" i="20"/>
  <c r="K514" i="20"/>
  <c r="L514" i="20"/>
  <c r="J1809" i="20"/>
  <c r="J253" i="20"/>
  <c r="L253" i="20"/>
  <c r="L254" i="20"/>
  <c r="J527" i="20"/>
  <c r="K527" i="20"/>
  <c r="J528" i="20"/>
  <c r="K528" i="20"/>
  <c r="L528" i="20"/>
  <c r="K529" i="20"/>
  <c r="L529" i="20"/>
  <c r="K530" i="20"/>
  <c r="L530" i="20"/>
  <c r="J531" i="20"/>
  <c r="K531" i="20"/>
  <c r="J532" i="20"/>
  <c r="K532" i="20"/>
  <c r="L532" i="20"/>
  <c r="K533" i="20"/>
  <c r="L533" i="20"/>
  <c r="K534" i="20"/>
  <c r="J535" i="20"/>
  <c r="K535" i="20"/>
  <c r="J536" i="20"/>
  <c r="K536" i="20"/>
  <c r="L536" i="20"/>
  <c r="K537" i="20"/>
  <c r="L537" i="20"/>
  <c r="K538" i="20"/>
  <c r="L538" i="20"/>
  <c r="J1543" i="20"/>
  <c r="K1543" i="20"/>
  <c r="L1543" i="20"/>
  <c r="K1544" i="20"/>
  <c r="L1544" i="20"/>
  <c r="J541" i="20"/>
  <c r="K541" i="20"/>
  <c r="J542" i="20"/>
  <c r="K542" i="20"/>
  <c r="K1815" i="20"/>
  <c r="L1815" i="20"/>
  <c r="K1816" i="20"/>
  <c r="L1816" i="20"/>
  <c r="J258" i="20"/>
  <c r="J259" i="20"/>
  <c r="L259" i="20"/>
  <c r="K545" i="20"/>
  <c r="K546" i="20"/>
  <c r="J1547" i="20"/>
  <c r="K1547" i="20"/>
  <c r="J1548" i="20"/>
  <c r="K1548" i="20"/>
  <c r="L1548" i="20"/>
  <c r="K1549" i="20"/>
  <c r="L1549" i="20"/>
  <c r="K1550" i="20"/>
  <c r="L1550" i="20"/>
  <c r="J570" i="20"/>
  <c r="K570" i="20"/>
  <c r="J571" i="20"/>
  <c r="K571" i="20"/>
  <c r="L571" i="20"/>
  <c r="K572" i="20"/>
  <c r="L572" i="20"/>
  <c r="K573" i="20"/>
  <c r="J574" i="20"/>
  <c r="K574" i="20"/>
  <c r="J575" i="20"/>
  <c r="K575" i="20"/>
  <c r="L575" i="20"/>
  <c r="K576" i="20"/>
  <c r="L576" i="20"/>
  <c r="K577" i="20"/>
  <c r="L577" i="20"/>
  <c r="J578" i="20"/>
  <c r="K578" i="20"/>
  <c r="J579" i="20"/>
  <c r="K579" i="20"/>
  <c r="L579" i="20"/>
  <c r="K580" i="20"/>
  <c r="L580" i="20"/>
  <c r="K581" i="20"/>
  <c r="J582" i="20"/>
  <c r="K582" i="20"/>
  <c r="J583" i="20"/>
  <c r="K583" i="20"/>
  <c r="L583" i="20"/>
  <c r="K584" i="20"/>
  <c r="L584" i="20"/>
  <c r="K585" i="20"/>
  <c r="L585" i="20"/>
  <c r="J586" i="20"/>
  <c r="K586" i="20"/>
  <c r="J587" i="20"/>
  <c r="K587" i="20"/>
  <c r="K588" i="20"/>
  <c r="L588" i="20"/>
  <c r="K589" i="20"/>
  <c r="J590" i="20"/>
  <c r="K590" i="20"/>
  <c r="J591" i="20"/>
  <c r="K591" i="20"/>
  <c r="L591" i="20"/>
  <c r="L592" i="20"/>
  <c r="K1551" i="20"/>
  <c r="L1551" i="20"/>
  <c r="J1552" i="20"/>
  <c r="K1552" i="20"/>
  <c r="J1553" i="20"/>
  <c r="K1553" i="20"/>
  <c r="K1554" i="20"/>
  <c r="L1554" i="20"/>
  <c r="K1555" i="20"/>
  <c r="J1556" i="20"/>
  <c r="K1556" i="20"/>
  <c r="J1557" i="20"/>
  <c r="K1557" i="20"/>
  <c r="L1557" i="20"/>
  <c r="K1558" i="20"/>
  <c r="L1558" i="20"/>
  <c r="K1559" i="20"/>
  <c r="L1559" i="20"/>
  <c r="J1560" i="20"/>
  <c r="K1560" i="20"/>
  <c r="J1561" i="20"/>
  <c r="K1561" i="20"/>
  <c r="L1561" i="20"/>
  <c r="K1562" i="20"/>
  <c r="L1562" i="20"/>
  <c r="K1563" i="20"/>
  <c r="J1564" i="20"/>
  <c r="K1564" i="20"/>
  <c r="J1565" i="20"/>
  <c r="K1565" i="20"/>
  <c r="L1565" i="20"/>
  <c r="K1566" i="20"/>
  <c r="L1566" i="20"/>
  <c r="K1567" i="20"/>
  <c r="L1567" i="20"/>
  <c r="J1568" i="20"/>
  <c r="K1568" i="20"/>
  <c r="J1569" i="20"/>
  <c r="K1569" i="20"/>
  <c r="L1569" i="20"/>
  <c r="K260" i="20"/>
  <c r="L260" i="20"/>
  <c r="K261" i="20"/>
  <c r="J262" i="20"/>
  <c r="K262" i="20"/>
  <c r="J1819" i="20"/>
  <c r="K1819" i="20"/>
  <c r="L1819" i="20"/>
  <c r="K1820" i="20"/>
  <c r="L1820" i="20"/>
  <c r="L263" i="20"/>
  <c r="J264" i="20"/>
  <c r="J265" i="20"/>
  <c r="K265" i="20"/>
  <c r="L265" i="20"/>
  <c r="K266" i="20"/>
  <c r="L266" i="20"/>
  <c r="K267" i="20"/>
  <c r="J1823" i="20"/>
  <c r="K1823" i="20"/>
  <c r="J1824" i="20"/>
  <c r="K1824" i="20"/>
  <c r="L1824" i="20"/>
  <c r="L268" i="20"/>
  <c r="L269" i="20"/>
  <c r="J270" i="20"/>
  <c r="K270" i="20"/>
  <c r="J271" i="20"/>
  <c r="K271" i="20"/>
  <c r="L271" i="20"/>
  <c r="K272" i="20"/>
  <c r="L272" i="20"/>
  <c r="K1827" i="20"/>
  <c r="J273" i="20"/>
  <c r="K273" i="20"/>
  <c r="L273" i="20"/>
  <c r="K274" i="20"/>
  <c r="L274" i="20"/>
  <c r="K275" i="20"/>
  <c r="L275" i="20"/>
  <c r="L276" i="20"/>
  <c r="J277" i="20"/>
  <c r="L277" i="20"/>
  <c r="J1831" i="20"/>
  <c r="K1831" i="20"/>
  <c r="L1831" i="20"/>
  <c r="K1832" i="20"/>
  <c r="L1832" i="20"/>
  <c r="J278" i="20"/>
  <c r="L278" i="20"/>
  <c r="J279" i="20"/>
  <c r="L279" i="20"/>
  <c r="J280" i="20"/>
  <c r="K280" i="20"/>
  <c r="L280" i="20"/>
  <c r="K281" i="20"/>
  <c r="L281" i="20"/>
  <c r="L282" i="20"/>
  <c r="J1835" i="20"/>
  <c r="L1835" i="20"/>
  <c r="J1836" i="20"/>
  <c r="K1836" i="20"/>
  <c r="L1836" i="20"/>
  <c r="L283" i="20"/>
  <c r="J284" i="20"/>
  <c r="L284" i="20"/>
  <c r="J285" i="20"/>
  <c r="K285" i="20"/>
  <c r="L285" i="20"/>
  <c r="J286" i="20"/>
  <c r="K286" i="20"/>
  <c r="L286" i="20"/>
  <c r="L4" i="20"/>
  <c r="J5" i="20"/>
  <c r="L5" i="20"/>
  <c r="J6" i="20"/>
  <c r="K6" i="20"/>
  <c r="L6" i="20"/>
  <c r="K300" i="20"/>
  <c r="L300" i="20"/>
  <c r="J301" i="20"/>
  <c r="L301" i="20"/>
  <c r="J7" i="20"/>
  <c r="L7" i="20"/>
  <c r="J8" i="20"/>
  <c r="K8" i="20"/>
  <c r="L8" i="20"/>
  <c r="K9" i="20"/>
  <c r="L9" i="20"/>
  <c r="L10" i="20"/>
  <c r="J1852" i="20"/>
  <c r="L1852" i="20"/>
  <c r="J303" i="20"/>
  <c r="K303" i="20"/>
  <c r="L303" i="20"/>
  <c r="L11" i="20"/>
  <c r="J12" i="20"/>
  <c r="L12" i="20"/>
  <c r="J13" i="20"/>
  <c r="K13" i="20"/>
  <c r="L13" i="20"/>
  <c r="J14" i="20"/>
  <c r="K14" i="20"/>
  <c r="L14" i="20"/>
  <c r="K306" i="20"/>
  <c r="L306" i="20"/>
  <c r="L307" i="20"/>
  <c r="J15" i="20"/>
  <c r="L15" i="20"/>
  <c r="J16" i="20"/>
  <c r="K16" i="20"/>
  <c r="L16" i="20"/>
  <c r="K17" i="20"/>
  <c r="L17" i="20"/>
  <c r="J18" i="20"/>
  <c r="L18" i="20"/>
  <c r="J308" i="20"/>
  <c r="K308" i="20"/>
  <c r="L308" i="20"/>
  <c r="J309" i="20"/>
  <c r="K309" i="20"/>
  <c r="L309" i="20"/>
  <c r="L19" i="20"/>
  <c r="L20" i="20"/>
  <c r="J21" i="20"/>
  <c r="L21" i="20"/>
  <c r="J22" i="20"/>
  <c r="K22" i="20"/>
  <c r="L22" i="20"/>
  <c r="K312" i="20"/>
  <c r="L312" i="20"/>
  <c r="J1859" i="20"/>
  <c r="L1859" i="20"/>
  <c r="J1860" i="20"/>
  <c r="K1860" i="20"/>
  <c r="L1860" i="20"/>
  <c r="J23" i="20"/>
  <c r="L23" i="20"/>
  <c r="K24" i="20"/>
  <c r="L24" i="20"/>
  <c r="L25" i="20"/>
  <c r="J26" i="20"/>
  <c r="L26" i="20"/>
  <c r="J316" i="20"/>
  <c r="K316" i="20"/>
  <c r="L316" i="20"/>
  <c r="K317" i="20"/>
  <c r="L317" i="20"/>
  <c r="J27" i="20"/>
  <c r="L27" i="20"/>
  <c r="J28" i="20"/>
  <c r="K28" i="20"/>
  <c r="L28" i="20"/>
  <c r="J29" i="20"/>
  <c r="K29" i="20"/>
  <c r="L29" i="20"/>
  <c r="L30" i="20"/>
  <c r="L318" i="20"/>
  <c r="J319" i="20"/>
  <c r="L319" i="20"/>
  <c r="J31" i="20"/>
  <c r="L31" i="20"/>
  <c r="K32" i="20"/>
  <c r="L32" i="20"/>
  <c r="J33" i="20"/>
  <c r="L33" i="20"/>
  <c r="J34" i="20"/>
  <c r="K34" i="20"/>
  <c r="L34" i="20"/>
  <c r="J322" i="20"/>
  <c r="L322" i="20"/>
  <c r="L1867" i="20"/>
  <c r="L35" i="20"/>
  <c r="J36" i="20"/>
  <c r="L36" i="20"/>
  <c r="J37" i="20"/>
  <c r="L37" i="20"/>
  <c r="K38" i="20"/>
  <c r="L38" i="20"/>
  <c r="J324" i="20"/>
  <c r="L324" i="20"/>
  <c r="J325" i="20"/>
  <c r="L325" i="20"/>
  <c r="J39" i="20"/>
  <c r="L39" i="20"/>
  <c r="K40" i="20"/>
  <c r="L40" i="20"/>
  <c r="L41" i="20"/>
  <c r="J42" i="20"/>
  <c r="L42" i="20"/>
  <c r="J1871" i="20"/>
  <c r="L1871" i="20"/>
  <c r="L1872" i="20"/>
  <c r="J43" i="20"/>
  <c r="L43" i="20"/>
  <c r="J44" i="20"/>
  <c r="L44" i="20"/>
  <c r="J45" i="20"/>
  <c r="K45" i="20"/>
  <c r="L45" i="20"/>
  <c r="K46" i="20"/>
  <c r="L46" i="20"/>
  <c r="L330" i="20"/>
  <c r="J331" i="20"/>
  <c r="L331" i="20"/>
  <c r="J47" i="20"/>
  <c r="L47" i="20"/>
  <c r="K1185" i="20"/>
  <c r="L1185" i="20"/>
  <c r="J1186" i="20"/>
  <c r="L1186" i="20"/>
  <c r="J1187" i="20"/>
  <c r="K1187" i="20"/>
  <c r="L1187" i="20"/>
  <c r="J1876" i="20"/>
  <c r="L1876" i="20"/>
  <c r="L333" i="20"/>
  <c r="L334" i="20"/>
  <c r="J1188" i="20"/>
  <c r="L1188" i="20"/>
  <c r="J1189" i="20"/>
  <c r="K1189" i="20"/>
  <c r="L1189" i="20"/>
  <c r="K1190" i="20"/>
  <c r="L1190" i="20"/>
  <c r="J1191" i="20"/>
  <c r="L1191" i="20"/>
  <c r="J1879" i="20"/>
  <c r="K1879" i="20"/>
  <c r="L1879" i="20"/>
  <c r="J1880" i="20"/>
  <c r="K1880" i="20"/>
  <c r="L1880" i="20"/>
  <c r="L1192" i="20"/>
  <c r="L1193" i="20"/>
  <c r="J1194" i="20"/>
  <c r="L1194" i="20"/>
  <c r="J1195" i="20"/>
  <c r="K1195" i="20"/>
  <c r="L1195" i="20"/>
  <c r="L340" i="20"/>
  <c r="J341" i="20"/>
  <c r="L341" i="20"/>
  <c r="J1196" i="20"/>
  <c r="L1196" i="20"/>
  <c r="J1197" i="20"/>
  <c r="K1197" i="20"/>
  <c r="L1197" i="20"/>
  <c r="K1198" i="20"/>
  <c r="L1198" i="20"/>
  <c r="L1199" i="20"/>
  <c r="J1884" i="20"/>
  <c r="L1884" i="20"/>
  <c r="J343" i="20"/>
  <c r="K343" i="20"/>
  <c r="L343" i="20"/>
  <c r="L1200" i="20"/>
  <c r="J1201" i="20"/>
  <c r="L1201" i="20"/>
  <c r="J1202" i="20"/>
  <c r="K1202" i="20"/>
  <c r="L1202" i="20"/>
  <c r="J1203" i="20"/>
  <c r="L1203" i="20"/>
  <c r="L346" i="20"/>
  <c r="L347" i="20"/>
  <c r="J1593" i="20"/>
  <c r="L1593" i="20"/>
  <c r="J1594" i="20"/>
  <c r="K1594" i="20"/>
  <c r="L1594" i="20"/>
  <c r="K1595" i="20"/>
  <c r="L1595" i="20"/>
  <c r="L1596" i="20"/>
  <c r="J348" i="20"/>
  <c r="K348" i="20"/>
  <c r="L348" i="20"/>
  <c r="J349" i="20"/>
  <c r="K349" i="20"/>
  <c r="L349" i="20"/>
  <c r="K350" i="20"/>
  <c r="L350" i="20"/>
  <c r="L351" i="20"/>
  <c r="L1597" i="20"/>
  <c r="J1223" i="20"/>
  <c r="K1223" i="20"/>
  <c r="L1223" i="20"/>
  <c r="L1224" i="20"/>
  <c r="J1598" i="20"/>
  <c r="L1598" i="20"/>
  <c r="J1894" i="20"/>
  <c r="L1894" i="20"/>
  <c r="J1895" i="20"/>
  <c r="K1895" i="20"/>
  <c r="L1895" i="20"/>
  <c r="L1599" i="20"/>
  <c r="L1600" i="20"/>
  <c r="L1601" i="20"/>
  <c r="L1602" i="20"/>
  <c r="K1898" i="20"/>
  <c r="L1898" i="20"/>
  <c r="J1899" i="20"/>
  <c r="L1899" i="20"/>
  <c r="J1227" i="20"/>
  <c r="L1227" i="20"/>
  <c r="J1228" i="20"/>
  <c r="L1228" i="20"/>
  <c r="K1603" i="20"/>
  <c r="L1603" i="20"/>
  <c r="L1604" i="20"/>
  <c r="J1902" i="20"/>
  <c r="L1902" i="20"/>
  <c r="J1903" i="20"/>
  <c r="L1903" i="20"/>
  <c r="L1605" i="20"/>
  <c r="L1606" i="20"/>
  <c r="L1607" i="20"/>
  <c r="J1231" i="20"/>
  <c r="K1231" i="20"/>
  <c r="L1231" i="20"/>
  <c r="L1906" i="20"/>
  <c r="L353" i="20"/>
  <c r="J1232" i="20"/>
  <c r="L1232" i="20"/>
  <c r="J1608" i="20"/>
  <c r="K1608" i="20"/>
  <c r="L1608" i="20"/>
  <c r="K1609" i="20"/>
  <c r="L1609" i="20"/>
  <c r="J1610" i="20"/>
  <c r="L1610" i="20"/>
  <c r="J356" i="20"/>
  <c r="K356" i="20"/>
  <c r="L356" i="20"/>
  <c r="J357" i="20"/>
  <c r="K357" i="20"/>
  <c r="L357" i="20"/>
  <c r="L1611" i="20"/>
  <c r="L48" i="20"/>
  <c r="J1235" i="20"/>
  <c r="L1235" i="20"/>
  <c r="J1236" i="20"/>
  <c r="L1236" i="20"/>
  <c r="K1925" i="20"/>
  <c r="L1925" i="20"/>
  <c r="J1926" i="20"/>
  <c r="L1926" i="20"/>
  <c r="J1237" i="20"/>
  <c r="L1237" i="20"/>
  <c r="J49" i="20"/>
  <c r="K49" i="20"/>
  <c r="L49" i="20"/>
  <c r="K50" i="20"/>
  <c r="L50" i="20"/>
  <c r="L51" i="20"/>
  <c r="J1929" i="20"/>
  <c r="L1929" i="20"/>
  <c r="J1930" i="20"/>
  <c r="K1930" i="20"/>
  <c r="L1930" i="20"/>
  <c r="L52" i="20"/>
  <c r="J1631" i="20"/>
  <c r="L1631" i="20"/>
  <c r="J1241" i="20"/>
  <c r="L1241" i="20"/>
  <c r="J1242" i="20"/>
  <c r="K1242" i="20"/>
  <c r="L1242" i="20"/>
  <c r="K1933" i="20"/>
  <c r="L1933" i="20"/>
  <c r="L1934" i="20"/>
  <c r="J1243" i="20"/>
  <c r="L1243" i="20"/>
  <c r="J1632" i="20"/>
  <c r="K1632" i="20"/>
  <c r="L1632" i="20"/>
  <c r="L53" i="20"/>
  <c r="L54" i="20"/>
  <c r="J360" i="20"/>
  <c r="L360" i="20"/>
  <c r="L361" i="20"/>
  <c r="L55" i="20"/>
  <c r="L56" i="20"/>
  <c r="J1247" i="20"/>
  <c r="L1247" i="20"/>
  <c r="J1248" i="20"/>
  <c r="K1248" i="20"/>
  <c r="L1248" i="20"/>
  <c r="K1948" i="20"/>
  <c r="L1948" i="20"/>
  <c r="J363" i="20"/>
  <c r="L363" i="20"/>
  <c r="J57" i="20"/>
  <c r="L57" i="20"/>
  <c r="J1635" i="20"/>
  <c r="K1635" i="20"/>
  <c r="L1635" i="20"/>
  <c r="K1636" i="20"/>
  <c r="L1636" i="20"/>
  <c r="L58" i="20"/>
  <c r="L366" i="20"/>
  <c r="L367" i="20"/>
  <c r="L59" i="20"/>
  <c r="L1251" i="20"/>
  <c r="J1252" i="20"/>
  <c r="K1252" i="20"/>
  <c r="L1252" i="20"/>
  <c r="J60" i="20"/>
  <c r="L60" i="20"/>
  <c r="L368" i="20"/>
  <c r="L369" i="20"/>
  <c r="J61" i="20"/>
  <c r="L61" i="20"/>
  <c r="L62" i="20"/>
  <c r="K1639" i="20"/>
  <c r="L1639" i="20"/>
  <c r="L1640" i="20"/>
  <c r="J372" i="20"/>
  <c r="K372" i="20"/>
  <c r="L372" i="20"/>
  <c r="J1955" i="20"/>
  <c r="K1955" i="20"/>
  <c r="L1955" i="20"/>
  <c r="L1255" i="20"/>
  <c r="L1256" i="20"/>
  <c r="J63" i="20"/>
  <c r="L63" i="20"/>
  <c r="J64" i="20"/>
  <c r="K64" i="20"/>
  <c r="L64" i="20"/>
  <c r="L1958" i="20"/>
  <c r="J1959" i="20"/>
  <c r="L1959" i="20"/>
  <c r="J65" i="20"/>
  <c r="L65" i="20"/>
  <c r="J66" i="20"/>
  <c r="K66" i="20"/>
  <c r="L66" i="20"/>
  <c r="L67" i="20"/>
  <c r="L1259" i="20"/>
  <c r="J1962" i="20"/>
  <c r="L1962" i="20"/>
  <c r="J1963" i="20"/>
  <c r="K1963" i="20"/>
  <c r="L1963" i="20"/>
  <c r="L1260" i="20"/>
  <c r="J1643" i="20"/>
  <c r="L1643" i="20"/>
  <c r="J1644" i="20"/>
  <c r="K1644" i="20"/>
  <c r="L1644" i="20"/>
  <c r="L1645" i="20"/>
  <c r="L1966" i="20"/>
  <c r="L1967" i="20"/>
  <c r="L68" i="20"/>
  <c r="L69" i="20"/>
  <c r="L1263" i="20"/>
  <c r="J1264" i="20"/>
  <c r="L1264" i="20"/>
  <c r="J1970" i="20"/>
  <c r="K1970" i="20"/>
  <c r="L1970" i="20"/>
  <c r="J1971" i="20"/>
  <c r="K1971" i="20"/>
  <c r="L1971" i="20"/>
  <c r="L70" i="20"/>
  <c r="L71" i="20"/>
  <c r="J72" i="20"/>
  <c r="L72" i="20"/>
  <c r="J1649" i="20"/>
  <c r="K1649" i="20"/>
  <c r="L1649" i="20"/>
  <c r="L1974" i="20"/>
  <c r="J1975" i="20"/>
  <c r="L1975" i="20"/>
  <c r="L1650" i="20"/>
  <c r="J1267" i="20"/>
  <c r="K1267" i="20"/>
  <c r="L1267" i="20"/>
  <c r="K1268" i="20"/>
  <c r="L1268" i="20"/>
  <c r="L1651" i="20"/>
  <c r="J373" i="20"/>
  <c r="L373" i="20"/>
  <c r="J374" i="20"/>
  <c r="L374" i="20"/>
  <c r="L375" i="20"/>
  <c r="J73" i="20"/>
  <c r="L73" i="20"/>
  <c r="J74" i="20"/>
  <c r="K74" i="20"/>
  <c r="L74" i="20"/>
  <c r="J75" i="20"/>
  <c r="K75" i="20"/>
  <c r="L75" i="20"/>
  <c r="L76" i="20"/>
  <c r="L379" i="20"/>
  <c r="J380" i="20"/>
  <c r="L380" i="20"/>
  <c r="J1271" i="20"/>
  <c r="L1271" i="20"/>
  <c r="K1272" i="20"/>
  <c r="L1272" i="20"/>
  <c r="J1273" i="20"/>
  <c r="L1273" i="20"/>
  <c r="J77" i="20"/>
  <c r="K77" i="20"/>
  <c r="L77" i="20"/>
  <c r="L383" i="20"/>
  <c r="K384" i="20"/>
  <c r="L384" i="20"/>
  <c r="L1655" i="20"/>
  <c r="J1656" i="20"/>
  <c r="L1656" i="20"/>
  <c r="J78" i="20"/>
  <c r="K78" i="20"/>
  <c r="L78" i="20"/>
  <c r="L79" i="20"/>
  <c r="J387" i="20"/>
  <c r="L387" i="20"/>
  <c r="J388" i="20"/>
  <c r="L388" i="20"/>
  <c r="J389" i="20"/>
  <c r="K389" i="20"/>
  <c r="L389" i="20"/>
  <c r="L1277" i="20"/>
  <c r="L1278" i="20"/>
  <c r="J80" i="20"/>
  <c r="L80" i="20"/>
  <c r="J81" i="20"/>
  <c r="K81" i="20"/>
  <c r="L81" i="20"/>
  <c r="K393" i="20"/>
  <c r="L393" i="20"/>
  <c r="J394" i="20"/>
  <c r="L394" i="20"/>
  <c r="J82" i="20"/>
  <c r="L82" i="20"/>
  <c r="J1659" i="20"/>
  <c r="K1659" i="20"/>
  <c r="L1659" i="20"/>
  <c r="L1660" i="20"/>
  <c r="L1281" i="20"/>
  <c r="J397" i="20"/>
  <c r="L397" i="20"/>
  <c r="L398" i="20"/>
  <c r="L399" i="20"/>
  <c r="J400" i="20"/>
  <c r="L400" i="20"/>
  <c r="J401" i="20"/>
  <c r="K401" i="20"/>
  <c r="L401" i="20"/>
  <c r="J1282" i="20"/>
  <c r="L1282" i="20"/>
  <c r="L83" i="20"/>
  <c r="L84" i="20"/>
  <c r="J85" i="20"/>
  <c r="L85" i="20"/>
  <c r="J407" i="20"/>
  <c r="K407" i="20"/>
  <c r="L407" i="20"/>
  <c r="K408" i="20"/>
  <c r="L408" i="20"/>
  <c r="L86" i="20"/>
  <c r="J87" i="20"/>
  <c r="K87" i="20"/>
  <c r="L87" i="20"/>
  <c r="J1285" i="20"/>
  <c r="K1285" i="20"/>
  <c r="L1285" i="20"/>
  <c r="L1286" i="20"/>
  <c r="L411" i="20"/>
  <c r="J412" i="20"/>
  <c r="L412" i="20"/>
  <c r="J1663" i="20"/>
  <c r="L1663" i="20"/>
  <c r="L1664" i="20"/>
  <c r="J88" i="20"/>
  <c r="L88" i="20"/>
  <c r="L89" i="20"/>
  <c r="L415" i="20"/>
  <c r="K416" i="20"/>
  <c r="L416" i="20"/>
  <c r="L90" i="20"/>
  <c r="L1289" i="20"/>
  <c r="J1290" i="20"/>
  <c r="L1290" i="20"/>
  <c r="L91" i="20"/>
  <c r="J419" i="20"/>
  <c r="L419" i="20"/>
  <c r="J420" i="20"/>
  <c r="K420" i="20"/>
  <c r="L420" i="20"/>
  <c r="L92" i="20"/>
  <c r="K1667" i="20"/>
  <c r="L1667" i="20"/>
  <c r="L1668" i="20"/>
  <c r="J93" i="20"/>
  <c r="L93" i="20"/>
  <c r="K423" i="20"/>
  <c r="L423" i="20"/>
  <c r="L424" i="20"/>
  <c r="J1293" i="20"/>
  <c r="L1293" i="20"/>
  <c r="J1294" i="20"/>
  <c r="L1294" i="20"/>
  <c r="K1295" i="20"/>
  <c r="L1295" i="20"/>
  <c r="L1296" i="20"/>
  <c r="L427" i="20"/>
  <c r="J428" i="20"/>
  <c r="L428" i="20"/>
  <c r="L94" i="20"/>
  <c r="L95" i="20"/>
  <c r="J96" i="20"/>
  <c r="L96" i="20"/>
  <c r="J97" i="20"/>
  <c r="K97" i="20"/>
  <c r="L97" i="20"/>
  <c r="L431" i="20"/>
  <c r="L432" i="20"/>
  <c r="L1671" i="20"/>
  <c r="J1301" i="20"/>
  <c r="L1301" i="20"/>
  <c r="K1302" i="20"/>
  <c r="L1302" i="20"/>
  <c r="L1672" i="20"/>
  <c r="J435" i="20"/>
  <c r="L435" i="20"/>
  <c r="J436" i="20"/>
  <c r="K436" i="20"/>
  <c r="L436" i="20"/>
  <c r="L98" i="20"/>
  <c r="L99" i="20"/>
  <c r="L100" i="20"/>
  <c r="J101" i="20"/>
  <c r="L101" i="20"/>
  <c r="J439" i="20"/>
  <c r="L439" i="20"/>
  <c r="K440" i="20"/>
  <c r="L440" i="20"/>
  <c r="L1305" i="20"/>
  <c r="J1306" i="20"/>
  <c r="K1306" i="20"/>
  <c r="L1306" i="20"/>
  <c r="L102" i="20"/>
  <c r="L1675" i="20"/>
  <c r="L443" i="20"/>
  <c r="J444" i="20"/>
  <c r="L444" i="20"/>
  <c r="J1676" i="20"/>
  <c r="L1676" i="20"/>
  <c r="L103" i="20"/>
  <c r="J104" i="20"/>
  <c r="L104" i="20"/>
  <c r="L1309" i="20"/>
  <c r="K447" i="20"/>
  <c r="L447" i="20"/>
  <c r="L448" i="20"/>
  <c r="J1310" i="20"/>
  <c r="L1310" i="20"/>
  <c r="J105" i="20"/>
  <c r="L105" i="20"/>
  <c r="J106" i="20"/>
  <c r="K106" i="20"/>
  <c r="L106" i="20"/>
  <c r="K107" i="20"/>
  <c r="L107" i="20"/>
  <c r="L451" i="20"/>
  <c r="J452" i="20"/>
  <c r="L452" i="20"/>
  <c r="L1679" i="20"/>
  <c r="L1680" i="20"/>
  <c r="J1313" i="20"/>
  <c r="L1313" i="20"/>
  <c r="J1314" i="20"/>
  <c r="K1314" i="20"/>
  <c r="L1314" i="20"/>
  <c r="J455" i="20"/>
  <c r="K455" i="20"/>
  <c r="L455" i="20"/>
  <c r="K456" i="20"/>
  <c r="L456" i="20"/>
  <c r="L1681" i="20"/>
  <c r="J108" i="20"/>
  <c r="L108" i="20"/>
  <c r="K109" i="20"/>
  <c r="L109" i="20"/>
  <c r="L110" i="20"/>
  <c r="J459" i="20"/>
  <c r="L459" i="20"/>
  <c r="J460" i="20"/>
  <c r="K460" i="20"/>
  <c r="L460" i="20"/>
  <c r="J111" i="20"/>
  <c r="L111" i="20"/>
  <c r="K1317" i="20"/>
  <c r="L1317" i="20"/>
  <c r="L1318" i="20"/>
  <c r="J112" i="20"/>
  <c r="L112" i="20"/>
  <c r="K463" i="20"/>
  <c r="L463" i="20"/>
  <c r="L464" i="20"/>
  <c r="L1685" i="20"/>
  <c r="L1686" i="20"/>
  <c r="J113" i="20"/>
  <c r="L113" i="20"/>
  <c r="L114" i="20"/>
  <c r="L467" i="20"/>
  <c r="J468" i="20"/>
  <c r="L468" i="20"/>
  <c r="L1321" i="20"/>
  <c r="L1322" i="20"/>
  <c r="J115" i="20"/>
  <c r="L115" i="20"/>
  <c r="J116" i="20"/>
  <c r="K116" i="20"/>
  <c r="L116" i="20"/>
  <c r="J471" i="20"/>
  <c r="K471" i="20"/>
  <c r="L471" i="20"/>
  <c r="K472" i="20"/>
  <c r="L472" i="20"/>
  <c r="L117" i="20"/>
  <c r="J1689" i="20"/>
  <c r="L1689" i="20"/>
  <c r="L1690" i="20"/>
  <c r="L1325" i="20"/>
  <c r="J475" i="20"/>
  <c r="L475" i="20"/>
  <c r="J476" i="20"/>
  <c r="K476" i="20"/>
  <c r="L476" i="20"/>
  <c r="J1326" i="20"/>
  <c r="L1326" i="20"/>
  <c r="L118" i="20"/>
  <c r="L119" i="20"/>
  <c r="L120" i="20"/>
  <c r="K479" i="20"/>
  <c r="L479" i="20"/>
  <c r="L480" i="20"/>
  <c r="J121" i="20"/>
  <c r="L121" i="20"/>
  <c r="J122" i="20"/>
  <c r="L122" i="20"/>
  <c r="J1329" i="20"/>
  <c r="K1329" i="20"/>
  <c r="L1329" i="20"/>
  <c r="K1330" i="20"/>
  <c r="L1330" i="20"/>
  <c r="L483" i="20"/>
  <c r="J484" i="20"/>
  <c r="L484" i="20"/>
  <c r="K485" i="20"/>
  <c r="L485" i="20"/>
  <c r="L486" i="20"/>
  <c r="J487" i="20"/>
  <c r="L487" i="20"/>
  <c r="J488" i="20"/>
  <c r="K488" i="20"/>
  <c r="L488" i="20"/>
  <c r="J489" i="20"/>
  <c r="K489" i="20"/>
  <c r="L489" i="20"/>
  <c r="K490" i="20"/>
  <c r="L490" i="20"/>
  <c r="L491" i="20"/>
  <c r="J492" i="20"/>
  <c r="L492" i="20"/>
  <c r="K493" i="20"/>
  <c r="L493" i="20"/>
  <c r="L494" i="20"/>
  <c r="J495" i="20"/>
  <c r="L495" i="20"/>
  <c r="J496" i="20"/>
  <c r="K496" i="20"/>
  <c r="L496" i="20"/>
  <c r="J497" i="20"/>
  <c r="K497" i="20"/>
  <c r="L497" i="20"/>
  <c r="K498" i="20"/>
  <c r="L498" i="20"/>
  <c r="L1693" i="20"/>
  <c r="J1694" i="20"/>
  <c r="L1694" i="20"/>
  <c r="L123" i="20"/>
  <c r="L124" i="20"/>
  <c r="J515" i="20"/>
  <c r="L515" i="20"/>
  <c r="J516" i="20"/>
  <c r="K516" i="20"/>
  <c r="L516" i="20"/>
  <c r="J517" i="20"/>
  <c r="K517" i="20"/>
  <c r="L517" i="20"/>
  <c r="K518" i="20"/>
  <c r="L518" i="20"/>
  <c r="L519" i="20"/>
  <c r="J520" i="20"/>
  <c r="L520" i="20"/>
  <c r="K521" i="20"/>
  <c r="L521" i="20"/>
  <c r="L522" i="20"/>
  <c r="J523" i="20"/>
  <c r="L523" i="20"/>
  <c r="J524" i="20"/>
  <c r="K524" i="20"/>
  <c r="L524" i="20"/>
  <c r="J525" i="20"/>
  <c r="K525" i="20"/>
  <c r="L525" i="20"/>
  <c r="K526" i="20"/>
  <c r="L526" i="20"/>
  <c r="L125" i="20"/>
  <c r="J1333" i="20"/>
  <c r="L1333" i="20"/>
  <c r="K1334" i="20"/>
  <c r="L1334" i="20"/>
  <c r="L126" i="20"/>
  <c r="J539" i="20"/>
  <c r="L539" i="20"/>
  <c r="J540" i="20"/>
  <c r="K540" i="20"/>
  <c r="L540" i="20"/>
  <c r="L127" i="20"/>
  <c r="K1697" i="20"/>
  <c r="L1697" i="20"/>
  <c r="L1698" i="20"/>
  <c r="J128" i="20"/>
  <c r="L128" i="20"/>
  <c r="L543" i="20"/>
  <c r="L544" i="20"/>
  <c r="J1337" i="20"/>
  <c r="L1337" i="20"/>
  <c r="J1338" i="20"/>
  <c r="L1338" i="20"/>
  <c r="J129" i="20"/>
  <c r="L129" i="20"/>
  <c r="K130" i="20"/>
  <c r="L130" i="20"/>
  <c r="L547" i="20"/>
  <c r="J548" i="20"/>
  <c r="L548" i="20"/>
  <c r="K549" i="20"/>
  <c r="L549" i="20"/>
  <c r="L550" i="20"/>
  <c r="J551" i="20"/>
  <c r="L551" i="20"/>
  <c r="J552" i="20"/>
  <c r="K552" i="20"/>
  <c r="L552" i="20"/>
  <c r="J553" i="20"/>
  <c r="K553" i="20"/>
  <c r="L553" i="20"/>
  <c r="K554" i="20"/>
  <c r="L554" i="20"/>
  <c r="L555" i="20"/>
  <c r="J556" i="20"/>
  <c r="L556" i="20"/>
  <c r="K557" i="20"/>
  <c r="L557" i="20"/>
  <c r="L558" i="20"/>
  <c r="J559" i="20"/>
  <c r="L559" i="20"/>
  <c r="J560" i="20"/>
  <c r="K560" i="20"/>
  <c r="L560" i="20"/>
  <c r="J561" i="20"/>
  <c r="K561" i="20"/>
  <c r="L561" i="20"/>
  <c r="K562" i="20"/>
  <c r="L562" i="20"/>
  <c r="L563" i="20"/>
  <c r="J564" i="20"/>
  <c r="L564" i="20"/>
  <c r="K565" i="20"/>
  <c r="L565" i="20"/>
  <c r="L566" i="20"/>
  <c r="J567" i="20"/>
  <c r="L567" i="20"/>
  <c r="J568" i="20"/>
  <c r="K568" i="20"/>
  <c r="L568" i="20"/>
  <c r="J569" i="20"/>
  <c r="K569" i="20"/>
  <c r="L569" i="20"/>
  <c r="L131" i="20"/>
  <c r="L132" i="20"/>
  <c r="J1701" i="20"/>
  <c r="L1701" i="20"/>
  <c r="K1341" i="20"/>
  <c r="L1341" i="20"/>
  <c r="L1342" i="20"/>
  <c r="J1702" i="20"/>
  <c r="L1702" i="20"/>
  <c r="L1703" i="20"/>
  <c r="J1704" i="20"/>
  <c r="K1704" i="20"/>
  <c r="L1704" i="20"/>
  <c r="L133" i="20"/>
  <c r="L134" i="20"/>
  <c r="L1345" i="20"/>
  <c r="K1346" i="20"/>
  <c r="L1346" i="20"/>
  <c r="L135" i="20"/>
  <c r="J136" i="20"/>
  <c r="L136" i="20"/>
  <c r="L137" i="20"/>
  <c r="L1709" i="20"/>
  <c r="K1710" i="20"/>
  <c r="L1710" i="20"/>
  <c r="L1349" i="20"/>
  <c r="J1350" i="20"/>
  <c r="L1350" i="20"/>
  <c r="L138" i="20"/>
  <c r="L139" i="20"/>
  <c r="J140" i="20"/>
  <c r="L140" i="20"/>
  <c r="J141" i="20"/>
  <c r="K141" i="20"/>
  <c r="L141" i="20"/>
  <c r="L142" i="20"/>
  <c r="L1353" i="20"/>
  <c r="L1354" i="20"/>
  <c r="J1713" i="20"/>
  <c r="L1713" i="20"/>
  <c r="K1714" i="20"/>
  <c r="L1714" i="20"/>
  <c r="L143" i="20"/>
  <c r="J144" i="20"/>
  <c r="L144" i="20"/>
  <c r="J145" i="20"/>
  <c r="K145" i="20"/>
  <c r="L145" i="20"/>
  <c r="J1357" i="20"/>
  <c r="L1357" i="20"/>
  <c r="K1358" i="20"/>
  <c r="L1358" i="20"/>
  <c r="L146" i="20"/>
  <c r="J147" i="20"/>
  <c r="L147" i="20"/>
  <c r="K1524" i="20"/>
  <c r="K223" i="20"/>
  <c r="K220" i="20"/>
  <c r="K217" i="20"/>
  <c r="K1770" i="20"/>
  <c r="K198" i="20"/>
  <c r="K195" i="20"/>
  <c r="K1366" i="20"/>
  <c r="K1690" i="20"/>
  <c r="K1294" i="20"/>
  <c r="K1290" i="20"/>
  <c r="K1203" i="20"/>
  <c r="K44" i="20"/>
  <c r="K30" i="20"/>
  <c r="K37" i="20"/>
  <c r="G1786" i="20" l="1"/>
  <c r="I1786" i="20" s="1"/>
  <c r="G1783" i="20"/>
  <c r="I1783" i="20" s="1"/>
  <c r="G1615" i="20"/>
  <c r="G1596" i="20"/>
  <c r="I1596" i="20" s="1"/>
  <c r="G1800" i="20"/>
  <c r="I1800" i="20" s="1"/>
  <c r="G1797" i="20"/>
  <c r="I1797" i="20" s="1"/>
  <c r="G1813" i="20"/>
  <c r="I1813" i="20" s="1"/>
  <c r="G1808" i="20"/>
  <c r="I1808" i="20" s="1"/>
  <c r="G1910" i="20"/>
  <c r="G1894" i="20"/>
  <c r="G1707" i="20"/>
  <c r="I1707" i="20" s="1"/>
  <c r="G1703" i="20"/>
  <c r="H1987" i="20"/>
  <c r="H1964" i="20"/>
  <c r="H1943" i="20"/>
  <c r="H1931" i="20"/>
  <c r="H1916" i="20"/>
  <c r="H1900" i="20"/>
  <c r="G1812" i="20"/>
  <c r="G1807" i="20"/>
  <c r="I1807" i="20" s="1"/>
  <c r="G1909" i="20"/>
  <c r="G1893" i="20"/>
  <c r="I1893" i="20" s="1"/>
  <c r="G1937" i="20"/>
  <c r="G1925" i="20"/>
  <c r="G1980" i="20"/>
  <c r="G1957" i="20"/>
  <c r="G1648" i="20"/>
  <c r="I1648" i="20" s="1"/>
  <c r="G1645" i="20"/>
  <c r="I1645" i="20" s="1"/>
  <c r="H806" i="20"/>
  <c r="H12" i="20"/>
  <c r="G806" i="20"/>
  <c r="I806" i="20" s="1"/>
  <c r="G12" i="20"/>
  <c r="I12" i="20" s="1"/>
  <c r="B806" i="20"/>
  <c r="B12" i="20"/>
  <c r="A807" i="20"/>
  <c r="A13" i="20"/>
  <c r="H1621" i="20"/>
  <c r="H1602" i="20"/>
  <c r="I1375" i="20"/>
  <c r="I1782" i="20"/>
  <c r="I1784" i="20"/>
  <c r="I1613" i="20"/>
  <c r="I1796" i="20"/>
  <c r="I1798" i="20"/>
  <c r="I1811" i="20"/>
  <c r="I1908" i="20"/>
  <c r="I1702" i="20"/>
  <c r="I1705" i="20"/>
  <c r="I1806" i="20"/>
  <c r="I1810" i="20"/>
  <c r="I1892" i="20"/>
  <c r="I1907" i="20"/>
  <c r="H537" i="19"/>
  <c r="H538" i="19" s="1"/>
  <c r="I1924" i="20"/>
  <c r="I1935" i="20"/>
  <c r="H567" i="19"/>
  <c r="H568" i="19" s="1"/>
  <c r="I1956" i="20"/>
  <c r="I1978" i="20"/>
  <c r="I1644" i="20"/>
  <c r="I1442" i="20"/>
  <c r="I804" i="20"/>
  <c r="I1571" i="20"/>
  <c r="I1549" i="20"/>
  <c r="I1376" i="20"/>
  <c r="I1374" i="20"/>
  <c r="I1528" i="20"/>
  <c r="I1517" i="20"/>
  <c r="I1206" i="20"/>
  <c r="I1188" i="20"/>
  <c r="I1390" i="20"/>
  <c r="I1388" i="20"/>
  <c r="I1403" i="20"/>
  <c r="I1399" i="20"/>
  <c r="I1500" i="20"/>
  <c r="I1485" i="20"/>
  <c r="I1297" i="20"/>
  <c r="I1294" i="20"/>
  <c r="I543" i="19"/>
  <c r="I523" i="19"/>
  <c r="I1402" i="20"/>
  <c r="I1398" i="20"/>
  <c r="I1499" i="20"/>
  <c r="I1484" i="20"/>
  <c r="I1527" i="20"/>
  <c r="I1516" i="20"/>
  <c r="I1570" i="20"/>
  <c r="I1548" i="20"/>
  <c r="I601" i="20"/>
  <c r="G24" i="19"/>
  <c r="I24" i="19"/>
  <c r="F25" i="19"/>
  <c r="I574" i="19"/>
  <c r="I69" i="19"/>
  <c r="H201" i="19"/>
  <c r="H517" i="19"/>
  <c r="H374" i="19"/>
  <c r="H63" i="19"/>
  <c r="J1358" i="20"/>
  <c r="J1714" i="20"/>
  <c r="J1354" i="20"/>
  <c r="J139" i="20"/>
  <c r="J138" i="20"/>
  <c r="J1349" i="20"/>
  <c r="J1710" i="20"/>
  <c r="J135" i="20"/>
  <c r="J1346" i="20"/>
  <c r="J1342" i="20"/>
  <c r="J1341" i="20"/>
  <c r="J132" i="20"/>
  <c r="J131" i="20"/>
  <c r="J566" i="20"/>
  <c r="J565" i="20"/>
  <c r="J563" i="20"/>
  <c r="J562" i="20"/>
  <c r="J558" i="20"/>
  <c r="J557" i="20"/>
  <c r="J555" i="20"/>
  <c r="J554" i="20"/>
  <c r="J550" i="20"/>
  <c r="J549" i="20"/>
  <c r="J547" i="20"/>
  <c r="J130" i="20"/>
  <c r="J544" i="20"/>
  <c r="J543" i="20"/>
  <c r="J1698" i="20"/>
  <c r="J1697" i="20"/>
  <c r="J1334" i="20"/>
  <c r="J526" i="20"/>
  <c r="J522" i="20"/>
  <c r="J521" i="20"/>
  <c r="J519" i="20"/>
  <c r="J518" i="20"/>
  <c r="J124" i="20"/>
  <c r="J123" i="20"/>
  <c r="J1693" i="20"/>
  <c r="J498" i="20"/>
  <c r="J494" i="20"/>
  <c r="J493" i="20"/>
  <c r="J491" i="20"/>
  <c r="J490" i="20"/>
  <c r="J486" i="20"/>
  <c r="J485" i="20"/>
  <c r="J483" i="20"/>
  <c r="J1330" i="20"/>
  <c r="J480" i="20"/>
  <c r="J479" i="20"/>
  <c r="J118" i="20"/>
  <c r="J1325" i="20"/>
  <c r="J1690" i="20"/>
  <c r="J117" i="20"/>
  <c r="J472" i="20"/>
  <c r="J1322" i="20"/>
  <c r="J1321" i="20"/>
  <c r="J467" i="20"/>
  <c r="J114" i="20"/>
  <c r="J464" i="20"/>
  <c r="J463" i="20"/>
  <c r="J1318" i="20"/>
  <c r="J1317" i="20"/>
  <c r="J110" i="20"/>
  <c r="J109" i="20"/>
  <c r="J1681" i="20"/>
  <c r="J456" i="20"/>
  <c r="J451" i="20"/>
  <c r="J107" i="20"/>
  <c r="J448" i="20"/>
  <c r="J447" i="20"/>
  <c r="J103" i="20"/>
  <c r="J443" i="20"/>
  <c r="J102" i="20"/>
  <c r="J440" i="20"/>
  <c r="J100" i="20"/>
  <c r="J99" i="20"/>
  <c r="J98" i="20"/>
  <c r="J1672" i="20"/>
  <c r="J1302" i="20"/>
  <c r="J432" i="20"/>
  <c r="J431" i="20"/>
  <c r="J95" i="20"/>
  <c r="J94" i="20"/>
  <c r="J427" i="20"/>
  <c r="J1296" i="20"/>
  <c r="J1295" i="20"/>
  <c r="J424" i="20"/>
  <c r="J423" i="20"/>
  <c r="J1668" i="20"/>
  <c r="J1667" i="20"/>
  <c r="J92" i="20"/>
  <c r="J91" i="20"/>
  <c r="J416" i="20"/>
  <c r="J415" i="20"/>
  <c r="J1664" i="20"/>
  <c r="J411" i="20"/>
  <c r="J1286" i="20"/>
  <c r="J408" i="20"/>
  <c r="J84" i="20"/>
  <c r="J83" i="20"/>
  <c r="J399" i="20"/>
  <c r="J398" i="20"/>
  <c r="J1281" i="20"/>
  <c r="J393" i="20"/>
  <c r="J1278" i="20"/>
  <c r="J1277" i="20"/>
  <c r="J1655" i="20"/>
  <c r="J384" i="20"/>
  <c r="J383" i="20"/>
  <c r="J1272" i="20"/>
  <c r="J379" i="20"/>
  <c r="J375" i="20"/>
  <c r="J1651" i="20"/>
  <c r="J1268" i="20"/>
  <c r="J1974" i="20"/>
  <c r="J71" i="20"/>
  <c r="J70" i="20"/>
  <c r="J1967" i="20"/>
  <c r="J1966" i="20"/>
  <c r="J1260" i="20"/>
  <c r="J1958" i="20"/>
  <c r="J1256" i="20"/>
  <c r="J1639" i="20"/>
  <c r="J369" i="20"/>
  <c r="J368" i="20"/>
  <c r="J58" i="20"/>
  <c r="J1636" i="20"/>
  <c r="J1948" i="20"/>
  <c r="J56" i="20"/>
  <c r="J1934" i="20"/>
  <c r="J1933" i="20"/>
  <c r="J52" i="20"/>
  <c r="J50" i="20"/>
  <c r="J1925" i="20"/>
  <c r="J1609" i="20"/>
  <c r="J353" i="20"/>
  <c r="J1906" i="20"/>
  <c r="J1605" i="20"/>
  <c r="J1604" i="20"/>
  <c r="J1603" i="20"/>
  <c r="J1898" i="20"/>
  <c r="J1600" i="20"/>
  <c r="J1599" i="20"/>
  <c r="J1224" i="20"/>
  <c r="J351" i="20"/>
  <c r="J350" i="20"/>
  <c r="J1595" i="20"/>
  <c r="J347" i="20"/>
  <c r="J346" i="20"/>
  <c r="J1200" i="20"/>
  <c r="J1199" i="20"/>
  <c r="J1198" i="20"/>
  <c r="J340" i="20"/>
  <c r="J1193" i="20"/>
  <c r="J1192" i="20"/>
  <c r="J1190" i="20"/>
  <c r="J334" i="20"/>
  <c r="J333" i="20"/>
  <c r="J1185" i="20"/>
  <c r="J330" i="20"/>
  <c r="J46" i="20"/>
  <c r="J1872" i="20"/>
  <c r="J41" i="20"/>
  <c r="J40" i="20"/>
  <c r="J38" i="20"/>
  <c r="J35" i="20"/>
  <c r="J1867" i="20"/>
  <c r="J32" i="20"/>
  <c r="J318" i="20"/>
  <c r="J30" i="20"/>
  <c r="J317" i="20"/>
  <c r="J25" i="20"/>
  <c r="J24" i="20"/>
  <c r="J312" i="20"/>
  <c r="J20" i="20"/>
  <c r="J19" i="20"/>
  <c r="J17" i="20"/>
  <c r="J307" i="20"/>
  <c r="J306" i="20"/>
  <c r="J11" i="20"/>
  <c r="J10" i="20"/>
  <c r="J9" i="20"/>
  <c r="J300" i="20"/>
  <c r="J4" i="20"/>
  <c r="J283" i="20"/>
  <c r="J282" i="20"/>
  <c r="J281" i="20"/>
  <c r="J1832" i="20"/>
  <c r="J276" i="20"/>
  <c r="J275" i="20"/>
  <c r="J274" i="20"/>
  <c r="J1827" i="20"/>
  <c r="J272" i="20"/>
  <c r="J269" i="20"/>
  <c r="J268" i="20"/>
  <c r="J267" i="20"/>
  <c r="J266" i="20"/>
  <c r="J263" i="20"/>
  <c r="J1820" i="20"/>
  <c r="J261" i="20"/>
  <c r="J260" i="20"/>
  <c r="J1567" i="20"/>
  <c r="J1566" i="20"/>
  <c r="J1563" i="20"/>
  <c r="J1562" i="20"/>
  <c r="J1559" i="20"/>
  <c r="J1558" i="20"/>
  <c r="J1555" i="20"/>
  <c r="J1554" i="20"/>
  <c r="J1551" i="20"/>
  <c r="J592" i="20"/>
  <c r="J589" i="20"/>
  <c r="J588" i="20"/>
  <c r="J585" i="20"/>
  <c r="J584" i="20"/>
  <c r="J581" i="20"/>
  <c r="J580" i="20"/>
  <c r="J577" i="20"/>
  <c r="J576" i="20"/>
  <c r="J573" i="20"/>
  <c r="J572" i="20"/>
  <c r="J1550" i="20"/>
  <c r="J1549" i="20"/>
  <c r="J546" i="20"/>
  <c r="J545" i="20"/>
  <c r="J1816" i="20"/>
  <c r="J1815" i="20"/>
  <c r="J257" i="20"/>
  <c r="J1544" i="20"/>
  <c r="J538" i="20"/>
  <c r="J537" i="20"/>
  <c r="J534" i="20"/>
  <c r="J533" i="20"/>
  <c r="J530" i="20"/>
  <c r="J529" i="20"/>
  <c r="J254" i="20"/>
  <c r="J514" i="20"/>
  <c r="J513" i="20"/>
  <c r="J510" i="20"/>
  <c r="J509" i="20"/>
  <c r="J506" i="20"/>
  <c r="J505" i="20"/>
  <c r="J502" i="20"/>
  <c r="J501" i="20"/>
  <c r="J1540" i="20"/>
  <c r="J1539" i="20"/>
  <c r="J482" i="20"/>
  <c r="J481" i="20"/>
  <c r="J252" i="20"/>
  <c r="J1526" i="20"/>
  <c r="J1525" i="20"/>
  <c r="J1524" i="20"/>
  <c r="J474" i="20"/>
  <c r="J473" i="20"/>
  <c r="J1519" i="20"/>
  <c r="J1518" i="20"/>
  <c r="J1517" i="20"/>
  <c r="J1516" i="20"/>
  <c r="J466" i="20"/>
  <c r="J465" i="20"/>
  <c r="J248" i="20"/>
  <c r="J1802" i="20"/>
  <c r="J1498" i="20"/>
  <c r="J1497" i="20"/>
  <c r="J458" i="20"/>
  <c r="J457" i="20"/>
  <c r="J1492" i="20"/>
  <c r="J1491" i="20"/>
  <c r="J1490" i="20"/>
  <c r="J1489" i="20"/>
  <c r="J450" i="20"/>
  <c r="J449" i="20"/>
  <c r="J1483" i="20"/>
  <c r="J446" i="20"/>
  <c r="J247" i="20"/>
  <c r="J441" i="20"/>
  <c r="J244" i="20"/>
  <c r="J1479" i="20"/>
  <c r="J1796" i="20"/>
  <c r="J1795" i="20"/>
  <c r="J434" i="20"/>
  <c r="J433" i="20"/>
  <c r="J240" i="20"/>
  <c r="J430" i="20"/>
  <c r="J239" i="20"/>
  <c r="J238" i="20"/>
  <c r="J425" i="20"/>
  <c r="J1471" i="20"/>
  <c r="J237" i="20"/>
  <c r="J236" i="20"/>
  <c r="J234" i="20"/>
  <c r="J1468" i="20"/>
  <c r="J418" i="20"/>
  <c r="J417" i="20"/>
  <c r="J232" i="20"/>
  <c r="J414" i="20"/>
  <c r="J231" i="20"/>
  <c r="J1464" i="20"/>
  <c r="J1463" i="20"/>
  <c r="J409" i="20"/>
  <c r="J1783" i="20"/>
  <c r="J1782" i="20"/>
  <c r="J406" i="20"/>
  <c r="J403" i="20"/>
  <c r="J402" i="20"/>
  <c r="J1459" i="20"/>
  <c r="J1781" i="20"/>
  <c r="J227" i="20"/>
  <c r="J226" i="20"/>
  <c r="J392" i="20"/>
  <c r="J391" i="20"/>
  <c r="J223" i="20"/>
  <c r="J385" i="20"/>
  <c r="J222" i="20"/>
  <c r="J1451" i="20"/>
  <c r="J220" i="20"/>
  <c r="J219" i="20"/>
  <c r="J218" i="20"/>
  <c r="J377" i="20"/>
  <c r="J376" i="20"/>
  <c r="J1448" i="20"/>
  <c r="J1447" i="20"/>
  <c r="J217" i="20"/>
  <c r="J216" i="20"/>
  <c r="J215" i="20"/>
  <c r="J213" i="20"/>
  <c r="J1973" i="20"/>
  <c r="J1972" i="20"/>
  <c r="J1770" i="20"/>
  <c r="J212" i="20"/>
  <c r="J1965" i="20"/>
  <c r="J208" i="20"/>
  <c r="J1766" i="20"/>
  <c r="J1765" i="20"/>
  <c r="J207" i="20"/>
  <c r="J1435" i="20"/>
  <c r="J1957" i="20"/>
  <c r="J1956" i="20"/>
  <c r="J204" i="20"/>
  <c r="J203" i="20"/>
  <c r="J370" i="20"/>
  <c r="J1762" i="20"/>
  <c r="J1432" i="20"/>
  <c r="J1952" i="20"/>
  <c r="J201" i="20"/>
  <c r="J200" i="20"/>
  <c r="J199" i="20"/>
  <c r="J1428" i="20"/>
  <c r="J1427" i="20"/>
  <c r="J1758" i="20"/>
  <c r="J196" i="20"/>
  <c r="J1424" i="20"/>
  <c r="J358" i="20"/>
  <c r="J1423" i="20"/>
  <c r="J195" i="20"/>
  <c r="J1932" i="20"/>
  <c r="J1931" i="20"/>
  <c r="J1753" i="20"/>
  <c r="J1420" i="20"/>
  <c r="J1419" i="20"/>
  <c r="J192" i="20"/>
  <c r="J189" i="20"/>
  <c r="J1924" i="20"/>
  <c r="J1923" i="20"/>
  <c r="J1415" i="20"/>
  <c r="J354" i="20"/>
  <c r="J1749" i="20"/>
  <c r="J187" i="20"/>
  <c r="J1905" i="20"/>
  <c r="J1904" i="20"/>
  <c r="J1411" i="20"/>
  <c r="J183" i="20"/>
  <c r="J1746" i="20"/>
  <c r="J1408" i="20"/>
  <c r="J1897" i="20"/>
  <c r="J1896" i="20"/>
  <c r="J180" i="20"/>
  <c r="J1892" i="20"/>
  <c r="J1891" i="20"/>
  <c r="J352" i="20"/>
  <c r="J1401" i="20"/>
  <c r="J1887" i="20"/>
  <c r="J1399" i="20"/>
  <c r="J1398" i="20"/>
  <c r="J345" i="20"/>
  <c r="J176" i="20"/>
  <c r="J175" i="20"/>
  <c r="J174" i="20"/>
  <c r="J1394" i="20"/>
  <c r="J1738" i="20"/>
  <c r="J339" i="20"/>
  <c r="J338" i="20"/>
  <c r="J171" i="20"/>
  <c r="J336" i="20"/>
  <c r="J335" i="20"/>
  <c r="J1388" i="20"/>
  <c r="J169" i="20"/>
  <c r="J168" i="20"/>
  <c r="J1734" i="20"/>
  <c r="J1733" i="20"/>
  <c r="J328" i="20"/>
  <c r="J166" i="20"/>
  <c r="J165" i="20"/>
  <c r="J327" i="20"/>
  <c r="J163" i="20"/>
  <c r="J323" i="20"/>
  <c r="J1868" i="20"/>
  <c r="J1730" i="20"/>
  <c r="J161" i="20"/>
  <c r="J160" i="20"/>
  <c r="J1375" i="20"/>
  <c r="J1863" i="20"/>
  <c r="J1726" i="20"/>
  <c r="J1725" i="20"/>
  <c r="J313" i="20"/>
  <c r="J157" i="20"/>
  <c r="J311" i="20"/>
  <c r="J154" i="20"/>
  <c r="J153" i="20"/>
  <c r="J1855" i="20"/>
  <c r="J1366" i="20"/>
  <c r="J152" i="20"/>
  <c r="J305" i="20"/>
  <c r="J150" i="20"/>
  <c r="J149" i="20"/>
  <c r="J302" i="20"/>
  <c r="J1361" i="20"/>
  <c r="J299" i="20"/>
  <c r="J1847" i="20"/>
  <c r="J297" i="20"/>
  <c r="J294" i="20"/>
  <c r="J293" i="20"/>
  <c r="J288" i="20"/>
  <c r="J1840" i="20"/>
  <c r="J1839" i="20"/>
  <c r="K11" i="20"/>
  <c r="K7" i="20"/>
  <c r="K15" i="20"/>
  <c r="K19" i="20"/>
  <c r="K23" i="20"/>
  <c r="K27" i="20"/>
  <c r="K1237" i="20"/>
  <c r="K52" i="20"/>
  <c r="K57" i="20"/>
  <c r="K1260" i="20"/>
  <c r="K1271" i="20"/>
  <c r="K82" i="20"/>
  <c r="K92" i="20"/>
  <c r="K1676" i="20"/>
  <c r="K1310" i="20"/>
  <c r="K111" i="20"/>
  <c r="K1321" i="20"/>
  <c r="K117" i="20"/>
  <c r="K1326" i="20"/>
  <c r="K121" i="20"/>
  <c r="K131" i="20"/>
  <c r="K147" i="20"/>
  <c r="K146" i="20"/>
  <c r="K1354" i="20"/>
  <c r="K140" i="20"/>
  <c r="K1350" i="20"/>
  <c r="K136" i="20"/>
  <c r="K1702" i="20"/>
  <c r="K1342" i="20"/>
  <c r="K1701" i="20"/>
  <c r="K132" i="20"/>
  <c r="K567" i="20"/>
  <c r="K566" i="20"/>
  <c r="K564" i="20"/>
  <c r="K563" i="20"/>
  <c r="K559" i="20"/>
  <c r="K558" i="20"/>
  <c r="K556" i="20"/>
  <c r="K555" i="20"/>
  <c r="K551" i="20"/>
  <c r="K550" i="20"/>
  <c r="K548" i="20"/>
  <c r="K547" i="20"/>
  <c r="K544" i="20"/>
  <c r="K1698" i="20"/>
  <c r="K1333" i="20"/>
  <c r="K523" i="20"/>
  <c r="K522" i="20"/>
  <c r="K520" i="20"/>
  <c r="K519" i="20"/>
  <c r="K515" i="20"/>
  <c r="K1694" i="20"/>
  <c r="K495" i="20"/>
  <c r="K494" i="20"/>
  <c r="K492" i="20"/>
  <c r="K491" i="20"/>
  <c r="K487" i="20"/>
  <c r="K486" i="20"/>
  <c r="K484" i="20"/>
  <c r="K480" i="20"/>
  <c r="K475" i="20"/>
  <c r="K1325" i="20"/>
  <c r="K1689" i="20"/>
  <c r="K115" i="20"/>
  <c r="K1322" i="20"/>
  <c r="K468" i="20"/>
  <c r="K467" i="20"/>
  <c r="K464" i="20"/>
  <c r="K112" i="20"/>
  <c r="K1318" i="20"/>
  <c r="K459" i="20"/>
  <c r="K110" i="20"/>
  <c r="K108" i="20"/>
  <c r="K1313" i="20"/>
  <c r="K452" i="20"/>
  <c r="K451" i="20"/>
  <c r="K448" i="20"/>
  <c r="K444" i="20"/>
  <c r="K443" i="20"/>
  <c r="K100" i="20"/>
  <c r="K1301" i="20"/>
  <c r="K432" i="20"/>
  <c r="K96" i="20"/>
  <c r="K95" i="20"/>
  <c r="K428" i="20"/>
  <c r="K427" i="20"/>
  <c r="K424" i="20"/>
  <c r="K93" i="20"/>
  <c r="K1668" i="20"/>
  <c r="K419" i="20"/>
  <c r="K1664" i="20"/>
  <c r="K412" i="20"/>
  <c r="K85" i="20"/>
  <c r="K400" i="20"/>
  <c r="K399" i="20"/>
  <c r="K397" i="20"/>
  <c r="K1281" i="20"/>
  <c r="K394" i="20"/>
  <c r="K1656" i="20"/>
  <c r="K380" i="20"/>
  <c r="K379" i="20"/>
  <c r="K373" i="20"/>
  <c r="K1975" i="20"/>
  <c r="K72" i="20"/>
  <c r="K71" i="20"/>
  <c r="K1264" i="20"/>
  <c r="K1967" i="20"/>
  <c r="K1962" i="20"/>
  <c r="K1256" i="20"/>
  <c r="K58" i="20"/>
  <c r="K56" i="20"/>
  <c r="K1934" i="20"/>
  <c r="K1631" i="20"/>
  <c r="K1929" i="20"/>
  <c r="K1926" i="20"/>
  <c r="K1235" i="20"/>
  <c r="K1610" i="20"/>
  <c r="K1902" i="20"/>
  <c r="K1604" i="20"/>
  <c r="K1600" i="20"/>
  <c r="K1598" i="20"/>
  <c r="K351" i="20"/>
  <c r="K1201" i="20"/>
  <c r="K1884" i="20"/>
  <c r="K1199" i="20"/>
  <c r="K341" i="20"/>
  <c r="K1194" i="20"/>
  <c r="K1193" i="20"/>
  <c r="K1191" i="20"/>
  <c r="K1186" i="20"/>
  <c r="K331" i="20"/>
  <c r="K42" i="20"/>
  <c r="K41" i="20"/>
  <c r="K36" i="20"/>
  <c r="K33" i="20"/>
  <c r="K26" i="20"/>
  <c r="K25" i="20"/>
  <c r="K1859" i="20"/>
  <c r="K21" i="20"/>
  <c r="K20" i="20"/>
  <c r="K18" i="20"/>
  <c r="K307" i="20"/>
  <c r="K12" i="20"/>
  <c r="K1852" i="20"/>
  <c r="K10" i="20"/>
  <c r="K301" i="20"/>
  <c r="K5" i="20"/>
  <c r="K4" i="20"/>
  <c r="K1835" i="20"/>
  <c r="K282" i="20"/>
  <c r="K277" i="20"/>
  <c r="K276" i="20"/>
  <c r="L1827" i="20"/>
  <c r="L270" i="20"/>
  <c r="L1823" i="20"/>
  <c r="L267" i="20"/>
  <c r="L264" i="20"/>
  <c r="L262" i="20"/>
  <c r="L261" i="20"/>
  <c r="L1568" i="20"/>
  <c r="L1564" i="20"/>
  <c r="L1563" i="20"/>
  <c r="L1560" i="20"/>
  <c r="L1556" i="20"/>
  <c r="L1555" i="20"/>
  <c r="L1553" i="20"/>
  <c r="L1552" i="20"/>
  <c r="L590" i="20"/>
  <c r="L589" i="20"/>
  <c r="L587" i="20"/>
  <c r="L586" i="20"/>
  <c r="L582" i="20"/>
  <c r="L581" i="20"/>
  <c r="L578" i="20"/>
  <c r="L574" i="20"/>
  <c r="L573" i="20"/>
  <c r="L570" i="20"/>
  <c r="L1547" i="20"/>
  <c r="L546" i="20"/>
  <c r="L258" i="20"/>
  <c r="L541" i="20"/>
  <c r="L257" i="20"/>
  <c r="L256" i="20"/>
  <c r="L535" i="20"/>
  <c r="L534" i="20"/>
  <c r="L531" i="20"/>
  <c r="L255" i="20"/>
  <c r="L1809" i="20"/>
  <c r="L511" i="20"/>
  <c r="L510" i="20"/>
  <c r="L508" i="20"/>
  <c r="L507" i="20"/>
  <c r="L503" i="20"/>
  <c r="L502" i="20"/>
  <c r="L499" i="20"/>
  <c r="L1808" i="20"/>
  <c r="L1807" i="20"/>
  <c r="L482" i="20"/>
  <c r="L1806" i="20"/>
  <c r="L1805" i="20"/>
  <c r="L478" i="20"/>
  <c r="L477" i="20"/>
  <c r="L1525" i="20"/>
  <c r="L1523" i="20"/>
  <c r="L1522" i="20"/>
  <c r="L1520" i="20"/>
  <c r="L1519" i="20"/>
  <c r="L470" i="20"/>
  <c r="L469" i="20"/>
  <c r="L251" i="20"/>
  <c r="L466" i="20"/>
  <c r="L250" i="20"/>
  <c r="L249" i="20"/>
  <c r="L461" i="20"/>
  <c r="L1498" i="20"/>
  <c r="L1496" i="20"/>
  <c r="L1495" i="20"/>
  <c r="L1493" i="20"/>
  <c r="L1492" i="20"/>
  <c r="L454" i="20"/>
  <c r="L453" i="20"/>
  <c r="L1487" i="20"/>
  <c r="L450" i="20"/>
  <c r="L1485" i="20"/>
  <c r="L1483" i="20"/>
  <c r="L445" i="20"/>
  <c r="L245" i="20"/>
  <c r="L442" i="20"/>
  <c r="L1480" i="20"/>
  <c r="L1479" i="20"/>
  <c r="L1796" i="20"/>
  <c r="L242" i="20"/>
  <c r="L1475" i="20"/>
  <c r="L241" i="20"/>
  <c r="L240" i="20"/>
  <c r="L239" i="20"/>
  <c r="L1472" i="20"/>
  <c r="L426" i="20"/>
  <c r="L1791" i="20"/>
  <c r="L421" i="20"/>
  <c r="L235" i="20"/>
  <c r="L234" i="20"/>
  <c r="L1467" i="20"/>
  <c r="L418" i="20"/>
  <c r="L1788" i="20"/>
  <c r="L1787" i="20"/>
  <c r="L232" i="20"/>
  <c r="L1464" i="20"/>
  <c r="L230" i="20"/>
  <c r="L228" i="20"/>
  <c r="L1782" i="20"/>
  <c r="L405" i="20"/>
  <c r="L1460" i="20"/>
  <c r="L1781" i="20"/>
  <c r="L396" i="20"/>
  <c r="L226" i="20"/>
  <c r="L224" i="20"/>
  <c r="L392" i="20"/>
  <c r="L390" i="20"/>
  <c r="L223" i="20"/>
  <c r="L1777" i="20"/>
  <c r="L221" i="20"/>
  <c r="L1451" i="20"/>
  <c r="L381" i="20"/>
  <c r="L219" i="20"/>
  <c r="L1774" i="20"/>
  <c r="L1773" i="20"/>
  <c r="L1447" i="20"/>
  <c r="L216" i="20"/>
  <c r="L214" i="20"/>
  <c r="L1973" i="20"/>
  <c r="L1444" i="20"/>
  <c r="L1770" i="20"/>
  <c r="L1969" i="20"/>
  <c r="L212" i="20"/>
  <c r="L210" i="20"/>
  <c r="L1965" i="20"/>
  <c r="L1439" i="20"/>
  <c r="L208" i="20"/>
  <c r="L1961" i="20"/>
  <c r="L1765" i="20"/>
  <c r="L1436" i="20"/>
  <c r="L1957" i="20"/>
  <c r="L206" i="20"/>
  <c r="L204" i="20"/>
  <c r="L371" i="20"/>
  <c r="L1762" i="20"/>
  <c r="L1431" i="20"/>
  <c r="L1952" i="20"/>
  <c r="L202" i="20"/>
  <c r="L200" i="20"/>
  <c r="L365" i="20"/>
  <c r="L1428" i="20"/>
  <c r="L198" i="20"/>
  <c r="L1757" i="20"/>
  <c r="L196" i="20"/>
  <c r="L1423" i="20"/>
  <c r="L194" i="20"/>
  <c r="L1932" i="20"/>
  <c r="L1754" i="20"/>
  <c r="L1420" i="20"/>
  <c r="L1928" i="20"/>
  <c r="L192" i="20"/>
  <c r="L190" i="20"/>
  <c r="L1924" i="20"/>
  <c r="L188" i="20"/>
  <c r="L1415" i="20"/>
  <c r="L355" i="20"/>
  <c r="L1749" i="20"/>
  <c r="L186" i="20"/>
  <c r="L1412" i="20"/>
  <c r="L184" i="20"/>
  <c r="L1901" i="20"/>
  <c r="L1746" i="20"/>
  <c r="L182" i="20"/>
  <c r="L1897" i="20"/>
  <c r="L1407" i="20"/>
  <c r="L180" i="20"/>
  <c r="L1891" i="20"/>
  <c r="L178" i="20"/>
  <c r="L1401" i="20"/>
  <c r="L1888" i="20"/>
  <c r="L1399" i="20"/>
  <c r="L1397" i="20"/>
  <c r="L177" i="20"/>
  <c r="L175" i="20"/>
  <c r="L1394" i="20"/>
  <c r="L173" i="20"/>
  <c r="L1737" i="20"/>
  <c r="L171" i="20"/>
  <c r="L337" i="20"/>
  <c r="L1387" i="20"/>
  <c r="L169" i="20"/>
  <c r="L332" i="20"/>
  <c r="L1734" i="20"/>
  <c r="L1384" i="20"/>
  <c r="L167" i="20"/>
  <c r="L165" i="20"/>
  <c r="L163" i="20"/>
  <c r="L1379" i="20"/>
  <c r="L1729" i="20"/>
  <c r="L161" i="20"/>
  <c r="L1373" i="20"/>
  <c r="L1863" i="20"/>
  <c r="L159" i="20"/>
  <c r="L158" i="20"/>
  <c r="L315" i="20"/>
  <c r="L314" i="20"/>
  <c r="L1370" i="20"/>
  <c r="L1369" i="20"/>
  <c r="L310" i="20"/>
  <c r="L155" i="20"/>
  <c r="L1722" i="20"/>
  <c r="L1856" i="20"/>
  <c r="L1365" i="20"/>
  <c r="L1721" i="20"/>
  <c r="L304" i="20"/>
  <c r="L151" i="20"/>
  <c r="L1362" i="20"/>
  <c r="L1851" i="20"/>
  <c r="L148" i="20"/>
  <c r="L1718" i="20"/>
  <c r="L298" i="20"/>
  <c r="L1848" i="20"/>
  <c r="L296" i="20"/>
  <c r="L295" i="20"/>
  <c r="L1844" i="20"/>
  <c r="L1843" i="20"/>
  <c r="L290" i="20"/>
  <c r="L289" i="20"/>
  <c r="L288" i="20"/>
  <c r="L1839" i="20"/>
  <c r="L1828" i="20"/>
  <c r="K287" i="20"/>
  <c r="F565" i="19"/>
  <c r="F552" i="19"/>
  <c r="F535" i="19"/>
  <c r="F514" i="19"/>
  <c r="F507" i="19"/>
  <c r="F500" i="19"/>
  <c r="F493" i="19"/>
  <c r="F486" i="19"/>
  <c r="F479" i="19"/>
  <c r="F472" i="19"/>
  <c r="F465" i="19"/>
  <c r="F458" i="19"/>
  <c r="F451" i="19"/>
  <c r="F444" i="19"/>
  <c r="F437" i="19"/>
  <c r="F430" i="19"/>
  <c r="F423" i="19"/>
  <c r="F416" i="19"/>
  <c r="F409" i="19"/>
  <c r="F402" i="19"/>
  <c r="F395" i="19"/>
  <c r="F388" i="19"/>
  <c r="F381" i="19"/>
  <c r="F371" i="19"/>
  <c r="F356" i="19"/>
  <c r="F349" i="19"/>
  <c r="F342" i="19"/>
  <c r="F334" i="19"/>
  <c r="F327" i="19"/>
  <c r="F320" i="19"/>
  <c r="F313" i="19"/>
  <c r="F306" i="19"/>
  <c r="F299" i="19"/>
  <c r="F292" i="19"/>
  <c r="F285" i="19"/>
  <c r="F278" i="19"/>
  <c r="F271" i="19"/>
  <c r="F264" i="19"/>
  <c r="F257" i="19"/>
  <c r="F250" i="19"/>
  <c r="F243" i="19"/>
  <c r="F236" i="19"/>
  <c r="F229" i="19"/>
  <c r="F222" i="19"/>
  <c r="F215" i="19"/>
  <c r="F208" i="19"/>
  <c r="F199" i="19"/>
  <c r="F192" i="19"/>
  <c r="F185" i="19"/>
  <c r="F178" i="19"/>
  <c r="F171" i="19"/>
  <c r="F156" i="19"/>
  <c r="F149" i="19"/>
  <c r="F142" i="19"/>
  <c r="F135" i="19"/>
  <c r="F128" i="19"/>
  <c r="F121" i="19"/>
  <c r="F98" i="19"/>
  <c r="F91" i="19"/>
  <c r="F84" i="19"/>
  <c r="F60" i="19"/>
  <c r="K209" i="20"/>
  <c r="J1621" i="20"/>
  <c r="J761" i="20"/>
  <c r="J1305" i="20"/>
  <c r="K67" i="20"/>
  <c r="A1613" i="20" l="1"/>
  <c r="A1594" i="20"/>
  <c r="A1634" i="20"/>
  <c r="A1632" i="20"/>
  <c r="A1638" i="20"/>
  <c r="A1636" i="20"/>
  <c r="A1642" i="20"/>
  <c r="A1640" i="20"/>
  <c r="A1658" i="20"/>
  <c r="A1656" i="20"/>
  <c r="A1662" i="20"/>
  <c r="A1660" i="20"/>
  <c r="A1666" i="20"/>
  <c r="A1664" i="20"/>
  <c r="A1670" i="20"/>
  <c r="A1668" i="20"/>
  <c r="A1674" i="20"/>
  <c r="A1672" i="20"/>
  <c r="A1678" i="20"/>
  <c r="A1676" i="20"/>
  <c r="A1688" i="20"/>
  <c r="A1686" i="20"/>
  <c r="A1692" i="20"/>
  <c r="A1690" i="20"/>
  <c r="A1696" i="20"/>
  <c r="A1694" i="20"/>
  <c r="A1700" i="20"/>
  <c r="A1698" i="20"/>
  <c r="A1706" i="20"/>
  <c r="A1702" i="20"/>
  <c r="A1712" i="20"/>
  <c r="A1710" i="20"/>
  <c r="A1716" i="20"/>
  <c r="A1714" i="20"/>
  <c r="A1720" i="20"/>
  <c r="A1718" i="20"/>
  <c r="A1724" i="20"/>
  <c r="A1722" i="20"/>
  <c r="A1728" i="20"/>
  <c r="A1726" i="20"/>
  <c r="A1732" i="20"/>
  <c r="A1730" i="20"/>
  <c r="A1736" i="20"/>
  <c r="A1734" i="20"/>
  <c r="A1740" i="20"/>
  <c r="A1738" i="20"/>
  <c r="A1744" i="20"/>
  <c r="A1742" i="20"/>
  <c r="A1748" i="20"/>
  <c r="A1746" i="20"/>
  <c r="A1752" i="20"/>
  <c r="A1750" i="20"/>
  <c r="A1756" i="20"/>
  <c r="A1754" i="20"/>
  <c r="A1760" i="20"/>
  <c r="A1758" i="20"/>
  <c r="A1764" i="20"/>
  <c r="A1762" i="20"/>
  <c r="A1768" i="20"/>
  <c r="A1766" i="20"/>
  <c r="A1772" i="20"/>
  <c r="A1770" i="20"/>
  <c r="A1776" i="20"/>
  <c r="A1774" i="20"/>
  <c r="A1780" i="20"/>
  <c r="A1778" i="20"/>
  <c r="A1785" i="20"/>
  <c r="A1782" i="20"/>
  <c r="A1790" i="20"/>
  <c r="A1788" i="20"/>
  <c r="A1794" i="20"/>
  <c r="A1792" i="20"/>
  <c r="A1799" i="20"/>
  <c r="A1796" i="20"/>
  <c r="A1811" i="20"/>
  <c r="A1806" i="20"/>
  <c r="A1818" i="20"/>
  <c r="A1816" i="20"/>
  <c r="A1822" i="20"/>
  <c r="A1820" i="20"/>
  <c r="A1826" i="20"/>
  <c r="A1824" i="20"/>
  <c r="A1830" i="20"/>
  <c r="A1828" i="20"/>
  <c r="A1834" i="20"/>
  <c r="A1832" i="20"/>
  <c r="A1838" i="20"/>
  <c r="A1836" i="20"/>
  <c r="A1842" i="20"/>
  <c r="A1840" i="20"/>
  <c r="A1846" i="20"/>
  <c r="A1844" i="20"/>
  <c r="A1850" i="20"/>
  <c r="A1848" i="20"/>
  <c r="A1854" i="20"/>
  <c r="A1852" i="20"/>
  <c r="A1858" i="20"/>
  <c r="A1856" i="20"/>
  <c r="A1862" i="20"/>
  <c r="A1860" i="20"/>
  <c r="A1866" i="20"/>
  <c r="A1864" i="20"/>
  <c r="A1870" i="20"/>
  <c r="A1868" i="20"/>
  <c r="A1874" i="20"/>
  <c r="A1872" i="20"/>
  <c r="A1878" i="20"/>
  <c r="A1876" i="20"/>
  <c r="A1882" i="20"/>
  <c r="A1880" i="20"/>
  <c r="A1886" i="20"/>
  <c r="A1884" i="20"/>
  <c r="A1890" i="20"/>
  <c r="A1888" i="20"/>
  <c r="A1908" i="20"/>
  <c r="A1892" i="20"/>
  <c r="A1936" i="20"/>
  <c r="A1924" i="20"/>
  <c r="A1950" i="20"/>
  <c r="A1948" i="20"/>
  <c r="A1954" i="20"/>
  <c r="A1952" i="20"/>
  <c r="A1979" i="20"/>
  <c r="A1956" i="20"/>
  <c r="G1616" i="20"/>
  <c r="I1616" i="20" s="1"/>
  <c r="G1597" i="20"/>
  <c r="I1597" i="20" s="1"/>
  <c r="G1814" i="20"/>
  <c r="I1814" i="20" s="1"/>
  <c r="G1809" i="20"/>
  <c r="I1809" i="20" s="1"/>
  <c r="G1911" i="20"/>
  <c r="G1895" i="20"/>
  <c r="G1982" i="20"/>
  <c r="G1959" i="20"/>
  <c r="G1939" i="20"/>
  <c r="G1927" i="20"/>
  <c r="G1708" i="20"/>
  <c r="I1708" i="20" s="1"/>
  <c r="G1704" i="20"/>
  <c r="I1704" i="20" s="1"/>
  <c r="H1988" i="20"/>
  <c r="H1965" i="20"/>
  <c r="H1917" i="20"/>
  <c r="H1901" i="20"/>
  <c r="H1944" i="20"/>
  <c r="H1932" i="20"/>
  <c r="G1981" i="20"/>
  <c r="G1958" i="20"/>
  <c r="I1958" i="20" s="1"/>
  <c r="G1938" i="20"/>
  <c r="G1926" i="20"/>
  <c r="I1926" i="20" s="1"/>
  <c r="A808" i="20"/>
  <c r="A14" i="20"/>
  <c r="H807" i="20"/>
  <c r="H13" i="20"/>
  <c r="B807" i="20"/>
  <c r="B13" i="20"/>
  <c r="G807" i="20"/>
  <c r="I807" i="20" s="1"/>
  <c r="G13" i="20"/>
  <c r="I13" i="20" s="1"/>
  <c r="H1622" i="20"/>
  <c r="H1603" i="20"/>
  <c r="B428" i="19"/>
  <c r="D292" i="20" s="1"/>
  <c r="I1614" i="20"/>
  <c r="I1540" i="20"/>
  <c r="I1812" i="20"/>
  <c r="I1894" i="20"/>
  <c r="I1909" i="20"/>
  <c r="I1980" i="20"/>
  <c r="I1937" i="20"/>
  <c r="I1703" i="20"/>
  <c r="I1706" i="20"/>
  <c r="I1957" i="20"/>
  <c r="I1979" i="20"/>
  <c r="I1925" i="20"/>
  <c r="I1936" i="20"/>
  <c r="I805" i="20"/>
  <c r="K156" i="20"/>
  <c r="B325" i="19"/>
  <c r="D222" i="20" s="1"/>
  <c r="K222" i="20" s="1"/>
  <c r="K148" i="20"/>
  <c r="B311" i="19"/>
  <c r="D212" i="20" s="1"/>
  <c r="K212" i="20" s="1"/>
  <c r="J781" i="20"/>
  <c r="E283" i="19"/>
  <c r="D986" i="20" s="1"/>
  <c r="L986" i="20" s="1"/>
  <c r="K59" i="20"/>
  <c r="J1640" i="20"/>
  <c r="K1640" i="20"/>
  <c r="K69" i="20"/>
  <c r="J69" i="20"/>
  <c r="L701" i="20"/>
  <c r="J701" i="20"/>
  <c r="L711" i="20"/>
  <c r="J711" i="20"/>
  <c r="L721" i="20"/>
  <c r="J721" i="20"/>
  <c r="L726" i="20"/>
  <c r="J726" i="20"/>
  <c r="K1309" i="20"/>
  <c r="J1309" i="20"/>
  <c r="L767" i="20"/>
  <c r="J767" i="20"/>
  <c r="L791" i="20"/>
  <c r="J791" i="20"/>
  <c r="J148" i="20"/>
  <c r="K1373" i="20"/>
  <c r="J1373" i="20"/>
  <c r="K167" i="20"/>
  <c r="J167" i="20"/>
  <c r="K170" i="20"/>
  <c r="J170" i="20"/>
  <c r="K1387" i="20"/>
  <c r="J1387" i="20"/>
  <c r="L832" i="20"/>
  <c r="J832" i="20"/>
  <c r="K1397" i="20"/>
  <c r="J1397" i="20"/>
  <c r="L1612" i="20"/>
  <c r="J1612" i="20"/>
  <c r="L1617" i="20"/>
  <c r="J1617" i="20"/>
  <c r="L1633" i="20"/>
  <c r="J1633" i="20"/>
  <c r="L850" i="20"/>
  <c r="J850" i="20"/>
  <c r="K1761" i="20"/>
  <c r="J1761" i="20"/>
  <c r="K206" i="20"/>
  <c r="J206" i="20"/>
  <c r="L1683" i="20"/>
  <c r="J1683" i="20"/>
  <c r="J1750" i="20"/>
  <c r="J209" i="20"/>
  <c r="J67" i="20"/>
  <c r="I1207" i="20"/>
  <c r="I1189" i="20"/>
  <c r="I1404" i="20"/>
  <c r="I1400" i="20"/>
  <c r="I1501" i="20"/>
  <c r="I1486" i="20"/>
  <c r="I1572" i="20"/>
  <c r="I1550" i="20"/>
  <c r="I1529" i="20"/>
  <c r="I1518" i="20"/>
  <c r="I1298" i="20"/>
  <c r="I1295" i="20"/>
  <c r="I524" i="19"/>
  <c r="I544" i="19"/>
  <c r="I25" i="19"/>
  <c r="G25" i="19"/>
  <c r="F26" i="19"/>
  <c r="I602" i="20"/>
  <c r="I70" i="19"/>
  <c r="I575" i="19"/>
  <c r="K1611" i="20"/>
  <c r="E359" i="19"/>
  <c r="B359" i="19"/>
  <c r="L836" i="20"/>
  <c r="E411" i="19"/>
  <c r="B411" i="19"/>
  <c r="D279" i="20" s="1"/>
  <c r="K279" i="20" s="1"/>
  <c r="E418" i="19"/>
  <c r="B418" i="19"/>
  <c r="J679" i="20"/>
  <c r="L689" i="20"/>
  <c r="K186" i="20"/>
  <c r="K1601" i="20"/>
  <c r="K1703" i="20"/>
  <c r="J1377" i="20"/>
  <c r="E383" i="19"/>
  <c r="B383" i="19"/>
  <c r="D259" i="20" s="1"/>
  <c r="K259" i="20" s="1"/>
  <c r="B530" i="19"/>
  <c r="D354" i="20" s="1"/>
  <c r="K354" i="20" s="1"/>
  <c r="E530" i="19"/>
  <c r="K79" i="20"/>
  <c r="E217" i="19"/>
  <c r="B217" i="19"/>
  <c r="D144" i="20" s="1"/>
  <c r="K144" i="20" s="1"/>
  <c r="L886" i="20"/>
  <c r="E547" i="19"/>
  <c r="B547" i="19"/>
  <c r="D359" i="20" s="1"/>
  <c r="K359" i="20" s="1"/>
  <c r="K1718" i="20"/>
  <c r="J1596" i="20"/>
  <c r="L669" i="20"/>
  <c r="K1278" i="20"/>
  <c r="J127" i="20"/>
  <c r="K137" i="20"/>
  <c r="K1717" i="20"/>
  <c r="K161" i="20"/>
  <c r="K1383" i="20"/>
  <c r="K225" i="20"/>
  <c r="K233" i="20"/>
  <c r="L674" i="20"/>
  <c r="J674" i="20"/>
  <c r="L748" i="20"/>
  <c r="J748" i="20"/>
  <c r="J800" i="20"/>
  <c r="H539" i="19"/>
  <c r="L734" i="20"/>
  <c r="J734" i="20"/>
  <c r="L758" i="20"/>
  <c r="J758" i="20"/>
  <c r="H518" i="19"/>
  <c r="L696" i="20"/>
  <c r="J696" i="20"/>
  <c r="L1377" i="20"/>
  <c r="L663" i="20"/>
  <c r="J663" i="20"/>
  <c r="L822" i="20"/>
  <c r="J822" i="20"/>
  <c r="H569" i="19"/>
  <c r="L660" i="20"/>
  <c r="J660" i="20"/>
  <c r="G364" i="19"/>
  <c r="H64" i="19"/>
  <c r="J287" i="20"/>
  <c r="K322" i="20"/>
  <c r="K324" i="20"/>
  <c r="K1871" i="20"/>
  <c r="L1875" i="20"/>
  <c r="L335" i="20"/>
  <c r="L338" i="20"/>
  <c r="L342" i="20"/>
  <c r="L344" i="20"/>
  <c r="L352" i="20"/>
  <c r="L1896" i="20"/>
  <c r="K1899" i="20"/>
  <c r="K1903" i="20"/>
  <c r="L358" i="20"/>
  <c r="L1947" i="20"/>
  <c r="L370" i="20"/>
  <c r="L1960" i="20"/>
  <c r="K1966" i="20"/>
  <c r="K1974" i="20"/>
  <c r="K374" i="20"/>
  <c r="K383" i="20"/>
  <c r="K387" i="20"/>
  <c r="K388" i="20"/>
  <c r="L391" i="20"/>
  <c r="K398" i="20"/>
  <c r="L403" i="20"/>
  <c r="L410" i="20"/>
  <c r="L413" i="20"/>
  <c r="K415" i="20"/>
  <c r="L425" i="20"/>
  <c r="L429" i="20"/>
  <c r="K431" i="20"/>
  <c r="K435" i="20"/>
  <c r="K439" i="20"/>
  <c r="K483" i="20"/>
  <c r="L527" i="20"/>
  <c r="K1828" i="20"/>
  <c r="L287" i="20"/>
  <c r="J1828" i="20"/>
  <c r="G60" i="19"/>
  <c r="G98" i="19"/>
  <c r="G121" i="19"/>
  <c r="G135" i="19"/>
  <c r="G156" i="19"/>
  <c r="G178" i="19"/>
  <c r="G185" i="19"/>
  <c r="G192" i="19"/>
  <c r="G199" i="19"/>
  <c r="G208" i="19"/>
  <c r="G215" i="19"/>
  <c r="G222" i="19"/>
  <c r="G229" i="19"/>
  <c r="G243" i="19"/>
  <c r="G250" i="19"/>
  <c r="G257" i="19"/>
  <c r="G271" i="19"/>
  <c r="G285" i="19"/>
  <c r="G292" i="19"/>
  <c r="G299" i="19"/>
  <c r="G306" i="19"/>
  <c r="G313" i="19"/>
  <c r="G327" i="19"/>
  <c r="G342" i="19"/>
  <c r="G356" i="19"/>
  <c r="G381" i="19"/>
  <c r="G388" i="19"/>
  <c r="G395" i="19"/>
  <c r="G409" i="19"/>
  <c r="G416" i="19"/>
  <c r="G423" i="19"/>
  <c r="G451" i="19"/>
  <c r="G458" i="19"/>
  <c r="G465" i="19"/>
  <c r="G472" i="19"/>
  <c r="G479" i="19"/>
  <c r="G500" i="19"/>
  <c r="G507" i="19"/>
  <c r="G514" i="19"/>
  <c r="F515" i="19"/>
  <c r="G535" i="19"/>
  <c r="G552" i="19"/>
  <c r="G565" i="19"/>
  <c r="J55" i="20"/>
  <c r="J125" i="20"/>
  <c r="F61" i="19"/>
  <c r="G236" i="19"/>
  <c r="G402" i="19"/>
  <c r="G437" i="19"/>
  <c r="G493" i="19"/>
  <c r="F200" i="19"/>
  <c r="F566" i="19"/>
  <c r="G84" i="19"/>
  <c r="J1259" i="20"/>
  <c r="J1671" i="20"/>
  <c r="G142" i="19"/>
  <c r="G278" i="19"/>
  <c r="G334" i="19"/>
  <c r="G349" i="19"/>
  <c r="G444" i="19"/>
  <c r="J184" i="20"/>
  <c r="G149" i="19"/>
  <c r="J1263" i="20"/>
  <c r="F372" i="19"/>
  <c r="J1650" i="20"/>
  <c r="J1626" i="20"/>
  <c r="G91" i="19"/>
  <c r="G128" i="19"/>
  <c r="G171" i="19"/>
  <c r="G264" i="19"/>
  <c r="G320" i="19"/>
  <c r="F335" i="19"/>
  <c r="F357" i="19"/>
  <c r="G371" i="19"/>
  <c r="G430" i="19"/>
  <c r="G486" i="19"/>
  <c r="F536" i="19"/>
  <c r="D1947" i="20"/>
  <c r="J736" i="20"/>
  <c r="L841" i="20"/>
  <c r="J1255" i="20"/>
  <c r="D1845" i="20"/>
  <c r="J28" i="17"/>
  <c r="J12" i="17"/>
  <c r="D18" i="17"/>
  <c r="D10" i="16"/>
  <c r="D4" i="16"/>
  <c r="D5" i="16"/>
  <c r="J26" i="17"/>
  <c r="L81" i="11"/>
  <c r="M79" i="11" s="1"/>
  <c r="J29" i="17"/>
  <c r="J23" i="17" s="1"/>
  <c r="D17" i="17"/>
  <c r="D14" i="17"/>
  <c r="D13" i="17"/>
  <c r="D6" i="17"/>
  <c r="D7" i="17"/>
  <c r="D5" i="17"/>
  <c r="D9" i="17"/>
  <c r="J10" i="17"/>
  <c r="J8" i="17"/>
  <c r="J6" i="17"/>
  <c r="D18" i="16"/>
  <c r="D17" i="16"/>
  <c r="D15" i="16"/>
  <c r="D14" i="16"/>
  <c r="D11" i="16"/>
  <c r="D9" i="16"/>
  <c r="D8" i="16"/>
  <c r="D7" i="16"/>
  <c r="D22" i="16"/>
  <c r="J17" i="17"/>
  <c r="C47" i="15"/>
  <c r="D47" i="15"/>
  <c r="H173" i="11"/>
  <c r="B157" i="11"/>
  <c r="K149" i="11"/>
  <c r="I149" i="11"/>
  <c r="E149" i="11"/>
  <c r="H133" i="11"/>
  <c r="E133" i="11"/>
  <c r="B133" i="11"/>
  <c r="E125" i="11"/>
  <c r="L117" i="11"/>
  <c r="C94" i="11"/>
  <c r="L77" i="11"/>
  <c r="K64" i="11"/>
  <c r="H64" i="11"/>
  <c r="E64" i="11"/>
  <c r="B63" i="11"/>
  <c r="K56" i="11"/>
  <c r="H56" i="11"/>
  <c r="F58" i="11"/>
  <c r="B56" i="11"/>
  <c r="K48" i="11"/>
  <c r="F48" i="11"/>
  <c r="C48" i="11"/>
  <c r="L40" i="11"/>
  <c r="H40" i="11"/>
  <c r="E39" i="11"/>
  <c r="B41" i="11"/>
  <c r="K31" i="11"/>
  <c r="I31" i="11"/>
  <c r="F31" i="11"/>
  <c r="C32" i="11"/>
  <c r="L22" i="11"/>
  <c r="I22" i="11"/>
  <c r="F23" i="11"/>
  <c r="C22" i="11"/>
  <c r="I13" i="11"/>
  <c r="H7" i="11"/>
  <c r="L173" i="11"/>
  <c r="B4" i="11"/>
  <c r="E326" i="10"/>
  <c r="O172" i="11" s="1"/>
  <c r="B307" i="10"/>
  <c r="O173" i="11" s="1"/>
  <c r="B341" i="10"/>
  <c r="E342" i="10" s="1"/>
  <c r="I126" i="11"/>
  <c r="B174" i="11"/>
  <c r="B268" i="10"/>
  <c r="E268" i="10" s="1"/>
  <c r="B264" i="10"/>
  <c r="E264" i="10" s="1"/>
  <c r="B260" i="10"/>
  <c r="E260" i="10" s="1"/>
  <c r="E256" i="10"/>
  <c r="E252" i="10"/>
  <c r="B244" i="10"/>
  <c r="E244" i="10"/>
  <c r="E240" i="10"/>
  <c r="B240" i="10"/>
  <c r="M97" i="11"/>
  <c r="E236" i="10"/>
  <c r="E228" i="10"/>
  <c r="B228" i="10"/>
  <c r="E227" i="10"/>
  <c r="B217" i="10"/>
  <c r="B213" i="10"/>
  <c r="E213" i="10"/>
  <c r="E218" i="10"/>
  <c r="B218" i="10"/>
  <c r="B204" i="10"/>
  <c r="B205" i="10" s="1"/>
  <c r="B198" i="10"/>
  <c r="E199" i="10"/>
  <c r="B190" i="10"/>
  <c r="E190" i="10"/>
  <c r="E117" i="10"/>
  <c r="E120" i="10" s="1"/>
  <c r="E181" i="10"/>
  <c r="B182" i="10"/>
  <c r="B181" i="10"/>
  <c r="E172" i="10"/>
  <c r="B173" i="10"/>
  <c r="E160" i="10"/>
  <c r="B159" i="10"/>
  <c r="E154" i="10"/>
  <c r="E155" i="10" s="1"/>
  <c r="B134" i="10"/>
  <c r="E133" i="10"/>
  <c r="E134" i="10"/>
  <c r="B138" i="10" s="1"/>
  <c r="E138" i="10" s="1"/>
  <c r="B129" i="10"/>
  <c r="E124" i="10"/>
  <c r="B124" i="10" s="1"/>
  <c r="E107" i="10"/>
  <c r="B112" i="10" s="1"/>
  <c r="E108" i="10"/>
  <c r="E102" i="10"/>
  <c r="E103" i="10"/>
  <c r="B102" i="10"/>
  <c r="E97" i="10"/>
  <c r="E98" i="10"/>
  <c r="E91" i="10"/>
  <c r="B93" i="10" s="1"/>
  <c r="E92" i="10"/>
  <c r="B91" i="10"/>
  <c r="E87" i="10"/>
  <c r="B86" i="10" s="1"/>
  <c r="B81" i="10"/>
  <c r="B82" i="10"/>
  <c r="E81" i="10"/>
  <c r="B76" i="10"/>
  <c r="B77" i="10" s="1"/>
  <c r="B71" i="10"/>
  <c r="B72" i="10"/>
  <c r="E71" i="10" s="1"/>
  <c r="B66" i="10"/>
  <c r="B67" i="10"/>
  <c r="E49" i="14"/>
  <c r="D49" i="14"/>
  <c r="E137" i="1"/>
  <c r="D137" i="1"/>
  <c r="E67" i="10" l="1"/>
  <c r="E198" i="10"/>
  <c r="E66" i="10"/>
  <c r="B172" i="10"/>
  <c r="O174" i="11"/>
  <c r="O175" i="11" s="1"/>
  <c r="E346" i="10"/>
  <c r="B346" i="10" s="1"/>
  <c r="D4" i="17"/>
  <c r="B113" i="10"/>
  <c r="E112" i="10" s="1"/>
  <c r="E203" i="10"/>
  <c r="E204" i="10"/>
  <c r="B92" i="10"/>
  <c r="D16" i="16"/>
  <c r="D23" i="16" s="1"/>
  <c r="J5" i="17"/>
  <c r="J4" i="17" s="1"/>
  <c r="J30" i="17" s="1"/>
  <c r="E76" i="10"/>
  <c r="D11" i="17"/>
  <c r="D19" i="17" s="1"/>
  <c r="O12" i="11"/>
  <c r="J1845" i="20"/>
  <c r="L1845" i="20"/>
  <c r="K1947" i="20"/>
  <c r="J1947" i="20"/>
  <c r="B1954" i="20"/>
  <c r="B1952" i="20"/>
  <c r="A1937" i="20"/>
  <c r="A1925" i="20"/>
  <c r="B1878" i="20"/>
  <c r="B1876" i="20"/>
  <c r="B1846" i="20"/>
  <c r="B1844" i="20"/>
  <c r="B1811" i="20"/>
  <c r="B1806" i="20"/>
  <c r="A1800" i="20"/>
  <c r="A1797" i="20"/>
  <c r="A1786" i="20"/>
  <c r="A1783" i="20"/>
  <c r="B1776" i="20"/>
  <c r="B1774" i="20"/>
  <c r="B1688" i="20"/>
  <c r="B1686" i="20"/>
  <c r="B1662" i="20"/>
  <c r="B1660" i="20"/>
  <c r="A1812" i="20"/>
  <c r="A1807" i="20"/>
  <c r="B1854" i="20"/>
  <c r="B1852" i="20"/>
  <c r="B1794" i="20"/>
  <c r="B1792" i="20"/>
  <c r="B1785" i="20"/>
  <c r="B1782" i="20"/>
  <c r="B1670" i="20"/>
  <c r="B1668" i="20"/>
  <c r="A1980" i="20"/>
  <c r="A1957" i="20"/>
  <c r="A1707" i="20"/>
  <c r="A1703" i="20"/>
  <c r="B1882" i="20"/>
  <c r="B1880" i="20"/>
  <c r="B1850" i="20"/>
  <c r="B1848" i="20"/>
  <c r="B1830" i="20"/>
  <c r="B1828" i="20"/>
  <c r="A1614" i="20"/>
  <c r="A1595" i="20"/>
  <c r="B1979" i="20"/>
  <c r="B1956" i="20"/>
  <c r="B1950" i="20"/>
  <c r="B1948" i="20"/>
  <c r="B1936" i="20"/>
  <c r="B1924" i="20"/>
  <c r="A1909" i="20"/>
  <c r="A1893" i="20"/>
  <c r="B1908" i="20"/>
  <c r="B1892" i="20"/>
  <c r="B1890" i="20"/>
  <c r="B1888" i="20"/>
  <c r="B1886" i="20"/>
  <c r="B1884" i="20"/>
  <c r="B1874" i="20"/>
  <c r="B1872" i="20"/>
  <c r="B1870" i="20"/>
  <c r="B1868" i="20"/>
  <c r="B1866" i="20"/>
  <c r="B1864" i="20"/>
  <c r="B1862" i="20"/>
  <c r="B1860" i="20"/>
  <c r="B1858" i="20"/>
  <c r="B1856" i="20"/>
  <c r="B1842" i="20"/>
  <c r="B1840" i="20"/>
  <c r="B1838" i="20"/>
  <c r="B1836" i="20"/>
  <c r="B1834" i="20"/>
  <c r="B1832" i="20"/>
  <c r="B1826" i="20"/>
  <c r="B1824" i="20"/>
  <c r="B1822" i="20"/>
  <c r="B1820" i="20"/>
  <c r="B1818" i="20"/>
  <c r="B1816" i="20"/>
  <c r="B1799" i="20"/>
  <c r="B1796" i="20"/>
  <c r="B1790" i="20"/>
  <c r="B1788" i="20"/>
  <c r="B1780" i="20"/>
  <c r="B1778" i="20"/>
  <c r="B1724" i="20"/>
  <c r="B1722" i="20"/>
  <c r="B1720" i="20"/>
  <c r="B1718" i="20"/>
  <c r="B1716" i="20"/>
  <c r="B1714" i="20"/>
  <c r="B1712" i="20"/>
  <c r="B1710" i="20"/>
  <c r="B1706" i="20"/>
  <c r="B1702" i="20"/>
  <c r="B1700" i="20"/>
  <c r="B1698" i="20"/>
  <c r="B1696" i="20"/>
  <c r="B1694" i="20"/>
  <c r="B1692" i="20"/>
  <c r="B1690" i="20"/>
  <c r="B1678" i="20"/>
  <c r="B1676" i="20"/>
  <c r="B1666" i="20"/>
  <c r="B1664" i="20"/>
  <c r="B1658" i="20"/>
  <c r="B1656" i="20"/>
  <c r="B1613" i="20"/>
  <c r="B1594" i="20"/>
  <c r="G1617" i="20"/>
  <c r="I1617" i="20" s="1"/>
  <c r="G1598" i="20"/>
  <c r="I1598" i="20" s="1"/>
  <c r="B1804" i="20"/>
  <c r="B1802" i="20"/>
  <c r="G1983" i="20"/>
  <c r="G1960" i="20"/>
  <c r="G1912" i="20"/>
  <c r="G1896" i="20"/>
  <c r="G1940" i="20"/>
  <c r="G1928" i="20"/>
  <c r="L1946" i="20"/>
  <c r="D1153" i="20"/>
  <c r="L1153" i="20" s="1"/>
  <c r="L1716" i="20"/>
  <c r="D938" i="20"/>
  <c r="L938" i="20" s="1"/>
  <c r="L1922" i="20"/>
  <c r="D1148" i="20"/>
  <c r="L1148" i="20" s="1"/>
  <c r="L1818" i="20"/>
  <c r="D1053" i="20"/>
  <c r="L1053" i="20" s="1"/>
  <c r="K283" i="20"/>
  <c r="D284" i="20"/>
  <c r="K284" i="20" s="1"/>
  <c r="L1838" i="20"/>
  <c r="D1078" i="20"/>
  <c r="L1078" i="20" s="1"/>
  <c r="L1834" i="20"/>
  <c r="D1073" i="20"/>
  <c r="L1073" i="20" s="1"/>
  <c r="K1480" i="20"/>
  <c r="D244" i="20"/>
  <c r="L1800" i="20"/>
  <c r="D1038" i="20"/>
  <c r="L1038" i="20" s="1"/>
  <c r="H1989" i="20"/>
  <c r="H1966" i="20"/>
  <c r="H1945" i="20"/>
  <c r="H1933" i="20"/>
  <c r="H1918" i="20"/>
  <c r="H1902" i="20"/>
  <c r="G808" i="20"/>
  <c r="G14" i="20"/>
  <c r="I14" i="20" s="1"/>
  <c r="A809" i="20"/>
  <c r="A15" i="20"/>
  <c r="B808" i="20"/>
  <c r="B14" i="20"/>
  <c r="H808" i="20"/>
  <c r="H14" i="20"/>
  <c r="H1623" i="20"/>
  <c r="H1604" i="20"/>
  <c r="B1772" i="20"/>
  <c r="B1770" i="20"/>
  <c r="B1768" i="20"/>
  <c r="B1766" i="20"/>
  <c r="B1764" i="20"/>
  <c r="B1762" i="20"/>
  <c r="B1760" i="20"/>
  <c r="B1758" i="20"/>
  <c r="B1756" i="20"/>
  <c r="B1754" i="20"/>
  <c r="B1752" i="20"/>
  <c r="B1750" i="20"/>
  <c r="B1748" i="20"/>
  <c r="B1746" i="20"/>
  <c r="B1744" i="20"/>
  <c r="B1742" i="20"/>
  <c r="B1740" i="20"/>
  <c r="B1738" i="20"/>
  <c r="B1736" i="20"/>
  <c r="B1734" i="20"/>
  <c r="B1732" i="20"/>
  <c r="B1730" i="20"/>
  <c r="B1728" i="20"/>
  <c r="B1726" i="20"/>
  <c r="B1674" i="20"/>
  <c r="B1672" i="20"/>
  <c r="B1642" i="20"/>
  <c r="B1640" i="20"/>
  <c r="B1638" i="20"/>
  <c r="B1636" i="20"/>
  <c r="B1634" i="20"/>
  <c r="B1632" i="20"/>
  <c r="J1085" i="20"/>
  <c r="L1085" i="20"/>
  <c r="B550" i="19"/>
  <c r="D362" i="20" s="1"/>
  <c r="I1615" i="20"/>
  <c r="I1959" i="20"/>
  <c r="I1981" i="20"/>
  <c r="I1895" i="20"/>
  <c r="I1910" i="20"/>
  <c r="I1927" i="20"/>
  <c r="I1938" i="20"/>
  <c r="K252" i="20"/>
  <c r="K358" i="20"/>
  <c r="K102" i="20"/>
  <c r="K143" i="20"/>
  <c r="K1802" i="20"/>
  <c r="K353" i="20"/>
  <c r="K182" i="20"/>
  <c r="K258" i="20"/>
  <c r="K196" i="20"/>
  <c r="K278" i="20"/>
  <c r="L780" i="20"/>
  <c r="L984" i="20"/>
  <c r="K211" i="20"/>
  <c r="J211" i="20"/>
  <c r="J221" i="20"/>
  <c r="K221" i="20"/>
  <c r="K291" i="20"/>
  <c r="J291" i="20"/>
  <c r="K292" i="20"/>
  <c r="J292" i="20"/>
  <c r="I1367" i="20"/>
  <c r="L1642" i="20"/>
  <c r="E428" i="19"/>
  <c r="D1086" i="20" s="1"/>
  <c r="L1086" i="20" s="1"/>
  <c r="K1807" i="20"/>
  <c r="J1807" i="20"/>
  <c r="K155" i="20"/>
  <c r="J155" i="20"/>
  <c r="E311" i="19"/>
  <c r="D1006" i="20" s="1"/>
  <c r="L1006" i="20" s="1"/>
  <c r="J90" i="20"/>
  <c r="K1808" i="20"/>
  <c r="D1953" i="20"/>
  <c r="J59" i="20"/>
  <c r="J1345" i="20"/>
  <c r="K1345" i="20"/>
  <c r="L712" i="20"/>
  <c r="J712" i="20"/>
  <c r="J1642" i="20"/>
  <c r="L812" i="20"/>
  <c r="J812" i="20"/>
  <c r="J1251" i="20"/>
  <c r="L826" i="20"/>
  <c r="J826" i="20"/>
  <c r="K1374" i="20"/>
  <c r="J1374" i="20"/>
  <c r="L861" i="20"/>
  <c r="J861" i="20"/>
  <c r="L801" i="20"/>
  <c r="J801" i="20"/>
  <c r="L1298" i="20"/>
  <c r="J1298" i="20"/>
  <c r="K1353" i="20"/>
  <c r="J1353" i="20"/>
  <c r="L762" i="20"/>
  <c r="J762" i="20"/>
  <c r="L853" i="20"/>
  <c r="J853" i="20"/>
  <c r="L707" i="20"/>
  <c r="J707" i="20"/>
  <c r="L702" i="20"/>
  <c r="J702" i="20"/>
  <c r="I1208" i="20"/>
  <c r="I1190" i="20"/>
  <c r="I1573" i="20"/>
  <c r="I1551" i="20"/>
  <c r="I1502" i="20"/>
  <c r="I1487" i="20"/>
  <c r="I1530" i="20"/>
  <c r="I1519" i="20"/>
  <c r="L1538" i="20"/>
  <c r="L1279" i="20"/>
  <c r="L1308" i="20"/>
  <c r="L884" i="20"/>
  <c r="L1514" i="20"/>
  <c r="L818" i="20"/>
  <c r="L1410" i="20"/>
  <c r="K1399" i="20"/>
  <c r="K199" i="20"/>
  <c r="L1403" i="20"/>
  <c r="L1430" i="20"/>
  <c r="L1396" i="20"/>
  <c r="L1426" i="20"/>
  <c r="K171" i="20"/>
  <c r="L1363" i="20"/>
  <c r="L1392" i="20"/>
  <c r="I545" i="19"/>
  <c r="I525" i="19"/>
  <c r="F27" i="19"/>
  <c r="G26" i="19"/>
  <c r="I603" i="20"/>
  <c r="I26" i="19"/>
  <c r="I576" i="19"/>
  <c r="I71" i="19"/>
  <c r="L679" i="20"/>
  <c r="J1718" i="20"/>
  <c r="B315" i="19"/>
  <c r="E187" i="19"/>
  <c r="B173" i="19"/>
  <c r="D114" i="20" s="1"/>
  <c r="E351" i="19"/>
  <c r="E315" i="19"/>
  <c r="B432" i="19"/>
  <c r="D294" i="20" s="1"/>
  <c r="K294" i="20" s="1"/>
  <c r="E173" i="19"/>
  <c r="E259" i="19"/>
  <c r="E432" i="19"/>
  <c r="B425" i="19"/>
  <c r="D289" i="20" s="1"/>
  <c r="K289" i="20" s="1"/>
  <c r="B259" i="19"/>
  <c r="K1379" i="20"/>
  <c r="E390" i="19"/>
  <c r="B390" i="19"/>
  <c r="D264" i="20" s="1"/>
  <c r="K264" i="20" s="1"/>
  <c r="B203" i="19"/>
  <c r="D134" i="20" s="1"/>
  <c r="E425" i="19"/>
  <c r="K76" i="20"/>
  <c r="E210" i="19"/>
  <c r="B210" i="19"/>
  <c r="D139" i="20" s="1"/>
  <c r="K139" i="20" s="1"/>
  <c r="E203" i="19"/>
  <c r="E376" i="19"/>
  <c r="B397" i="19"/>
  <c r="D269" i="20" s="1"/>
  <c r="K269" i="20" s="1"/>
  <c r="K243" i="20"/>
  <c r="B439" i="19"/>
  <c r="D299" i="20" s="1"/>
  <c r="K299" i="20" s="1"/>
  <c r="B376" i="19"/>
  <c r="D254" i="20" s="1"/>
  <c r="K254" i="20" s="1"/>
  <c r="E397" i="19"/>
  <c r="K51" i="20"/>
  <c r="E158" i="19"/>
  <c r="B158" i="19"/>
  <c r="K1645" i="20"/>
  <c r="B144" i="19"/>
  <c r="D94" i="20" s="1"/>
  <c r="E439" i="19"/>
  <c r="J1675" i="20"/>
  <c r="E266" i="19"/>
  <c r="B266" i="19"/>
  <c r="D179" i="20" s="1"/>
  <c r="K179" i="20" s="1"/>
  <c r="E144" i="19"/>
  <c r="B187" i="19"/>
  <c r="B351" i="19"/>
  <c r="D239" i="20" s="1"/>
  <c r="K239" i="20" s="1"/>
  <c r="G566" i="19"/>
  <c r="G536" i="19"/>
  <c r="G357" i="19"/>
  <c r="G200" i="19"/>
  <c r="G61" i="19"/>
  <c r="K242" i="20"/>
  <c r="J1611" i="20"/>
  <c r="J143" i="20"/>
  <c r="J886" i="20"/>
  <c r="J689" i="20"/>
  <c r="J841" i="20"/>
  <c r="J1383" i="20"/>
  <c r="J669" i="20"/>
  <c r="J225" i="20"/>
  <c r="J137" i="20"/>
  <c r="J1717" i="20"/>
  <c r="J836" i="20"/>
  <c r="J79" i="20"/>
  <c r="J156" i="20"/>
  <c r="J178" i="20"/>
  <c r="K1259" i="20"/>
  <c r="J1618" i="20"/>
  <c r="K184" i="20"/>
  <c r="K1602" i="20"/>
  <c r="K1726" i="20"/>
  <c r="J1597" i="20"/>
  <c r="L827" i="20"/>
  <c r="K1734" i="20"/>
  <c r="J794" i="20"/>
  <c r="K1357" i="20"/>
  <c r="K48" i="20"/>
  <c r="K164" i="20"/>
  <c r="K1273" i="20"/>
  <c r="K1607" i="20"/>
  <c r="K1750" i="20"/>
  <c r="J768" i="20"/>
  <c r="J692" i="20"/>
  <c r="J729" i="20"/>
  <c r="K101" i="20"/>
  <c r="J1613" i="20"/>
  <c r="K181" i="20"/>
  <c r="L670" i="20"/>
  <c r="K1251" i="20"/>
  <c r="H540" i="19"/>
  <c r="K1686" i="20"/>
  <c r="J1686" i="20"/>
  <c r="L692" i="20"/>
  <c r="J650" i="20"/>
  <c r="J120" i="20"/>
  <c r="K120" i="20"/>
  <c r="L794" i="20"/>
  <c r="L729" i="20"/>
  <c r="H65" i="19"/>
  <c r="H519" i="19"/>
  <c r="F516" i="19"/>
  <c r="L779" i="20"/>
  <c r="J779" i="20"/>
  <c r="L705" i="20"/>
  <c r="J705" i="20"/>
  <c r="L1623" i="20"/>
  <c r="J1623" i="20"/>
  <c r="L1613" i="20"/>
  <c r="J76" i="20"/>
  <c r="J48" i="20"/>
  <c r="L680" i="20"/>
  <c r="J680" i="20"/>
  <c r="J54" i="20"/>
  <c r="K54" i="20"/>
  <c r="L664" i="20"/>
  <c r="J664" i="20"/>
  <c r="K1709" i="20"/>
  <c r="J1709" i="20"/>
  <c r="L675" i="20"/>
  <c r="J675" i="20"/>
  <c r="H570" i="19"/>
  <c r="L328" i="20"/>
  <c r="K333" i="20"/>
  <c r="L345" i="20"/>
  <c r="L437" i="20"/>
  <c r="K1867" i="20"/>
  <c r="L402" i="20"/>
  <c r="L1904" i="20"/>
  <c r="L336" i="20"/>
  <c r="K539" i="20"/>
  <c r="L376" i="20"/>
  <c r="L1977" i="20"/>
  <c r="L417" i="20"/>
  <c r="L385" i="20"/>
  <c r="K330" i="20"/>
  <c r="K375" i="20"/>
  <c r="K1872" i="20"/>
  <c r="K125" i="20"/>
  <c r="K411" i="20"/>
  <c r="K1227" i="20"/>
  <c r="K1693" i="20"/>
  <c r="K1894" i="20"/>
  <c r="K325" i="20"/>
  <c r="K1305" i="20"/>
  <c r="L441" i="20"/>
  <c r="L1968" i="20"/>
  <c r="L1893" i="20"/>
  <c r="K1959" i="20"/>
  <c r="K1243" i="20"/>
  <c r="L359" i="20"/>
  <c r="K346" i="20"/>
  <c r="K1293" i="20"/>
  <c r="K1277" i="20"/>
  <c r="L433" i="20"/>
  <c r="L1883" i="20"/>
  <c r="K360" i="20"/>
  <c r="L339" i="20"/>
  <c r="K334" i="20"/>
  <c r="K318" i="20"/>
  <c r="H9" i="10"/>
  <c r="N12" i="11"/>
  <c r="G515" i="19"/>
  <c r="F537" i="19"/>
  <c r="G335" i="19"/>
  <c r="F567" i="19"/>
  <c r="F201" i="19"/>
  <c r="F62" i="19"/>
  <c r="F373" i="19"/>
  <c r="G372" i="19"/>
  <c r="J672" i="20"/>
  <c r="D1950" i="20"/>
  <c r="J1950" i="20" s="1"/>
  <c r="I9" i="10" l="1"/>
  <c r="O14" i="11"/>
  <c r="I11" i="10"/>
  <c r="B1812" i="20"/>
  <c r="B1807" i="20"/>
  <c r="A1813" i="20"/>
  <c r="A1808" i="20"/>
  <c r="A1615" i="20"/>
  <c r="A1596" i="20"/>
  <c r="A1708" i="20"/>
  <c r="A1704" i="20"/>
  <c r="A1981" i="20"/>
  <c r="A1958" i="20"/>
  <c r="B1786" i="20"/>
  <c r="B1783" i="20"/>
  <c r="A1938" i="20"/>
  <c r="A1926" i="20"/>
  <c r="B1909" i="20"/>
  <c r="B1893" i="20"/>
  <c r="G1984" i="20"/>
  <c r="G1961" i="20"/>
  <c r="A1910" i="20"/>
  <c r="A1894" i="20"/>
  <c r="G1913" i="20"/>
  <c r="G1897" i="20"/>
  <c r="G1618" i="20"/>
  <c r="G1599" i="20"/>
  <c r="I1599" i="20" s="1"/>
  <c r="G1941" i="20"/>
  <c r="G1929" i="20"/>
  <c r="B1614" i="20"/>
  <c r="B1595" i="20"/>
  <c r="B1707" i="20"/>
  <c r="B1703" i="20"/>
  <c r="B1800" i="20"/>
  <c r="B1797" i="20"/>
  <c r="B1937" i="20"/>
  <c r="B1925" i="20"/>
  <c r="B1980" i="20"/>
  <c r="B1957" i="20"/>
  <c r="K123" i="20"/>
  <c r="D124" i="20"/>
  <c r="K124" i="20" s="1"/>
  <c r="L1670" i="20"/>
  <c r="D888" i="20"/>
  <c r="L888" i="20" s="1"/>
  <c r="L1744" i="20"/>
  <c r="D973" i="20"/>
  <c r="L973" i="20" s="1"/>
  <c r="L1850" i="20"/>
  <c r="D1093" i="20"/>
  <c r="L1093" i="20" s="1"/>
  <c r="K103" i="20"/>
  <c r="D104" i="20"/>
  <c r="K104" i="20" s="1"/>
  <c r="L1678" i="20"/>
  <c r="D898" i="20"/>
  <c r="L898" i="20" s="1"/>
  <c r="L1826" i="20"/>
  <c r="D1063" i="20"/>
  <c r="L1063" i="20" s="1"/>
  <c r="L1814" i="20"/>
  <c r="D1048" i="20"/>
  <c r="L1048" i="20" s="1"/>
  <c r="L1708" i="20"/>
  <c r="D928" i="20"/>
  <c r="L928" i="20" s="1"/>
  <c r="L1712" i="20"/>
  <c r="D933" i="20"/>
  <c r="L933" i="20" s="1"/>
  <c r="L1842" i="20"/>
  <c r="D1083" i="20"/>
  <c r="L1083" i="20" s="1"/>
  <c r="L1822" i="20"/>
  <c r="D1058" i="20"/>
  <c r="L1058" i="20" s="1"/>
  <c r="K1394" i="20"/>
  <c r="D174" i="20"/>
  <c r="K174" i="20" s="1"/>
  <c r="L1846" i="20"/>
  <c r="D1088" i="20"/>
  <c r="L1088" i="20" s="1"/>
  <c r="L1740" i="20"/>
  <c r="D968" i="20"/>
  <c r="L968" i="20" s="1"/>
  <c r="L1688" i="20"/>
  <c r="D908" i="20"/>
  <c r="L908" i="20" s="1"/>
  <c r="L1772" i="20"/>
  <c r="D1008" i="20"/>
  <c r="L1008" i="20" s="1"/>
  <c r="L1794" i="20"/>
  <c r="D1033" i="20"/>
  <c r="L1033" i="20" s="1"/>
  <c r="L1696" i="20"/>
  <c r="D918" i="20"/>
  <c r="L918" i="20" s="1"/>
  <c r="K213" i="20"/>
  <c r="D214" i="20"/>
  <c r="K214" i="20" s="1"/>
  <c r="H1990" i="20"/>
  <c r="H1967" i="20"/>
  <c r="H1919" i="20"/>
  <c r="H1903" i="20"/>
  <c r="H1946" i="20"/>
  <c r="H1934" i="20"/>
  <c r="J1953" i="20"/>
  <c r="L1953" i="20"/>
  <c r="H809" i="20"/>
  <c r="H15" i="20"/>
  <c r="G809" i="20"/>
  <c r="G15" i="20"/>
  <c r="I15" i="20" s="1"/>
  <c r="B809" i="20"/>
  <c r="B15" i="20"/>
  <c r="A810" i="20"/>
  <c r="A16" i="20"/>
  <c r="H1624" i="20"/>
  <c r="H1605" i="20"/>
  <c r="J1156" i="20"/>
  <c r="I1960" i="20"/>
  <c r="I1982" i="20"/>
  <c r="I1896" i="20"/>
  <c r="I1911" i="20"/>
  <c r="I1409" i="20"/>
  <c r="I1928" i="20"/>
  <c r="I1939" i="20"/>
  <c r="G62" i="19"/>
  <c r="G63" i="19" s="1"/>
  <c r="G64" i="19" s="1"/>
  <c r="G567" i="19"/>
  <c r="G568" i="19" s="1"/>
  <c r="K1733" i="20"/>
  <c r="K238" i="20"/>
  <c r="K178" i="20"/>
  <c r="K1643" i="20"/>
  <c r="K1296" i="20"/>
  <c r="K1742" i="20"/>
  <c r="K253" i="20"/>
  <c r="K210" i="20"/>
  <c r="K298" i="20"/>
  <c r="K188" i="20"/>
  <c r="K268" i="20"/>
  <c r="K1672" i="20"/>
  <c r="K138" i="20"/>
  <c r="K94" i="20"/>
  <c r="K185" i="20"/>
  <c r="K263" i="20"/>
  <c r="K1762" i="20"/>
  <c r="K288" i="20"/>
  <c r="K207" i="20"/>
  <c r="K293" i="20"/>
  <c r="K80" i="20"/>
  <c r="K113" i="20"/>
  <c r="E557" i="19"/>
  <c r="D1161" i="20" s="1"/>
  <c r="L1161" i="20" s="1"/>
  <c r="L800" i="20"/>
  <c r="L1004" i="20"/>
  <c r="L1641" i="20"/>
  <c r="L1084" i="20"/>
  <c r="K362" i="20"/>
  <c r="J362" i="20"/>
  <c r="J361" i="20"/>
  <c r="K361" i="20"/>
  <c r="I1368" i="20"/>
  <c r="L906" i="20"/>
  <c r="E550" i="19"/>
  <c r="D1156" i="20" s="1"/>
  <c r="L1156" i="20" s="1"/>
  <c r="L811" i="20"/>
  <c r="E325" i="19"/>
  <c r="D1016" i="20" s="1"/>
  <c r="L1016" i="20" s="1"/>
  <c r="J134" i="20"/>
  <c r="B283" i="19"/>
  <c r="D192" i="20" s="1"/>
  <c r="K192" i="20" s="1"/>
  <c r="B190" i="19"/>
  <c r="D127" i="20" s="1"/>
  <c r="J1808" i="20"/>
  <c r="L676" i="20"/>
  <c r="J676" i="20"/>
  <c r="J908" i="20"/>
  <c r="J1289" i="20"/>
  <c r="K1289" i="20"/>
  <c r="L737" i="20"/>
  <c r="J737" i="20"/>
  <c r="K1660" i="20"/>
  <c r="J811" i="20"/>
  <c r="L817" i="20"/>
  <c r="J817" i="20"/>
  <c r="K142" i="20"/>
  <c r="J142" i="20"/>
  <c r="I1574" i="20"/>
  <c r="I1552" i="20"/>
  <c r="L686" i="20"/>
  <c r="J686" i="20"/>
  <c r="I1503" i="20"/>
  <c r="I1488" i="20"/>
  <c r="I1209" i="20"/>
  <c r="I1191" i="20"/>
  <c r="L816" i="20"/>
  <c r="J816" i="20"/>
  <c r="I1531" i="20"/>
  <c r="I1520" i="20"/>
  <c r="G201" i="19"/>
  <c r="G537" i="19"/>
  <c r="L1233" i="20"/>
  <c r="L1262" i="20"/>
  <c r="L736" i="20"/>
  <c r="L1336" i="20"/>
  <c r="L1626" i="20"/>
  <c r="L1442" i="20"/>
  <c r="K1241" i="20"/>
  <c r="K1651" i="20"/>
  <c r="L662" i="20"/>
  <c r="L1270" i="20"/>
  <c r="L828" i="20"/>
  <c r="L1418" i="20"/>
  <c r="L814" i="20"/>
  <c r="L1406" i="20"/>
  <c r="L1300" i="20"/>
  <c r="L1275" i="20"/>
  <c r="L1304" i="20"/>
  <c r="L1616" i="20"/>
  <c r="L1434" i="20"/>
  <c r="L823" i="20"/>
  <c r="L1414" i="20"/>
  <c r="L1621" i="20"/>
  <c r="L1438" i="20"/>
  <c r="L731" i="20"/>
  <c r="L1332" i="20"/>
  <c r="L672" i="20"/>
  <c r="L1280" i="20"/>
  <c r="L771" i="20"/>
  <c r="L1364" i="20"/>
  <c r="L797" i="20"/>
  <c r="L1386" i="20"/>
  <c r="L682" i="20"/>
  <c r="L1288" i="20"/>
  <c r="K128" i="20"/>
  <c r="L650" i="20"/>
  <c r="I526" i="19"/>
  <c r="I604" i="20"/>
  <c r="G27" i="19"/>
  <c r="I27" i="19"/>
  <c r="F28" i="19"/>
  <c r="I72" i="19"/>
  <c r="I577" i="19"/>
  <c r="J640" i="20"/>
  <c r="K1675" i="20"/>
  <c r="J1645" i="20"/>
  <c r="J243" i="20"/>
  <c r="J778" i="20"/>
  <c r="B329" i="19"/>
  <c r="D224" i="20" s="1"/>
  <c r="K224" i="20" s="1"/>
  <c r="E329" i="19"/>
  <c r="B554" i="19"/>
  <c r="D364" i="20" s="1"/>
  <c r="K364" i="20" s="1"/>
  <c r="B224" i="19"/>
  <c r="E554" i="19"/>
  <c r="E224" i="19"/>
  <c r="B337" i="19"/>
  <c r="D229" i="20" s="1"/>
  <c r="K229" i="20" s="1"/>
  <c r="E151" i="19"/>
  <c r="K62" i="20"/>
  <c r="E180" i="19"/>
  <c r="B180" i="19"/>
  <c r="D119" i="20" s="1"/>
  <c r="K119" i="20" s="1"/>
  <c r="E301" i="19"/>
  <c r="B301" i="19"/>
  <c r="D204" i="20" s="1"/>
  <c r="K204" i="20" s="1"/>
  <c r="B130" i="19"/>
  <c r="D84" i="20" s="1"/>
  <c r="K84" i="20" s="1"/>
  <c r="B151" i="19"/>
  <c r="D99" i="20" s="1"/>
  <c r="K99" i="20" s="1"/>
  <c r="E137" i="19"/>
  <c r="B137" i="19"/>
  <c r="E130" i="19"/>
  <c r="J1685" i="20"/>
  <c r="B287" i="19"/>
  <c r="D194" i="20" s="1"/>
  <c r="K194" i="20" s="1"/>
  <c r="E287" i="19"/>
  <c r="E337" i="19"/>
  <c r="F517" i="19"/>
  <c r="L768" i="20"/>
  <c r="J810" i="20"/>
  <c r="J51" i="20"/>
  <c r="L1618" i="20"/>
  <c r="J827" i="20"/>
  <c r="J1379" i="20"/>
  <c r="J1602" i="20"/>
  <c r="J670" i="20"/>
  <c r="J1607" i="20"/>
  <c r="K1745" i="20"/>
  <c r="J1745" i="20"/>
  <c r="L728" i="20"/>
  <c r="J728" i="20"/>
  <c r="K1606" i="20"/>
  <c r="J1606" i="20"/>
  <c r="J1703" i="20"/>
  <c r="J1601" i="20"/>
  <c r="J186" i="20"/>
  <c r="J1660" i="20"/>
  <c r="K1596" i="20"/>
  <c r="L645" i="20"/>
  <c r="L896" i="20"/>
  <c r="K53" i="20"/>
  <c r="K1247" i="20"/>
  <c r="J68" i="20"/>
  <c r="J706" i="20"/>
  <c r="K122" i="20"/>
  <c r="L655" i="20"/>
  <c r="J783" i="20"/>
  <c r="L784" i="20"/>
  <c r="J784" i="20"/>
  <c r="H571" i="19"/>
  <c r="J898" i="20"/>
  <c r="H520" i="19"/>
  <c r="L641" i="20"/>
  <c r="J641" i="20"/>
  <c r="H66" i="19"/>
  <c r="H541" i="19"/>
  <c r="L1868" i="20"/>
  <c r="L545" i="20"/>
  <c r="L542" i="20"/>
  <c r="L321" i="20"/>
  <c r="K1671" i="20"/>
  <c r="K1599" i="20"/>
  <c r="K73" i="20"/>
  <c r="K47" i="20"/>
  <c r="K90" i="20"/>
  <c r="K1597" i="20"/>
  <c r="K1876" i="20"/>
  <c r="K347" i="20"/>
  <c r="K340" i="20"/>
  <c r="K1200" i="20"/>
  <c r="K43" i="20"/>
  <c r="K1655" i="20"/>
  <c r="K1192" i="20"/>
  <c r="L1976" i="20"/>
  <c r="L377" i="20"/>
  <c r="K55" i="20"/>
  <c r="K1958" i="20"/>
  <c r="K1663" i="20"/>
  <c r="K319" i="20"/>
  <c r="K39" i="20"/>
  <c r="L326" i="20"/>
  <c r="G516" i="19"/>
  <c r="D24" i="16"/>
  <c r="D25" i="16"/>
  <c r="F374" i="19"/>
  <c r="F568" i="19"/>
  <c r="F63" i="19"/>
  <c r="F538" i="19"/>
  <c r="D1951" i="20"/>
  <c r="B227" i="19"/>
  <c r="D152" i="20" s="1"/>
  <c r="K152" i="20" s="1"/>
  <c r="G373" i="19"/>
  <c r="E190" i="19"/>
  <c r="D921" i="20" s="1"/>
  <c r="L921" i="20" s="1"/>
  <c r="B1617" i="20" l="1"/>
  <c r="B1598" i="20"/>
  <c r="B1813" i="20"/>
  <c r="B1808" i="20"/>
  <c r="B1982" i="20"/>
  <c r="B1959" i="20"/>
  <c r="K1951" i="20"/>
  <c r="J1951" i="20"/>
  <c r="A1939" i="20"/>
  <c r="A1927" i="20"/>
  <c r="A1616" i="20"/>
  <c r="A1597" i="20"/>
  <c r="A1982" i="20"/>
  <c r="A1959" i="20"/>
  <c r="A1814" i="20"/>
  <c r="A1809" i="20"/>
  <c r="B1910" i="20"/>
  <c r="B1894" i="20"/>
  <c r="G1942" i="20"/>
  <c r="G1930" i="20"/>
  <c r="G1619" i="20"/>
  <c r="G1600" i="20"/>
  <c r="I1600" i="20" s="1"/>
  <c r="G1914" i="20"/>
  <c r="G1898" i="20"/>
  <c r="G1985" i="20"/>
  <c r="G1962" i="20"/>
  <c r="A1911" i="20"/>
  <c r="A1895" i="20"/>
  <c r="L1786" i="20"/>
  <c r="D1023" i="20"/>
  <c r="L1023" i="20" s="1"/>
  <c r="L1756" i="20"/>
  <c r="D988" i="20"/>
  <c r="L988" i="20" s="1"/>
  <c r="L1461" i="20"/>
  <c r="D878" i="20"/>
  <c r="L878" i="20" s="1"/>
  <c r="K88" i="20"/>
  <c r="D89" i="20"/>
  <c r="K89" i="20" s="1"/>
  <c r="L1666" i="20"/>
  <c r="D883" i="20"/>
  <c r="L883" i="20" s="1"/>
  <c r="L1764" i="20"/>
  <c r="D998" i="20"/>
  <c r="L998" i="20" s="1"/>
  <c r="L1591" i="20"/>
  <c r="D913" i="20"/>
  <c r="L913" i="20" s="1"/>
  <c r="L1478" i="20"/>
  <c r="D893" i="20"/>
  <c r="L893" i="20" s="1"/>
  <c r="L1720" i="20"/>
  <c r="D943" i="20"/>
  <c r="L943" i="20" s="1"/>
  <c r="L1950" i="20"/>
  <c r="D1158" i="20"/>
  <c r="L1158" i="20" s="1"/>
  <c r="K1362" i="20"/>
  <c r="D149" i="20"/>
  <c r="K149" i="20" s="1"/>
  <c r="L1780" i="20"/>
  <c r="D1018" i="20"/>
  <c r="L1018" i="20" s="1"/>
  <c r="H1991" i="20"/>
  <c r="H1968" i="20"/>
  <c r="H1920" i="20"/>
  <c r="H1904" i="20"/>
  <c r="B1938" i="20"/>
  <c r="B1926" i="20"/>
  <c r="B1708" i="20"/>
  <c r="B1704" i="20"/>
  <c r="B1616" i="20"/>
  <c r="B1597" i="20"/>
  <c r="B1981" i="20"/>
  <c r="B1958" i="20"/>
  <c r="B1615" i="20"/>
  <c r="B1596" i="20"/>
  <c r="A811" i="20"/>
  <c r="A17" i="20"/>
  <c r="H810" i="20"/>
  <c r="H16" i="20"/>
  <c r="B810" i="20"/>
  <c r="B16" i="20"/>
  <c r="G810" i="20"/>
  <c r="G16" i="20"/>
  <c r="I16" i="20" s="1"/>
  <c r="H1625" i="20"/>
  <c r="H1606" i="20"/>
  <c r="L715" i="20"/>
  <c r="L919" i="20"/>
  <c r="J151" i="20"/>
  <c r="K151" i="20"/>
  <c r="J367" i="20"/>
  <c r="I1929" i="20"/>
  <c r="I1940" i="20"/>
  <c r="I1410" i="20"/>
  <c r="I1897" i="20"/>
  <c r="I1912" i="20"/>
  <c r="I1961" i="20"/>
  <c r="I1983" i="20"/>
  <c r="K135" i="20"/>
  <c r="K193" i="20"/>
  <c r="K70" i="20"/>
  <c r="K98" i="20"/>
  <c r="K60" i="20"/>
  <c r="K1713" i="20"/>
  <c r="K203" i="20"/>
  <c r="K83" i="20"/>
  <c r="K118" i="20"/>
  <c r="K160" i="20"/>
  <c r="K228" i="20"/>
  <c r="K1809" i="20"/>
  <c r="K363" i="20"/>
  <c r="K157" i="20"/>
  <c r="K1456" i="20"/>
  <c r="G538" i="19"/>
  <c r="J126" i="20"/>
  <c r="K126" i="20"/>
  <c r="K191" i="20"/>
  <c r="J191" i="20"/>
  <c r="L810" i="20"/>
  <c r="L1014" i="20"/>
  <c r="L904" i="20"/>
  <c r="L1154" i="20"/>
  <c r="J1160" i="20"/>
  <c r="L1160" i="20"/>
  <c r="L907" i="20"/>
  <c r="L1159" i="20"/>
  <c r="I808" i="20"/>
  <c r="J906" i="20"/>
  <c r="K256" i="20"/>
  <c r="B557" i="19"/>
  <c r="D367" i="20" s="1"/>
  <c r="K367" i="20" s="1"/>
  <c r="K133" i="20"/>
  <c r="J133" i="20"/>
  <c r="K1679" i="20"/>
  <c r="J1679" i="20"/>
  <c r="J89" i="20"/>
  <c r="I1532" i="20"/>
  <c r="I1521" i="20"/>
  <c r="I1210" i="20"/>
  <c r="I1192" i="20"/>
  <c r="I1504" i="20"/>
  <c r="I1489" i="20"/>
  <c r="I1575" i="20"/>
  <c r="I1553" i="20"/>
  <c r="F518" i="19"/>
  <c r="F519" i="19" s="1"/>
  <c r="L787" i="20"/>
  <c r="L1378" i="20"/>
  <c r="L751" i="20"/>
  <c r="L1348" i="20"/>
  <c r="L1225" i="20"/>
  <c r="L1254" i="20"/>
  <c r="K1228" i="20"/>
  <c r="K63" i="20"/>
  <c r="L1229" i="20"/>
  <c r="L1258" i="20"/>
  <c r="L761" i="20"/>
  <c r="L1356" i="20"/>
  <c r="L677" i="20"/>
  <c r="L1284" i="20"/>
  <c r="L1238" i="20"/>
  <c r="L1266" i="20"/>
  <c r="L1283" i="20"/>
  <c r="L1312" i="20"/>
  <c r="L1482" i="20"/>
  <c r="L1542" i="20"/>
  <c r="K1282" i="20"/>
  <c r="K105" i="20"/>
  <c r="L781" i="20"/>
  <c r="L1372" i="20"/>
  <c r="I527" i="19"/>
  <c r="L681" i="20"/>
  <c r="J681" i="20"/>
  <c r="L671" i="20"/>
  <c r="J671" i="20"/>
  <c r="G28" i="19"/>
  <c r="I28" i="19"/>
  <c r="F29" i="19"/>
  <c r="I605" i="20"/>
  <c r="I73" i="19"/>
  <c r="I578" i="19"/>
  <c r="J119" i="20"/>
  <c r="K1801" i="20"/>
  <c r="E560" i="19"/>
  <c r="B560" i="19"/>
  <c r="D369" i="20" s="1"/>
  <c r="K369" i="20" s="1"/>
  <c r="J86" i="20"/>
  <c r="B194" i="19"/>
  <c r="D129" i="20" s="1"/>
  <c r="K129" i="20" s="1"/>
  <c r="E194" i="19"/>
  <c r="K1349" i="20"/>
  <c r="K1236" i="20"/>
  <c r="K134" i="20"/>
  <c r="K1255" i="20"/>
  <c r="K1224" i="20"/>
  <c r="K244" i="20"/>
  <c r="K114" i="20"/>
  <c r="J655" i="20"/>
  <c r="L640" i="20"/>
  <c r="L778" i="20"/>
  <c r="K68" i="20"/>
  <c r="J645" i="20"/>
  <c r="J896" i="20"/>
  <c r="L706" i="20"/>
  <c r="K1685" i="20"/>
  <c r="L783" i="20"/>
  <c r="J62" i="20"/>
  <c r="J53" i="20"/>
  <c r="L684" i="20"/>
  <c r="H521" i="19"/>
  <c r="H542" i="19"/>
  <c r="H67" i="19"/>
  <c r="H572" i="19"/>
  <c r="K1650" i="20"/>
  <c r="K35" i="20"/>
  <c r="K127" i="20"/>
  <c r="K1196" i="20"/>
  <c r="K1906" i="20"/>
  <c r="K543" i="20"/>
  <c r="K1188" i="20"/>
  <c r="K65" i="20"/>
  <c r="K61" i="20"/>
  <c r="L1905" i="20"/>
  <c r="K1605" i="20"/>
  <c r="L320" i="20"/>
  <c r="G517" i="19"/>
  <c r="F569" i="19"/>
  <c r="G539" i="19"/>
  <c r="F539" i="19"/>
  <c r="F64" i="19"/>
  <c r="G374" i="19"/>
  <c r="G569" i="19"/>
  <c r="E227" i="19"/>
  <c r="D946" i="20" s="1"/>
  <c r="L946" i="20" s="1"/>
  <c r="G65" i="19"/>
  <c r="B1618" i="20" l="1"/>
  <c r="B1599" i="20"/>
  <c r="B1983" i="20"/>
  <c r="B1960" i="20"/>
  <c r="A1913" i="20"/>
  <c r="A1897" i="20"/>
  <c r="B1814" i="20"/>
  <c r="B1809" i="20"/>
  <c r="A1617" i="20"/>
  <c r="A1598" i="20"/>
  <c r="A1940" i="20"/>
  <c r="A1928" i="20"/>
  <c r="B1940" i="20"/>
  <c r="B1928" i="20"/>
  <c r="A1983" i="20"/>
  <c r="A1960" i="20"/>
  <c r="B1911" i="20"/>
  <c r="B1895" i="20"/>
  <c r="G1986" i="20"/>
  <c r="G1963" i="20"/>
  <c r="G1620" i="20"/>
  <c r="G1601" i="20"/>
  <c r="I1601" i="20" s="1"/>
  <c r="G1943" i="20"/>
  <c r="G1931" i="20"/>
  <c r="G1915" i="20"/>
  <c r="G1899" i="20"/>
  <c r="L1700" i="20"/>
  <c r="D923" i="20"/>
  <c r="L923" i="20" s="1"/>
  <c r="L1954" i="20"/>
  <c r="D1163" i="20"/>
  <c r="L1163" i="20" s="1"/>
  <c r="H1992" i="20"/>
  <c r="H1969" i="20"/>
  <c r="H1921" i="20"/>
  <c r="H1905" i="20"/>
  <c r="A1912" i="20"/>
  <c r="A1896" i="20"/>
  <c r="B1939" i="20"/>
  <c r="B1927" i="20"/>
  <c r="G811" i="20"/>
  <c r="I811" i="20" s="1"/>
  <c r="G17" i="20"/>
  <c r="I17" i="20" s="1"/>
  <c r="A812" i="20"/>
  <c r="A18" i="20"/>
  <c r="H811" i="20"/>
  <c r="H17" i="20"/>
  <c r="B811" i="20"/>
  <c r="B17" i="20"/>
  <c r="H1626" i="20"/>
  <c r="H1607" i="20"/>
  <c r="L740" i="20"/>
  <c r="L944" i="20"/>
  <c r="I1962" i="20"/>
  <c r="I1984" i="20"/>
  <c r="I1618" i="20"/>
  <c r="I1930" i="20"/>
  <c r="I1941" i="20"/>
  <c r="I1898" i="20"/>
  <c r="I1913" i="20"/>
  <c r="K91" i="20"/>
  <c r="K1338" i="20"/>
  <c r="K257" i="20"/>
  <c r="K368" i="20"/>
  <c r="J366" i="20"/>
  <c r="K366" i="20"/>
  <c r="I809" i="20"/>
  <c r="J256" i="20"/>
  <c r="K255" i="20"/>
  <c r="J255" i="20"/>
  <c r="I1576" i="20"/>
  <c r="I1554" i="20"/>
  <c r="I1211" i="20"/>
  <c r="I1193" i="20"/>
  <c r="I1533" i="20"/>
  <c r="I1522" i="20"/>
  <c r="I1505" i="20"/>
  <c r="I1490" i="20"/>
  <c r="L687" i="20"/>
  <c r="L1292" i="20"/>
  <c r="L1500" i="20"/>
  <c r="L1546" i="20"/>
  <c r="I528" i="19"/>
  <c r="K1680" i="20"/>
  <c r="J1680" i="20"/>
  <c r="L716" i="20"/>
  <c r="J716" i="20"/>
  <c r="F30" i="19"/>
  <c r="I29" i="19"/>
  <c r="I606" i="20"/>
  <c r="G29" i="19"/>
  <c r="I579" i="19"/>
  <c r="I74" i="19"/>
  <c r="B231" i="19"/>
  <c r="D154" i="20" s="1"/>
  <c r="K154" i="20" s="1"/>
  <c r="E231" i="19"/>
  <c r="K1485" i="20"/>
  <c r="K1263" i="20"/>
  <c r="J684" i="20"/>
  <c r="J1801" i="20"/>
  <c r="K86" i="20"/>
  <c r="L710" i="20"/>
  <c r="H543" i="19"/>
  <c r="H68" i="19"/>
  <c r="H522" i="19"/>
  <c r="H573" i="19"/>
  <c r="K1337" i="20"/>
  <c r="K31" i="20"/>
  <c r="K1593" i="20"/>
  <c r="L1887" i="20"/>
  <c r="G518" i="19"/>
  <c r="G540" i="19"/>
  <c r="G570" i="19"/>
  <c r="F65" i="19"/>
  <c r="F520" i="19"/>
  <c r="F570" i="19"/>
  <c r="F540" i="19"/>
  <c r="G66" i="19"/>
  <c r="B1619" i="20" l="1"/>
  <c r="B1600" i="20"/>
  <c r="A1941" i="20"/>
  <c r="A1929" i="20"/>
  <c r="A1984" i="20"/>
  <c r="A1961" i="20"/>
  <c r="A1914" i="20"/>
  <c r="A1898" i="20"/>
  <c r="A1618" i="20"/>
  <c r="A1599" i="20"/>
  <c r="B1984" i="20"/>
  <c r="B1961" i="20"/>
  <c r="B1941" i="20"/>
  <c r="B1929" i="20"/>
  <c r="B1912" i="20"/>
  <c r="B1896" i="20"/>
  <c r="G1987" i="20"/>
  <c r="G1964" i="20"/>
  <c r="G1916" i="20"/>
  <c r="G1900" i="20"/>
  <c r="G1621" i="20"/>
  <c r="I1621" i="20" s="1"/>
  <c r="G1602" i="20"/>
  <c r="I1602" i="20" s="1"/>
  <c r="G1944" i="20"/>
  <c r="G1932" i="20"/>
  <c r="L1724" i="20"/>
  <c r="D948" i="20"/>
  <c r="L948" i="20" s="1"/>
  <c r="H1993" i="20"/>
  <c r="H1970" i="20"/>
  <c r="H1922" i="20"/>
  <c r="H1906" i="20"/>
  <c r="B812" i="20"/>
  <c r="B18" i="20"/>
  <c r="G812" i="20"/>
  <c r="I812" i="20" s="1"/>
  <c r="G18" i="20"/>
  <c r="I18" i="20" s="1"/>
  <c r="H812" i="20"/>
  <c r="H18" i="20"/>
  <c r="A813" i="20"/>
  <c r="A19" i="20"/>
  <c r="H1627" i="20"/>
  <c r="H1608" i="20"/>
  <c r="I1963" i="20"/>
  <c r="I1985" i="20"/>
  <c r="I1899" i="20"/>
  <c r="I1914" i="20"/>
  <c r="I1619" i="20"/>
  <c r="I1931" i="20"/>
  <c r="I1942" i="20"/>
  <c r="K1681" i="20"/>
  <c r="K153" i="20"/>
  <c r="I810" i="20"/>
  <c r="I1577" i="20"/>
  <c r="I1555" i="20"/>
  <c r="I1506" i="20"/>
  <c r="I1491" i="20"/>
  <c r="I1212" i="20"/>
  <c r="I1194" i="20"/>
  <c r="I1534" i="20"/>
  <c r="I1523" i="20"/>
  <c r="L1287" i="20"/>
  <c r="L1316" i="20"/>
  <c r="L741" i="20"/>
  <c r="J741" i="20"/>
  <c r="I607" i="20"/>
  <c r="I30" i="19"/>
  <c r="G30" i="19"/>
  <c r="F31" i="19"/>
  <c r="I75" i="19"/>
  <c r="I580" i="19"/>
  <c r="K1286" i="20"/>
  <c r="J710" i="20"/>
  <c r="H69" i="19"/>
  <c r="H523" i="19"/>
  <c r="H544" i="19"/>
  <c r="H574" i="19"/>
  <c r="L354" i="20"/>
  <c r="G519" i="19"/>
  <c r="F571" i="19"/>
  <c r="F541" i="19"/>
  <c r="F521" i="19"/>
  <c r="F66" i="19"/>
  <c r="G541" i="19"/>
  <c r="G571" i="19"/>
  <c r="G67" i="19"/>
  <c r="B1620" i="20" l="1"/>
  <c r="B1601" i="20"/>
  <c r="B1985" i="20"/>
  <c r="B1962" i="20"/>
  <c r="B1942" i="20"/>
  <c r="B1930" i="20"/>
  <c r="A1619" i="20"/>
  <c r="A1600" i="20"/>
  <c r="A1915" i="20"/>
  <c r="A1899" i="20"/>
  <c r="A1942" i="20"/>
  <c r="A1930" i="20"/>
  <c r="A1985" i="20"/>
  <c r="A1962" i="20"/>
  <c r="B1913" i="20"/>
  <c r="B1897" i="20"/>
  <c r="G1988" i="20"/>
  <c r="G1965" i="20"/>
  <c r="G1945" i="20"/>
  <c r="I1945" i="20" s="1"/>
  <c r="G1933" i="20"/>
  <c r="G1917" i="20"/>
  <c r="G1901" i="20"/>
  <c r="G1622" i="20"/>
  <c r="I1622" i="20" s="1"/>
  <c r="G1603" i="20"/>
  <c r="I1603" i="20" s="1"/>
  <c r="H1994" i="20"/>
  <c r="H1971" i="20"/>
  <c r="A814" i="20"/>
  <c r="A20" i="20"/>
  <c r="B813" i="20"/>
  <c r="B19" i="20"/>
  <c r="H813" i="20"/>
  <c r="H19" i="20"/>
  <c r="G813" i="20"/>
  <c r="G19" i="20"/>
  <c r="I19" i="20" s="1"/>
  <c r="H1628" i="20"/>
  <c r="H1609" i="20"/>
  <c r="I1964" i="20"/>
  <c r="I1986" i="20"/>
  <c r="I1932" i="20"/>
  <c r="I1943" i="20"/>
  <c r="I1900" i="20"/>
  <c r="I1915" i="20"/>
  <c r="I1620" i="20"/>
  <c r="I1371" i="20"/>
  <c r="I1578" i="20"/>
  <c r="I1556" i="20"/>
  <c r="I1535" i="20"/>
  <c r="I1524" i="20"/>
  <c r="I1507" i="20"/>
  <c r="I1492" i="20"/>
  <c r="I1213" i="20"/>
  <c r="I1195" i="20"/>
  <c r="I31" i="19"/>
  <c r="F32" i="19"/>
  <c r="G31" i="19"/>
  <c r="I608" i="20"/>
  <c r="I76" i="19"/>
  <c r="I581" i="19"/>
  <c r="H524" i="19"/>
  <c r="H70" i="19"/>
  <c r="H575" i="19"/>
  <c r="H545" i="19"/>
  <c r="K1232" i="20"/>
  <c r="G520" i="19"/>
  <c r="F572" i="19"/>
  <c r="G542" i="19"/>
  <c r="F522" i="19"/>
  <c r="G572" i="19"/>
  <c r="F67" i="19"/>
  <c r="F542" i="19"/>
  <c r="G68" i="19"/>
  <c r="N3" i="20"/>
  <c r="B1621" i="20" l="1"/>
  <c r="B1602" i="20"/>
  <c r="A1943" i="20"/>
  <c r="A1931" i="20"/>
  <c r="A1620" i="20"/>
  <c r="A1601" i="20"/>
  <c r="B1986" i="20"/>
  <c r="B1963" i="20"/>
  <c r="A1916" i="20"/>
  <c r="A1900" i="20"/>
  <c r="B1943" i="20"/>
  <c r="B1931" i="20"/>
  <c r="A1986" i="20"/>
  <c r="A1963" i="20"/>
  <c r="B1914" i="20"/>
  <c r="B1898" i="20"/>
  <c r="G1946" i="20"/>
  <c r="I1946" i="20" s="1"/>
  <c r="G1934" i="20"/>
  <c r="I1934" i="20" s="1"/>
  <c r="G1989" i="20"/>
  <c r="G1966" i="20"/>
  <c r="G1623" i="20"/>
  <c r="G1604" i="20"/>
  <c r="I1604" i="20" s="1"/>
  <c r="G1918" i="20"/>
  <c r="G1902" i="20"/>
  <c r="H1995" i="20"/>
  <c r="H1972" i="20"/>
  <c r="G814" i="20"/>
  <c r="G20" i="20"/>
  <c r="I20" i="20" s="1"/>
  <c r="B814" i="20"/>
  <c r="B20" i="20"/>
  <c r="A815" i="20"/>
  <c r="A21" i="20"/>
  <c r="H814" i="20"/>
  <c r="H20" i="20"/>
  <c r="H1629" i="20"/>
  <c r="H1610" i="20"/>
  <c r="I1933" i="20"/>
  <c r="I1944" i="20"/>
  <c r="I1965" i="20"/>
  <c r="I1987" i="20"/>
  <c r="I1413" i="20"/>
  <c r="I1901" i="20"/>
  <c r="I1916" i="20"/>
  <c r="I1372" i="20"/>
  <c r="Y3" i="20"/>
  <c r="I1536" i="20"/>
  <c r="I1525" i="20"/>
  <c r="I1579" i="20"/>
  <c r="I1557" i="20"/>
  <c r="I1214" i="20"/>
  <c r="I1196" i="20"/>
  <c r="I1508" i="20"/>
  <c r="I1493" i="20"/>
  <c r="F33" i="19"/>
  <c r="G32" i="19"/>
  <c r="I609" i="20"/>
  <c r="I32" i="19"/>
  <c r="I582" i="19"/>
  <c r="I77" i="19"/>
  <c r="H71" i="19"/>
  <c r="H576" i="19"/>
  <c r="H525" i="19"/>
  <c r="G521" i="19"/>
  <c r="F523" i="19"/>
  <c r="G543" i="19"/>
  <c r="F573" i="19"/>
  <c r="F543" i="19"/>
  <c r="F68" i="19"/>
  <c r="G573" i="19"/>
  <c r="G69" i="19"/>
  <c r="B1622" i="20" l="1"/>
  <c r="B1603" i="20"/>
  <c r="B1987" i="20"/>
  <c r="B1964" i="20"/>
  <c r="A1621" i="20"/>
  <c r="A1602" i="20"/>
  <c r="A1944" i="20"/>
  <c r="A1932" i="20"/>
  <c r="A1987" i="20"/>
  <c r="A1964" i="20"/>
  <c r="B1944" i="20"/>
  <c r="B1932" i="20"/>
  <c r="A1917" i="20"/>
  <c r="A1901" i="20"/>
  <c r="B1915" i="20"/>
  <c r="B1899" i="20"/>
  <c r="G1919" i="20"/>
  <c r="G1903" i="20"/>
  <c r="G1990" i="20"/>
  <c r="G1967" i="20"/>
  <c r="G1624" i="20"/>
  <c r="G1605" i="20"/>
  <c r="I1605" i="20" s="1"/>
  <c r="H1996" i="20"/>
  <c r="H1973" i="20"/>
  <c r="H815" i="20"/>
  <c r="H21" i="20"/>
  <c r="G815" i="20"/>
  <c r="G21" i="20"/>
  <c r="I21" i="20" s="1"/>
  <c r="B815" i="20"/>
  <c r="B21" i="20"/>
  <c r="A816" i="20"/>
  <c r="A22" i="20"/>
  <c r="H1630" i="20"/>
  <c r="H1611" i="20"/>
  <c r="I1902" i="20"/>
  <c r="I1917" i="20"/>
  <c r="I1966" i="20"/>
  <c r="I1988" i="20"/>
  <c r="I1414" i="20"/>
  <c r="I813" i="20"/>
  <c r="I1509" i="20"/>
  <c r="I1494" i="20"/>
  <c r="I1580" i="20"/>
  <c r="I1558" i="20"/>
  <c r="I1215" i="20"/>
  <c r="I1197" i="20"/>
  <c r="I610" i="20"/>
  <c r="G33" i="19"/>
  <c r="I33" i="19"/>
  <c r="F34" i="19"/>
  <c r="I583" i="19"/>
  <c r="H72" i="19"/>
  <c r="H577" i="19"/>
  <c r="H526" i="19"/>
  <c r="G522" i="19"/>
  <c r="G574" i="19"/>
  <c r="G544" i="19"/>
  <c r="F544" i="19"/>
  <c r="F69" i="19"/>
  <c r="F574" i="19"/>
  <c r="F524" i="19"/>
  <c r="G70" i="19"/>
  <c r="B1623" i="20" l="1"/>
  <c r="B1604" i="20"/>
  <c r="A1918" i="20"/>
  <c r="A1902" i="20"/>
  <c r="A1988" i="20"/>
  <c r="A1965" i="20"/>
  <c r="A1622" i="20"/>
  <c r="A1603" i="20"/>
  <c r="A1945" i="20"/>
  <c r="A1933" i="20"/>
  <c r="B1945" i="20"/>
  <c r="B1933" i="20"/>
  <c r="B1988" i="20"/>
  <c r="B1965" i="20"/>
  <c r="B1916" i="20"/>
  <c r="B1900" i="20"/>
  <c r="G1920" i="20"/>
  <c r="G1904" i="20"/>
  <c r="G1991" i="20"/>
  <c r="G1968" i="20"/>
  <c r="G1625" i="20"/>
  <c r="G1606" i="20"/>
  <c r="I1606" i="20" s="1"/>
  <c r="H1997" i="20"/>
  <c r="H1974" i="20"/>
  <c r="A817" i="20"/>
  <c r="A23" i="20"/>
  <c r="H816" i="20"/>
  <c r="H22" i="20"/>
  <c r="B816" i="20"/>
  <c r="B22" i="20"/>
  <c r="G816" i="20"/>
  <c r="I816" i="20" s="1"/>
  <c r="G22" i="20"/>
  <c r="I22" i="20" s="1"/>
  <c r="I1903" i="20"/>
  <c r="I1918" i="20"/>
  <c r="I1967" i="20"/>
  <c r="I1989" i="20"/>
  <c r="I1623" i="20"/>
  <c r="I814" i="20"/>
  <c r="I1510" i="20"/>
  <c r="I1495" i="20"/>
  <c r="I1581" i="20"/>
  <c r="I1559" i="20"/>
  <c r="I1216" i="20"/>
  <c r="I1198" i="20"/>
  <c r="I34" i="19"/>
  <c r="G34" i="19"/>
  <c r="F35" i="19"/>
  <c r="I611" i="20"/>
  <c r="I584" i="19"/>
  <c r="H527" i="19"/>
  <c r="H73" i="19"/>
  <c r="H578" i="19"/>
  <c r="G523" i="19"/>
  <c r="F70" i="19"/>
  <c r="G545" i="19"/>
  <c r="F575" i="19"/>
  <c r="G575" i="19"/>
  <c r="F525" i="19"/>
  <c r="F545" i="19"/>
  <c r="G71" i="19"/>
  <c r="B1624" i="20" l="1"/>
  <c r="B1605" i="20"/>
  <c r="A1946" i="20"/>
  <c r="A1934" i="20"/>
  <c r="A1919" i="20"/>
  <c r="A1903" i="20"/>
  <c r="B1989" i="20"/>
  <c r="B1966" i="20"/>
  <c r="A1989" i="20"/>
  <c r="A1966" i="20"/>
  <c r="B1946" i="20"/>
  <c r="B1934" i="20"/>
  <c r="A1623" i="20"/>
  <c r="A1604" i="20"/>
  <c r="B1917" i="20"/>
  <c r="B1901" i="20"/>
  <c r="G1992" i="20"/>
  <c r="G1969" i="20"/>
  <c r="G1626" i="20"/>
  <c r="I1626" i="20" s="1"/>
  <c r="G1607" i="20"/>
  <c r="I1607" i="20" s="1"/>
  <c r="G1921" i="20"/>
  <c r="I1921" i="20" s="1"/>
  <c r="G1905" i="20"/>
  <c r="H1998" i="20"/>
  <c r="H1975" i="20"/>
  <c r="G817" i="20"/>
  <c r="I817" i="20" s="1"/>
  <c r="G23" i="20"/>
  <c r="I23" i="20" s="1"/>
  <c r="A818" i="20"/>
  <c r="A24" i="20"/>
  <c r="B817" i="20"/>
  <c r="B23" i="20"/>
  <c r="H817" i="20"/>
  <c r="H23" i="20"/>
  <c r="I1968" i="20"/>
  <c r="I1990" i="20"/>
  <c r="I1624" i="20"/>
  <c r="I1904" i="20"/>
  <c r="I1919" i="20"/>
  <c r="I815" i="20"/>
  <c r="I1582" i="20"/>
  <c r="I1560" i="20"/>
  <c r="I1217" i="20"/>
  <c r="I1199" i="20"/>
  <c r="I1511" i="20"/>
  <c r="I1496" i="20"/>
  <c r="F36" i="19"/>
  <c r="G35" i="19"/>
  <c r="I612" i="20"/>
  <c r="I35" i="19"/>
  <c r="I585" i="19"/>
  <c r="H528" i="19"/>
  <c r="H579" i="19"/>
  <c r="H74" i="19"/>
  <c r="G524" i="19"/>
  <c r="G576" i="19"/>
  <c r="F71" i="19"/>
  <c r="F576" i="19"/>
  <c r="F526" i="19"/>
  <c r="G72" i="19"/>
  <c r="W1531" i="20"/>
  <c r="V760" i="20"/>
  <c r="W561" i="20"/>
  <c r="W677" i="20"/>
  <c r="V1984" i="20"/>
  <c r="V1556" i="20"/>
  <c r="W1530" i="20"/>
  <c r="V565" i="20"/>
  <c r="W772" i="20"/>
  <c r="V883" i="20"/>
  <c r="W486" i="20"/>
  <c r="W285" i="20"/>
  <c r="W1389" i="20"/>
  <c r="V120" i="20"/>
  <c r="W590" i="20"/>
  <c r="V583" i="20"/>
  <c r="V708" i="20"/>
  <c r="W697" i="20"/>
  <c r="W55" i="20"/>
  <c r="W935" i="20"/>
  <c r="V577" i="20"/>
  <c r="W506" i="20"/>
  <c r="V680" i="20"/>
  <c r="V1541" i="20"/>
  <c r="V570" i="20"/>
  <c r="V722" i="20"/>
  <c r="V329" i="20"/>
  <c r="V768" i="20"/>
  <c r="W1336" i="20"/>
  <c r="W1488" i="20"/>
  <c r="W1318" i="20"/>
  <c r="W1144" i="20"/>
  <c r="W1467" i="20"/>
  <c r="W1140" i="20"/>
  <c r="W1517" i="20"/>
  <c r="V1434" i="20"/>
  <c r="W1522" i="20"/>
  <c r="W706" i="20"/>
  <c r="V1379" i="20"/>
  <c r="V1583" i="20"/>
  <c r="W101" i="20"/>
  <c r="V220" i="20"/>
  <c r="V221" i="20"/>
  <c r="W199" i="20"/>
  <c r="W170" i="20"/>
  <c r="W1545" i="20"/>
  <c r="V1433" i="20"/>
  <c r="V515" i="20"/>
  <c r="V1280" i="20"/>
  <c r="W536" i="20"/>
  <c r="W1396" i="20"/>
  <c r="W777" i="20"/>
  <c r="V331" i="20"/>
  <c r="W352" i="20"/>
  <c r="V968" i="20"/>
  <c r="V199" i="20"/>
  <c r="V1419" i="20"/>
  <c r="W546" i="20"/>
  <c r="W562" i="20"/>
  <c r="V255" i="20"/>
  <c r="V1361" i="20"/>
  <c r="W1532" i="20"/>
  <c r="W1566" i="20"/>
  <c r="W1443" i="20"/>
  <c r="W126" i="20"/>
  <c r="W544" i="20"/>
  <c r="W344" i="20"/>
  <c r="V1510" i="20"/>
  <c r="W870" i="20"/>
  <c r="V964" i="20"/>
  <c r="W920" i="20"/>
  <c r="V527" i="20"/>
  <c r="V250" i="20"/>
  <c r="V766" i="20"/>
  <c r="V525" i="20"/>
  <c r="W661" i="20"/>
  <c r="V979" i="20"/>
  <c r="W1408" i="20"/>
  <c r="V1574" i="20"/>
  <c r="W541" i="20"/>
  <c r="V657" i="20"/>
  <c r="V1149" i="20"/>
  <c r="W85" i="20"/>
  <c r="V1436" i="20"/>
  <c r="W1575" i="20"/>
  <c r="W1450" i="20"/>
  <c r="V1004" i="20"/>
  <c r="V1302" i="20"/>
  <c r="W763" i="20"/>
  <c r="W341" i="20"/>
  <c r="W633" i="20"/>
  <c r="W1342" i="20"/>
  <c r="V1334" i="20"/>
  <c r="V765" i="20"/>
  <c r="W181" i="20"/>
  <c r="V1439" i="20"/>
  <c r="V1340" i="20"/>
  <c r="V1502" i="20"/>
  <c r="V758" i="20"/>
  <c r="V1355" i="20"/>
  <c r="W1370" i="20"/>
  <c r="V1570" i="20"/>
  <c r="W733" i="20"/>
  <c r="V1489" i="20"/>
  <c r="V978" i="20"/>
  <c r="W521" i="20"/>
  <c r="W60" i="20"/>
  <c r="V1552" i="20"/>
  <c r="V549" i="20"/>
  <c r="V1977" i="20"/>
  <c r="W605" i="20"/>
  <c r="V963" i="20"/>
  <c r="V905" i="20"/>
  <c r="V1322" i="20"/>
  <c r="W1504" i="20"/>
  <c r="V1444" i="20"/>
  <c r="W46" i="20"/>
  <c r="W569" i="20"/>
  <c r="W1526" i="20"/>
  <c r="V1399" i="20"/>
  <c r="V915" i="20"/>
  <c r="V933" i="20"/>
  <c r="V1445" i="20"/>
  <c r="V499" i="20"/>
  <c r="V1389" i="20"/>
  <c r="W542" i="20"/>
  <c r="W1397" i="20"/>
  <c r="W529" i="20"/>
  <c r="W291" i="20"/>
  <c r="W878" i="20"/>
  <c r="W883" i="20"/>
  <c r="V908" i="20"/>
  <c r="V742" i="20"/>
  <c r="W301" i="20"/>
  <c r="W1570" i="20"/>
  <c r="V1365" i="20"/>
  <c r="W290" i="20"/>
  <c r="W667" i="20"/>
  <c r="W1281" i="20"/>
  <c r="W570" i="20"/>
  <c r="V106" i="20"/>
  <c r="V1538" i="20"/>
  <c r="V969" i="20"/>
  <c r="V675" i="20"/>
  <c r="W1098" i="20"/>
  <c r="W579" i="20"/>
  <c r="V1134" i="20"/>
  <c r="V888" i="20"/>
  <c r="V1492" i="20"/>
  <c r="V1098" i="20"/>
  <c r="W491" i="20"/>
  <c r="V1557" i="20"/>
  <c r="W1075" i="20"/>
  <c r="W753" i="20"/>
  <c r="V513" i="20"/>
  <c r="W745" i="20"/>
  <c r="W241" i="20"/>
  <c r="W1472" i="20"/>
  <c r="W580" i="20"/>
  <c r="W215" i="20"/>
  <c r="W1030" i="20"/>
  <c r="V553" i="20"/>
  <c r="V643" i="20"/>
  <c r="W1543" i="20"/>
  <c r="V1464" i="20"/>
  <c r="W1100" i="20"/>
  <c r="V65" i="20"/>
  <c r="W264" i="20"/>
  <c r="V124" i="20"/>
  <c r="V1587" i="20"/>
  <c r="V1085" i="20"/>
  <c r="W954" i="20"/>
  <c r="V204" i="20"/>
  <c r="W771" i="20"/>
  <c r="W905" i="20"/>
  <c r="W119" i="20"/>
  <c r="W1373" i="20"/>
  <c r="V1331" i="20"/>
  <c r="W1312" i="20"/>
  <c r="W649" i="20"/>
  <c r="V575" i="20"/>
  <c r="V1069" i="20"/>
  <c r="V523" i="20"/>
  <c r="V151" i="20"/>
  <c r="W1153" i="20"/>
  <c r="W1143" i="20"/>
  <c r="W979" i="20"/>
  <c r="W732" i="20"/>
  <c r="V732" i="20"/>
  <c r="W1580" i="20"/>
  <c r="V1547" i="20"/>
  <c r="V1364" i="20"/>
  <c r="V1396" i="20"/>
  <c r="V999" i="20"/>
  <c r="V1535" i="20"/>
  <c r="W1407" i="20"/>
  <c r="W1358" i="20"/>
  <c r="V1501" i="20"/>
  <c r="V1287" i="20"/>
  <c r="W784" i="20"/>
  <c r="W503" i="20"/>
  <c r="V1377" i="20"/>
  <c r="W609" i="20"/>
  <c r="W1412" i="20"/>
  <c r="W909" i="20"/>
  <c r="V724" i="20"/>
  <c r="V980" i="20"/>
  <c r="W1302" i="20"/>
  <c r="W1130" i="20"/>
  <c r="W144" i="20"/>
  <c r="W1305" i="20"/>
  <c r="W572" i="20"/>
  <c r="W978" i="20"/>
  <c r="W189" i="20"/>
  <c r="W796" i="20"/>
  <c r="V672" i="20"/>
  <c r="V1014" i="20"/>
  <c r="W1404" i="20"/>
  <c r="W588" i="20"/>
  <c r="W1523" i="20"/>
  <c r="V1441" i="20"/>
  <c r="V504" i="20"/>
  <c r="V791" i="20"/>
  <c r="V1344" i="20"/>
  <c r="V571" i="20"/>
  <c r="W1065" i="20"/>
  <c r="V898" i="20"/>
  <c r="W1319" i="20"/>
  <c r="V1120" i="20"/>
  <c r="W497" i="20"/>
  <c r="W136" i="20"/>
  <c r="V1320" i="20"/>
  <c r="V634" i="20"/>
  <c r="V1530" i="20"/>
  <c r="W566" i="20"/>
  <c r="V155" i="20"/>
  <c r="W220" i="20"/>
  <c r="V1373" i="20"/>
  <c r="V590" i="20"/>
  <c r="W190" i="20"/>
  <c r="W1508" i="20"/>
  <c r="W1378" i="20"/>
  <c r="W958" i="20"/>
  <c r="W1146" i="20"/>
  <c r="W1353" i="20"/>
  <c r="V673" i="20"/>
  <c r="V1508" i="20"/>
  <c r="V1314" i="20"/>
  <c r="W754" i="20"/>
  <c r="W1406" i="20"/>
  <c r="W898" i="20"/>
  <c r="W1480" i="20"/>
  <c r="V1479" i="20"/>
  <c r="V1100" i="20"/>
  <c r="V550" i="20"/>
  <c r="V773" i="20"/>
  <c r="W533" i="20"/>
  <c r="W1478" i="20"/>
  <c r="V717" i="20"/>
  <c r="W274" i="20"/>
  <c r="V678" i="20"/>
  <c r="V491" i="20"/>
  <c r="W757" i="20"/>
  <c r="W205" i="20"/>
  <c r="V256" i="20"/>
  <c r="V200" i="20"/>
  <c r="W259" i="20"/>
  <c r="W266" i="20"/>
  <c r="V990" i="20"/>
  <c r="W1458" i="20"/>
  <c r="V1394" i="20"/>
  <c r="V1095" i="20"/>
  <c r="W174" i="20"/>
  <c r="V1128" i="20"/>
  <c r="W1335" i="20"/>
  <c r="V489" i="20"/>
  <c r="V50" i="20"/>
  <c r="V493" i="20"/>
  <c r="V1531" i="20"/>
  <c r="W684" i="20"/>
  <c r="V1158" i="20"/>
  <c r="V1398" i="20"/>
  <c r="V894" i="20"/>
  <c r="W350" i="20"/>
  <c r="V642" i="20"/>
  <c r="V274" i="20"/>
  <c r="V868" i="20"/>
  <c r="W752" i="20"/>
  <c r="V514" i="20"/>
  <c r="V1960" i="20"/>
  <c r="W1023" i="20"/>
  <c r="V1425" i="20"/>
  <c r="V1880" i="20"/>
  <c r="W1409" i="20"/>
  <c r="W1586" i="20"/>
  <c r="W591" i="20"/>
  <c r="V576" i="20"/>
  <c r="V560" i="20"/>
  <c r="V1028" i="20"/>
  <c r="V970" i="20"/>
  <c r="W727" i="20"/>
  <c r="W1445" i="20"/>
  <c r="V1507" i="20"/>
  <c r="W161" i="20"/>
  <c r="V1045" i="20"/>
  <c r="V1055" i="20"/>
  <c r="W1557" i="20"/>
  <c r="W326" i="20"/>
  <c r="V1448" i="20"/>
  <c r="V1165" i="20"/>
  <c r="W165" i="20"/>
  <c r="W874" i="20"/>
  <c r="W1388" i="20"/>
  <c r="V735" i="20"/>
  <c r="W150" i="20"/>
  <c r="W1398" i="20"/>
  <c r="V569" i="20"/>
  <c r="V116" i="20"/>
  <c r="V369" i="20"/>
  <c r="V326" i="20"/>
  <c r="W79" i="20"/>
  <c r="W1576" i="20"/>
  <c r="V853" i="20"/>
  <c r="W553" i="20"/>
  <c r="V280" i="20"/>
  <c r="W974" i="20"/>
  <c r="V938" i="20"/>
  <c r="V71" i="20"/>
  <c r="W875" i="20"/>
  <c r="W221" i="20"/>
  <c r="W712" i="20"/>
  <c r="V1496" i="20"/>
  <c r="W1294" i="20"/>
  <c r="W1073" i="20"/>
  <c r="V1572" i="20"/>
  <c r="V572" i="20"/>
  <c r="W1376" i="20"/>
  <c r="W125" i="20"/>
  <c r="V285" i="20"/>
  <c r="W990" i="20"/>
  <c r="V1148" i="20"/>
  <c r="V130" i="20"/>
  <c r="W988" i="20"/>
  <c r="W1005" i="20"/>
  <c r="W1452" i="20"/>
  <c r="W1475" i="20"/>
  <c r="W359" i="20"/>
  <c r="W1548" i="20"/>
  <c r="W1420" i="20"/>
  <c r="W1120" i="20"/>
  <c r="V1440" i="20"/>
  <c r="V209" i="20"/>
  <c r="W994" i="20"/>
  <c r="V520" i="20"/>
  <c r="W365" i="20"/>
  <c r="V1058" i="20"/>
  <c r="V1514" i="20"/>
  <c r="V226" i="20"/>
  <c r="V709" i="20"/>
  <c r="V780" i="20"/>
  <c r="V1288" i="20"/>
  <c r="W360" i="20"/>
  <c r="V1967" i="20"/>
  <c r="W1169" i="20"/>
  <c r="V1125" i="20"/>
  <c r="W229" i="20"/>
  <c r="W989" i="20"/>
  <c r="V676" i="20"/>
  <c r="V1395" i="20"/>
  <c r="V556" i="20"/>
  <c r="W1585" i="20"/>
  <c r="W1572" i="20"/>
  <c r="V681" i="20"/>
  <c r="V668" i="20"/>
  <c r="W1976" i="20"/>
  <c r="V988" i="20"/>
  <c r="V1456" i="20"/>
  <c r="W625" i="20"/>
  <c r="V1450" i="20"/>
  <c r="W556" i="20"/>
  <c r="W1554" i="20"/>
  <c r="W1103" i="20"/>
  <c r="W687" i="20"/>
  <c r="V1580" i="20"/>
  <c r="W347" i="20"/>
  <c r="W306" i="20"/>
  <c r="W305" i="20"/>
  <c r="W1422" i="20"/>
  <c r="V1143" i="20"/>
  <c r="W1014" i="20"/>
  <c r="V1040" i="20"/>
  <c r="W1063" i="20"/>
  <c r="W315" i="20"/>
  <c r="W265" i="20"/>
  <c r="V1577" i="20"/>
  <c r="V1409" i="20"/>
  <c r="W643" i="20"/>
  <c r="W1525" i="20"/>
  <c r="W749" i="20"/>
  <c r="W517" i="20"/>
  <c r="W1569" i="20"/>
  <c r="V1516" i="20"/>
  <c r="V1352" i="20"/>
  <c r="V319" i="20"/>
  <c r="V320" i="20"/>
  <c r="V536" i="20"/>
  <c r="W80" i="20"/>
  <c r="W549" i="20"/>
  <c r="W999" i="20"/>
  <c r="V1487" i="20"/>
  <c r="W1421" i="20"/>
  <c r="W1010" i="20"/>
  <c r="W1426" i="20"/>
  <c r="W184" i="20"/>
  <c r="W1160" i="20"/>
  <c r="V913" i="20"/>
  <c r="W1591" i="20"/>
  <c r="V790" i="20"/>
  <c r="W1304" i="20"/>
  <c r="W567" i="20"/>
  <c r="V229" i="20"/>
  <c r="V214" i="20"/>
  <c r="W225" i="20"/>
  <c r="V516" i="20"/>
  <c r="V786" i="20"/>
  <c r="V1283" i="20"/>
  <c r="V1548" i="20"/>
  <c r="V206" i="20"/>
  <c r="V619" i="20"/>
  <c r="W1451" i="20"/>
  <c r="W1115" i="20"/>
  <c r="V339" i="20"/>
  <c r="W599" i="20"/>
  <c r="V1400" i="20"/>
  <c r="V705" i="20"/>
  <c r="V1451" i="20"/>
  <c r="V1000" i="20"/>
  <c r="V1003" i="20"/>
  <c r="W254" i="20"/>
  <c r="W175" i="20"/>
  <c r="W652" i="20"/>
  <c r="W356" i="20"/>
  <c r="V1392" i="20"/>
  <c r="V984" i="20"/>
  <c r="V585" i="20"/>
  <c r="V953" i="20"/>
  <c r="W1957" i="20"/>
  <c r="W1538" i="20"/>
  <c r="V718" i="20"/>
  <c r="W1439" i="20"/>
  <c r="W1321" i="20"/>
  <c r="W310" i="20"/>
  <c r="V1070" i="20"/>
  <c r="W324" i="20"/>
  <c r="W255" i="20"/>
  <c r="W316" i="20"/>
  <c r="W637" i="20"/>
  <c r="W885" i="20"/>
  <c r="V692" i="20"/>
  <c r="W1961" i="20"/>
  <c r="W1499" i="20"/>
  <c r="V1089" i="20"/>
  <c r="V1360" i="20"/>
  <c r="V194" i="20"/>
  <c r="W904" i="20"/>
  <c r="W785" i="20"/>
  <c r="W260" i="20"/>
  <c r="W578" i="20"/>
  <c r="V1075" i="20"/>
  <c r="W531" i="20"/>
  <c r="V286" i="20"/>
  <c r="W1510" i="20"/>
  <c r="W586" i="20"/>
  <c r="V656" i="20"/>
  <c r="V1481" i="20"/>
  <c r="V1457" i="20"/>
  <c r="V1421" i="20"/>
  <c r="W630" i="20"/>
  <c r="W1359" i="20"/>
  <c r="V700" i="20"/>
  <c r="V1109" i="20"/>
  <c r="W135" i="20"/>
  <c r="W1309" i="20"/>
  <c r="V79" i="20"/>
  <c r="W1401" i="20"/>
  <c r="V696" i="20"/>
  <c r="W853" i="20"/>
  <c r="V615" i="20"/>
  <c r="W1556" i="20"/>
  <c r="V1447" i="20"/>
  <c r="V1551" i="20"/>
  <c r="V508" i="20"/>
  <c r="V1589" i="20"/>
  <c r="W1400" i="20"/>
  <c r="V351" i="20"/>
  <c r="W787" i="20"/>
  <c r="W604" i="20"/>
  <c r="W773" i="20"/>
  <c r="W624" i="20"/>
  <c r="V689" i="20"/>
  <c r="W631" i="20"/>
  <c r="W1541" i="20"/>
  <c r="W1540" i="20"/>
  <c r="V119" i="20"/>
  <c r="V1994" i="20"/>
  <c r="V1575" i="20"/>
  <c r="V134" i="20"/>
  <c r="W938" i="20"/>
  <c r="V855" i="20"/>
  <c r="V1291" i="20"/>
  <c r="V186" i="20"/>
  <c r="W701" i="20"/>
  <c r="W728" i="20"/>
  <c r="W1154" i="20"/>
  <c r="W1391" i="20"/>
  <c r="W589" i="20"/>
  <c r="V1537" i="20"/>
  <c r="V1568" i="20"/>
  <c r="W1457" i="20"/>
  <c r="W640" i="20"/>
  <c r="W1020" i="20"/>
  <c r="W482" i="20"/>
  <c r="V310" i="20"/>
  <c r="W1509" i="20"/>
  <c r="W1079" i="20"/>
  <c r="W789" i="20"/>
  <c r="V1432" i="20"/>
  <c r="W552" i="20"/>
  <c r="W888" i="20"/>
  <c r="W628" i="20"/>
  <c r="V1411" i="20"/>
  <c r="W279" i="20"/>
  <c r="W1053" i="20"/>
  <c r="W573" i="20"/>
  <c r="V49" i="20"/>
  <c r="W1275" i="20"/>
  <c r="W969" i="20"/>
  <c r="W675" i="20"/>
  <c r="W1334" i="20"/>
  <c r="V776" i="20"/>
  <c r="V644" i="20"/>
  <c r="W481" i="20"/>
  <c r="V793" i="20"/>
  <c r="V1346" i="20"/>
  <c r="V945" i="20"/>
  <c r="V511" i="20"/>
  <c r="V1286" i="20"/>
  <c r="W559" i="20"/>
  <c r="W100" i="20"/>
  <c r="W502" i="20"/>
  <c r="W374" i="20"/>
  <c r="V1113" i="20"/>
  <c r="V517" i="20"/>
  <c r="W1363" i="20"/>
  <c r="V244" i="20"/>
  <c r="W1489" i="20"/>
  <c r="V740" i="20"/>
  <c r="V1372" i="20"/>
  <c r="V1526" i="20"/>
  <c r="W1332" i="20"/>
  <c r="W1437" i="20"/>
  <c r="W1339" i="20"/>
  <c r="V1465" i="20"/>
  <c r="W647" i="20"/>
  <c r="W354" i="20"/>
  <c r="W924" i="20"/>
  <c r="V1455" i="20"/>
  <c r="W714" i="20"/>
  <c r="V1546" i="20"/>
  <c r="V347" i="20"/>
  <c r="V1292" i="20"/>
  <c r="W1959" i="20"/>
  <c r="W131" i="20"/>
  <c r="W722" i="20"/>
  <c r="V661" i="20"/>
  <c r="W245" i="20"/>
  <c r="W1438" i="20"/>
  <c r="V1108" i="20"/>
  <c r="W1276" i="20"/>
  <c r="W1088" i="20"/>
  <c r="V1964" i="20"/>
  <c r="V1105" i="20"/>
  <c r="W864" i="20"/>
  <c r="V1168" i="20"/>
  <c r="W1003" i="20"/>
  <c r="V1511" i="20"/>
  <c r="W537" i="20"/>
  <c r="W1579" i="20"/>
  <c r="V336" i="20"/>
  <c r="V541" i="20"/>
  <c r="W480" i="20"/>
  <c r="W1365" i="20"/>
  <c r="W244" i="20"/>
  <c r="W149" i="20"/>
  <c r="W1289" i="20"/>
  <c r="V1350" i="20"/>
  <c r="V271" i="20"/>
  <c r="V537" i="20"/>
  <c r="W1498" i="20"/>
  <c r="V1073" i="20"/>
  <c r="V710" i="20"/>
  <c r="W61" i="20"/>
  <c r="V1462" i="20"/>
  <c r="V928" i="20"/>
  <c r="V259" i="20"/>
  <c r="V507" i="20"/>
  <c r="V1064" i="20"/>
  <c r="W1520" i="20"/>
  <c r="V1160" i="20"/>
  <c r="V1543" i="20"/>
  <c r="V1039" i="20"/>
  <c r="W890" i="20"/>
  <c r="V334" i="20"/>
  <c r="V346" i="20"/>
  <c r="W196" i="20"/>
  <c r="W1354" i="20"/>
  <c r="W1536" i="20"/>
  <c r="W204" i="20"/>
  <c r="V1382" i="20"/>
  <c r="V249" i="20"/>
  <c r="V81" i="20"/>
  <c r="V995" i="20"/>
  <c r="V682" i="20"/>
  <c r="W1430" i="20"/>
  <c r="W768" i="20"/>
  <c r="V490" i="20"/>
  <c r="W639" i="20"/>
  <c r="W1402" i="20"/>
  <c r="V614" i="20"/>
  <c r="V1063" i="20"/>
  <c r="V215" i="20"/>
  <c r="W1310" i="20"/>
  <c r="W685" i="20"/>
  <c r="W550" i="20"/>
  <c r="W593" i="20"/>
  <c r="W683" i="20"/>
  <c r="V1369" i="20"/>
  <c r="W995" i="20"/>
  <c r="W1301" i="20"/>
  <c r="W1587" i="20"/>
  <c r="V600" i="20"/>
  <c r="W64" i="20"/>
  <c r="V1553" i="20"/>
  <c r="W758" i="20"/>
  <c r="V884" i="20"/>
  <c r="V64" i="20"/>
  <c r="V1981" i="20"/>
  <c r="V1882" i="20"/>
  <c r="V1569" i="20"/>
  <c r="W1297" i="20"/>
  <c r="V506" i="20"/>
  <c r="W1369" i="20"/>
  <c r="W1511" i="20"/>
  <c r="W644" i="20"/>
  <c r="V1035" i="20"/>
  <c r="W1519" i="20"/>
  <c r="W1562" i="20"/>
  <c r="W1298" i="20"/>
  <c r="V1276" i="20"/>
  <c r="W1455" i="20"/>
  <c r="W681" i="20"/>
  <c r="W1479" i="20"/>
  <c r="W671" i="20"/>
  <c r="W1038" i="20"/>
  <c r="V753" i="20"/>
  <c r="V1324" i="20"/>
  <c r="V1403" i="20"/>
  <c r="W535" i="20"/>
  <c r="V874" i="20"/>
  <c r="W676" i="20"/>
  <c r="V631" i="20"/>
  <c r="V503" i="20"/>
  <c r="V747" i="20"/>
  <c r="V364" i="20"/>
  <c r="V531" i="20"/>
  <c r="W200" i="20"/>
  <c r="W695" i="20"/>
  <c r="W1560" i="20"/>
  <c r="W1484" i="20"/>
  <c r="V1333" i="20"/>
  <c r="W873" i="20"/>
  <c r="V1295" i="20"/>
  <c r="W361" i="20"/>
  <c r="W794" i="20"/>
  <c r="W185" i="20"/>
  <c r="V374" i="20"/>
  <c r="V1343" i="20"/>
  <c r="V757" i="20"/>
  <c r="V219" i="20"/>
  <c r="V95" i="20"/>
  <c r="W1283" i="20"/>
  <c r="W1998" i="20"/>
  <c r="V955" i="20"/>
  <c r="W1527" i="20"/>
  <c r="W1058" i="20"/>
  <c r="V1114" i="20"/>
  <c r="W256" i="20"/>
  <c r="V521" i="20"/>
  <c r="V234" i="20"/>
  <c r="W1988" i="20"/>
  <c r="V1476" i="20"/>
  <c r="V666" i="20"/>
  <c r="W1380" i="20"/>
  <c r="V653" i="20"/>
  <c r="V1497" i="20"/>
  <c r="W1387" i="20"/>
  <c r="V335" i="20"/>
  <c r="V1590" i="20"/>
  <c r="V1435" i="20"/>
  <c r="W738" i="20"/>
  <c r="V1169" i="20"/>
  <c r="V324" i="20"/>
  <c r="W336" i="20"/>
  <c r="V547" i="20"/>
  <c r="V1349" i="20"/>
  <c r="V1294" i="20"/>
  <c r="W492" i="20"/>
  <c r="V532" i="20"/>
  <c r="W109" i="20"/>
  <c r="V135" i="20"/>
  <c r="V1305" i="20"/>
  <c r="W1362" i="20"/>
  <c r="W518" i="20"/>
  <c r="W524" i="20"/>
  <c r="W776" i="20"/>
  <c r="W940" i="20"/>
  <c r="V1576" i="20"/>
  <c r="W1055" i="20"/>
  <c r="V1387" i="20"/>
  <c r="W960" i="20"/>
  <c r="W346" i="20"/>
  <c r="W84" i="20"/>
  <c r="V1079" i="20"/>
  <c r="W1347" i="20"/>
  <c r="W355" i="20"/>
  <c r="W1009" i="20"/>
  <c r="V965" i="20"/>
  <c r="V1353" i="20"/>
  <c r="V864" i="20"/>
  <c r="V1327" i="20"/>
  <c r="V1998" i="20"/>
  <c r="V1090" i="20"/>
  <c r="V498" i="20"/>
  <c r="V225" i="20"/>
  <c r="V340" i="20"/>
  <c r="V1312" i="20"/>
  <c r="W335" i="20"/>
  <c r="W930" i="20"/>
  <c r="W769" i="20"/>
  <c r="V46" i="20"/>
  <c r="W755" i="20"/>
  <c r="W926" i="20"/>
  <c r="W1537" i="20"/>
  <c r="W1139" i="20"/>
  <c r="W1573" i="20"/>
  <c r="W493" i="20"/>
  <c r="V664" i="20"/>
  <c r="W928" i="20"/>
  <c r="V1520" i="20"/>
  <c r="V535" i="20"/>
  <c r="W759" i="20"/>
  <c r="V563" i="20"/>
  <c r="V1500" i="20"/>
  <c r="V1498" i="20"/>
  <c r="W598" i="20"/>
  <c r="V160" i="20"/>
  <c r="W1282" i="20"/>
  <c r="W1000" i="20"/>
  <c r="V730" i="20"/>
  <c r="V1316" i="20"/>
  <c r="V586" i="20"/>
  <c r="V623" i="20"/>
  <c r="V146" i="20"/>
  <c r="V1503" i="20"/>
  <c r="W349" i="20"/>
  <c r="V687" i="20"/>
  <c r="W1095" i="20"/>
  <c r="V1329" i="20"/>
  <c r="V658" i="20"/>
  <c r="W1978" i="20"/>
  <c r="V1509" i="20"/>
  <c r="W664" i="20"/>
  <c r="V573" i="20"/>
  <c r="V983" i="20"/>
  <c r="W672" i="20"/>
  <c r="V315" i="20"/>
  <c r="W795" i="20"/>
  <c r="W59" i="20"/>
  <c r="W50" i="20"/>
  <c r="V299" i="20"/>
  <c r="V935" i="20"/>
  <c r="V741" i="20"/>
  <c r="V1485" i="20"/>
  <c r="V359" i="20"/>
  <c r="V171" i="20"/>
  <c r="W1306" i="20"/>
  <c r="V276" i="20"/>
  <c r="W620" i="20"/>
  <c r="W1442" i="20"/>
  <c r="V679" i="20"/>
  <c r="W1284" i="20"/>
  <c r="W1518" i="20"/>
  <c r="W1292" i="20"/>
  <c r="V1581" i="20"/>
  <c r="W1099" i="20"/>
  <c r="V60" i="20"/>
  <c r="V1163" i="20"/>
  <c r="W1330" i="20"/>
  <c r="V321" i="20"/>
  <c r="W1383" i="20"/>
  <c r="V1078" i="20"/>
  <c r="V1518" i="20"/>
  <c r="V1133" i="20"/>
  <c r="V1317" i="20"/>
  <c r="W707" i="20"/>
  <c r="V84" i="20"/>
  <c r="V1499" i="20"/>
  <c r="W1414" i="20"/>
  <c r="V767" i="20"/>
  <c r="V1285" i="20"/>
  <c r="W575" i="20"/>
  <c r="V1013" i="20"/>
  <c r="W766" i="20"/>
  <c r="V581" i="20"/>
  <c r="W565" i="20"/>
  <c r="V1559" i="20"/>
  <c r="V567" i="20"/>
  <c r="W49" i="20"/>
  <c r="W1158" i="20"/>
  <c r="V707" i="20"/>
  <c r="W86" i="20"/>
  <c r="V655" i="20"/>
  <c r="W1329" i="20"/>
  <c r="V1123" i="20"/>
  <c r="W111" i="20"/>
  <c r="V494" i="20"/>
  <c r="W484" i="20"/>
  <c r="W1423" i="20"/>
  <c r="V1284" i="20"/>
  <c r="W840" i="20"/>
  <c r="W1462" i="20"/>
  <c r="V224" i="20"/>
  <c r="V627" i="20"/>
  <c r="V66" i="20"/>
  <c r="V484" i="20"/>
  <c r="V179" i="20"/>
  <c r="V355" i="20"/>
  <c r="V594" i="20"/>
  <c r="W289" i="20"/>
  <c r="V1159" i="20"/>
  <c r="W1477" i="20"/>
  <c r="W311" i="20"/>
  <c r="W1494" i="20"/>
  <c r="V943" i="20"/>
  <c r="W1135" i="20"/>
  <c r="V1024" i="20"/>
  <c r="V281" i="20"/>
  <c r="V86" i="20"/>
  <c r="V875" i="20"/>
  <c r="W555" i="20"/>
  <c r="W950" i="20"/>
  <c r="V1542" i="20"/>
  <c r="W781" i="20"/>
  <c r="V1321" i="20"/>
  <c r="W1592" i="20"/>
  <c r="W843" i="20"/>
  <c r="V606" i="20"/>
  <c r="W783" i="20"/>
  <c r="W889" i="20"/>
  <c r="V100" i="20"/>
  <c r="W585" i="20"/>
  <c r="V1356" i="20"/>
  <c r="W708" i="20"/>
  <c r="V111" i="20"/>
  <c r="W505" i="20"/>
  <c r="V751" i="20"/>
  <c r="V725" i="20"/>
  <c r="W893" i="20"/>
  <c r="V744" i="20"/>
  <c r="W710" i="20"/>
  <c r="V495" i="20"/>
  <c r="W236" i="20"/>
  <c r="V509" i="20"/>
  <c r="V1371" i="20"/>
  <c r="W1582" i="20"/>
  <c r="V723" i="20"/>
  <c r="V211" i="20"/>
  <c r="W276" i="20"/>
  <c r="W655" i="20"/>
  <c r="W1141" i="20"/>
  <c r="W1068" i="20"/>
  <c r="V1084" i="20"/>
  <c r="W1466" i="20"/>
  <c r="V729" i="20"/>
  <c r="V574" i="20"/>
  <c r="V1275" i="20"/>
  <c r="W1034" i="20"/>
  <c r="V1505" i="20"/>
  <c r="V713" i="20"/>
  <c r="V686" i="20"/>
  <c r="V522" i="20"/>
  <c r="V1490" i="20"/>
  <c r="W522" i="20"/>
  <c r="V529" i="20"/>
  <c r="W984" i="20"/>
  <c r="W1384" i="20"/>
  <c r="V652" i="20"/>
  <c r="W1328" i="20"/>
  <c r="V1050" i="20"/>
  <c r="W1129" i="20"/>
  <c r="V731" i="20"/>
  <c r="W1446" i="20"/>
  <c r="V502" i="20"/>
  <c r="V330" i="20"/>
  <c r="W1345" i="20"/>
  <c r="V314" i="20"/>
  <c r="W1104" i="20"/>
  <c r="W235" i="20"/>
  <c r="V748" i="20"/>
  <c r="W1418" i="20"/>
  <c r="W76" i="20"/>
  <c r="V1300" i="20"/>
  <c r="W680" i="20"/>
  <c r="V870" i="20"/>
  <c r="V1325" i="20"/>
  <c r="W1337" i="20"/>
  <c r="V716" i="20"/>
  <c r="W790" i="20"/>
  <c r="W206" i="20"/>
  <c r="W939" i="20"/>
  <c r="V94" i="20"/>
  <c r="V1296" i="20"/>
  <c r="W1123" i="20"/>
  <c r="V1517" i="20"/>
  <c r="W281" i="20"/>
  <c r="V739" i="20"/>
  <c r="V849" i="20"/>
  <c r="W1486" i="20"/>
  <c r="V1318" i="20"/>
  <c r="V1362" i="20"/>
  <c r="W1410" i="20"/>
  <c r="V1110" i="20"/>
  <c r="V1308" i="20"/>
  <c r="W1080" i="20"/>
  <c r="W1385" i="20"/>
  <c r="V59" i="20"/>
  <c r="V1376" i="20"/>
  <c r="V190" i="20"/>
  <c r="V695" i="20"/>
  <c r="V1278" i="20"/>
  <c r="W934" i="20"/>
  <c r="V1561" i="20"/>
  <c r="W1481" i="20"/>
  <c r="W1999" i="20"/>
  <c r="W859" i="20"/>
  <c r="W774" i="20"/>
  <c r="V1523" i="20"/>
  <c r="W1390" i="20"/>
  <c r="V1478" i="20"/>
  <c r="W1996" i="20"/>
  <c r="V1034" i="20"/>
  <c r="V785" i="20"/>
  <c r="W296" i="20"/>
  <c r="W632" i="20"/>
  <c r="W689" i="20"/>
  <c r="W140" i="20"/>
  <c r="V1345" i="20"/>
  <c r="W900" i="20"/>
  <c r="V104" i="20"/>
  <c r="V1053" i="20"/>
  <c r="V1525" i="20"/>
  <c r="W1588" i="20"/>
  <c r="W894" i="20"/>
  <c r="W1083" i="20"/>
  <c r="W1589" i="20"/>
  <c r="W1333" i="20"/>
  <c r="W508" i="20"/>
  <c r="V1453" i="20"/>
  <c r="V1997" i="20"/>
  <c r="W1973" i="20"/>
  <c r="W1590" i="20"/>
  <c r="W1035" i="20"/>
  <c r="V616" i="20"/>
  <c r="W1296" i="20"/>
  <c r="W106" i="20"/>
  <c r="W1459" i="20"/>
  <c r="V2000" i="20"/>
  <c r="W653" i="20"/>
  <c r="V1290" i="20"/>
  <c r="V1560" i="20"/>
  <c r="V554" i="20"/>
  <c r="W1884" i="20"/>
  <c r="V714" i="20"/>
  <c r="V539" i="20"/>
  <c r="V1990" i="20"/>
  <c r="V166" i="20"/>
  <c r="V1338" i="20"/>
  <c r="W1341" i="20"/>
  <c r="V1094" i="20"/>
  <c r="W854" i="20"/>
  <c r="V702" i="20"/>
  <c r="W656" i="20"/>
  <c r="W299" i="20"/>
  <c r="V1515" i="20"/>
  <c r="V1375" i="20"/>
  <c r="W1360" i="20"/>
  <c r="V264" i="20"/>
  <c r="W629" i="20"/>
  <c r="V1491" i="20"/>
  <c r="W1279" i="20"/>
  <c r="V1155" i="20"/>
  <c r="V1390" i="20"/>
  <c r="V1025" i="20"/>
  <c r="W985" i="20"/>
  <c r="W375" i="20"/>
  <c r="V1015" i="20"/>
  <c r="W1516" i="20"/>
  <c r="V1401" i="20"/>
  <c r="V761" i="20"/>
  <c r="V989" i="20"/>
  <c r="V175" i="20"/>
  <c r="V1446" i="20"/>
  <c r="V670" i="20"/>
  <c r="W224" i="20"/>
  <c r="W1149" i="20"/>
  <c r="W693" i="20"/>
  <c r="W1515" i="20"/>
  <c r="W1317" i="20"/>
  <c r="V1506" i="20"/>
  <c r="W1491" i="20"/>
  <c r="W1968" i="20"/>
  <c r="V580" i="20"/>
  <c r="V1961" i="20"/>
  <c r="W345" i="20"/>
  <c r="V170" i="20"/>
  <c r="V1019" i="20"/>
  <c r="W1454" i="20"/>
  <c r="W1979" i="20"/>
  <c r="W527" i="20"/>
  <c r="W975" i="20"/>
  <c r="V1992" i="20"/>
  <c r="W1424" i="20"/>
  <c r="W488" i="20"/>
  <c r="W1054" i="20"/>
  <c r="V114" i="20"/>
  <c r="W495" i="20"/>
  <c r="V354" i="20"/>
  <c r="W1417" i="20"/>
  <c r="W1287" i="20"/>
  <c r="V1099" i="20"/>
  <c r="V1115" i="20"/>
  <c r="W913" i="20"/>
  <c r="V115" i="20"/>
  <c r="V1277" i="20"/>
  <c r="W1492" i="20"/>
  <c r="W1090" i="20"/>
  <c r="W1496" i="20"/>
  <c r="V608" i="20"/>
  <c r="V1391" i="20"/>
  <c r="W1470" i="20"/>
  <c r="V948" i="20"/>
  <c r="V772" i="20"/>
  <c r="W899" i="20"/>
  <c r="V1438" i="20"/>
  <c r="W1411" i="20"/>
  <c r="W534" i="20"/>
  <c r="V1363" i="20"/>
  <c r="W512" i="20"/>
  <c r="V1959" i="20"/>
  <c r="V55" i="20"/>
  <c r="V719" i="20"/>
  <c r="V311" i="20"/>
  <c r="W543" i="20"/>
  <c r="W767" i="20"/>
  <c r="W89" i="20"/>
  <c r="V1504" i="20"/>
  <c r="V665" i="20"/>
  <c r="V361" i="20"/>
  <c r="W622" i="20"/>
  <c r="V1988" i="20"/>
  <c r="V528" i="20"/>
  <c r="W739" i="20"/>
  <c r="W915" i="20"/>
  <c r="V1054" i="20"/>
  <c r="W130" i="20"/>
  <c r="V617" i="20"/>
  <c r="V699" i="20"/>
  <c r="V295" i="20"/>
  <c r="W1448" i="20"/>
  <c r="V125" i="20"/>
  <c r="V85" i="20"/>
  <c r="V782" i="20"/>
  <c r="W1984" i="20"/>
  <c r="V1578" i="20"/>
  <c r="V919" i="20"/>
  <c r="W483" i="20"/>
  <c r="V624" i="20"/>
  <c r="V587" i="20"/>
  <c r="V136" i="20"/>
  <c r="V622" i="20"/>
  <c r="V1970" i="20"/>
  <c r="V161" i="20"/>
  <c r="W304" i="20"/>
  <c r="V784" i="20"/>
  <c r="W1134" i="20"/>
  <c r="W914" i="20"/>
  <c r="V1471" i="20"/>
  <c r="W704" i="20"/>
  <c r="W1468" i="20"/>
  <c r="W1015" i="20"/>
  <c r="V796" i="20"/>
  <c r="V858" i="20"/>
  <c r="W1293" i="20"/>
  <c r="W968" i="20"/>
  <c r="V890" i="20"/>
  <c r="V620" i="20"/>
  <c r="W865" i="20"/>
  <c r="V727" i="20"/>
  <c r="W1555" i="20"/>
  <c r="V1043" i="20"/>
  <c r="W159" i="20"/>
  <c r="W485" i="20"/>
  <c r="W1125" i="20"/>
  <c r="V552" i="20"/>
  <c r="W688" i="20"/>
  <c r="V598" i="20"/>
  <c r="W623" i="20"/>
  <c r="V611" i="20"/>
  <c r="V1328" i="20"/>
  <c r="V216" i="20"/>
  <c r="W1352" i="20"/>
  <c r="V959" i="20"/>
  <c r="V304" i="20"/>
  <c r="V1999" i="20"/>
  <c r="W329" i="20"/>
  <c r="W557" i="20"/>
  <c r="V1512" i="20"/>
  <c r="V688" i="20"/>
  <c r="W663" i="20"/>
  <c r="W993" i="20"/>
  <c r="V1452" i="20"/>
  <c r="V960" i="20"/>
  <c r="V1473" i="20"/>
  <c r="V1978" i="20"/>
  <c r="V145" i="20"/>
  <c r="V958" i="20"/>
  <c r="V373" i="20"/>
  <c r="V1413" i="20"/>
  <c r="W584" i="20"/>
  <c r="V542" i="20"/>
  <c r="V360" i="20"/>
  <c r="W980" i="20"/>
  <c r="W201" i="20"/>
  <c r="W895" i="20"/>
  <c r="W509" i="20"/>
  <c r="W744" i="20"/>
  <c r="W214" i="20"/>
  <c r="W751" i="20"/>
  <c r="V1146" i="20"/>
  <c r="W1033" i="20"/>
  <c r="W538" i="20"/>
  <c r="W1029" i="20"/>
  <c r="V684" i="20"/>
  <c r="W673" i="20"/>
  <c r="W1105" i="20"/>
  <c r="V918" i="20"/>
  <c r="V1571" i="20"/>
  <c r="V231" i="20"/>
  <c r="W115" i="20"/>
  <c r="V1494" i="20"/>
  <c r="W1326" i="20"/>
  <c r="W587" i="20"/>
  <c r="W743" i="20"/>
  <c r="W1351" i="20"/>
  <c r="V1475" i="20"/>
  <c r="V795" i="20"/>
  <c r="W1128" i="20"/>
  <c r="V674" i="20"/>
  <c r="W489" i="20"/>
  <c r="W933" i="20"/>
  <c r="V1083" i="20"/>
  <c r="V1532" i="20"/>
  <c r="W1495" i="20"/>
  <c r="W792" i="20"/>
  <c r="W519" i="20"/>
  <c r="W1513" i="20"/>
  <c r="V975" i="20"/>
  <c r="V76" i="20"/>
  <c r="W295" i="20"/>
  <c r="V645" i="20"/>
  <c r="V763" i="20"/>
  <c r="V597" i="20"/>
  <c r="V734" i="20"/>
  <c r="V1384" i="20"/>
  <c r="V788" i="20"/>
  <c r="V878" i="20"/>
  <c r="W164" i="20"/>
  <c r="W698" i="20"/>
  <c r="V500" i="20"/>
  <c r="W1433" i="20"/>
  <c r="V169" i="20"/>
  <c r="V1029" i="20"/>
  <c r="V1975" i="20"/>
  <c r="V131" i="20"/>
  <c r="V1477" i="20"/>
  <c r="W370" i="20"/>
  <c r="V746" i="20"/>
  <c r="W617" i="20"/>
  <c r="W943" i="20"/>
  <c r="W1970" i="20"/>
  <c r="V605" i="20"/>
  <c r="W1163" i="20"/>
  <c r="W1502" i="20"/>
  <c r="W786" i="20"/>
  <c r="W1561" i="20"/>
  <c r="W1485" i="20"/>
  <c r="W970" i="20"/>
  <c r="W1975" i="20"/>
  <c r="V628" i="20"/>
  <c r="W1886" i="20"/>
  <c r="W490" i="20"/>
  <c r="W1482" i="20"/>
  <c r="V245" i="20"/>
  <c r="V1336" i="20"/>
  <c r="V1549" i="20"/>
  <c r="V771" i="20"/>
  <c r="W75" i="20"/>
  <c r="W879" i="20"/>
  <c r="V1319" i="20"/>
  <c r="V501" i="20"/>
  <c r="W166" i="20"/>
  <c r="W918" i="20"/>
  <c r="V1297" i="20"/>
  <c r="W261" i="20"/>
  <c r="W300" i="20"/>
  <c r="V1550" i="20"/>
  <c r="V126" i="20"/>
  <c r="W1568" i="20"/>
  <c r="V1472" i="20"/>
  <c r="V638" i="20"/>
  <c r="W612" i="20"/>
  <c r="V1449" i="20"/>
  <c r="W737" i="20"/>
  <c r="W129" i="20"/>
  <c r="W944" i="20"/>
  <c r="W1550" i="20"/>
  <c r="V1348" i="20"/>
  <c r="V769" i="20"/>
  <c r="V1354" i="20"/>
  <c r="V1513" i="20"/>
  <c r="W1441" i="20"/>
  <c r="V1347" i="20"/>
  <c r="V526" i="20"/>
  <c r="V1420" i="20"/>
  <c r="W1374" i="20"/>
  <c r="W666" i="20"/>
  <c r="W764" i="20"/>
  <c r="V316" i="20"/>
  <c r="W1004" i="20"/>
  <c r="W1453" i="20"/>
  <c r="V1528" i="20"/>
  <c r="W330" i="20"/>
  <c r="W1546" i="20"/>
  <c r="V1088" i="20"/>
  <c r="V1335" i="20"/>
  <c r="W713" i="20"/>
  <c r="V1466" i="20"/>
  <c r="V701" i="20"/>
  <c r="V633" i="20"/>
  <c r="V787" i="20"/>
  <c r="V184" i="20"/>
  <c r="W530" i="20"/>
  <c r="W539" i="20"/>
  <c r="V1306" i="20"/>
  <c r="W1355" i="20"/>
  <c r="V230" i="20"/>
  <c r="W762" i="20"/>
  <c r="W1456" i="20"/>
  <c r="V1585" i="20"/>
  <c r="W1465" i="20"/>
  <c r="V762" i="20"/>
  <c r="W526" i="20"/>
  <c r="W116" i="20"/>
  <c r="V568" i="20"/>
  <c r="W331" i="20"/>
  <c r="W516" i="20"/>
  <c r="V371" i="20"/>
  <c r="V375" i="20"/>
  <c r="V1454" i="20"/>
  <c r="V640" i="20"/>
  <c r="V625" i="20"/>
  <c r="W1323" i="20"/>
  <c r="W1367" i="20"/>
  <c r="W1563" i="20"/>
  <c r="W1059" i="20"/>
  <c r="V139" i="20"/>
  <c r="V1167" i="20"/>
  <c r="V557" i="20"/>
  <c r="W718" i="20"/>
  <c r="W735" i="20"/>
  <c r="W286" i="20"/>
  <c r="V306" i="20"/>
  <c r="W1025" i="20"/>
  <c r="W1024" i="20"/>
  <c r="V1956" i="20"/>
  <c r="W1571" i="20"/>
  <c r="V156" i="20"/>
  <c r="W1039" i="20"/>
  <c r="V843" i="20"/>
  <c r="V189" i="20"/>
  <c r="W1474" i="20"/>
  <c r="V726" i="20"/>
  <c r="W251" i="20"/>
  <c r="W574" i="20"/>
  <c r="V1068" i="20"/>
  <c r="W1966" i="20"/>
  <c r="W583" i="20"/>
  <c r="W1512" i="20"/>
  <c r="W1078" i="20"/>
  <c r="W1507" i="20"/>
  <c r="V1323" i="20"/>
  <c r="W1308" i="20"/>
  <c r="W1159" i="20"/>
  <c r="V940" i="20"/>
  <c r="V325" i="20"/>
  <c r="V1996" i="20"/>
  <c r="V939" i="20"/>
  <c r="W778" i="20"/>
  <c r="W1435" i="20"/>
  <c r="V596" i="20"/>
  <c r="V294" i="20"/>
  <c r="W56" i="20"/>
  <c r="V1153" i="20"/>
  <c r="W156" i="20"/>
  <c r="W564" i="20"/>
  <c r="V1430" i="20"/>
  <c r="V1437" i="20"/>
  <c r="W1528" i="20"/>
  <c r="V715" i="20"/>
  <c r="V595" i="20"/>
  <c r="V703" i="20"/>
  <c r="V1059" i="20"/>
  <c r="V555" i="20"/>
  <c r="V296" i="20"/>
  <c r="W134" i="20"/>
  <c r="W1994" i="20"/>
  <c r="V56" i="20"/>
  <c r="V70" i="20"/>
  <c r="V1341" i="20"/>
  <c r="V1410" i="20"/>
  <c r="W1118" i="20"/>
  <c r="W1983" i="20"/>
  <c r="W725" i="20"/>
  <c r="W964" i="20"/>
  <c r="W1960" i="20"/>
  <c r="W606" i="20"/>
  <c r="V738" i="20"/>
  <c r="W692" i="20"/>
  <c r="W868" i="20"/>
  <c r="W1274" i="20"/>
  <c r="V1564" i="20"/>
  <c r="V1424" i="20"/>
  <c r="V618" i="20"/>
  <c r="W547" i="20"/>
  <c r="V697" i="20"/>
  <c r="W658" i="20"/>
  <c r="W1364" i="20"/>
  <c r="V1326" i="20"/>
  <c r="V566" i="20"/>
  <c r="V737" i="20"/>
  <c r="V626" i="20"/>
  <c r="V260" i="20"/>
  <c r="W269" i="20"/>
  <c r="V518" i="20"/>
  <c r="W169" i="20"/>
  <c r="V1150" i="20"/>
  <c r="W314" i="20"/>
  <c r="V129" i="20"/>
  <c r="V1048" i="20"/>
  <c r="W69" i="20"/>
  <c r="W371" i="20"/>
  <c r="V54" i="20"/>
  <c r="V1474" i="20"/>
  <c r="W180" i="20"/>
  <c r="V1484" i="20"/>
  <c r="V893" i="20"/>
  <c r="W294" i="20"/>
  <c r="W1343" i="20"/>
  <c r="W1399" i="20"/>
  <c r="W595" i="20"/>
  <c r="V1164" i="20"/>
  <c r="W1461" i="20"/>
  <c r="V1119" i="20"/>
  <c r="W1379" i="20"/>
  <c r="V578" i="20"/>
  <c r="W634" i="20"/>
  <c r="V1044" i="20"/>
  <c r="V195" i="20"/>
  <c r="V241" i="20"/>
  <c r="V485" i="20"/>
  <c r="W1449" i="20"/>
  <c r="W699" i="20"/>
  <c r="W160" i="20"/>
  <c r="W734" i="20"/>
  <c r="W1145" i="20"/>
  <c r="W319" i="20"/>
  <c r="W571" i="20"/>
  <c r="W1440" i="20"/>
  <c r="V487" i="20"/>
  <c r="V180" i="20"/>
  <c r="W1971" i="20"/>
  <c r="W146" i="20"/>
  <c r="V1423" i="20"/>
  <c r="W674" i="20"/>
  <c r="W645" i="20"/>
  <c r="V1418" i="20"/>
  <c r="W626" i="20"/>
  <c r="W1962" i="20"/>
  <c r="V1386" i="20"/>
  <c r="V1406" i="20"/>
  <c r="V546" i="20"/>
  <c r="V1279" i="20"/>
  <c r="V1378" i="20"/>
  <c r="W1505" i="20"/>
  <c r="W1074" i="20"/>
  <c r="V205" i="20"/>
  <c r="V1987" i="20"/>
  <c r="V548" i="20"/>
  <c r="V601" i="20"/>
  <c r="V1565" i="20"/>
  <c r="V641" i="20"/>
  <c r="W1357" i="20"/>
  <c r="V1482" i="20"/>
  <c r="V279" i="20"/>
  <c r="W1049" i="20"/>
  <c r="W959" i="20"/>
  <c r="W511" i="20"/>
  <c r="V1426" i="20"/>
  <c r="W525" i="20"/>
  <c r="V269" i="20"/>
  <c r="W641" i="20"/>
  <c r="V698" i="20"/>
  <c r="W1974" i="20"/>
  <c r="W860" i="20"/>
  <c r="V1463" i="20"/>
  <c r="V1965" i="20"/>
  <c r="W145" i="20"/>
  <c r="V101" i="20"/>
  <c r="W239" i="20"/>
  <c r="W1050" i="20"/>
  <c r="W95" i="20"/>
  <c r="W1013" i="20"/>
  <c r="W1044" i="20"/>
  <c r="W1325" i="20"/>
  <c r="V284" i="20"/>
  <c r="V1154" i="20"/>
  <c r="W1535" i="20"/>
  <c r="W1987" i="20"/>
  <c r="W234" i="20"/>
  <c r="W1564" i="20"/>
  <c r="W65" i="20"/>
  <c r="V483" i="20"/>
  <c r="W1415" i="20"/>
  <c r="W636" i="20"/>
  <c r="V974" i="20"/>
  <c r="V588" i="20"/>
  <c r="W560" i="20"/>
  <c r="V1422" i="20"/>
  <c r="W1955" i="20"/>
  <c r="W925" i="20"/>
  <c r="W678" i="20"/>
  <c r="V1303" i="20"/>
  <c r="W923" i="20"/>
  <c r="V646" i="20"/>
  <c r="W1993" i="20"/>
  <c r="W581" i="20"/>
  <c r="W1346" i="20"/>
  <c r="W1069" i="20"/>
  <c r="W711" i="20"/>
  <c r="V1989" i="20"/>
  <c r="V728" i="20"/>
  <c r="W514" i="20"/>
  <c r="W1108" i="20"/>
  <c r="V562" i="20"/>
  <c r="W1493" i="20"/>
  <c r="V865" i="20"/>
  <c r="V659" i="20"/>
  <c r="W179" i="20"/>
  <c r="W1565" i="20"/>
  <c r="W721" i="20"/>
  <c r="W1544" i="20"/>
  <c r="V873" i="20"/>
  <c r="V352" i="20"/>
  <c r="V1009" i="20"/>
  <c r="V91" i="20"/>
  <c r="W1322" i="20"/>
  <c r="W717" i="20"/>
  <c r="V110" i="20"/>
  <c r="W654" i="20"/>
  <c r="V1469" i="20"/>
  <c r="W216" i="20"/>
  <c r="W504" i="20"/>
  <c r="V480" i="20"/>
  <c r="V551" i="20"/>
  <c r="W635" i="20"/>
  <c r="V1962" i="20"/>
  <c r="W2000" i="20"/>
  <c r="W1483" i="20"/>
  <c r="W614" i="20"/>
  <c r="V1483" i="20"/>
  <c r="V711" i="20"/>
  <c r="V778" i="20"/>
  <c r="W1997" i="20"/>
  <c r="V654" i="20"/>
  <c r="W665" i="20"/>
  <c r="V603" i="20"/>
  <c r="W334" i="20"/>
  <c r="W1348" i="20"/>
  <c r="V289" i="20"/>
  <c r="V1493" i="20"/>
  <c r="W1880" i="20"/>
  <c r="W191" i="20"/>
  <c r="W600" i="20"/>
  <c r="W651" i="20"/>
  <c r="W855" i="20"/>
  <c r="W746" i="20"/>
  <c r="V929" i="20"/>
  <c r="W1349" i="20"/>
  <c r="W1008" i="20"/>
  <c r="V265" i="20"/>
  <c r="W730" i="20"/>
  <c r="V481" i="20"/>
  <c r="W568" i="20"/>
  <c r="V1304" i="20"/>
  <c r="W1314" i="20"/>
  <c r="W1969" i="20"/>
  <c r="V1533" i="20"/>
  <c r="V159" i="20"/>
  <c r="W1581" i="20"/>
  <c r="W1416" i="20"/>
  <c r="W1320" i="20"/>
  <c r="V926" i="20"/>
  <c r="V1982" i="20"/>
  <c r="W321" i="20"/>
  <c r="W1490" i="20"/>
  <c r="V632" i="20"/>
  <c r="W373" i="20"/>
  <c r="W1164" i="20"/>
  <c r="V1332" i="20"/>
  <c r="W601" i="20"/>
  <c r="W1963" i="20"/>
  <c r="V1985" i="20"/>
  <c r="W96" i="20"/>
  <c r="W770" i="20"/>
  <c r="V721" i="20"/>
  <c r="V261" i="20"/>
  <c r="W1419" i="20"/>
  <c r="W90" i="20"/>
  <c r="V564" i="20"/>
  <c r="W1995" i="20"/>
  <c r="V356" i="20"/>
  <c r="V1357" i="20"/>
  <c r="V599" i="20"/>
  <c r="W1295" i="20"/>
  <c r="V650" i="20"/>
  <c r="W1165" i="20"/>
  <c r="V1104" i="20"/>
  <c r="W351" i="20"/>
  <c r="V1397" i="20"/>
  <c r="V685" i="20"/>
  <c r="V290" i="20"/>
  <c r="W1425" i="20"/>
  <c r="V1976" i="20"/>
  <c r="V1971" i="20"/>
  <c r="V755" i="20"/>
  <c r="V1311" i="20"/>
  <c r="W650" i="20"/>
  <c r="V345" i="20"/>
  <c r="W1547" i="20"/>
  <c r="W1981" i="20"/>
  <c r="W1558" i="20"/>
  <c r="V545" i="20"/>
  <c r="V1470" i="20"/>
  <c r="V1459" i="20"/>
  <c r="V690" i="20"/>
  <c r="W1110" i="20"/>
  <c r="W662" i="20"/>
  <c r="W729" i="20"/>
  <c r="V1008" i="20"/>
  <c r="V1407" i="20"/>
  <c r="V1539" i="20"/>
  <c r="V850" i="20"/>
  <c r="W155" i="20"/>
  <c r="V89" i="20"/>
  <c r="V1018" i="20"/>
  <c r="V1582" i="20"/>
  <c r="W231" i="20"/>
  <c r="W1896" i="20"/>
  <c r="W327" i="20"/>
  <c r="W57" i="20"/>
  <c r="V951" i="20"/>
  <c r="V1032" i="20"/>
  <c r="V1839" i="20"/>
  <c r="W1037" i="20"/>
  <c r="W1924" i="20"/>
  <c r="V53" i="20"/>
  <c r="V1752" i="20"/>
  <c r="W1764" i="20"/>
  <c r="V108" i="20"/>
  <c r="V891" i="20"/>
  <c r="W962" i="20"/>
  <c r="W1700" i="20"/>
  <c r="W1878" i="20"/>
  <c r="V1896" i="20"/>
  <c r="W1686" i="20"/>
  <c r="V1806" i="20"/>
  <c r="W1726" i="20"/>
  <c r="W1161" i="20"/>
  <c r="V1717" i="20"/>
  <c r="V228" i="20"/>
  <c r="W208" i="20"/>
  <c r="V1889" i="20"/>
  <c r="V1691" i="20"/>
  <c r="V1829" i="20"/>
  <c r="V1613" i="20"/>
  <c r="W1701" i="20"/>
  <c r="W1162" i="20"/>
  <c r="V313" i="20"/>
  <c r="V882" i="20"/>
  <c r="V288" i="20"/>
  <c r="V142" i="20"/>
  <c r="W77" i="20"/>
  <c r="V1908" i="20"/>
  <c r="W1820" i="20"/>
  <c r="V1650" i="20"/>
  <c r="W1026" i="20"/>
  <c r="V1850" i="20"/>
  <c r="V1661" i="20"/>
  <c r="W1116" i="20"/>
  <c r="V1634" i="20"/>
  <c r="W1676" i="20"/>
  <c r="V781" i="20"/>
  <c r="W1133" i="20"/>
  <c r="W703" i="20"/>
  <c r="W563" i="20"/>
  <c r="W1533" i="20"/>
  <c r="W1288" i="20"/>
  <c r="V1138" i="20"/>
  <c r="V492" i="20"/>
  <c r="V1301" i="20"/>
  <c r="W1019" i="20"/>
  <c r="V745" i="20"/>
  <c r="V1080" i="20"/>
  <c r="V1144" i="20"/>
  <c r="W1018" i="20"/>
  <c r="V1460" i="20"/>
  <c r="V944" i="20"/>
  <c r="V1337" i="20"/>
  <c r="V1023" i="20"/>
  <c r="V488" i="20"/>
  <c r="W731" i="20"/>
  <c r="W1356" i="20"/>
  <c r="W869" i="20"/>
  <c r="W249" i="20"/>
  <c r="V1427" i="20"/>
  <c r="W498" i="20"/>
  <c r="V954" i="20"/>
  <c r="V1495" i="20"/>
  <c r="V140" i="20"/>
  <c r="V909" i="20"/>
  <c r="V1983" i="20"/>
  <c r="W99" i="20"/>
  <c r="V524" i="20"/>
  <c r="W740" i="20"/>
  <c r="V1130" i="20"/>
  <c r="W1277" i="20"/>
  <c r="W1529" i="20"/>
  <c r="W280" i="20"/>
  <c r="V558" i="20"/>
  <c r="V1486" i="20"/>
  <c r="V756" i="20"/>
  <c r="W66" i="20"/>
  <c r="W863" i="20"/>
  <c r="V660" i="20"/>
  <c r="W791" i="20"/>
  <c r="V144" i="20"/>
  <c r="V305" i="20"/>
  <c r="W176" i="20"/>
  <c r="W1977" i="20"/>
  <c r="V900" i="20"/>
  <c r="V1591" i="20"/>
  <c r="V593" i="20"/>
  <c r="V510" i="20"/>
  <c r="W955" i="20"/>
  <c r="W104" i="20"/>
  <c r="W1299" i="20"/>
  <c r="V651" i="20"/>
  <c r="V540" i="20"/>
  <c r="W1381" i="20"/>
  <c r="V254" i="20"/>
  <c r="V604" i="20"/>
  <c r="W528" i="20"/>
  <c r="V848" i="20"/>
  <c r="V1093" i="20"/>
  <c r="V486" i="20"/>
  <c r="V1103" i="20"/>
  <c r="W1361" i="20"/>
  <c r="W551" i="20"/>
  <c r="W1463" i="20"/>
  <c r="W1060" i="20"/>
  <c r="W724" i="20"/>
  <c r="V561" i="20"/>
  <c r="V639" i="20"/>
  <c r="V90" i="20"/>
  <c r="W592" i="20"/>
  <c r="V973" i="20"/>
  <c r="W1028" i="20"/>
  <c r="V240" i="20"/>
  <c r="W1291" i="20"/>
  <c r="W110" i="20"/>
  <c r="V366" i="20"/>
  <c r="W124" i="20"/>
  <c r="V1118" i="20"/>
  <c r="W1303" i="20"/>
  <c r="W867" i="20"/>
  <c r="W1859" i="20"/>
  <c r="V1757" i="20"/>
  <c r="W1952" i="20"/>
  <c r="V957" i="20"/>
  <c r="V1939" i="20"/>
  <c r="W1096" i="20"/>
  <c r="V1703" i="20"/>
  <c r="W123" i="20"/>
  <c r="W1915" i="20"/>
  <c r="W1768" i="20"/>
  <c r="V258" i="20"/>
  <c r="V172" i="20"/>
  <c r="W1046" i="20"/>
  <c r="W1723" i="20"/>
  <c r="W1759" i="20"/>
  <c r="V1728" i="20"/>
  <c r="W1777" i="20"/>
  <c r="W1929" i="20"/>
  <c r="V1885" i="20"/>
  <c r="V1699" i="20"/>
  <c r="V1037" i="20"/>
  <c r="V1951" i="20"/>
  <c r="V972" i="20"/>
  <c r="W197" i="20"/>
  <c r="V77" i="20"/>
  <c r="V896" i="20"/>
  <c r="V1790" i="20"/>
  <c r="W153" i="20"/>
  <c r="V332" i="20"/>
  <c r="V192" i="20"/>
  <c r="W105" i="20"/>
  <c r="V1558" i="20"/>
  <c r="V538" i="20"/>
  <c r="V752" i="20"/>
  <c r="W1500" i="20"/>
  <c r="V370" i="20"/>
  <c r="W648" i="20"/>
  <c r="W1553" i="20"/>
  <c r="V648" i="20"/>
  <c r="W965" i="20"/>
  <c r="W983" i="20"/>
  <c r="W619" i="20"/>
  <c r="W1552" i="20"/>
  <c r="V777" i="20"/>
  <c r="V1415" i="20"/>
  <c r="V880" i="20"/>
  <c r="W1278" i="20"/>
  <c r="V210" i="20"/>
  <c r="V1351" i="20"/>
  <c r="V612" i="20"/>
  <c r="V885" i="20"/>
  <c r="W1542" i="20"/>
  <c r="W320" i="20"/>
  <c r="V1431" i="20"/>
  <c r="W487" i="20"/>
  <c r="V1488" i="20"/>
  <c r="V889" i="20"/>
  <c r="V1979" i="20"/>
  <c r="V1298" i="20"/>
  <c r="W657" i="20"/>
  <c r="V903" i="20"/>
  <c r="W668" i="20"/>
  <c r="W1521" i="20"/>
  <c r="V621" i="20"/>
  <c r="V720" i="20"/>
  <c r="V1534" i="20"/>
  <c r="W603" i="20"/>
  <c r="V949" i="20"/>
  <c r="V1522" i="20"/>
  <c r="W1991" i="20"/>
  <c r="W1313" i="20"/>
  <c r="W1168" i="20"/>
  <c r="W499" i="20"/>
  <c r="W94" i="20"/>
  <c r="V80" i="20"/>
  <c r="W1371" i="20"/>
  <c r="W1350" i="20"/>
  <c r="V1405" i="20"/>
  <c r="V584" i="20"/>
  <c r="W250" i="20"/>
  <c r="V609" i="20"/>
  <c r="W1436" i="20"/>
  <c r="V1274" i="20"/>
  <c r="W1428" i="20"/>
  <c r="V779" i="20"/>
  <c r="W1043" i="20"/>
  <c r="W1432" i="20"/>
  <c r="W1393" i="20"/>
  <c r="W716" i="20"/>
  <c r="W849" i="20"/>
  <c r="W1986" i="20"/>
  <c r="V291" i="20"/>
  <c r="W1501" i="20"/>
  <c r="W1119" i="20"/>
  <c r="W515" i="20"/>
  <c r="V636" i="20"/>
  <c r="V663" i="20"/>
  <c r="W660" i="20"/>
  <c r="W1392" i="20"/>
  <c r="V1074" i="20"/>
  <c r="V924" i="20"/>
  <c r="V1359" i="20"/>
  <c r="V236" i="20"/>
  <c r="W948" i="20"/>
  <c r="V1135" i="20"/>
  <c r="W726" i="20"/>
  <c r="W691" i="20"/>
  <c r="V1884" i="20"/>
  <c r="V105" i="20"/>
  <c r="V712" i="20"/>
  <c r="V496" i="20"/>
  <c r="V1588" i="20"/>
  <c r="W793" i="20"/>
  <c r="V182" i="20"/>
  <c r="W303" i="20"/>
  <c r="V902" i="20"/>
  <c r="V117" i="20"/>
  <c r="V152" i="20"/>
  <c r="W268" i="20"/>
  <c r="W987" i="20"/>
  <c r="V1919" i="20"/>
  <c r="V1862" i="20"/>
  <c r="V278" i="20"/>
  <c r="V1942" i="20"/>
  <c r="V1147" i="20"/>
  <c r="V1940" i="20"/>
  <c r="V1680" i="20"/>
  <c r="W1027" i="20"/>
  <c r="W1897" i="20"/>
  <c r="V68" i="20"/>
  <c r="V188" i="20"/>
  <c r="V977" i="20"/>
  <c r="V1783" i="20"/>
  <c r="V987" i="20"/>
  <c r="V277" i="20"/>
  <c r="W158" i="20"/>
  <c r="W98" i="20"/>
  <c r="W1729" i="20"/>
  <c r="V1624" i="20"/>
  <c r="V1918" i="20"/>
  <c r="V1649" i="20"/>
  <c r="V1793" i="20"/>
  <c r="V48" i="20"/>
  <c r="W1596" i="20"/>
  <c r="W217" i="20"/>
  <c r="W1834" i="20"/>
  <c r="V1809" i="20"/>
  <c r="V886" i="20"/>
  <c r="V1007" i="20"/>
  <c r="V1811" i="20"/>
  <c r="V1904" i="20"/>
  <c r="V1794" i="20"/>
  <c r="V1750" i="20"/>
  <c r="W1778" i="20"/>
  <c r="W92" i="20"/>
  <c r="W202" i="20"/>
  <c r="W362" i="20"/>
  <c r="W1964" i="20"/>
  <c r="W275" i="20"/>
  <c r="V1416" i="20"/>
  <c r="W1431" i="20"/>
  <c r="W945" i="20"/>
  <c r="W219" i="20"/>
  <c r="V482" i="20"/>
  <c r="V1370" i="20"/>
  <c r="V691" i="20"/>
  <c r="V1573" i="20"/>
  <c r="W369" i="20"/>
  <c r="W613" i="20"/>
  <c r="V497" i="20"/>
  <c r="V840" i="20"/>
  <c r="W908" i="20"/>
  <c r="W1551" i="20"/>
  <c r="V1991" i="20"/>
  <c r="V582" i="20"/>
  <c r="W848" i="20"/>
  <c r="W1368" i="20"/>
  <c r="V1592" i="20"/>
  <c r="W1989" i="20"/>
  <c r="W271" i="20"/>
  <c r="W702" i="20"/>
  <c r="V1545" i="20"/>
  <c r="W364" i="20"/>
  <c r="W1315" i="20"/>
  <c r="V1388" i="20"/>
  <c r="W594" i="20"/>
  <c r="W949" i="20"/>
  <c r="V704" i="20"/>
  <c r="V544" i="20"/>
  <c r="V1141" i="20"/>
  <c r="V993" i="20"/>
  <c r="W1084" i="20"/>
  <c r="W1534" i="20"/>
  <c r="W741" i="20"/>
  <c r="W496" i="20"/>
  <c r="W1476" i="20"/>
  <c r="W1524" i="20"/>
  <c r="W366" i="20"/>
  <c r="W1094" i="20"/>
  <c r="V863" i="20"/>
  <c r="V1010" i="20"/>
  <c r="W510" i="20"/>
  <c r="V930" i="20"/>
  <c r="V75" i="20"/>
  <c r="W230" i="20"/>
  <c r="V750" i="20"/>
  <c r="W1150" i="20"/>
  <c r="V181" i="20"/>
  <c r="W513" i="20"/>
  <c r="W720" i="20"/>
  <c r="W71" i="20"/>
  <c r="V1993" i="20"/>
  <c r="W608" i="20"/>
  <c r="V309" i="20"/>
  <c r="V201" i="20"/>
  <c r="V899" i="20"/>
  <c r="V859" i="20"/>
  <c r="W1982" i="20"/>
  <c r="V69" i="20"/>
  <c r="V150" i="20"/>
  <c r="W910" i="20"/>
  <c r="V775" i="20"/>
  <c r="W715" i="20"/>
  <c r="V301" i="20"/>
  <c r="W1285" i="20"/>
  <c r="W209" i="20"/>
  <c r="V512" i="20"/>
  <c r="V610" i="20"/>
  <c r="W54" i="20"/>
  <c r="W850" i="20"/>
  <c r="W1980" i="20"/>
  <c r="W74" i="20"/>
  <c r="V671" i="20"/>
  <c r="W779" i="20"/>
  <c r="V1366" i="20"/>
  <c r="W611" i="20"/>
  <c r="W226" i="20"/>
  <c r="V174" i="20"/>
  <c r="V1995" i="20"/>
  <c r="V649" i="20"/>
  <c r="V1689" i="20"/>
  <c r="W1609" i="20"/>
  <c r="W1732" i="20"/>
  <c r="W1654" i="20"/>
  <c r="W113" i="20"/>
  <c r="W213" i="20"/>
  <c r="V1953" i="20"/>
  <c r="W297" i="20"/>
  <c r="W1674" i="20"/>
  <c r="W1087" i="20"/>
  <c r="V103" i="20"/>
  <c r="W1750" i="20"/>
  <c r="W1843" i="20"/>
  <c r="V942" i="20"/>
  <c r="W1006" i="20"/>
  <c r="W1663" i="20"/>
  <c r="V263" i="20"/>
  <c r="W1737" i="20"/>
  <c r="W63" i="20"/>
  <c r="V1789" i="20"/>
  <c r="V1749" i="20"/>
  <c r="W952" i="20"/>
  <c r="V1871" i="20"/>
  <c r="V1705" i="20"/>
  <c r="V1826" i="20"/>
  <c r="W1688" i="20"/>
  <c r="V1001" i="20"/>
  <c r="W168" i="20"/>
  <c r="W107" i="20"/>
  <c r="V1799" i="20"/>
  <c r="V1368" i="20"/>
  <c r="V770" i="20"/>
  <c r="V185" i="20"/>
  <c r="W610" i="20"/>
  <c r="W669" i="20"/>
  <c r="W736" i="20"/>
  <c r="V998" i="20"/>
  <c r="W750" i="20"/>
  <c r="V1968" i="20"/>
  <c r="W1427" i="20"/>
  <c r="W1324" i="20"/>
  <c r="W325" i="20"/>
  <c r="V792" i="20"/>
  <c r="W1967" i="20"/>
  <c r="W1045" i="20"/>
  <c r="V693" i="20"/>
  <c r="W1395" i="20"/>
  <c r="W765" i="20"/>
  <c r="W1577" i="20"/>
  <c r="V149" i="20"/>
  <c r="W523" i="20"/>
  <c r="V61" i="20"/>
  <c r="W1124" i="20"/>
  <c r="V1124" i="20"/>
  <c r="V164" i="20"/>
  <c r="V1020" i="20"/>
  <c r="V1038" i="20"/>
  <c r="W577" i="20"/>
  <c r="V246" i="20"/>
  <c r="W121" i="20"/>
  <c r="V1383" i="20"/>
  <c r="V1393" i="20"/>
  <c r="W747" i="20"/>
  <c r="V1315" i="20"/>
  <c r="V1955" i="20"/>
  <c r="V141" i="20"/>
  <c r="V534" i="20"/>
  <c r="V1980" i="20"/>
  <c r="V923" i="20"/>
  <c r="V743" i="20"/>
  <c r="V1129" i="20"/>
  <c r="V667" i="20"/>
  <c r="V1289" i="20"/>
  <c r="W1114" i="20"/>
  <c r="W340" i="20"/>
  <c r="W1549" i="20"/>
  <c r="V251" i="20"/>
  <c r="W1413" i="20"/>
  <c r="V920" i="20"/>
  <c r="V669" i="20"/>
  <c r="W132" i="20"/>
  <c r="V1986" i="20"/>
  <c r="V1458" i="20"/>
  <c r="V592" i="20"/>
  <c r="V1567" i="20"/>
  <c r="V1342" i="20"/>
  <c r="V1145" i="20"/>
  <c r="W705" i="20"/>
  <c r="W627" i="20"/>
  <c r="V1330" i="20"/>
  <c r="W500" i="20"/>
  <c r="V904" i="20"/>
  <c r="V1480" i="20"/>
  <c r="V591" i="20"/>
  <c r="W1882" i="20"/>
  <c r="V1519" i="20"/>
  <c r="V1966" i="20"/>
  <c r="V109" i="20"/>
  <c r="W1316" i="20"/>
  <c r="V764" i="20"/>
  <c r="V1963" i="20"/>
  <c r="W1497" i="20"/>
  <c r="W520" i="20"/>
  <c r="V1381" i="20"/>
  <c r="V630" i="20"/>
  <c r="W709" i="20"/>
  <c r="V96" i="20"/>
  <c r="W756" i="20"/>
  <c r="V121" i="20"/>
  <c r="V154" i="20"/>
  <c r="V1417" i="20"/>
  <c r="V533" i="20"/>
  <c r="V1299" i="20"/>
  <c r="W1902" i="20"/>
  <c r="V1938" i="20"/>
  <c r="W1742" i="20"/>
  <c r="W112" i="20"/>
  <c r="W1107" i="20"/>
  <c r="W367" i="20"/>
  <c r="W921" i="20"/>
  <c r="W318" i="20"/>
  <c r="V1653" i="20"/>
  <c r="V1156" i="20"/>
  <c r="W1864" i="20"/>
  <c r="W947" i="20"/>
  <c r="V906" i="20"/>
  <c r="W1615" i="20"/>
  <c r="V113" i="20"/>
  <c r="V247" i="20"/>
  <c r="W1002" i="20"/>
  <c r="W856" i="20"/>
  <c r="W1739" i="20"/>
  <c r="V343" i="20"/>
  <c r="V1746" i="20"/>
  <c r="W1695" i="20"/>
  <c r="W1719" i="20"/>
  <c r="W1683" i="20"/>
  <c r="V1719" i="20"/>
  <c r="W62" i="20"/>
  <c r="W1938" i="20"/>
  <c r="W841" i="20"/>
  <c r="W1690" i="20"/>
  <c r="W1941" i="20"/>
  <c r="W1677" i="20"/>
  <c r="W1905" i="20"/>
  <c r="W1819" i="20"/>
  <c r="V1702" i="20"/>
  <c r="V1632" i="20"/>
  <c r="W992" i="20"/>
  <c r="V1798" i="20"/>
  <c r="V1638" i="20"/>
  <c r="V1784" i="20"/>
  <c r="V1739" i="20"/>
  <c r="V856" i="20"/>
  <c r="V1779" i="20"/>
  <c r="W317" i="20"/>
  <c r="W1344" i="20"/>
  <c r="V1957" i="20"/>
  <c r="V860" i="20"/>
  <c r="W1300" i="20"/>
  <c r="W723" i="20"/>
  <c r="V1414" i="20"/>
  <c r="W1403" i="20"/>
  <c r="V1586" i="20"/>
  <c r="W141" i="20"/>
  <c r="W195" i="20"/>
  <c r="W1377" i="20"/>
  <c r="V1281" i="20"/>
  <c r="V559" i="20"/>
  <c r="V789" i="20"/>
  <c r="V1033" i="20"/>
  <c r="V1443" i="20"/>
  <c r="W1040" i="20"/>
  <c r="V519" i="20"/>
  <c r="W1093" i="20"/>
  <c r="W284" i="20"/>
  <c r="V1584" i="20"/>
  <c r="W246" i="20"/>
  <c r="V196" i="20"/>
  <c r="W700" i="20"/>
  <c r="V1307" i="20"/>
  <c r="W194" i="20"/>
  <c r="W1138" i="20"/>
  <c r="W719" i="20"/>
  <c r="V74" i="20"/>
  <c r="W1447" i="20"/>
  <c r="V1428" i="20"/>
  <c r="W638" i="20"/>
  <c r="W540" i="20"/>
  <c r="V844" i="20"/>
  <c r="W576" i="20"/>
  <c r="W151" i="20"/>
  <c r="V1886" i="20"/>
  <c r="V1402" i="20"/>
  <c r="V1973" i="20"/>
  <c r="V235" i="20"/>
  <c r="W1085" i="20"/>
  <c r="V239" i="20"/>
  <c r="V1408" i="20"/>
  <c r="V1309" i="20"/>
  <c r="W690" i="20"/>
  <c r="V854" i="20"/>
  <c r="V1060" i="20"/>
  <c r="V934" i="20"/>
  <c r="W694" i="20"/>
  <c r="V1527" i="20"/>
  <c r="V635" i="20"/>
  <c r="W139" i="20"/>
  <c r="W1311" i="20"/>
  <c r="W844" i="20"/>
  <c r="V349" i="20"/>
  <c r="W309" i="20"/>
  <c r="W618" i="20"/>
  <c r="V607" i="20"/>
  <c r="V341" i="20"/>
  <c r="W670" i="20"/>
  <c r="W1307" i="20"/>
  <c r="V1380" i="20"/>
  <c r="W1064" i="20"/>
  <c r="V736" i="20"/>
  <c r="V994" i="20"/>
  <c r="W1340" i="20"/>
  <c r="V191" i="20"/>
  <c r="V1310" i="20"/>
  <c r="V1030" i="20"/>
  <c r="W1559" i="20"/>
  <c r="W1382" i="20"/>
  <c r="V1540" i="20"/>
  <c r="V1293" i="20"/>
  <c r="W1469" i="20"/>
  <c r="W1048" i="20"/>
  <c r="W1584" i="20"/>
  <c r="W1972" i="20"/>
  <c r="V677" i="20"/>
  <c r="V754" i="20"/>
  <c r="W659" i="20"/>
  <c r="V1555" i="20"/>
  <c r="V1529" i="20"/>
  <c r="W884" i="20"/>
  <c r="V1726" i="20"/>
  <c r="W1668" i="20"/>
  <c r="V872" i="20"/>
  <c r="V1775" i="20"/>
  <c r="V1684" i="20"/>
  <c r="V1675" i="20"/>
  <c r="W1950" i="20"/>
  <c r="V1753" i="20"/>
  <c r="W1127" i="20"/>
  <c r="W88" i="20"/>
  <c r="V1670" i="20"/>
  <c r="W1802" i="20"/>
  <c r="V1076" i="20"/>
  <c r="V1640" i="20"/>
  <c r="W1798" i="20"/>
  <c r="W1702" i="20"/>
  <c r="W1047" i="20"/>
  <c r="W1891" i="20"/>
  <c r="W368" i="20"/>
  <c r="V1112" i="20"/>
  <c r="V1874" i="20"/>
  <c r="V1116" i="20"/>
  <c r="V1067" i="20"/>
  <c r="V87" i="20"/>
  <c r="W871" i="20"/>
  <c r="V1081" i="20"/>
  <c r="V187" i="20"/>
  <c r="V1722" i="20"/>
  <c r="W1638" i="20"/>
  <c r="V1903" i="20"/>
  <c r="V1754" i="20"/>
  <c r="V1807" i="20"/>
  <c r="W1595" i="20"/>
  <c r="W1679" i="20"/>
  <c r="V1765" i="20"/>
  <c r="V1821" i="20"/>
  <c r="V1619" i="20"/>
  <c r="W1930" i="20"/>
  <c r="V1785" i="20"/>
  <c r="W47" i="20"/>
  <c r="W1935" i="20"/>
  <c r="V1761" i="20"/>
  <c r="W152" i="20"/>
  <c r="W1909" i="20"/>
  <c r="V193" i="20"/>
  <c r="V1920" i="20"/>
  <c r="W1894" i="20"/>
  <c r="V78" i="20"/>
  <c r="W963" i="20"/>
  <c r="V879" i="20"/>
  <c r="W494" i="20"/>
  <c r="W646" i="20"/>
  <c r="V543" i="20"/>
  <c r="V794" i="20"/>
  <c r="W1386" i="20"/>
  <c r="W1280" i="20"/>
  <c r="W1429" i="20"/>
  <c r="V505" i="20"/>
  <c r="V1049" i="20"/>
  <c r="V647" i="20"/>
  <c r="W607" i="20"/>
  <c r="W1574" i="20"/>
  <c r="V275" i="20"/>
  <c r="W186" i="20"/>
  <c r="W339" i="20"/>
  <c r="V1536" i="20"/>
  <c r="W597" i="20"/>
  <c r="W880" i="20"/>
  <c r="W782" i="20"/>
  <c r="W615" i="20"/>
  <c r="W788" i="20"/>
  <c r="W1375" i="20"/>
  <c r="V1468" i="20"/>
  <c r="V365" i="20"/>
  <c r="W1155" i="20"/>
  <c r="V1313" i="20"/>
  <c r="W558" i="20"/>
  <c r="V1139" i="20"/>
  <c r="V1358" i="20"/>
  <c r="W775" i="20"/>
  <c r="W81" i="20"/>
  <c r="W1460" i="20"/>
  <c r="W1366" i="20"/>
  <c r="W1992" i="20"/>
  <c r="V1385" i="20"/>
  <c r="W642" i="20"/>
  <c r="V613" i="20"/>
  <c r="V1969" i="20"/>
  <c r="V165" i="20"/>
  <c r="W554" i="20"/>
  <c r="W1965" i="20"/>
  <c r="V602" i="20"/>
  <c r="W1503" i="20"/>
  <c r="V1461" i="20"/>
  <c r="V300" i="20"/>
  <c r="W1985" i="20"/>
  <c r="W596" i="20"/>
  <c r="V579" i="20"/>
  <c r="W1405" i="20"/>
  <c r="W70" i="20"/>
  <c r="W1473" i="20"/>
  <c r="V783" i="20"/>
  <c r="W507" i="20"/>
  <c r="V350" i="20"/>
  <c r="W114" i="20"/>
  <c r="W621" i="20"/>
  <c r="W679" i="20"/>
  <c r="W919" i="20"/>
  <c r="W1331" i="20"/>
  <c r="W240" i="20"/>
  <c r="W686" i="20"/>
  <c r="W1567" i="20"/>
  <c r="W760" i="20"/>
  <c r="V1367" i="20"/>
  <c r="V1563" i="20"/>
  <c r="W1990" i="20"/>
  <c r="V1467" i="20"/>
  <c r="V589" i="20"/>
  <c r="W742" i="20"/>
  <c r="W1290" i="20"/>
  <c r="V910" i="20"/>
  <c r="W696" i="20"/>
  <c r="V662" i="20"/>
  <c r="V176" i="20"/>
  <c r="W748" i="20"/>
  <c r="W682" i="20"/>
  <c r="V733" i="20"/>
  <c r="V270" i="20"/>
  <c r="W1583" i="20"/>
  <c r="V914" i="20"/>
  <c r="V1907" i="20"/>
  <c r="V1644" i="20"/>
  <c r="W1131" i="20"/>
  <c r="V167" i="20"/>
  <c r="W248" i="20"/>
  <c r="W1852" i="20"/>
  <c r="V252" i="20"/>
  <c r="V981" i="20"/>
  <c r="W1773" i="20"/>
  <c r="V1151" i="20"/>
  <c r="W1717" i="20"/>
  <c r="V1837" i="20"/>
  <c r="V1071" i="20"/>
  <c r="W1772" i="20"/>
  <c r="W887" i="20"/>
  <c r="W1867" i="20"/>
  <c r="W1720" i="20"/>
  <c r="V1607" i="20"/>
  <c r="W1699" i="20"/>
  <c r="V162" i="20"/>
  <c r="V1625" i="20"/>
  <c r="V966" i="20"/>
  <c r="V1679" i="20"/>
  <c r="V1725" i="20"/>
  <c r="W97" i="20"/>
  <c r="W932" i="20"/>
  <c r="V317" i="20"/>
  <c r="W1920" i="20"/>
  <c r="V971" i="20"/>
  <c r="V1132" i="20"/>
  <c r="W1933" i="20"/>
  <c r="V1651" i="20"/>
  <c r="W1112" i="20"/>
  <c r="W1041" i="20"/>
  <c r="W1733" i="20"/>
  <c r="V1791" i="20"/>
  <c r="W1845" i="20"/>
  <c r="V1780" i="20"/>
  <c r="W1714" i="20"/>
  <c r="V1931" i="20"/>
  <c r="W1052" i="20"/>
  <c r="V1605" i="20"/>
  <c r="W1890" i="20"/>
  <c r="V1813" i="20"/>
  <c r="W312" i="20"/>
  <c r="W1870" i="20"/>
  <c r="W896" i="20"/>
  <c r="W1682" i="20"/>
  <c r="W1092" i="20"/>
  <c r="W998" i="20"/>
  <c r="V895" i="20"/>
  <c r="W616" i="20"/>
  <c r="V706" i="20"/>
  <c r="W858" i="20"/>
  <c r="W270" i="20"/>
  <c r="W1338" i="20"/>
  <c r="V1579" i="20"/>
  <c r="V1958" i="20"/>
  <c r="W1070" i="20"/>
  <c r="V759" i="20"/>
  <c r="V1544" i="20"/>
  <c r="W973" i="20"/>
  <c r="W582" i="20"/>
  <c r="V925" i="20"/>
  <c r="W953" i="20"/>
  <c r="W1506" i="20"/>
  <c r="W1434" i="20"/>
  <c r="W1487" i="20"/>
  <c r="V1442" i="20"/>
  <c r="W1327" i="20"/>
  <c r="W210" i="20"/>
  <c r="V530" i="20"/>
  <c r="W1514" i="20"/>
  <c r="W780" i="20"/>
  <c r="W1471" i="20"/>
  <c r="V99" i="20"/>
  <c r="V1065" i="20"/>
  <c r="V1412" i="20"/>
  <c r="W602" i="20"/>
  <c r="W120" i="20"/>
  <c r="W154" i="20"/>
  <c r="V749" i="20"/>
  <c r="V950" i="20"/>
  <c r="V1566" i="20"/>
  <c r="V694" i="20"/>
  <c r="V683" i="20"/>
  <c r="V344" i="20"/>
  <c r="W211" i="20"/>
  <c r="V985" i="20"/>
  <c r="W91" i="20"/>
  <c r="V637" i="20"/>
  <c r="W171" i="20"/>
  <c r="V1140" i="20"/>
  <c r="W1109" i="20"/>
  <c r="V1524" i="20"/>
  <c r="W761" i="20"/>
  <c r="W1286" i="20"/>
  <c r="W903" i="20"/>
  <c r="W1958" i="20"/>
  <c r="W929" i="20"/>
  <c r="W545" i="20"/>
  <c r="W532" i="20"/>
  <c r="W1444" i="20"/>
  <c r="W1148" i="20"/>
  <c r="V1404" i="20"/>
  <c r="V132" i="20"/>
  <c r="W1113" i="20"/>
  <c r="W1539" i="20"/>
  <c r="W1464" i="20"/>
  <c r="V1282" i="20"/>
  <c r="W1394" i="20"/>
  <c r="W501" i="20"/>
  <c r="W1372" i="20"/>
  <c r="V1974" i="20"/>
  <c r="V774" i="20"/>
  <c r="W1089" i="20"/>
  <c r="V1554" i="20"/>
  <c r="V1562" i="20"/>
  <c r="V1972" i="20"/>
  <c r="V1429" i="20"/>
  <c r="V1521" i="20"/>
  <c r="V266" i="20"/>
  <c r="V1339" i="20"/>
  <c r="W548" i="20"/>
  <c r="W1167" i="20"/>
  <c r="V1374" i="20"/>
  <c r="W1956" i="20"/>
  <c r="V869" i="20"/>
  <c r="V629" i="20"/>
  <c r="V1005" i="20"/>
  <c r="W1578" i="20"/>
  <c r="V1597" i="20"/>
  <c r="V892" i="20"/>
  <c r="W228" i="20"/>
  <c r="V852" i="20"/>
  <c r="W1876" i="20"/>
  <c r="V1678" i="20"/>
  <c r="W243" i="20"/>
  <c r="W1953" i="20"/>
  <c r="W1741" i="20"/>
  <c r="V1929" i="20"/>
  <c r="V1674" i="20"/>
  <c r="W1656" i="20"/>
  <c r="W1667" i="20"/>
  <c r="V1825" i="20"/>
  <c r="W907" i="20"/>
  <c r="V1853" i="20"/>
  <c r="V917" i="20"/>
  <c r="W1796" i="20"/>
  <c r="W1888" i="20"/>
  <c r="V1911" i="20"/>
  <c r="V1858" i="20"/>
  <c r="W302" i="20"/>
  <c r="W1624" i="20"/>
  <c r="V1041" i="20"/>
  <c r="W1082" i="20"/>
  <c r="W861" i="20"/>
  <c r="W1710" i="20"/>
  <c r="W1885" i="20"/>
  <c r="W1794" i="20"/>
  <c r="V1756" i="20"/>
  <c r="V1832" i="20"/>
  <c r="V1152" i="20"/>
  <c r="W1782" i="20"/>
  <c r="W1017" i="20"/>
  <c r="W1007" i="20"/>
  <c r="V322" i="20"/>
  <c r="V1927" i="20"/>
  <c r="W1758" i="20"/>
  <c r="V1643" i="20"/>
  <c r="V1594" i="20"/>
  <c r="W876" i="20"/>
  <c r="W1660" i="20"/>
  <c r="W172" i="20"/>
  <c r="W972" i="20"/>
  <c r="W1748" i="20"/>
  <c r="V1161" i="20"/>
  <c r="W1939" i="20"/>
  <c r="V871" i="20"/>
  <c r="W1943" i="20"/>
  <c r="W238" i="20"/>
  <c r="W1928" i="20"/>
  <c r="V1616" i="20"/>
  <c r="V1077" i="20"/>
  <c r="V1126" i="20"/>
  <c r="V1831" i="20"/>
  <c r="W313" i="20"/>
  <c r="W1795" i="20"/>
  <c r="W1619" i="20"/>
  <c r="V1639" i="20"/>
  <c r="W1770" i="20"/>
  <c r="V138" i="20"/>
  <c r="V128" i="20"/>
  <c r="V1087" i="20"/>
  <c r="W1786" i="20"/>
  <c r="W1846" i="20"/>
  <c r="W1866" i="20"/>
  <c r="V1937" i="20"/>
  <c r="W902" i="20"/>
  <c r="W1912" i="20"/>
  <c r="V1802" i="20"/>
  <c r="V1899" i="20"/>
  <c r="V1870" i="20"/>
  <c r="W1689" i="20"/>
  <c r="W1850" i="20"/>
  <c r="V1859" i="20"/>
  <c r="V283" i="20"/>
  <c r="W1904" i="20"/>
  <c r="V1759" i="20"/>
  <c r="W1697" i="20"/>
  <c r="V907" i="20"/>
  <c r="V1893" i="20"/>
  <c r="V1681" i="20"/>
  <c r="W1879" i="20"/>
  <c r="W1919" i="20"/>
  <c r="W1633" i="20"/>
  <c r="V1792" i="20"/>
  <c r="W941" i="20"/>
  <c r="V1666" i="20"/>
  <c r="V333" i="20"/>
  <c r="V1711" i="20"/>
  <c r="W1593" i="20"/>
  <c r="W1706" i="20"/>
  <c r="V1843" i="20"/>
  <c r="V202" i="20"/>
  <c r="V1827" i="20"/>
  <c r="V1137" i="20"/>
  <c r="V1766" i="20"/>
  <c r="V1709" i="20"/>
  <c r="W343" i="20"/>
  <c r="V1788" i="20"/>
  <c r="W1097" i="20"/>
  <c r="W1072" i="20"/>
  <c r="W1831" i="20"/>
  <c r="W1705" i="20"/>
  <c r="W1652" i="20"/>
  <c r="V1729" i="20"/>
  <c r="W1752" i="20"/>
  <c r="W897" i="20"/>
  <c r="W866" i="20"/>
  <c r="V1688" i="20"/>
  <c r="W242" i="20"/>
  <c r="W1636" i="20"/>
  <c r="W1781" i="20"/>
  <c r="W1918" i="20"/>
  <c r="V1735" i="20"/>
  <c r="V1072" i="20"/>
  <c r="W1648" i="20"/>
  <c r="W1612" i="20"/>
  <c r="V1916" i="20"/>
  <c r="W1874" i="20"/>
  <c r="W1712" i="20"/>
  <c r="V976" i="20"/>
  <c r="V1117" i="20"/>
  <c r="W93" i="20"/>
  <c r="V222" i="20"/>
  <c r="W982" i="20"/>
  <c r="W1639" i="20"/>
  <c r="W1051" i="20"/>
  <c r="V1764" i="20"/>
  <c r="W852" i="20"/>
  <c r="V118" i="20"/>
  <c r="V243" i="20"/>
  <c r="V168" i="20"/>
  <c r="W847" i="20"/>
  <c r="V1835" i="20"/>
  <c r="V1849" i="20"/>
  <c r="W288" i="20"/>
  <c r="V1636" i="20"/>
  <c r="W1715" i="20"/>
  <c r="W1629" i="20"/>
  <c r="W1862" i="20"/>
  <c r="W332" i="20"/>
  <c r="V921" i="20"/>
  <c r="W83" i="20"/>
  <c r="V1687" i="20"/>
  <c r="V1902" i="20"/>
  <c r="V982" i="20"/>
  <c r="W977" i="20"/>
  <c r="V348" i="20"/>
  <c r="W1818" i="20"/>
  <c r="V922" i="20"/>
  <c r="W1949" i="20"/>
  <c r="W1608" i="20"/>
  <c r="W1810" i="20"/>
  <c r="W1769" i="20"/>
  <c r="V177" i="20"/>
  <c r="W846" i="20"/>
  <c r="W1838" i="20"/>
  <c r="W103" i="20"/>
  <c r="V1620" i="20"/>
  <c r="W192" i="20"/>
  <c r="V1755" i="20"/>
  <c r="V102" i="20"/>
  <c r="W1871" i="20"/>
  <c r="V1637" i="20"/>
  <c r="W1661" i="20"/>
  <c r="V1727" i="20"/>
  <c r="W1807" i="20"/>
  <c r="V1796" i="20"/>
  <c r="V1782" i="20"/>
  <c r="W1789" i="20"/>
  <c r="W1932" i="20"/>
  <c r="V1864" i="20"/>
  <c r="V308" i="20"/>
  <c r="W1785" i="20"/>
  <c r="V1897" i="20"/>
  <c r="W1887" i="20"/>
  <c r="V353" i="20"/>
  <c r="W1618" i="20"/>
  <c r="W1853" i="20"/>
  <c r="V1743" i="20"/>
  <c r="V1672" i="20"/>
  <c r="W956" i="20"/>
  <c r="W188" i="20"/>
  <c r="W252" i="20"/>
  <c r="V1773" i="20"/>
  <c r="W1847" i="20"/>
  <c r="W1760" i="20"/>
  <c r="V1777" i="20"/>
  <c r="V1685" i="20"/>
  <c r="W1693" i="20"/>
  <c r="V1760" i="20"/>
  <c r="V262" i="20"/>
  <c r="V1111" i="20"/>
  <c r="V897" i="20"/>
  <c r="V148" i="20"/>
  <c r="W1804" i="20"/>
  <c r="W1606" i="20"/>
  <c r="V1816" i="20"/>
  <c r="V312" i="20"/>
  <c r="W1936" i="20"/>
  <c r="V1694" i="20"/>
  <c r="W1839" i="20"/>
  <c r="W308" i="20"/>
  <c r="W203" i="20"/>
  <c r="V1057" i="20"/>
  <c r="V1704" i="20"/>
  <c r="W1917" i="20"/>
  <c r="W1788" i="20"/>
  <c r="V1107" i="20"/>
  <c r="W1903" i="20"/>
  <c r="W1713" i="20"/>
  <c r="W1906" i="20"/>
  <c r="W911" i="20"/>
  <c r="W67" i="20"/>
  <c r="W1734" i="20"/>
  <c r="W1860" i="20"/>
  <c r="V1932" i="20"/>
  <c r="V881" i="20"/>
  <c r="W937" i="20"/>
  <c r="W1784" i="20"/>
  <c r="V1026" i="20"/>
  <c r="W1106" i="20"/>
  <c r="W1824" i="20"/>
  <c r="V367" i="20"/>
  <c r="W1611" i="20"/>
  <c r="W1910" i="20"/>
  <c r="V1662" i="20"/>
  <c r="W1672" i="20"/>
  <c r="V112" i="20"/>
  <c r="V867" i="20"/>
  <c r="V1926" i="20"/>
  <c r="V1102" i="20"/>
  <c r="V1769" i="20"/>
  <c r="V292" i="20"/>
  <c r="W1914" i="20"/>
  <c r="W257" i="20"/>
  <c r="V1741" i="20"/>
  <c r="W193" i="20"/>
  <c r="W906" i="20"/>
  <c r="V1954" i="20"/>
  <c r="W1877" i="20"/>
  <c r="W1626" i="20"/>
  <c r="W1948" i="20"/>
  <c r="V1892" i="20"/>
  <c r="W1666" i="20"/>
  <c r="V93" i="20"/>
  <c r="W163" i="20"/>
  <c r="W1940" i="20"/>
  <c r="V1715" i="20"/>
  <c r="V1718" i="20"/>
  <c r="W283" i="20"/>
  <c r="W1126" i="20"/>
  <c r="V1922" i="20"/>
  <c r="W262" i="20"/>
  <c r="V1803" i="20"/>
  <c r="V1952" i="20"/>
  <c r="V857" i="20"/>
  <c r="W1012" i="20"/>
  <c r="W1899" i="20"/>
  <c r="V1875" i="20"/>
  <c r="W1599" i="20"/>
  <c r="V1002" i="20"/>
  <c r="V1822" i="20"/>
  <c r="W1744" i="20"/>
  <c r="V1869" i="20"/>
  <c r="V1844" i="20"/>
  <c r="V1623" i="20"/>
  <c r="W253" i="20"/>
  <c r="W177" i="20"/>
  <c r="V941" i="20"/>
  <c r="W1021" i="20"/>
  <c r="V1847" i="20"/>
  <c r="W1927" i="20"/>
  <c r="W1601" i="20"/>
  <c r="W292" i="20"/>
  <c r="W851" i="20"/>
  <c r="V1830" i="20"/>
  <c r="V207" i="20"/>
  <c r="V1628" i="20"/>
  <c r="W82" i="20"/>
  <c r="V997" i="20"/>
  <c r="V1945" i="20"/>
  <c r="V298" i="20"/>
  <c r="W957" i="20"/>
  <c r="V1742" i="20"/>
  <c r="W1944" i="20"/>
  <c r="V1823" i="20"/>
  <c r="W1945" i="20"/>
  <c r="W53" i="20"/>
  <c r="W1634" i="20"/>
  <c r="W1793" i="20"/>
  <c r="W1775" i="20"/>
  <c r="W323" i="20"/>
  <c r="W1840" i="20"/>
  <c r="W1673" i="20"/>
  <c r="V1894" i="20"/>
  <c r="V1795" i="20"/>
  <c r="V327" i="20"/>
  <c r="V1611" i="20"/>
  <c r="W1635" i="20"/>
  <c r="V1941" i="20"/>
  <c r="W1883" i="20"/>
  <c r="V107" i="20"/>
  <c r="V1131" i="20"/>
  <c r="W1868" i="20"/>
  <c r="W1643" i="20"/>
  <c r="V1022" i="20"/>
  <c r="W1655" i="20"/>
  <c r="W73" i="20"/>
  <c r="V1061" i="20"/>
  <c r="V1820" i="20"/>
  <c r="W872" i="20"/>
  <c r="W1725" i="20"/>
  <c r="W1954" i="20"/>
  <c r="V1724" i="20"/>
  <c r="W212" i="20"/>
  <c r="V1915" i="20"/>
  <c r="W78" i="20"/>
  <c r="V1733" i="20"/>
  <c r="W1598" i="20"/>
  <c r="V1047" i="20"/>
  <c r="V1676" i="20"/>
  <c r="W372" i="20"/>
  <c r="V1062" i="20"/>
  <c r="W247" i="20"/>
  <c r="V212" i="20"/>
  <c r="V1647" i="20"/>
  <c r="V253" i="20"/>
  <c r="V1836" i="20"/>
  <c r="V876" i="20"/>
  <c r="W1893" i="20"/>
  <c r="V1772" i="20"/>
  <c r="V1935" i="20"/>
  <c r="V1612" i="20"/>
  <c r="W173" i="20"/>
  <c r="W1707" i="20"/>
  <c r="V1618" i="20"/>
  <c r="V1600" i="20"/>
  <c r="W1801" i="20"/>
  <c r="V1763" i="20"/>
  <c r="V861" i="20"/>
  <c r="V1834" i="20"/>
  <c r="W337" i="20"/>
  <c r="V62" i="20"/>
  <c r="V342" i="20"/>
  <c r="V1797" i="20"/>
  <c r="W1605" i="20"/>
  <c r="W1738" i="20"/>
  <c r="V237" i="20"/>
  <c r="V1801" i="20"/>
  <c r="W942" i="20"/>
  <c r="W1067" i="20"/>
  <c r="V1617" i="20"/>
  <c r="V1888" i="20"/>
  <c r="V1786" i="20"/>
  <c r="W1610" i="20"/>
  <c r="W1704" i="20"/>
  <c r="W1632" i="20"/>
  <c r="V1805" i="20"/>
  <c r="V1868" i="20"/>
  <c r="W72" i="20"/>
  <c r="W1836" i="20"/>
  <c r="W322" i="20"/>
  <c r="V1852" i="20"/>
  <c r="W307" i="20"/>
  <c r="W1651" i="20"/>
  <c r="V1778" i="20"/>
  <c r="W1805" i="20"/>
  <c r="W1718" i="20"/>
  <c r="V1732" i="20"/>
  <c r="W1825" i="20"/>
  <c r="W1762" i="20"/>
  <c r="W1644" i="20"/>
  <c r="V1697" i="20"/>
  <c r="W936" i="20"/>
  <c r="W1602" i="20"/>
  <c r="V877" i="20"/>
  <c r="V1949" i="20"/>
  <c r="W1841" i="20"/>
  <c r="V1652" i="20"/>
  <c r="V1736" i="20"/>
  <c r="W882" i="20"/>
  <c r="W218" i="20"/>
  <c r="V362" i="20"/>
  <c r="V1768" i="20"/>
  <c r="W1833" i="20"/>
  <c r="W263" i="20"/>
  <c r="V1781" i="20"/>
  <c r="V1056" i="20"/>
  <c r="V213" i="20"/>
  <c r="V337" i="20"/>
  <c r="W1753" i="20"/>
  <c r="V1626" i="20"/>
  <c r="W1681" i="20"/>
  <c r="V937" i="20"/>
  <c r="W1835" i="20"/>
  <c r="V1701" i="20"/>
  <c r="V1596" i="20"/>
  <c r="V1900" i="20"/>
  <c r="W1827" i="20"/>
  <c r="W1646" i="20"/>
  <c r="W1603" i="20"/>
  <c r="W162" i="20"/>
  <c r="W991" i="20"/>
  <c r="V952" i="20"/>
  <c r="V1593" i="20"/>
  <c r="W1653" i="20"/>
  <c r="V1629" i="20"/>
  <c r="W1872" i="20"/>
  <c r="V1682" i="20"/>
  <c r="V932" i="20"/>
  <c r="W1815" i="20"/>
  <c r="W1851" i="20"/>
  <c r="W971" i="20"/>
  <c r="V1012" i="20"/>
  <c r="V1856" i="20"/>
  <c r="W117" i="20"/>
  <c r="V962" i="20"/>
  <c r="V1696" i="20"/>
  <c r="W1761" i="20"/>
  <c r="W1828" i="20"/>
  <c r="V1031" i="20"/>
  <c r="V58" i="20"/>
  <c r="W1659" i="20"/>
  <c r="W363" i="20"/>
  <c r="V1851" i="20"/>
  <c r="V1097" i="20"/>
  <c r="W1627" i="20"/>
  <c r="V307" i="20"/>
  <c r="V1890" i="20"/>
  <c r="V268" i="20"/>
  <c r="V1659" i="20"/>
  <c r="V1738" i="20"/>
  <c r="W1076" i="20"/>
  <c r="W1823" i="20"/>
  <c r="W1731" i="20"/>
  <c r="V1762" i="20"/>
  <c r="W1042" i="20"/>
  <c r="W892" i="20"/>
  <c r="W87" i="20"/>
  <c r="W1607" i="20"/>
  <c r="W1721" i="20"/>
  <c r="V961" i="20"/>
  <c r="V911" i="20"/>
  <c r="V208" i="20"/>
  <c r="W845" i="20"/>
  <c r="V1872" i="20"/>
  <c r="V1664" i="20"/>
  <c r="W1722" i="20"/>
  <c r="W997" i="20"/>
  <c r="V1606" i="20"/>
  <c r="W1813" i="20"/>
  <c r="V1863" i="20"/>
  <c r="V328" i="20"/>
  <c r="V1690" i="20"/>
  <c r="V936" i="20"/>
  <c r="V1700" i="20"/>
  <c r="V1082" i="20"/>
  <c r="V1603" i="20"/>
  <c r="V232" i="20"/>
  <c r="W278" i="20"/>
  <c r="W1136" i="20"/>
  <c r="W891" i="20"/>
  <c r="V1714" i="20"/>
  <c r="W357" i="20"/>
  <c r="V1841" i="20"/>
  <c r="W1032" i="20"/>
  <c r="V1891" i="20"/>
  <c r="W1622" i="20"/>
  <c r="W1837" i="20"/>
  <c r="V153" i="20"/>
  <c r="W1616" i="20"/>
  <c r="V1898" i="20"/>
  <c r="V47" i="20"/>
  <c r="V1877" i="20"/>
  <c r="V1814" i="20"/>
  <c r="V1921" i="20"/>
  <c r="W328" i="20"/>
  <c r="V1610" i="20"/>
  <c r="W232" i="20"/>
  <c r="W927" i="20"/>
  <c r="W1842" i="20"/>
  <c r="V1842" i="20"/>
  <c r="V1046" i="20"/>
  <c r="W1947" i="20"/>
  <c r="V67" i="20"/>
  <c r="W353" i="20"/>
  <c r="W1942" i="20"/>
  <c r="V248" i="20"/>
  <c r="V842" i="20"/>
  <c r="W1728" i="20"/>
  <c r="V1925" i="20"/>
  <c r="W1791" i="20"/>
  <c r="W1091" i="20"/>
  <c r="W1650" i="20"/>
  <c r="W1756" i="20"/>
  <c r="V1615" i="20"/>
  <c r="V1873" i="20"/>
  <c r="V1720" i="20"/>
  <c r="W348" i="20"/>
  <c r="V1710" i="20"/>
  <c r="V1744" i="20"/>
  <c r="W922" i="20"/>
  <c r="V98" i="20"/>
  <c r="W1166" i="20"/>
  <c r="V358" i="20"/>
  <c r="V1599" i="20"/>
  <c r="V1895" i="20"/>
  <c r="W1848" i="20"/>
  <c r="W277" i="20"/>
  <c r="V122" i="20"/>
  <c r="V1776" i="20"/>
  <c r="W1863" i="20"/>
  <c r="V1162" i="20"/>
  <c r="W1711" i="20"/>
  <c r="W1142" i="20"/>
  <c r="V1713" i="20"/>
  <c r="W1623" i="20"/>
  <c r="V1657" i="20"/>
  <c r="W1640" i="20"/>
  <c r="V862" i="20"/>
  <c r="V223" i="20"/>
  <c r="V1860" i="20"/>
  <c r="V1645" i="20"/>
  <c r="V183" i="20"/>
  <c r="W917" i="20"/>
  <c r="W1669" i="20"/>
  <c r="V916" i="20"/>
  <c r="V1946" i="20"/>
  <c r="W1664" i="20"/>
  <c r="W1081" i="20"/>
  <c r="V72" i="20"/>
  <c r="W1806" i="20"/>
  <c r="W1036" i="20"/>
  <c r="W207" i="20"/>
  <c r="W1780" i="20"/>
  <c r="V1734" i="20"/>
  <c r="W187" i="20"/>
  <c r="V1646" i="20"/>
  <c r="V1658" i="20"/>
  <c r="W1727" i="20"/>
  <c r="W1022" i="20"/>
  <c r="W1597" i="20"/>
  <c r="W976" i="20"/>
  <c r="V1614" i="20"/>
  <c r="W1649" i="20"/>
  <c r="V197" i="20"/>
  <c r="V123" i="20"/>
  <c r="W1665" i="20"/>
  <c r="V1635" i="20"/>
  <c r="W1799" i="20"/>
  <c r="W1630" i="20"/>
  <c r="W1895" i="20"/>
  <c r="W1628" i="20"/>
  <c r="W1951" i="20"/>
  <c r="V1910" i="20"/>
  <c r="V887" i="20"/>
  <c r="W293" i="20"/>
  <c r="W142" i="20"/>
  <c r="V1006" i="20"/>
  <c r="W1873" i="20"/>
  <c r="V1905" i="20"/>
  <c r="V1737" i="20"/>
  <c r="W912" i="20"/>
  <c r="V1051" i="20"/>
  <c r="W1808" i="20"/>
  <c r="V97" i="20"/>
  <c r="W1151" i="20"/>
  <c r="V1879" i="20"/>
  <c r="V1122" i="20"/>
  <c r="W1875" i="20"/>
  <c r="W1774" i="20"/>
  <c r="V52" i="20"/>
  <c r="V1838" i="20"/>
  <c r="V1667" i="20"/>
  <c r="W842" i="20"/>
  <c r="W1031" i="20"/>
  <c r="W183" i="20"/>
  <c r="V1721" i="20"/>
  <c r="V1706" i="20"/>
  <c r="V1096" i="20"/>
  <c r="V83" i="20"/>
  <c r="W1812" i="20"/>
  <c r="W1614" i="20"/>
  <c r="W1854" i="20"/>
  <c r="V218" i="20"/>
  <c r="V127" i="20"/>
  <c r="V1663" i="20"/>
  <c r="V372" i="20"/>
  <c r="W287" i="20"/>
  <c r="V1042" i="20"/>
  <c r="V1604" i="20"/>
  <c r="W1881" i="20"/>
  <c r="W1767" i="20"/>
  <c r="V297" i="20"/>
  <c r="W1869" i="20"/>
  <c r="V1819" i="20"/>
  <c r="V323" i="20"/>
  <c r="W1066" i="20"/>
  <c r="V1855" i="20"/>
  <c r="V967" i="20"/>
  <c r="W227" i="20"/>
  <c r="V1622" i="20"/>
  <c r="W137" i="20"/>
  <c r="V1101" i="20"/>
  <c r="V1845" i="20"/>
  <c r="V1833" i="20"/>
  <c r="W1779" i="20"/>
  <c r="V363" i="20"/>
  <c r="V1695" i="20"/>
  <c r="W1937" i="20"/>
  <c r="W1809" i="20"/>
  <c r="W1922" i="20"/>
  <c r="W1671" i="20"/>
  <c r="W1657" i="20"/>
  <c r="W1102" i="20"/>
  <c r="V1121" i="20"/>
  <c r="W1844" i="20"/>
  <c r="W1926" i="20"/>
  <c r="W1766" i="20"/>
  <c r="V137" i="20"/>
  <c r="W1703" i="20"/>
  <c r="W128" i="20"/>
  <c r="W122" i="20"/>
  <c r="V1758" i="20"/>
  <c r="W1821" i="20"/>
  <c r="W1641" i="20"/>
  <c r="V1934" i="20"/>
  <c r="V1021" i="20"/>
  <c r="W1856" i="20"/>
  <c r="W1900" i="20"/>
  <c r="V1011" i="20"/>
  <c r="V1747" i="20"/>
  <c r="V1928" i="20"/>
  <c r="V267" i="20"/>
  <c r="W1692" i="20"/>
  <c r="W1621" i="20"/>
  <c r="W1946" i="20"/>
  <c r="W916" i="20"/>
  <c r="V1914" i="20"/>
  <c r="W857" i="20"/>
  <c r="V1671" i="20"/>
  <c r="W1898" i="20"/>
  <c r="V1770" i="20"/>
  <c r="V1745" i="20"/>
  <c r="W1749" i="20"/>
  <c r="V233" i="20"/>
  <c r="V1723" i="20"/>
  <c r="V1828" i="20"/>
  <c r="V1731" i="20"/>
  <c r="W1765" i="20"/>
  <c r="W1740" i="20"/>
  <c r="W1907" i="20"/>
  <c r="W1675" i="20"/>
  <c r="W148" i="20"/>
  <c r="W946" i="20"/>
  <c r="W222" i="20"/>
  <c r="V158" i="20"/>
  <c r="W1062" i="20"/>
  <c r="W877" i="20"/>
  <c r="W1117" i="20"/>
  <c r="V1817" i="20"/>
  <c r="W1916" i="20"/>
  <c r="V1840" i="20"/>
  <c r="V851" i="20"/>
  <c r="V1950" i="20"/>
  <c r="V302" i="20"/>
  <c r="W1647" i="20"/>
  <c r="V357" i="20"/>
  <c r="V1947" i="20"/>
  <c r="W1077" i="20"/>
  <c r="W1865" i="20"/>
  <c r="W1625" i="20"/>
  <c r="V1027" i="20"/>
  <c r="V273" i="20"/>
  <c r="W1709" i="20"/>
  <c r="W342" i="20"/>
  <c r="V1683" i="20"/>
  <c r="W167" i="20"/>
  <c r="W1687" i="20"/>
  <c r="W1157" i="20"/>
  <c r="W1931" i="20"/>
  <c r="V1923" i="20"/>
  <c r="V1621" i="20"/>
  <c r="V1669" i="20"/>
  <c r="V1086" i="20"/>
  <c r="V1848" i="20"/>
  <c r="W1908" i="20"/>
  <c r="V1693" i="20"/>
  <c r="W358" i="20"/>
  <c r="W901" i="20"/>
  <c r="V1815" i="20"/>
  <c r="V956" i="20"/>
  <c r="W118" i="20"/>
  <c r="V1707" i="20"/>
  <c r="V1887" i="20"/>
  <c r="V866" i="20"/>
  <c r="V1631" i="20"/>
  <c r="V1016" i="20"/>
  <c r="V143" i="20"/>
  <c r="V1712" i="20"/>
  <c r="W1892" i="20"/>
  <c r="V912" i="20"/>
  <c r="V1901" i="20"/>
  <c r="W1684" i="20"/>
  <c r="V1810" i="20"/>
  <c r="V1818" i="20"/>
  <c r="V1933" i="20"/>
  <c r="V1157" i="20"/>
  <c r="V1642" i="20"/>
  <c r="W198" i="20"/>
  <c r="W1670" i="20"/>
  <c r="V996" i="20"/>
  <c r="W1830" i="20"/>
  <c r="W1832" i="20"/>
  <c r="W108" i="20"/>
  <c r="W1771" i="20"/>
  <c r="W1121" i="20"/>
  <c r="W1658" i="20"/>
  <c r="W951" i="20"/>
  <c r="V1698" i="20"/>
  <c r="V927" i="20"/>
  <c r="W1662" i="20"/>
  <c r="V901" i="20"/>
  <c r="W233" i="20"/>
  <c r="W1156" i="20"/>
  <c r="W68" i="20"/>
  <c r="W1600" i="20"/>
  <c r="V1036" i="20"/>
  <c r="W881" i="20"/>
  <c r="W1071" i="20"/>
  <c r="V287" i="20"/>
  <c r="V238" i="20"/>
  <c r="V1641" i="20"/>
  <c r="V1708" i="20"/>
  <c r="W1858" i="20"/>
  <c r="V1668" i="20"/>
  <c r="V1913" i="20"/>
  <c r="V1865" i="20"/>
  <c r="W58" i="20"/>
  <c r="W1678" i="20"/>
  <c r="W157" i="20"/>
  <c r="V163" i="20"/>
  <c r="W1763" i="20"/>
  <c r="V1906" i="20"/>
  <c r="W1747" i="20"/>
  <c r="V147" i="20"/>
  <c r="W223" i="20"/>
  <c r="W1152" i="20"/>
  <c r="W51" i="20"/>
  <c r="V1944" i="20"/>
  <c r="V1912" i="20"/>
  <c r="V338" i="20"/>
  <c r="V1654" i="20"/>
  <c r="V841" i="20"/>
  <c r="W1814" i="20"/>
  <c r="V1716" i="20"/>
  <c r="W1797" i="20"/>
  <c r="W127" i="20"/>
  <c r="V946" i="20"/>
  <c r="V1846" i="20"/>
  <c r="W1694" i="20"/>
  <c r="W1817" i="20"/>
  <c r="V847" i="20"/>
  <c r="V203" i="20"/>
  <c r="W333" i="20"/>
  <c r="V157" i="20"/>
  <c r="W1913" i="20"/>
  <c r="W1696" i="20"/>
  <c r="V1601" i="20"/>
  <c r="W1147" i="20"/>
  <c r="W1056" i="20"/>
  <c r="V931" i="20"/>
  <c r="V1677" i="20"/>
  <c r="W1617" i="20"/>
  <c r="V1857" i="20"/>
  <c r="V1774" i="20"/>
  <c r="V198" i="20"/>
  <c r="W1816" i="20"/>
  <c r="V1751" i="20"/>
  <c r="V282" i="20"/>
  <c r="W237" i="20"/>
  <c r="W1755" i="20"/>
  <c r="W1792" i="20"/>
  <c r="W996" i="20"/>
  <c r="V1630" i="20"/>
  <c r="W1787" i="20"/>
  <c r="V63" i="20"/>
  <c r="V1917" i="20"/>
  <c r="W967" i="20"/>
  <c r="V1866" i="20"/>
  <c r="W143" i="20"/>
  <c r="V293" i="20"/>
  <c r="W1730" i="20"/>
  <c r="W1698" i="20"/>
  <c r="W1923" i="20"/>
  <c r="V1748" i="20"/>
  <c r="V1948" i="20"/>
  <c r="V1673" i="20"/>
  <c r="W886" i="20"/>
  <c r="V1092" i="20"/>
  <c r="W1057" i="20"/>
  <c r="W1594" i="20"/>
  <c r="V991" i="20"/>
  <c r="V1106" i="20"/>
  <c r="V1854" i="20"/>
  <c r="V1924" i="20"/>
  <c r="V173" i="20"/>
  <c r="W138" i="20"/>
  <c r="V1127" i="20"/>
  <c r="V986" i="20"/>
  <c r="V1876" i="20"/>
  <c r="W1111" i="20"/>
  <c r="V1867" i="20"/>
  <c r="V272" i="20"/>
  <c r="V1767" i="20"/>
  <c r="V1136" i="20"/>
  <c r="V178" i="20"/>
  <c r="W1132" i="20"/>
  <c r="W1911" i="20"/>
  <c r="V1052" i="20"/>
  <c r="W1642" i="20"/>
  <c r="W1822" i="20"/>
  <c r="W981" i="20"/>
  <c r="V1881" i="20"/>
  <c r="W1604" i="20"/>
  <c r="W1746" i="20"/>
  <c r="V1936" i="20"/>
  <c r="V51" i="20"/>
  <c r="V73" i="20"/>
  <c r="V242" i="20"/>
  <c r="V1602" i="20"/>
  <c r="V92" i="20"/>
  <c r="V1142" i="20"/>
  <c r="W102" i="20"/>
  <c r="V1633" i="20"/>
  <c r="V227" i="20"/>
  <c r="W1757" i="20"/>
  <c r="W1754" i="20"/>
  <c r="W931" i="20"/>
  <c r="W1631" i="20"/>
  <c r="V1824" i="20"/>
  <c r="V133" i="20"/>
  <c r="V1627" i="20"/>
  <c r="W1803" i="20"/>
  <c r="W1137" i="20"/>
  <c r="W1889" i="20"/>
  <c r="W133" i="20"/>
  <c r="W1855" i="20"/>
  <c r="V1655" i="20"/>
  <c r="W1716" i="20"/>
  <c r="V1686" i="20"/>
  <c r="W1790" i="20"/>
  <c r="V1930" i="20"/>
  <c r="V992" i="20"/>
  <c r="V257" i="20"/>
  <c r="W1849" i="20"/>
  <c r="V1091" i="20"/>
  <c r="W1901" i="20"/>
  <c r="W1829" i="20"/>
  <c r="V1656" i="20"/>
  <c r="W282" i="20"/>
  <c r="W1857" i="20"/>
  <c r="W267" i="20"/>
  <c r="V1730" i="20"/>
  <c r="W1001" i="20"/>
  <c r="V303" i="20"/>
  <c r="W1724" i="20"/>
  <c r="V57" i="20"/>
  <c r="V846" i="20"/>
  <c r="V1740" i="20"/>
  <c r="V1609" i="20"/>
  <c r="W1751" i="20"/>
  <c r="W273" i="20"/>
  <c r="V947" i="20"/>
  <c r="W1921" i="20"/>
  <c r="V1800" i="20"/>
  <c r="W338" i="20"/>
  <c r="V1665" i="20"/>
  <c r="W1613" i="20"/>
  <c r="W52" i="20"/>
  <c r="V1804" i="20"/>
  <c r="V1692" i="20"/>
  <c r="V318" i="20"/>
  <c r="W1122" i="20"/>
  <c r="V1660" i="20"/>
  <c r="W986" i="20"/>
  <c r="W1736" i="20"/>
  <c r="W1061" i="20"/>
  <c r="W1925" i="20"/>
  <c r="V845" i="20"/>
  <c r="V368" i="20"/>
  <c r="V1595" i="20"/>
  <c r="V1066" i="20"/>
  <c r="W298" i="20"/>
  <c r="W1645" i="20"/>
  <c r="W862" i="20"/>
  <c r="V1808" i="20"/>
  <c r="V1017" i="20"/>
  <c r="W1016" i="20"/>
  <c r="V1608" i="20"/>
  <c r="W258" i="20"/>
  <c r="W182" i="20"/>
  <c r="W1691" i="20"/>
  <c r="V1166" i="20"/>
  <c r="W1637" i="20"/>
  <c r="V217" i="20"/>
  <c r="W1743" i="20"/>
  <c r="W178" i="20"/>
  <c r="W272" i="20"/>
  <c r="W1101" i="20"/>
  <c r="W1011" i="20"/>
  <c r="V88" i="20"/>
  <c r="V82" i="20"/>
  <c r="W1800" i="20"/>
  <c r="W1735" i="20"/>
  <c r="V1943" i="20"/>
  <c r="V1878" i="20"/>
  <c r="W1826" i="20"/>
  <c r="V1812" i="20"/>
  <c r="V1787" i="20"/>
  <c r="W1685" i="20"/>
  <c r="W1783" i="20"/>
  <c r="W1811" i="20"/>
  <c r="V1909" i="20"/>
  <c r="W1620" i="20"/>
  <c r="W1708" i="20"/>
  <c r="V1648" i="20"/>
  <c r="W961" i="20"/>
  <c r="W1776" i="20"/>
  <c r="V1771" i="20"/>
  <c r="W147" i="20"/>
  <c r="W1934" i="20"/>
  <c r="W48" i="20"/>
  <c r="V1883" i="20"/>
  <c r="W1086" i="20"/>
  <c r="W1745" i="20"/>
  <c r="W966" i="20"/>
  <c r="V1598" i="20"/>
  <c r="W1680" i="20"/>
  <c r="V802" i="20"/>
  <c r="V18" i="20"/>
  <c r="V838" i="20"/>
  <c r="W830" i="20"/>
  <c r="W829" i="20"/>
  <c r="V797" i="20"/>
  <c r="V800" i="20"/>
  <c r="W12" i="20"/>
  <c r="W30" i="20"/>
  <c r="V41" i="20"/>
  <c r="V3" i="20"/>
  <c r="V827" i="20"/>
  <c r="V35" i="20"/>
  <c r="W23" i="20"/>
  <c r="V830" i="20"/>
  <c r="W43" i="20"/>
  <c r="V34" i="20"/>
  <c r="W819" i="20"/>
  <c r="V839" i="20"/>
  <c r="W39" i="20"/>
  <c r="W815" i="20"/>
  <c r="W811" i="20"/>
  <c r="W834" i="20"/>
  <c r="V26" i="20"/>
  <c r="W7" i="20"/>
  <c r="W837" i="20"/>
  <c r="V818" i="20"/>
  <c r="W8" i="20"/>
  <c r="W797" i="20"/>
  <c r="V42" i="20"/>
  <c r="V833" i="20"/>
  <c r="W817" i="20"/>
  <c r="W27" i="20"/>
  <c r="V36" i="20"/>
  <c r="V38" i="20"/>
  <c r="V817" i="20"/>
  <c r="V31" i="20"/>
  <c r="V829" i="20"/>
  <c r="V21" i="20"/>
  <c r="V15" i="20"/>
  <c r="V32" i="20"/>
  <c r="V19" i="20"/>
  <c r="W11" i="20"/>
  <c r="W33" i="20"/>
  <c r="V836" i="20"/>
  <c r="V835" i="20"/>
  <c r="W17" i="20"/>
  <c r="W810" i="20"/>
  <c r="W32" i="20"/>
  <c r="V811" i="20"/>
  <c r="W31" i="20"/>
  <c r="W838" i="20"/>
  <c r="W16" i="20"/>
  <c r="V25" i="20"/>
  <c r="W821" i="20"/>
  <c r="V819" i="20"/>
  <c r="W835" i="20"/>
  <c r="W822" i="20"/>
  <c r="V808" i="20"/>
  <c r="V801" i="20"/>
  <c r="V806" i="20"/>
  <c r="V805" i="20"/>
  <c r="W14" i="20"/>
  <c r="W44" i="20"/>
  <c r="W45" i="20"/>
  <c r="V809" i="20"/>
  <c r="V798" i="20"/>
  <c r="W807" i="20"/>
  <c r="W803" i="20"/>
  <c r="W25" i="20"/>
  <c r="W9" i="20"/>
  <c r="W20" i="20"/>
  <c r="W839" i="20"/>
  <c r="V812" i="20"/>
  <c r="V23" i="20"/>
  <c r="W806" i="20"/>
  <c r="W818" i="20"/>
  <c r="W823" i="20"/>
  <c r="W5" i="20"/>
  <c r="V828" i="20"/>
  <c r="V831" i="20"/>
  <c r="V803" i="20"/>
  <c r="W34" i="20"/>
  <c r="V28" i="20"/>
  <c r="V29" i="20"/>
  <c r="W15" i="20"/>
  <c r="V810" i="20"/>
  <c r="V834" i="20"/>
  <c r="W21" i="20"/>
  <c r="W800" i="20"/>
  <c r="W805" i="20"/>
  <c r="V821" i="20"/>
  <c r="W6" i="20"/>
  <c r="W3" i="20"/>
  <c r="V17" i="20"/>
  <c r="W812" i="20"/>
  <c r="V44" i="20"/>
  <c r="W42" i="20"/>
  <c r="W22" i="20"/>
  <c r="V825" i="20"/>
  <c r="V16" i="20"/>
  <c r="V823" i="20"/>
  <c r="V45" i="20"/>
  <c r="V816" i="20"/>
  <c r="V832" i="20"/>
  <c r="W24" i="20"/>
  <c r="W41" i="20"/>
  <c r="W808" i="20"/>
  <c r="V813" i="20"/>
  <c r="V7" i="20"/>
  <c r="V826" i="20"/>
  <c r="W826" i="20"/>
  <c r="W809" i="20"/>
  <c r="V27" i="20"/>
  <c r="V4" i="20"/>
  <c r="V824" i="20"/>
  <c r="V8" i="20"/>
  <c r="W825" i="20"/>
  <c r="V837" i="20"/>
  <c r="V39" i="20"/>
  <c r="W13" i="20"/>
  <c r="V807" i="20"/>
  <c r="W38" i="20"/>
  <c r="W828" i="20"/>
  <c r="V814" i="20"/>
  <c r="W798" i="20"/>
  <c r="W814" i="20"/>
  <c r="W799" i="20"/>
  <c r="W802" i="20"/>
  <c r="V799" i="20"/>
  <c r="V43" i="20"/>
  <c r="W26" i="20"/>
  <c r="W29" i="20"/>
  <c r="W820" i="20"/>
  <c r="W833" i="20"/>
  <c r="W35" i="20"/>
  <c r="V6" i="20"/>
  <c r="V820" i="20"/>
  <c r="W28" i="20"/>
  <c r="W804" i="20"/>
  <c r="W816" i="20"/>
  <c r="V33" i="20"/>
  <c r="V40" i="20"/>
  <c r="W832" i="20"/>
  <c r="V37" i="20"/>
  <c r="V24" i="20"/>
  <c r="V822" i="20"/>
  <c r="W827" i="20"/>
  <c r="W10" i="20"/>
  <c r="W40" i="20"/>
  <c r="V14" i="20"/>
  <c r="V804" i="20"/>
  <c r="W19" i="20"/>
  <c r="V9" i="20"/>
  <c r="W36" i="20"/>
  <c r="W836" i="20"/>
  <c r="W831" i="20"/>
  <c r="W824" i="20"/>
  <c r="W813" i="20"/>
  <c r="V30" i="20"/>
  <c r="V815" i="20"/>
  <c r="V5" i="20"/>
  <c r="V22" i="20"/>
  <c r="V20" i="20"/>
  <c r="W18" i="20"/>
  <c r="W37" i="20"/>
  <c r="W4" i="20"/>
  <c r="W801" i="20"/>
  <c r="W391" i="20"/>
  <c r="V432" i="20"/>
  <c r="V467" i="20"/>
  <c r="W1223" i="20"/>
  <c r="V473" i="20"/>
  <c r="W1220" i="20"/>
  <c r="W419" i="20"/>
  <c r="W412" i="20"/>
  <c r="W420" i="20"/>
  <c r="W435" i="20"/>
  <c r="W475" i="20"/>
  <c r="W1184" i="20"/>
  <c r="V1260" i="20"/>
  <c r="W1234" i="20"/>
  <c r="V397" i="20"/>
  <c r="V448" i="20"/>
  <c r="V1255" i="20"/>
  <c r="V458" i="20"/>
  <c r="V1240" i="20"/>
  <c r="W383" i="20"/>
  <c r="W1252" i="20"/>
  <c r="W1245" i="20"/>
  <c r="W1230" i="20"/>
  <c r="V1242" i="20"/>
  <c r="W398" i="20"/>
  <c r="V1173" i="20"/>
  <c r="V1227" i="20"/>
  <c r="W450" i="20"/>
  <c r="W403" i="20"/>
  <c r="V1187" i="20"/>
  <c r="V1206" i="20"/>
  <c r="V409" i="20"/>
  <c r="V421" i="20"/>
  <c r="V434" i="20"/>
  <c r="V1214" i="20"/>
  <c r="W453" i="20"/>
  <c r="V411" i="20"/>
  <c r="W1256" i="20"/>
  <c r="V1188" i="20"/>
  <c r="V459" i="20"/>
  <c r="V415" i="20"/>
  <c r="W1202" i="20"/>
  <c r="W1197" i="20"/>
  <c r="W1216" i="20"/>
  <c r="W1270" i="20"/>
  <c r="V377" i="20"/>
  <c r="V1263" i="20"/>
  <c r="V471" i="20"/>
  <c r="V401" i="20"/>
  <c r="V396" i="20"/>
  <c r="W1174" i="20"/>
  <c r="W445" i="20"/>
  <c r="W1180" i="20"/>
  <c r="W1207" i="20"/>
  <c r="V476" i="20"/>
  <c r="V1210" i="20"/>
  <c r="V408" i="20"/>
  <c r="V1193" i="20"/>
  <c r="V1213" i="20"/>
  <c r="W438" i="20"/>
  <c r="W424" i="20"/>
  <c r="W425" i="20"/>
  <c r="V1234" i="20"/>
  <c r="V1238" i="20"/>
  <c r="V407" i="20"/>
  <c r="W430" i="20"/>
  <c r="V1271" i="20"/>
  <c r="W1268" i="20"/>
  <c r="W389" i="20"/>
  <c r="V382" i="20"/>
  <c r="V386" i="20"/>
  <c r="W447" i="20"/>
  <c r="W409" i="20"/>
  <c r="V419" i="20"/>
  <c r="V1256" i="20"/>
  <c r="V1261" i="20"/>
  <c r="V450" i="20"/>
  <c r="V1223" i="20"/>
  <c r="W410" i="20"/>
  <c r="W474" i="20"/>
  <c r="W1201" i="20"/>
  <c r="W402" i="20"/>
  <c r="W1260" i="20"/>
  <c r="V1171" i="20"/>
  <c r="W1269" i="20"/>
  <c r="W429" i="20"/>
  <c r="W378" i="20"/>
  <c r="V388" i="20"/>
  <c r="V1267" i="20"/>
  <c r="W1273" i="20"/>
  <c r="W1257" i="20"/>
  <c r="V462" i="20"/>
  <c r="W1190" i="20"/>
  <c r="W1200" i="20"/>
  <c r="W1209" i="20"/>
  <c r="W392" i="20"/>
  <c r="V1237" i="20"/>
  <c r="W395" i="20"/>
  <c r="V454" i="20"/>
  <c r="W1243" i="20"/>
  <c r="V416" i="20"/>
  <c r="W1186" i="20"/>
  <c r="V1209" i="20"/>
  <c r="V426" i="20"/>
  <c r="V378" i="20"/>
  <c r="W394" i="20"/>
  <c r="W400" i="20"/>
  <c r="W461" i="20"/>
  <c r="W1199" i="20"/>
  <c r="W442" i="20"/>
  <c r="W416" i="20"/>
  <c r="V1229" i="20"/>
  <c r="V461" i="20"/>
  <c r="V478" i="20"/>
  <c r="V1175" i="20"/>
  <c r="W1235" i="20"/>
  <c r="W433" i="20"/>
  <c r="V403" i="20"/>
  <c r="V413" i="20"/>
  <c r="V1200" i="20"/>
  <c r="W431" i="20"/>
  <c r="V391" i="20"/>
  <c r="W1271" i="20"/>
  <c r="W1240" i="20"/>
  <c r="V452" i="20"/>
  <c r="V1249" i="20"/>
  <c r="V379" i="20"/>
  <c r="V1186" i="20"/>
  <c r="W405" i="20"/>
  <c r="V1182" i="20"/>
  <c r="W1195" i="20"/>
  <c r="W381" i="20"/>
  <c r="W1193" i="20"/>
  <c r="W382" i="20"/>
  <c r="W1183" i="20"/>
  <c r="V1181" i="20"/>
  <c r="V1262" i="20"/>
  <c r="V1218" i="20"/>
  <c r="V1273" i="20"/>
  <c r="V469" i="20"/>
  <c r="V414" i="20"/>
  <c r="W473" i="20"/>
  <c r="W393" i="20"/>
  <c r="W443" i="20"/>
  <c r="V1194" i="20"/>
  <c r="V1198" i="20"/>
  <c r="W469" i="20"/>
  <c r="W1241" i="20"/>
  <c r="V1235" i="20"/>
  <c r="V447" i="20"/>
  <c r="V1202" i="20"/>
  <c r="W436" i="20"/>
  <c r="W446" i="20"/>
  <c r="W440" i="20"/>
  <c r="W399" i="20"/>
  <c r="V1170" i="20"/>
  <c r="W1267" i="20"/>
  <c r="V1224" i="20"/>
  <c r="V1179" i="20"/>
  <c r="W466" i="20"/>
  <c r="V436" i="20"/>
  <c r="V1244" i="20"/>
  <c r="V1216" i="20"/>
  <c r="V1174" i="20"/>
  <c r="W1210" i="20"/>
  <c r="V1189" i="20"/>
  <c r="V393" i="20"/>
  <c r="V1269" i="20"/>
  <c r="V1265" i="20"/>
  <c r="V444" i="20"/>
  <c r="W428" i="20"/>
  <c r="V466" i="20"/>
  <c r="W380" i="20"/>
  <c r="W479" i="20"/>
  <c r="W407" i="20"/>
  <c r="V428" i="20"/>
  <c r="V433" i="20"/>
  <c r="V423" i="20"/>
  <c r="W467" i="20"/>
  <c r="V1258" i="20"/>
  <c r="W1204" i="20"/>
  <c r="W1217" i="20"/>
  <c r="W1191" i="20"/>
  <c r="W1203" i="20"/>
  <c r="V474" i="20"/>
  <c r="W1238" i="20"/>
  <c r="W376" i="20"/>
  <c r="W452" i="20"/>
  <c r="W1212" i="20"/>
  <c r="W396" i="20"/>
  <c r="W1247" i="20"/>
  <c r="V405" i="20"/>
  <c r="V1232" i="20"/>
  <c r="W384" i="20"/>
  <c r="V387" i="20"/>
  <c r="W1215" i="20"/>
  <c r="W451" i="20"/>
  <c r="V1203" i="20"/>
  <c r="W1249" i="20"/>
  <c r="V465" i="20"/>
  <c r="V392" i="20"/>
  <c r="V384" i="20"/>
  <c r="W1171" i="20"/>
  <c r="W476" i="20"/>
  <c r="W1255" i="20"/>
  <c r="V475" i="20"/>
  <c r="W1185" i="20"/>
  <c r="W1272" i="20"/>
  <c r="W477" i="20"/>
  <c r="V1204" i="20"/>
  <c r="W449" i="20"/>
  <c r="W459" i="20"/>
  <c r="W1265" i="20"/>
  <c r="W1198" i="20"/>
  <c r="W1182" i="20"/>
  <c r="W401" i="20"/>
  <c r="V1222" i="20"/>
  <c r="V1226" i="20"/>
  <c r="W1189" i="20"/>
  <c r="V1177" i="20"/>
  <c r="W448" i="20"/>
  <c r="W426" i="20"/>
  <c r="W432" i="20"/>
  <c r="V1230" i="20"/>
  <c r="V435" i="20"/>
  <c r="V442" i="20"/>
  <c r="W1218" i="20"/>
  <c r="V1212" i="20"/>
  <c r="W1262" i="20"/>
  <c r="V1195" i="20"/>
  <c r="V1268" i="20"/>
  <c r="V1248" i="20"/>
  <c r="W408" i="20"/>
  <c r="V427" i="20"/>
  <c r="W1236" i="20"/>
  <c r="V437" i="20"/>
  <c r="W470" i="20"/>
  <c r="W422" i="20"/>
  <c r="V464" i="20"/>
  <c r="V1272" i="20"/>
  <c r="W1211" i="20"/>
  <c r="V1211" i="20"/>
  <c r="V412" i="20"/>
  <c r="V406" i="20"/>
  <c r="W1170" i="20"/>
  <c r="V1207" i="20"/>
  <c r="W1248" i="20"/>
  <c r="V424" i="20"/>
  <c r="V425" i="20"/>
  <c r="W404" i="20"/>
  <c r="W421" i="20"/>
  <c r="W1181" i="20"/>
  <c r="V438" i="20"/>
  <c r="W1175" i="20"/>
  <c r="W1208" i="20"/>
  <c r="V468" i="20"/>
  <c r="W1232" i="20"/>
  <c r="W465" i="20"/>
  <c r="V430" i="20"/>
  <c r="W458" i="20"/>
  <c r="V381" i="20"/>
  <c r="V431" i="20"/>
  <c r="V1225" i="20"/>
  <c r="V1191" i="20"/>
  <c r="W1205" i="20"/>
  <c r="V383" i="20"/>
  <c r="V1253" i="20"/>
  <c r="W1179" i="20"/>
  <c r="W386" i="20"/>
  <c r="V1254" i="20"/>
  <c r="V457" i="20"/>
  <c r="W1259" i="20"/>
  <c r="V453" i="20"/>
  <c r="V1236" i="20"/>
  <c r="V404" i="20"/>
  <c r="V1220" i="20"/>
  <c r="W1251" i="20"/>
  <c r="W377" i="20"/>
  <c r="W388" i="20"/>
  <c r="W1261" i="20"/>
  <c r="V1184" i="20"/>
  <c r="V1192" i="20"/>
  <c r="W472" i="20"/>
  <c r="W441" i="20"/>
  <c r="V422" i="20"/>
  <c r="V1241" i="20"/>
  <c r="V1205" i="20"/>
  <c r="W1213" i="20"/>
  <c r="W444" i="20"/>
  <c r="V1247" i="20"/>
  <c r="W1233" i="20"/>
  <c r="W454" i="20"/>
  <c r="V1264" i="20"/>
  <c r="V380" i="20"/>
  <c r="V394" i="20"/>
  <c r="V455" i="20"/>
  <c r="V1228" i="20"/>
  <c r="V420" i="20"/>
  <c r="V399" i="20"/>
  <c r="W1250" i="20"/>
  <c r="V1270" i="20"/>
  <c r="W1187" i="20"/>
  <c r="W1226" i="20"/>
  <c r="V1180" i="20"/>
  <c r="V410" i="20"/>
  <c r="W1264" i="20"/>
  <c r="V1233" i="20"/>
  <c r="W1254" i="20"/>
  <c r="W455" i="20"/>
  <c r="W1237" i="20"/>
  <c r="W439" i="20"/>
  <c r="W397" i="20"/>
  <c r="V445" i="20"/>
  <c r="W1196" i="20"/>
  <c r="W1206" i="20"/>
  <c r="V1266" i="20"/>
  <c r="W385" i="20"/>
  <c r="W406" i="20"/>
  <c r="V479" i="20"/>
  <c r="V460" i="20"/>
  <c r="V1215" i="20"/>
  <c r="V1221" i="20"/>
  <c r="W1224" i="20"/>
  <c r="V1245" i="20"/>
  <c r="W1246" i="20"/>
  <c r="V451" i="20"/>
  <c r="W1242" i="20"/>
  <c r="W462" i="20"/>
  <c r="W418" i="20"/>
  <c r="W1194" i="20"/>
  <c r="V402" i="20"/>
  <c r="V1252" i="20"/>
  <c r="W460" i="20"/>
  <c r="V389" i="20"/>
  <c r="V446" i="20"/>
  <c r="W478" i="20"/>
  <c r="V1243" i="20"/>
  <c r="W415" i="20"/>
  <c r="V472" i="20"/>
  <c r="W1176" i="20"/>
  <c r="V1190" i="20"/>
  <c r="W1192" i="20"/>
  <c r="V1208" i="20"/>
  <c r="W1228" i="20"/>
  <c r="W471" i="20"/>
  <c r="V1257" i="20"/>
  <c r="V440" i="20"/>
  <c r="W434" i="20"/>
  <c r="V1259" i="20"/>
  <c r="V1183" i="20"/>
  <c r="W413" i="20"/>
  <c r="V418" i="20"/>
  <c r="W423" i="20"/>
  <c r="V439" i="20"/>
  <c r="W1172" i="20"/>
  <c r="W1244" i="20"/>
  <c r="W1266" i="20"/>
  <c r="W1231" i="20"/>
  <c r="W1253" i="20"/>
  <c r="W1221" i="20"/>
  <c r="W456" i="20"/>
  <c r="V443" i="20"/>
  <c r="V449" i="20"/>
  <c r="V1172" i="20"/>
  <c r="W463" i="20"/>
  <c r="V417" i="20"/>
  <c r="V400" i="20"/>
  <c r="W468" i="20"/>
  <c r="V376" i="20"/>
  <c r="V1185" i="20"/>
  <c r="V1219" i="20"/>
  <c r="V390" i="20"/>
  <c r="V398" i="20"/>
  <c r="V1196" i="20"/>
  <c r="W1239" i="20"/>
  <c r="W387" i="20"/>
  <c r="V395" i="20"/>
  <c r="W1178" i="20"/>
  <c r="V1231" i="20"/>
  <c r="V1251" i="20"/>
  <c r="V1176" i="20"/>
  <c r="W379" i="20"/>
  <c r="W1227" i="20"/>
  <c r="V470" i="20"/>
  <c r="V477" i="20"/>
  <c r="W464" i="20"/>
  <c r="W1222" i="20"/>
  <c r="V429" i="20"/>
  <c r="V441" i="20"/>
  <c r="V1178" i="20"/>
  <c r="V1199" i="20"/>
  <c r="V1201" i="20"/>
  <c r="V456" i="20"/>
  <c r="V1217" i="20"/>
  <c r="W457" i="20"/>
  <c r="W1173" i="20"/>
  <c r="W1214" i="20"/>
  <c r="W1177" i="20"/>
  <c r="V385" i="20"/>
  <c r="W1258" i="20"/>
  <c r="V463" i="20"/>
  <c r="W1229" i="20"/>
  <c r="W1225" i="20"/>
  <c r="W417" i="20"/>
  <c r="W414" i="20"/>
  <c r="W437" i="20"/>
  <c r="V1250" i="20"/>
  <c r="W1219" i="20"/>
  <c r="W1263" i="20"/>
  <c r="W390" i="20"/>
  <c r="V1239" i="20"/>
  <c r="V1197" i="20"/>
  <c r="W427" i="20"/>
  <c r="W1188" i="20"/>
  <c r="V1246" i="20"/>
  <c r="W411" i="20"/>
  <c r="B1625" i="20" l="1"/>
  <c r="B1606" i="20"/>
  <c r="A1920" i="20"/>
  <c r="A1904" i="20"/>
  <c r="A1990" i="20"/>
  <c r="A1967" i="20"/>
  <c r="A1624" i="20"/>
  <c r="A1605" i="20"/>
  <c r="B1990" i="20"/>
  <c r="B1967" i="20"/>
  <c r="B1918" i="20"/>
  <c r="B1902" i="20"/>
  <c r="G1627" i="20"/>
  <c r="I1627" i="20" s="1"/>
  <c r="G1608" i="20"/>
  <c r="I1608" i="20" s="1"/>
  <c r="G1993" i="20"/>
  <c r="G1970" i="20"/>
  <c r="G1922" i="20"/>
  <c r="I1922" i="20" s="1"/>
  <c r="G1906" i="20"/>
  <c r="I1906" i="20" s="1"/>
  <c r="H1999" i="20"/>
  <c r="H1976" i="20"/>
  <c r="H818" i="20"/>
  <c r="H24" i="20"/>
  <c r="G818" i="20"/>
  <c r="G24" i="20"/>
  <c r="I24" i="20" s="1"/>
  <c r="B818" i="20"/>
  <c r="B24" i="20"/>
  <c r="A819" i="20"/>
  <c r="A25" i="20"/>
  <c r="I1625" i="20"/>
  <c r="I1969" i="20"/>
  <c r="I1991" i="20"/>
  <c r="I1905" i="20"/>
  <c r="I1920" i="20"/>
  <c r="I1377" i="20"/>
  <c r="I1218" i="20"/>
  <c r="I1200" i="20"/>
  <c r="I1583" i="20"/>
  <c r="I1561" i="20"/>
  <c r="I1512" i="20"/>
  <c r="I1497" i="20"/>
  <c r="G36" i="19"/>
  <c r="I613" i="20"/>
  <c r="I36" i="19"/>
  <c r="F37" i="19"/>
  <c r="I586" i="19"/>
  <c r="H75" i="19"/>
  <c r="H580" i="19"/>
  <c r="G525" i="19"/>
  <c r="F72" i="19"/>
  <c r="G577" i="19"/>
  <c r="F577" i="19"/>
  <c r="F527" i="19"/>
  <c r="G73" i="19"/>
  <c r="B1626" i="20" l="1"/>
  <c r="B1607" i="20"/>
  <c r="A1921" i="20"/>
  <c r="A1905" i="20"/>
  <c r="A1991" i="20"/>
  <c r="A1968" i="20"/>
  <c r="B1991" i="20"/>
  <c r="B1968" i="20"/>
  <c r="A1625" i="20"/>
  <c r="A1606" i="20"/>
  <c r="B1919" i="20"/>
  <c r="B1903" i="20"/>
  <c r="G1994" i="20"/>
  <c r="G1971" i="20"/>
  <c r="G1628" i="20"/>
  <c r="G1609" i="20"/>
  <c r="I1609" i="20" s="1"/>
  <c r="H2000" i="20"/>
  <c r="H1977" i="20"/>
  <c r="A820" i="20"/>
  <c r="A26" i="20"/>
  <c r="H819" i="20"/>
  <c r="H25" i="20"/>
  <c r="G819" i="20"/>
  <c r="G25" i="20"/>
  <c r="I25" i="20" s="1"/>
  <c r="B819" i="20"/>
  <c r="B25" i="20"/>
  <c r="I1970" i="20"/>
  <c r="I1992" i="20"/>
  <c r="I1417" i="20"/>
  <c r="I1378" i="20"/>
  <c r="I1584" i="20"/>
  <c r="I1562" i="20"/>
  <c r="I1219" i="20"/>
  <c r="I1201" i="20"/>
  <c r="I614" i="20"/>
  <c r="I37" i="19"/>
  <c r="F38" i="19"/>
  <c r="G37" i="19"/>
  <c r="H581" i="19"/>
  <c r="H76" i="19"/>
  <c r="G526" i="19"/>
  <c r="G578" i="19"/>
  <c r="F73" i="19"/>
  <c r="F578" i="19"/>
  <c r="F528" i="19"/>
  <c r="G74" i="19"/>
  <c r="G1995" i="20" l="1"/>
  <c r="G1972" i="20"/>
  <c r="B1920" i="20"/>
  <c r="B1904" i="20"/>
  <c r="A1922" i="20"/>
  <c r="A1906" i="20"/>
  <c r="B1992" i="20"/>
  <c r="B1969" i="20"/>
  <c r="A1992" i="20"/>
  <c r="A1969" i="20"/>
  <c r="B1627" i="20"/>
  <c r="B1608" i="20"/>
  <c r="A1626" i="20"/>
  <c r="A1607" i="20"/>
  <c r="G1629" i="20"/>
  <c r="I1629" i="20" s="1"/>
  <c r="G1610" i="20"/>
  <c r="I1610" i="20" s="1"/>
  <c r="B820" i="20"/>
  <c r="B26" i="20"/>
  <c r="A821" i="20"/>
  <c r="A27" i="20"/>
  <c r="H820" i="20"/>
  <c r="H26" i="20"/>
  <c r="G820" i="20"/>
  <c r="G26" i="20"/>
  <c r="I26" i="20" s="1"/>
  <c r="I1418" i="20"/>
  <c r="I1971" i="20"/>
  <c r="I1993" i="20"/>
  <c r="I818" i="20"/>
  <c r="I1220" i="20"/>
  <c r="I1202" i="20"/>
  <c r="I1585" i="20"/>
  <c r="I1563" i="20"/>
  <c r="I38" i="19"/>
  <c r="F39" i="19"/>
  <c r="G38" i="19"/>
  <c r="I615" i="20"/>
  <c r="H582" i="19"/>
  <c r="H77" i="19"/>
  <c r="G527" i="19"/>
  <c r="G579" i="19"/>
  <c r="F74" i="19"/>
  <c r="F579" i="19"/>
  <c r="G75" i="19"/>
  <c r="R1169" i="20"/>
  <c r="T1159" i="20"/>
  <c r="S708" i="20"/>
  <c r="T722" i="20"/>
  <c r="S768" i="20"/>
  <c r="R1583" i="20"/>
  <c r="T588" i="20"/>
  <c r="R1420" i="20"/>
  <c r="T369" i="20"/>
  <c r="S1093" i="20"/>
  <c r="S1390" i="20"/>
  <c r="S1534" i="20"/>
  <c r="R717" i="20"/>
  <c r="R1010" i="20"/>
  <c r="R1464" i="20"/>
  <c r="T1154" i="20"/>
  <c r="T1119" i="20"/>
  <c r="R1494" i="20"/>
  <c r="R1407" i="20"/>
  <c r="T538" i="20"/>
  <c r="S542" i="20"/>
  <c r="S175" i="20"/>
  <c r="S999" i="20"/>
  <c r="R716" i="20"/>
  <c r="S339" i="20"/>
  <c r="T1539" i="20"/>
  <c r="S591" i="20"/>
  <c r="T1510" i="20"/>
  <c r="T90" i="20"/>
  <c r="T94" i="20"/>
  <c r="R346" i="20"/>
  <c r="S1013" i="20"/>
  <c r="S1587" i="20"/>
  <c r="R535" i="20"/>
  <c r="R1536" i="20"/>
  <c r="T503" i="20"/>
  <c r="S1486" i="20"/>
  <c r="T1330" i="20"/>
  <c r="S501" i="20"/>
  <c r="S505" i="20"/>
  <c r="S1309" i="20"/>
  <c r="T350" i="20"/>
  <c r="R370" i="20"/>
  <c r="T1463" i="20"/>
  <c r="T717" i="20"/>
  <c r="S1336" i="20"/>
  <c r="S356" i="20"/>
  <c r="T1546" i="20"/>
  <c r="R1456" i="20"/>
  <c r="S742" i="20"/>
  <c r="S698" i="20"/>
  <c r="S1369" i="20"/>
  <c r="R1342" i="20"/>
  <c r="S554" i="20"/>
  <c r="T728" i="20"/>
  <c r="T1407" i="20"/>
  <c r="S350" i="20"/>
  <c r="S494" i="20"/>
  <c r="S658" i="20"/>
  <c r="R1540" i="20"/>
  <c r="R1431" i="20"/>
  <c r="S786" i="20"/>
  <c r="R933" i="20"/>
  <c r="S145" i="20"/>
  <c r="S1145" i="20"/>
  <c r="T1153" i="20"/>
  <c r="S1316" i="20"/>
  <c r="R939" i="20"/>
  <c r="S1443" i="20"/>
  <c r="S488" i="20"/>
  <c r="S546" i="20"/>
  <c r="R1430" i="20"/>
  <c r="S763" i="20"/>
  <c r="T990" i="20"/>
  <c r="T554" i="20"/>
  <c r="S1522" i="20"/>
  <c r="T521" i="20"/>
  <c r="T145" i="20"/>
  <c r="T576" i="20"/>
  <c r="R331" i="20"/>
  <c r="R934" i="20"/>
  <c r="T1145" i="20"/>
  <c r="T105" i="20"/>
  <c r="R1414" i="20"/>
  <c r="S1480" i="20"/>
  <c r="T1414" i="20"/>
  <c r="R1427" i="20"/>
  <c r="T1488" i="20"/>
  <c r="R1085" i="20"/>
  <c r="R1451" i="20"/>
  <c r="S900" i="20"/>
  <c r="R145" i="20"/>
  <c r="T516" i="20"/>
  <c r="S1383" i="20"/>
  <c r="S301" i="20"/>
  <c r="T1587" i="20"/>
  <c r="T910" i="20"/>
  <c r="T963" i="20"/>
  <c r="T793" i="20"/>
  <c r="S306" i="20"/>
  <c r="T1507" i="20"/>
  <c r="T1410" i="20"/>
  <c r="R1018" i="20"/>
  <c r="S1098" i="20"/>
  <c r="S315" i="20"/>
  <c r="T346" i="20"/>
  <c r="T374" i="20"/>
  <c r="T1324" i="20"/>
  <c r="S1035" i="20"/>
  <c r="T748" i="20"/>
  <c r="R562" i="20"/>
  <c r="R532" i="20"/>
  <c r="S1550" i="20"/>
  <c r="R1561" i="20"/>
  <c r="R321" i="20"/>
  <c r="S1407" i="20"/>
  <c r="S1285" i="20"/>
  <c r="S1471" i="20"/>
  <c r="R1447" i="20"/>
  <c r="S673" i="20"/>
  <c r="T1133" i="20"/>
  <c r="S331" i="20"/>
  <c r="S1472" i="20"/>
  <c r="R502" i="20"/>
  <c r="R564" i="20"/>
  <c r="S319" i="20"/>
  <c r="R870" i="20"/>
  <c r="R1506" i="20"/>
  <c r="R513" i="20"/>
  <c r="S1024" i="20"/>
  <c r="S1326" i="20"/>
  <c r="T1574" i="20"/>
  <c r="S1368" i="20"/>
  <c r="R567" i="20"/>
  <c r="R311" i="20"/>
  <c r="T1321" i="20"/>
  <c r="S1333" i="20"/>
  <c r="S553" i="20"/>
  <c r="R657" i="20"/>
  <c r="T305" i="20"/>
  <c r="T1389" i="20"/>
  <c r="S1075" i="20"/>
  <c r="R189" i="20"/>
  <c r="R1352" i="20"/>
  <c r="R1044" i="20"/>
  <c r="T492" i="20"/>
  <c r="T1365" i="20"/>
  <c r="T581" i="20"/>
  <c r="T1075" i="20"/>
  <c r="S1412" i="20"/>
  <c r="R511" i="20"/>
  <c r="T69" i="20"/>
  <c r="R503" i="20"/>
  <c r="T1563" i="20"/>
  <c r="R1346" i="20"/>
  <c r="S1025" i="20"/>
  <c r="T1374" i="20"/>
  <c r="T527" i="20"/>
  <c r="R314" i="20"/>
  <c r="R958" i="20"/>
  <c r="R1289" i="20"/>
  <c r="R494" i="20"/>
  <c r="R538" i="20"/>
  <c r="T1089" i="20"/>
  <c r="R1144" i="20"/>
  <c r="R296" i="20"/>
  <c r="T1296" i="20"/>
  <c r="S1498" i="20"/>
  <c r="T1108" i="20"/>
  <c r="R211" i="20"/>
  <c r="S1532" i="20"/>
  <c r="R136" i="20"/>
  <c r="R959" i="20"/>
  <c r="T234" i="20"/>
  <c r="R1510" i="20"/>
  <c r="S1558" i="20"/>
  <c r="R1124" i="20"/>
  <c r="T281" i="20"/>
  <c r="T999" i="20"/>
  <c r="R1580" i="20"/>
  <c r="T1155" i="20"/>
  <c r="R523" i="20"/>
  <c r="S1118" i="20"/>
  <c r="R498" i="20"/>
  <c r="T530" i="20"/>
  <c r="R569" i="20"/>
  <c r="T1566" i="20"/>
  <c r="T1502" i="20"/>
  <c r="T505" i="20"/>
  <c r="S276" i="20"/>
  <c r="R1491" i="20"/>
  <c r="R482" i="20"/>
  <c r="S782" i="20"/>
  <c r="R1088" i="20"/>
  <c r="R1443" i="20"/>
  <c r="S484" i="20"/>
  <c r="R541" i="20"/>
  <c r="T553" i="20"/>
  <c r="S525" i="20"/>
  <c r="R1019" i="20"/>
  <c r="S929" i="20"/>
  <c r="R516" i="20"/>
  <c r="R365" i="20"/>
  <c r="S1506" i="20"/>
  <c r="T84" i="20"/>
  <c r="S638" i="20"/>
  <c r="T1318" i="20"/>
  <c r="R1560" i="20"/>
  <c r="S1292" i="20"/>
  <c r="R909" i="20"/>
  <c r="R1459" i="20"/>
  <c r="R543" i="20"/>
  <c r="S738" i="20"/>
  <c r="R509" i="20"/>
  <c r="R299" i="20"/>
  <c r="T519" i="20"/>
  <c r="T1522" i="20"/>
  <c r="T483" i="20"/>
  <c r="S928" i="20"/>
  <c r="T1098" i="20"/>
  <c r="R692" i="20"/>
  <c r="R1095" i="20"/>
  <c r="T1360" i="20"/>
  <c r="R587" i="20"/>
  <c r="T762" i="20"/>
  <c r="R514" i="20"/>
  <c r="R489" i="20"/>
  <c r="S186" i="20"/>
  <c r="R264" i="20"/>
  <c r="R359" i="20"/>
  <c r="T364" i="20"/>
  <c r="S364" i="20"/>
  <c r="R578" i="20"/>
  <c r="S574" i="20"/>
  <c r="R1556" i="20"/>
  <c r="R1000" i="20"/>
  <c r="R1043" i="20"/>
  <c r="S111" i="20"/>
  <c r="T1352" i="20"/>
  <c r="R555" i="20"/>
  <c r="S275" i="20"/>
  <c r="T575" i="20"/>
  <c r="R160" i="20"/>
  <c r="T727" i="20"/>
  <c r="T938" i="20"/>
  <c r="T286" i="20"/>
  <c r="S549" i="20"/>
  <c r="S983" i="20"/>
  <c r="S1160" i="20"/>
  <c r="T91" i="20"/>
  <c r="S511" i="20"/>
  <c r="S1153" i="20"/>
  <c r="T557" i="20"/>
  <c r="R1503" i="20"/>
  <c r="S160" i="20"/>
  <c r="S1108" i="20"/>
  <c r="T170" i="20"/>
  <c r="T1527" i="20"/>
  <c r="R1360" i="20"/>
  <c r="R1153" i="20"/>
  <c r="R324" i="20"/>
  <c r="S340" i="20"/>
  <c r="T1160" i="20"/>
  <c r="S1317" i="20"/>
  <c r="T1370" i="20"/>
  <c r="T314" i="20"/>
  <c r="R914" i="20"/>
  <c r="T1109" i="20"/>
  <c r="T1306" i="20"/>
  <c r="S1404" i="20"/>
  <c r="R533" i="20"/>
  <c r="S584" i="20"/>
  <c r="T933" i="20"/>
  <c r="S558" i="20"/>
  <c r="T552" i="20"/>
  <c r="R955" i="20"/>
  <c r="R369" i="20"/>
  <c r="R1302" i="20"/>
  <c r="S496" i="20"/>
  <c r="T289" i="20"/>
  <c r="T351" i="20"/>
  <c r="S326" i="20"/>
  <c r="S909" i="20"/>
  <c r="S1049" i="20"/>
  <c r="R673" i="20"/>
  <c r="T1317" i="20"/>
  <c r="R1438" i="20"/>
  <c r="T1361" i="20"/>
  <c r="R56" i="20"/>
  <c r="T116" i="20"/>
  <c r="S521" i="20"/>
  <c r="T973" i="20"/>
  <c r="R584" i="20"/>
  <c r="T772" i="20"/>
  <c r="R1055" i="20"/>
  <c r="S1574" i="20"/>
  <c r="R1549" i="20"/>
  <c r="S106" i="20"/>
  <c r="R1452" i="20"/>
  <c r="R743" i="20"/>
  <c r="R1521" i="20"/>
  <c r="S527" i="20"/>
  <c r="R306" i="20"/>
  <c r="T1460" i="20"/>
  <c r="T493" i="20"/>
  <c r="T1135" i="20"/>
  <c r="R1134" i="20"/>
  <c r="T1346" i="20"/>
  <c r="T1158" i="20"/>
  <c r="S1562" i="20"/>
  <c r="T498" i="20"/>
  <c r="T1020" i="20"/>
  <c r="R527" i="20"/>
  <c r="S1554" i="20"/>
  <c r="R1557" i="20"/>
  <c r="R1333" i="20"/>
  <c r="S1459" i="20"/>
  <c r="R196" i="20"/>
  <c r="T1139" i="20"/>
  <c r="R316" i="20"/>
  <c r="S481" i="20"/>
  <c r="R737" i="20"/>
  <c r="S518" i="20"/>
  <c r="T502" i="20"/>
  <c r="R1565" i="20"/>
  <c r="T518" i="20"/>
  <c r="R1517" i="20"/>
  <c r="R1483" i="20"/>
  <c r="T1018" i="20"/>
  <c r="T1489" i="20"/>
  <c r="T1557" i="20"/>
  <c r="S1544" i="20"/>
  <c r="R129" i="20"/>
  <c r="T1493" i="20"/>
  <c r="T541" i="20"/>
  <c r="T900" i="20"/>
  <c r="R1350" i="20"/>
  <c r="S1493" i="20"/>
  <c r="T319" i="20"/>
  <c r="S1503" i="20"/>
  <c r="S1501" i="20"/>
  <c r="S1058" i="20"/>
  <c r="T1333" i="20"/>
  <c r="S281" i="20"/>
  <c r="R1432" i="20"/>
  <c r="S482" i="20"/>
  <c r="T1443" i="20"/>
  <c r="S334" i="20"/>
  <c r="S538" i="20"/>
  <c r="R559" i="20"/>
  <c r="S1003" i="20"/>
  <c r="S265" i="20"/>
  <c r="R647" i="20"/>
  <c r="R781" i="20"/>
  <c r="S1015" i="20"/>
  <c r="S264" i="20"/>
  <c r="T706" i="20"/>
  <c r="T1412" i="20"/>
  <c r="S706" i="20"/>
  <c r="R1034" i="20"/>
  <c r="T500" i="20"/>
  <c r="R50" i="20"/>
  <c r="R1435" i="20"/>
  <c r="S1489" i="20"/>
  <c r="R1326" i="20"/>
  <c r="T106" i="20"/>
  <c r="S713" i="20"/>
  <c r="R366" i="20"/>
  <c r="S371" i="20"/>
  <c r="R575" i="20"/>
  <c r="T199" i="20"/>
  <c r="S1338" i="20"/>
  <c r="T501" i="20"/>
  <c r="T1428" i="20"/>
  <c r="R60" i="20"/>
  <c r="T1028" i="20"/>
  <c r="S1119" i="20"/>
  <c r="S295" i="20"/>
  <c r="R570" i="20"/>
  <c r="S1089" i="20"/>
  <c r="T1023" i="20"/>
  <c r="R1460" i="20"/>
  <c r="S1019" i="20"/>
  <c r="T279" i="20"/>
  <c r="T160" i="20"/>
  <c r="S995" i="20"/>
  <c r="R1397" i="20"/>
  <c r="T537" i="20"/>
  <c r="S676" i="20"/>
  <c r="S320" i="20"/>
  <c r="T1570" i="20"/>
  <c r="T934" i="20"/>
  <c r="T295" i="20"/>
  <c r="R315" i="20"/>
  <c r="T1559" i="20"/>
  <c r="T485" i="20"/>
  <c r="S300" i="20"/>
  <c r="T499" i="20"/>
  <c r="T711" i="20"/>
  <c r="S953" i="20"/>
  <c r="T1509" i="20"/>
  <c r="S351" i="20"/>
  <c r="S788" i="20"/>
  <c r="S296" i="20"/>
  <c r="R1033" i="20"/>
  <c r="T1334" i="20"/>
  <c r="T959" i="20"/>
  <c r="T336" i="20"/>
  <c r="T359" i="20"/>
  <c r="S1281" i="20"/>
  <c r="T1342" i="20"/>
  <c r="R1290" i="20"/>
  <c r="T688" i="20"/>
  <c r="R530" i="20"/>
  <c r="R1544" i="20"/>
  <c r="R251" i="20"/>
  <c r="R923" i="20"/>
  <c r="S1069" i="20"/>
  <c r="R563" i="20"/>
  <c r="T95" i="20"/>
  <c r="S910" i="20"/>
  <c r="T1419" i="20"/>
  <c r="R1138" i="20"/>
  <c r="T515" i="20"/>
  <c r="S375" i="20"/>
  <c r="T1592" i="20"/>
  <c r="S1304" i="20"/>
  <c r="R305" i="20"/>
  <c r="S1406" i="20"/>
  <c r="R653" i="20"/>
  <c r="R1528" i="20"/>
  <c r="S1129" i="20"/>
  <c r="S547" i="20"/>
  <c r="R1552" i="20"/>
  <c r="R702" i="20"/>
  <c r="S1447" i="20"/>
  <c r="S940" i="20"/>
  <c r="S1546" i="20"/>
  <c r="S1288" i="20"/>
  <c r="R742" i="20"/>
  <c r="T524" i="20"/>
  <c r="T186" i="20"/>
  <c r="R111" i="20"/>
  <c r="T1329" i="20"/>
  <c r="R989" i="20"/>
  <c r="R1030" i="20"/>
  <c r="T1163" i="20"/>
  <c r="T1164" i="20"/>
  <c r="S512" i="20"/>
  <c r="T663" i="20"/>
  <c r="T1060" i="20"/>
  <c r="R553" i="20"/>
  <c r="T1492" i="20"/>
  <c r="R175" i="20"/>
  <c r="T489" i="20"/>
  <c r="R568" i="20"/>
  <c r="T1480" i="20"/>
  <c r="R935" i="20"/>
  <c r="R945" i="20"/>
  <c r="S1110" i="20"/>
  <c r="T1454" i="20"/>
  <c r="T513" i="20"/>
  <c r="T654" i="20"/>
  <c r="T572" i="20"/>
  <c r="R638" i="20"/>
  <c r="R1543" i="20"/>
  <c r="R757" i="20"/>
  <c r="T487" i="20"/>
  <c r="T693" i="20"/>
  <c r="R1388" i="20"/>
  <c r="S1586" i="20"/>
  <c r="R1334" i="20"/>
  <c r="S1138" i="20"/>
  <c r="T276" i="20"/>
  <c r="T1332" i="20"/>
  <c r="S913" i="20"/>
  <c r="T909" i="20"/>
  <c r="T1499" i="20"/>
  <c r="S1054" i="20"/>
  <c r="R1426" i="20"/>
  <c r="R1358" i="20"/>
  <c r="T567" i="20"/>
  <c r="T61" i="20"/>
  <c r="T1479" i="20"/>
  <c r="T130" i="20"/>
  <c r="S1539" i="20"/>
  <c r="S1565" i="20"/>
  <c r="R1488" i="20"/>
  <c r="S355" i="20"/>
  <c r="R80" i="20"/>
  <c r="R1276" i="20"/>
  <c r="T743" i="20"/>
  <c r="S1302" i="20"/>
  <c r="S116" i="20"/>
  <c r="T1341" i="20"/>
  <c r="R1468" i="20"/>
  <c r="R591" i="20"/>
  <c r="T1585" i="20"/>
  <c r="R589" i="20"/>
  <c r="T136" i="20"/>
  <c r="T1055" i="20"/>
  <c r="T349" i="20"/>
  <c r="R1559" i="20"/>
  <c r="S1400" i="20"/>
  <c r="S1543" i="20"/>
  <c r="R1463" i="20"/>
  <c r="S1431" i="20"/>
  <c r="S1130" i="20"/>
  <c r="T294" i="20"/>
  <c r="R1296" i="20"/>
  <c r="R550" i="20"/>
  <c r="S1540" i="20"/>
  <c r="T1386" i="20"/>
  <c r="S1516" i="20"/>
  <c r="R525" i="20"/>
  <c r="S1308" i="20"/>
  <c r="R1285" i="20"/>
  <c r="T989" i="20"/>
  <c r="T329" i="20"/>
  <c r="T570" i="20"/>
  <c r="R1400" i="20"/>
  <c r="R1566" i="20"/>
  <c r="S346" i="20"/>
  <c r="R351" i="20"/>
  <c r="R1100" i="20"/>
  <c r="T1589" i="20"/>
  <c r="R200" i="20"/>
  <c r="R1440" i="20"/>
  <c r="T940" i="20"/>
  <c r="S224" i="20"/>
  <c r="R1024" i="20"/>
  <c r="R115" i="20"/>
  <c r="T1544" i="20"/>
  <c r="S1426" i="20"/>
  <c r="S1569" i="20"/>
  <c r="T1123" i="20"/>
  <c r="R1542" i="20"/>
  <c r="S159" i="20"/>
  <c r="R1049" i="20"/>
  <c r="T978" i="20"/>
  <c r="R81" i="20"/>
  <c r="R330" i="20"/>
  <c r="S105" i="20"/>
  <c r="R1120" i="20"/>
  <c r="T573" i="20"/>
  <c r="S71" i="20"/>
  <c r="T59" i="20"/>
  <c r="R340" i="20"/>
  <c r="R69" i="20"/>
  <c r="R515" i="20"/>
  <c r="T70" i="20"/>
  <c r="S1440" i="20"/>
  <c r="R1356" i="20"/>
  <c r="S1399" i="20"/>
  <c r="T908" i="20"/>
  <c r="R1403" i="20"/>
  <c r="R1410" i="20"/>
  <c r="R1509" i="20"/>
  <c r="R1310" i="20"/>
  <c r="S582" i="20"/>
  <c r="T574" i="20"/>
  <c r="R652" i="20"/>
  <c r="T673" i="20"/>
  <c r="S200" i="20"/>
  <c r="S1411" i="20"/>
  <c r="T482" i="20"/>
  <c r="S170" i="20"/>
  <c r="T1439" i="20"/>
  <c r="R1497" i="20"/>
  <c r="R1292" i="20"/>
  <c r="T1124" i="20"/>
  <c r="R1313" i="20"/>
  <c r="S225" i="20"/>
  <c r="R335" i="20"/>
  <c r="S500" i="20"/>
  <c r="S329" i="20"/>
  <c r="S1430" i="20"/>
  <c r="T1040" i="20"/>
  <c r="S843" i="20"/>
  <c r="S1088" i="20"/>
  <c r="T562" i="20"/>
  <c r="R1423" i="20"/>
  <c r="S1495" i="20"/>
  <c r="T514" i="20"/>
  <c r="T580" i="20"/>
  <c r="R274" i="20"/>
  <c r="S60" i="20"/>
  <c r="T1486" i="20"/>
  <c r="S1491" i="20"/>
  <c r="R1341" i="20"/>
  <c r="T1144" i="20"/>
  <c r="S1497" i="20"/>
  <c r="R275" i="20"/>
  <c r="S978" i="20"/>
  <c r="T316" i="20"/>
  <c r="S1549" i="20"/>
  <c r="T737" i="20"/>
  <c r="R968" i="20"/>
  <c r="S314" i="20"/>
  <c r="T539" i="20"/>
  <c r="S559" i="20"/>
  <c r="R529" i="20"/>
  <c r="T1523" i="20"/>
  <c r="R1114" i="20"/>
  <c r="R319" i="20"/>
  <c r="S663" i="20"/>
  <c r="T510" i="20"/>
  <c r="R1108" i="20"/>
  <c r="R105" i="20"/>
  <c r="R1324" i="20"/>
  <c r="S1476" i="20"/>
  <c r="R547" i="20"/>
  <c r="T1285" i="20"/>
  <c r="R480" i="20"/>
  <c r="T371" i="20"/>
  <c r="S1341" i="20"/>
  <c r="R778" i="20"/>
  <c r="S285" i="20"/>
  <c r="S560" i="20"/>
  <c r="S703" i="20"/>
  <c r="R341" i="20"/>
  <c r="R949" i="20"/>
  <c r="S575" i="20"/>
  <c r="S1479" i="20"/>
  <c r="T1494" i="20"/>
  <c r="T221" i="20"/>
  <c r="S1512" i="20"/>
  <c r="S585" i="20"/>
  <c r="R496" i="20"/>
  <c r="R1090" i="20"/>
  <c r="T344" i="20"/>
  <c r="R522" i="20"/>
  <c r="R1516" i="20"/>
  <c r="R676" i="20"/>
  <c r="T1293" i="20"/>
  <c r="S1128" i="20"/>
  <c r="S211" i="20"/>
  <c r="S1345" i="20"/>
  <c r="T1408" i="20"/>
  <c r="S693" i="20"/>
  <c r="R712" i="20"/>
  <c r="R221" i="20"/>
  <c r="R1150" i="20"/>
  <c r="S587" i="20"/>
  <c r="R260" i="20"/>
  <c r="R728" i="20"/>
  <c r="R1089" i="20"/>
  <c r="T230" i="20"/>
  <c r="T497" i="20"/>
  <c r="S487" i="20"/>
  <c r="R843" i="20"/>
  <c r="S150" i="20"/>
  <c r="T495" i="20"/>
  <c r="T119" i="20"/>
  <c r="R1309" i="20"/>
  <c r="T214" i="20"/>
  <c r="T1534" i="20"/>
  <c r="S493" i="20"/>
  <c r="T543" i="20"/>
  <c r="T953" i="20"/>
  <c r="R1165" i="20"/>
  <c r="S980" i="20"/>
  <c r="R518" i="20"/>
  <c r="R493" i="20"/>
  <c r="R1370" i="20"/>
  <c r="T1148" i="20"/>
  <c r="R339" i="20"/>
  <c r="R542" i="20"/>
  <c r="R486" i="20"/>
  <c r="S369" i="20"/>
  <c r="R963" i="20"/>
  <c r="R1415" i="20"/>
  <c r="T529" i="20"/>
  <c r="S590" i="20"/>
  <c r="T584" i="20"/>
  <c r="R1424" i="20"/>
  <c r="R984" i="20"/>
  <c r="T325" i="20"/>
  <c r="R557" i="20"/>
  <c r="S1427" i="20"/>
  <c r="T1063" i="20"/>
  <c r="T1313" i="20"/>
  <c r="S291" i="20"/>
  <c r="S944" i="20"/>
  <c r="T1519" i="20"/>
  <c r="S214" i="20"/>
  <c r="R539" i="20"/>
  <c r="R577" i="20"/>
  <c r="T512" i="20"/>
  <c r="T211" i="20"/>
  <c r="R309" i="20"/>
  <c r="T1083" i="20"/>
  <c r="T1314" i="20"/>
  <c r="S548" i="20"/>
  <c r="S1094" i="20"/>
  <c r="T245" i="20"/>
  <c r="R214" i="20"/>
  <c r="T1582" i="20"/>
  <c r="S1310" i="20"/>
  <c r="R864" i="20"/>
  <c r="R1083" i="20"/>
  <c r="R1328" i="20"/>
  <c r="R354" i="20"/>
  <c r="S898" i="20"/>
  <c r="S1388" i="20"/>
  <c r="T1505" i="20"/>
  <c r="S1135" i="20"/>
  <c r="R1487" i="20"/>
  <c r="T1302" i="20"/>
  <c r="T1467" i="20"/>
  <c r="T301" i="20"/>
  <c r="T1393" i="20"/>
  <c r="R1098" i="20"/>
  <c r="S130" i="20"/>
  <c r="S556" i="20"/>
  <c r="S209" i="20"/>
  <c r="R1522" i="20"/>
  <c r="R510" i="20"/>
  <c r="R1274" i="20"/>
  <c r="R1448" i="20"/>
  <c r="T326" i="20"/>
  <c r="R1318" i="20"/>
  <c r="T587" i="20"/>
  <c r="S1438" i="20"/>
  <c r="R1361" i="20"/>
  <c r="T156" i="20"/>
  <c r="T1288" i="20"/>
  <c r="R1369" i="20"/>
  <c r="R1511" i="20"/>
  <c r="S1000" i="20"/>
  <c r="T1583" i="20"/>
  <c r="T1387" i="20"/>
  <c r="T185" i="20"/>
  <c r="R225" i="20"/>
  <c r="T566" i="20"/>
  <c r="S502" i="20"/>
  <c r="T1120" i="20"/>
  <c r="S577" i="20"/>
  <c r="R1585" i="20"/>
  <c r="R878" i="20"/>
  <c r="S1009" i="20"/>
  <c r="T315" i="20"/>
  <c r="T1289" i="20"/>
  <c r="S711" i="20"/>
  <c r="R310" i="20"/>
  <c r="R1314" i="20"/>
  <c r="S544" i="20"/>
  <c r="T1584" i="20"/>
  <c r="S210" i="20"/>
  <c r="R558" i="20"/>
  <c r="R1569" i="20"/>
  <c r="T50" i="20"/>
  <c r="R484" i="20"/>
  <c r="T586" i="20"/>
  <c r="T129" i="20"/>
  <c r="S1344" i="20"/>
  <c r="R576" i="20"/>
  <c r="R492" i="20"/>
  <c r="S279" i="20"/>
  <c r="R1523" i="20"/>
  <c r="R1143" i="20"/>
  <c r="S1305" i="20"/>
  <c r="T1054" i="20"/>
  <c r="S990" i="20"/>
  <c r="S541" i="20"/>
  <c r="T1568" i="20"/>
  <c r="S370" i="20"/>
  <c r="S934" i="20"/>
  <c r="S567" i="20"/>
  <c r="S528" i="20"/>
  <c r="T579" i="20"/>
  <c r="T210" i="20"/>
  <c r="S643" i="20"/>
  <c r="T569" i="20"/>
  <c r="T1435" i="20"/>
  <c r="S1134" i="20"/>
  <c r="S1078" i="20"/>
  <c r="T1426" i="20"/>
  <c r="S1402" i="20"/>
  <c r="R279" i="20"/>
  <c r="R938" i="20"/>
  <c r="S1439" i="20"/>
  <c r="S1387" i="20"/>
  <c r="R130" i="20"/>
  <c r="T506" i="20"/>
  <c r="S1358" i="20"/>
  <c r="S959" i="20"/>
  <c r="R1558" i="20"/>
  <c r="S939" i="20"/>
  <c r="T1497" i="20"/>
  <c r="S185" i="20"/>
  <c r="S1361" i="20"/>
  <c r="S691" i="20"/>
  <c r="S1124" i="20"/>
  <c r="S1342" i="20"/>
  <c r="T677" i="20"/>
  <c r="T496" i="20"/>
  <c r="S1559" i="20"/>
  <c r="T1561" i="20"/>
  <c r="S1523" i="20"/>
  <c r="T1281" i="20"/>
  <c r="T1420" i="20"/>
  <c r="S70" i="20"/>
  <c r="T480" i="20"/>
  <c r="S1442" i="20"/>
  <c r="S235" i="20"/>
  <c r="T671" i="20"/>
  <c r="S520" i="20"/>
  <c r="R481" i="20"/>
  <c r="T1422" i="20"/>
  <c r="T260" i="20"/>
  <c r="R703" i="20"/>
  <c r="R1492" i="20"/>
  <c r="S1488" i="20"/>
  <c r="S1105" i="20"/>
  <c r="R336" i="20"/>
  <c r="T1079" i="20"/>
  <c r="T1411" i="20"/>
  <c r="S564" i="20"/>
  <c r="R364" i="20"/>
  <c r="R1515" i="20"/>
  <c r="R1568" i="20"/>
  <c r="S707" i="20"/>
  <c r="T1462" i="20"/>
  <c r="S571" i="20"/>
  <c r="R574" i="20"/>
  <c r="R1284" i="20"/>
  <c r="R1154" i="20"/>
  <c r="R94" i="20"/>
  <c r="R355" i="20"/>
  <c r="R544" i="20"/>
  <c r="S1579" i="20"/>
  <c r="R1133" i="20"/>
  <c r="S61" i="20"/>
  <c r="R1550" i="20"/>
  <c r="T311" i="20"/>
  <c r="S1155" i="20"/>
  <c r="R1479" i="20"/>
  <c r="S1450" i="20"/>
  <c r="T1569" i="20"/>
  <c r="S1164" i="20"/>
  <c r="R1281" i="20"/>
  <c r="S491" i="20"/>
  <c r="S998" i="20"/>
  <c r="S1043" i="20"/>
  <c r="R1073" i="20"/>
  <c r="T251" i="20"/>
  <c r="R325" i="20"/>
  <c r="T796" i="20"/>
  <c r="S1334" i="20"/>
  <c r="R231" i="20"/>
  <c r="R284" i="20"/>
  <c r="T1528" i="20"/>
  <c r="R1495" i="20"/>
  <c r="S1044" i="20"/>
  <c r="R106" i="20"/>
  <c r="S1120" i="20"/>
  <c r="R265" i="20"/>
  <c r="S1008" i="20"/>
  <c r="R738" i="20"/>
  <c r="R1416" i="20"/>
  <c r="R334" i="20"/>
  <c r="R540" i="20"/>
  <c r="R1074" i="20"/>
  <c r="T1085" i="20"/>
  <c r="S1284" i="20"/>
  <c r="S1408" i="20"/>
  <c r="T1130" i="20"/>
  <c r="R291" i="20"/>
  <c r="S271" i="20"/>
  <c r="S1038" i="20"/>
  <c r="S1494" i="20"/>
  <c r="S1080" i="20"/>
  <c r="S1374" i="20"/>
  <c r="S241" i="20"/>
  <c r="R978" i="20"/>
  <c r="S335" i="20"/>
  <c r="T591" i="20"/>
  <c r="S1581" i="20"/>
  <c r="R487" i="20"/>
  <c r="S534" i="20"/>
  <c r="T657" i="20"/>
  <c r="S1568" i="20"/>
  <c r="T747" i="20"/>
  <c r="S1589" i="20"/>
  <c r="S174" i="20"/>
  <c r="T523" i="20"/>
  <c r="S540" i="20"/>
  <c r="T269" i="20"/>
  <c r="R1149" i="20"/>
  <c r="R374" i="20"/>
  <c r="R281" i="20"/>
  <c r="S1538" i="20"/>
  <c r="R1345" i="20"/>
  <c r="T1418" i="20"/>
  <c r="S1314" i="20"/>
  <c r="T590" i="20"/>
  <c r="S1553" i="20"/>
  <c r="R230" i="20"/>
  <c r="R150" i="20"/>
  <c r="S919" i="20"/>
  <c r="T356" i="20"/>
  <c r="S915" i="20"/>
  <c r="R1298" i="20"/>
  <c r="T360" i="20"/>
  <c r="R654" i="20"/>
  <c r="R548" i="20"/>
  <c r="T681" i="20"/>
  <c r="S1415" i="20"/>
  <c r="T577" i="20"/>
  <c r="R585" i="20"/>
  <c r="R1539" i="20"/>
  <c r="S1487" i="20"/>
  <c r="R1422" i="20"/>
  <c r="S294" i="20"/>
  <c r="S935" i="20"/>
  <c r="T1406" i="20"/>
  <c r="S1337" i="20"/>
  <c r="T983" i="20"/>
  <c r="T1560" i="20"/>
  <c r="T1518" i="20"/>
  <c r="T1088" i="20"/>
  <c r="T291" i="20"/>
  <c r="T1280" i="20"/>
  <c r="T1129" i="20"/>
  <c r="S80" i="20"/>
  <c r="R583" i="20"/>
  <c r="T1069" i="20"/>
  <c r="R224" i="20"/>
  <c r="T549" i="20"/>
  <c r="S280" i="20"/>
  <c r="R1160" i="20"/>
  <c r="S994" i="20"/>
  <c r="S361" i="20"/>
  <c r="S1085" i="20"/>
  <c r="R885" i="20"/>
  <c r="T1558" i="20"/>
  <c r="R771" i="20"/>
  <c r="S943" i="20"/>
  <c r="T275" i="20"/>
  <c r="T189" i="20"/>
  <c r="S506" i="20"/>
  <c r="S490" i="20"/>
  <c r="T354" i="20"/>
  <c r="R210" i="20"/>
  <c r="S1149" i="20"/>
  <c r="S552" i="20"/>
  <c r="R639" i="20"/>
  <c r="R1518" i="20"/>
  <c r="T653" i="20"/>
  <c r="R586" i="20"/>
  <c r="R925" i="20"/>
  <c r="R186" i="20"/>
  <c r="T481" i="20"/>
  <c r="S231" i="20"/>
  <c r="S1100" i="20"/>
  <c r="T80" i="20"/>
  <c r="T1550" i="20"/>
  <c r="R76" i="20"/>
  <c r="T1450" i="20"/>
  <c r="R1380" i="20"/>
  <c r="T544" i="20"/>
  <c r="S284" i="20"/>
  <c r="T556" i="20"/>
  <c r="T1310" i="20"/>
  <c r="S1464" i="20"/>
  <c r="R998" i="20"/>
  <c r="T1005" i="20"/>
  <c r="T517" i="20"/>
  <c r="S696" i="20"/>
  <c r="T1368" i="20"/>
  <c r="R361" i="20"/>
  <c r="R490" i="20"/>
  <c r="T299" i="20"/>
  <c r="R930" i="20"/>
  <c r="R1094" i="20"/>
  <c r="T339" i="20"/>
  <c r="S495" i="20"/>
  <c r="R1068" i="20"/>
  <c r="R500" i="20"/>
  <c r="S515" i="20"/>
  <c r="S642" i="20"/>
  <c r="R708" i="20"/>
  <c r="T1394" i="20"/>
  <c r="R1325" i="20"/>
  <c r="T1045" i="20"/>
  <c r="T965" i="20"/>
  <c r="T589" i="20"/>
  <c r="S1109" i="20"/>
  <c r="S555" i="20"/>
  <c r="R146" i="20"/>
  <c r="R1480" i="20"/>
  <c r="S189" i="20"/>
  <c r="R1555" i="20"/>
  <c r="S1507" i="20"/>
  <c r="S1330" i="20"/>
  <c r="S702" i="20"/>
  <c r="R1439" i="20"/>
  <c r="R119" i="20"/>
  <c r="T509" i="20"/>
  <c r="T270" i="20"/>
  <c r="S489" i="20"/>
  <c r="T1532" i="20"/>
  <c r="S1448" i="20"/>
  <c r="S716" i="20"/>
  <c r="R1303" i="20"/>
  <c r="R1882" i="20"/>
  <c r="T558" i="20"/>
  <c r="S849" i="20"/>
  <c r="R1960" i="20"/>
  <c r="T1380" i="20"/>
  <c r="T1316" i="20"/>
  <c r="S918" i="20"/>
  <c r="R850" i="20"/>
  <c r="T696" i="20"/>
  <c r="T637" i="20"/>
  <c r="R90" i="20"/>
  <c r="R1484" i="20"/>
  <c r="T945" i="20"/>
  <c r="S324" i="20"/>
  <c r="R1023" i="20"/>
  <c r="T1105" i="20"/>
  <c r="S1365" i="20"/>
  <c r="T1388" i="20"/>
  <c r="R899" i="20"/>
  <c r="T284" i="20"/>
  <c r="T879" i="20"/>
  <c r="R176" i="20"/>
  <c r="S989" i="20"/>
  <c r="T1531" i="20"/>
  <c r="R688" i="20"/>
  <c r="R271" i="20"/>
  <c r="T1415" i="20"/>
  <c r="R863" i="20"/>
  <c r="T1094" i="20"/>
  <c r="S64" i="20"/>
  <c r="R135" i="20"/>
  <c r="S1064" i="20"/>
  <c r="S1384" i="20"/>
  <c r="R241" i="20"/>
  <c r="R101" i="20"/>
  <c r="T1538" i="20"/>
  <c r="R619" i="20"/>
  <c r="S1536" i="20"/>
  <c r="T678" i="20"/>
  <c r="S96" i="20"/>
  <c r="T1398" i="20"/>
  <c r="R504" i="20"/>
  <c r="R483" i="20"/>
  <c r="R1293" i="20"/>
  <c r="T535" i="20"/>
  <c r="R758" i="20"/>
  <c r="R561" i="20"/>
  <c r="R1505" i="20"/>
  <c r="R1029" i="20"/>
  <c r="R320" i="20"/>
  <c r="T331" i="20"/>
  <c r="S1394" i="20"/>
  <c r="S1327" i="20"/>
  <c r="R2000" i="20"/>
  <c r="T1485" i="20"/>
  <c r="S55" i="20"/>
  <c r="R689" i="20"/>
  <c r="T259" i="20"/>
  <c r="S1148" i="20"/>
  <c r="R948" i="20"/>
  <c r="S221" i="20"/>
  <c r="T666" i="20"/>
  <c r="S1529" i="20"/>
  <c r="T979" i="20"/>
  <c r="S90" i="20"/>
  <c r="T1432" i="20"/>
  <c r="T895" i="20"/>
  <c r="R788" i="20"/>
  <c r="S669" i="20"/>
  <c r="T715" i="20"/>
  <c r="T114" i="20"/>
  <c r="T1307" i="20"/>
  <c r="S215" i="20"/>
  <c r="S1414" i="20"/>
  <c r="S1104" i="20"/>
  <c r="R1502" i="20"/>
  <c r="R1372" i="20"/>
  <c r="T1580" i="20"/>
  <c r="R682" i="20"/>
  <c r="S1416" i="20"/>
  <c r="T1536" i="20"/>
  <c r="R1493" i="20"/>
  <c r="T1390" i="20"/>
  <c r="S1452" i="20"/>
  <c r="R990" i="20"/>
  <c r="R1429" i="20"/>
  <c r="S1346" i="20"/>
  <c r="R1390" i="20"/>
  <c r="R120" i="20"/>
  <c r="R1538" i="20"/>
  <c r="T1543" i="20"/>
  <c r="S568" i="20"/>
  <c r="R614" i="20"/>
  <c r="T889" i="20"/>
  <c r="T144" i="20"/>
  <c r="S709" i="20"/>
  <c r="T738" i="20"/>
  <c r="R215" i="20"/>
  <c r="T155" i="20"/>
  <c r="S1023" i="20"/>
  <c r="S863" i="20"/>
  <c r="S617" i="20"/>
  <c r="T870" i="20"/>
  <c r="R1382" i="20"/>
  <c r="S665" i="20"/>
  <c r="R1406" i="20"/>
  <c r="T1030" i="20"/>
  <c r="T630" i="20"/>
  <c r="S563" i="20"/>
  <c r="S1329" i="20"/>
  <c r="T1553" i="20"/>
  <c r="T1169" i="20"/>
  <c r="R1508" i="20"/>
  <c r="T271" i="20"/>
  <c r="R726" i="20"/>
  <c r="S50" i="20"/>
  <c r="R1411" i="20"/>
  <c r="R1123" i="20"/>
  <c r="R683" i="20"/>
  <c r="R772" i="20"/>
  <c r="R95" i="20"/>
  <c r="S878" i="20"/>
  <c r="T1448" i="20"/>
  <c r="S557" i="20"/>
  <c r="S526" i="20"/>
  <c r="R126" i="20"/>
  <c r="T341" i="20"/>
  <c r="T631" i="20"/>
  <c r="S360" i="20"/>
  <c r="R985" i="20"/>
  <c r="R700" i="20"/>
  <c r="R1880" i="20"/>
  <c r="S550" i="20"/>
  <c r="T1501" i="20"/>
  <c r="T306" i="20"/>
  <c r="T139" i="20"/>
  <c r="R185" i="20"/>
  <c r="T550" i="20"/>
  <c r="T757" i="20"/>
  <c r="R266" i="20"/>
  <c r="R1546" i="20"/>
  <c r="T231" i="20"/>
  <c r="R1428" i="20"/>
  <c r="S701" i="20"/>
  <c r="R701" i="20"/>
  <c r="R1338" i="20"/>
  <c r="R1357" i="20"/>
  <c r="R1163" i="20"/>
  <c r="S1445" i="20"/>
  <c r="S54" i="20"/>
  <c r="R1349" i="20"/>
  <c r="R752" i="20"/>
  <c r="S1324" i="20"/>
  <c r="R910" i="20"/>
  <c r="S539" i="20"/>
  <c r="T993" i="20"/>
  <c r="S854" i="20"/>
  <c r="R1348" i="20"/>
  <c r="S1467" i="20"/>
  <c r="R1064" i="20"/>
  <c r="T929" i="20"/>
  <c r="T1464" i="20"/>
  <c r="S1502" i="20"/>
  <c r="R840" i="20"/>
  <c r="S131" i="20"/>
  <c r="R1317" i="20"/>
  <c r="T1571" i="20"/>
  <c r="S1275" i="20"/>
  <c r="T1487" i="20"/>
  <c r="S161" i="20"/>
  <c r="S1468" i="20"/>
  <c r="S1158" i="20"/>
  <c r="S345" i="20"/>
  <c r="R793" i="20"/>
  <c r="T1470" i="20"/>
  <c r="R1401" i="20"/>
  <c r="T1134" i="20"/>
  <c r="S1379" i="20"/>
  <c r="S1389" i="20"/>
  <c r="S325" i="20"/>
  <c r="T596" i="20"/>
  <c r="T1985" i="20"/>
  <c r="R696" i="20"/>
  <c r="T893" i="20"/>
  <c r="R1984" i="20"/>
  <c r="S341" i="20"/>
  <c r="T1564" i="20"/>
  <c r="T235" i="20"/>
  <c r="R551" i="20"/>
  <c r="R505" i="20"/>
  <c r="T639" i="20"/>
  <c r="R1419" i="20"/>
  <c r="S261" i="20"/>
  <c r="R507" i="20"/>
  <c r="S492" i="20"/>
  <c r="R649" i="20"/>
  <c r="T894" i="20"/>
  <c r="S1994" i="20"/>
  <c r="T873" i="20"/>
  <c r="R635" i="20"/>
  <c r="S1591" i="20"/>
  <c r="R1158" i="20"/>
  <c r="T324" i="20"/>
  <c r="S1525" i="20"/>
  <c r="T1554" i="20"/>
  <c r="R1332" i="20"/>
  <c r="R767" i="20"/>
  <c r="R512" i="20"/>
  <c r="R1462" i="20"/>
  <c r="S1350" i="20"/>
  <c r="R648" i="20"/>
  <c r="T1128" i="20"/>
  <c r="S690" i="20"/>
  <c r="R665" i="20"/>
  <c r="T1576" i="20"/>
  <c r="R1445" i="20"/>
  <c r="S1323" i="20"/>
  <c r="S497" i="20"/>
  <c r="T1015" i="20"/>
  <c r="R1340" i="20"/>
  <c r="S1461" i="20"/>
  <c r="R1398" i="20"/>
  <c r="T555" i="20"/>
  <c r="R1084" i="20"/>
  <c r="T534" i="20"/>
  <c r="T264" i="20"/>
  <c r="R114" i="20"/>
  <c r="S1435" i="20"/>
  <c r="R304" i="20"/>
  <c r="S115" i="20"/>
  <c r="T1353" i="20"/>
  <c r="T1354" i="20"/>
  <c r="S1509" i="20"/>
  <c r="T1459" i="20"/>
  <c r="T885" i="20"/>
  <c r="R711" i="20"/>
  <c r="R943" i="20"/>
  <c r="S485" i="20"/>
  <c r="R691" i="20"/>
  <c r="R710" i="20"/>
  <c r="S752" i="20"/>
  <c r="S486" i="20"/>
  <c r="R880" i="20"/>
  <c r="T1979" i="20"/>
  <c r="T1309" i="20"/>
  <c r="R1514" i="20"/>
  <c r="R1014" i="20"/>
  <c r="S933" i="20"/>
  <c r="S1277" i="20"/>
  <c r="S269" i="20"/>
  <c r="T321" i="20"/>
  <c r="T1340" i="20"/>
  <c r="S365" i="20"/>
  <c r="S970" i="20"/>
  <c r="S973" i="20"/>
  <c r="S1295" i="20"/>
  <c r="R209" i="20"/>
  <c r="S984" i="20"/>
  <c r="S1446" i="20"/>
  <c r="R853" i="20"/>
  <c r="S764" i="20"/>
  <c r="S679" i="20"/>
  <c r="R995" i="20"/>
  <c r="T166" i="20"/>
  <c r="S1321" i="20"/>
  <c r="S510" i="20"/>
  <c r="T1551" i="20"/>
  <c r="T662" i="20"/>
  <c r="S1325" i="20"/>
  <c r="R159" i="20"/>
  <c r="S81" i="20"/>
  <c r="R900" i="20"/>
  <c r="T1379" i="20"/>
  <c r="T1490" i="20"/>
  <c r="T1446" i="20"/>
  <c r="T124" i="20"/>
  <c r="S1457" i="20"/>
  <c r="R889" i="20"/>
  <c r="R519" i="20"/>
  <c r="T216" i="20"/>
  <c r="T542" i="20"/>
  <c r="R1366" i="20"/>
  <c r="T79" i="20"/>
  <c r="R1304" i="20"/>
  <c r="T915" i="20"/>
  <c r="T135" i="20"/>
  <c r="R1412" i="20"/>
  <c r="R1069" i="20"/>
  <c r="T1476" i="20"/>
  <c r="R1322" i="20"/>
  <c r="S1478" i="20"/>
  <c r="S514" i="20"/>
  <c r="R730" i="20"/>
  <c r="S270" i="20"/>
  <c r="T939" i="20"/>
  <c r="S685" i="20"/>
  <c r="R1999" i="20"/>
  <c r="R524" i="20"/>
  <c r="S1028" i="20"/>
  <c r="S1555" i="20"/>
  <c r="T1065" i="20"/>
  <c r="T1549" i="20"/>
  <c r="R1130" i="20"/>
  <c r="R913" i="20"/>
  <c r="S579" i="20"/>
  <c r="R915" i="20"/>
  <c r="S1322" i="20"/>
  <c r="T1555" i="20"/>
  <c r="T714" i="20"/>
  <c r="R1957" i="20"/>
  <c r="T683" i="20"/>
  <c r="S151" i="20"/>
  <c r="T1967" i="20"/>
  <c r="T533" i="20"/>
  <c r="T1444" i="20"/>
  <c r="R1020" i="20"/>
  <c r="S1168" i="20"/>
  <c r="S1300" i="20"/>
  <c r="R290" i="20"/>
  <c r="T1369" i="20"/>
  <c r="S1378" i="20"/>
  <c r="R360" i="20"/>
  <c r="T171" i="20"/>
  <c r="S1533" i="20"/>
  <c r="R1315" i="20"/>
  <c r="S869" i="20"/>
  <c r="R546" i="20"/>
  <c r="S641" i="20"/>
  <c r="S601" i="20"/>
  <c r="S1073" i="20"/>
  <c r="R681" i="20"/>
  <c r="T612" i="20"/>
  <c r="R625" i="20"/>
  <c r="T930" i="20"/>
  <c r="T75" i="20"/>
  <c r="S1987" i="20"/>
  <c r="S536" i="20"/>
  <c r="R749" i="20"/>
  <c r="R347" i="20"/>
  <c r="S1500" i="20"/>
  <c r="T641" i="20"/>
  <c r="S1417" i="20"/>
  <c r="R751" i="20"/>
  <c r="R1500" i="20"/>
  <c r="T1461" i="20"/>
  <c r="R999" i="20"/>
  <c r="S968" i="20"/>
  <c r="S1355" i="20"/>
  <c r="T736" i="20"/>
  <c r="S588" i="20"/>
  <c r="R356" i="20"/>
  <c r="S503" i="20"/>
  <c r="T149" i="20"/>
  <c r="S1113" i="20"/>
  <c r="S958" i="20"/>
  <c r="T758" i="20"/>
  <c r="T1019" i="20"/>
  <c r="T756" i="20"/>
  <c r="R234" i="20"/>
  <c r="S562" i="20"/>
  <c r="R928" i="20"/>
  <c r="R792" i="20"/>
  <c r="T159" i="20"/>
  <c r="S1115" i="20"/>
  <c r="R1384" i="20"/>
  <c r="S1359" i="20"/>
  <c r="R249" i="20"/>
  <c r="T1512" i="20"/>
  <c r="S1462" i="20"/>
  <c r="S660" i="20"/>
  <c r="S1499" i="20"/>
  <c r="R64" i="20"/>
  <c r="T126" i="20"/>
  <c r="S1328" i="20"/>
  <c r="T1401" i="20"/>
  <c r="S767" i="20"/>
  <c r="R1140" i="20"/>
  <c r="R1470" i="20"/>
  <c r="S858" i="20"/>
  <c r="S1318" i="20"/>
  <c r="S1466" i="20"/>
  <c r="R1045" i="20"/>
  <c r="S1055" i="20"/>
  <c r="S76" i="20"/>
  <c r="S199" i="20"/>
  <c r="T1125" i="20"/>
  <c r="R61" i="20"/>
  <c r="R611" i="20"/>
  <c r="R1978" i="20"/>
  <c r="S1588" i="20"/>
  <c r="R744" i="20"/>
  <c r="S545" i="20"/>
  <c r="S949" i="20"/>
  <c r="T280" i="20"/>
  <c r="S661" i="20"/>
  <c r="S1566" i="20"/>
  <c r="R1368" i="20"/>
  <c r="T1304" i="20"/>
  <c r="T220" i="20"/>
  <c r="S1306" i="20"/>
  <c r="T1575" i="20"/>
  <c r="S321" i="20"/>
  <c r="T99" i="20"/>
  <c r="R592" i="20"/>
  <c r="S1063" i="20"/>
  <c r="T760" i="20"/>
  <c r="R729" i="20"/>
  <c r="R1530" i="20"/>
  <c r="S792" i="20"/>
  <c r="T648" i="20"/>
  <c r="T1581" i="20"/>
  <c r="R1589" i="20"/>
  <c r="R1466" i="20"/>
  <c r="R526" i="20"/>
  <c r="R918" i="20"/>
  <c r="R953" i="20"/>
  <c r="S653" i="20"/>
  <c r="R1507" i="20"/>
  <c r="S1004" i="20"/>
  <c r="R1287" i="20"/>
  <c r="T776" i="20"/>
  <c r="R184" i="20"/>
  <c r="T684" i="20"/>
  <c r="T1533" i="20"/>
  <c r="T1286" i="20"/>
  <c r="T1115" i="20"/>
  <c r="S1382" i="20"/>
  <c r="T1434" i="20"/>
  <c r="T958" i="20"/>
  <c r="R579" i="20"/>
  <c r="R733" i="20"/>
  <c r="S1332" i="20"/>
  <c r="S184" i="20"/>
  <c r="R488" i="20"/>
  <c r="T484" i="20"/>
  <c r="R694" i="20"/>
  <c r="T865" i="20"/>
  <c r="T174" i="20"/>
  <c r="S1473" i="20"/>
  <c r="S132" i="20"/>
  <c r="R1404" i="20"/>
  <c r="S139" i="20"/>
  <c r="T1540" i="20"/>
  <c r="T76" i="20"/>
  <c r="R1075" i="20"/>
  <c r="T1400" i="20"/>
  <c r="R1504" i="20"/>
  <c r="R1467" i="20"/>
  <c r="T184" i="20"/>
  <c r="R1535" i="20"/>
  <c r="T1508" i="20"/>
  <c r="R641" i="20"/>
  <c r="R595" i="20"/>
  <c r="T647" i="20"/>
  <c r="R893" i="20"/>
  <c r="S790" i="20"/>
  <c r="T980" i="20"/>
  <c r="S960" i="20"/>
  <c r="T121" i="20"/>
  <c r="S1999" i="20"/>
  <c r="T864" i="20"/>
  <c r="T365" i="20"/>
  <c r="T175" i="20"/>
  <c r="S985" i="20"/>
  <c r="R1383" i="20"/>
  <c r="S718" i="20"/>
  <c r="R1099" i="20"/>
  <c r="S1424" i="20"/>
  <c r="S94" i="20"/>
  <c r="S644" i="20"/>
  <c r="T1322" i="20"/>
  <c r="T924" i="20"/>
  <c r="R1444" i="20"/>
  <c r="R1050" i="20"/>
  <c r="T1033" i="20"/>
  <c r="R1168" i="20"/>
  <c r="S1575" i="20"/>
  <c r="S623" i="20"/>
  <c r="R604" i="20"/>
  <c r="T1140" i="20"/>
  <c r="S773" i="20"/>
  <c r="T651" i="20"/>
  <c r="T1297" i="20"/>
  <c r="S772" i="20"/>
  <c r="S519" i="20"/>
  <c r="S529" i="20"/>
  <c r="T969" i="20"/>
  <c r="R1458" i="20"/>
  <c r="T948" i="20"/>
  <c r="R1563" i="20"/>
  <c r="S349" i="20"/>
  <c r="T899" i="20"/>
  <c r="R1104" i="20"/>
  <c r="T285" i="20"/>
  <c r="T559" i="20"/>
  <c r="S885" i="20"/>
  <c r="S637" i="20"/>
  <c r="T1099" i="20"/>
  <c r="S1557" i="20"/>
  <c r="T55" i="20"/>
  <c r="R1996" i="20"/>
  <c r="T661" i="20"/>
  <c r="R724" i="20"/>
  <c r="R344" i="20"/>
  <c r="S1514" i="20"/>
  <c r="S309" i="20"/>
  <c r="R285" i="20"/>
  <c r="T578" i="20"/>
  <c r="R1004" i="20"/>
  <c r="S1508" i="20"/>
  <c r="S586" i="20"/>
  <c r="S1483" i="20"/>
  <c r="R571" i="20"/>
  <c r="R531" i="20"/>
  <c r="T1421" i="20"/>
  <c r="R1994" i="20"/>
  <c r="R554" i="20"/>
  <c r="R1513" i="20"/>
  <c r="R1351" i="20"/>
  <c r="R1586" i="20"/>
  <c r="R326" i="20"/>
  <c r="T1337" i="20"/>
  <c r="S747" i="20"/>
  <c r="S259" i="20"/>
  <c r="S1484" i="20"/>
  <c r="T1579" i="20"/>
  <c r="R1402" i="20"/>
  <c r="T778" i="20"/>
  <c r="T1073" i="20"/>
  <c r="S948" i="20"/>
  <c r="T545" i="20"/>
  <c r="S236" i="20"/>
  <c r="R1562" i="20"/>
  <c r="T1274" i="20"/>
  <c r="T880" i="20"/>
  <c r="S311" i="20"/>
  <c r="R1118" i="20"/>
  <c r="T330" i="20"/>
  <c r="S366" i="20"/>
  <c r="T638" i="20"/>
  <c r="R1028" i="20"/>
  <c r="S578" i="20"/>
  <c r="S220" i="20"/>
  <c r="T1475" i="20"/>
  <c r="S1045" i="20"/>
  <c r="T1344" i="20"/>
  <c r="R1399" i="20"/>
  <c r="S890" i="20"/>
  <c r="S1564" i="20"/>
  <c r="R235" i="20"/>
  <c r="S651" i="20"/>
  <c r="T1014" i="20"/>
  <c r="R536" i="20"/>
  <c r="S535" i="20"/>
  <c r="R888" i="20"/>
  <c r="S1551" i="20"/>
  <c r="S507" i="20"/>
  <c r="S1419" i="20"/>
  <c r="R1119" i="20"/>
  <c r="T304" i="20"/>
  <c r="T1438" i="20"/>
  <c r="S513" i="20"/>
  <c r="S938" i="20"/>
  <c r="S190" i="20"/>
  <c r="S2000" i="20"/>
  <c r="R1288" i="20"/>
  <c r="S595" i="20"/>
  <c r="S1963" i="20"/>
  <c r="R1454" i="20"/>
  <c r="T708" i="20"/>
  <c r="R132" i="20"/>
  <c r="T546" i="20"/>
  <c r="T644" i="20"/>
  <c r="S646" i="20"/>
  <c r="R1159" i="20"/>
  <c r="R1529" i="20"/>
  <c r="R656" i="20"/>
  <c r="T1962" i="20"/>
  <c r="T1586" i="20"/>
  <c r="R1367" i="20"/>
  <c r="S1967" i="20"/>
  <c r="S746" i="20"/>
  <c r="T1347" i="20"/>
  <c r="R236" i="20"/>
  <c r="S1373" i="20"/>
  <c r="R903" i="20"/>
  <c r="T154" i="20"/>
  <c r="R1060" i="20"/>
  <c r="R1471" i="20"/>
  <c r="T345" i="20"/>
  <c r="S1354" i="20"/>
  <c r="S923" i="20"/>
  <c r="R573" i="20"/>
  <c r="T1048" i="20"/>
  <c r="T1143" i="20"/>
  <c r="S1454" i="20"/>
  <c r="R776" i="20"/>
  <c r="T988" i="20"/>
  <c r="T686" i="20"/>
  <c r="R582" i="20"/>
  <c r="R706" i="20"/>
  <c r="S299" i="20"/>
  <c r="R875" i="20"/>
  <c r="S796" i="20"/>
  <c r="R859" i="20"/>
  <c r="R760" i="20"/>
  <c r="R1080" i="20"/>
  <c r="R1548" i="20"/>
  <c r="R204" i="20"/>
  <c r="S1511" i="20"/>
  <c r="R295" i="20"/>
  <c r="T1430" i="20"/>
  <c r="R768" i="20"/>
  <c r="S762" i="20"/>
  <c r="T761" i="20"/>
  <c r="T1451" i="20"/>
  <c r="T583" i="20"/>
  <c r="S964" i="20"/>
  <c r="T1284" i="20"/>
  <c r="R980" i="20"/>
  <c r="R1526" i="20"/>
  <c r="T1110" i="20"/>
  <c r="R116" i="20"/>
  <c r="S687" i="20"/>
  <c r="S1048" i="20"/>
  <c r="R1512" i="20"/>
  <c r="T176" i="20"/>
  <c r="S1959" i="20"/>
  <c r="S1530" i="20"/>
  <c r="R1409" i="20"/>
  <c r="R1551" i="20"/>
  <c r="T1404" i="20"/>
  <c r="S522" i="20"/>
  <c r="S1572" i="20"/>
  <c r="R1490" i="20"/>
  <c r="S523" i="20"/>
  <c r="S1456" i="20"/>
  <c r="T335" i="20"/>
  <c r="T1025" i="20"/>
  <c r="R590" i="20"/>
  <c r="R658" i="20"/>
  <c r="R599" i="20"/>
  <c r="T1999" i="20"/>
  <c r="S1296" i="20"/>
  <c r="S74" i="20"/>
  <c r="R1457" i="20"/>
  <c r="R698" i="20"/>
  <c r="R1378" i="20"/>
  <c r="S196" i="20"/>
  <c r="T125" i="20"/>
  <c r="S1280" i="20"/>
  <c r="T266" i="20"/>
  <c r="S717" i="20"/>
  <c r="R580" i="20"/>
  <c r="T224" i="20"/>
  <c r="R944" i="20"/>
  <c r="T844" i="20"/>
  <c r="R124" i="20"/>
  <c r="T734" i="20"/>
  <c r="S286" i="20"/>
  <c r="R125" i="20"/>
  <c r="R1591" i="20"/>
  <c r="T1320" i="20"/>
  <c r="S136" i="20"/>
  <c r="R637" i="20"/>
  <c r="S561" i="20"/>
  <c r="R1330" i="20"/>
  <c r="T161" i="20"/>
  <c r="T1517" i="20"/>
  <c r="S524" i="20"/>
  <c r="S723" i="20"/>
  <c r="T913" i="20"/>
  <c r="R1485" i="20"/>
  <c r="S1490" i="20"/>
  <c r="R617" i="20"/>
  <c r="S1526" i="20"/>
  <c r="S1527" i="20"/>
  <c r="R155" i="20"/>
  <c r="S791" i="20"/>
  <c r="T1100" i="20"/>
  <c r="R1571" i="20"/>
  <c r="R1125" i="20"/>
  <c r="R732" i="20"/>
  <c r="T525" i="20"/>
  <c r="S336" i="20"/>
  <c r="T782" i="20"/>
  <c r="T854" i="20"/>
  <c r="R1040" i="20"/>
  <c r="T561" i="20"/>
  <c r="T935" i="20"/>
  <c r="T1513" i="20"/>
  <c r="T1981" i="20"/>
  <c r="S1018" i="20"/>
  <c r="T769" i="20"/>
  <c r="T1961" i="20"/>
  <c r="T1482" i="20"/>
  <c r="S1030" i="20"/>
  <c r="S756" i="20"/>
  <c r="S988" i="20"/>
  <c r="S1520" i="20"/>
  <c r="S636" i="20"/>
  <c r="S244" i="20"/>
  <c r="T667" i="20"/>
  <c r="S154" i="20"/>
  <c r="S570" i="20"/>
  <c r="T1013" i="20"/>
  <c r="T607" i="20"/>
  <c r="T1963" i="20"/>
  <c r="R663" i="20"/>
  <c r="T656" i="20"/>
  <c r="S603" i="20"/>
  <c r="T726" i="20"/>
  <c r="T611" i="20"/>
  <c r="R1993" i="20"/>
  <c r="R908" i="20"/>
  <c r="T1529" i="20"/>
  <c r="R1389" i="20"/>
  <c r="T1114" i="20"/>
  <c r="T1440" i="20"/>
  <c r="S135" i="20"/>
  <c r="S1585" i="20"/>
  <c r="R1455" i="20"/>
  <c r="R301" i="20"/>
  <c r="S850" i="20"/>
  <c r="T668" i="20"/>
  <c r="T1521" i="20"/>
  <c r="T1300" i="20"/>
  <c r="S647" i="20"/>
  <c r="R1408" i="20"/>
  <c r="T551" i="20"/>
  <c r="T968" i="20"/>
  <c r="S597" i="20"/>
  <c r="T1970" i="20"/>
  <c r="R375" i="20"/>
  <c r="S608" i="20"/>
  <c r="S840" i="20"/>
  <c r="S1313" i="20"/>
  <c r="T703" i="20"/>
  <c r="R1379" i="20"/>
  <c r="R1059" i="20"/>
  <c r="T658" i="20"/>
  <c r="R566" i="20"/>
  <c r="T300" i="20"/>
  <c r="T1029" i="20"/>
  <c r="T1466" i="20"/>
  <c r="S874" i="20"/>
  <c r="T1043" i="20"/>
  <c r="T1424" i="20"/>
  <c r="T1276" i="20"/>
  <c r="T746" i="20"/>
  <c r="R1574" i="20"/>
  <c r="S1290" i="20"/>
  <c r="T1308" i="20"/>
  <c r="R1473" i="20"/>
  <c r="T732" i="20"/>
  <c r="S895" i="20"/>
  <c r="T609" i="20"/>
  <c r="T1104" i="20"/>
  <c r="S1451" i="20"/>
  <c r="S1510" i="20"/>
  <c r="S589" i="20"/>
  <c r="R1587" i="20"/>
  <c r="S532" i="20"/>
  <c r="R1025" i="20"/>
  <c r="S517" i="20"/>
  <c r="R1525" i="20"/>
  <c r="T914" i="20"/>
  <c r="S668" i="20"/>
  <c r="T775" i="20"/>
  <c r="R926" i="20"/>
  <c r="T853" i="20"/>
  <c r="T1315" i="20"/>
  <c r="S1993" i="20"/>
  <c r="T1556" i="20"/>
  <c r="S783" i="20"/>
  <c r="T1095" i="20"/>
  <c r="T753" i="20"/>
  <c r="S1376" i="20"/>
  <c r="T1471" i="20"/>
  <c r="S531" i="20"/>
  <c r="T984" i="20"/>
  <c r="R1039" i="20"/>
  <c r="S975" i="20"/>
  <c r="T1290" i="20"/>
  <c r="R1545" i="20"/>
  <c r="T1363" i="20"/>
  <c r="S195" i="20"/>
  <c r="R96" i="20"/>
  <c r="T695" i="20"/>
  <c r="T290" i="20"/>
  <c r="S864" i="20"/>
  <c r="R552" i="20"/>
  <c r="T1168" i="20"/>
  <c r="S954" i="20"/>
  <c r="R671" i="20"/>
  <c r="S572" i="20"/>
  <c r="R1164" i="20"/>
  <c r="T1138" i="20"/>
  <c r="S516" i="20"/>
  <c r="S1150" i="20"/>
  <c r="S729" i="20"/>
  <c r="R704" i="20"/>
  <c r="R791" i="20"/>
  <c r="S1403" i="20"/>
  <c r="R1417" i="20"/>
  <c r="T1350" i="20"/>
  <c r="R1592" i="20"/>
  <c r="S652" i="20"/>
  <c r="T1399" i="20"/>
  <c r="S1114" i="20"/>
  <c r="R1321" i="20"/>
  <c r="S865" i="20"/>
  <c r="T526" i="20"/>
  <c r="R1115" i="20"/>
  <c r="T1496" i="20"/>
  <c r="R1450" i="20"/>
  <c r="S245" i="20"/>
  <c r="S656" i="20"/>
  <c r="R1155" i="20"/>
  <c r="R687" i="20"/>
  <c r="S1381" i="20"/>
  <c r="T1982" i="20"/>
  <c r="S728" i="20"/>
  <c r="S741" i="20"/>
  <c r="R662" i="20"/>
  <c r="S565" i="20"/>
  <c r="S255" i="20"/>
  <c r="S201" i="20"/>
  <c r="R727" i="20"/>
  <c r="S761" i="20"/>
  <c r="S1441" i="20"/>
  <c r="S963" i="20"/>
  <c r="T1455" i="20"/>
  <c r="R755" i="20"/>
  <c r="R1962" i="20"/>
  <c r="S104" i="20"/>
  <c r="T860" i="20"/>
  <c r="R1972" i="20"/>
  <c r="S920" i="20"/>
  <c r="S779" i="20"/>
  <c r="R1975" i="20"/>
  <c r="T531" i="20"/>
  <c r="R1013" i="20"/>
  <c r="T1150" i="20"/>
  <c r="T1526" i="20"/>
  <c r="T1312" i="20"/>
  <c r="R1534" i="20"/>
  <c r="T571" i="20"/>
  <c r="R350" i="20"/>
  <c r="T1504" i="20"/>
  <c r="R565" i="20"/>
  <c r="R1048" i="20"/>
  <c r="T565" i="20"/>
  <c r="S1577" i="20"/>
  <c r="S692" i="20"/>
  <c r="S504" i="20"/>
  <c r="R1373" i="20"/>
  <c r="R644" i="20"/>
  <c r="S744" i="20"/>
  <c r="T1993" i="20"/>
  <c r="T786" i="20"/>
  <c r="R166" i="20"/>
  <c r="S715" i="20"/>
  <c r="R245" i="20"/>
  <c r="T508" i="20"/>
  <c r="S777" i="20"/>
  <c r="R1394" i="20"/>
  <c r="T928" i="20"/>
  <c r="T504" i="20"/>
  <c r="S1070" i="20"/>
  <c r="T309" i="20"/>
  <c r="T1093" i="20"/>
  <c r="S580" i="20"/>
  <c r="T994" i="20"/>
  <c r="T1552" i="20"/>
  <c r="R1300" i="20"/>
  <c r="S1505" i="20"/>
  <c r="S914" i="20"/>
  <c r="R1532" i="20"/>
  <c r="T164" i="20"/>
  <c r="T629" i="20"/>
  <c r="T773" i="20"/>
  <c r="S1535" i="20"/>
  <c r="S1357" i="20"/>
  <c r="R49" i="20"/>
  <c r="S1034" i="20"/>
  <c r="R773" i="20"/>
  <c r="T1384" i="20"/>
  <c r="S1393" i="20"/>
  <c r="S566" i="20"/>
  <c r="R919" i="20"/>
  <c r="T1436" i="20"/>
  <c r="R954" i="20"/>
  <c r="T1573" i="20"/>
  <c r="S1293" i="20"/>
  <c r="T1377" i="20"/>
  <c r="T1495" i="20"/>
  <c r="R988" i="20"/>
  <c r="S615" i="20"/>
  <c r="S1989" i="20"/>
  <c r="S230" i="20"/>
  <c r="S737" i="20"/>
  <c r="R261" i="20"/>
  <c r="T241" i="20"/>
  <c r="R1573" i="20"/>
  <c r="T1530" i="20"/>
  <c r="R1344" i="20"/>
  <c r="S1580" i="20"/>
  <c r="S1312" i="20"/>
  <c r="T1325" i="20"/>
  <c r="S1140" i="20"/>
  <c r="R699" i="20"/>
  <c r="T633" i="20"/>
  <c r="S1362" i="20"/>
  <c r="R1395" i="20"/>
  <c r="T721" i="20"/>
  <c r="R974" i="20"/>
  <c r="T1588" i="20"/>
  <c r="S156" i="20"/>
  <c r="R149" i="20"/>
  <c r="R1103" i="20"/>
  <c r="S1428" i="20"/>
  <c r="T1514" i="20"/>
  <c r="T1004" i="20"/>
  <c r="S289" i="20"/>
  <c r="R286" i="20"/>
  <c r="T1452" i="20"/>
  <c r="T1413" i="20"/>
  <c r="T1275" i="20"/>
  <c r="R1581" i="20"/>
  <c r="S66" i="20"/>
  <c r="R651" i="20"/>
  <c r="T649" i="20"/>
  <c r="T731" i="20"/>
  <c r="S1492" i="20"/>
  <c r="T898" i="20"/>
  <c r="T1572" i="20"/>
  <c r="T536" i="20"/>
  <c r="S581" i="20"/>
  <c r="S736" i="20"/>
  <c r="R693" i="20"/>
  <c r="R59" i="20"/>
  <c r="R269" i="20"/>
  <c r="S686" i="20"/>
  <c r="S169" i="20"/>
  <c r="R1577" i="20"/>
  <c r="R762" i="20"/>
  <c r="T598" i="20"/>
  <c r="T974" i="20"/>
  <c r="R1306" i="20"/>
  <c r="T1542" i="20"/>
  <c r="S758" i="20"/>
  <c r="T878" i="20"/>
  <c r="T614" i="20"/>
  <c r="R790" i="20"/>
  <c r="T181" i="20"/>
  <c r="T1049" i="20"/>
  <c r="S619" i="20"/>
  <c r="T855" i="20"/>
  <c r="R259" i="20"/>
  <c r="T1335" i="20"/>
  <c r="R1113" i="20"/>
  <c r="S726" i="20"/>
  <c r="S633" i="20"/>
  <c r="R1997" i="20"/>
  <c r="R722" i="20"/>
  <c r="S1421" i="20"/>
  <c r="S1960" i="20"/>
  <c r="S1352" i="20"/>
  <c r="S760" i="20"/>
  <c r="S625" i="20"/>
  <c r="T1392" i="20"/>
  <c r="S776" i="20"/>
  <c r="S1371" i="20"/>
  <c r="R254" i="20"/>
  <c r="S1519" i="20"/>
  <c r="T718" i="20"/>
  <c r="S650" i="20"/>
  <c r="R1971" i="20"/>
  <c r="T1478" i="20"/>
  <c r="S155" i="20"/>
  <c r="R1167" i="20"/>
  <c r="T1348" i="20"/>
  <c r="T1381" i="20"/>
  <c r="S1981" i="20"/>
  <c r="S678" i="20"/>
  <c r="T1453" i="20"/>
  <c r="R1319" i="20"/>
  <c r="T944" i="20"/>
  <c r="R55" i="20"/>
  <c r="T46" i="20"/>
  <c r="T1516" i="20"/>
  <c r="R1385" i="20"/>
  <c r="R1547" i="20"/>
  <c r="S873" i="20"/>
  <c r="R1524" i="20"/>
  <c r="T665" i="20"/>
  <c r="S1521" i="20"/>
  <c r="R1053" i="20"/>
  <c r="T774" i="20"/>
  <c r="T1449" i="20"/>
  <c r="R1582" i="20"/>
  <c r="S593" i="20"/>
  <c r="S1958" i="20"/>
  <c r="R1527" i="20"/>
  <c r="R690" i="20"/>
  <c r="T1299" i="20"/>
  <c r="T1326" i="20"/>
  <c r="T1359" i="20"/>
  <c r="R239" i="20"/>
  <c r="T1059" i="20"/>
  <c r="R600" i="20"/>
  <c r="T603" i="20"/>
  <c r="R678" i="20"/>
  <c r="S1291" i="20"/>
  <c r="T215" i="20"/>
  <c r="R556" i="20"/>
  <c r="S1397" i="20"/>
  <c r="S1481" i="20"/>
  <c r="T1378" i="20"/>
  <c r="T781" i="20"/>
  <c r="R721" i="20"/>
  <c r="S659" i="20"/>
  <c r="S671" i="20"/>
  <c r="S1477" i="20"/>
  <c r="T1343" i="20"/>
  <c r="T1357" i="20"/>
  <c r="T86" i="20"/>
  <c r="R685" i="20"/>
  <c r="R898" i="20"/>
  <c r="S1545" i="20"/>
  <c r="R1377" i="20"/>
  <c r="S1366" i="20"/>
  <c r="T548" i="20"/>
  <c r="S674" i="20"/>
  <c r="S533" i="20"/>
  <c r="S95" i="20"/>
  <c r="T848" i="20"/>
  <c r="S1146" i="20"/>
  <c r="T1562" i="20"/>
  <c r="S1433" i="20"/>
  <c r="T373" i="20"/>
  <c r="T1328" i="20"/>
  <c r="S1375" i="20"/>
  <c r="R1070" i="20"/>
  <c r="R713" i="20"/>
  <c r="S1444" i="20"/>
  <c r="S1541" i="20"/>
  <c r="T56" i="20"/>
  <c r="S1528" i="20"/>
  <c r="S141" i="20"/>
  <c r="S1074" i="20"/>
  <c r="S1423" i="20"/>
  <c r="T595" i="20"/>
  <c r="S654" i="20"/>
  <c r="S1133" i="20"/>
  <c r="R680" i="20"/>
  <c r="R1998" i="20"/>
  <c r="S56" i="20"/>
  <c r="T740" i="20"/>
  <c r="T636" i="20"/>
  <c r="T697" i="20"/>
  <c r="R770" i="20"/>
  <c r="T735" i="20"/>
  <c r="R874" i="20"/>
  <c r="T1577" i="20"/>
  <c r="S725" i="20"/>
  <c r="S1418" i="20"/>
  <c r="T1535" i="20"/>
  <c r="R250" i="20"/>
  <c r="R1078" i="20"/>
  <c r="R1396" i="20"/>
  <c r="R74" i="20"/>
  <c r="R1967" i="20"/>
  <c r="S1496" i="20"/>
  <c r="T110" i="20"/>
  <c r="T650" i="20"/>
  <c r="S870" i="20"/>
  <c r="T744" i="20"/>
  <c r="R715" i="20"/>
  <c r="S712" i="20"/>
  <c r="T698" i="20"/>
  <c r="S1449" i="20"/>
  <c r="R506" i="20"/>
  <c r="T1278" i="20"/>
  <c r="R765" i="20"/>
  <c r="S945" i="20"/>
  <c r="T1078" i="20"/>
  <c r="S1299" i="20"/>
  <c r="R495" i="20"/>
  <c r="T1074" i="20"/>
  <c r="R1533" i="20"/>
  <c r="S171" i="20"/>
  <c r="T884" i="20"/>
  <c r="R371" i="20"/>
  <c r="T1311" i="20"/>
  <c r="S1475" i="20"/>
  <c r="T863" i="20"/>
  <c r="S739" i="20"/>
  <c r="S1437" i="20"/>
  <c r="S793" i="20"/>
  <c r="S1542" i="20"/>
  <c r="R1461" i="20"/>
  <c r="S592" i="20"/>
  <c r="T1969" i="20"/>
  <c r="T564" i="20"/>
  <c r="T1383" i="20"/>
  <c r="S731" i="20"/>
  <c r="T602" i="20"/>
  <c r="R1436" i="20"/>
  <c r="S1567" i="20"/>
  <c r="R1442" i="20"/>
  <c r="S1154" i="20"/>
  <c r="T1433" i="20"/>
  <c r="R54" i="20"/>
  <c r="S1068" i="20"/>
  <c r="T1498" i="20"/>
  <c r="R1278" i="20"/>
  <c r="R632" i="20"/>
  <c r="R1531" i="20"/>
  <c r="S704" i="20"/>
  <c r="R1283" i="20"/>
  <c r="S226" i="20"/>
  <c r="S1561" i="20"/>
  <c r="T1500" i="20"/>
  <c r="R684" i="20"/>
  <c r="T998" i="20"/>
  <c r="T1118" i="20"/>
  <c r="S191" i="20"/>
  <c r="S1274" i="20"/>
  <c r="R670" i="20"/>
  <c r="S1053" i="20"/>
  <c r="R894" i="20"/>
  <c r="T296" i="20"/>
  <c r="T626" i="20"/>
  <c r="R753" i="20"/>
  <c r="T1405" i="20"/>
  <c r="T601" i="20"/>
  <c r="R1110" i="20"/>
  <c r="R596" i="20"/>
  <c r="R1359" i="20"/>
  <c r="S219" i="20"/>
  <c r="S1961" i="20"/>
  <c r="S1276" i="20"/>
  <c r="R1477" i="20"/>
  <c r="R618" i="20"/>
  <c r="R609" i="20"/>
  <c r="R718" i="20"/>
  <c r="T1053" i="20"/>
  <c r="S1996" i="20"/>
  <c r="S1289" i="20"/>
  <c r="R537" i="20"/>
  <c r="R1449" i="20"/>
  <c r="S1380" i="20"/>
  <c r="R786" i="20"/>
  <c r="S631" i="20"/>
  <c r="R1970" i="20"/>
  <c r="S1165" i="20"/>
  <c r="S680" i="20"/>
  <c r="T255" i="20"/>
  <c r="R677" i="20"/>
  <c r="R255" i="20"/>
  <c r="R165" i="20"/>
  <c r="T361" i="20"/>
  <c r="T605" i="20"/>
  <c r="R624" i="20"/>
  <c r="R666" i="20"/>
  <c r="S1283" i="20"/>
  <c r="T859" i="20"/>
  <c r="S733" i="20"/>
  <c r="T71" i="20"/>
  <c r="S1331" i="20"/>
  <c r="R1989" i="20"/>
  <c r="S1515" i="20"/>
  <c r="R121" i="20"/>
  <c r="T926" i="20"/>
  <c r="T1483" i="20"/>
  <c r="T1291" i="20"/>
  <c r="R1980" i="20"/>
  <c r="R1093" i="20"/>
  <c r="S655" i="20"/>
  <c r="S604" i="20"/>
  <c r="T1294" i="20"/>
  <c r="R226" i="20"/>
  <c r="R131" i="20"/>
  <c r="T1373" i="20"/>
  <c r="R593" i="20"/>
  <c r="S721" i="20"/>
  <c r="T1474" i="20"/>
  <c r="S974" i="20"/>
  <c r="R612" i="20"/>
  <c r="R1564" i="20"/>
  <c r="T692" i="20"/>
  <c r="T704" i="20"/>
  <c r="T616" i="20"/>
  <c r="T1468" i="20"/>
  <c r="T689" i="20"/>
  <c r="S1351" i="20"/>
  <c r="R244" i="20"/>
  <c r="T1371" i="20"/>
  <c r="R904" i="20"/>
  <c r="R661" i="20"/>
  <c r="R669" i="20"/>
  <c r="R636" i="20"/>
  <c r="S925" i="20"/>
  <c r="S1307" i="20"/>
  <c r="R219" i="20"/>
  <c r="T274" i="20"/>
  <c r="S69" i="20"/>
  <c r="T1541" i="20"/>
  <c r="R1386" i="20"/>
  <c r="R1035" i="20"/>
  <c r="T599" i="20"/>
  <c r="R1963" i="20"/>
  <c r="S1584" i="20"/>
  <c r="T1000" i="20"/>
  <c r="T1064" i="20"/>
  <c r="S853" i="20"/>
  <c r="R1297" i="20"/>
  <c r="T694" i="20"/>
  <c r="T1103" i="20"/>
  <c r="S134" i="20"/>
  <c r="R1391" i="20"/>
  <c r="S583" i="20"/>
  <c r="S1282" i="20"/>
  <c r="R734" i="20"/>
  <c r="R581" i="20"/>
  <c r="T1338" i="20"/>
  <c r="T205" i="20"/>
  <c r="S926" i="20"/>
  <c r="T1039" i="20"/>
  <c r="T1441" i="20"/>
  <c r="T1972" i="20"/>
  <c r="R1434" i="20"/>
  <c r="R630" i="20"/>
  <c r="S1377" i="20"/>
  <c r="S1099" i="20"/>
  <c r="T1035" i="20"/>
  <c r="R993" i="20"/>
  <c r="S181" i="20"/>
  <c r="S1139" i="20"/>
  <c r="S694" i="20"/>
  <c r="T522" i="20"/>
  <c r="S855" i="20"/>
  <c r="S868" i="20"/>
  <c r="T1884" i="20"/>
  <c r="S905" i="20"/>
  <c r="T1465" i="20"/>
  <c r="R1979" i="20"/>
  <c r="S374" i="20"/>
  <c r="T1445" i="20"/>
  <c r="S1311" i="20"/>
  <c r="S1470" i="20"/>
  <c r="S699" i="20"/>
  <c r="S675" i="20"/>
  <c r="S1079" i="20"/>
  <c r="S1465" i="20"/>
  <c r="R1343" i="20"/>
  <c r="T1044" i="20"/>
  <c r="R795" i="20"/>
  <c r="T352" i="20"/>
  <c r="T682" i="20"/>
  <c r="T954" i="20"/>
  <c r="R246" i="20"/>
  <c r="S596" i="20"/>
  <c r="T679" i="20"/>
  <c r="T249" i="20"/>
  <c r="T1959" i="20"/>
  <c r="R667" i="20"/>
  <c r="S780" i="20"/>
  <c r="T1319" i="20"/>
  <c r="S373" i="20"/>
  <c r="T1886" i="20"/>
  <c r="T547" i="20"/>
  <c r="R646" i="20"/>
  <c r="S1141" i="20"/>
  <c r="T752" i="20"/>
  <c r="T787" i="20"/>
  <c r="S1590" i="20"/>
  <c r="S530" i="20"/>
  <c r="T777" i="20"/>
  <c r="S765" i="20"/>
  <c r="R1148" i="20"/>
  <c r="T850" i="20"/>
  <c r="S605" i="20"/>
  <c r="S700" i="20"/>
  <c r="T1994" i="20"/>
  <c r="R1974" i="20"/>
  <c r="T1058" i="20"/>
  <c r="R1291" i="20"/>
  <c r="T780" i="20"/>
  <c r="T788" i="20"/>
  <c r="R1311" i="20"/>
  <c r="R289" i="20"/>
  <c r="T1484" i="20"/>
  <c r="S688" i="20"/>
  <c r="T613" i="20"/>
  <c r="T347" i="20"/>
  <c r="R761" i="20"/>
  <c r="S249" i="20"/>
  <c r="R598" i="20"/>
  <c r="R560" i="20"/>
  <c r="S51" i="20"/>
  <c r="T1167" i="20"/>
  <c r="T1971" i="20"/>
  <c r="R499" i="20"/>
  <c r="R983" i="20"/>
  <c r="S775" i="20"/>
  <c r="S216" i="20"/>
  <c r="R769" i="20"/>
  <c r="S508" i="20"/>
  <c r="R1337" i="20"/>
  <c r="S889" i="20"/>
  <c r="S1020" i="20"/>
  <c r="R844" i="20"/>
  <c r="T625" i="20"/>
  <c r="R1063" i="20"/>
  <c r="R668" i="20"/>
  <c r="T120" i="20"/>
  <c r="R1965" i="20"/>
  <c r="R1579" i="20"/>
  <c r="T1279" i="20"/>
  <c r="S1979" i="20"/>
  <c r="R1139" i="20"/>
  <c r="S630" i="20"/>
  <c r="R1966" i="20"/>
  <c r="S1163" i="20"/>
  <c r="T868" i="20"/>
  <c r="T770" i="20"/>
  <c r="S1340" i="20"/>
  <c r="R628" i="20"/>
  <c r="T904" i="20"/>
  <c r="R156" i="20"/>
  <c r="R220" i="20"/>
  <c r="R1991" i="20"/>
  <c r="R1572" i="20"/>
  <c r="S781" i="20"/>
  <c r="R1355" i="20"/>
  <c r="S1401" i="20"/>
  <c r="T1003" i="20"/>
  <c r="S616" i="20"/>
  <c r="S1997" i="20"/>
  <c r="S260" i="20"/>
  <c r="R868" i="20"/>
  <c r="S1990" i="20"/>
  <c r="S1518" i="20"/>
  <c r="T621" i="20"/>
  <c r="S1965" i="20"/>
  <c r="S1570" i="20"/>
  <c r="S180" i="20"/>
  <c r="T100" i="20"/>
  <c r="T1423" i="20"/>
  <c r="T229" i="20"/>
  <c r="R179" i="20"/>
  <c r="S667" i="20"/>
  <c r="T995" i="20"/>
  <c r="S205" i="20"/>
  <c r="R759" i="20"/>
  <c r="T767" i="20"/>
  <c r="T1303" i="20"/>
  <c r="S1984" i="20"/>
  <c r="R1308" i="20"/>
  <c r="R660" i="20"/>
  <c r="R650" i="20"/>
  <c r="S1349" i="20"/>
  <c r="T1548" i="20"/>
  <c r="T840" i="20"/>
  <c r="R970" i="20"/>
  <c r="T620" i="20"/>
  <c r="T1283" i="20"/>
  <c r="R345" i="20"/>
  <c r="R965" i="20"/>
  <c r="S622" i="20"/>
  <c r="T1402" i="20"/>
  <c r="T1396" i="20"/>
  <c r="S785" i="20"/>
  <c r="S1970" i="20"/>
  <c r="S1084" i="20"/>
  <c r="S1410" i="20"/>
  <c r="T615" i="20"/>
  <c r="R139" i="20"/>
  <c r="S719" i="20"/>
  <c r="T254" i="20"/>
  <c r="T1050" i="20"/>
  <c r="T674" i="20"/>
  <c r="R640" i="20"/>
  <c r="R497" i="20"/>
  <c r="S1413" i="20"/>
  <c r="T1287" i="20"/>
  <c r="R174" i="20"/>
  <c r="T701" i="20"/>
  <c r="S598" i="20"/>
  <c r="R1584" i="20"/>
  <c r="S1320" i="20"/>
  <c r="T617" i="20"/>
  <c r="S1972" i="20"/>
  <c r="T1068" i="20"/>
  <c r="T700" i="20"/>
  <c r="R627" i="20"/>
  <c r="S1392" i="20"/>
  <c r="T560" i="20"/>
  <c r="R783" i="20"/>
  <c r="S748" i="20"/>
  <c r="R1339" i="20"/>
  <c r="R240" i="20"/>
  <c r="S1560" i="20"/>
  <c r="S1159" i="20"/>
  <c r="S627" i="20"/>
  <c r="S119" i="20"/>
  <c r="R697" i="20"/>
  <c r="R46" i="20"/>
  <c r="T1964" i="20"/>
  <c r="S576" i="20"/>
  <c r="R679" i="20"/>
  <c r="S165" i="20"/>
  <c r="S1125" i="20"/>
  <c r="S1339" i="20"/>
  <c r="T883" i="20"/>
  <c r="T687" i="20"/>
  <c r="T660" i="20"/>
  <c r="R594" i="20"/>
  <c r="T528" i="20"/>
  <c r="R1405" i="20"/>
  <c r="T320" i="20"/>
  <c r="R521" i="20"/>
  <c r="S774" i="20"/>
  <c r="S65" i="20"/>
  <c r="T1165" i="20"/>
  <c r="T490" i="20"/>
  <c r="R201" i="20"/>
  <c r="T1578" i="20"/>
  <c r="T1372" i="20"/>
  <c r="R601" i="20"/>
  <c r="T710" i="20"/>
  <c r="R170" i="20"/>
  <c r="R1576" i="20"/>
  <c r="T239" i="20"/>
  <c r="S1992" i="20"/>
  <c r="R84" i="20"/>
  <c r="R195" i="20"/>
  <c r="R1418" i="20"/>
  <c r="R100" i="20"/>
  <c r="R620" i="20"/>
  <c r="T764" i="20"/>
  <c r="S1039" i="20"/>
  <c r="R491" i="20"/>
  <c r="T624" i="20"/>
  <c r="T745" i="20"/>
  <c r="R1299" i="20"/>
  <c r="R276" i="20"/>
  <c r="S1531" i="20"/>
  <c r="S1370" i="20"/>
  <c r="S640" i="20"/>
  <c r="S1033" i="20"/>
  <c r="T109" i="20"/>
  <c r="T632" i="20"/>
  <c r="R973" i="20"/>
  <c r="S611" i="20"/>
  <c r="T1458" i="20"/>
  <c r="S755" i="20"/>
  <c r="R1375" i="20"/>
  <c r="R746" i="20"/>
  <c r="T725" i="20"/>
  <c r="R794" i="20"/>
  <c r="S483" i="20"/>
  <c r="T845" i="20"/>
  <c r="T1978" i="20"/>
  <c r="R1955" i="20"/>
  <c r="R756" i="20"/>
  <c r="R735" i="20"/>
  <c r="S1090" i="20"/>
  <c r="R860" i="20"/>
  <c r="S239" i="20"/>
  <c r="S859" i="20"/>
  <c r="T244" i="20"/>
  <c r="R745" i="20"/>
  <c r="R1570" i="20"/>
  <c r="R1977" i="20"/>
  <c r="S771" i="20"/>
  <c r="S714" i="20"/>
  <c r="R610" i="20"/>
  <c r="R621" i="20"/>
  <c r="T1995" i="20"/>
  <c r="R686" i="20"/>
  <c r="R1496" i="20"/>
  <c r="R549" i="20"/>
  <c r="R905" i="20"/>
  <c r="R216" i="20"/>
  <c r="T165" i="20"/>
  <c r="R1498" i="20"/>
  <c r="T766" i="20"/>
  <c r="S1343" i="20"/>
  <c r="T1376" i="20"/>
  <c r="R501" i="20"/>
  <c r="R1425" i="20"/>
  <c r="T1968" i="20"/>
  <c r="T1292" i="20"/>
  <c r="R784" i="20"/>
  <c r="S1973" i="20"/>
  <c r="S1563" i="20"/>
  <c r="R629" i="20"/>
  <c r="S1167" i="20"/>
  <c r="T1491" i="20"/>
  <c r="S179" i="20"/>
  <c r="S99" i="20"/>
  <c r="S1005" i="20"/>
  <c r="T1301" i="20"/>
  <c r="S1372" i="20"/>
  <c r="S1463" i="20"/>
  <c r="T858" i="20"/>
  <c r="S594" i="20"/>
  <c r="S753" i="20"/>
  <c r="T1366" i="20"/>
  <c r="T89" i="20"/>
  <c r="S1065" i="20"/>
  <c r="S1582" i="20"/>
  <c r="R597" i="20"/>
  <c r="S1986" i="20"/>
  <c r="R294" i="20"/>
  <c r="T755" i="20"/>
  <c r="S1882" i="20"/>
  <c r="S1576" i="20"/>
  <c r="R1307" i="20"/>
  <c r="T1957" i="20"/>
  <c r="R1109" i="20"/>
  <c r="S613" i="20"/>
  <c r="T690" i="20"/>
  <c r="T642" i="20"/>
  <c r="T925" i="20"/>
  <c r="R1884" i="20"/>
  <c r="R1961" i="20"/>
  <c r="S757" i="20"/>
  <c r="T634" i="20"/>
  <c r="S1880" i="20"/>
  <c r="S1050" i="20"/>
  <c r="S880" i="20"/>
  <c r="S1968" i="20"/>
  <c r="T101" i="20"/>
  <c r="T593" i="20"/>
  <c r="T1965" i="20"/>
  <c r="T905" i="20"/>
  <c r="R190" i="20"/>
  <c r="S735" i="20"/>
  <c r="T134" i="20"/>
  <c r="R883" i="20"/>
  <c r="T190" i="20"/>
  <c r="T370" i="20"/>
  <c r="R517" i="20"/>
  <c r="T1391" i="20"/>
  <c r="R766" i="20"/>
  <c r="S164" i="20"/>
  <c r="R645" i="20"/>
  <c r="S1287" i="20"/>
  <c r="R1554" i="20"/>
  <c r="R1381" i="20"/>
  <c r="T669" i="20"/>
  <c r="T1590" i="20"/>
  <c r="R1279" i="20"/>
  <c r="T849" i="20"/>
  <c r="R71" i="20"/>
  <c r="T622" i="20"/>
  <c r="S610" i="20"/>
  <c r="T970" i="20"/>
  <c r="S1353" i="20"/>
  <c r="S614" i="20"/>
  <c r="R280" i="20"/>
  <c r="S1436" i="20"/>
  <c r="T140" i="20"/>
  <c r="T1141" i="20"/>
  <c r="S1458" i="20"/>
  <c r="S1335" i="20"/>
  <c r="R1988" i="20"/>
  <c r="S498" i="20"/>
  <c r="S697" i="20"/>
  <c r="T1362" i="20"/>
  <c r="T955" i="20"/>
  <c r="T608" i="20"/>
  <c r="S626" i="20"/>
  <c r="T888" i="20"/>
  <c r="R1364" i="20"/>
  <c r="S635" i="20"/>
  <c r="R1009" i="20"/>
  <c r="S305" i="20"/>
  <c r="S795" i="20"/>
  <c r="R1981" i="20"/>
  <c r="T520" i="20"/>
  <c r="T256" i="20"/>
  <c r="S1975" i="20"/>
  <c r="S1360" i="20"/>
  <c r="S645" i="20"/>
  <c r="R607" i="20"/>
  <c r="T1524" i="20"/>
  <c r="T250" i="20"/>
  <c r="R151" i="20"/>
  <c r="T610" i="20"/>
  <c r="R1959" i="20"/>
  <c r="R1472" i="20"/>
  <c r="S194" i="20"/>
  <c r="T627" i="20"/>
  <c r="T1976" i="20"/>
  <c r="S1592" i="20"/>
  <c r="S250" i="20"/>
  <c r="R109" i="20"/>
  <c r="S1991" i="20"/>
  <c r="R642" i="20"/>
  <c r="R1312" i="20"/>
  <c r="R674" i="20"/>
  <c r="T628" i="20"/>
  <c r="S1552" i="20"/>
  <c r="S1386" i="20"/>
  <c r="T1417" i="20"/>
  <c r="T1345" i="20"/>
  <c r="R51" i="20"/>
  <c r="S683" i="20"/>
  <c r="T784" i="20"/>
  <c r="R205" i="20"/>
  <c r="T1567" i="20"/>
  <c r="S745" i="20"/>
  <c r="T1997" i="20"/>
  <c r="R950" i="20"/>
  <c r="S1286" i="20"/>
  <c r="R1003" i="20"/>
  <c r="R777" i="20"/>
  <c r="T1339" i="20"/>
  <c r="T618" i="20"/>
  <c r="R1054" i="20"/>
  <c r="R924" i="20"/>
  <c r="T597" i="20"/>
  <c r="R1301" i="20"/>
  <c r="T486" i="20"/>
  <c r="S710" i="20"/>
  <c r="S537" i="20"/>
  <c r="S677" i="20"/>
  <c r="T1429" i="20"/>
  <c r="T1990" i="20"/>
  <c r="S146" i="20"/>
  <c r="T754" i="20"/>
  <c r="S1971" i="20"/>
  <c r="R1065" i="20"/>
  <c r="S254" i="20"/>
  <c r="R1958" i="20"/>
  <c r="T582" i="20"/>
  <c r="T334" i="20"/>
  <c r="R1015" i="20"/>
  <c r="R134" i="20"/>
  <c r="R144" i="20"/>
  <c r="S121" i="20"/>
  <c r="R1145" i="20"/>
  <c r="S49" i="20"/>
  <c r="R256" i="20"/>
  <c r="T975" i="20"/>
  <c r="R1482" i="20"/>
  <c r="R664" i="20"/>
  <c r="R1336" i="20"/>
  <c r="S1396" i="20"/>
  <c r="R1335" i="20"/>
  <c r="T1996" i="20"/>
  <c r="R672" i="20"/>
  <c r="R86" i="20"/>
  <c r="S1957" i="20"/>
  <c r="S950" i="20"/>
  <c r="S124" i="20"/>
  <c r="T66" i="20"/>
  <c r="S648" i="20"/>
  <c r="T1010" i="20"/>
  <c r="S1348" i="20"/>
  <c r="T511" i="20"/>
  <c r="T225" i="20"/>
  <c r="S720" i="20"/>
  <c r="R70" i="20"/>
  <c r="T923" i="20"/>
  <c r="T645" i="20"/>
  <c r="S352" i="20"/>
  <c r="R1282" i="20"/>
  <c r="T785" i="20"/>
  <c r="T1973" i="20"/>
  <c r="S888" i="20"/>
  <c r="S1363" i="20"/>
  <c r="S1964" i="20"/>
  <c r="T949" i="20"/>
  <c r="S618" i="20"/>
  <c r="T85" i="20"/>
  <c r="R1294" i="20"/>
  <c r="R1486" i="20"/>
  <c r="S620" i="20"/>
  <c r="R1105" i="20"/>
  <c r="R1519" i="20"/>
  <c r="S1391" i="20"/>
  <c r="S607" i="20"/>
  <c r="R199" i="20"/>
  <c r="R659" i="20"/>
  <c r="R1985" i="20"/>
  <c r="T49" i="20"/>
  <c r="R634" i="20"/>
  <c r="T1955" i="20"/>
  <c r="S844" i="20"/>
  <c r="S879" i="20"/>
  <c r="R779" i="20"/>
  <c r="S1144" i="20"/>
  <c r="S893" i="20"/>
  <c r="R191" i="20"/>
  <c r="S1485" i="20"/>
  <c r="R736" i="20"/>
  <c r="T1409" i="20"/>
  <c r="R964" i="20"/>
  <c r="T1565" i="20"/>
  <c r="S634" i="20"/>
  <c r="R1983" i="20"/>
  <c r="R747" i="20"/>
  <c r="R643" i="20"/>
  <c r="S759" i="20"/>
  <c r="S114" i="20"/>
  <c r="R848" i="20"/>
  <c r="T750" i="20"/>
  <c r="R1316" i="20"/>
  <c r="S904" i="20"/>
  <c r="S848" i="20"/>
  <c r="R1501" i="20"/>
  <c r="R1079" i="20"/>
  <c r="S1429" i="20"/>
  <c r="T81" i="20"/>
  <c r="S884" i="20"/>
  <c r="S1385" i="20"/>
  <c r="T1975" i="20"/>
  <c r="S666" i="20"/>
  <c r="S204" i="20"/>
  <c r="R1995" i="20"/>
  <c r="R741" i="20"/>
  <c r="R615" i="20"/>
  <c r="T1984" i="20"/>
  <c r="R1413" i="20"/>
  <c r="T1506" i="20"/>
  <c r="S1319" i="20"/>
  <c r="S628" i="20"/>
  <c r="T739" i="20"/>
  <c r="R929" i="20"/>
  <c r="T151" i="20"/>
  <c r="T240" i="20"/>
  <c r="R994" i="20"/>
  <c r="T1327" i="20"/>
  <c r="S689" i="20"/>
  <c r="R1982" i="20"/>
  <c r="S125" i="20"/>
  <c r="R545" i="20"/>
  <c r="S1347" i="20"/>
  <c r="T169" i="20"/>
  <c r="S1123" i="20"/>
  <c r="T111" i="20"/>
  <c r="T869" i="20"/>
  <c r="R740" i="20"/>
  <c r="S705" i="20"/>
  <c r="R1327" i="20"/>
  <c r="R1567" i="20"/>
  <c r="S46" i="20"/>
  <c r="S1547" i="20"/>
  <c r="R750" i="20"/>
  <c r="S1978" i="20"/>
  <c r="T733" i="20"/>
  <c r="S229" i="20"/>
  <c r="S59" i="20"/>
  <c r="R723" i="20"/>
  <c r="T707" i="20"/>
  <c r="S1040" i="20"/>
  <c r="T646" i="20"/>
  <c r="T366" i="20"/>
  <c r="R1474" i="20"/>
  <c r="R1475" i="20"/>
  <c r="T1298" i="20"/>
  <c r="S751" i="20"/>
  <c r="R1588" i="20"/>
  <c r="R1537" i="20"/>
  <c r="S359" i="20"/>
  <c r="T194" i="20"/>
  <c r="S1884" i="20"/>
  <c r="R845" i="20"/>
  <c r="T1880" i="20"/>
  <c r="S955" i="20"/>
  <c r="T1998" i="20"/>
  <c r="R603" i="20"/>
  <c r="R1541" i="20"/>
  <c r="T1375" i="20"/>
  <c r="R75" i="20"/>
  <c r="S600" i="20"/>
  <c r="S85" i="20"/>
  <c r="S1956" i="20"/>
  <c r="S1573" i="20"/>
  <c r="S86" i="20"/>
  <c r="R65" i="20"/>
  <c r="R1058" i="20"/>
  <c r="S1315" i="20"/>
  <c r="T1882" i="20"/>
  <c r="S1301" i="20"/>
  <c r="R1008" i="20"/>
  <c r="T1545" i="20"/>
  <c r="R960" i="20"/>
  <c r="R754" i="20"/>
  <c r="T664" i="20"/>
  <c r="T919" i="20"/>
  <c r="T790" i="20"/>
  <c r="T759" i="20"/>
  <c r="R164" i="20"/>
  <c r="S787" i="20"/>
  <c r="T903" i="20"/>
  <c r="S126" i="20"/>
  <c r="S1455" i="20"/>
  <c r="T604" i="20"/>
  <c r="R1038" i="20"/>
  <c r="S727" i="20"/>
  <c r="R1323" i="20"/>
  <c r="T1958" i="20"/>
  <c r="S924" i="20"/>
  <c r="R709" i="20"/>
  <c r="R1886" i="20"/>
  <c r="S251" i="20"/>
  <c r="R1553" i="20"/>
  <c r="T1351" i="20"/>
  <c r="S1364" i="20"/>
  <c r="T699" i="20"/>
  <c r="T1437" i="20"/>
  <c r="T1472" i="20"/>
  <c r="T568" i="20"/>
  <c r="S144" i="20"/>
  <c r="R855" i="20"/>
  <c r="S274" i="20"/>
  <c r="S860" i="20"/>
  <c r="T1358" i="20"/>
  <c r="R796" i="20"/>
  <c r="S624" i="20"/>
  <c r="S732" i="20"/>
  <c r="S657" i="20"/>
  <c r="S894" i="20"/>
  <c r="R373" i="20"/>
  <c r="S1504" i="20"/>
  <c r="R631" i="20"/>
  <c r="T1988" i="20"/>
  <c r="S1460" i="20"/>
  <c r="T585" i="20"/>
  <c r="T200" i="20"/>
  <c r="S722" i="20"/>
  <c r="S681" i="20"/>
  <c r="T1547" i="20"/>
  <c r="T1511" i="20"/>
  <c r="S330" i="20"/>
  <c r="T670" i="20"/>
  <c r="R1392" i="20"/>
  <c r="S875" i="20"/>
  <c r="R1441" i="20"/>
  <c r="R1141" i="20"/>
  <c r="R920" i="20"/>
  <c r="R89" i="20"/>
  <c r="R1973" i="20"/>
  <c r="S1524" i="20"/>
  <c r="R774" i="20"/>
  <c r="T685" i="20"/>
  <c r="R763" i="20"/>
  <c r="T179" i="20"/>
  <c r="R140" i="20"/>
  <c r="T643" i="20"/>
  <c r="R1520" i="20"/>
  <c r="S629" i="20"/>
  <c r="T675" i="20"/>
  <c r="S1029" i="20"/>
  <c r="R890" i="20"/>
  <c r="S1976" i="20"/>
  <c r="S1297" i="20"/>
  <c r="S789" i="20"/>
  <c r="S1966" i="20"/>
  <c r="T1356" i="20"/>
  <c r="T606" i="20"/>
  <c r="T1992" i="20"/>
  <c r="S662" i="20"/>
  <c r="T600" i="20"/>
  <c r="S100" i="20"/>
  <c r="T1525" i="20"/>
  <c r="T918" i="20"/>
  <c r="S606" i="20"/>
  <c r="S480" i="20"/>
  <c r="S1059" i="20"/>
  <c r="S734" i="20"/>
  <c r="S347" i="20"/>
  <c r="S682" i="20"/>
  <c r="T1008" i="20"/>
  <c r="T1477" i="20"/>
  <c r="S234" i="20"/>
  <c r="T619" i="20"/>
  <c r="S1985" i="20"/>
  <c r="T104" i="20"/>
  <c r="S609" i="20"/>
  <c r="S770" i="20"/>
  <c r="R528" i="20"/>
  <c r="R104" i="20"/>
  <c r="S612" i="20"/>
  <c r="S499" i="20"/>
  <c r="S743" i="20"/>
  <c r="R85" i="20"/>
  <c r="S79" i="20"/>
  <c r="T1080" i="20"/>
  <c r="R633" i="20"/>
  <c r="S1974" i="20"/>
  <c r="T713" i="20"/>
  <c r="R775" i="20"/>
  <c r="R1976" i="20"/>
  <c r="T1146" i="20"/>
  <c r="R854" i="20"/>
  <c r="T720" i="20"/>
  <c r="T794" i="20"/>
  <c r="T1980" i="20"/>
  <c r="R169" i="20"/>
  <c r="T655" i="20"/>
  <c r="S1010" i="20"/>
  <c r="R1353" i="20"/>
  <c r="S724" i="20"/>
  <c r="T1966" i="20"/>
  <c r="T150" i="20"/>
  <c r="R858" i="20"/>
  <c r="S1095" i="20"/>
  <c r="T960" i="20"/>
  <c r="S91" i="20"/>
  <c r="T1520" i="20"/>
  <c r="R613" i="20"/>
  <c r="R141" i="20"/>
  <c r="T1385" i="20"/>
  <c r="T1987" i="20"/>
  <c r="T1277" i="20"/>
  <c r="T943" i="20"/>
  <c r="S1367" i="20"/>
  <c r="S1469" i="20"/>
  <c r="T1956" i="20"/>
  <c r="T1084" i="20"/>
  <c r="S1517" i="20"/>
  <c r="S1571" i="20"/>
  <c r="S1453" i="20"/>
  <c r="S246" i="20"/>
  <c r="S290" i="20"/>
  <c r="R194" i="20"/>
  <c r="T265" i="20"/>
  <c r="R940" i="20"/>
  <c r="S749" i="20"/>
  <c r="S766" i="20"/>
  <c r="R1987" i="20"/>
  <c r="R731" i="20"/>
  <c r="R695" i="20"/>
  <c r="R1968" i="20"/>
  <c r="R1286" i="20"/>
  <c r="S1583" i="20"/>
  <c r="S1977" i="20"/>
  <c r="S845" i="20"/>
  <c r="T146" i="20"/>
  <c r="T742" i="20"/>
  <c r="R1371" i="20"/>
  <c r="T716" i="20"/>
  <c r="S1886" i="20"/>
  <c r="T723" i="20"/>
  <c r="R1590" i="20"/>
  <c r="S101" i="20"/>
  <c r="T206" i="20"/>
  <c r="R1969" i="20"/>
  <c r="T640" i="20"/>
  <c r="R1964" i="20"/>
  <c r="S569" i="20"/>
  <c r="S1548" i="20"/>
  <c r="T749" i="20"/>
  <c r="T1349" i="20"/>
  <c r="T712" i="20"/>
  <c r="S632" i="20"/>
  <c r="T1456" i="20"/>
  <c r="S649" i="20"/>
  <c r="S1474" i="20"/>
  <c r="T1367" i="20"/>
  <c r="S316" i="20"/>
  <c r="S1513" i="20"/>
  <c r="T1983" i="20"/>
  <c r="S1083" i="20"/>
  <c r="R675" i="20"/>
  <c r="S1425" i="20"/>
  <c r="S310" i="20"/>
  <c r="R895" i="20"/>
  <c r="T131" i="20"/>
  <c r="R206" i="20"/>
  <c r="T791" i="20"/>
  <c r="R785" i="20"/>
  <c r="S84" i="20"/>
  <c r="R485" i="20"/>
  <c r="R622" i="20"/>
  <c r="T488" i="20"/>
  <c r="R1578" i="20"/>
  <c r="S240" i="20"/>
  <c r="S1983" i="20"/>
  <c r="R1129" i="20"/>
  <c r="T1364" i="20"/>
  <c r="S740" i="20"/>
  <c r="S1294" i="20"/>
  <c r="R720" i="20"/>
  <c r="R602" i="20"/>
  <c r="S509" i="20"/>
  <c r="S750" i="20"/>
  <c r="T724" i="20"/>
  <c r="T875" i="20"/>
  <c r="T64" i="20"/>
  <c r="R1469" i="20"/>
  <c r="S354" i="20"/>
  <c r="T964" i="20"/>
  <c r="R99" i="20"/>
  <c r="S344" i="20"/>
  <c r="T1038" i="20"/>
  <c r="T729" i="20"/>
  <c r="S1103" i="20"/>
  <c r="R979" i="20"/>
  <c r="S664" i="20"/>
  <c r="S1998" i="20"/>
  <c r="S304" i="20"/>
  <c r="T920" i="20"/>
  <c r="T355" i="20"/>
  <c r="R349" i="20"/>
  <c r="R508" i="20"/>
  <c r="S166" i="20"/>
  <c r="S969" i="20"/>
  <c r="S1578" i="20"/>
  <c r="T219" i="20"/>
  <c r="S908" i="20"/>
  <c r="R1575" i="20"/>
  <c r="T594" i="20"/>
  <c r="R1376" i="20"/>
  <c r="S993" i="20"/>
  <c r="S903" i="20"/>
  <c r="R1990" i="20"/>
  <c r="S543" i="20"/>
  <c r="R626" i="20"/>
  <c r="T1960" i="20"/>
  <c r="T985" i="20"/>
  <c r="S794" i="20"/>
  <c r="T1469" i="20"/>
  <c r="S1420" i="20"/>
  <c r="R161" i="20"/>
  <c r="R1992" i="20"/>
  <c r="T1986" i="20"/>
  <c r="T494" i="20"/>
  <c r="T680" i="20"/>
  <c r="T1149" i="20"/>
  <c r="R1387" i="20"/>
  <c r="R1453" i="20"/>
  <c r="S1982" i="20"/>
  <c r="T874" i="20"/>
  <c r="S120" i="20"/>
  <c r="R352" i="20"/>
  <c r="R969" i="20"/>
  <c r="T779" i="20"/>
  <c r="S695" i="20"/>
  <c r="T340" i="20"/>
  <c r="T180" i="20"/>
  <c r="T141" i="20"/>
  <c r="T768" i="20"/>
  <c r="R787" i="20"/>
  <c r="S1303" i="20"/>
  <c r="T783" i="20"/>
  <c r="R884" i="20"/>
  <c r="S176" i="20"/>
  <c r="S769" i="20"/>
  <c r="S1356" i="20"/>
  <c r="T730" i="20"/>
  <c r="R1146" i="20"/>
  <c r="R300" i="20"/>
  <c r="R789" i="20"/>
  <c r="R714" i="20"/>
  <c r="T1442" i="20"/>
  <c r="R849" i="20"/>
  <c r="R154" i="20"/>
  <c r="R873" i="20"/>
  <c r="R79" i="20"/>
  <c r="T246" i="20"/>
  <c r="R181" i="20"/>
  <c r="T1282" i="20"/>
  <c r="T659" i="20"/>
  <c r="T1416" i="20"/>
  <c r="T1431" i="20"/>
  <c r="S1409" i="20"/>
  <c r="S1962" i="20"/>
  <c r="T196" i="20"/>
  <c r="T1425" i="20"/>
  <c r="T236" i="20"/>
  <c r="T1977" i="20"/>
  <c r="T1336" i="20"/>
  <c r="T209" i="20"/>
  <c r="T950" i="20"/>
  <c r="R1320" i="20"/>
  <c r="R1433" i="20"/>
  <c r="T890" i="20"/>
  <c r="S266" i="20"/>
  <c r="R1362" i="20"/>
  <c r="S149" i="20"/>
  <c r="T795" i="20"/>
  <c r="R534" i="20"/>
  <c r="T375" i="20"/>
  <c r="R605" i="20"/>
  <c r="S256" i="20"/>
  <c r="S1537" i="20"/>
  <c r="R1956" i="20"/>
  <c r="S1434" i="20"/>
  <c r="R623" i="20"/>
  <c r="R782" i="20"/>
  <c r="R608" i="20"/>
  <c r="S1955" i="20"/>
  <c r="S965" i="20"/>
  <c r="T843" i="20"/>
  <c r="T74" i="20"/>
  <c r="T1323" i="20"/>
  <c r="T532" i="20"/>
  <c r="S778" i="20"/>
  <c r="R707" i="20"/>
  <c r="S109" i="20"/>
  <c r="R1305" i="20"/>
  <c r="R1421" i="20"/>
  <c r="S784" i="20"/>
  <c r="S1169" i="20"/>
  <c r="S1278" i="20"/>
  <c r="S1432" i="20"/>
  <c r="R616" i="20"/>
  <c r="T491" i="20"/>
  <c r="T1009" i="20"/>
  <c r="R705" i="20"/>
  <c r="R1437" i="20"/>
  <c r="T51" i="20"/>
  <c r="T765" i="20"/>
  <c r="T1355" i="20"/>
  <c r="S899" i="20"/>
  <c r="T563" i="20"/>
  <c r="R1478" i="20"/>
  <c r="T1427" i="20"/>
  <c r="T1113" i="20"/>
  <c r="S979" i="20"/>
  <c r="T1515" i="20"/>
  <c r="T1473" i="20"/>
  <c r="T592" i="20"/>
  <c r="T792" i="20"/>
  <c r="T741" i="20"/>
  <c r="S89" i="20"/>
  <c r="S930" i="20"/>
  <c r="S551" i="20"/>
  <c r="R879" i="20"/>
  <c r="S602" i="20"/>
  <c r="S1060" i="20"/>
  <c r="R655" i="20"/>
  <c r="T1991" i="20"/>
  <c r="R91" i="20"/>
  <c r="T719" i="20"/>
  <c r="T623" i="20"/>
  <c r="S1482" i="20"/>
  <c r="R110" i="20"/>
  <c r="R719" i="20"/>
  <c r="T691" i="20"/>
  <c r="T1537" i="20"/>
  <c r="R1363" i="20"/>
  <c r="T763" i="20"/>
  <c r="T1397" i="20"/>
  <c r="T96" i="20"/>
  <c r="T751" i="20"/>
  <c r="T195" i="20"/>
  <c r="T705" i="20"/>
  <c r="S1143" i="20"/>
  <c r="R270" i="20"/>
  <c r="T1457" i="20"/>
  <c r="S75" i="20"/>
  <c r="R572" i="20"/>
  <c r="T1395" i="20"/>
  <c r="S1995" i="20"/>
  <c r="S573" i="20"/>
  <c r="R1465" i="20"/>
  <c r="R1331" i="20"/>
  <c r="T702" i="20"/>
  <c r="T709" i="20"/>
  <c r="S684" i="20"/>
  <c r="S1298" i="20"/>
  <c r="S1395" i="20"/>
  <c r="R1275" i="20"/>
  <c r="R1446" i="20"/>
  <c r="R1329" i="20"/>
  <c r="T54" i="20"/>
  <c r="R1128" i="20"/>
  <c r="S1014" i="20"/>
  <c r="T191" i="20"/>
  <c r="R1986" i="20"/>
  <c r="T1295" i="20"/>
  <c r="R171" i="20"/>
  <c r="R869" i="20"/>
  <c r="S129" i="20"/>
  <c r="S754" i="20"/>
  <c r="R725" i="20"/>
  <c r="S672" i="20"/>
  <c r="R1135" i="20"/>
  <c r="R1481" i="20"/>
  <c r="R1354" i="20"/>
  <c r="R1005" i="20"/>
  <c r="S140" i="20"/>
  <c r="T1447" i="20"/>
  <c r="T1090" i="20"/>
  <c r="R780" i="20"/>
  <c r="R1365" i="20"/>
  <c r="R329" i="20"/>
  <c r="S670" i="20"/>
  <c r="T1989" i="20"/>
  <c r="S1556" i="20"/>
  <c r="S730" i="20"/>
  <c r="S599" i="20"/>
  <c r="S1398" i="20"/>
  <c r="T672" i="20"/>
  <c r="R975" i="20"/>
  <c r="R1499" i="20"/>
  <c r="T652" i="20"/>
  <c r="T226" i="20"/>
  <c r="R1489" i="20"/>
  <c r="R520" i="20"/>
  <c r="T635" i="20"/>
  <c r="T310" i="20"/>
  <c r="S639" i="20"/>
  <c r="R1347" i="20"/>
  <c r="T132" i="20"/>
  <c r="T1024" i="20"/>
  <c r="S621" i="20"/>
  <c r="T1974" i="20"/>
  <c r="T1382" i="20"/>
  <c r="R180" i="20"/>
  <c r="T1481" i="20"/>
  <c r="R1295" i="20"/>
  <c r="T540" i="20"/>
  <c r="T1331" i="20"/>
  <c r="S206" i="20"/>
  <c r="R1393" i="20"/>
  <c r="R66" i="20"/>
  <c r="S1988" i="20"/>
  <c r="T771" i="20"/>
  <c r="S1279" i="20"/>
  <c r="S1980" i="20"/>
  <c r="T115" i="20"/>
  <c r="R739" i="20"/>
  <c r="T2000" i="20"/>
  <c r="R1280" i="20"/>
  <c r="S883" i="20"/>
  <c r="T1591" i="20"/>
  <c r="T261" i="20"/>
  <c r="T676" i="20"/>
  <c r="S110" i="20"/>
  <c r="T1070" i="20"/>
  <c r="R748" i="20"/>
  <c r="T204" i="20"/>
  <c r="S1422" i="20"/>
  <c r="R865" i="20"/>
  <c r="R606" i="20"/>
  <c r="T507" i="20"/>
  <c r="R1476" i="20"/>
  <c r="R764" i="20"/>
  <c r="S1969" i="20"/>
  <c r="T1034" i="20"/>
  <c r="R1277" i="20"/>
  <c r="T789" i="20"/>
  <c r="R588" i="20"/>
  <c r="T1403" i="20"/>
  <c r="R1374" i="20"/>
  <c r="T201" i="20"/>
  <c r="T65" i="20"/>
  <c r="T1305" i="20"/>
  <c r="T60" i="20"/>
  <c r="R229" i="20"/>
  <c r="T1503" i="20"/>
  <c r="S1405" i="20"/>
  <c r="T20" i="20"/>
  <c r="S801" i="20"/>
  <c r="R37" i="20"/>
  <c r="T33" i="20"/>
  <c r="S809" i="20"/>
  <c r="T30" i="20"/>
  <c r="T818" i="20"/>
  <c r="S831" i="20"/>
  <c r="T32" i="20"/>
  <c r="S829" i="20"/>
  <c r="R808" i="20"/>
  <c r="S24" i="20"/>
  <c r="R5" i="20"/>
  <c r="R831" i="20"/>
  <c r="R834" i="20"/>
  <c r="S29" i="20"/>
  <c r="S827" i="20"/>
  <c r="R838" i="20"/>
  <c r="R32" i="20"/>
  <c r="T42" i="20"/>
  <c r="R816" i="20"/>
  <c r="T809" i="20"/>
  <c r="S820" i="20"/>
  <c r="R35" i="20"/>
  <c r="T26" i="20"/>
  <c r="R6" i="20"/>
  <c r="S813" i="20"/>
  <c r="T797" i="20"/>
  <c r="S28" i="20"/>
  <c r="S30" i="20"/>
  <c r="S826" i="20"/>
  <c r="S830" i="20"/>
  <c r="T828" i="20"/>
  <c r="T11" i="20"/>
  <c r="R836" i="20"/>
  <c r="T814" i="20"/>
  <c r="S804" i="20"/>
  <c r="R18" i="20"/>
  <c r="S819" i="20"/>
  <c r="T832" i="20"/>
  <c r="T820" i="20"/>
  <c r="T23" i="20"/>
  <c r="T837" i="20"/>
  <c r="T830" i="20"/>
  <c r="T35" i="20"/>
  <c r="S814" i="20"/>
  <c r="R821" i="20"/>
  <c r="S835" i="20"/>
  <c r="S815" i="20"/>
  <c r="S5" i="20"/>
  <c r="R801" i="20"/>
  <c r="T15" i="20"/>
  <c r="S14" i="20"/>
  <c r="T28" i="20"/>
  <c r="R810" i="20"/>
  <c r="T19" i="20"/>
  <c r="S37" i="20"/>
  <c r="T21" i="20"/>
  <c r="R29" i="20"/>
  <c r="S800" i="20"/>
  <c r="S821" i="20"/>
  <c r="S817" i="20"/>
  <c r="T831" i="20"/>
  <c r="R30" i="20"/>
  <c r="R804" i="20"/>
  <c r="R829" i="20"/>
  <c r="R4" i="20"/>
  <c r="T27" i="20"/>
  <c r="R815" i="20"/>
  <c r="S15" i="20"/>
  <c r="S806" i="20"/>
  <c r="R822" i="20"/>
  <c r="R813" i="20"/>
  <c r="S10" i="20"/>
  <c r="S23" i="20"/>
  <c r="T44" i="20"/>
  <c r="R826" i="20"/>
  <c r="S839" i="20"/>
  <c r="S41" i="20"/>
  <c r="T3" i="20"/>
  <c r="T808" i="20"/>
  <c r="S7" i="20"/>
  <c r="S13" i="20"/>
  <c r="T833" i="20"/>
  <c r="R832" i="20"/>
  <c r="T34" i="20"/>
  <c r="S798" i="20"/>
  <c r="R40" i="20"/>
  <c r="S12" i="20"/>
  <c r="T14" i="20"/>
  <c r="S43" i="20"/>
  <c r="R807" i="20"/>
  <c r="R802" i="20"/>
  <c r="T807" i="20"/>
  <c r="S25" i="20"/>
  <c r="R8" i="20"/>
  <c r="R814" i="20"/>
  <c r="S34" i="20"/>
  <c r="T800" i="20"/>
  <c r="S822" i="20"/>
  <c r="R20" i="20"/>
  <c r="R42" i="20"/>
  <c r="S808" i="20"/>
  <c r="R9" i="20"/>
  <c r="R41" i="20"/>
  <c r="R809" i="20"/>
  <c r="T38" i="20"/>
  <c r="S35" i="20"/>
  <c r="R31" i="20"/>
  <c r="R22" i="20"/>
  <c r="R819" i="20"/>
  <c r="S18" i="20"/>
  <c r="S8" i="20"/>
  <c r="R817" i="20"/>
  <c r="T17" i="20"/>
  <c r="R837" i="20"/>
  <c r="T12" i="20"/>
  <c r="R3" i="20"/>
  <c r="R19" i="20"/>
  <c r="T39" i="20"/>
  <c r="S837" i="20"/>
  <c r="S27" i="20"/>
  <c r="R823" i="20"/>
  <c r="T825" i="20"/>
  <c r="S838" i="20"/>
  <c r="S38" i="20"/>
  <c r="R27" i="20"/>
  <c r="T804" i="20"/>
  <c r="T805" i="20"/>
  <c r="T37" i="20"/>
  <c r="R833" i="20"/>
  <c r="R38" i="20"/>
  <c r="R803" i="20"/>
  <c r="R12" i="20"/>
  <c r="S832" i="20"/>
  <c r="T31" i="20"/>
  <c r="T816" i="20"/>
  <c r="S39" i="20"/>
  <c r="T802" i="20"/>
  <c r="S810" i="20"/>
  <c r="T8" i="20"/>
  <c r="S802" i="20"/>
  <c r="T824" i="20"/>
  <c r="R7" i="20"/>
  <c r="T40" i="20"/>
  <c r="R824" i="20"/>
  <c r="R818" i="20"/>
  <c r="S836" i="20"/>
  <c r="T839" i="20"/>
  <c r="T810" i="20"/>
  <c r="T822" i="20"/>
  <c r="T24" i="20"/>
  <c r="R839" i="20"/>
  <c r="R11" i="20"/>
  <c r="T801" i="20"/>
  <c r="R21" i="20"/>
  <c r="S9" i="20"/>
  <c r="S823" i="20"/>
  <c r="S834" i="20"/>
  <c r="T5" i="20"/>
  <c r="S828" i="20"/>
  <c r="S807" i="20"/>
  <c r="T9" i="20"/>
  <c r="S818" i="20"/>
  <c r="T4" i="20"/>
  <c r="R17" i="20"/>
  <c r="R23" i="20"/>
  <c r="T812" i="20"/>
  <c r="R820" i="20"/>
  <c r="S17" i="20"/>
  <c r="S797" i="20"/>
  <c r="T811" i="20"/>
  <c r="R14" i="20"/>
  <c r="T22" i="20"/>
  <c r="S799" i="20"/>
  <c r="R805" i="20"/>
  <c r="T806" i="20"/>
  <c r="T836" i="20"/>
  <c r="T41" i="20"/>
  <c r="T829" i="20"/>
  <c r="T834" i="20"/>
  <c r="S825" i="20"/>
  <c r="T6" i="20"/>
  <c r="R812" i="20"/>
  <c r="R24" i="20"/>
  <c r="R25" i="20"/>
  <c r="R44" i="20"/>
  <c r="S40" i="20"/>
  <c r="S19" i="20"/>
  <c r="R828" i="20"/>
  <c r="S45" i="20"/>
  <c r="S42" i="20"/>
  <c r="T823" i="20"/>
  <c r="R806" i="20"/>
  <c r="R16" i="20"/>
  <c r="R10" i="20"/>
  <c r="S805" i="20"/>
  <c r="T799" i="20"/>
  <c r="R33" i="20"/>
  <c r="T10" i="20"/>
  <c r="T819" i="20"/>
  <c r="S33" i="20"/>
  <c r="S21" i="20"/>
  <c r="S811" i="20"/>
  <c r="R15" i="20"/>
  <c r="R34" i="20"/>
  <c r="R798" i="20"/>
  <c r="R26" i="20"/>
  <c r="T838" i="20"/>
  <c r="S26" i="20"/>
  <c r="S22" i="20"/>
  <c r="T815" i="20"/>
  <c r="T13" i="20"/>
  <c r="S31" i="20"/>
  <c r="T813" i="20"/>
  <c r="S6" i="20"/>
  <c r="R28" i="20"/>
  <c r="S16" i="20"/>
  <c r="R45" i="20"/>
  <c r="S833" i="20"/>
  <c r="T798" i="20"/>
  <c r="S824" i="20"/>
  <c r="T36" i="20"/>
  <c r="T45" i="20"/>
  <c r="S3" i="20"/>
  <c r="S20" i="20"/>
  <c r="S32" i="20"/>
  <c r="S816" i="20"/>
  <c r="S44" i="20"/>
  <c r="T25" i="20"/>
  <c r="T7" i="20"/>
  <c r="T29" i="20"/>
  <c r="R13" i="20"/>
  <c r="R827" i="20"/>
  <c r="R830" i="20"/>
  <c r="S803" i="20"/>
  <c r="R39" i="20"/>
  <c r="S812" i="20"/>
  <c r="T826" i="20"/>
  <c r="R800" i="20"/>
  <c r="T817" i="20"/>
  <c r="R799" i="20"/>
  <c r="S11" i="20"/>
  <c r="T43" i="20"/>
  <c r="T18" i="20"/>
  <c r="R797" i="20"/>
  <c r="R36" i="20"/>
  <c r="S36" i="20"/>
  <c r="R43" i="20"/>
  <c r="T821" i="20"/>
  <c r="S4" i="20"/>
  <c r="T16" i="20"/>
  <c r="T803" i="20"/>
  <c r="R825" i="20"/>
  <c r="T835" i="20"/>
  <c r="R835" i="20"/>
  <c r="R811" i="20"/>
  <c r="T1195" i="20"/>
  <c r="T1253" i="20"/>
  <c r="S447" i="20"/>
  <c r="S449" i="20"/>
  <c r="R410" i="20"/>
  <c r="T463" i="20"/>
  <c r="S431" i="20"/>
  <c r="R465" i="20"/>
  <c r="T412" i="20"/>
  <c r="R454" i="20"/>
  <c r="T1202" i="20"/>
  <c r="R451" i="20"/>
  <c r="T472" i="20"/>
  <c r="R1270" i="20"/>
  <c r="R1237" i="20"/>
  <c r="R468" i="20"/>
  <c r="T395" i="20"/>
  <c r="R403" i="20"/>
  <c r="R476" i="20"/>
  <c r="T461" i="20"/>
  <c r="S1233" i="20"/>
  <c r="R1233" i="20"/>
  <c r="S455" i="20"/>
  <c r="R421" i="20"/>
  <c r="T404" i="20"/>
  <c r="R394" i="20"/>
  <c r="T407" i="20"/>
  <c r="S1184" i="20"/>
  <c r="T1243" i="20"/>
  <c r="S385" i="20"/>
  <c r="R456" i="20"/>
  <c r="T378" i="20"/>
  <c r="R412" i="20"/>
  <c r="T1230" i="20"/>
  <c r="S479" i="20"/>
  <c r="R1243" i="20"/>
  <c r="S1230" i="20"/>
  <c r="T1198" i="20"/>
  <c r="T1205" i="20"/>
  <c r="R1244" i="20"/>
  <c r="S458" i="20"/>
  <c r="T1190" i="20"/>
  <c r="R460" i="20"/>
  <c r="T405" i="20"/>
  <c r="S1173" i="20"/>
  <c r="R450" i="20"/>
  <c r="R1206" i="20"/>
  <c r="R1247" i="20"/>
  <c r="R1242" i="20"/>
  <c r="R399" i="20"/>
  <c r="R443" i="20"/>
  <c r="R452" i="20"/>
  <c r="T459" i="20"/>
  <c r="R1186" i="20"/>
  <c r="S1268" i="20"/>
  <c r="R1272" i="20"/>
  <c r="R413" i="20"/>
  <c r="R1259" i="20"/>
  <c r="S460" i="20"/>
  <c r="T397" i="20"/>
  <c r="T1191" i="20"/>
  <c r="S1252" i="20"/>
  <c r="T1232" i="20"/>
  <c r="T1247" i="20"/>
  <c r="T1238" i="20"/>
  <c r="R414" i="20"/>
  <c r="T1214" i="20"/>
  <c r="R418" i="20"/>
  <c r="S1198" i="20"/>
  <c r="R1234" i="20"/>
  <c r="S1190" i="20"/>
  <c r="T1244" i="20"/>
  <c r="T1258" i="20"/>
  <c r="T376" i="20"/>
  <c r="R405" i="20"/>
  <c r="S393" i="20"/>
  <c r="T1224" i="20"/>
  <c r="S463" i="20"/>
  <c r="S1258" i="20"/>
  <c r="T416" i="20"/>
  <c r="T1211" i="20"/>
  <c r="S1235" i="20"/>
  <c r="R472" i="20"/>
  <c r="T415" i="20"/>
  <c r="T1215" i="20"/>
  <c r="T471" i="20"/>
  <c r="S1272" i="20"/>
  <c r="T450" i="20"/>
  <c r="R1249" i="20"/>
  <c r="S471" i="20"/>
  <c r="T396" i="20"/>
  <c r="R1241" i="20"/>
  <c r="S1232" i="20"/>
  <c r="R1230" i="20"/>
  <c r="R1204" i="20"/>
  <c r="T479" i="20"/>
  <c r="T446" i="20"/>
  <c r="T453" i="20"/>
  <c r="R1263" i="20"/>
  <c r="S430" i="20"/>
  <c r="S437" i="20"/>
  <c r="T1242" i="20"/>
  <c r="T390" i="20"/>
  <c r="S380" i="20"/>
  <c r="R477" i="20"/>
  <c r="T1255" i="20"/>
  <c r="T1227" i="20"/>
  <c r="T1239" i="20"/>
  <c r="S440" i="20"/>
  <c r="T1187" i="20"/>
  <c r="S432" i="20"/>
  <c r="S475" i="20"/>
  <c r="R1181" i="20"/>
  <c r="R382" i="20"/>
  <c r="S1273" i="20"/>
  <c r="T442" i="20"/>
  <c r="T465" i="20"/>
  <c r="R1257" i="20"/>
  <c r="S1201" i="20"/>
  <c r="T1272" i="20"/>
  <c r="T391" i="20"/>
  <c r="S427" i="20"/>
  <c r="T393" i="20"/>
  <c r="T377" i="20"/>
  <c r="T1229" i="20"/>
  <c r="R402" i="20"/>
  <c r="T1267" i="20"/>
  <c r="S1189" i="20"/>
  <c r="R383" i="20"/>
  <c r="T1233" i="20"/>
  <c r="T462" i="20"/>
  <c r="S438" i="20"/>
  <c r="R464" i="20"/>
  <c r="R1196" i="20"/>
  <c r="R1198" i="20"/>
  <c r="T439" i="20"/>
  <c r="R1268" i="20"/>
  <c r="R434" i="20"/>
  <c r="R1185" i="20"/>
  <c r="S457" i="20"/>
  <c r="R1225" i="20"/>
  <c r="S451" i="20"/>
  <c r="S1224" i="20"/>
  <c r="R459" i="20"/>
  <c r="R1273" i="20"/>
  <c r="R1184" i="20"/>
  <c r="R1190" i="20"/>
  <c r="S1193" i="20"/>
  <c r="R461" i="20"/>
  <c r="R444" i="20"/>
  <c r="S1226" i="20"/>
  <c r="T1264" i="20"/>
  <c r="R458" i="20"/>
  <c r="S1260" i="20"/>
  <c r="S1247" i="20"/>
  <c r="R1224" i="20"/>
  <c r="T467" i="20"/>
  <c r="S429" i="20"/>
  <c r="T1251" i="20"/>
  <c r="R446" i="20"/>
  <c r="S456" i="20"/>
  <c r="S1182" i="20"/>
  <c r="R436" i="20"/>
  <c r="T1234" i="20"/>
  <c r="T460" i="20"/>
  <c r="S1208" i="20"/>
  <c r="R428" i="20"/>
  <c r="T382" i="20"/>
  <c r="R409" i="20"/>
  <c r="R385" i="20"/>
  <c r="T380" i="20"/>
  <c r="S390" i="20"/>
  <c r="T1257" i="20"/>
  <c r="S381" i="20"/>
  <c r="T454" i="20"/>
  <c r="S1197" i="20"/>
  <c r="T464" i="20"/>
  <c r="R467" i="20"/>
  <c r="T403" i="20"/>
  <c r="R441" i="20"/>
  <c r="S454" i="20"/>
  <c r="R466" i="20"/>
  <c r="R1199" i="20"/>
  <c r="R395" i="20"/>
  <c r="T1204" i="20"/>
  <c r="S1270" i="20"/>
  <c r="R449" i="20"/>
  <c r="S410" i="20"/>
  <c r="R1250" i="20"/>
  <c r="S402" i="20"/>
  <c r="S450" i="20"/>
  <c r="S419" i="20"/>
  <c r="R1201" i="20"/>
  <c r="S376" i="20"/>
  <c r="S1254" i="20"/>
  <c r="S387" i="20"/>
  <c r="T470" i="20"/>
  <c r="S409" i="20"/>
  <c r="T426" i="20"/>
  <c r="S1202" i="20"/>
  <c r="S414" i="20"/>
  <c r="T1179" i="20"/>
  <c r="S468" i="20"/>
  <c r="T469" i="20"/>
  <c r="T424" i="20"/>
  <c r="T1225" i="20"/>
  <c r="S399" i="20"/>
  <c r="R404" i="20"/>
  <c r="T387" i="20"/>
  <c r="S1206" i="20"/>
  <c r="R390" i="20"/>
  <c r="S379" i="20"/>
  <c r="R1214" i="20"/>
  <c r="S442" i="20"/>
  <c r="R396" i="20"/>
  <c r="T388" i="20"/>
  <c r="S1217" i="20"/>
  <c r="R1189" i="20"/>
  <c r="T1261" i="20"/>
  <c r="T1171" i="20"/>
  <c r="R1176" i="20"/>
  <c r="R389" i="20"/>
  <c r="R408" i="20"/>
  <c r="S382" i="20"/>
  <c r="S1246" i="20"/>
  <c r="S473" i="20"/>
  <c r="S400" i="20"/>
  <c r="S435" i="20"/>
  <c r="R1254" i="20"/>
  <c r="T451" i="20"/>
  <c r="T1186" i="20"/>
  <c r="R426" i="20"/>
  <c r="T389" i="20"/>
  <c r="S1271" i="20"/>
  <c r="R453" i="20"/>
  <c r="S1227" i="20"/>
  <c r="R442" i="20"/>
  <c r="S1214" i="20"/>
  <c r="R427" i="20"/>
  <c r="R1221" i="20"/>
  <c r="T1193" i="20"/>
  <c r="R1235" i="20"/>
  <c r="R1210" i="20"/>
  <c r="R1256" i="20"/>
  <c r="R435" i="20"/>
  <c r="T449" i="20"/>
  <c r="R1179" i="20"/>
  <c r="R479" i="20"/>
  <c r="S1170" i="20"/>
  <c r="R1236" i="20"/>
  <c r="T419" i="20"/>
  <c r="T1226" i="20"/>
  <c r="T1260" i="20"/>
  <c r="R1194" i="20"/>
  <c r="T1273" i="20"/>
  <c r="R1253" i="20"/>
  <c r="T1252" i="20"/>
  <c r="S466" i="20"/>
  <c r="R378" i="20"/>
  <c r="R1216" i="20"/>
  <c r="S1203" i="20"/>
  <c r="T1174" i="20"/>
  <c r="R445" i="20"/>
  <c r="T1248" i="20"/>
  <c r="S386" i="20"/>
  <c r="S1264" i="20"/>
  <c r="T420" i="20"/>
  <c r="R462" i="20"/>
  <c r="R1229" i="20"/>
  <c r="T1213" i="20"/>
  <c r="S1187" i="20"/>
  <c r="S1172" i="20"/>
  <c r="R470" i="20"/>
  <c r="S1194" i="20"/>
  <c r="S1183" i="20"/>
  <c r="T440" i="20"/>
  <c r="T1235" i="20"/>
  <c r="S403" i="20"/>
  <c r="T401" i="20"/>
  <c r="R1173" i="20"/>
  <c r="R1197" i="20"/>
  <c r="S1250" i="20"/>
  <c r="R397" i="20"/>
  <c r="S1191" i="20"/>
  <c r="T436" i="20"/>
  <c r="T1210" i="20"/>
  <c r="R1246" i="20"/>
  <c r="R1182" i="20"/>
  <c r="S1236" i="20"/>
  <c r="T478" i="20"/>
  <c r="T406" i="20"/>
  <c r="R388" i="20"/>
  <c r="T431" i="20"/>
  <c r="R423" i="20"/>
  <c r="S462" i="20"/>
  <c r="S383" i="20"/>
  <c r="S392" i="20"/>
  <c r="T1220" i="20"/>
  <c r="S1238" i="20"/>
  <c r="T1269" i="20"/>
  <c r="T383" i="20"/>
  <c r="S459" i="20"/>
  <c r="T1175" i="20"/>
  <c r="R1260" i="20"/>
  <c r="R407" i="20"/>
  <c r="T394" i="20"/>
  <c r="T1172" i="20"/>
  <c r="R439" i="20"/>
  <c r="T468" i="20"/>
  <c r="T474" i="20"/>
  <c r="S1179" i="20"/>
  <c r="T429" i="20"/>
  <c r="S1216" i="20"/>
  <c r="S476" i="20"/>
  <c r="R1195" i="20"/>
  <c r="R376" i="20"/>
  <c r="S416" i="20"/>
  <c r="S1249" i="20"/>
  <c r="T386" i="20"/>
  <c r="R392" i="20"/>
  <c r="R437" i="20"/>
  <c r="R398" i="20"/>
  <c r="R473" i="20"/>
  <c r="S1263" i="20"/>
  <c r="R400" i="20"/>
  <c r="S404" i="20"/>
  <c r="R1215" i="20"/>
  <c r="R425" i="20"/>
  <c r="T1173" i="20"/>
  <c r="T1270" i="20"/>
  <c r="T1212" i="20"/>
  <c r="R1213" i="20"/>
  <c r="S469" i="20"/>
  <c r="T1203" i="20"/>
  <c r="S448" i="20"/>
  <c r="S446" i="20"/>
  <c r="T1180" i="20"/>
  <c r="S1269" i="20"/>
  <c r="T1266" i="20"/>
  <c r="R1188" i="20"/>
  <c r="T1183" i="20"/>
  <c r="S433" i="20"/>
  <c r="S478" i="20"/>
  <c r="T1240" i="20"/>
  <c r="T437" i="20"/>
  <c r="S1200" i="20"/>
  <c r="R391" i="20"/>
  <c r="T445" i="20"/>
  <c r="T409" i="20"/>
  <c r="R438" i="20"/>
  <c r="T1184" i="20"/>
  <c r="T457" i="20"/>
  <c r="T1177" i="20"/>
  <c r="S395" i="20"/>
  <c r="T1217" i="20"/>
  <c r="S1180" i="20"/>
  <c r="R381" i="20"/>
  <c r="T1265" i="20"/>
  <c r="T1178" i="20"/>
  <c r="R1223" i="20"/>
  <c r="T402" i="20"/>
  <c r="R478" i="20"/>
  <c r="T1218" i="20"/>
  <c r="T1223" i="20"/>
  <c r="T1254" i="20"/>
  <c r="T435" i="20"/>
  <c r="S1266" i="20"/>
  <c r="S1262" i="20"/>
  <c r="R1239" i="20"/>
  <c r="S1253" i="20"/>
  <c r="R415" i="20"/>
  <c r="S467" i="20"/>
  <c r="R1267" i="20"/>
  <c r="R433" i="20"/>
  <c r="R1178" i="20"/>
  <c r="S1209" i="20"/>
  <c r="T422" i="20"/>
  <c r="T1219" i="20"/>
  <c r="T438" i="20"/>
  <c r="R1265" i="20"/>
  <c r="S388" i="20"/>
  <c r="T1199" i="20"/>
  <c r="R1264" i="20"/>
  <c r="S1199" i="20"/>
  <c r="T1222" i="20"/>
  <c r="S422" i="20"/>
  <c r="R1172" i="20"/>
  <c r="R411" i="20"/>
  <c r="R1175" i="20"/>
  <c r="S1192" i="20"/>
  <c r="S1225" i="20"/>
  <c r="T1245" i="20"/>
  <c r="T1206" i="20"/>
  <c r="R1238" i="20"/>
  <c r="T475" i="20"/>
  <c r="S1242" i="20"/>
  <c r="S405" i="20"/>
  <c r="R393" i="20"/>
  <c r="T1259" i="20"/>
  <c r="R1255" i="20"/>
  <c r="S439" i="20"/>
  <c r="S401" i="20"/>
  <c r="T1182" i="20"/>
  <c r="T411" i="20"/>
  <c r="T1241" i="20"/>
  <c r="S444" i="20"/>
  <c r="S1218" i="20"/>
  <c r="S434" i="20"/>
  <c r="R1232" i="20"/>
  <c r="T452" i="20"/>
  <c r="R431" i="20"/>
  <c r="R475" i="20"/>
  <c r="T1209" i="20"/>
  <c r="R1212" i="20"/>
  <c r="S394" i="20"/>
  <c r="R1170" i="20"/>
  <c r="T381" i="20"/>
  <c r="S1213" i="20"/>
  <c r="R1180" i="20"/>
  <c r="S436" i="20"/>
  <c r="S1255" i="20"/>
  <c r="S465" i="20"/>
  <c r="R384" i="20"/>
  <c r="S1229" i="20"/>
  <c r="T1196" i="20"/>
  <c r="S1221" i="20"/>
  <c r="T477" i="20"/>
  <c r="R1191" i="20"/>
  <c r="T1231" i="20"/>
  <c r="S1205" i="20"/>
  <c r="T1197" i="20"/>
  <c r="T410" i="20"/>
  <c r="S1210" i="20"/>
  <c r="R1208" i="20"/>
  <c r="T448" i="20"/>
  <c r="R419" i="20"/>
  <c r="S1188" i="20"/>
  <c r="R1174" i="20"/>
  <c r="T455" i="20"/>
  <c r="S1207" i="20"/>
  <c r="R1231" i="20"/>
  <c r="S1240" i="20"/>
  <c r="T1237" i="20"/>
  <c r="S426" i="20"/>
  <c r="S408" i="20"/>
  <c r="S1186" i="20"/>
  <c r="S1204" i="20"/>
  <c r="T1200" i="20"/>
  <c r="S1239" i="20"/>
  <c r="S464" i="20"/>
  <c r="S389" i="20"/>
  <c r="S1243" i="20"/>
  <c r="T400" i="20"/>
  <c r="S413" i="20"/>
  <c r="T1268" i="20"/>
  <c r="S452" i="20"/>
  <c r="T384" i="20"/>
  <c r="T1192" i="20"/>
  <c r="R1192" i="20"/>
  <c r="T1185" i="20"/>
  <c r="S1245" i="20"/>
  <c r="T1256" i="20"/>
  <c r="T399" i="20"/>
  <c r="R440" i="20"/>
  <c r="R1193" i="20"/>
  <c r="S1195" i="20"/>
  <c r="R1219" i="20"/>
  <c r="R471" i="20"/>
  <c r="R1266" i="20"/>
  <c r="T1170" i="20"/>
  <c r="R1252" i="20"/>
  <c r="S384" i="20"/>
  <c r="R1187" i="20"/>
  <c r="R1245" i="20"/>
  <c r="R424" i="20"/>
  <c r="R380" i="20"/>
  <c r="T385" i="20"/>
  <c r="S1177" i="20"/>
  <c r="S1181" i="20"/>
  <c r="T443" i="20"/>
  <c r="R1271" i="20"/>
  <c r="R474" i="20"/>
  <c r="S1244" i="20"/>
  <c r="T432" i="20"/>
  <c r="S470" i="20"/>
  <c r="T1189" i="20"/>
  <c r="T1194" i="20"/>
  <c r="R387" i="20"/>
  <c r="R1227" i="20"/>
  <c r="S1234" i="20"/>
  <c r="S421" i="20"/>
  <c r="S407" i="20"/>
  <c r="S1196" i="20"/>
  <c r="S1241" i="20"/>
  <c r="S406" i="20"/>
  <c r="T476" i="20"/>
  <c r="S396" i="20"/>
  <c r="S411" i="20"/>
  <c r="T447" i="20"/>
  <c r="R1217" i="20"/>
  <c r="R1205" i="20"/>
  <c r="R379" i="20"/>
  <c r="S1212" i="20"/>
  <c r="S1219" i="20"/>
  <c r="R463" i="20"/>
  <c r="S1231" i="20"/>
  <c r="R429" i="20"/>
  <c r="T433" i="20"/>
  <c r="S1211" i="20"/>
  <c r="R1211" i="20"/>
  <c r="T1181" i="20"/>
  <c r="S445" i="20"/>
  <c r="S472" i="20"/>
  <c r="S1251" i="20"/>
  <c r="T430" i="20"/>
  <c r="T427" i="20"/>
  <c r="S443" i="20"/>
  <c r="T1201" i="20"/>
  <c r="R401" i="20"/>
  <c r="R469" i="20"/>
  <c r="T1263" i="20"/>
  <c r="T1250" i="20"/>
  <c r="T428" i="20"/>
  <c r="R416" i="20"/>
  <c r="R1177" i="20"/>
  <c r="R1228" i="20"/>
  <c r="S1185" i="20"/>
  <c r="S1265" i="20"/>
  <c r="S474" i="20"/>
  <c r="T441" i="20"/>
  <c r="T398" i="20"/>
  <c r="S1237" i="20"/>
  <c r="R1207" i="20"/>
  <c r="S1222" i="20"/>
  <c r="R1226" i="20"/>
  <c r="R1183" i="20"/>
  <c r="S397" i="20"/>
  <c r="T1249" i="20"/>
  <c r="T425" i="20"/>
  <c r="S378" i="20"/>
  <c r="S441" i="20"/>
  <c r="R1240" i="20"/>
  <c r="R1200" i="20"/>
  <c r="T1221" i="20"/>
  <c r="S1261" i="20"/>
  <c r="R1209" i="20"/>
  <c r="S1267" i="20"/>
  <c r="T1188" i="20"/>
  <c r="S424" i="20"/>
  <c r="R422" i="20"/>
  <c r="S418" i="20"/>
  <c r="S1171" i="20"/>
  <c r="T1271" i="20"/>
  <c r="S1178" i="20"/>
  <c r="S1220" i="20"/>
  <c r="T1236" i="20"/>
  <c r="T408" i="20"/>
  <c r="R406" i="20"/>
  <c r="R1202" i="20"/>
  <c r="R1261" i="20"/>
  <c r="T379" i="20"/>
  <c r="S1176" i="20"/>
  <c r="R1248" i="20"/>
  <c r="T456" i="20"/>
  <c r="T1246" i="20"/>
  <c r="T473" i="20"/>
  <c r="T417" i="20"/>
  <c r="R1251" i="20"/>
  <c r="R1220" i="20"/>
  <c r="S1256" i="20"/>
  <c r="T1228" i="20"/>
  <c r="S425" i="20"/>
  <c r="S391" i="20"/>
  <c r="S1228" i="20"/>
  <c r="T444" i="20"/>
  <c r="S477" i="20"/>
  <c r="R448" i="20"/>
  <c r="T458" i="20"/>
  <c r="R447" i="20"/>
  <c r="S1174" i="20"/>
  <c r="R1203" i="20"/>
  <c r="S1175" i="20"/>
  <c r="T421" i="20"/>
  <c r="T423" i="20"/>
  <c r="S461" i="20"/>
  <c r="S1223" i="20"/>
  <c r="R457" i="20"/>
  <c r="T1176" i="20"/>
  <c r="S377" i="20"/>
  <c r="S417" i="20"/>
  <c r="R1262" i="20"/>
  <c r="R455" i="20"/>
  <c r="S1215" i="20"/>
  <c r="T1262" i="20"/>
  <c r="R432" i="20"/>
  <c r="R417" i="20"/>
  <c r="T418" i="20"/>
  <c r="T434" i="20"/>
  <c r="S415" i="20"/>
  <c r="R1258" i="20"/>
  <c r="S420" i="20"/>
  <c r="S398" i="20"/>
  <c r="R1171" i="20"/>
  <c r="S428" i="20"/>
  <c r="S1259" i="20"/>
  <c r="R377" i="20"/>
  <c r="R420" i="20"/>
  <c r="T466" i="20"/>
  <c r="S423" i="20"/>
  <c r="R386" i="20"/>
  <c r="R430" i="20"/>
  <c r="T392" i="20"/>
  <c r="S412" i="20"/>
  <c r="T1216" i="20"/>
  <c r="S1257" i="20"/>
  <c r="R1222" i="20"/>
  <c r="S1248" i="20"/>
  <c r="R1218" i="20"/>
  <c r="R1269" i="20"/>
  <c r="S453" i="20"/>
  <c r="A1993" i="20" l="1"/>
  <c r="A1970" i="20"/>
  <c r="B1921" i="20"/>
  <c r="B1905" i="20"/>
  <c r="A1627" i="20"/>
  <c r="A1608" i="20"/>
  <c r="G1630" i="20"/>
  <c r="I1630" i="20" s="1"/>
  <c r="G1611" i="20"/>
  <c r="I1611" i="20" s="1"/>
  <c r="B1628" i="20"/>
  <c r="B1609" i="20"/>
  <c r="B1993" i="20"/>
  <c r="B1970" i="20"/>
  <c r="G1996" i="20"/>
  <c r="G1973" i="20"/>
  <c r="G821" i="20"/>
  <c r="I821" i="20" s="1"/>
  <c r="G27" i="20"/>
  <c r="I27" i="20" s="1"/>
  <c r="B821" i="20"/>
  <c r="B27" i="20"/>
  <c r="A822" i="20"/>
  <c r="A28" i="20"/>
  <c r="H821" i="20"/>
  <c r="H27" i="20"/>
  <c r="I1628" i="20"/>
  <c r="I1972" i="20"/>
  <c r="I1994" i="20"/>
  <c r="I819" i="20"/>
  <c r="I1221" i="20"/>
  <c r="I1203" i="20"/>
  <c r="I1586" i="20"/>
  <c r="I1564" i="20"/>
  <c r="G39" i="19"/>
  <c r="F40" i="19"/>
  <c r="I616" i="20"/>
  <c r="I39" i="19"/>
  <c r="H583" i="19"/>
  <c r="G528" i="19"/>
  <c r="G580" i="19"/>
  <c r="F75" i="19"/>
  <c r="F580" i="19"/>
  <c r="G76" i="19"/>
  <c r="B1922" i="20" l="1"/>
  <c r="B1906" i="20"/>
  <c r="B1629" i="20"/>
  <c r="B1610" i="20"/>
  <c r="B1994" i="20"/>
  <c r="B1971" i="20"/>
  <c r="A1994" i="20"/>
  <c r="A1971" i="20"/>
  <c r="A1628" i="20"/>
  <c r="A1609" i="20"/>
  <c r="G1997" i="20"/>
  <c r="G1974" i="20"/>
  <c r="A823" i="20"/>
  <c r="A29" i="20"/>
  <c r="B822" i="20"/>
  <c r="B28" i="20"/>
  <c r="H822" i="20"/>
  <c r="H28" i="20"/>
  <c r="G822" i="20"/>
  <c r="I822" i="20" s="1"/>
  <c r="G28" i="20"/>
  <c r="I28" i="20" s="1"/>
  <c r="I1973" i="20"/>
  <c r="I1995" i="20"/>
  <c r="I820" i="20"/>
  <c r="I1587" i="20"/>
  <c r="I1565" i="20"/>
  <c r="I617" i="20"/>
  <c r="F41" i="19"/>
  <c r="I40" i="19"/>
  <c r="G40" i="19"/>
  <c r="H584" i="19"/>
  <c r="G581" i="19"/>
  <c r="F581" i="19"/>
  <c r="F76" i="19"/>
  <c r="G77" i="19"/>
  <c r="Y1861" i="20" l="1"/>
  <c r="B1995" i="20"/>
  <c r="B1972" i="20"/>
  <c r="A1629" i="20"/>
  <c r="A1610" i="20"/>
  <c r="G1998" i="20"/>
  <c r="G1975" i="20"/>
  <c r="B1630" i="20"/>
  <c r="B1611" i="20"/>
  <c r="A1995" i="20"/>
  <c r="A1972" i="20"/>
  <c r="H823" i="20"/>
  <c r="H29" i="20"/>
  <c r="A824" i="20"/>
  <c r="A30" i="20"/>
  <c r="G823" i="20"/>
  <c r="G29" i="20"/>
  <c r="I29" i="20" s="1"/>
  <c r="B823" i="20"/>
  <c r="B29" i="20"/>
  <c r="I1974" i="20"/>
  <c r="I1996" i="20"/>
  <c r="I1381" i="20"/>
  <c r="I1588" i="20"/>
  <c r="I1566" i="20"/>
  <c r="I41" i="19"/>
  <c r="F42" i="19"/>
  <c r="G41" i="19"/>
  <c r="I618" i="20"/>
  <c r="H585" i="19"/>
  <c r="F77" i="19"/>
  <c r="G582" i="19"/>
  <c r="F582" i="19"/>
  <c r="R1930" i="20"/>
  <c r="R1800" i="20"/>
  <c r="T852" i="20"/>
  <c r="S1689" i="20"/>
  <c r="S1816" i="20"/>
  <c r="T1871" i="20"/>
  <c r="T936" i="20"/>
  <c r="T1671" i="20"/>
  <c r="T1914" i="20"/>
  <c r="T1102" i="20"/>
  <c r="S1626" i="20"/>
  <c r="T122" i="20"/>
  <c r="R1873" i="20"/>
  <c r="S1839" i="20"/>
  <c r="S1727" i="20"/>
  <c r="R891" i="20"/>
  <c r="T1765" i="20"/>
  <c r="S257" i="20"/>
  <c r="R1949" i="20"/>
  <c r="R966" i="20"/>
  <c r="R1835" i="20"/>
  <c r="T1829" i="20"/>
  <c r="R1666" i="20"/>
  <c r="T242" i="20"/>
  <c r="R1922" i="20"/>
  <c r="R1047" i="20"/>
  <c r="R946" i="20"/>
  <c r="T876" i="20"/>
  <c r="S1892" i="20"/>
  <c r="S1797" i="20"/>
  <c r="T1594" i="20"/>
  <c r="S1629" i="20"/>
  <c r="S851" i="20"/>
  <c r="R1890" i="20"/>
  <c r="T961" i="20"/>
  <c r="S1692" i="20"/>
  <c r="R1885" i="20"/>
  <c r="S1783" i="20"/>
  <c r="T1614" i="20"/>
  <c r="R292" i="20"/>
  <c r="S1017" i="20"/>
  <c r="T1772" i="20"/>
  <c r="R1851" i="20"/>
  <c r="S1703" i="20"/>
  <c r="S1763" i="20"/>
  <c r="T1753" i="20"/>
  <c r="R193" i="20"/>
  <c r="R1690" i="20"/>
  <c r="T1077" i="20"/>
  <c r="R1056" i="20"/>
  <c r="S1643" i="20"/>
  <c r="T922" i="20"/>
  <c r="T353" i="20"/>
  <c r="T1127" i="20"/>
  <c r="S911" i="20"/>
  <c r="S1616" i="20"/>
  <c r="S1796" i="20"/>
  <c r="S1719" i="20"/>
  <c r="S946" i="20"/>
  <c r="T1704" i="20"/>
  <c r="T1632" i="20"/>
  <c r="S1122" i="20"/>
  <c r="R48" i="20"/>
  <c r="T1628" i="20"/>
  <c r="R1912" i="20"/>
  <c r="R1799" i="20"/>
  <c r="R1732" i="20"/>
  <c r="T1686" i="20"/>
  <c r="R1016" i="20"/>
  <c r="T1844" i="20"/>
  <c r="T1747" i="20"/>
  <c r="T1705" i="20"/>
  <c r="S1848" i="20"/>
  <c r="S1830" i="20"/>
  <c r="T1612" i="20"/>
  <c r="S1742" i="20"/>
  <c r="S1076" i="20"/>
  <c r="S1664" i="20"/>
  <c r="S192" i="20"/>
  <c r="T841" i="20"/>
  <c r="S1947" i="20"/>
  <c r="T1918" i="20"/>
  <c r="R73" i="20"/>
  <c r="T1623" i="20"/>
  <c r="S1819" i="20"/>
  <c r="R1796" i="20"/>
  <c r="S1700" i="20"/>
  <c r="T1611" i="20"/>
  <c r="R1870" i="20"/>
  <c r="R1783" i="20"/>
  <c r="R862" i="20"/>
  <c r="P520" i="20"/>
  <c r="T1843" i="20"/>
  <c r="T1007" i="20"/>
  <c r="R1643" i="20"/>
  <c r="N1521" i="20"/>
  <c r="S1789" i="20"/>
  <c r="T312" i="20"/>
  <c r="S1841" i="20"/>
  <c r="R1639" i="20"/>
  <c r="R1864" i="20"/>
  <c r="T992" i="20"/>
  <c r="T98" i="20"/>
  <c r="S1622" i="20"/>
  <c r="S1836" i="20"/>
  <c r="T1940" i="20"/>
  <c r="S856" i="20"/>
  <c r="R1642" i="20"/>
  <c r="R1919" i="20"/>
  <c r="R1920" i="20"/>
  <c r="R887" i="20"/>
  <c r="O329" i="20"/>
  <c r="R1026" i="20"/>
  <c r="S1800" i="20"/>
  <c r="R138" i="20"/>
  <c r="M515" i="20"/>
  <c r="R307" i="20"/>
  <c r="T942" i="20"/>
  <c r="S1902" i="20"/>
  <c r="Q985" i="20"/>
  <c r="S1156" i="20"/>
  <c r="R1007" i="20"/>
  <c r="T897" i="20"/>
  <c r="Q550" i="20"/>
  <c r="R372" i="20"/>
  <c r="R297" i="20"/>
  <c r="S1723" i="20"/>
  <c r="M260" i="20"/>
  <c r="R272" i="20"/>
  <c r="T1952" i="20"/>
  <c r="S1669" i="20"/>
  <c r="N1419" i="20"/>
  <c r="S1904" i="20"/>
  <c r="S1827" i="20"/>
  <c r="S1743" i="20"/>
  <c r="T243" i="20"/>
  <c r="T1131" i="20"/>
  <c r="R122" i="20"/>
  <c r="T1638" i="20"/>
  <c r="T1872" i="20"/>
  <c r="S1775" i="20"/>
  <c r="R1927" i="20"/>
  <c r="T143" i="20"/>
  <c r="R1769" i="20"/>
  <c r="R1166" i="20"/>
  <c r="R92" i="20"/>
  <c r="R1655" i="20"/>
  <c r="T297" i="20"/>
  <c r="S1928" i="20"/>
  <c r="R881" i="20"/>
  <c r="S1623" i="20"/>
  <c r="S1833" i="20"/>
  <c r="R1814" i="20"/>
  <c r="T137" i="20"/>
  <c r="N129" i="20"/>
  <c r="S921" i="20"/>
  <c r="S1873" i="20"/>
  <c r="S1126" i="20"/>
  <c r="Q1034" i="20"/>
  <c r="S208" i="20"/>
  <c r="T208" i="20"/>
  <c r="T1626" i="20"/>
  <c r="M513" i="20"/>
  <c r="T1156" i="20"/>
  <c r="T1839" i="20"/>
  <c r="R1693" i="20"/>
  <c r="N200" i="20"/>
  <c r="R1061" i="20"/>
  <c r="S1896" i="20"/>
  <c r="S1667" i="20"/>
  <c r="M374" i="20"/>
  <c r="S182" i="20"/>
  <c r="S891" i="20"/>
  <c r="T1730" i="20"/>
  <c r="O965" i="20"/>
  <c r="S1913" i="20"/>
  <c r="T262" i="20"/>
  <c r="R1716" i="20"/>
  <c r="P1451" i="20"/>
  <c r="T1800" i="20"/>
  <c r="S247" i="20"/>
  <c r="R866" i="20"/>
  <c r="O316" i="20"/>
  <c r="R323" i="20"/>
  <c r="R1859" i="20"/>
  <c r="R1700" i="20"/>
  <c r="Q1010" i="20"/>
  <c r="S1002" i="20"/>
  <c r="T1166" i="20"/>
  <c r="R1593" i="20"/>
  <c r="O1040" i="20"/>
  <c r="T1838" i="20"/>
  <c r="R1827" i="20"/>
  <c r="R1921" i="20"/>
  <c r="R1740" i="20"/>
  <c r="R986" i="20"/>
  <c r="T1920" i="20"/>
  <c r="S233" i="20"/>
  <c r="T1599" i="20"/>
  <c r="S1682" i="20"/>
  <c r="S1046" i="20"/>
  <c r="T1011" i="20"/>
  <c r="T1711" i="20"/>
  <c r="S896" i="20"/>
  <c r="R1787" i="20"/>
  <c r="T372" i="20"/>
  <c r="R1721" i="20"/>
  <c r="S1696" i="20"/>
  <c r="S1840" i="20"/>
  <c r="S1834" i="20"/>
  <c r="R1654" i="20"/>
  <c r="T947" i="20"/>
  <c r="R1932" i="20"/>
  <c r="S1887" i="20"/>
  <c r="R158" i="20"/>
  <c r="T886" i="20"/>
  <c r="R1802" i="20"/>
  <c r="S328" i="20"/>
  <c r="R1743" i="20"/>
  <c r="S1618" i="20"/>
  <c r="R1027" i="20"/>
  <c r="R137" i="20"/>
  <c r="T1619" i="20"/>
  <c r="T1610" i="20"/>
  <c r="S267" i="20"/>
  <c r="S1619" i="20"/>
  <c r="T1738" i="20"/>
  <c r="R852" i="20"/>
  <c r="O319" i="20"/>
  <c r="M221" i="20"/>
  <c r="Q522" i="20"/>
  <c r="O979" i="20"/>
  <c r="M1567" i="20"/>
  <c r="P568" i="20"/>
  <c r="M1488" i="20"/>
  <c r="O1098" i="20"/>
  <c r="Q974" i="20"/>
  <c r="R172" i="20"/>
  <c r="R1603" i="20"/>
  <c r="S1674" i="20"/>
  <c r="S1760" i="20"/>
  <c r="T842" i="20"/>
  <c r="R332" i="20"/>
  <c r="T1721" i="20"/>
  <c r="R901" i="20"/>
  <c r="T1117" i="20"/>
  <c r="S1859" i="20"/>
  <c r="R1694" i="20"/>
  <c r="S892" i="20"/>
  <c r="R1101" i="20"/>
  <c r="S1844" i="20"/>
  <c r="R1672" i="20"/>
  <c r="T972" i="20"/>
  <c r="S1954" i="20"/>
  <c r="T357" i="20"/>
  <c r="S1638" i="20"/>
  <c r="S847" i="20"/>
  <c r="S1823" i="20"/>
  <c r="R1797" i="20"/>
  <c r="T67" i="20"/>
  <c r="T1111" i="20"/>
  <c r="S1910" i="20"/>
  <c r="T228" i="20"/>
  <c r="S77" i="20"/>
  <c r="R1698" i="20"/>
  <c r="T1725" i="20"/>
  <c r="S327" i="20"/>
  <c r="S137" i="20"/>
  <c r="T1700" i="20"/>
  <c r="S1794" i="20"/>
  <c r="S1862" i="20"/>
  <c r="T891" i="20"/>
  <c r="T1693" i="20"/>
  <c r="S1116" i="20"/>
  <c r="S202" i="20"/>
  <c r="T112" i="20"/>
  <c r="S143" i="20"/>
  <c r="T1768" i="20"/>
  <c r="R1925" i="20"/>
  <c r="T1722" i="20"/>
  <c r="R1724" i="20"/>
  <c r="R1947" i="20"/>
  <c r="S1751" i="20"/>
  <c r="S1687" i="20"/>
  <c r="T68" i="20"/>
  <c r="T1672" i="20"/>
  <c r="T263" i="20"/>
  <c r="R173" i="20"/>
  <c r="T1620" i="20"/>
  <c r="S1941" i="20"/>
  <c r="R348" i="20"/>
  <c r="T47" i="20"/>
  <c r="R1646" i="20"/>
  <c r="T1793" i="20"/>
  <c r="T1874" i="20"/>
  <c r="T1707" i="20"/>
  <c r="R1777" i="20"/>
  <c r="S197" i="20"/>
  <c r="S1860" i="20"/>
  <c r="S358" i="20"/>
  <c r="P537" i="20"/>
  <c r="T1879" i="20"/>
  <c r="T1771" i="20"/>
  <c r="T123" i="20"/>
  <c r="R1617" i="20"/>
  <c r="T1778" i="20"/>
  <c r="R1092" i="20"/>
  <c r="R1753" i="20"/>
  <c r="T1639" i="20"/>
  <c r="S1951" i="20"/>
  <c r="S278" i="20"/>
  <c r="R1729" i="20"/>
  <c r="S1635" i="20"/>
  <c r="T1827" i="20"/>
  <c r="R263" i="20"/>
  <c r="S1714" i="20"/>
  <c r="R1677" i="20"/>
  <c r="T337" i="20"/>
  <c r="S1142" i="20"/>
  <c r="R87" i="20"/>
  <c r="P661" i="20"/>
  <c r="T1006" i="20"/>
  <c r="R1021" i="20"/>
  <c r="T1699" i="20"/>
  <c r="Q1480" i="20"/>
  <c r="S117" i="20"/>
  <c r="S1804" i="20"/>
  <c r="R1786" i="20"/>
  <c r="O516" i="20"/>
  <c r="R293" i="20"/>
  <c r="R1760" i="20"/>
  <c r="R1659" i="20"/>
  <c r="N980" i="20"/>
  <c r="S1152" i="20"/>
  <c r="R1086" i="20"/>
  <c r="T1756" i="20"/>
  <c r="M587" i="20"/>
  <c r="S258" i="20"/>
  <c r="R1945" i="20"/>
  <c r="T77" i="20"/>
  <c r="P156" i="20"/>
  <c r="S1037" i="20"/>
  <c r="T188" i="20"/>
  <c r="R1614" i="20"/>
  <c r="P1383" i="20"/>
  <c r="S1722" i="20"/>
  <c r="T1902" i="20"/>
  <c r="R1594" i="20"/>
  <c r="P1389" i="20"/>
  <c r="T1789" i="20"/>
  <c r="R1788" i="20"/>
  <c r="T1669" i="20"/>
  <c r="Q56" i="20"/>
  <c r="S1857" i="20"/>
  <c r="R303" i="20"/>
  <c r="S92" i="20"/>
  <c r="P1537" i="20"/>
  <c r="S193" i="20"/>
  <c r="S1930" i="20"/>
  <c r="T1895" i="20"/>
  <c r="Q1277" i="20"/>
  <c r="R1933" i="20"/>
  <c r="T1820" i="20"/>
  <c r="T896" i="20"/>
  <c r="O985" i="20"/>
  <c r="S277" i="20"/>
  <c r="R1944" i="20"/>
  <c r="S1914" i="20"/>
  <c r="Q1080" i="20"/>
  <c r="S1911" i="20"/>
  <c r="S1820" i="20"/>
  <c r="T97" i="20"/>
  <c r="T227" i="20"/>
  <c r="T1096" i="20"/>
  <c r="S67" i="20"/>
  <c r="S1747" i="20"/>
  <c r="R1855" i="20"/>
  <c r="S1895" i="20"/>
  <c r="S1710" i="20"/>
  <c r="S93" i="20"/>
  <c r="T193" i="20"/>
  <c r="T1942" i="20"/>
  <c r="T1600" i="20"/>
  <c r="M980" i="20"/>
  <c r="T1890" i="20"/>
  <c r="T1912" i="20"/>
  <c r="T931" i="20"/>
  <c r="M532" i="20"/>
  <c r="T223" i="20"/>
  <c r="S1032" i="20"/>
  <c r="S1711" i="20"/>
  <c r="Q1379" i="20"/>
  <c r="S1856" i="20"/>
  <c r="T1849" i="20"/>
  <c r="R1697" i="20"/>
  <c r="Q1423" i="20"/>
  <c r="R362" i="20"/>
  <c r="T1944" i="20"/>
  <c r="R243" i="20"/>
  <c r="P1316" i="20"/>
  <c r="T1152" i="20"/>
  <c r="T1815" i="20"/>
  <c r="T1664" i="20"/>
  <c r="P964" i="20"/>
  <c r="T1823" i="20"/>
  <c r="S357" i="20"/>
  <c r="S1634" i="20"/>
  <c r="P1365" i="20"/>
  <c r="T1908" i="20"/>
  <c r="S1811" i="20"/>
  <c r="S1683" i="20"/>
  <c r="P264" i="20"/>
  <c r="R1887" i="20"/>
  <c r="R237" i="20"/>
  <c r="R1640" i="20"/>
  <c r="M196" i="20"/>
  <c r="S1022" i="20"/>
  <c r="R217" i="20"/>
  <c r="S842" i="20"/>
  <c r="M84" i="20"/>
  <c r="T1763" i="20"/>
  <c r="R123" i="20"/>
  <c r="R1751" i="20"/>
  <c r="P1495" i="20"/>
  <c r="S1846" i="20"/>
  <c r="T1745" i="20"/>
  <c r="S1612" i="20"/>
  <c r="T1107" i="20"/>
  <c r="R1067" i="20"/>
  <c r="T257" i="20"/>
  <c r="T946" i="20"/>
  <c r="R991" i="20"/>
  <c r="S1705" i="20"/>
  <c r="R1727" i="20"/>
  <c r="S1613" i="20"/>
  <c r="S1658" i="20"/>
  <c r="T1863" i="20"/>
  <c r="R1630" i="20"/>
  <c r="R1774" i="20"/>
  <c r="R1601" i="20"/>
  <c r="S1754" i="20"/>
  <c r="R1767" i="20"/>
  <c r="S198" i="20"/>
  <c r="T997" i="20"/>
  <c r="T1713" i="20"/>
  <c r="R1825" i="20"/>
  <c r="S867" i="20"/>
  <c r="R972" i="20"/>
  <c r="R63" i="20"/>
  <c r="S1943" i="20"/>
  <c r="T1916" i="20"/>
  <c r="S1636" i="20"/>
  <c r="R1606" i="20"/>
  <c r="R1807" i="20"/>
  <c r="R1875" i="20"/>
  <c r="R112" i="20"/>
  <c r="S1611" i="20"/>
  <c r="T212" i="20"/>
  <c r="T1865" i="20"/>
  <c r="T1749" i="20"/>
  <c r="O502" i="20"/>
  <c r="R1722" i="20"/>
  <c r="S1646" i="20"/>
  <c r="T163" i="20"/>
  <c r="R1132" i="20"/>
  <c r="M494" i="20"/>
  <c r="O717" i="20"/>
  <c r="Q546" i="20"/>
  <c r="N105" i="20"/>
  <c r="O351" i="20"/>
  <c r="Q351" i="20"/>
  <c r="O1507" i="20"/>
  <c r="N616" i="20"/>
  <c r="O1373" i="20"/>
  <c r="M1556" i="20"/>
  <c r="N909" i="20"/>
  <c r="N1105" i="20"/>
  <c r="M1075" i="20"/>
  <c r="N299" i="20"/>
  <c r="O49" i="20"/>
  <c r="O1491" i="20"/>
  <c r="P1468" i="20"/>
  <c r="O105" i="20"/>
  <c r="M693" i="20"/>
  <c r="N286" i="20"/>
  <c r="O306" i="20"/>
  <c r="M236" i="20"/>
  <c r="O1412" i="20"/>
  <c r="N1013" i="20"/>
  <c r="N958" i="20"/>
  <c r="O364" i="20"/>
  <c r="O546" i="20"/>
  <c r="R1137" i="20"/>
  <c r="R1785" i="20"/>
  <c r="R1900" i="20"/>
  <c r="S906" i="20"/>
  <c r="S1778" i="20"/>
  <c r="R1096" i="20"/>
  <c r="S1695" i="20"/>
  <c r="R1779" i="20"/>
  <c r="R1102" i="20"/>
  <c r="R278" i="20"/>
  <c r="T877" i="20"/>
  <c r="S1603" i="20"/>
  <c r="T1081" i="20"/>
  <c r="S1056" i="20"/>
  <c r="S1157" i="20"/>
  <c r="T1656" i="20"/>
  <c r="R212" i="20"/>
  <c r="T1151" i="20"/>
  <c r="T73" i="20"/>
  <c r="T1645" i="20"/>
  <c r="S268" i="20"/>
  <c r="R1803" i="20"/>
  <c r="T138" i="20"/>
  <c r="S1637" i="20"/>
  <c r="T343" i="20"/>
  <c r="T1781" i="20"/>
  <c r="T118" i="20"/>
  <c r="S1610" i="20"/>
  <c r="T1856" i="20"/>
  <c r="T217" i="20"/>
  <c r="S1665" i="20"/>
  <c r="T1761" i="20"/>
  <c r="S1597" i="20"/>
  <c r="S317" i="20"/>
  <c r="S1936" i="20"/>
  <c r="S1628" i="20"/>
  <c r="R1117" i="20"/>
  <c r="S203" i="20"/>
  <c r="R1684" i="20"/>
  <c r="S1617" i="20"/>
  <c r="R1002" i="20"/>
  <c r="S1932" i="20"/>
  <c r="R1656" i="20"/>
  <c r="R1622" i="20"/>
  <c r="S1934" i="20"/>
  <c r="S1926" i="20"/>
  <c r="T1629" i="20"/>
  <c r="R1631" i="20"/>
  <c r="S1803" i="20"/>
  <c r="T1042" i="20"/>
  <c r="S1738" i="20"/>
  <c r="P1431" i="20"/>
  <c r="R312" i="20"/>
  <c r="R327" i="20"/>
  <c r="S841" i="20"/>
  <c r="Q1160" i="20"/>
  <c r="T1755" i="20"/>
  <c r="S1704" i="20"/>
  <c r="R896" i="20"/>
  <c r="M284" i="20"/>
  <c r="S283" i="20"/>
  <c r="T302" i="20"/>
  <c r="T977" i="20"/>
  <c r="M1460" i="20"/>
  <c r="S1136" i="20"/>
  <c r="R1772" i="20"/>
  <c r="R1602" i="20"/>
  <c r="P553" i="20"/>
  <c r="R1901" i="20"/>
  <c r="R1834" i="20"/>
  <c r="S1744" i="20"/>
  <c r="O506" i="20"/>
  <c r="S1889" i="20"/>
  <c r="T1816" i="20"/>
  <c r="T1729" i="20"/>
  <c r="M1373" i="20"/>
  <c r="S1026" i="20"/>
  <c r="T1652" i="20"/>
  <c r="S1709" i="20"/>
  <c r="P231" i="20"/>
  <c r="S337" i="20"/>
  <c r="R1136" i="20"/>
  <c r="S1753" i="20"/>
  <c r="Q1549" i="20"/>
  <c r="R1770" i="20"/>
  <c r="S217" i="20"/>
  <c r="S901" i="20"/>
  <c r="P1584" i="20"/>
  <c r="R1846" i="20"/>
  <c r="S1835" i="20"/>
  <c r="S1685" i="20"/>
  <c r="Q286" i="20"/>
  <c r="S1831" i="20"/>
  <c r="T1929" i="20"/>
  <c r="T1807" i="20"/>
  <c r="M1543" i="20"/>
  <c r="T1926" i="20"/>
  <c r="S1838" i="20"/>
  <c r="S1712" i="20"/>
  <c r="P224" i="20"/>
  <c r="R1820" i="20"/>
  <c r="S1933" i="20"/>
  <c r="R252" i="20"/>
  <c r="O1347" i="20"/>
  <c r="S1042" i="20"/>
  <c r="S1878" i="20"/>
  <c r="R982" i="20"/>
  <c r="Q557" i="20"/>
  <c r="S1881" i="20"/>
  <c r="S1867" i="20"/>
  <c r="T152" i="20"/>
  <c r="Q331" i="20"/>
  <c r="T1012" i="20"/>
  <c r="R1763" i="20"/>
  <c r="S1918" i="20"/>
  <c r="M1358" i="20"/>
  <c r="S1161" i="20"/>
  <c r="R1680" i="20"/>
  <c r="T177" i="20"/>
  <c r="P1134" i="20"/>
  <c r="T1950" i="20"/>
  <c r="T966" i="20"/>
  <c r="R1828" i="20"/>
  <c r="S1847" i="20"/>
  <c r="S1916" i="20"/>
  <c r="S1624" i="20"/>
  <c r="T1684" i="20"/>
  <c r="P1514" i="20"/>
  <c r="R1051" i="20"/>
  <c r="T1921" i="20"/>
  <c r="S1739" i="20"/>
  <c r="N889" i="20"/>
  <c r="T1889" i="20"/>
  <c r="R1031" i="20"/>
  <c r="S1630" i="20"/>
  <c r="S1782" i="20"/>
  <c r="R1853" i="20"/>
  <c r="T1751" i="20"/>
  <c r="S1641" i="20"/>
  <c r="R1850" i="20"/>
  <c r="T192" i="20"/>
  <c r="S1652" i="20"/>
  <c r="T1642" i="20"/>
  <c r="R1823" i="20"/>
  <c r="S1915" i="20"/>
  <c r="S1625" i="20"/>
  <c r="P230" i="20"/>
  <c r="R1917" i="20"/>
  <c r="T1913" i="20"/>
  <c r="R277" i="20"/>
  <c r="Q556" i="20"/>
  <c r="R1784" i="20"/>
  <c r="R1782" i="20"/>
  <c r="T1607" i="20"/>
  <c r="O510" i="20"/>
  <c r="R268" i="20"/>
  <c r="S897" i="20"/>
  <c r="T162" i="20"/>
  <c r="M1532" i="20"/>
  <c r="S1946" i="20"/>
  <c r="R157" i="20"/>
  <c r="R1749" i="20"/>
  <c r="T1087" i="20"/>
  <c r="T1909" i="20"/>
  <c r="T1609" i="20"/>
  <c r="T882" i="20"/>
  <c r="O968" i="20"/>
  <c r="T1811" i="20"/>
  <c r="T173" i="20"/>
  <c r="R1713" i="20"/>
  <c r="O1280" i="20"/>
  <c r="S961" i="20"/>
  <c r="R1597" i="20"/>
  <c r="R1695" i="20"/>
  <c r="P673" i="20"/>
  <c r="S1875" i="20"/>
  <c r="R1792" i="20"/>
  <c r="T103" i="20"/>
  <c r="S1147" i="20"/>
  <c r="T1775" i="20"/>
  <c r="R1001" i="20"/>
  <c r="S58" i="20"/>
  <c r="R1131" i="20"/>
  <c r="R1754" i="20"/>
  <c r="T1615" i="20"/>
  <c r="T1666" i="20"/>
  <c r="T1862" i="20"/>
  <c r="T277" i="20"/>
  <c r="R1671" i="20"/>
  <c r="S922" i="20"/>
  <c r="S368" i="20"/>
  <c r="T1047" i="20"/>
  <c r="S1792" i="20"/>
  <c r="S1877" i="20"/>
  <c r="R1699" i="20"/>
  <c r="T1597" i="20"/>
  <c r="T323" i="20"/>
  <c r="S1776" i="20"/>
  <c r="S927" i="20"/>
  <c r="R1702" i="20"/>
  <c r="R1006" i="20"/>
  <c r="T1157" i="20"/>
  <c r="S1651" i="20"/>
  <c r="R1667" i="20"/>
  <c r="R1162" i="20"/>
  <c r="T1904" i="20"/>
  <c r="R142" i="20"/>
  <c r="T1622" i="20"/>
  <c r="S1052" i="20"/>
  <c r="S1814" i="20"/>
  <c r="T1667" i="20"/>
  <c r="T1777" i="20"/>
  <c r="T1866" i="20"/>
  <c r="R1126" i="20"/>
  <c r="S293" i="20"/>
  <c r="M1103" i="20"/>
  <c r="T1758" i="20"/>
  <c r="S313" i="20"/>
  <c r="S113" i="20"/>
  <c r="M355" i="20"/>
  <c r="S1092" i="20"/>
  <c r="S917" i="20"/>
  <c r="S187" i="20"/>
  <c r="Q1539" i="20"/>
  <c r="R882" i="20"/>
  <c r="R1801" i="20"/>
  <c r="T1712" i="20"/>
  <c r="R967" i="20"/>
  <c r="P692" i="20"/>
  <c r="N787" i="20"/>
  <c r="P1154" i="20"/>
  <c r="N635" i="20"/>
  <c r="M1311" i="20"/>
  <c r="O80" i="20"/>
  <c r="M320" i="20"/>
  <c r="O521" i="20"/>
  <c r="P910" i="20"/>
  <c r="Q1421" i="20"/>
  <c r="Q572" i="20"/>
  <c r="N618" i="20"/>
  <c r="P945" i="20"/>
  <c r="P1311" i="20"/>
  <c r="P146" i="20"/>
  <c r="Q535" i="20"/>
  <c r="O1165" i="20"/>
  <c r="O116" i="20"/>
  <c r="P1129" i="20"/>
  <c r="Q1339" i="20"/>
  <c r="M309" i="20"/>
  <c r="O1010" i="20"/>
  <c r="O643" i="20"/>
  <c r="N1469" i="20"/>
  <c r="P1355" i="20"/>
  <c r="P1404" i="20"/>
  <c r="P532" i="20"/>
  <c r="T937" i="20"/>
  <c r="S1912" i="20"/>
  <c r="S1698" i="20"/>
  <c r="T1655" i="20"/>
  <c r="S1609" i="20"/>
  <c r="S1852" i="20"/>
  <c r="T1142" i="20"/>
  <c r="R1627" i="20"/>
  <c r="S1102" i="20"/>
  <c r="R1837" i="20"/>
  <c r="T1742" i="20"/>
  <c r="S1639" i="20"/>
  <c r="T1086" i="20"/>
  <c r="S1822" i="20"/>
  <c r="R1719" i="20"/>
  <c r="R1635" i="20"/>
  <c r="T1147" i="20"/>
  <c r="S1920" i="20"/>
  <c r="T1649" i="20"/>
  <c r="M1115" i="20"/>
  <c r="S1773" i="20"/>
  <c r="T1786" i="20"/>
  <c r="S1699" i="20"/>
  <c r="Q1491" i="20"/>
  <c r="S1087" i="20"/>
  <c r="S1769" i="20"/>
  <c r="R1806" i="20"/>
  <c r="P375" i="20"/>
  <c r="S877" i="20"/>
  <c r="R342" i="20"/>
  <c r="S1663" i="20"/>
  <c r="O1526" i="20"/>
  <c r="S1949" i="20"/>
  <c r="R1848" i="20"/>
  <c r="R1744" i="20"/>
  <c r="Q1309" i="20"/>
  <c r="T267" i="20"/>
  <c r="T1934" i="20"/>
  <c r="R1626" i="20"/>
  <c r="N928" i="20"/>
  <c r="T248" i="20"/>
  <c r="S353" i="20"/>
  <c r="S857" i="20"/>
  <c r="O1562" i="20"/>
  <c r="T1877" i="20"/>
  <c r="T967" i="20"/>
  <c r="R1615" i="20"/>
  <c r="N1577" i="20"/>
  <c r="S1604" i="20"/>
  <c r="T1794" i="20"/>
  <c r="S1690" i="20"/>
  <c r="P525" i="20"/>
  <c r="R1111" i="20"/>
  <c r="R1865" i="20"/>
  <c r="T1717" i="20"/>
  <c r="Q1330" i="20"/>
  <c r="T991" i="20"/>
  <c r="T1161" i="20"/>
  <c r="T1658" i="20"/>
  <c r="N1569" i="20"/>
  <c r="R1935" i="20"/>
  <c r="R1066" i="20"/>
  <c r="S886" i="20"/>
  <c r="O1329" i="20"/>
  <c r="T278" i="20"/>
  <c r="S1758" i="20"/>
  <c r="R68" i="20"/>
  <c r="Q1159" i="20"/>
  <c r="S1151" i="20"/>
  <c r="S1824" i="20"/>
  <c r="T1697" i="20"/>
  <c r="P1118" i="20"/>
  <c r="R1893" i="20"/>
  <c r="T1812" i="20"/>
  <c r="T1663" i="20"/>
  <c r="Q666" i="20"/>
  <c r="T1787" i="20"/>
  <c r="R1781" i="20"/>
  <c r="S1681" i="20"/>
  <c r="M788" i="20"/>
  <c r="T1112" i="20"/>
  <c r="S303" i="20"/>
  <c r="T1709" i="20"/>
  <c r="O1572" i="20"/>
  <c r="T292" i="20"/>
  <c r="T1883" i="20"/>
  <c r="R1747" i="20"/>
  <c r="O1447" i="20"/>
  <c r="S872" i="20"/>
  <c r="S87" i="20"/>
  <c r="R942" i="20"/>
  <c r="P50" i="20"/>
  <c r="S1061" i="20"/>
  <c r="T951" i="20"/>
  <c r="R1877" i="20"/>
  <c r="P1490" i="20"/>
  <c r="S1898" i="20"/>
  <c r="S1807" i="20"/>
  <c r="R1665" i="20"/>
  <c r="P1332" i="20"/>
  <c r="T1802" i="20"/>
  <c r="R1883" i="20"/>
  <c r="R956" i="20"/>
  <c r="N1448" i="20"/>
  <c r="R228" i="20"/>
  <c r="S941" i="20"/>
  <c r="S1691" i="20"/>
  <c r="M708" i="20"/>
  <c r="R1711" i="20"/>
  <c r="S1693" i="20"/>
  <c r="S1749" i="20"/>
  <c r="O251" i="20"/>
  <c r="R302" i="20"/>
  <c r="R1746" i="20"/>
  <c r="R1605" i="20"/>
  <c r="R1775" i="20"/>
  <c r="S363" i="20"/>
  <c r="R1871" i="20"/>
  <c r="R1649" i="20"/>
  <c r="S1849" i="20"/>
  <c r="T1938" i="20"/>
  <c r="S1656" i="20"/>
  <c r="R148" i="20"/>
  <c r="T1837" i="20"/>
  <c r="R1898" i="20"/>
  <c r="T1708" i="20"/>
  <c r="R308" i="20"/>
  <c r="S1948" i="20"/>
  <c r="S252" i="20"/>
  <c r="T916" i="20"/>
  <c r="R1762" i="20"/>
  <c r="R1824" i="20"/>
  <c r="S1879" i="20"/>
  <c r="S1832" i="20"/>
  <c r="T1601" i="20"/>
  <c r="R1939" i="20"/>
  <c r="S287" i="20"/>
  <c r="T986" i="20"/>
  <c r="O1407" i="20"/>
  <c r="R253" i="20"/>
  <c r="S1801" i="20"/>
  <c r="S1649" i="20"/>
  <c r="M1425" i="20"/>
  <c r="R861" i="20"/>
  <c r="R343" i="20"/>
  <c r="R1731" i="20"/>
  <c r="O199" i="20"/>
  <c r="T1126" i="20"/>
  <c r="R317" i="20"/>
  <c r="R1720" i="20"/>
  <c r="P1084" i="20"/>
  <c r="T1002" i="20"/>
  <c r="R1759" i="20"/>
  <c r="S1774" i="20"/>
  <c r="S1007" i="20"/>
  <c r="T1931" i="20"/>
  <c r="T996" i="20"/>
  <c r="S1594" i="20"/>
  <c r="R1091" i="20"/>
  <c r="T1905" i="20"/>
  <c r="S1713" i="20"/>
  <c r="R197" i="20"/>
  <c r="S1828" i="20"/>
  <c r="T1878" i="20"/>
  <c r="S1731" i="20"/>
  <c r="R1718" i="20"/>
  <c r="S1937" i="20"/>
  <c r="R247" i="20"/>
  <c r="S1688" i="20"/>
  <c r="R1701" i="20"/>
  <c r="T1819" i="20"/>
  <c r="S1131" i="20"/>
  <c r="S1728" i="20"/>
  <c r="R328" i="20"/>
  <c r="S1909" i="20"/>
  <c r="T317" i="20"/>
  <c r="S122" i="20"/>
  <c r="R961" i="20"/>
  <c r="S342" i="20"/>
  <c r="R1845" i="20"/>
  <c r="T982" i="20"/>
  <c r="S88" i="20"/>
  <c r="R1771" i="20"/>
  <c r="S272" i="20"/>
  <c r="R1629" i="20"/>
  <c r="T981" i="20"/>
  <c r="R902" i="20"/>
  <c r="R1072" i="20"/>
  <c r="S866" i="20"/>
  <c r="T57" i="20"/>
  <c r="T1936" i="20"/>
  <c r="R258" i="20"/>
  <c r="S222" i="20"/>
  <c r="R917" i="20"/>
  <c r="S1602" i="20"/>
  <c r="S1725" i="20"/>
  <c r="R1708" i="20"/>
  <c r="T247" i="20"/>
  <c r="T113" i="20"/>
  <c r="S1655" i="20"/>
  <c r="T172" i="20"/>
  <c r="S367" i="20"/>
  <c r="R1678" i="20"/>
  <c r="R1623" i="20"/>
  <c r="S987" i="20"/>
  <c r="R1937" i="20"/>
  <c r="S1640" i="20"/>
  <c r="M1427" i="20"/>
  <c r="T1774" i="20"/>
  <c r="R1636" i="20"/>
  <c r="T917" i="20"/>
  <c r="O286" i="20"/>
  <c r="S322" i="20"/>
  <c r="S1870" i="20"/>
  <c r="R1741" i="20"/>
  <c r="P1120" i="20"/>
  <c r="S1762" i="20"/>
  <c r="T1953" i="20"/>
  <c r="T1630" i="20"/>
  <c r="M504" i="20"/>
  <c r="T1949" i="20"/>
  <c r="S273" i="20"/>
  <c r="S1717" i="20"/>
  <c r="M289" i="20"/>
  <c r="R1071" i="20"/>
  <c r="T1798" i="20"/>
  <c r="P1408" i="20"/>
  <c r="Q506" i="20"/>
  <c r="M555" i="20"/>
  <c r="N1415" i="20"/>
  <c r="M1154" i="20"/>
  <c r="O503" i="20"/>
  <c r="Q1085" i="20"/>
  <c r="M1563" i="20"/>
  <c r="N1459" i="20"/>
  <c r="M900" i="20"/>
  <c r="M1398" i="20"/>
  <c r="T1674" i="20"/>
  <c r="R1952" i="20"/>
  <c r="R1650" i="20"/>
  <c r="N728" i="20"/>
  <c r="R1940" i="20"/>
  <c r="R273" i="20"/>
  <c r="R1728" i="20"/>
  <c r="M1496" i="20"/>
  <c r="S1899" i="20"/>
  <c r="T1051" i="20"/>
  <c r="S907" i="20"/>
  <c r="O573" i="20"/>
  <c r="R1036" i="20"/>
  <c r="T1795" i="20"/>
  <c r="S1654" i="20"/>
  <c r="P285" i="20"/>
  <c r="T1868" i="20"/>
  <c r="S312" i="20"/>
  <c r="R1710" i="20"/>
  <c r="Q923" i="20"/>
  <c r="S1091" i="20"/>
  <c r="R367" i="20"/>
  <c r="T348" i="20"/>
  <c r="M544" i="20"/>
  <c r="T1831" i="20"/>
  <c r="R897" i="20"/>
  <c r="R1730" i="20"/>
  <c r="O1446" i="20"/>
  <c r="T1670" i="20"/>
  <c r="S967" i="20"/>
  <c r="T1625" i="20"/>
  <c r="O1445" i="20"/>
  <c r="T1945" i="20"/>
  <c r="T258" i="20"/>
  <c r="R93" i="20"/>
  <c r="Q1149" i="20"/>
  <c r="R1810" i="20"/>
  <c r="S348" i="20"/>
  <c r="S971" i="20"/>
  <c r="N1108" i="20"/>
  <c r="S1787" i="20"/>
  <c r="R1868" i="20"/>
  <c r="S1718" i="20"/>
  <c r="M1545" i="20"/>
  <c r="R318" i="20"/>
  <c r="S1706" i="20"/>
  <c r="S107" i="20"/>
  <c r="M920" i="20"/>
  <c r="T1101" i="20"/>
  <c r="R222" i="20"/>
  <c r="T867" i="20"/>
  <c r="S1779" i="20"/>
  <c r="R1948" i="20"/>
  <c r="S1644" i="20"/>
  <c r="R916" i="20"/>
  <c r="S1766" i="20"/>
  <c r="S1940" i="20"/>
  <c r="R103" i="20"/>
  <c r="R1714" i="20"/>
  <c r="T1840" i="20"/>
  <c r="T1894" i="20"/>
  <c r="R1735" i="20"/>
  <c r="R82" i="20"/>
  <c r="P1292" i="20"/>
  <c r="R1819" i="20"/>
  <c r="R1899" i="20"/>
  <c r="T232" i="20"/>
  <c r="T1830" i="20"/>
  <c r="R1876" i="20"/>
  <c r="R183" i="20"/>
  <c r="R1662" i="20"/>
  <c r="T1896" i="20"/>
  <c r="T1870" i="20"/>
  <c r="T987" i="20"/>
  <c r="T1917" i="20"/>
  <c r="S1127" i="20"/>
  <c r="R1856" i="20"/>
  <c r="R927" i="20"/>
  <c r="R1748" i="20"/>
  <c r="S1874" i="20"/>
  <c r="T1948" i="20"/>
  <c r="S966" i="20"/>
  <c r="R977" i="20"/>
  <c r="S1096" i="20"/>
  <c r="T1822" i="20"/>
  <c r="T927" i="20"/>
  <c r="T1653" i="20"/>
  <c r="R1867" i="20"/>
  <c r="S73" i="20"/>
  <c r="R1755" i="20"/>
  <c r="R1715" i="20"/>
  <c r="T1903" i="20"/>
  <c r="R1812" i="20"/>
  <c r="T871" i="20"/>
  <c r="T1593" i="20"/>
  <c r="T268" i="20"/>
  <c r="R1881" i="20"/>
  <c r="T1690" i="20"/>
  <c r="S1746" i="20"/>
  <c r="R1914" i="20"/>
  <c r="S1016" i="20"/>
  <c r="S1599" i="20"/>
  <c r="S83" i="20"/>
  <c r="T1032" i="20"/>
  <c r="R203" i="20"/>
  <c r="S1647" i="20"/>
  <c r="T1881" i="20"/>
  <c r="T1779" i="20"/>
  <c r="R1891" i="20"/>
  <c r="T1634" i="20"/>
  <c r="R1745" i="20"/>
  <c r="T1847" i="20"/>
  <c r="R1081" i="20"/>
  <c r="R97" i="20"/>
  <c r="S1876" i="20"/>
  <c r="R1936" i="20"/>
  <c r="T1939" i="20"/>
  <c r="T1732" i="20"/>
  <c r="R1673" i="20"/>
  <c r="S1818" i="20"/>
  <c r="T333" i="20"/>
  <c r="T1661" i="20"/>
  <c r="T1689" i="20"/>
  <c r="R1037" i="20"/>
  <c r="T1864" i="20"/>
  <c r="T881" i="20"/>
  <c r="S1671" i="20"/>
  <c r="T1887" i="20"/>
  <c r="S238" i="20"/>
  <c r="S1601" i="20"/>
  <c r="S952" i="20"/>
  <c r="S232" i="20"/>
  <c r="S1112" i="20"/>
  <c r="T117" i="20"/>
  <c r="T1624" i="20"/>
  <c r="T1915" i="20"/>
  <c r="R1042" i="20"/>
  <c r="T1650" i="20"/>
  <c r="M529" i="20"/>
  <c r="S1799" i="20"/>
  <c r="T1728" i="20"/>
  <c r="S1707" i="20"/>
  <c r="O1038" i="20"/>
  <c r="R1012" i="20"/>
  <c r="R1609" i="20"/>
  <c r="T1662" i="20"/>
  <c r="S1791" i="20"/>
  <c r="T203" i="20"/>
  <c r="T941" i="20"/>
  <c r="T1726" i="20"/>
  <c r="T1780" i="20"/>
  <c r="T1071" i="20"/>
  <c r="R143" i="20"/>
  <c r="T1665" i="20"/>
  <c r="T1937" i="20"/>
  <c r="S1893" i="20"/>
  <c r="R72" i="20"/>
  <c r="T1727" i="20"/>
  <c r="S1805" i="20"/>
  <c r="R337" i="20"/>
  <c r="T1744" i="20"/>
  <c r="T901" i="20"/>
  <c r="T1792" i="20"/>
  <c r="R1862" i="20"/>
  <c r="R98" i="20"/>
  <c r="S98" i="20"/>
  <c r="T338" i="20"/>
  <c r="T1790" i="20"/>
  <c r="T1618" i="20"/>
  <c r="S951" i="20"/>
  <c r="R227" i="20"/>
  <c r="R1866" i="20"/>
  <c r="T1685" i="20"/>
  <c r="S981" i="20"/>
  <c r="S1107" i="20"/>
  <c r="R1842" i="20"/>
  <c r="S213" i="20"/>
  <c r="S108" i="20"/>
  <c r="R1843" i="20"/>
  <c r="T1061" i="20"/>
  <c r="S957" i="20"/>
  <c r="R931" i="20"/>
  <c r="R1941" i="20"/>
  <c r="T971" i="20"/>
  <c r="S72" i="20"/>
  <c r="R167" i="20"/>
  <c r="R876" i="20"/>
  <c r="S1812" i="20"/>
  <c r="T952" i="20"/>
  <c r="R1620" i="20"/>
  <c r="S1917" i="20"/>
  <c r="T1031" i="20"/>
  <c r="T1760" i="20"/>
  <c r="S1680" i="20"/>
  <c r="R177" i="20"/>
  <c r="N1325" i="20"/>
  <c r="S1657" i="20"/>
  <c r="T1932" i="20"/>
  <c r="R856" i="20"/>
  <c r="Q983" i="20"/>
  <c r="T1809" i="20"/>
  <c r="S1907" i="20"/>
  <c r="S1939" i="20"/>
  <c r="O550" i="20"/>
  <c r="S333" i="20"/>
  <c r="R1888" i="20"/>
  <c r="S133" i="20"/>
  <c r="P988" i="20"/>
  <c r="T1698" i="20"/>
  <c r="S1869" i="20"/>
  <c r="R1664" i="20"/>
  <c r="P1591" i="20"/>
  <c r="S1953" i="20"/>
  <c r="R1661" i="20"/>
  <c r="R1704" i="20"/>
  <c r="S1771" i="20"/>
  <c r="T1941" i="20"/>
  <c r="R932" i="20"/>
  <c r="S1729" i="20"/>
  <c r="S1082" i="20"/>
  <c r="T1892" i="20"/>
  <c r="S1745" i="20"/>
  <c r="T147" i="20"/>
  <c r="S1660" i="20"/>
  <c r="S1627" i="20"/>
  <c r="S1777" i="20"/>
  <c r="T1842" i="20"/>
  <c r="P583" i="20"/>
  <c r="Q145" i="20"/>
  <c r="P1326" i="20"/>
  <c r="M121" i="20"/>
  <c r="Q1530" i="20"/>
  <c r="M1576" i="20"/>
  <c r="O568" i="20"/>
  <c r="P215" i="20"/>
  <c r="M1520" i="20"/>
  <c r="M1551" i="20"/>
  <c r="P314" i="20"/>
  <c r="P734" i="20"/>
  <c r="P1327" i="20"/>
  <c r="O349" i="20"/>
  <c r="Q707" i="20"/>
  <c r="P915" i="20"/>
  <c r="P1339" i="20"/>
  <c r="M281" i="20"/>
  <c r="O580" i="20"/>
  <c r="P1143" i="20"/>
  <c r="P505" i="20"/>
  <c r="N1310" i="20"/>
  <c r="Q1565" i="20"/>
  <c r="M1004" i="20"/>
  <c r="N487" i="20"/>
  <c r="P534" i="20"/>
  <c r="Q1581" i="20"/>
  <c r="N154" i="20"/>
  <c r="T1825" i="20"/>
  <c r="R1902" i="20"/>
  <c r="R192" i="20"/>
  <c r="Q1468" i="20"/>
  <c r="S1905" i="20"/>
  <c r="T1804" i="20"/>
  <c r="R1651" i="20"/>
  <c r="P1557" i="20"/>
  <c r="T342" i="20"/>
  <c r="S1786" i="20"/>
  <c r="T62" i="20"/>
  <c r="P923" i="20"/>
  <c r="T1017" i="20"/>
  <c r="S1006" i="20"/>
  <c r="S1864" i="20"/>
  <c r="O295" i="20"/>
  <c r="S1944" i="20"/>
  <c r="T1679" i="20"/>
  <c r="R1737" i="20"/>
  <c r="R1121" i="20"/>
  <c r="R288" i="20"/>
  <c r="T1735" i="20"/>
  <c r="R1613" i="20"/>
  <c r="S1855" i="20"/>
  <c r="R1826" i="20"/>
  <c r="T1785" i="20"/>
  <c r="T1602" i="20"/>
  <c r="R1951" i="20"/>
  <c r="T1805" i="20"/>
  <c r="R1660" i="20"/>
  <c r="R1703" i="20"/>
  <c r="N245" i="20"/>
  <c r="R1895" i="20"/>
  <c r="S852" i="20"/>
  <c r="T1694" i="20"/>
  <c r="S1927" i="20"/>
  <c r="R1795" i="20"/>
  <c r="R1707" i="20"/>
  <c r="R981" i="20"/>
  <c r="S1815" i="20"/>
  <c r="S1781" i="20"/>
  <c r="T88" i="20"/>
  <c r="R962" i="20"/>
  <c r="S1795" i="20"/>
  <c r="R1768" i="20"/>
  <c r="R871" i="20"/>
  <c r="S97" i="20"/>
  <c r="T1783" i="20"/>
  <c r="T288" i="20"/>
  <c r="R83" i="20"/>
  <c r="R1616" i="20"/>
  <c r="S1768" i="20"/>
  <c r="T1935" i="20"/>
  <c r="S1672" i="20"/>
  <c r="T1737" i="20"/>
  <c r="T283" i="20"/>
  <c r="S972" i="20"/>
  <c r="R907" i="20"/>
  <c r="R1624" i="20"/>
  <c r="S1659" i="20"/>
  <c r="S1919" i="20"/>
  <c r="S1741" i="20"/>
  <c r="R133" i="20"/>
  <c r="R1953" i="20"/>
  <c r="T1814" i="20"/>
  <c r="S1716" i="20"/>
  <c r="T1647" i="20"/>
  <c r="R257" i="20"/>
  <c r="T1116" i="20"/>
  <c r="T1659" i="20"/>
  <c r="R1725" i="20"/>
  <c r="R333" i="20"/>
  <c r="S1851" i="20"/>
  <c r="S168" i="20"/>
  <c r="T1682" i="20"/>
  <c r="S323" i="20"/>
  <c r="T1687" i="20"/>
  <c r="T153" i="20"/>
  <c r="R1676" i="20"/>
  <c r="T308" i="20"/>
  <c r="R368" i="20"/>
  <c r="S1810" i="20"/>
  <c r="S1734" i="20"/>
  <c r="T1834" i="20"/>
  <c r="T1824" i="20"/>
  <c r="S1648" i="20"/>
  <c r="T213" i="20"/>
  <c r="R1908" i="20"/>
  <c r="T1806" i="20"/>
  <c r="S1662" i="20"/>
  <c r="R67" i="20"/>
  <c r="S1894" i="20"/>
  <c r="T1022" i="20"/>
  <c r="T1057" i="20"/>
  <c r="R1954" i="20"/>
  <c r="R1804" i="20"/>
  <c r="T1137" i="20"/>
  <c r="S1720" i="20"/>
  <c r="R1688" i="20"/>
  <c r="T1875" i="20"/>
  <c r="R223" i="20"/>
  <c r="R841" i="20"/>
  <c r="T1718" i="20"/>
  <c r="S218" i="20"/>
  <c r="R207" i="20"/>
  <c r="S1829" i="20"/>
  <c r="S1708" i="20"/>
  <c r="S1757" i="20"/>
  <c r="R1923" i="20"/>
  <c r="R1686" i="20"/>
  <c r="T58" i="20"/>
  <c r="R282" i="20"/>
  <c r="S253" i="20"/>
  <c r="S956" i="20"/>
  <c r="T906" i="20"/>
  <c r="T1899" i="20"/>
  <c r="R957" i="20"/>
  <c r="R1668" i="20"/>
  <c r="T857" i="20"/>
  <c r="T1643" i="20"/>
  <c r="R1878" i="20"/>
  <c r="S148" i="20"/>
  <c r="S1620" i="20"/>
  <c r="S1041" i="20"/>
  <c r="T1867" i="20"/>
  <c r="S372" i="20"/>
  <c r="T1606" i="20"/>
  <c r="T1121" i="20"/>
  <c r="S207" i="20"/>
  <c r="T976" i="20"/>
  <c r="T1616" i="20"/>
  <c r="T1769" i="20"/>
  <c r="R1840" i="20"/>
  <c r="S1593" i="20"/>
  <c r="T1076" i="20"/>
  <c r="T1901" i="20"/>
  <c r="R1938" i="20"/>
  <c r="R892" i="20"/>
  <c r="R1151" i="20"/>
  <c r="S1027" i="20"/>
  <c r="T866" i="20"/>
  <c r="S123" i="20"/>
  <c r="T1810" i="20"/>
  <c r="R1595" i="20"/>
  <c r="T861" i="20"/>
  <c r="S1012" i="20"/>
  <c r="S976" i="20"/>
  <c r="S997" i="20"/>
  <c r="S1901" i="20"/>
  <c r="R178" i="20"/>
  <c r="T293" i="20"/>
  <c r="T1832" i="20"/>
  <c r="R1657" i="20"/>
  <c r="T1860" i="20"/>
  <c r="T1748" i="20"/>
  <c r="S1906" i="20"/>
  <c r="T1640" i="20"/>
  <c r="S1645" i="20"/>
  <c r="S1051" i="20"/>
  <c r="S1883" i="20"/>
  <c r="S127" i="20"/>
  <c r="T1633" i="20"/>
  <c r="T1797" i="20"/>
  <c r="S1863" i="20"/>
  <c r="S262" i="20"/>
  <c r="R1641" i="20"/>
  <c r="R1116" i="20"/>
  <c r="R996" i="20"/>
  <c r="R1723" i="20"/>
  <c r="R47" i="20"/>
  <c r="T1767" i="20"/>
  <c r="R906" i="20"/>
  <c r="T1927" i="20"/>
  <c r="S53" i="20"/>
  <c r="T1691" i="20"/>
  <c r="S1842" i="20"/>
  <c r="T1796" i="20"/>
  <c r="T1627" i="20"/>
  <c r="S297" i="20"/>
  <c r="T1066" i="20"/>
  <c r="T168" i="20"/>
  <c r="R1637" i="20"/>
  <c r="R353" i="20"/>
  <c r="S1897" i="20"/>
  <c r="R1596" i="20"/>
  <c r="S1631" i="20"/>
  <c r="S1790" i="20"/>
  <c r="T1791" i="20"/>
  <c r="T133" i="20"/>
  <c r="Q1090" i="20"/>
  <c r="T1850" i="20"/>
  <c r="T1776" i="20"/>
  <c r="T1933" i="20"/>
  <c r="R1822" i="20"/>
  <c r="S147" i="20"/>
  <c r="Q1385" i="20"/>
  <c r="R1811" i="20"/>
  <c r="S1900" i="20"/>
  <c r="T178" i="20"/>
  <c r="P542" i="20"/>
  <c r="T1799" i="20"/>
  <c r="T1873" i="20"/>
  <c r="R163" i="20"/>
  <c r="Q1153" i="20"/>
  <c r="T1869" i="20"/>
  <c r="T1106" i="20"/>
  <c r="R947" i="20"/>
  <c r="T233" i="20"/>
  <c r="T1846" i="20"/>
  <c r="T912" i="20"/>
  <c r="S172" i="20"/>
  <c r="S1772" i="20"/>
  <c r="T1925" i="20"/>
  <c r="T157" i="20"/>
  <c r="S57" i="20"/>
  <c r="R1841" i="20"/>
  <c r="T1919" i="20"/>
  <c r="R118" i="20"/>
  <c r="R58" i="20"/>
  <c r="S1825" i="20"/>
  <c r="S1732" i="20"/>
  <c r="S1843" i="20"/>
  <c r="T1644" i="20"/>
  <c r="R1087" i="20"/>
  <c r="S1923" i="20"/>
  <c r="T307" i="20"/>
  <c r="S1802" i="20"/>
  <c r="M135" i="20"/>
  <c r="P1428" i="20"/>
  <c r="O1488" i="20"/>
  <c r="N1586" i="20"/>
  <c r="O1332" i="20"/>
  <c r="M1565" i="20"/>
  <c r="M1064" i="20"/>
  <c r="O69" i="20"/>
  <c r="P748" i="20"/>
  <c r="O553" i="20"/>
  <c r="O1019" i="20"/>
  <c r="N1383" i="20"/>
  <c r="M224" i="20"/>
  <c r="O706" i="20"/>
  <c r="M975" i="20"/>
  <c r="Q726" i="20"/>
  <c r="O1480" i="20"/>
  <c r="P339" i="20"/>
  <c r="Q925" i="20"/>
  <c r="N900" i="20"/>
  <c r="O525" i="20"/>
  <c r="O1391" i="20"/>
  <c r="P563" i="20"/>
  <c r="Q1133" i="20"/>
  <c r="M923" i="20"/>
  <c r="Q563" i="20"/>
  <c r="Q365" i="20"/>
  <c r="M1318" i="20"/>
  <c r="T1683" i="20"/>
  <c r="S931" i="20"/>
  <c r="T167" i="20"/>
  <c r="R152" i="20"/>
  <c r="R1107" i="20"/>
  <c r="R77" i="20"/>
  <c r="R1817" i="20"/>
  <c r="R1943" i="20"/>
  <c r="S1740" i="20"/>
  <c r="S48" i="20"/>
  <c r="T1752" i="20"/>
  <c r="T1719" i="20"/>
  <c r="T1605" i="20"/>
  <c r="R1679" i="20"/>
  <c r="T856" i="20"/>
  <c r="S1701" i="20"/>
  <c r="S188" i="20"/>
  <c r="R1653" i="20"/>
  <c r="S1021" i="20"/>
  <c r="R102" i="20"/>
  <c r="R941" i="20"/>
  <c r="T1739" i="20"/>
  <c r="S1737" i="20"/>
  <c r="T1692" i="20"/>
  <c r="T1676" i="20"/>
  <c r="S183" i="20"/>
  <c r="S902" i="20"/>
  <c r="R1647" i="20"/>
  <c r="S82" i="20"/>
  <c r="T1740" i="20"/>
  <c r="R1619" i="20"/>
  <c r="R127" i="20"/>
  <c r="R936" i="20"/>
  <c r="T1695" i="20"/>
  <c r="M105" i="20"/>
  <c r="P562" i="20"/>
  <c r="O210" i="20"/>
  <c r="R238" i="20"/>
  <c r="T197" i="20"/>
  <c r="S1066" i="20"/>
  <c r="R1809" i="20"/>
  <c r="S1903" i="20"/>
  <c r="R1041" i="20"/>
  <c r="R937" i="20"/>
  <c r="R1106" i="20"/>
  <c r="T368" i="20"/>
  <c r="S1067" i="20"/>
  <c r="R1913" i="20"/>
  <c r="S916" i="20"/>
  <c r="R1638" i="20"/>
  <c r="T1657" i="20"/>
  <c r="S173" i="20"/>
  <c r="R1625" i="20"/>
  <c r="T1696" i="20"/>
  <c r="T962" i="20"/>
  <c r="R1618" i="20"/>
  <c r="S1908" i="20"/>
  <c r="M919" i="20"/>
  <c r="O230" i="20"/>
  <c r="P850" i="20"/>
  <c r="M1411" i="20"/>
  <c r="M1160" i="20"/>
  <c r="P486" i="20"/>
  <c r="M1043" i="20"/>
  <c r="P1335" i="20"/>
  <c r="Q314" i="20"/>
  <c r="M361" i="20"/>
  <c r="O767" i="20"/>
  <c r="Q577" i="20"/>
  <c r="R1816" i="20"/>
  <c r="T1001" i="20"/>
  <c r="S881" i="20"/>
  <c r="T1733" i="20"/>
  <c r="O1520" i="20"/>
  <c r="P1138" i="20"/>
  <c r="P234" i="20"/>
  <c r="Q680" i="20"/>
  <c r="Q1143" i="20"/>
  <c r="M1389" i="20"/>
  <c r="M1570" i="20"/>
  <c r="N1293" i="20"/>
  <c r="P573" i="20"/>
  <c r="M330" i="20"/>
  <c r="M351" i="20"/>
  <c r="O1018" i="20"/>
  <c r="M1129" i="20"/>
  <c r="O331" i="20"/>
  <c r="O1435" i="20"/>
  <c r="N923" i="20"/>
  <c r="N139" i="20"/>
  <c r="Q1585" i="20"/>
  <c r="M1415" i="20"/>
  <c r="O1592" i="20"/>
  <c r="O1545" i="20"/>
  <c r="P506" i="20"/>
  <c r="P885" i="20"/>
  <c r="M1547" i="20"/>
  <c r="M1562" i="20"/>
  <c r="O1466" i="20"/>
  <c r="M1557" i="20"/>
  <c r="P638" i="20"/>
  <c r="T252" i="20"/>
  <c r="R202" i="20"/>
  <c r="N1341" i="20"/>
  <c r="Q898" i="20"/>
  <c r="Q538" i="20"/>
  <c r="M577" i="20"/>
  <c r="Q1556" i="20"/>
  <c r="Q1384" i="20"/>
  <c r="O572" i="20"/>
  <c r="M505" i="20"/>
  <c r="P1518" i="20"/>
  <c r="O563" i="20"/>
  <c r="O1589" i="20"/>
  <c r="M339" i="20"/>
  <c r="N778" i="20"/>
  <c r="M1477" i="20"/>
  <c r="M485" i="20"/>
  <c r="P1393" i="20"/>
  <c r="O661" i="20"/>
  <c r="O1423" i="20"/>
  <c r="O84" i="20"/>
  <c r="O1567" i="20"/>
  <c r="P778" i="20"/>
  <c r="P702" i="20"/>
  <c r="P1063" i="20"/>
  <c r="M551" i="20"/>
  <c r="Q316" i="20"/>
  <c r="M507" i="20"/>
  <c r="Q502" i="20"/>
  <c r="M999" i="20"/>
  <c r="N1553" i="20"/>
  <c r="M1309" i="20"/>
  <c r="R1604" i="20"/>
  <c r="T1651" i="20"/>
  <c r="R1879" i="20"/>
  <c r="O299" i="20"/>
  <c r="P360" i="20"/>
  <c r="O264" i="20"/>
  <c r="Q494" i="20"/>
  <c r="Q975" i="20"/>
  <c r="Q519" i="20"/>
  <c r="Q582" i="20"/>
  <c r="P1312" i="20"/>
  <c r="Q498" i="20"/>
  <c r="P350" i="20"/>
  <c r="Q540" i="20"/>
  <c r="Q1557" i="20"/>
  <c r="P1130" i="20"/>
  <c r="M1447" i="20"/>
  <c r="M783" i="20"/>
  <c r="N76" i="20"/>
  <c r="M506" i="20"/>
  <c r="Q508" i="20"/>
  <c r="M119" i="20"/>
  <c r="O1533" i="20"/>
  <c r="Q718" i="20"/>
  <c r="T322" i="20"/>
  <c r="R1682" i="20"/>
  <c r="T1759" i="20"/>
  <c r="P1059" i="20"/>
  <c r="N1134" i="20"/>
  <c r="O259" i="20"/>
  <c r="P864" i="20"/>
  <c r="O1114" i="20"/>
  <c r="Q335" i="20"/>
  <c r="Q935" i="20"/>
  <c r="O1045" i="20"/>
  <c r="P517" i="20"/>
  <c r="O497" i="20"/>
  <c r="Q1546" i="20"/>
  <c r="O1326" i="20"/>
  <c r="Q355" i="20"/>
  <c r="O668" i="20"/>
  <c r="N970" i="20"/>
  <c r="P1372" i="20"/>
  <c r="Q562" i="20"/>
  <c r="M1014" i="20"/>
  <c r="M998" i="20"/>
  <c r="O225" i="20"/>
  <c r="Q1566" i="20"/>
  <c r="N1384" i="20"/>
  <c r="M549" i="20"/>
  <c r="P939" i="20"/>
  <c r="Q1023" i="20"/>
  <c r="M274" i="20"/>
  <c r="O1530" i="20"/>
  <c r="O924" i="20"/>
  <c r="Q767" i="20"/>
  <c r="S152" i="20"/>
  <c r="T1636" i="20"/>
  <c r="S1868" i="20"/>
  <c r="Q1459" i="20"/>
  <c r="M71" i="20"/>
  <c r="Q980" i="20"/>
  <c r="P1301" i="20"/>
  <c r="P1592" i="20"/>
  <c r="P688" i="20"/>
  <c r="O1504" i="20"/>
  <c r="N995" i="20"/>
  <c r="O1310" i="20"/>
  <c r="P578" i="20"/>
  <c r="M1346" i="20"/>
  <c r="P1489" i="20"/>
  <c r="O1568" i="20"/>
  <c r="Q260" i="20"/>
  <c r="Q336" i="20"/>
  <c r="O959" i="20"/>
  <c r="N370" i="20"/>
  <c r="O1416" i="20"/>
  <c r="M503" i="20"/>
  <c r="N151" i="20"/>
  <c r="P1526" i="20"/>
  <c r="M556" i="20"/>
  <c r="M671" i="20"/>
  <c r="O1378" i="20"/>
  <c r="P1501" i="20"/>
  <c r="N639" i="20"/>
  <c r="O1462" i="20"/>
  <c r="P325" i="20"/>
  <c r="T108" i="20"/>
  <c r="T902" i="20"/>
  <c r="R1621" i="20"/>
  <c r="R1736" i="20"/>
  <c r="M1299" i="20"/>
  <c r="O555" i="20"/>
  <c r="M1024" i="20"/>
  <c r="Q1578" i="20"/>
  <c r="Q1333" i="20"/>
  <c r="O1028" i="20"/>
  <c r="N1527" i="20"/>
  <c r="N1571" i="20"/>
  <c r="M269" i="20"/>
  <c r="M160" i="20"/>
  <c r="O1145" i="20"/>
  <c r="N285" i="20"/>
  <c r="O1153" i="20"/>
  <c r="Q1393" i="20"/>
  <c r="M280" i="20"/>
  <c r="P1329" i="20"/>
  <c r="O1149" i="20"/>
  <c r="O359" i="20"/>
  <c r="N1510" i="20"/>
  <c r="O600" i="20"/>
  <c r="N1338" i="20"/>
  <c r="N1457" i="20"/>
  <c r="O1341" i="20"/>
  <c r="Q1397" i="20"/>
  <c r="N723" i="20"/>
  <c r="P950" i="20"/>
  <c r="O370" i="20"/>
  <c r="O1537" i="20"/>
  <c r="R1829" i="20"/>
  <c r="S62" i="20"/>
  <c r="O1402" i="20"/>
  <c r="S1952" i="20"/>
  <c r="T1681" i="20"/>
  <c r="T1648" i="20"/>
  <c r="S1806" i="20"/>
  <c r="T851" i="20"/>
  <c r="R847" i="20"/>
  <c r="R1726" i="20"/>
  <c r="T1608" i="20"/>
  <c r="S1676" i="20"/>
  <c r="R168" i="20"/>
  <c r="S1057" i="20"/>
  <c r="R233" i="20"/>
  <c r="T862" i="20"/>
  <c r="S1675" i="20"/>
  <c r="S138" i="20"/>
  <c r="T128" i="20"/>
  <c r="S177" i="20"/>
  <c r="S78" i="20"/>
  <c r="T1613" i="20"/>
  <c r="R1658" i="20"/>
  <c r="T1680" i="20"/>
  <c r="T921" i="20"/>
  <c r="R1628" i="20"/>
  <c r="T1617" i="20"/>
  <c r="T93" i="20"/>
  <c r="T1754" i="20"/>
  <c r="S1735" i="20"/>
  <c r="R1645" i="20"/>
  <c r="T1637" i="20"/>
  <c r="T1631" i="20"/>
  <c r="M1519" i="20"/>
  <c r="O271" i="20"/>
  <c r="S1633" i="20"/>
  <c r="R262" i="20"/>
  <c r="T1922" i="20"/>
  <c r="T1027" i="20"/>
  <c r="S1759" i="20"/>
  <c r="T1067" i="20"/>
  <c r="T1885" i="20"/>
  <c r="S1001" i="20"/>
  <c r="S1950" i="20"/>
  <c r="R313" i="20"/>
  <c r="R1156" i="20"/>
  <c r="R1916" i="20"/>
  <c r="S1798" i="20"/>
  <c r="S1866" i="20"/>
  <c r="S1598" i="20"/>
  <c r="S1854" i="20"/>
  <c r="R1709" i="20"/>
  <c r="T1906" i="20"/>
  <c r="R1739" i="20"/>
  <c r="T148" i="20"/>
  <c r="T1660" i="20"/>
  <c r="T1724" i="20"/>
  <c r="S977" i="20"/>
  <c r="T1654" i="20"/>
  <c r="R1756" i="20"/>
  <c r="N119" i="20"/>
  <c r="P1099" i="20"/>
  <c r="Q1454" i="20"/>
  <c r="P958" i="20"/>
  <c r="M1008" i="20"/>
  <c r="O520" i="20"/>
  <c r="M929" i="20"/>
  <c r="P538" i="20"/>
  <c r="O638" i="20"/>
  <c r="N1422" i="20"/>
  <c r="Q566" i="20"/>
  <c r="O106" i="20"/>
  <c r="R1818" i="20"/>
  <c r="T1596" i="20"/>
  <c r="M718" i="20"/>
  <c r="O508" i="20"/>
  <c r="N663" i="20"/>
  <c r="P1419" i="20"/>
  <c r="O1337" i="20"/>
  <c r="P500" i="20"/>
  <c r="Q512" i="20"/>
  <c r="Q591" i="20"/>
  <c r="O261" i="20"/>
  <c r="Q895" i="20"/>
  <c r="Q581" i="20"/>
  <c r="Q993" i="20"/>
  <c r="Q541" i="20"/>
  <c r="Q545" i="20"/>
  <c r="P1583" i="20"/>
  <c r="O1362" i="20"/>
  <c r="Q642" i="20"/>
  <c r="P944" i="20"/>
  <c r="P274" i="20"/>
  <c r="Q1501" i="20"/>
  <c r="P509" i="20"/>
  <c r="O581" i="20"/>
  <c r="Q1100" i="20"/>
  <c r="M1010" i="20"/>
  <c r="P713" i="20"/>
  <c r="M560" i="20"/>
  <c r="P574" i="20"/>
  <c r="M702" i="20"/>
  <c r="Q295" i="20"/>
  <c r="O1498" i="20"/>
  <c r="T1703" i="20"/>
  <c r="R1738" i="20"/>
  <c r="S338" i="20"/>
  <c r="M1428" i="20"/>
  <c r="Q49" i="20"/>
  <c r="M1009" i="20"/>
  <c r="M229" i="20"/>
  <c r="P1398" i="20"/>
  <c r="Q371" i="20"/>
  <c r="M146" i="20"/>
  <c r="Q161" i="20"/>
  <c r="Q105" i="20"/>
  <c r="M159" i="20"/>
  <c r="O528" i="20"/>
  <c r="N929" i="20"/>
  <c r="P1013" i="20"/>
  <c r="P540" i="20"/>
  <c r="Q1590" i="20"/>
  <c r="P1571" i="20"/>
  <c r="Q1383" i="20"/>
  <c r="N1305" i="20"/>
  <c r="M1544" i="20"/>
  <c r="N994" i="20"/>
  <c r="Q80" i="20"/>
  <c r="O500" i="20"/>
  <c r="O1309" i="20"/>
  <c r="Q686" i="20"/>
  <c r="N1334" i="20"/>
  <c r="M1467" i="20"/>
  <c r="M1441" i="20"/>
  <c r="M1348" i="20"/>
  <c r="N341" i="20"/>
  <c r="Q340" i="20"/>
  <c r="P1340" i="20"/>
  <c r="R1821" i="20"/>
  <c r="O512" i="20"/>
  <c r="P1317" i="20"/>
  <c r="O536" i="20"/>
  <c r="P703" i="20"/>
  <c r="Q532" i="20"/>
  <c r="P61" i="20"/>
  <c r="O1060" i="20"/>
  <c r="N1025" i="20"/>
  <c r="P723" i="20"/>
  <c r="M1317" i="20"/>
  <c r="O1090" i="20"/>
  <c r="P1364" i="20"/>
  <c r="P1280" i="20"/>
  <c r="P965" i="20"/>
  <c r="Q1145" i="20"/>
  <c r="O685" i="20"/>
  <c r="O515" i="20"/>
  <c r="O1295" i="20"/>
  <c r="M543" i="20"/>
  <c r="P581" i="20"/>
  <c r="N306" i="20"/>
  <c r="S1666" i="20"/>
  <c r="T158" i="20"/>
  <c r="R1142" i="20"/>
  <c r="P1424" i="20"/>
  <c r="Q1168" i="20"/>
  <c r="P1443" i="20"/>
  <c r="Q580" i="20"/>
  <c r="O1459" i="20"/>
  <c r="P1429" i="20"/>
  <c r="P1296" i="20"/>
  <c r="M1368" i="20"/>
  <c r="O270" i="20"/>
  <c r="O60" i="20"/>
  <c r="Q275" i="20"/>
  <c r="O1574" i="20"/>
  <c r="Q554" i="20"/>
  <c r="Q290" i="20"/>
  <c r="M1033" i="20"/>
  <c r="M1450" i="20"/>
  <c r="O556" i="20"/>
  <c r="N1133" i="20"/>
  <c r="O374" i="20"/>
  <c r="Q484" i="20"/>
  <c r="N1491" i="20"/>
  <c r="M547" i="20"/>
  <c r="P159" i="20"/>
  <c r="P742" i="20"/>
  <c r="P492" i="20"/>
  <c r="M1321" i="20"/>
  <c r="M1478" i="20"/>
  <c r="Q689" i="20"/>
  <c r="R1894" i="20"/>
  <c r="S1117" i="20"/>
  <c r="R1946" i="20"/>
  <c r="R1808" i="20"/>
  <c r="O935" i="20"/>
  <c r="O61" i="20"/>
  <c r="P1554" i="20"/>
  <c r="Q627" i="20"/>
  <c r="Q919" i="20"/>
  <c r="Q1289" i="20"/>
  <c r="O341" i="20"/>
  <c r="N598" i="20"/>
  <c r="M969" i="20"/>
  <c r="M375" i="20"/>
  <c r="O1506" i="20"/>
  <c r="M1013" i="20"/>
  <c r="O773" i="20"/>
  <c r="N266" i="20"/>
  <c r="N874" i="20"/>
  <c r="O726" i="20"/>
  <c r="M590" i="20"/>
  <c r="Q299" i="20"/>
  <c r="Q350" i="20"/>
  <c r="M1364" i="20"/>
  <c r="O548" i="20"/>
  <c r="P245" i="20"/>
  <c r="M939" i="20"/>
  <c r="M988" i="20"/>
  <c r="Q364" i="20"/>
  <c r="O853" i="20"/>
  <c r="M958" i="20"/>
  <c r="N1400" i="20"/>
  <c r="R1705" i="20"/>
  <c r="T273" i="20"/>
  <c r="M570" i="20"/>
  <c r="S1761" i="20"/>
  <c r="Q748" i="20"/>
  <c r="P943" i="20"/>
  <c r="P1019" i="20"/>
  <c r="O1501" i="20"/>
  <c r="O1327" i="20"/>
  <c r="M566" i="20"/>
  <c r="M1130" i="20"/>
  <c r="P491" i="20"/>
  <c r="O1328" i="20"/>
  <c r="Q575" i="20"/>
  <c r="M909" i="20"/>
  <c r="N1335" i="20"/>
  <c r="Q958" i="20"/>
  <c r="N321" i="20"/>
  <c r="O716" i="20"/>
  <c r="Q1169" i="20"/>
  <c r="P259" i="20"/>
  <c r="P1024" i="20"/>
  <c r="O1335" i="20"/>
  <c r="R322" i="20"/>
  <c r="S996" i="20"/>
  <c r="T362" i="20"/>
  <c r="T287" i="20"/>
  <c r="T1928" i="20"/>
  <c r="S1809" i="20"/>
  <c r="S1793" i="20"/>
  <c r="T1021" i="20"/>
  <c r="T202" i="20"/>
  <c r="T1678" i="20"/>
  <c r="T1817" i="20"/>
  <c r="R357" i="20"/>
  <c r="S1808" i="20"/>
  <c r="S1942" i="20"/>
  <c r="S1817" i="20"/>
  <c r="T1041" i="20"/>
  <c r="S318" i="20"/>
  <c r="S1845" i="20"/>
  <c r="S1931" i="20"/>
  <c r="R1909" i="20"/>
  <c r="R1906" i="20"/>
  <c r="S228" i="20"/>
  <c r="R1712" i="20"/>
  <c r="S1865" i="20"/>
  <c r="R298" i="20"/>
  <c r="R1924" i="20"/>
  <c r="R1805" i="20"/>
  <c r="T1026" i="20"/>
  <c r="R1610" i="20"/>
  <c r="R1761" i="20"/>
  <c r="P526" i="20"/>
  <c r="M1429" i="20"/>
  <c r="Q644" i="20"/>
  <c r="O584" i="20"/>
  <c r="O586" i="20"/>
  <c r="N354" i="20"/>
  <c r="O1443" i="20"/>
  <c r="M1463" i="20"/>
  <c r="P590" i="20"/>
  <c r="M1055" i="20"/>
  <c r="O1468" i="20"/>
  <c r="O1015" i="20"/>
  <c r="P535" i="20"/>
  <c r="M519" i="20"/>
  <c r="M276" i="20"/>
  <c r="M1125" i="20"/>
  <c r="Q587" i="20"/>
  <c r="Q565" i="20"/>
  <c r="M290" i="20"/>
  <c r="T1876" i="20"/>
  <c r="S1679" i="20"/>
  <c r="S1921" i="20"/>
  <c r="O975" i="20"/>
  <c r="O994" i="20"/>
  <c r="N186" i="20"/>
  <c r="M1512" i="20"/>
  <c r="Q1408" i="20"/>
  <c r="P1358" i="20"/>
  <c r="O1547" i="20"/>
  <c r="P1376" i="20"/>
  <c r="O1382" i="20"/>
  <c r="O549" i="20"/>
  <c r="O1484" i="20"/>
  <c r="O687" i="20"/>
  <c r="O1489" i="20"/>
  <c r="Q1538" i="20"/>
  <c r="M501" i="20"/>
  <c r="P736" i="20"/>
  <c r="Q230" i="20"/>
  <c r="Q1554" i="20"/>
  <c r="M1518" i="20"/>
  <c r="P119" i="20"/>
  <c r="O545" i="20"/>
  <c r="M588" i="20"/>
  <c r="O501" i="20"/>
  <c r="N310" i="20"/>
  <c r="M526" i="20"/>
  <c r="P519" i="20"/>
  <c r="Q1515" i="20"/>
  <c r="P676" i="20"/>
  <c r="Q500" i="20"/>
  <c r="O542" i="20"/>
  <c r="O570" i="20"/>
  <c r="S1062" i="20"/>
  <c r="M934" i="20"/>
  <c r="M963" i="20"/>
  <c r="Q1416" i="20"/>
  <c r="M370" i="20"/>
  <c r="P995" i="20"/>
  <c r="Q569" i="20"/>
  <c r="O945" i="20"/>
  <c r="Q1155" i="20"/>
  <c r="O567" i="20"/>
  <c r="Q1493" i="20"/>
  <c r="M1123" i="20"/>
  <c r="N505" i="20"/>
  <c r="O1322" i="20"/>
  <c r="M1582" i="20"/>
  <c r="Q696" i="20"/>
  <c r="O301" i="20"/>
  <c r="Q354" i="20"/>
  <c r="M81" i="20"/>
  <c r="O495" i="20"/>
  <c r="N1393" i="20"/>
  <c r="P91" i="20"/>
  <c r="O854" i="20"/>
  <c r="P1090" i="20"/>
  <c r="Q136" i="20"/>
  <c r="O1411" i="20"/>
  <c r="M1325" i="20"/>
  <c r="P1425" i="20"/>
  <c r="O1281" i="20"/>
  <c r="R1918" i="20"/>
  <c r="T1855" i="20"/>
  <c r="S1072" i="20"/>
  <c r="S1770" i="20"/>
  <c r="P370" i="20"/>
  <c r="O676" i="20"/>
  <c r="Q918" i="20"/>
  <c r="Q731" i="20"/>
  <c r="M579" i="20"/>
  <c r="P279" i="20"/>
  <c r="Q959" i="20"/>
  <c r="M181" i="20"/>
  <c r="P1530" i="20"/>
  <c r="P1165" i="20"/>
  <c r="Q1281" i="20"/>
  <c r="N1494" i="20"/>
  <c r="P1547" i="20"/>
  <c r="Q1295" i="20"/>
  <c r="Q855" i="20"/>
  <c r="O1536" i="20"/>
  <c r="Q1398" i="20"/>
  <c r="P271" i="20"/>
  <c r="Q1498" i="20"/>
  <c r="Q480" i="20"/>
  <c r="Q723" i="20"/>
  <c r="S1137" i="20"/>
  <c r="R1758" i="20"/>
  <c r="T1056" i="20"/>
  <c r="O1588" i="20"/>
  <c r="P1322" i="20"/>
  <c r="N910" i="20"/>
  <c r="M1417" i="20"/>
  <c r="P763" i="20"/>
  <c r="Q306" i="20"/>
  <c r="M482" i="20"/>
  <c r="M705" i="20"/>
  <c r="M106" i="20"/>
  <c r="N1439" i="20"/>
  <c r="M791" i="20"/>
  <c r="O206" i="20"/>
  <c r="O564" i="20"/>
  <c r="P1492" i="20"/>
  <c r="Q1410" i="20"/>
  <c r="N1408" i="20"/>
  <c r="M1084" i="20"/>
  <c r="P1455" i="20"/>
  <c r="O1336" i="20"/>
  <c r="M1367" i="20"/>
  <c r="M1568" i="20"/>
  <c r="Q510" i="20"/>
  <c r="O1457" i="20"/>
  <c r="Q1524" i="20"/>
  <c r="Q106" i="20"/>
  <c r="P654" i="20"/>
  <c r="P1552" i="20"/>
  <c r="P195" i="20"/>
  <c r="T318" i="20"/>
  <c r="R1934" i="20"/>
  <c r="R1057" i="20"/>
  <c r="T1773" i="20"/>
  <c r="O1580" i="20"/>
  <c r="P1307" i="20"/>
  <c r="M978" i="20"/>
  <c r="Q356" i="20"/>
  <c r="P1373" i="20"/>
  <c r="P1394" i="20"/>
  <c r="O683" i="20"/>
  <c r="M1100" i="20"/>
  <c r="O514" i="20"/>
  <c r="Q1064" i="20"/>
  <c r="O541" i="20"/>
  <c r="N1337" i="20"/>
  <c r="O336" i="20"/>
  <c r="O1418" i="20"/>
  <c r="O980" i="20"/>
  <c r="O125" i="20"/>
  <c r="O200" i="20"/>
  <c r="Q296" i="20"/>
  <c r="M521" i="20"/>
  <c r="P1362" i="20"/>
  <c r="M1419" i="20"/>
  <c r="P969" i="20"/>
  <c r="N1138" i="20"/>
  <c r="M61" i="20"/>
  <c r="O1539" i="20"/>
  <c r="O366" i="20"/>
  <c r="M569" i="20"/>
  <c r="N1542" i="20"/>
  <c r="T303" i="20"/>
  <c r="T1821" i="20"/>
  <c r="R1152" i="20"/>
  <c r="Q791" i="20"/>
  <c r="R1896" i="20"/>
  <c r="T1897" i="20"/>
  <c r="R1122" i="20"/>
  <c r="S1858" i="20"/>
  <c r="S362" i="20"/>
  <c r="T1746" i="20"/>
  <c r="T1828" i="20"/>
  <c r="R1910" i="20"/>
  <c r="R248" i="20"/>
  <c r="S1785" i="20"/>
  <c r="S912" i="20"/>
  <c r="R1950" i="20"/>
  <c r="R1815" i="20"/>
  <c r="S248" i="20"/>
  <c r="S1925" i="20"/>
  <c r="S237" i="20"/>
  <c r="R1112" i="20"/>
  <c r="R1847" i="20"/>
  <c r="R363" i="20"/>
  <c r="T1052" i="20"/>
  <c r="R1733" i="20"/>
  <c r="R1911" i="20"/>
  <c r="R1790" i="20"/>
  <c r="R1860" i="20"/>
  <c r="R1757" i="20"/>
  <c r="S1106" i="20"/>
  <c r="T1836" i="20"/>
  <c r="S1891" i="20"/>
  <c r="R208" i="20"/>
  <c r="T367" i="20"/>
  <c r="S332" i="20"/>
  <c r="R218" i="20"/>
  <c r="T1122" i="20"/>
  <c r="R1011" i="20"/>
  <c r="S1162" i="20"/>
  <c r="T358" i="20"/>
  <c r="R1046" i="20"/>
  <c r="S1132" i="20"/>
  <c r="R1863" i="20"/>
  <c r="S298" i="20"/>
  <c r="S1764" i="20"/>
  <c r="R1082" i="20"/>
  <c r="R1830" i="20"/>
  <c r="T1813" i="20"/>
  <c r="S162" i="20"/>
  <c r="T1782" i="20"/>
  <c r="R1097" i="20"/>
  <c r="O654" i="20"/>
  <c r="M319" i="20"/>
  <c r="T1803" i="20"/>
  <c r="R1858" i="20"/>
  <c r="R1161" i="20"/>
  <c r="R267" i="20"/>
  <c r="T1046" i="20"/>
  <c r="T102" i="20"/>
  <c r="M136" i="20"/>
  <c r="M1448" i="20"/>
  <c r="M129" i="20"/>
  <c r="O150" i="20"/>
  <c r="P256" i="20"/>
  <c r="P487" i="20"/>
  <c r="M1431" i="20"/>
  <c r="O1020" i="20"/>
  <c r="M938" i="20"/>
  <c r="O493" i="20"/>
  <c r="Q786" i="20"/>
  <c r="Q547" i="20"/>
  <c r="T1641" i="20"/>
  <c r="O791" i="20"/>
  <c r="Q199" i="20"/>
  <c r="R1838" i="20"/>
  <c r="Q1424" i="20"/>
  <c r="Q1534" i="20"/>
  <c r="M1048" i="20"/>
  <c r="P647" i="20"/>
  <c r="Q264" i="20"/>
  <c r="P101" i="20"/>
  <c r="Q160" i="20"/>
  <c r="P194" i="20"/>
  <c r="N643" i="20"/>
  <c r="M527" i="20"/>
  <c r="M666" i="20"/>
  <c r="P1314" i="20"/>
  <c r="M1489" i="20"/>
  <c r="M1295" i="20"/>
  <c r="O1304" i="20"/>
  <c r="N360" i="20"/>
  <c r="P1302" i="20"/>
  <c r="M1023" i="20"/>
  <c r="M180" i="20"/>
  <c r="M1302" i="20"/>
  <c r="Q753" i="20"/>
  <c r="Q319" i="20"/>
  <c r="P1497" i="20"/>
  <c r="N55" i="20"/>
  <c r="N1074" i="20"/>
  <c r="P1295" i="20"/>
  <c r="N1488" i="20"/>
  <c r="O1054" i="20"/>
  <c r="R1734" i="20"/>
  <c r="R1872" i="20"/>
  <c r="S1086" i="20"/>
  <c r="T218" i="20"/>
  <c r="P993" i="20"/>
  <c r="T1848" i="20"/>
  <c r="S1924" i="20"/>
  <c r="R1892" i="20"/>
  <c r="S1031" i="20"/>
  <c r="T142" i="20"/>
  <c r="R1776" i="20"/>
  <c r="T298" i="20"/>
  <c r="T1835" i="20"/>
  <c r="R1157" i="20"/>
  <c r="R1062" i="20"/>
  <c r="S1813" i="20"/>
  <c r="S1885" i="20"/>
  <c r="T222" i="20"/>
  <c r="S991" i="20"/>
  <c r="S1837" i="20"/>
  <c r="R1926" i="20"/>
  <c r="R1076" i="20"/>
  <c r="R1907" i="20"/>
  <c r="T332" i="20"/>
  <c r="R1773" i="20"/>
  <c r="T1762" i="20"/>
  <c r="R1836" i="20"/>
  <c r="T1826" i="20"/>
  <c r="T1808" i="20"/>
  <c r="R1904" i="20"/>
  <c r="R1791" i="20"/>
  <c r="T1016" i="20"/>
  <c r="T207" i="20"/>
  <c r="T282" i="20"/>
  <c r="S986" i="20"/>
  <c r="T1943" i="20"/>
  <c r="T1911" i="20"/>
  <c r="R1789" i="20"/>
  <c r="S1111" i="20"/>
  <c r="R1832" i="20"/>
  <c r="T1891" i="20"/>
  <c r="S1702" i="20"/>
  <c r="T107" i="20"/>
  <c r="S163" i="20"/>
  <c r="T1072" i="20"/>
  <c r="R867" i="20"/>
  <c r="T1716" i="20"/>
  <c r="T1673" i="20"/>
  <c r="R976" i="20"/>
  <c r="T932" i="20"/>
  <c r="R1683" i="20"/>
  <c r="S178" i="20"/>
  <c r="R57" i="20"/>
  <c r="S992" i="20"/>
  <c r="R283" i="20"/>
  <c r="R1813" i="20"/>
  <c r="S343" i="20"/>
  <c r="R1017" i="20"/>
  <c r="R997" i="20"/>
  <c r="R1942" i="20"/>
  <c r="S1756" i="20"/>
  <c r="R188" i="20"/>
  <c r="M1380" i="20"/>
  <c r="O990" i="20"/>
  <c r="O1553" i="20"/>
  <c r="N773" i="20"/>
  <c r="M565" i="20"/>
  <c r="P627" i="20"/>
  <c r="P576" i="20"/>
  <c r="N214" i="20"/>
  <c r="Q1525" i="20"/>
  <c r="N1456" i="20"/>
  <c r="O314" i="20"/>
  <c r="O718" i="20"/>
  <c r="T1923" i="20"/>
  <c r="R1869" i="20"/>
  <c r="T1857" i="20"/>
  <c r="T1037" i="20"/>
  <c r="P1353" i="20"/>
  <c r="O269" i="20"/>
  <c r="M1350" i="20"/>
  <c r="O899" i="20"/>
  <c r="M235" i="20"/>
  <c r="Q711" i="20"/>
  <c r="P1384" i="20"/>
  <c r="N289" i="20"/>
  <c r="P757" i="20"/>
  <c r="Q59" i="20"/>
  <c r="P1538" i="20"/>
  <c r="P260" i="20"/>
  <c r="M1361" i="20"/>
  <c r="P136" i="20"/>
  <c r="N1014" i="20"/>
  <c r="O723" i="20"/>
  <c r="Q1523" i="20"/>
  <c r="N1099" i="20"/>
  <c r="N1301" i="20"/>
  <c r="N591" i="20"/>
  <c r="O304" i="20"/>
  <c r="M1480" i="20"/>
  <c r="Q210" i="20"/>
  <c r="M90" i="20"/>
  <c r="Q1018" i="20"/>
  <c r="Q1035" i="20"/>
  <c r="O361" i="20"/>
  <c r="Q738" i="20"/>
  <c r="R1663" i="20"/>
  <c r="R1874" i="20"/>
  <c r="S1071" i="20"/>
  <c r="R1905" i="20"/>
  <c r="M1490" i="20"/>
  <c r="P1085" i="20"/>
  <c r="Q526" i="20"/>
  <c r="M1335" i="20"/>
  <c r="O1303" i="20"/>
  <c r="O697" i="20"/>
  <c r="Q200" i="20"/>
  <c r="N738" i="20"/>
  <c r="M1464" i="20"/>
  <c r="Q489" i="20"/>
  <c r="P948" i="20"/>
  <c r="O898" i="20"/>
  <c r="O1564" i="20"/>
  <c r="P311" i="20"/>
  <c r="P1375" i="20"/>
  <c r="M522" i="20"/>
  <c r="Q505" i="20"/>
  <c r="P544" i="20"/>
  <c r="P507" i="20"/>
  <c r="P1587" i="20"/>
  <c r="O1486" i="20"/>
  <c r="M1497" i="20"/>
  <c r="M1586" i="20"/>
  <c r="Q1441" i="20"/>
  <c r="M533" i="20"/>
  <c r="O1340" i="20"/>
  <c r="Q539" i="20"/>
  <c r="N1463" i="20"/>
  <c r="R1674" i="20"/>
  <c r="S1694" i="20"/>
  <c r="R877" i="20"/>
  <c r="S167" i="20"/>
  <c r="M1579" i="20"/>
  <c r="P501" i="20"/>
  <c r="Q549" i="20"/>
  <c r="N61" i="20"/>
  <c r="M737" i="20"/>
  <c r="P364" i="20"/>
  <c r="O1374" i="20"/>
  <c r="Q1044" i="20"/>
  <c r="Q186" i="20"/>
  <c r="Q914" i="20"/>
  <c r="M59" i="20"/>
  <c r="O763" i="20"/>
  <c r="M487" i="20"/>
  <c r="N649" i="20"/>
  <c r="O1415" i="20"/>
  <c r="M101" i="20"/>
  <c r="P129" i="20"/>
  <c r="M525" i="20"/>
  <c r="Q1580" i="20"/>
  <c r="N1276" i="20"/>
  <c r="S1596" i="20"/>
  <c r="T82" i="20"/>
  <c r="R851" i="20"/>
  <c r="S937" i="20"/>
  <c r="M768" i="20"/>
  <c r="M1307" i="20"/>
  <c r="M326" i="20"/>
  <c r="O114" i="20"/>
  <c r="N544" i="20"/>
  <c r="P908" i="20"/>
  <c r="Q1492" i="20"/>
  <c r="Q854" i="20"/>
  <c r="P1508" i="20"/>
  <c r="N1390" i="20"/>
  <c r="Q1346" i="20"/>
  <c r="Q204" i="20"/>
  <c r="M365" i="20"/>
  <c r="Q311" i="20"/>
  <c r="M359" i="20"/>
  <c r="O256" i="20"/>
  <c r="Q1019" i="20"/>
  <c r="O970" i="20"/>
  <c r="O964" i="20"/>
  <c r="Q915" i="20"/>
  <c r="M1119" i="20"/>
  <c r="M562" i="20"/>
  <c r="O577" i="20"/>
  <c r="M329" i="20"/>
  <c r="M1337" i="20"/>
  <c r="M230" i="20"/>
  <c r="O1431" i="20"/>
  <c r="Q662" i="20"/>
  <c r="T1784" i="20"/>
  <c r="S1750" i="20"/>
  <c r="R1915" i="20"/>
  <c r="S102" i="20"/>
  <c r="P503" i="20"/>
  <c r="Q281" i="20"/>
  <c r="M573" i="20"/>
  <c r="P918" i="20"/>
  <c r="O90" i="20"/>
  <c r="M1426" i="20"/>
  <c r="M1459" i="20"/>
  <c r="Q1150" i="20"/>
  <c r="O1544" i="20"/>
  <c r="Q495" i="20"/>
  <c r="P586" i="20"/>
  <c r="O993" i="20"/>
  <c r="M591" i="20"/>
  <c r="Q280" i="20"/>
  <c r="O95" i="20"/>
  <c r="N1575" i="20"/>
  <c r="Q1109" i="20"/>
  <c r="O1084" i="20"/>
  <c r="P928" i="20"/>
  <c r="O692" i="20"/>
  <c r="Q963" i="20"/>
  <c r="P1546" i="20"/>
  <c r="M925" i="20"/>
  <c r="O595" i="20"/>
  <c r="M1306" i="20"/>
  <c r="P1510" i="20"/>
  <c r="P1484" i="20"/>
  <c r="P1454" i="20"/>
  <c r="S1661" i="20"/>
  <c r="T1893" i="20"/>
  <c r="S243" i="20"/>
  <c r="M1483" i="20"/>
  <c r="M581" i="20"/>
  <c r="N1377" i="20"/>
  <c r="P648" i="20"/>
  <c r="M1168" i="20"/>
  <c r="P1386" i="20"/>
  <c r="P777" i="20"/>
  <c r="O752" i="20"/>
  <c r="M150" i="20"/>
  <c r="N1284" i="20"/>
  <c r="Q1533" i="20"/>
  <c r="P717" i="20"/>
  <c r="P865" i="20"/>
  <c r="Q1070" i="20"/>
  <c r="O1487" i="20"/>
  <c r="P1140" i="20"/>
  <c r="O758" i="20"/>
  <c r="Q345" i="20"/>
  <c r="P1511" i="20"/>
  <c r="M239" i="20"/>
  <c r="O1450" i="20"/>
  <c r="P1567" i="20"/>
  <c r="M1470" i="20"/>
  <c r="M520" i="20"/>
  <c r="Q994" i="20"/>
  <c r="M341" i="20"/>
  <c r="O274" i="20"/>
  <c r="M1053" i="20"/>
  <c r="T1097" i="20"/>
  <c r="T1907" i="20"/>
  <c r="S1036" i="20"/>
  <c r="R952" i="20"/>
  <c r="T1595" i="20"/>
  <c r="S307" i="20"/>
  <c r="R1742" i="20"/>
  <c r="S302" i="20"/>
  <c r="S1736" i="20"/>
  <c r="T1741" i="20"/>
  <c r="T83" i="20"/>
  <c r="T1723" i="20"/>
  <c r="R1632" i="20"/>
  <c r="T182" i="20"/>
  <c r="T847" i="20"/>
  <c r="R1687" i="20"/>
  <c r="T1734" i="20"/>
  <c r="S1595" i="20"/>
  <c r="S1650" i="20"/>
  <c r="T1598" i="20"/>
  <c r="T1701" i="20"/>
  <c r="R88" i="20"/>
  <c r="R1670" i="20"/>
  <c r="R1793" i="20"/>
  <c r="R987" i="20"/>
  <c r="R1607" i="20"/>
  <c r="R1706" i="20"/>
  <c r="R1598" i="20"/>
  <c r="S1733" i="20"/>
  <c r="R922" i="20"/>
  <c r="S1668" i="20"/>
  <c r="S1724" i="20"/>
  <c r="S1081" i="20"/>
  <c r="S1678" i="20"/>
  <c r="S1752" i="20"/>
  <c r="T78" i="20"/>
  <c r="R971" i="20"/>
  <c r="T1706" i="20"/>
  <c r="R1849" i="20"/>
  <c r="S158" i="20"/>
  <c r="R872" i="20"/>
  <c r="T1635" i="20"/>
  <c r="M79" i="20"/>
  <c r="P753" i="20"/>
  <c r="Q1411" i="20"/>
  <c r="S1642" i="20"/>
  <c r="T1677" i="20"/>
  <c r="Q1440" i="20"/>
  <c r="O639" i="20"/>
  <c r="M489" i="20"/>
  <c r="M321" i="20"/>
  <c r="R1644" i="20"/>
  <c r="R147" i="20"/>
  <c r="R1691" i="20"/>
  <c r="T892" i="20"/>
  <c r="S142" i="20"/>
  <c r="R1750" i="20"/>
  <c r="S1632" i="20"/>
  <c r="T1710" i="20"/>
  <c r="S227" i="20"/>
  <c r="Q360" i="20"/>
  <c r="N671" i="20"/>
  <c r="P1010" i="20"/>
  <c r="M1315" i="20"/>
  <c r="Q1345" i="20"/>
  <c r="Q1003" i="20"/>
  <c r="Q1040" i="20"/>
  <c r="P310" i="20"/>
  <c r="Q1377" i="20"/>
  <c r="O254" i="20"/>
  <c r="O551" i="20"/>
  <c r="P1580" i="20"/>
  <c r="S1677" i="20"/>
  <c r="P366" i="20"/>
  <c r="T1702" i="20"/>
  <c r="R1717" i="20"/>
  <c r="N1292" i="20"/>
  <c r="Q1103" i="20"/>
  <c r="N708" i="20"/>
  <c r="M739" i="20"/>
  <c r="P244" i="20"/>
  <c r="M1326" i="20"/>
  <c r="M1435" i="20"/>
  <c r="M774" i="20"/>
  <c r="P79" i="20"/>
  <c r="O913" i="20"/>
  <c r="Q933" i="20"/>
  <c r="M567" i="20"/>
  <c r="O1305" i="20"/>
  <c r="M1305" i="20"/>
  <c r="M1114" i="20"/>
  <c r="N485" i="20"/>
  <c r="O1306" i="20"/>
  <c r="M1529" i="20"/>
  <c r="Q1348" i="20"/>
  <c r="N527" i="20"/>
  <c r="P185" i="20"/>
  <c r="M1554" i="20"/>
  <c r="Q325" i="20"/>
  <c r="O672" i="20"/>
  <c r="M703" i="20"/>
  <c r="Q344" i="20"/>
  <c r="N1083" i="20"/>
  <c r="O1055" i="20"/>
  <c r="R53" i="20"/>
  <c r="R1766" i="20"/>
  <c r="S1011" i="20"/>
  <c r="T1841" i="20"/>
  <c r="O1492" i="20"/>
  <c r="O543" i="20"/>
  <c r="P1540" i="20"/>
  <c r="N1364" i="20"/>
  <c r="P1541" i="20"/>
  <c r="P649" i="20"/>
  <c r="P1456" i="20"/>
  <c r="N1008" i="20"/>
  <c r="P340" i="20"/>
  <c r="P301" i="20"/>
  <c r="M1577" i="20"/>
  <c r="M502" i="20"/>
  <c r="N1060" i="20"/>
  <c r="M1079" i="20"/>
  <c r="N1546" i="20"/>
  <c r="M1343" i="20"/>
  <c r="Q518" i="20"/>
  <c r="M742" i="20"/>
  <c r="P1553" i="20"/>
  <c r="N697" i="20"/>
  <c r="N1058" i="20"/>
  <c r="Q369" i="20"/>
  <c r="P1113" i="20"/>
  <c r="Q1276" i="20"/>
  <c r="Q570" i="20"/>
  <c r="Q1568" i="20"/>
  <c r="M538" i="20"/>
  <c r="M251" i="20"/>
  <c r="R1778" i="20"/>
  <c r="S1788" i="20"/>
  <c r="M1279" i="20"/>
  <c r="M1384" i="20"/>
  <c r="O181" i="20"/>
  <c r="N1300" i="20"/>
  <c r="N156" i="20"/>
  <c r="P1427" i="20"/>
  <c r="M1410" i="20"/>
  <c r="N1019" i="20"/>
  <c r="Q159" i="20"/>
  <c r="N1462" i="20"/>
  <c r="P569" i="20"/>
  <c r="O1279" i="20"/>
  <c r="P1502" i="20"/>
  <c r="N1369" i="20"/>
  <c r="P160" i="20"/>
  <c r="M584" i="20"/>
  <c r="N1418" i="20"/>
  <c r="O356" i="20"/>
  <c r="P949" i="20"/>
  <c r="P582" i="20"/>
  <c r="O484" i="20"/>
  <c r="O1338" i="20"/>
  <c r="S47" i="20"/>
  <c r="R1833" i="20"/>
  <c r="S1606" i="20"/>
  <c r="R1633" i="20"/>
  <c r="P1577" i="20"/>
  <c r="P296" i="20"/>
  <c r="M1059" i="20"/>
  <c r="Q1403" i="20"/>
  <c r="O1495" i="20"/>
  <c r="M95" i="20"/>
  <c r="Q1508" i="20"/>
  <c r="Q115" i="20"/>
  <c r="P771" i="20"/>
  <c r="P1463" i="20"/>
  <c r="M1523" i="20"/>
  <c r="P564" i="20"/>
  <c r="M1339" i="20"/>
  <c r="M493" i="20"/>
  <c r="P1352" i="20"/>
  <c r="N146" i="20"/>
  <c r="O644" i="20"/>
  <c r="M1138" i="20"/>
  <c r="P727" i="20"/>
  <c r="P570" i="20"/>
  <c r="M1158" i="20"/>
  <c r="P895" i="20"/>
  <c r="M970" i="20"/>
  <c r="M336" i="20"/>
  <c r="N80" i="20"/>
  <c r="M536" i="20"/>
  <c r="Q1563" i="20"/>
  <c r="O1586" i="20"/>
  <c r="R911" i="20"/>
  <c r="R921" i="20"/>
  <c r="T1954" i="20"/>
  <c r="Q1409" i="20"/>
  <c r="Q527" i="20"/>
  <c r="O56" i="20"/>
  <c r="P354" i="20"/>
  <c r="N1579" i="20"/>
  <c r="M1285" i="20"/>
  <c r="M354" i="20"/>
  <c r="M558" i="20"/>
  <c r="O1354" i="20"/>
  <c r="O156" i="20"/>
  <c r="Q1320" i="20"/>
  <c r="Q537" i="20"/>
  <c r="P1522" i="20"/>
  <c r="Q1484" i="20"/>
  <c r="M311" i="20"/>
  <c r="P95" i="20"/>
  <c r="O145" i="20"/>
  <c r="M275" i="20"/>
  <c r="P511" i="20"/>
  <c r="N1110" i="20"/>
  <c r="P1466" i="20"/>
  <c r="Q988" i="20"/>
  <c r="M156" i="20"/>
  <c r="N336" i="20"/>
  <c r="O135" i="20"/>
  <c r="P1558" i="20"/>
  <c r="Q129" i="20"/>
  <c r="Q250" i="20"/>
  <c r="T1736" i="20"/>
  <c r="T183" i="20"/>
  <c r="R1634" i="20"/>
  <c r="T872" i="20"/>
  <c r="P514" i="20"/>
  <c r="M1434" i="20"/>
  <c r="M913" i="20"/>
  <c r="P781" i="20"/>
  <c r="O865" i="20"/>
  <c r="Q520" i="20"/>
  <c r="O565" i="20"/>
  <c r="M114" i="20"/>
  <c r="P1407" i="20"/>
  <c r="O589" i="20"/>
  <c r="O1003" i="20"/>
  <c r="M1421" i="20"/>
  <c r="P1108" i="20"/>
  <c r="M1378" i="20"/>
  <c r="M1324" i="20"/>
  <c r="O552" i="20"/>
  <c r="Q1069" i="20"/>
  <c r="T1764" i="20"/>
  <c r="R1127" i="20"/>
  <c r="T1082" i="20"/>
  <c r="S212" i="20"/>
  <c r="T363" i="20"/>
  <c r="T1675" i="20"/>
  <c r="S1608" i="20"/>
  <c r="T1766" i="20"/>
  <c r="S1673" i="20"/>
  <c r="R1798" i="20"/>
  <c r="T1750" i="20"/>
  <c r="R1675" i="20"/>
  <c r="S1097" i="20"/>
  <c r="T1770" i="20"/>
  <c r="T1731" i="20"/>
  <c r="N260" i="20"/>
  <c r="P1349" i="20"/>
  <c r="Q578" i="20"/>
  <c r="T1603" i="20"/>
  <c r="O662" i="20"/>
  <c r="O1395" i="20"/>
  <c r="N205" i="20"/>
  <c r="P1049" i="20"/>
  <c r="N316" i="20"/>
  <c r="P743" i="20"/>
  <c r="M1085" i="20"/>
  <c r="R1752" i="20"/>
  <c r="Q1456" i="20"/>
  <c r="Q885" i="20"/>
  <c r="M578" i="20"/>
  <c r="Q1364" i="20"/>
  <c r="O481" i="20"/>
  <c r="P220" i="20"/>
  <c r="M1145" i="20"/>
  <c r="P1563" i="20"/>
  <c r="O1049" i="20"/>
  <c r="Q1496" i="20"/>
  <c r="P150" i="20"/>
  <c r="Q661" i="20"/>
  <c r="O771" i="20"/>
  <c r="O1115" i="20"/>
  <c r="N1078" i="20"/>
  <c r="O244" i="20"/>
  <c r="Q1288" i="20"/>
  <c r="M1503" i="20"/>
  <c r="N786" i="20"/>
  <c r="T1714" i="20"/>
  <c r="O489" i="20"/>
  <c r="Q1015" i="20"/>
  <c r="P1464" i="20"/>
  <c r="N913" i="20"/>
  <c r="Q1084" i="20"/>
  <c r="Q374" i="20"/>
  <c r="O753" i="20"/>
  <c r="M681" i="20"/>
  <c r="Q768" i="20"/>
  <c r="Q261" i="20"/>
  <c r="O1555" i="20"/>
  <c r="T1091" i="20"/>
  <c r="M683" i="20"/>
  <c r="P1305" i="20"/>
  <c r="O1089" i="20"/>
  <c r="Q1427" i="20"/>
  <c r="M1494" i="20"/>
  <c r="P1135" i="20"/>
  <c r="O1523" i="20"/>
  <c r="P485" i="20"/>
  <c r="P1370" i="20"/>
  <c r="Q259" i="20"/>
  <c r="Q1494" i="20"/>
  <c r="R1032" i="20"/>
  <c r="M1342" i="20"/>
  <c r="P533" i="20"/>
  <c r="Q559" i="20"/>
  <c r="P1119" i="20"/>
  <c r="O1068" i="20"/>
  <c r="Q279" i="20"/>
  <c r="P266" i="20"/>
  <c r="M1461" i="20"/>
  <c r="N1309" i="20"/>
  <c r="Q491" i="20"/>
  <c r="P587" i="20"/>
  <c r="O1508" i="20"/>
  <c r="Q710" i="20"/>
  <c r="O1424" i="20"/>
  <c r="M546" i="20"/>
  <c r="O910" i="20"/>
  <c r="O1125" i="20"/>
  <c r="M1099" i="20"/>
  <c r="M80" i="20"/>
  <c r="R1648" i="20"/>
  <c r="S1730" i="20"/>
  <c r="S242" i="20"/>
  <c r="M736" i="20"/>
  <c r="O320" i="20"/>
  <c r="O1455" i="20"/>
  <c r="M498" i="20"/>
  <c r="M1414" i="20"/>
  <c r="N1539" i="20"/>
  <c r="O1123" i="20"/>
  <c r="N91" i="20"/>
  <c r="M1387" i="20"/>
  <c r="Q1298" i="20"/>
  <c r="O569" i="20"/>
  <c r="O91" i="20"/>
  <c r="O371" i="20"/>
  <c r="P1462" i="20"/>
  <c r="M524" i="20"/>
  <c r="O960" i="20"/>
  <c r="O690" i="20"/>
  <c r="N1277" i="20"/>
  <c r="P176" i="20"/>
  <c r="P1354" i="20"/>
  <c r="Q1054" i="20"/>
  <c r="O507" i="20"/>
  <c r="N1583" i="20"/>
  <c r="P1298" i="20"/>
  <c r="Q1073" i="20"/>
  <c r="N1411" i="20"/>
  <c r="P1500" i="20"/>
  <c r="N1306" i="20"/>
  <c r="N69" i="20"/>
  <c r="Q1452" i="20"/>
  <c r="M728" i="20"/>
  <c r="M75" i="20"/>
  <c r="O326" i="20"/>
  <c r="O339" i="20"/>
  <c r="O1070" i="20"/>
  <c r="O622" i="20"/>
  <c r="P1388" i="20"/>
  <c r="Q1571" i="20"/>
  <c r="M491" i="20"/>
  <c r="P175" i="20"/>
  <c r="M711" i="20"/>
  <c r="M1054" i="20"/>
  <c r="P639" i="20"/>
  <c r="M231" i="20"/>
  <c r="P280" i="20"/>
  <c r="M1015" i="20"/>
  <c r="N1352" i="20"/>
  <c r="N361" i="20"/>
  <c r="O1376" i="20"/>
  <c r="O642" i="20"/>
  <c r="Q525" i="20"/>
  <c r="N509" i="20"/>
  <c r="Q185" i="20"/>
  <c r="M1399" i="20"/>
  <c r="P481" i="20"/>
  <c r="O1058" i="20"/>
  <c r="N1372" i="20"/>
  <c r="M1385" i="20"/>
  <c r="N326" i="20"/>
  <c r="M484" i="20"/>
  <c r="P1160" i="20"/>
  <c r="O126" i="20"/>
  <c r="P191" i="20"/>
  <c r="M658" i="20"/>
  <c r="P737" i="20"/>
  <c r="O1532" i="20"/>
  <c r="M1564" i="20"/>
  <c r="Q1463" i="20"/>
  <c r="M1511" i="20"/>
  <c r="N60" i="20"/>
  <c r="N1421" i="20"/>
  <c r="N1303" i="20"/>
  <c r="M209" i="20"/>
  <c r="M924" i="20"/>
  <c r="P1499" i="20"/>
  <c r="O499" i="20"/>
  <c r="P144" i="20"/>
  <c r="P121" i="20"/>
  <c r="P1415" i="20"/>
  <c r="N944" i="20"/>
  <c r="P738" i="20"/>
  <c r="N621" i="20"/>
  <c r="N868" i="20"/>
  <c r="N575" i="20"/>
  <c r="O1375" i="20"/>
  <c r="N1103" i="20"/>
  <c r="N1563" i="20"/>
  <c r="N1562" i="20"/>
  <c r="M201" i="20"/>
  <c r="Q66" i="20"/>
  <c r="N2000" i="20"/>
  <c r="M1020" i="20"/>
  <c r="Q1285" i="20"/>
  <c r="Q955" i="20"/>
  <c r="O590" i="20"/>
  <c r="M1546" i="20"/>
  <c r="M1469" i="20"/>
  <c r="N196" i="20"/>
  <c r="O1050" i="20"/>
  <c r="Q1053" i="20"/>
  <c r="O1285" i="20"/>
  <c r="N1370" i="20"/>
  <c r="N979" i="20"/>
  <c r="M908" i="20"/>
  <c r="P154" i="20"/>
  <c r="N115" i="20"/>
  <c r="Q598" i="20"/>
  <c r="Q1473" i="20"/>
  <c r="O1275" i="20"/>
  <c r="Q244" i="20"/>
  <c r="M660" i="20"/>
  <c r="P1360" i="20"/>
  <c r="N1143" i="20"/>
  <c r="Q184" i="20"/>
  <c r="Q990" i="20"/>
  <c r="N777" i="20"/>
  <c r="P1589" i="20"/>
  <c r="N136" i="20"/>
  <c r="O741" i="20"/>
  <c r="P1359" i="20"/>
  <c r="M1590" i="20"/>
  <c r="M314" i="20"/>
  <c r="Q265" i="20"/>
  <c r="Q521" i="20"/>
  <c r="N978" i="20"/>
  <c r="M1485" i="20"/>
  <c r="O748" i="20"/>
  <c r="Q1552" i="20"/>
  <c r="P1543" i="20"/>
  <c r="M1110" i="20"/>
  <c r="Q1522" i="20"/>
  <c r="O796" i="20"/>
  <c r="P677" i="20"/>
  <c r="N335" i="20"/>
  <c r="N1023" i="20"/>
  <c r="M848" i="20"/>
  <c r="N1124" i="20"/>
  <c r="M1486" i="20"/>
  <c r="Q1432" i="20"/>
  <c r="N1363" i="20"/>
  <c r="P214" i="20"/>
  <c r="N570" i="20"/>
  <c r="N501" i="20"/>
  <c r="N888" i="20"/>
  <c r="Q673" i="20"/>
  <c r="O1155" i="20"/>
  <c r="P1015" i="20"/>
  <c r="O1561" i="20"/>
  <c r="M914" i="20"/>
  <c r="M646" i="20"/>
  <c r="M266" i="20"/>
  <c r="P105" i="20"/>
  <c r="Q234" i="20"/>
  <c r="P1029" i="20"/>
  <c r="O585" i="20"/>
  <c r="P1023" i="20"/>
  <c r="P1449" i="20"/>
  <c r="M738" i="20"/>
  <c r="P1356" i="20"/>
  <c r="P671" i="20"/>
  <c r="Q1380" i="20"/>
  <c r="O663" i="20"/>
  <c r="S1888" i="20"/>
  <c r="T1062" i="20"/>
  <c r="S1784" i="20"/>
  <c r="R358" i="20"/>
  <c r="T327" i="20"/>
  <c r="R1794" i="20"/>
  <c r="T1951" i="20"/>
  <c r="R1889" i="20"/>
  <c r="R1844" i="20"/>
  <c r="S1600" i="20"/>
  <c r="S1826" i="20"/>
  <c r="R153" i="20"/>
  <c r="S63" i="20"/>
  <c r="S1935" i="20"/>
  <c r="P294" i="20"/>
  <c r="Q1395" i="20"/>
  <c r="O300" i="20"/>
  <c r="T1833" i="20"/>
  <c r="O335" i="20"/>
  <c r="M649" i="20"/>
  <c r="Q1404" i="20"/>
  <c r="M1566" i="20"/>
  <c r="N269" i="20"/>
  <c r="Q89" i="20"/>
  <c r="N1079" i="20"/>
  <c r="T1720" i="20"/>
  <c r="Q1428" i="20"/>
  <c r="N539" i="20"/>
  <c r="M256" i="20"/>
  <c r="Q574" i="20"/>
  <c r="M60" i="20"/>
  <c r="M149" i="20"/>
  <c r="N276" i="20"/>
  <c r="Q530" i="20"/>
  <c r="Q950" i="20"/>
  <c r="M1148" i="20"/>
  <c r="O583" i="20"/>
  <c r="T1688" i="20"/>
  <c r="M1334" i="20"/>
  <c r="P592" i="20"/>
  <c r="M1153" i="20"/>
  <c r="M1397" i="20"/>
  <c r="N155" i="20"/>
  <c r="M49" i="20"/>
  <c r="M1443" i="20"/>
  <c r="Q964" i="20"/>
  <c r="T1859" i="20"/>
  <c r="O576" i="20"/>
  <c r="M730" i="20"/>
  <c r="M571" i="20"/>
  <c r="M563" i="20"/>
  <c r="M1276" i="20"/>
  <c r="O1315" i="20"/>
  <c r="P329" i="20"/>
  <c r="P1321" i="20"/>
  <c r="P1525" i="20"/>
  <c r="Q1065" i="20"/>
  <c r="P1545" i="20"/>
  <c r="S887" i="20"/>
  <c r="O1461" i="20"/>
  <c r="O558" i="20"/>
  <c r="Q1561" i="20"/>
  <c r="P858" i="20"/>
  <c r="M1548" i="20"/>
  <c r="M950" i="20"/>
  <c r="O189" i="20"/>
  <c r="N1476" i="20"/>
  <c r="N160" i="20"/>
  <c r="Q1043" i="20"/>
  <c r="P789" i="20"/>
  <c r="S1715" i="20"/>
  <c r="O482" i="20"/>
  <c r="M1104" i="20"/>
  <c r="Q529" i="20"/>
  <c r="N371" i="20"/>
  <c r="M1274" i="20"/>
  <c r="P365" i="20"/>
  <c r="O1384" i="20"/>
  <c r="M721" i="20"/>
  <c r="N530" i="20"/>
  <c r="Q1472" i="20"/>
  <c r="O490" i="20"/>
  <c r="M1340" i="20"/>
  <c r="M935" i="20"/>
  <c r="P1410" i="20"/>
  <c r="P1387" i="20"/>
  <c r="N234" i="20"/>
  <c r="Q1553" i="20"/>
  <c r="Q1334" i="20"/>
  <c r="P1336" i="20"/>
  <c r="S1850" i="20"/>
  <c r="S932" i="20"/>
  <c r="R992" i="20"/>
  <c r="N484" i="20"/>
  <c r="N1283" i="20"/>
  <c r="Q291" i="20"/>
  <c r="P196" i="20"/>
  <c r="M1436" i="20"/>
  <c r="Q930" i="20"/>
  <c r="P251" i="20"/>
  <c r="Q637" i="20"/>
  <c r="M1050" i="20"/>
  <c r="P512" i="20"/>
  <c r="M316" i="20"/>
  <c r="M676" i="20"/>
  <c r="Q1435" i="20"/>
  <c r="M497" i="20"/>
  <c r="Q482" i="20"/>
  <c r="N150" i="20"/>
  <c r="Q55" i="20"/>
  <c r="M928" i="20"/>
  <c r="P536" i="20"/>
  <c r="M564" i="20"/>
  <c r="Q94" i="20"/>
  <c r="M1344" i="20"/>
  <c r="N1451" i="20"/>
  <c r="O1982" i="20"/>
  <c r="Q920" i="20"/>
  <c r="N1328" i="20"/>
  <c r="Q104" i="20"/>
  <c r="P675" i="20"/>
  <c r="Q1558" i="20"/>
  <c r="N939" i="20"/>
  <c r="Q1550" i="20"/>
  <c r="N1414" i="20"/>
  <c r="Q330" i="20"/>
  <c r="N538" i="20"/>
  <c r="N899" i="20"/>
  <c r="M1530" i="20"/>
  <c r="O1379" i="20"/>
  <c r="M993" i="20"/>
  <c r="Q949" i="20"/>
  <c r="P1020" i="20"/>
  <c r="N1376" i="20"/>
  <c r="Q571" i="20"/>
  <c r="M1391" i="20"/>
  <c r="Q751" i="20"/>
  <c r="Q1369" i="20"/>
  <c r="P1420" i="20"/>
  <c r="Q531" i="20"/>
  <c r="N1576" i="20"/>
  <c r="N1123" i="20"/>
  <c r="P1128" i="20"/>
  <c r="Q794" i="20"/>
  <c r="M1291" i="20"/>
  <c r="O1528" i="20"/>
  <c r="N1409" i="20"/>
  <c r="P650" i="20"/>
  <c r="Q224" i="20"/>
  <c r="M1591" i="20"/>
  <c r="Q1497" i="20"/>
  <c r="O738" i="20"/>
  <c r="M279" i="20"/>
  <c r="Q1310" i="20"/>
  <c r="Q1104" i="20"/>
  <c r="M50" i="20"/>
  <c r="N1297" i="20"/>
  <c r="Q189" i="20"/>
  <c r="N1050" i="20"/>
  <c r="O1400" i="20"/>
  <c r="N925" i="20"/>
  <c r="O914" i="20"/>
  <c r="M707" i="20"/>
  <c r="M1587" i="20"/>
  <c r="M161" i="20"/>
  <c r="O999" i="20"/>
  <c r="O954" i="20"/>
  <c r="Q722" i="20"/>
  <c r="N231" i="20"/>
  <c r="N1020" i="20"/>
  <c r="Q507" i="20"/>
  <c r="O703" i="20"/>
  <c r="M1351" i="20"/>
  <c r="Q69" i="20"/>
  <c r="N1287" i="20"/>
  <c r="M769" i="20"/>
  <c r="P712" i="20"/>
  <c r="N560" i="20"/>
  <c r="Q1293" i="20"/>
  <c r="O1505" i="20"/>
  <c r="P246" i="20"/>
  <c r="Q599" i="20"/>
  <c r="N330" i="20"/>
  <c r="N1966" i="20"/>
  <c r="O1438" i="20"/>
  <c r="P955" i="20"/>
  <c r="N106" i="20"/>
  <c r="N1437" i="20"/>
  <c r="N750" i="20"/>
  <c r="N145" i="20"/>
  <c r="R287" i="20"/>
  <c r="S223" i="20"/>
  <c r="T1930" i="20"/>
  <c r="S1077" i="20"/>
  <c r="R242" i="20"/>
  <c r="S1721" i="20"/>
  <c r="R912" i="20"/>
  <c r="R1608" i="20"/>
  <c r="S1748" i="20"/>
  <c r="S1726" i="20"/>
  <c r="R1652" i="20"/>
  <c r="S1605" i="20"/>
  <c r="T1162" i="20"/>
  <c r="S288" i="20"/>
  <c r="P1569" i="20"/>
  <c r="Q1318" i="20"/>
  <c r="P493" i="20"/>
  <c r="R78" i="20"/>
  <c r="P334" i="20"/>
  <c r="P1411" i="20"/>
  <c r="P374" i="20"/>
  <c r="O119" i="20"/>
  <c r="N582" i="20"/>
  <c r="M974" i="20"/>
  <c r="O588" i="20"/>
  <c r="M486" i="20"/>
  <c r="O930" i="20"/>
  <c r="O121" i="20"/>
  <c r="M727" i="20"/>
  <c r="M553" i="20"/>
  <c r="N1588" i="20"/>
  <c r="M638" i="20"/>
  <c r="Q1469" i="20"/>
  <c r="N1291" i="20"/>
  <c r="P1109" i="20"/>
  <c r="Q1543" i="20"/>
  <c r="N81" i="20"/>
  <c r="T272" i="20"/>
  <c r="M1514" i="20"/>
  <c r="O1119" i="20"/>
  <c r="N1294" i="20"/>
  <c r="M1513" i="20"/>
  <c r="P1532" i="20"/>
  <c r="Q1420" i="20"/>
  <c r="O895" i="20"/>
  <c r="P1363" i="20"/>
  <c r="S1821" i="20"/>
  <c r="O492" i="20"/>
  <c r="O1370" i="20"/>
  <c r="Q858" i="20"/>
  <c r="O950" i="20"/>
  <c r="Q1374" i="20"/>
  <c r="P711" i="20"/>
  <c r="P94" i="20"/>
  <c r="Q1163" i="20"/>
  <c r="M286" i="20"/>
  <c r="Q668" i="20"/>
  <c r="N1474" i="20"/>
  <c r="T53" i="20"/>
  <c r="O885" i="20"/>
  <c r="P1482" i="20"/>
  <c r="M1070" i="20"/>
  <c r="P653" i="20"/>
  <c r="Q1154" i="20"/>
  <c r="Q310" i="20"/>
  <c r="O864" i="20"/>
  <c r="N1413" i="20"/>
  <c r="P530" i="20"/>
  <c r="O1164" i="20"/>
  <c r="T1136" i="20"/>
  <c r="R1077" i="20"/>
  <c r="Q1547" i="20"/>
  <c r="N964" i="20"/>
  <c r="Q1510" i="20"/>
  <c r="P291" i="20"/>
  <c r="P518" i="20"/>
  <c r="P1030" i="20"/>
  <c r="O526" i="20"/>
  <c r="P1555" i="20"/>
  <c r="Q170" i="20"/>
  <c r="P145" i="20"/>
  <c r="M91" i="20"/>
  <c r="M985" i="20"/>
  <c r="Q91" i="20"/>
  <c r="O1380" i="20"/>
  <c r="N782" i="20"/>
  <c r="Q125" i="20"/>
  <c r="N873" i="20"/>
  <c r="O1516" i="20"/>
  <c r="N1395" i="20"/>
  <c r="R117" i="20"/>
  <c r="S1922" i="20"/>
  <c r="S882" i="20"/>
  <c r="Q1375" i="20"/>
  <c r="O1074" i="20"/>
  <c r="P978" i="20"/>
  <c r="O1331" i="20"/>
  <c r="P584" i="20"/>
  <c r="Q119" i="20"/>
  <c r="M1329" i="20"/>
  <c r="M364" i="20"/>
  <c r="P324" i="20"/>
  <c r="Q1292" i="20"/>
  <c r="Q1517" i="20"/>
  <c r="P546" i="20"/>
  <c r="M1451" i="20"/>
  <c r="N1356" i="20"/>
  <c r="N520" i="20"/>
  <c r="Q576" i="20"/>
  <c r="O296" i="20"/>
  <c r="P1075" i="20"/>
  <c r="P1417" i="20"/>
  <c r="N605" i="20"/>
  <c r="O354" i="20"/>
  <c r="P658" i="20"/>
  <c r="N924" i="20"/>
  <c r="P611" i="20"/>
  <c r="M294" i="20"/>
  <c r="M959" i="20"/>
  <c r="O1560" i="20"/>
  <c r="N1573" i="20"/>
  <c r="Q948" i="20"/>
  <c r="O920" i="20"/>
  <c r="Q592" i="20"/>
  <c r="N668" i="20"/>
  <c r="N1028" i="20"/>
  <c r="N865" i="20"/>
  <c r="O1351" i="20"/>
  <c r="O1585" i="20"/>
  <c r="M1432" i="20"/>
  <c r="M1534" i="20"/>
  <c r="N1389" i="20"/>
  <c r="M1093" i="20"/>
  <c r="N742" i="20"/>
  <c r="M356" i="20"/>
  <c r="O1298" i="20"/>
  <c r="M301" i="20"/>
  <c r="Q1134" i="20"/>
  <c r="Q71" i="20"/>
  <c r="P919" i="20"/>
  <c r="M1288" i="20"/>
  <c r="P135" i="20"/>
  <c r="O1417" i="20"/>
  <c r="O54" i="20"/>
  <c r="Q515" i="20"/>
  <c r="O224" i="20"/>
  <c r="P1474" i="20"/>
  <c r="M1972" i="20"/>
  <c r="N975" i="20"/>
  <c r="O519" i="20"/>
  <c r="M870" i="20"/>
  <c r="O747" i="20"/>
  <c r="N1566" i="20"/>
  <c r="Q543" i="20"/>
  <c r="M186" i="20"/>
  <c r="P1159" i="20"/>
  <c r="Q1382" i="20"/>
  <c r="P1050" i="20"/>
  <c r="N1431" i="20"/>
  <c r="P315" i="20"/>
  <c r="M1508" i="20"/>
  <c r="Q746" i="20"/>
  <c r="M331" i="20"/>
  <c r="O290" i="20"/>
  <c r="Q969" i="20"/>
  <c r="N763" i="20"/>
  <c r="N1403" i="20"/>
  <c r="M124" i="20"/>
  <c r="P643" i="20"/>
  <c r="P1155" i="20"/>
  <c r="P1306" i="20"/>
  <c r="O666" i="20"/>
  <c r="P261" i="20"/>
  <c r="M1040" i="20"/>
  <c r="P669" i="20"/>
  <c r="N1467" i="20"/>
  <c r="P1168" i="20"/>
  <c r="P295" i="20"/>
  <c r="M763" i="20"/>
  <c r="N1497" i="20"/>
  <c r="M1401" i="20"/>
  <c r="N170" i="20"/>
  <c r="M593" i="20"/>
  <c r="N488" i="20"/>
  <c r="N573" i="20"/>
  <c r="N1365" i="20"/>
  <c r="Q146" i="20"/>
  <c r="O875" i="20"/>
  <c r="M1581" i="20"/>
  <c r="O648" i="20"/>
  <c r="O279" i="20"/>
  <c r="P210" i="20"/>
  <c r="M698" i="20"/>
  <c r="P1287" i="20"/>
  <c r="N1512" i="20"/>
  <c r="P1884" i="20"/>
  <c r="M1118" i="20"/>
  <c r="N795" i="20"/>
  <c r="P970" i="20"/>
  <c r="N1468" i="20"/>
  <c r="O246" i="20"/>
  <c r="P1058" i="20"/>
  <c r="N1378" i="20"/>
  <c r="O505" i="20"/>
  <c r="N577" i="20"/>
  <c r="N1587" i="20"/>
  <c r="P1309" i="20"/>
  <c r="M1035" i="20"/>
  <c r="Q1387" i="20"/>
  <c r="N1148" i="20"/>
  <c r="M496" i="20"/>
  <c r="P524" i="20"/>
  <c r="N637" i="20"/>
  <c r="M1538" i="20"/>
  <c r="N724" i="20"/>
  <c r="Q1447" i="20"/>
  <c r="P1412" i="20"/>
  <c r="P1548" i="20"/>
  <c r="O1324" i="20"/>
  <c r="P90" i="20"/>
  <c r="N1545" i="20"/>
  <c r="M746" i="20"/>
  <c r="Q873" i="20"/>
  <c r="P1008" i="20"/>
  <c r="O778" i="20"/>
  <c r="Q349" i="20"/>
  <c r="N973" i="20"/>
  <c r="P657" i="20"/>
  <c r="Q1962" i="20"/>
  <c r="N1505" i="20"/>
  <c r="O355" i="20"/>
  <c r="M765" i="20"/>
  <c r="P874" i="20"/>
  <c r="N300" i="20"/>
  <c r="M983" i="20"/>
  <c r="O702" i="20"/>
  <c r="Q1445" i="20"/>
  <c r="P855" i="20"/>
  <c r="Q1284" i="20"/>
  <c r="Q1344" i="20"/>
  <c r="N1029" i="20"/>
  <c r="N1354" i="20"/>
  <c r="Q796" i="20"/>
  <c r="N179" i="20"/>
  <c r="N711" i="20"/>
  <c r="M270" i="20"/>
  <c r="P1054" i="20"/>
  <c r="O928" i="20"/>
  <c r="P634" i="20"/>
  <c r="Q64" i="20"/>
  <c r="N1279" i="20"/>
  <c r="P1573" i="20"/>
  <c r="N883" i="20"/>
  <c r="M582" i="20"/>
  <c r="N503" i="20"/>
  <c r="T328" i="20"/>
  <c r="S1047" i="20"/>
  <c r="R1765" i="20"/>
  <c r="R1903" i="20"/>
  <c r="T1858" i="20"/>
  <c r="T1604" i="20"/>
  <c r="R1052" i="20"/>
  <c r="S1121" i="20"/>
  <c r="S1767" i="20"/>
  <c r="S282" i="20"/>
  <c r="R1669" i="20"/>
  <c r="S1621" i="20"/>
  <c r="R232" i="20"/>
  <c r="T1910" i="20"/>
  <c r="P1368" i="20"/>
  <c r="P1346" i="20"/>
  <c r="N1537" i="20"/>
  <c r="T1132" i="20"/>
  <c r="M1371" i="20"/>
  <c r="M580" i="20"/>
  <c r="P336" i="20"/>
  <c r="M874" i="20"/>
  <c r="Q1164" i="20"/>
  <c r="P1055" i="20"/>
  <c r="P782" i="20"/>
  <c r="T956" i="20"/>
  <c r="O788" i="20"/>
  <c r="M1292" i="20"/>
  <c r="M1333" i="20"/>
  <c r="O544" i="20"/>
  <c r="P1529" i="20"/>
  <c r="P1005" i="20"/>
  <c r="Q1300" i="20"/>
  <c r="Q1519" i="20"/>
  <c r="M516" i="20"/>
  <c r="N768" i="20"/>
  <c r="P565" i="20"/>
  <c r="S103" i="20"/>
  <c r="O732" i="20"/>
  <c r="N919" i="20"/>
  <c r="N1454" i="20"/>
  <c r="P571" i="20"/>
  <c r="Q1396" i="20"/>
  <c r="P521" i="20"/>
  <c r="O1513" i="20"/>
  <c r="O918" i="20"/>
  <c r="S1607" i="20"/>
  <c r="N1315" i="20"/>
  <c r="N562" i="20"/>
  <c r="P589" i="20"/>
  <c r="Q1560" i="20"/>
  <c r="N1033" i="20"/>
  <c r="M1065" i="20"/>
  <c r="Q284" i="20"/>
  <c r="O1110" i="20"/>
  <c r="O511" i="20"/>
  <c r="N340" i="20"/>
  <c r="O284" i="20"/>
  <c r="T911" i="20"/>
  <c r="Q1442" i="20"/>
  <c r="Q1312" i="20"/>
  <c r="O1428" i="20"/>
  <c r="M1074" i="20"/>
  <c r="O1454" i="20"/>
  <c r="O130" i="20"/>
  <c r="M1515" i="20"/>
  <c r="M1440" i="20"/>
  <c r="M245" i="20"/>
  <c r="Q346" i="20"/>
  <c r="R128" i="20"/>
  <c r="R1764" i="20"/>
  <c r="M1558" i="20"/>
  <c r="Q1321" i="20"/>
  <c r="P1277" i="20"/>
  <c r="Q180" i="20"/>
  <c r="M1049" i="20"/>
  <c r="Q235" i="20"/>
  <c r="Q1340" i="20"/>
  <c r="Q499" i="20"/>
  <c r="P560" i="20"/>
  <c r="N71" i="20"/>
  <c r="N1344" i="20"/>
  <c r="O1502" i="20"/>
  <c r="N1441" i="20"/>
  <c r="P1369" i="20"/>
  <c r="O547" i="20"/>
  <c r="N1561" i="20"/>
  <c r="O488" i="20"/>
  <c r="Q589" i="20"/>
  <c r="M1442" i="20"/>
  <c r="S68" i="20"/>
  <c r="R842" i="20"/>
  <c r="T92" i="20"/>
  <c r="P355" i="20"/>
  <c r="N855" i="20"/>
  <c r="O1483" i="20"/>
  <c r="P843" i="20"/>
  <c r="Q1520" i="20"/>
  <c r="M344" i="20"/>
  <c r="M1495" i="20"/>
  <c r="P1582" i="20"/>
  <c r="Q534" i="20"/>
  <c r="Q1311" i="20"/>
  <c r="M1400" i="20"/>
  <c r="M295" i="20"/>
  <c r="P200" i="20"/>
  <c r="M1144" i="20"/>
  <c r="Q70" i="20"/>
  <c r="Q1337" i="20"/>
  <c r="P691" i="20"/>
  <c r="P111" i="20"/>
  <c r="Q709" i="20"/>
  <c r="N1584" i="20"/>
  <c r="P494" i="20"/>
  <c r="P698" i="20"/>
  <c r="Q326" i="20"/>
  <c r="M86" i="20"/>
  <c r="P1434" i="20"/>
  <c r="O1576" i="20"/>
  <c r="N1540" i="20"/>
  <c r="N1361" i="20"/>
  <c r="N950" i="20"/>
  <c r="P637" i="20"/>
  <c r="N1957" i="20"/>
  <c r="P345" i="20"/>
  <c r="P1578" i="20"/>
  <c r="Q678" i="20"/>
  <c r="M1354" i="20"/>
  <c r="Q1342" i="20"/>
  <c r="Q989" i="20"/>
  <c r="Q586" i="20"/>
  <c r="N1487" i="20"/>
  <c r="Q688" i="20"/>
  <c r="Q1505" i="20"/>
  <c r="N864" i="20"/>
  <c r="N522" i="20"/>
  <c r="N1130" i="20"/>
  <c r="Q1419" i="20"/>
  <c r="O1277" i="20"/>
  <c r="M785" i="20"/>
  <c r="M1541" i="20"/>
  <c r="M1580" i="20"/>
  <c r="P783" i="20"/>
  <c r="Q1418" i="20"/>
  <c r="N677" i="20"/>
  <c r="M1473" i="20"/>
  <c r="M1560" i="20"/>
  <c r="N171" i="20"/>
  <c r="O559" i="20"/>
  <c r="Q697" i="20"/>
  <c r="Q140" i="20"/>
  <c r="Q601" i="20"/>
  <c r="N1516" i="20"/>
  <c r="M850" i="20"/>
  <c r="O1369" i="20"/>
  <c r="M1550" i="20"/>
  <c r="Q1433" i="20"/>
  <c r="N513" i="20"/>
  <c r="P539" i="20"/>
  <c r="Q95" i="20"/>
  <c r="M559" i="20"/>
  <c r="N1321" i="20"/>
  <c r="M1445" i="20"/>
  <c r="P575" i="20"/>
  <c r="M184" i="20"/>
  <c r="O531" i="20"/>
  <c r="O321" i="20"/>
  <c r="P924" i="20"/>
  <c r="Q609" i="20"/>
  <c r="O969" i="20"/>
  <c r="P994" i="20"/>
  <c r="Q679" i="20"/>
  <c r="O1140" i="20"/>
  <c r="M360" i="20"/>
  <c r="Q1401" i="20"/>
  <c r="M618" i="20"/>
  <c r="N1503" i="20"/>
  <c r="N1460" i="20"/>
  <c r="N771" i="20"/>
  <c r="N1429" i="20"/>
  <c r="M657" i="20"/>
  <c r="O699" i="20"/>
  <c r="M589" i="20"/>
  <c r="Q139" i="20"/>
  <c r="M654" i="20"/>
  <c r="O518" i="20"/>
  <c r="O571" i="20"/>
  <c r="M1377" i="20"/>
  <c r="P199" i="20"/>
  <c r="O1548" i="20"/>
  <c r="S263" i="20"/>
  <c r="R1839" i="20"/>
  <c r="T1898" i="20"/>
  <c r="T187" i="20"/>
  <c r="R1780" i="20"/>
  <c r="R182" i="20"/>
  <c r="S1670" i="20"/>
  <c r="T887" i="20"/>
  <c r="R108" i="20"/>
  <c r="S982" i="20"/>
  <c r="R1612" i="20"/>
  <c r="R107" i="20"/>
  <c r="R1931" i="20"/>
  <c r="T237" i="20"/>
  <c r="Q1431" i="20"/>
  <c r="N1317" i="20"/>
  <c r="N1564" i="20"/>
  <c r="T1621" i="20"/>
  <c r="Q1302" i="20"/>
  <c r="P772" i="20"/>
  <c r="Q585" i="20"/>
  <c r="N301" i="20"/>
  <c r="M948" i="20"/>
  <c r="P499" i="20"/>
  <c r="P523" i="20"/>
  <c r="O566" i="20"/>
  <c r="Q568" i="20"/>
  <c r="O1030" i="20"/>
  <c r="Q1115" i="20"/>
  <c r="Q513" i="20"/>
  <c r="O647" i="20"/>
  <c r="M126" i="20"/>
  <c r="O245" i="20"/>
  <c r="O285" i="20"/>
  <c r="N1089" i="20"/>
  <c r="O1383" i="20"/>
  <c r="T238" i="20"/>
  <c r="T48" i="20"/>
  <c r="P84" i="20"/>
  <c r="N206" i="20"/>
  <c r="O1113" i="20"/>
  <c r="O485" i="20"/>
  <c r="P1575" i="20"/>
  <c r="N1298" i="20"/>
  <c r="Q663" i="20"/>
  <c r="S153" i="20"/>
  <c r="S118" i="20"/>
  <c r="O276" i="20"/>
  <c r="M1588" i="20"/>
  <c r="O1522" i="20"/>
  <c r="M259" i="20"/>
  <c r="Q1486" i="20"/>
  <c r="M369" i="20"/>
  <c r="M305" i="20"/>
  <c r="O266" i="20"/>
  <c r="P528" i="20"/>
  <c r="Q1055" i="20"/>
  <c r="T1715" i="20"/>
  <c r="T1646" i="20"/>
  <c r="O1456" i="20"/>
  <c r="P1494" i="20"/>
  <c r="M1169" i="20"/>
  <c r="P1416" i="20"/>
  <c r="O530" i="20"/>
  <c r="P1441" i="20"/>
  <c r="Q256" i="20"/>
  <c r="Q1365" i="20"/>
  <c r="P1564" i="20"/>
  <c r="Q1388" i="20"/>
  <c r="S128" i="20"/>
  <c r="R1689" i="20"/>
  <c r="P1401" i="20"/>
  <c r="O713" i="20"/>
  <c r="P1083" i="20"/>
  <c r="P529" i="20"/>
  <c r="O1494" i="20"/>
  <c r="M1487" i="20"/>
  <c r="O369" i="20"/>
  <c r="Q1296" i="20"/>
  <c r="Q516" i="20"/>
  <c r="Q683" i="20"/>
  <c r="P1509" i="20"/>
  <c r="O953" i="20"/>
  <c r="M1412" i="20"/>
  <c r="P508" i="20"/>
  <c r="Q1361" i="20"/>
  <c r="O517" i="20"/>
  <c r="Q1572" i="20"/>
  <c r="M1143" i="20"/>
  <c r="O1014" i="20"/>
  <c r="S1945" i="20"/>
  <c r="T1946" i="20"/>
  <c r="R1599" i="20"/>
  <c r="O772" i="20"/>
  <c r="N772" i="20"/>
  <c r="P1559" i="20"/>
  <c r="M973" i="20"/>
  <c r="O1570" i="20"/>
  <c r="M1383" i="20"/>
  <c r="M539" i="20"/>
  <c r="P1288" i="20"/>
  <c r="M796" i="20"/>
  <c r="Q214" i="20"/>
  <c r="O185" i="20"/>
  <c r="O1139" i="20"/>
  <c r="O1413" i="20"/>
  <c r="Q561" i="20"/>
  <c r="P371" i="20"/>
  <c r="Q493" i="20"/>
  <c r="N1519" i="20"/>
  <c r="O161" i="20"/>
  <c r="M754" i="20"/>
  <c r="P1469" i="20"/>
  <c r="N525" i="20"/>
  <c r="P898" i="20"/>
  <c r="O777" i="20"/>
  <c r="Q775" i="20"/>
  <c r="O1429" i="20"/>
  <c r="P878" i="20"/>
  <c r="O627" i="20"/>
  <c r="N696" i="20"/>
  <c r="P875" i="20"/>
  <c r="Q225" i="20"/>
  <c r="N249" i="20"/>
  <c r="N791" i="20"/>
  <c r="O236" i="20"/>
  <c r="O165" i="20"/>
  <c r="O1134" i="20"/>
  <c r="O701" i="20"/>
  <c r="N1351" i="20"/>
  <c r="O146" i="20"/>
  <c r="Q1352" i="20"/>
  <c r="N220" i="20"/>
  <c r="P975" i="20"/>
  <c r="P579" i="20"/>
  <c r="N1465" i="20"/>
  <c r="M130" i="20"/>
  <c r="Q643" i="20"/>
  <c r="N521" i="20"/>
  <c r="O1590" i="20"/>
  <c r="O1582" i="20"/>
  <c r="P49" i="20"/>
  <c r="N974" i="20"/>
  <c r="M1394" i="20"/>
  <c r="N885" i="20"/>
  <c r="N56" i="20"/>
  <c r="M1362" i="20"/>
  <c r="Q1586" i="20"/>
  <c r="Q305" i="20"/>
  <c r="M64" i="20"/>
  <c r="O783" i="20"/>
  <c r="P1992" i="20"/>
  <c r="N556" i="20"/>
  <c r="M786" i="20"/>
  <c r="M777" i="20"/>
  <c r="P873" i="20"/>
  <c r="M1308" i="20"/>
  <c r="M481" i="20"/>
  <c r="M865" i="20"/>
  <c r="O136" i="20"/>
  <c r="Q1093" i="20"/>
  <c r="O1307" i="20"/>
  <c r="P1308" i="20"/>
  <c r="P662" i="20"/>
  <c r="O1345" i="20"/>
  <c r="O730" i="20"/>
  <c r="N1567" i="20"/>
  <c r="M706" i="20"/>
  <c r="O904" i="20"/>
  <c r="N1392" i="20"/>
  <c r="Q1555" i="20"/>
  <c r="M1987" i="20"/>
  <c r="O709" i="20"/>
  <c r="P70" i="20"/>
  <c r="M194" i="20"/>
  <c r="N588" i="20"/>
  <c r="P1560" i="20"/>
  <c r="O919" i="20"/>
  <c r="N1359" i="20"/>
  <c r="N1547" i="20"/>
  <c r="O870" i="20"/>
  <c r="O711" i="20"/>
  <c r="P629" i="20"/>
  <c r="N920" i="20"/>
  <c r="Q878" i="20"/>
  <c r="Q1009" i="20"/>
  <c r="O1024" i="20"/>
  <c r="M1297" i="20"/>
  <c r="M575" i="20"/>
  <c r="M1439" i="20"/>
  <c r="O311" i="20"/>
  <c r="O653" i="20"/>
  <c r="Q181" i="20"/>
  <c r="Q155" i="20"/>
  <c r="N1424" i="20"/>
  <c r="N675" i="20"/>
  <c r="N1323" i="20"/>
  <c r="O893" i="20"/>
  <c r="N698" i="20"/>
  <c r="N545" i="20"/>
  <c r="P1345" i="20"/>
  <c r="P1447" i="20"/>
  <c r="O721" i="20"/>
  <c r="Q1078" i="20"/>
  <c r="Q634" i="20"/>
  <c r="P1964" i="20"/>
  <c r="P1276" i="20"/>
  <c r="N1154" i="20"/>
  <c r="N1495" i="20"/>
  <c r="N984" i="20"/>
  <c r="N284" i="20"/>
  <c r="O733" i="20"/>
  <c r="N1996" i="20"/>
  <c r="O696" i="20"/>
  <c r="N1286" i="20"/>
  <c r="N164" i="20"/>
  <c r="Q1108" i="20"/>
  <c r="M1284" i="20"/>
  <c r="O1276" i="20"/>
  <c r="P776" i="20"/>
  <c r="P914" i="20"/>
  <c r="M889" i="20"/>
  <c r="Q511" i="20"/>
  <c r="P652" i="20"/>
  <c r="N1548" i="20"/>
  <c r="O1323" i="20"/>
  <c r="Q1360" i="20"/>
  <c r="N1533" i="20"/>
  <c r="Q690" i="20"/>
  <c r="N1515" i="20"/>
  <c r="N654" i="20"/>
  <c r="O903" i="20"/>
  <c r="P1442" i="20"/>
  <c r="N712" i="20"/>
  <c r="P305" i="20"/>
  <c r="O652" i="20"/>
  <c r="P369" i="20"/>
  <c r="O1095" i="20"/>
  <c r="M1336" i="20"/>
  <c r="N954" i="20"/>
  <c r="P331" i="20"/>
  <c r="P954" i="20"/>
  <c r="M306" i="20"/>
  <c r="P241" i="20"/>
  <c r="M490" i="20"/>
  <c r="M512" i="20"/>
  <c r="P516" i="20"/>
  <c r="Q1502" i="20"/>
  <c r="M495" i="20"/>
  <c r="N1559" i="20"/>
  <c r="N1589" i="20"/>
  <c r="N1402" i="20"/>
  <c r="P953" i="20"/>
  <c r="M1504" i="20"/>
  <c r="M647" i="20"/>
  <c r="S308" i="20"/>
  <c r="R857" i="20"/>
  <c r="R1928" i="20"/>
  <c r="S1871" i="20"/>
  <c r="T1845" i="20"/>
  <c r="R1022" i="20"/>
  <c r="R1929" i="20"/>
  <c r="R1852" i="20"/>
  <c r="S876" i="20"/>
  <c r="S1653" i="20"/>
  <c r="R62" i="20"/>
  <c r="S1684" i="20"/>
  <c r="R213" i="20"/>
  <c r="T1888" i="20"/>
  <c r="Q960" i="20"/>
  <c r="P681" i="20"/>
  <c r="O1109" i="20"/>
  <c r="R1857" i="20"/>
  <c r="O561" i="20"/>
  <c r="O365" i="20"/>
  <c r="P925" i="20"/>
  <c r="O984" i="20"/>
  <c r="M1018" i="20"/>
  <c r="O1436" i="20"/>
  <c r="P980" i="20"/>
  <c r="R1696" i="20"/>
  <c r="P697" i="20"/>
  <c r="M189" i="20"/>
  <c r="Q503" i="20"/>
  <c r="O1350" i="20"/>
  <c r="O480" i="20"/>
  <c r="N559" i="20"/>
  <c r="P1450" i="20"/>
  <c r="Q321" i="20"/>
  <c r="O214" i="20"/>
  <c r="O537" i="20"/>
  <c r="Q1548" i="20"/>
  <c r="R187" i="20"/>
  <c r="O1372" i="20"/>
  <c r="O983" i="20"/>
  <c r="N1129" i="20"/>
  <c r="Q1536" i="20"/>
  <c r="O1080" i="20"/>
  <c r="M1080" i="20"/>
  <c r="M285" i="20"/>
  <c r="S112" i="20"/>
  <c r="S1780" i="20"/>
  <c r="O129" i="20"/>
  <c r="P211" i="20"/>
  <c r="O743" i="20"/>
  <c r="M299" i="20"/>
  <c r="O260" i="20"/>
  <c r="Q1094" i="20"/>
  <c r="M910" i="20"/>
  <c r="P1114" i="20"/>
  <c r="P1039" i="20"/>
  <c r="N737" i="20"/>
  <c r="R338" i="20"/>
  <c r="S1697" i="20"/>
  <c r="P551" i="20"/>
  <c r="O534" i="20"/>
  <c r="P1343" i="20"/>
  <c r="O1408" i="20"/>
  <c r="Q231" i="20"/>
  <c r="Q496" i="20"/>
  <c r="P1481" i="20"/>
  <c r="O762" i="20"/>
  <c r="M1572" i="20"/>
  <c r="O925" i="20"/>
  <c r="T1757" i="20"/>
  <c r="Q1307" i="20"/>
  <c r="M1527" i="20"/>
  <c r="Q995" i="20"/>
  <c r="Q294" i="20"/>
  <c r="Q1451" i="20"/>
  <c r="N1145" i="20"/>
  <c r="Q671" i="20"/>
  <c r="N295" i="20"/>
  <c r="P480" i="20"/>
  <c r="Q361" i="20"/>
  <c r="P316" i="20"/>
  <c r="P1342" i="20"/>
  <c r="P559" i="20"/>
  <c r="Q1540" i="20"/>
  <c r="P515" i="20"/>
  <c r="O574" i="20"/>
  <c r="O1059" i="20"/>
  <c r="P1073" i="20"/>
  <c r="P588" i="20"/>
  <c r="Q1551" i="20"/>
  <c r="T127" i="20"/>
  <c r="R162" i="20"/>
  <c r="Q934" i="20"/>
  <c r="O532" i="20"/>
  <c r="P221" i="20"/>
  <c r="P552" i="20"/>
  <c r="O1527" i="20"/>
  <c r="Q1089" i="20"/>
  <c r="O524" i="20"/>
  <c r="P1523" i="20"/>
  <c r="O1104" i="20"/>
  <c r="Q1370" i="20"/>
  <c r="M528" i="20"/>
  <c r="P504" i="20"/>
  <c r="M968" i="20"/>
  <c r="O607" i="20"/>
  <c r="P490" i="20"/>
  <c r="Q1148" i="20"/>
  <c r="O1551" i="20"/>
  <c r="P1068" i="20"/>
  <c r="O1302" i="20"/>
  <c r="P1390" i="20"/>
  <c r="M1390" i="20"/>
  <c r="O186" i="20"/>
  <c r="O562" i="20"/>
  <c r="N524" i="20"/>
  <c r="N506" i="20"/>
  <c r="O1583" i="20"/>
  <c r="Q1165" i="20"/>
  <c r="N1343" i="20"/>
  <c r="N1481" i="20"/>
  <c r="N1529" i="20"/>
  <c r="P666" i="20"/>
  <c r="P1973" i="20"/>
  <c r="M488" i="20"/>
  <c r="P1145" i="20"/>
  <c r="N1163" i="20"/>
  <c r="M583" i="20"/>
  <c r="Q1316" i="20"/>
  <c r="O154" i="20"/>
  <c r="O346" i="20"/>
  <c r="Q1118" i="20"/>
  <c r="N1312" i="20"/>
  <c r="Q509" i="20"/>
  <c r="M1135" i="20"/>
  <c r="M782" i="20"/>
  <c r="N523" i="20"/>
  <c r="M1475" i="20"/>
  <c r="Q1125" i="20"/>
  <c r="N792" i="20"/>
  <c r="N960" i="20"/>
  <c r="Q150" i="20"/>
  <c r="N1508" i="20"/>
  <c r="M246" i="20"/>
  <c r="Q943" i="20"/>
  <c r="P784" i="20"/>
  <c r="N1043" i="20"/>
  <c r="Q646" i="20"/>
  <c r="N1489" i="20"/>
  <c r="M778" i="20"/>
  <c r="O1073" i="20"/>
  <c r="M291" i="20"/>
  <c r="O1439" i="20"/>
  <c r="O793" i="20"/>
  <c r="P1448" i="20"/>
  <c r="Q490" i="20"/>
  <c r="M483" i="20"/>
  <c r="Q483" i="20"/>
  <c r="O1135" i="20"/>
  <c r="P554" i="20"/>
  <c r="N351" i="20"/>
  <c r="O1064" i="20"/>
  <c r="Q1074" i="20"/>
  <c r="N1535" i="20"/>
  <c r="N718" i="20"/>
  <c r="N1435" i="20"/>
  <c r="P250" i="20"/>
  <c r="P1485" i="20"/>
  <c r="P625" i="20"/>
  <c r="P1453" i="20"/>
  <c r="P81" i="20"/>
  <c r="P1477" i="20"/>
  <c r="N1444" i="20"/>
  <c r="M879" i="20"/>
  <c r="N230" i="20"/>
  <c r="M1585" i="20"/>
  <c r="O1163" i="20"/>
  <c r="P1380" i="20"/>
  <c r="Q524" i="20"/>
  <c r="N1410" i="20"/>
  <c r="Q1306" i="20"/>
  <c r="P1278" i="20"/>
  <c r="N1464" i="20"/>
  <c r="M1510" i="20"/>
  <c r="O1301" i="20"/>
  <c r="Q1592" i="20"/>
  <c r="P1588" i="20"/>
  <c r="M1019" i="20"/>
  <c r="P1562" i="20"/>
  <c r="Q528" i="20"/>
  <c r="M1289" i="20"/>
  <c r="M1303" i="20"/>
  <c r="N1311" i="20"/>
  <c r="P326" i="20"/>
  <c r="P1515" i="20"/>
  <c r="N1979" i="20"/>
  <c r="Q579" i="20"/>
  <c r="P484" i="20"/>
  <c r="M109" i="20"/>
  <c r="N554" i="20"/>
  <c r="N1327" i="20"/>
  <c r="P1581" i="20"/>
  <c r="N776" i="20"/>
  <c r="Q1460" i="20"/>
  <c r="P1344" i="20"/>
  <c r="M1462" i="20"/>
  <c r="M523" i="20"/>
  <c r="M904" i="20"/>
  <c r="O707" i="20"/>
  <c r="P651" i="20"/>
  <c r="O1349" i="20"/>
  <c r="M704" i="20"/>
  <c r="O1433" i="20"/>
  <c r="O1360" i="20"/>
  <c r="Q1436" i="20"/>
  <c r="O958" i="20"/>
  <c r="P1318" i="20"/>
  <c r="Q1332" i="20"/>
  <c r="P572" i="20"/>
  <c r="P1568" i="20"/>
  <c r="M1277" i="20"/>
  <c r="N1318" i="20"/>
  <c r="Q1487" i="20"/>
  <c r="O1129" i="20"/>
  <c r="M1372" i="20"/>
  <c r="N1514" i="20"/>
  <c r="N1417" i="20"/>
  <c r="N1472" i="20"/>
  <c r="P674" i="20"/>
  <c r="M648" i="20"/>
  <c r="Q270" i="20"/>
  <c r="Q315" i="20"/>
  <c r="Q1521" i="20"/>
  <c r="N702" i="20"/>
  <c r="N1114" i="20"/>
  <c r="N580" i="20"/>
  <c r="P591" i="20"/>
  <c r="O1578" i="20"/>
  <c r="O1318" i="20"/>
  <c r="O1004" i="20"/>
  <c r="M517" i="20"/>
  <c r="O782" i="20"/>
  <c r="P304" i="20"/>
  <c r="Q1347" i="20"/>
  <c r="P556" i="20"/>
  <c r="P1333" i="20"/>
  <c r="P985" i="20"/>
  <c r="N281" i="20"/>
  <c r="M540" i="20"/>
  <c r="Q1099" i="20"/>
  <c r="P181" i="20"/>
  <c r="O1442" i="20"/>
  <c r="P64" i="20"/>
  <c r="M673" i="20"/>
  <c r="M111" i="20"/>
  <c r="T1801" i="20"/>
  <c r="T1924" i="20"/>
  <c r="S1872" i="20"/>
  <c r="S862" i="20"/>
  <c r="S1755" i="20"/>
  <c r="S861" i="20"/>
  <c r="S962" i="20"/>
  <c r="T957" i="20"/>
  <c r="R1600" i="20"/>
  <c r="R951" i="20"/>
  <c r="R1692" i="20"/>
  <c r="S1614" i="20"/>
  <c r="R1147" i="20"/>
  <c r="T87" i="20"/>
  <c r="M310" i="20"/>
  <c r="O1540" i="20"/>
  <c r="N1070" i="20"/>
  <c r="S947" i="20"/>
  <c r="M508" i="20"/>
  <c r="Q1479" i="20"/>
  <c r="P747" i="20"/>
  <c r="Q978" i="20"/>
  <c r="O1159" i="20"/>
  <c r="P1110" i="20"/>
  <c r="N1486" i="20"/>
  <c r="R1681" i="20"/>
  <c r="Q1576" i="20"/>
  <c r="M726" i="20"/>
  <c r="N236" i="20"/>
  <c r="M1155" i="20"/>
  <c r="M1105" i="20"/>
  <c r="N161" i="20"/>
  <c r="O1503" i="20"/>
  <c r="M1164" i="20"/>
  <c r="Q1532" i="20"/>
  <c r="P1487" i="20"/>
  <c r="T1788" i="20"/>
  <c r="S157" i="20"/>
  <c r="O1398" i="20"/>
  <c r="P545" i="20"/>
  <c r="N564" i="20"/>
  <c r="O1521" i="20"/>
  <c r="O1556" i="20"/>
  <c r="Q164" i="20"/>
  <c r="Q874" i="20"/>
  <c r="M1379" i="20"/>
  <c r="R1685" i="20"/>
  <c r="P1570" i="20"/>
  <c r="O535" i="20"/>
  <c r="N557" i="20"/>
  <c r="O944" i="20"/>
  <c r="P531" i="20"/>
  <c r="N1382" i="20"/>
  <c r="M296" i="20"/>
  <c r="M366" i="20"/>
  <c r="Q774" i="20"/>
  <c r="P1516" i="20"/>
  <c r="R1854" i="20"/>
  <c r="S942" i="20"/>
  <c r="O1108" i="20"/>
  <c r="M940" i="20"/>
  <c r="N89" i="20"/>
  <c r="N311" i="20"/>
  <c r="N1591" i="20"/>
  <c r="N644" i="20"/>
  <c r="P59" i="20"/>
  <c r="P1115" i="20"/>
  <c r="O1419" i="20"/>
  <c r="O1518" i="20"/>
  <c r="T1947" i="20"/>
  <c r="O1118" i="20"/>
  <c r="Q1412" i="20"/>
  <c r="Q241" i="20"/>
  <c r="O1300" i="20"/>
  <c r="N985" i="20"/>
  <c r="M531" i="20"/>
  <c r="Q269" i="20"/>
  <c r="Q1341" i="20"/>
  <c r="O727" i="20"/>
  <c r="P335" i="20"/>
  <c r="M561" i="20"/>
  <c r="M510" i="20"/>
  <c r="Q171" i="20"/>
  <c r="Q1471" i="20"/>
  <c r="P1496" i="20"/>
  <c r="O1099" i="20"/>
  <c r="O523" i="20"/>
  <c r="O291" i="20"/>
  <c r="Q1587" i="20"/>
  <c r="T313" i="20"/>
  <c r="T907" i="20"/>
  <c r="S1929" i="20"/>
  <c r="M1452" i="20"/>
  <c r="O540" i="20"/>
  <c r="M349" i="20"/>
  <c r="M115" i="20"/>
  <c r="Q1426" i="20"/>
  <c r="P482" i="20"/>
  <c r="Q1483" i="20"/>
  <c r="M304" i="20"/>
  <c r="M1438" i="20"/>
  <c r="O578" i="20"/>
  <c r="M945" i="20"/>
  <c r="M772" i="20"/>
  <c r="P1437" i="20"/>
  <c r="N486" i="20"/>
  <c r="N648" i="20"/>
  <c r="O1541" i="20"/>
  <c r="M1328" i="20"/>
  <c r="N134" i="20"/>
  <c r="N1088" i="20"/>
  <c r="P497" i="20"/>
  <c r="N688" i="20"/>
  <c r="Q1518" i="20"/>
  <c r="P913" i="20"/>
  <c r="M511" i="20"/>
  <c r="Q504" i="20"/>
  <c r="N692" i="20"/>
  <c r="M1539" i="20"/>
  <c r="N998" i="20"/>
  <c r="Q1000" i="20"/>
  <c r="M1589" i="20"/>
  <c r="M1479" i="20"/>
  <c r="P1544" i="20"/>
  <c r="P330" i="20"/>
  <c r="M943" i="20"/>
  <c r="P114" i="20"/>
  <c r="Q938" i="20"/>
  <c r="N1004" i="20"/>
  <c r="Q1453" i="20"/>
  <c r="P557" i="20"/>
  <c r="M1453" i="20"/>
  <c r="N1015" i="20"/>
  <c r="M509" i="20"/>
  <c r="Q555" i="20"/>
  <c r="P791" i="20"/>
  <c r="P1331" i="20"/>
  <c r="Q1579" i="20"/>
  <c r="M696" i="20"/>
  <c r="O923" i="20"/>
  <c r="M1078" i="20"/>
  <c r="O111" i="20"/>
  <c r="M630" i="20"/>
  <c r="Q624" i="20"/>
  <c r="O529" i="20"/>
  <c r="O582" i="20"/>
  <c r="O1079" i="20"/>
  <c r="Q1033" i="20"/>
  <c r="Q1355" i="20"/>
  <c r="P344" i="20"/>
  <c r="N610" i="20"/>
  <c r="N541" i="20"/>
  <c r="Q693" i="20"/>
  <c r="O1575" i="20"/>
  <c r="N1374" i="20"/>
  <c r="O1471" i="20"/>
  <c r="M346" i="20"/>
  <c r="Q1399" i="20"/>
  <c r="O1565" i="20"/>
  <c r="Q81" i="20"/>
  <c r="N1295" i="20"/>
  <c r="Q251" i="20"/>
  <c r="M1149" i="20"/>
  <c r="Q1389" i="20"/>
  <c r="Q684" i="20"/>
  <c r="P1435" i="20"/>
  <c r="M65" i="20"/>
  <c r="M733" i="20"/>
  <c r="O575" i="20"/>
  <c r="Q593" i="20"/>
  <c r="P616" i="20"/>
  <c r="Q1438" i="20"/>
  <c r="M1319" i="20"/>
  <c r="P655" i="20"/>
  <c r="Q596" i="20"/>
  <c r="M315" i="20"/>
  <c r="O1490" i="20"/>
  <c r="N481" i="20"/>
  <c r="O1023" i="20"/>
  <c r="N1068" i="20"/>
  <c r="Q682" i="20"/>
  <c r="N536" i="20"/>
  <c r="P1969" i="20"/>
  <c r="M1472" i="20"/>
  <c r="O1390" i="20"/>
  <c r="O1299" i="20"/>
  <c r="O1451" i="20"/>
  <c r="Q584" i="20"/>
  <c r="P1498" i="20"/>
  <c r="M1493" i="20"/>
  <c r="O344" i="20"/>
  <c r="P1328" i="20"/>
  <c r="O883" i="20"/>
  <c r="N296" i="20"/>
  <c r="M700" i="20"/>
  <c r="N681" i="20"/>
  <c r="M514" i="20"/>
  <c r="P869" i="20"/>
  <c r="M1353" i="20"/>
  <c r="M953" i="20"/>
  <c r="O1043" i="20"/>
  <c r="N1140" i="20"/>
  <c r="M1113" i="20"/>
  <c r="Q999" i="20"/>
  <c r="P1337" i="20"/>
  <c r="M1423" i="20"/>
  <c r="N555" i="20"/>
  <c r="P1034" i="20"/>
  <c r="N1353" i="20"/>
  <c r="Q1317" i="20"/>
  <c r="M335" i="20"/>
  <c r="O1591" i="20"/>
  <c r="Q1967" i="20"/>
  <c r="Q201" i="20"/>
  <c r="N1426" i="20"/>
  <c r="N1509" i="20"/>
  <c r="N1568" i="20"/>
  <c r="O1314" i="20"/>
  <c r="P1585" i="20"/>
  <c r="P1517" i="20"/>
  <c r="Q1464" i="20"/>
  <c r="P633" i="20"/>
  <c r="M1069" i="20"/>
  <c r="N1339" i="20"/>
  <c r="O894" i="20"/>
  <c r="O1404" i="20"/>
  <c r="Q880" i="20"/>
  <c r="Q552" i="20"/>
  <c r="P1338" i="20"/>
  <c r="N1555" i="20"/>
  <c r="O1569" i="20"/>
  <c r="Q1297" i="20"/>
  <c r="Q1013" i="20"/>
  <c r="Q1394" i="20"/>
  <c r="P1520" i="20"/>
  <c r="P69" i="20"/>
  <c r="O209" i="20"/>
  <c r="Q1024" i="20"/>
  <c r="M1466" i="20"/>
  <c r="N1396" i="20"/>
  <c r="O340" i="20"/>
  <c r="O513" i="20"/>
  <c r="M264" i="20"/>
  <c r="O1133" i="20"/>
  <c r="M1000" i="20"/>
  <c r="P149" i="20"/>
  <c r="M1331" i="20"/>
  <c r="Q245" i="20"/>
  <c r="N255" i="20"/>
  <c r="N1360" i="20"/>
  <c r="M661" i="20"/>
  <c r="N1280" i="20"/>
  <c r="N508" i="20"/>
  <c r="Q1476" i="20"/>
  <c r="M1165" i="20"/>
  <c r="S871" i="20"/>
  <c r="S1765" i="20"/>
  <c r="Q1338" i="20"/>
  <c r="Q536" i="20"/>
  <c r="M1502" i="20"/>
  <c r="Q339" i="20"/>
  <c r="O1467" i="20"/>
  <c r="Q1506" i="20"/>
  <c r="M1395" i="20"/>
  <c r="M965" i="20"/>
  <c r="O1587" i="20"/>
  <c r="O533" i="20"/>
  <c r="N1407" i="20"/>
  <c r="Q492" i="20"/>
  <c r="Q1446" i="20"/>
  <c r="M773" i="20"/>
  <c r="Q1105" i="20"/>
  <c r="Q544" i="20"/>
  <c r="O863" i="20"/>
  <c r="P1507" i="20"/>
  <c r="O1385" i="20"/>
  <c r="Q687" i="20"/>
  <c r="M1405" i="20"/>
  <c r="M1418" i="20"/>
  <c r="Q1124" i="20"/>
  <c r="M1296" i="20"/>
  <c r="Q692" i="20"/>
  <c r="O608" i="20"/>
  <c r="O1274" i="20"/>
  <c r="N576" i="20"/>
  <c r="P1436" i="20"/>
  <c r="N50" i="20"/>
  <c r="O1008" i="20"/>
  <c r="M1323" i="20"/>
  <c r="O487" i="20"/>
  <c r="N261" i="20"/>
  <c r="P766" i="20"/>
  <c r="O1543" i="20"/>
  <c r="N669" i="20"/>
  <c r="P672" i="20"/>
  <c r="Q1336" i="20"/>
  <c r="N1278" i="20"/>
  <c r="Q1461" i="20"/>
  <c r="O1148" i="20"/>
  <c r="O159" i="20"/>
  <c r="O1409" i="20"/>
  <c r="O1515" i="20"/>
  <c r="M1356" i="20"/>
  <c r="O1477" i="20"/>
  <c r="O850" i="20"/>
  <c r="O1381" i="20"/>
  <c r="P567" i="20"/>
  <c r="O1453" i="20"/>
  <c r="Q1378" i="20"/>
  <c r="Q771" i="20"/>
  <c r="N1434" i="20"/>
  <c r="Q1039" i="20"/>
  <c r="P663" i="20"/>
  <c r="O211" i="20"/>
  <c r="O843" i="20"/>
  <c r="O603" i="20"/>
  <c r="O596" i="20"/>
  <c r="M576" i="20"/>
  <c r="O166" i="20"/>
  <c r="Q760" i="20"/>
  <c r="Q763" i="20"/>
  <c r="M875" i="20"/>
  <c r="O1343" i="20"/>
  <c r="Q126" i="20"/>
  <c r="P1556" i="20"/>
  <c r="O1361" i="20"/>
  <c r="N1100" i="20"/>
  <c r="Q174" i="20"/>
  <c r="N537" i="20"/>
  <c r="Q940" i="20"/>
  <c r="Q1349" i="20"/>
  <c r="M568" i="20"/>
  <c r="N189" i="20"/>
  <c r="P226" i="20"/>
  <c r="N99" i="20"/>
  <c r="Q743" i="20"/>
  <c r="M1163" i="20"/>
  <c r="M210" i="20"/>
  <c r="P984" i="20"/>
  <c r="Q1542" i="20"/>
  <c r="O1035" i="20"/>
  <c r="Q1482" i="20"/>
  <c r="M1369" i="20"/>
  <c r="M1038" i="20"/>
  <c r="O667" i="20"/>
  <c r="M1393" i="20"/>
  <c r="P718" i="20"/>
  <c r="P909" i="20"/>
  <c r="P751" i="20"/>
  <c r="N1983" i="20"/>
  <c r="M1063" i="20"/>
  <c r="Q888" i="20"/>
  <c r="Q558" i="20"/>
  <c r="Q641" i="20"/>
  <c r="P860" i="20"/>
  <c r="Q1562" i="20"/>
  <c r="M1134" i="20"/>
  <c r="O155" i="20"/>
  <c r="P1089" i="20"/>
  <c r="P240" i="20"/>
  <c r="O1093" i="20"/>
  <c r="Q373" i="20"/>
  <c r="O176" i="20"/>
  <c r="O775" i="20"/>
  <c r="O1919" i="20"/>
  <c r="O884" i="20"/>
  <c r="Q1868" i="20"/>
  <c r="O1655" i="20"/>
  <c r="Q716" i="20"/>
  <c r="P303" i="20"/>
  <c r="P992" i="20"/>
  <c r="O1290" i="20"/>
  <c r="Q1367" i="20"/>
  <c r="P880" i="20"/>
  <c r="O375" i="20"/>
  <c r="N64" i="20"/>
  <c r="O855" i="20"/>
  <c r="Q700" i="20"/>
  <c r="N1455" i="20"/>
  <c r="Q1567" i="20"/>
  <c r="N565" i="20"/>
  <c r="Q1402" i="20"/>
  <c r="O1427" i="20"/>
  <c r="Q973" i="20"/>
  <c r="N1592" i="20"/>
  <c r="M779" i="20"/>
  <c r="N713" i="20"/>
  <c r="N95" i="20"/>
  <c r="Q1390" i="20"/>
  <c r="M905" i="20"/>
  <c r="O1577" i="20"/>
  <c r="P1452" i="20"/>
  <c r="O1497" i="20"/>
  <c r="P543" i="20"/>
  <c r="P929" i="20"/>
  <c r="M1322" i="20"/>
  <c r="P1476" i="20"/>
  <c r="O1294" i="20"/>
  <c r="O275" i="20"/>
  <c r="O1320" i="20"/>
  <c r="O611" i="20"/>
  <c r="N1580" i="20"/>
  <c r="P99" i="20"/>
  <c r="M684" i="20"/>
  <c r="Q309" i="20"/>
  <c r="P1080" i="20"/>
  <c r="N1085" i="20"/>
  <c r="O1534" i="20"/>
  <c r="P1815" i="20"/>
  <c r="Q127" i="20"/>
  <c r="N700" i="20"/>
  <c r="P756" i="20"/>
  <c r="M1886" i="20"/>
  <c r="Q1286" i="20"/>
  <c r="Q1407" i="20"/>
  <c r="P1551" i="20"/>
  <c r="N1054" i="20"/>
  <c r="N1453" i="20"/>
  <c r="Q84" i="20"/>
  <c r="Q681" i="20"/>
  <c r="Q1301" i="20"/>
  <c r="N264" i="20"/>
  <c r="N735" i="20"/>
  <c r="N658" i="20"/>
  <c r="Q610" i="20"/>
  <c r="P645" i="20"/>
  <c r="P905" i="20"/>
  <c r="N254" i="20"/>
  <c r="Q863" i="20"/>
  <c r="N1526" i="20"/>
  <c r="Q1500" i="20"/>
  <c r="N631" i="20"/>
  <c r="N195" i="20"/>
  <c r="Q685" i="20"/>
  <c r="Q236" i="20"/>
  <c r="N1538" i="20"/>
  <c r="O1317" i="20"/>
  <c r="M1402" i="20"/>
  <c r="O101" i="20"/>
  <c r="Q1128" i="20"/>
  <c r="N259" i="20"/>
  <c r="M1420" i="20"/>
  <c r="O746" i="20"/>
  <c r="M1531" i="20"/>
  <c r="O486" i="20"/>
  <c r="Q737" i="20"/>
  <c r="N65" i="20"/>
  <c r="N581" i="20"/>
  <c r="O1775" i="20"/>
  <c r="Q761" i="20"/>
  <c r="P1999" i="20"/>
  <c r="P307" i="20"/>
  <c r="P1940" i="20"/>
  <c r="N517" i="20"/>
  <c r="M1916" i="20"/>
  <c r="N630" i="20"/>
  <c r="N602" i="20"/>
  <c r="N144" i="20"/>
  <c r="N651" i="20"/>
  <c r="N549" i="20"/>
  <c r="N707" i="20"/>
  <c r="O309" i="20"/>
  <c r="Q1485" i="20"/>
  <c r="O909" i="20"/>
  <c r="P548" i="20"/>
  <c r="O76" i="20"/>
  <c r="O1452" i="20"/>
  <c r="Q175" i="20"/>
  <c r="N1558" i="20"/>
  <c r="P1406" i="20"/>
  <c r="O1473" i="20"/>
  <c r="M1884" i="20"/>
  <c r="O1510" i="20"/>
  <c r="O1972" i="20"/>
  <c r="O1500" i="20"/>
  <c r="N1544" i="20"/>
  <c r="N516" i="20"/>
  <c r="N1517" i="20"/>
  <c r="Q884" i="20"/>
  <c r="Q597" i="20"/>
  <c r="Q1326" i="20"/>
  <c r="Q848" i="20"/>
  <c r="Q196" i="20"/>
  <c r="M712" i="20"/>
  <c r="P1400" i="20"/>
  <c r="P205" i="20"/>
  <c r="N535" i="20"/>
  <c r="P1512" i="20"/>
  <c r="M1542" i="20"/>
  <c r="P1088" i="20"/>
  <c r="N124" i="20"/>
  <c r="P1970" i="20"/>
  <c r="N1492" i="20"/>
  <c r="P1966" i="20"/>
  <c r="N1406" i="20"/>
  <c r="O1470" i="20"/>
  <c r="N226" i="20"/>
  <c r="N840" i="20"/>
  <c r="P216" i="20"/>
  <c r="N1288" i="20"/>
  <c r="Q744" i="20"/>
  <c r="N989" i="20"/>
  <c r="P615" i="20"/>
  <c r="P496" i="20"/>
  <c r="O1512" i="20"/>
  <c r="P488" i="20"/>
  <c r="N184" i="20"/>
  <c r="Q1444" i="20"/>
  <c r="N497" i="20"/>
  <c r="S1166" i="20"/>
  <c r="S936" i="20"/>
  <c r="P1043" i="20"/>
  <c r="P1350" i="20"/>
  <c r="O1075" i="20"/>
  <c r="M643" i="20"/>
  <c r="O1025" i="20"/>
  <c r="N1346" i="20"/>
  <c r="P968" i="20"/>
  <c r="P1378" i="20"/>
  <c r="Q514" i="20"/>
  <c r="N1557" i="20"/>
  <c r="O1465" i="20"/>
  <c r="O1432" i="20"/>
  <c r="M781" i="20"/>
  <c r="O688" i="20"/>
  <c r="N1115" i="20"/>
  <c r="P1014" i="20"/>
  <c r="Q1020" i="20"/>
  <c r="Q60" i="20"/>
  <c r="Q481" i="20"/>
  <c r="N543" i="20"/>
  <c r="N344" i="20"/>
  <c r="O494" i="20"/>
  <c r="P1289" i="20"/>
  <c r="P1158" i="20"/>
  <c r="Q875" i="20"/>
  <c r="Q191" i="20"/>
  <c r="M324" i="20"/>
  <c r="P1459" i="20"/>
  <c r="P130" i="20"/>
  <c r="O790" i="20"/>
  <c r="P613" i="20"/>
  <c r="Q1363" i="20"/>
  <c r="Q1138" i="20"/>
  <c r="P577" i="20"/>
  <c r="N1104" i="20"/>
  <c r="N59" i="20"/>
  <c r="O645" i="20"/>
  <c r="O1579" i="20"/>
  <c r="P983" i="20"/>
  <c r="Q732" i="20"/>
  <c r="O674" i="20"/>
  <c r="P1320" i="20"/>
  <c r="Q1304" i="20"/>
  <c r="M185" i="20"/>
  <c r="M1313" i="20"/>
  <c r="O1143" i="20"/>
  <c r="M1301" i="20"/>
  <c r="N617" i="20"/>
  <c r="Q783" i="20"/>
  <c r="N498" i="20"/>
  <c r="M1316" i="20"/>
  <c r="P1513" i="20"/>
  <c r="M120" i="20"/>
  <c r="O539" i="20"/>
  <c r="O880" i="20"/>
  <c r="P555" i="20"/>
  <c r="M1413" i="20"/>
  <c r="M717" i="20"/>
  <c r="Q1059" i="20"/>
  <c r="P76" i="20"/>
  <c r="N1314" i="20"/>
  <c r="N1458" i="20"/>
  <c r="Q1120" i="20"/>
  <c r="M1416" i="20"/>
  <c r="N561" i="20"/>
  <c r="P1421" i="20"/>
  <c r="Q588" i="20"/>
  <c r="Q1507" i="20"/>
  <c r="M554" i="20"/>
  <c r="M1555" i="20"/>
  <c r="P1065" i="20"/>
  <c r="Q1514" i="20"/>
  <c r="P1283" i="20"/>
  <c r="M1430" i="20"/>
  <c r="Q1144" i="20"/>
  <c r="N350" i="20"/>
  <c r="N364" i="20"/>
  <c r="O655" i="20"/>
  <c r="O85" i="20"/>
  <c r="M1592" i="20"/>
  <c r="M596" i="20"/>
  <c r="O1286" i="20"/>
  <c r="M179" i="20"/>
  <c r="M1359" i="20"/>
  <c r="N1053" i="20"/>
  <c r="O1566" i="20"/>
  <c r="N256" i="20"/>
  <c r="N1483" i="20"/>
  <c r="O720" i="20"/>
  <c r="M1424" i="20"/>
  <c r="O175" i="20"/>
  <c r="N1326" i="20"/>
  <c r="O170" i="20"/>
  <c r="M535" i="20"/>
  <c r="M844" i="20"/>
  <c r="P708" i="20"/>
  <c r="Q551" i="20"/>
  <c r="N149" i="20"/>
  <c r="Q1458" i="20"/>
  <c r="P1483" i="20"/>
  <c r="O1353" i="20"/>
  <c r="M1561" i="20"/>
  <c r="Q1030" i="20"/>
  <c r="Q79" i="20"/>
  <c r="N315" i="20"/>
  <c r="M790" i="20"/>
  <c r="M1820" i="20"/>
  <c r="Q1956" i="20"/>
  <c r="O1352" i="20"/>
  <c r="N893" i="20"/>
  <c r="M627" i="20"/>
  <c r="N699" i="20"/>
  <c r="O1850" i="20"/>
  <c r="N1290" i="20"/>
  <c r="N890" i="20"/>
  <c r="O1430" i="20"/>
  <c r="N1049" i="20"/>
  <c r="M249" i="20"/>
  <c r="M1437" i="20"/>
  <c r="O617" i="20"/>
  <c r="Q1503" i="20"/>
  <c r="M1553" i="20"/>
  <c r="M241" i="20"/>
  <c r="P1572" i="20"/>
  <c r="O149" i="20"/>
  <c r="N733" i="20"/>
  <c r="Q1991" i="20"/>
  <c r="N701" i="20"/>
  <c r="N1786" i="20"/>
  <c r="M670" i="20"/>
  <c r="P607" i="20"/>
  <c r="N309" i="20"/>
  <c r="Q614" i="20"/>
  <c r="Q590" i="20"/>
  <c r="M300" i="20"/>
  <c r="Q712" i="20"/>
  <c r="Q1325" i="20"/>
  <c r="M1058" i="20"/>
  <c r="O554" i="20"/>
  <c r="P1313" i="20"/>
  <c r="N1044" i="20"/>
  <c r="M145" i="20"/>
  <c r="O680" i="20"/>
  <c r="N1477" i="20"/>
  <c r="P725" i="20"/>
  <c r="M1979" i="20"/>
  <c r="M1975" i="20"/>
  <c r="Q1008" i="20"/>
  <c r="N1985" i="20"/>
  <c r="O609" i="20"/>
  <c r="Q249" i="20"/>
  <c r="P1974" i="20"/>
  <c r="N165" i="20"/>
  <c r="Q1527" i="20"/>
  <c r="M1375" i="20"/>
  <c r="M1141" i="20"/>
  <c r="O70" i="20"/>
  <c r="N642" i="20"/>
  <c r="P510" i="20"/>
  <c r="P668" i="20"/>
  <c r="N569" i="20"/>
  <c r="P1150" i="20"/>
  <c r="M46" i="20"/>
  <c r="M1039" i="20"/>
  <c r="N990" i="20"/>
  <c r="N1375" i="20"/>
  <c r="N613" i="20"/>
  <c r="Q979" i="20"/>
  <c r="M216" i="20"/>
  <c r="P132" i="20"/>
  <c r="O761" i="20"/>
  <c r="Q216" i="20"/>
  <c r="P353" i="20"/>
  <c r="P254" i="20"/>
  <c r="N999" i="20"/>
  <c r="O1884" i="20"/>
  <c r="P1146" i="20"/>
  <c r="O1571" i="20"/>
  <c r="S1890" i="20"/>
  <c r="S1686" i="20"/>
  <c r="S1938" i="20"/>
  <c r="R198" i="20"/>
  <c r="P935" i="20"/>
  <c r="M1124" i="20"/>
  <c r="Q1376" i="20"/>
  <c r="R113" i="20"/>
  <c r="P1033" i="20"/>
  <c r="O1333" i="20"/>
  <c r="O1557" i="20"/>
  <c r="T72" i="20"/>
  <c r="N1064" i="20"/>
  <c r="M1533" i="20"/>
  <c r="P1324" i="20"/>
  <c r="O1401" i="20"/>
  <c r="Q635" i="20"/>
  <c r="M1444" i="20"/>
  <c r="M1498" i="20"/>
  <c r="M325" i="20"/>
  <c r="M1109" i="20"/>
  <c r="N585" i="20"/>
  <c r="O673" i="20"/>
  <c r="P693" i="20"/>
  <c r="N1109" i="20"/>
  <c r="O184" i="20"/>
  <c r="N100" i="20"/>
  <c r="N1498" i="20"/>
  <c r="N1989" i="20"/>
  <c r="Q1343" i="20"/>
  <c r="P759" i="20"/>
  <c r="O1154" i="20"/>
  <c r="M759" i="20"/>
  <c r="O708" i="20"/>
  <c r="Q1313" i="20"/>
  <c r="Q1327" i="20"/>
  <c r="P180" i="20"/>
  <c r="Q1509" i="20"/>
  <c r="O742" i="20"/>
  <c r="O1120" i="20"/>
  <c r="Q1135" i="20"/>
  <c r="M1396" i="20"/>
  <c r="M200" i="20"/>
  <c r="M760" i="20"/>
  <c r="O324" i="20"/>
  <c r="M1505" i="20"/>
  <c r="P1472" i="20"/>
  <c r="P1440" i="20"/>
  <c r="P1997" i="20"/>
  <c r="M1549" i="20"/>
  <c r="O234" i="20"/>
  <c r="Q691" i="20"/>
  <c r="Q773" i="20"/>
  <c r="P1348" i="20"/>
  <c r="Q1537" i="20"/>
  <c r="M762" i="20"/>
  <c r="P1438" i="20"/>
  <c r="M757" i="20"/>
  <c r="P1028" i="20"/>
  <c r="P269" i="20"/>
  <c r="N209" i="20"/>
  <c r="O1517" i="20"/>
  <c r="O1368" i="20"/>
  <c r="O630" i="20"/>
  <c r="M151" i="20"/>
  <c r="M1128" i="20"/>
  <c r="P1539" i="20"/>
  <c r="P1048" i="20"/>
  <c r="P1330" i="20"/>
  <c r="O637" i="20"/>
  <c r="O1069" i="20"/>
  <c r="P920" i="20"/>
  <c r="M885" i="20"/>
  <c r="N678" i="20"/>
  <c r="N1153" i="20"/>
  <c r="N736" i="20"/>
  <c r="O1319" i="20"/>
  <c r="N1113" i="20"/>
  <c r="N769" i="20"/>
  <c r="P1163" i="20"/>
  <c r="N1590" i="20"/>
  <c r="P351" i="20"/>
  <c r="M1108" i="20"/>
  <c r="Q865" i="20"/>
  <c r="N528" i="20"/>
  <c r="M612" i="20"/>
  <c r="N1098" i="20"/>
  <c r="O315" i="20"/>
  <c r="O204" i="20"/>
  <c r="N854" i="20"/>
  <c r="O1366" i="20"/>
  <c r="P60" i="20"/>
  <c r="Q864" i="20"/>
  <c r="P700" i="20"/>
  <c r="Q1529" i="20"/>
  <c r="O1514" i="20"/>
  <c r="N587" i="20"/>
  <c r="P126" i="20"/>
  <c r="M652" i="20"/>
  <c r="P760" i="20"/>
  <c r="N366" i="20"/>
  <c r="M1422" i="20"/>
  <c r="P716" i="20"/>
  <c r="N552" i="20"/>
  <c r="O1493" i="20"/>
  <c r="M1281" i="20"/>
  <c r="N953" i="20"/>
  <c r="P894" i="20"/>
  <c r="N210" i="20"/>
  <c r="N1062" i="20"/>
  <c r="N1152" i="20"/>
  <c r="M682" i="20"/>
  <c r="O874" i="20"/>
  <c r="N1917" i="20"/>
  <c r="N355" i="20"/>
  <c r="N1005" i="20"/>
  <c r="Q254" i="20"/>
  <c r="O141" i="20"/>
  <c r="P1473" i="20"/>
  <c r="O988" i="20"/>
  <c r="Q1290" i="20"/>
  <c r="M642" i="20"/>
  <c r="N483" i="20"/>
  <c r="N294" i="20"/>
  <c r="P628" i="20"/>
  <c r="M552" i="20"/>
  <c r="N571" i="20"/>
  <c r="M678" i="20"/>
  <c r="O729" i="20"/>
  <c r="P229" i="20"/>
  <c r="O1087" i="20"/>
  <c r="N1350" i="20"/>
  <c r="P646" i="20"/>
  <c r="N1331" i="20"/>
  <c r="M949" i="20"/>
  <c r="Q725" i="20"/>
  <c r="M741" i="20"/>
  <c r="N235" i="20"/>
  <c r="Q1462" i="20"/>
  <c r="P498" i="20"/>
  <c r="Q573" i="20"/>
  <c r="O1463" i="20"/>
  <c r="M1526" i="20"/>
  <c r="M994" i="20"/>
  <c r="O749" i="20"/>
  <c r="N894" i="20"/>
  <c r="M1506" i="20"/>
  <c r="N1333" i="20"/>
  <c r="N66" i="20"/>
  <c r="P739" i="20"/>
  <c r="N141" i="20"/>
  <c r="P1882" i="20"/>
  <c r="O710" i="20"/>
  <c r="Q1981" i="20"/>
  <c r="Q221" i="20"/>
  <c r="M134" i="20"/>
  <c r="M1742" i="20"/>
  <c r="N275" i="20"/>
  <c r="P1164" i="20"/>
  <c r="O1013" i="20"/>
  <c r="M100" i="20"/>
  <c r="N1578" i="20"/>
  <c r="M499" i="20"/>
  <c r="M518" i="20"/>
  <c r="N721" i="20"/>
  <c r="M1044" i="20"/>
  <c r="N963" i="20"/>
  <c r="N314" i="20"/>
  <c r="Q1314" i="20"/>
  <c r="M1989" i="20"/>
  <c r="N514" i="20"/>
  <c r="Q1974" i="20"/>
  <c r="M1881" i="20"/>
  <c r="N659" i="20"/>
  <c r="N703" i="20"/>
  <c r="Q1106" i="20"/>
  <c r="O1146" i="20"/>
  <c r="N305" i="20"/>
  <c r="O247" i="20"/>
  <c r="Q1659" i="20"/>
  <c r="O249" i="20"/>
  <c r="N1285" i="20"/>
  <c r="O844" i="20"/>
  <c r="Q1319" i="20"/>
  <c r="Q1465" i="20"/>
  <c r="P722" i="20"/>
  <c r="O1316" i="20"/>
  <c r="O134" i="20"/>
  <c r="N1380" i="20"/>
  <c r="M1491" i="20"/>
  <c r="P1457" i="20"/>
  <c r="M1140" i="20"/>
  <c r="M723" i="20"/>
  <c r="N1967" i="20"/>
  <c r="Q1082" i="20"/>
  <c r="M1969" i="20"/>
  <c r="P1395" i="20"/>
  <c r="O1998" i="20"/>
  <c r="N965" i="20"/>
  <c r="Q764" i="20"/>
  <c r="M860" i="20"/>
  <c r="Q734" i="20"/>
  <c r="N1302" i="20"/>
  <c r="M795" i="20"/>
  <c r="M792" i="20"/>
  <c r="Q1025" i="20"/>
  <c r="O769" i="20"/>
  <c r="M175" i="20"/>
  <c r="M334" i="20"/>
  <c r="M1330" i="20"/>
  <c r="P1444" i="20"/>
  <c r="N493" i="20"/>
  <c r="M104" i="20"/>
  <c r="O938" i="20"/>
  <c r="P1025" i="20"/>
  <c r="P597" i="20"/>
  <c r="N120" i="20"/>
  <c r="M255" i="20"/>
  <c r="Q151" i="20"/>
  <c r="M1965" i="20"/>
  <c r="N1442" i="20"/>
  <c r="P879" i="20"/>
  <c r="Q1992" i="20"/>
  <c r="O1524" i="20"/>
  <c r="N510" i="20"/>
  <c r="M843" i="20"/>
  <c r="O973" i="20"/>
  <c r="M1970" i="20"/>
  <c r="M1003" i="20"/>
  <c r="O1558" i="20"/>
  <c r="P934" i="20"/>
  <c r="P989" i="20"/>
  <c r="P1044" i="20"/>
  <c r="P973" i="20"/>
  <c r="Q1477" i="20"/>
  <c r="N489" i="20"/>
  <c r="Q616" i="20"/>
  <c r="N1971" i="20"/>
  <c r="O1405" i="20"/>
  <c r="O1546" i="20"/>
  <c r="M756" i="20"/>
  <c r="O229" i="20"/>
  <c r="Q977" i="20"/>
  <c r="Q705" i="20"/>
  <c r="P724" i="20"/>
  <c r="O268" i="20"/>
  <c r="N760" i="20"/>
  <c r="O1957" i="20"/>
  <c r="N1507" i="20"/>
  <c r="N491" i="20"/>
  <c r="M1287" i="20"/>
  <c r="N1316" i="20"/>
  <c r="P56" i="20"/>
  <c r="M141" i="20"/>
  <c r="P1574" i="20"/>
  <c r="S292" i="20"/>
  <c r="T1668" i="20"/>
  <c r="N657" i="20"/>
  <c r="M1406" i="20"/>
  <c r="O591" i="20"/>
  <c r="Q953" i="20"/>
  <c r="P974" i="20"/>
  <c r="R1611" i="20"/>
  <c r="Q548" i="20"/>
  <c r="P1035" i="20"/>
  <c r="P270" i="20"/>
  <c r="T253" i="20"/>
  <c r="M586" i="20"/>
  <c r="Q1457" i="20"/>
  <c r="M174" i="20"/>
  <c r="N1373" i="20"/>
  <c r="O115" i="20"/>
  <c r="N1525" i="20"/>
  <c r="Q639" i="20"/>
  <c r="M995" i="20"/>
  <c r="N1063" i="20"/>
  <c r="Q777" i="20"/>
  <c r="P617" i="20"/>
  <c r="Q647" i="20"/>
  <c r="Q904" i="20"/>
  <c r="O649" i="20"/>
  <c r="N903" i="20"/>
  <c r="N948" i="20"/>
  <c r="N1038" i="20"/>
  <c r="N662" i="20"/>
  <c r="M888" i="20"/>
  <c r="P1281" i="20"/>
  <c r="M964" i="20"/>
  <c r="M1310" i="20"/>
  <c r="N1394" i="20"/>
  <c r="N762" i="20"/>
  <c r="N507" i="20"/>
  <c r="P762" i="20"/>
  <c r="P768" i="20"/>
  <c r="Q781" i="20"/>
  <c r="P1430" i="20"/>
  <c r="O1000" i="20"/>
  <c r="N1398" i="20"/>
  <c r="Q1495" i="20"/>
  <c r="M1073" i="20"/>
  <c r="P286" i="20"/>
  <c r="N1093" i="20"/>
  <c r="P1319" i="20"/>
  <c r="Q672" i="20"/>
  <c r="N863" i="20"/>
  <c r="O698" i="20"/>
  <c r="O504" i="20"/>
  <c r="O598" i="20"/>
  <c r="N495" i="20"/>
  <c r="N519" i="20"/>
  <c r="N1348" i="20"/>
  <c r="N1478" i="20"/>
  <c r="Q766" i="20"/>
  <c r="N542" i="20"/>
  <c r="O781" i="20"/>
  <c r="Q657" i="20"/>
  <c r="O722" i="20"/>
  <c r="M1409" i="20"/>
  <c r="Q1972" i="20"/>
  <c r="Q1368" i="20"/>
  <c r="Q1113" i="20"/>
  <c r="M1407" i="20"/>
  <c r="O1033" i="20"/>
  <c r="M1028" i="20"/>
  <c r="N1009" i="20"/>
  <c r="O1321" i="20"/>
  <c r="O294" i="20"/>
  <c r="N1340" i="20"/>
  <c r="N767" i="20"/>
  <c r="O612" i="20"/>
  <c r="N496" i="20"/>
  <c r="N490" i="20"/>
  <c r="M1584" i="20"/>
  <c r="P1504" i="20"/>
  <c r="M1973" i="20"/>
  <c r="P1095" i="20"/>
  <c r="P707" i="20"/>
  <c r="M1977" i="20"/>
  <c r="M1535" i="20"/>
  <c r="O1348" i="20"/>
  <c r="M206" i="20"/>
  <c r="P502" i="20"/>
  <c r="P1433" i="20"/>
  <c r="Q1123" i="20"/>
  <c r="O1479" i="20"/>
  <c r="Q486" i="20"/>
  <c r="O330" i="20"/>
  <c r="O560" i="20"/>
  <c r="P110" i="20"/>
  <c r="Q1129" i="20"/>
  <c r="O310" i="20"/>
  <c r="P889" i="20"/>
  <c r="Q793" i="20"/>
  <c r="N686" i="20"/>
  <c r="P780" i="20"/>
  <c r="Q758" i="20"/>
  <c r="P775" i="20"/>
  <c r="N1541" i="20"/>
  <c r="N229" i="20"/>
  <c r="N1281" i="20"/>
  <c r="N878" i="20"/>
  <c r="N898" i="20"/>
  <c r="Q1969" i="20"/>
  <c r="Q769" i="20"/>
  <c r="Q724" i="20"/>
  <c r="Q618" i="20"/>
  <c r="P1097" i="20"/>
  <c r="O1389" i="20"/>
  <c r="N757" i="20"/>
  <c r="N244" i="20"/>
  <c r="Q109" i="20"/>
  <c r="P631" i="20"/>
  <c r="N191" i="20"/>
  <c r="Q320" i="20"/>
  <c r="O614" i="20"/>
  <c r="Q893" i="20"/>
  <c r="M492" i="20"/>
  <c r="Q334" i="20"/>
  <c r="Q924" i="20"/>
  <c r="Q1119" i="20"/>
  <c r="P284" i="20"/>
  <c r="Q271" i="20"/>
  <c r="Q1335" i="20"/>
  <c r="P999" i="20"/>
  <c r="Q770" i="20"/>
  <c r="Q645" i="20"/>
  <c r="N656" i="20"/>
  <c r="M303" i="20"/>
  <c r="N755" i="20"/>
  <c r="M2000" i="20"/>
  <c r="M1507" i="20"/>
  <c r="M211" i="20"/>
  <c r="O1525" i="20"/>
  <c r="P349" i="20"/>
  <c r="Q908" i="20"/>
  <c r="N1319" i="20"/>
  <c r="N1536" i="20"/>
  <c r="N90" i="20"/>
  <c r="M1484" i="20"/>
  <c r="M254" i="20"/>
  <c r="N1470" i="20"/>
  <c r="N612" i="20"/>
  <c r="P1439" i="20"/>
  <c r="P527" i="20"/>
  <c r="O605" i="20"/>
  <c r="N704" i="20"/>
  <c r="N1485" i="20"/>
  <c r="O79" i="20"/>
  <c r="Q1350" i="20"/>
  <c r="O1138" i="20"/>
  <c r="N352" i="20"/>
  <c r="P790" i="20"/>
  <c r="Q1973" i="20"/>
  <c r="O712" i="20"/>
  <c r="M745" i="20"/>
  <c r="P849" i="20"/>
  <c r="P489" i="20"/>
  <c r="O1458" i="20"/>
  <c r="M863" i="20"/>
  <c r="N969" i="20"/>
  <c r="N858" i="20"/>
  <c r="N563" i="20"/>
  <c r="P204" i="20"/>
  <c r="P593" i="20"/>
  <c r="Q843" i="20"/>
  <c r="O751" i="20"/>
  <c r="O1308" i="20"/>
  <c r="N1126" i="20"/>
  <c r="M1575" i="20"/>
  <c r="M665" i="20"/>
  <c r="Q1858" i="20"/>
  <c r="N1475" i="20"/>
  <c r="P1958" i="20"/>
  <c r="P161" i="20"/>
  <c r="P85" i="20"/>
  <c r="T1036" i="20"/>
  <c r="T1743" i="20"/>
  <c r="N1065" i="20"/>
  <c r="M585" i="20"/>
  <c r="Q900" i="20"/>
  <c r="M1559" i="20"/>
  <c r="P541" i="20"/>
  <c r="M271" i="20"/>
  <c r="P1285" i="20"/>
  <c r="M550" i="20"/>
  <c r="M116" i="20"/>
  <c r="R1831" i="20"/>
  <c r="P1341" i="20"/>
  <c r="P513" i="20"/>
  <c r="Q121" i="20"/>
  <c r="M669" i="20"/>
  <c r="Q324" i="20"/>
  <c r="N181" i="20"/>
  <c r="N744" i="20"/>
  <c r="Q76" i="20"/>
  <c r="N1003" i="20"/>
  <c r="M534" i="20"/>
  <c r="P680" i="20"/>
  <c r="O900" i="20"/>
  <c r="N622" i="20"/>
  <c r="N1425" i="20"/>
  <c r="P346" i="20"/>
  <c r="O1053" i="20"/>
  <c r="Q366" i="20"/>
  <c r="P65" i="20"/>
  <c r="N320" i="20"/>
  <c r="O1005" i="20"/>
  <c r="N590" i="20"/>
  <c r="O1325" i="20"/>
  <c r="M1045" i="20"/>
  <c r="N908" i="20"/>
  <c r="Q1564" i="20"/>
  <c r="N349" i="20"/>
  <c r="N1125" i="20"/>
  <c r="N743" i="20"/>
  <c r="N1560" i="20"/>
  <c r="Q1354" i="20"/>
  <c r="Q101" i="20"/>
  <c r="Q1063" i="20"/>
  <c r="M1363" i="20"/>
  <c r="O1538" i="20"/>
  <c r="N1430" i="20"/>
  <c r="O1377" i="20"/>
  <c r="M767" i="20"/>
  <c r="P1098" i="20"/>
  <c r="Q1014" i="20"/>
  <c r="O50" i="20"/>
  <c r="Q1983" i="20"/>
  <c r="P1503" i="20"/>
  <c r="P290" i="20"/>
  <c r="O1367" i="20"/>
  <c r="N1585" i="20"/>
  <c r="N1324" i="20"/>
  <c r="P306" i="20"/>
  <c r="N1550" i="20"/>
  <c r="N1438" i="20"/>
  <c r="M125" i="20"/>
  <c r="N1581" i="20"/>
  <c r="O215" i="20"/>
  <c r="Q706" i="20"/>
  <c r="M234" i="20"/>
  <c r="P1315" i="20"/>
  <c r="Q304" i="20"/>
  <c r="P566" i="20"/>
  <c r="O289" i="20"/>
  <c r="Q998" i="20"/>
  <c r="M574" i="20"/>
  <c r="Q782" i="20"/>
  <c r="N578" i="20"/>
  <c r="P1139" i="20"/>
  <c r="Q1884" i="20"/>
  <c r="P598" i="20"/>
  <c r="Q567" i="20"/>
  <c r="M662" i="20"/>
  <c r="P863" i="20"/>
  <c r="N1532" i="20"/>
  <c r="P320" i="20"/>
  <c r="M1468" i="20"/>
  <c r="M1569" i="20"/>
  <c r="N1502" i="20"/>
  <c r="O160" i="20"/>
  <c r="M990" i="20"/>
  <c r="O728" i="20"/>
  <c r="Q1467" i="20"/>
  <c r="O1344" i="20"/>
  <c r="M1133" i="20"/>
  <c r="N499" i="20"/>
  <c r="P1153" i="20"/>
  <c r="P281" i="20"/>
  <c r="O1388" i="20"/>
  <c r="M668" i="20"/>
  <c r="M1139" i="20"/>
  <c r="N1274" i="20"/>
  <c r="M1304" i="20"/>
  <c r="Q715" i="20"/>
  <c r="P1479" i="20"/>
  <c r="N126" i="20"/>
  <c r="P1446" i="20"/>
  <c r="N1427" i="20"/>
  <c r="Q65" i="20"/>
  <c r="O1444" i="20"/>
  <c r="O779" i="20"/>
  <c r="Q669" i="20"/>
  <c r="N502" i="20"/>
  <c r="M849" i="20"/>
  <c r="N1918" i="20"/>
  <c r="P1092" i="20"/>
  <c r="Q131" i="20"/>
  <c r="O1167" i="20"/>
  <c r="P262" i="20"/>
  <c r="Q1303" i="20"/>
  <c r="M621" i="20"/>
  <c r="O1284" i="20"/>
  <c r="Q984" i="20"/>
  <c r="P1519" i="20"/>
  <c r="P1004" i="20"/>
  <c r="O59" i="20"/>
  <c r="Q375" i="20"/>
  <c r="O280" i="20"/>
  <c r="P1124" i="20"/>
  <c r="N870" i="20"/>
  <c r="P1038" i="20"/>
  <c r="N1322" i="20"/>
  <c r="M740" i="20"/>
  <c r="O646" i="20"/>
  <c r="N1997" i="20"/>
  <c r="Q1353" i="20"/>
  <c r="Q1141" i="20"/>
  <c r="N211" i="20"/>
  <c r="M1068" i="20"/>
  <c r="N199" i="20"/>
  <c r="O71" i="20"/>
  <c r="O1421" i="20"/>
  <c r="P1975" i="20"/>
  <c r="M1525" i="20"/>
  <c r="P141" i="20"/>
  <c r="N734" i="20"/>
  <c r="P904" i="20"/>
  <c r="O171" i="20"/>
  <c r="P600" i="20"/>
  <c r="N665" i="20"/>
  <c r="O759" i="20"/>
  <c r="P1979" i="20"/>
  <c r="Q1470" i="20"/>
  <c r="N1412" i="20"/>
  <c r="O754" i="20"/>
  <c r="O1426" i="20"/>
  <c r="N1041" i="20"/>
  <c r="N359" i="20"/>
  <c r="M171" i="20"/>
  <c r="N212" i="20"/>
  <c r="N533" i="20"/>
  <c r="P749" i="20"/>
  <c r="N111" i="20"/>
  <c r="P1550" i="20"/>
  <c r="P1486" i="20"/>
  <c r="N1035" i="20"/>
  <c r="N94" i="20"/>
  <c r="O496" i="20"/>
  <c r="O46" i="20"/>
  <c r="N1149" i="20"/>
  <c r="P699" i="20"/>
  <c r="M606" i="20"/>
  <c r="N632" i="20"/>
  <c r="Q603" i="20"/>
  <c r="N1940" i="20"/>
  <c r="P665" i="20"/>
  <c r="N1484" i="20"/>
  <c r="Q1474" i="20"/>
  <c r="O1979" i="20"/>
  <c r="Q784" i="20"/>
  <c r="N224" i="20"/>
  <c r="P1414" i="20"/>
  <c r="P1052" i="20"/>
  <c r="P686" i="20"/>
  <c r="P1995" i="20"/>
  <c r="P900" i="20"/>
  <c r="O635" i="20"/>
  <c r="O849" i="20"/>
  <c r="Q1478" i="20"/>
  <c r="Q497" i="20"/>
  <c r="M766" i="20"/>
  <c r="Q215" i="20"/>
  <c r="Q1038" i="20"/>
  <c r="O1100" i="20"/>
  <c r="Q50" i="20"/>
  <c r="Q742" i="20"/>
  <c r="O792" i="20"/>
  <c r="M352" i="20"/>
  <c r="Q883" i="20"/>
  <c r="Q1088" i="20"/>
  <c r="O1157" i="20"/>
  <c r="P164" i="20"/>
  <c r="Q1087" i="20"/>
  <c r="M749" i="20"/>
  <c r="M1983" i="20"/>
  <c r="M893" i="20"/>
  <c r="O955" i="20"/>
  <c r="M1455" i="20"/>
  <c r="Q488" i="20"/>
  <c r="N968" i="20"/>
  <c r="N1299" i="20"/>
  <c r="M1312" i="20"/>
  <c r="O963" i="20"/>
  <c r="Q120" i="20"/>
  <c r="Q648" i="20"/>
  <c r="P1467" i="20"/>
  <c r="M1030" i="20"/>
  <c r="Q650" i="20"/>
  <c r="O1474" i="20"/>
  <c r="P595" i="20"/>
  <c r="Q1110" i="20"/>
  <c r="P940" i="20"/>
  <c r="P1003" i="20"/>
  <c r="N329" i="20"/>
  <c r="M140" i="20"/>
  <c r="Q179" i="20"/>
  <c r="O86" i="20"/>
  <c r="P765" i="20"/>
  <c r="N1155" i="20"/>
  <c r="Q1386" i="20"/>
  <c r="P1460" i="20"/>
  <c r="M1365" i="20"/>
  <c r="O890" i="20"/>
  <c r="M500" i="20"/>
  <c r="Q1372" i="20"/>
  <c r="N280" i="20"/>
  <c r="N905" i="20"/>
  <c r="N1304" i="20"/>
  <c r="M1282" i="20"/>
  <c r="Q1287" i="20"/>
  <c r="P848" i="20"/>
  <c r="O74" i="20"/>
  <c r="Q640" i="20"/>
  <c r="O231" i="20"/>
  <c r="Q649" i="20"/>
  <c r="P1323" i="20"/>
  <c r="M1349" i="20"/>
  <c r="O1771" i="20"/>
  <c r="M729" i="20"/>
  <c r="O1987" i="20"/>
  <c r="P1367" i="20"/>
  <c r="Q1079" i="20"/>
  <c r="M1517" i="20"/>
  <c r="Q285" i="20"/>
  <c r="N1522" i="20"/>
  <c r="P741" i="20"/>
  <c r="Q730" i="20"/>
  <c r="N49" i="20"/>
  <c r="N918" i="20"/>
  <c r="R1897" i="20"/>
  <c r="R886" i="20"/>
  <c r="O1330" i="20"/>
  <c r="Q1513" i="20"/>
  <c r="T1092" i="20"/>
  <c r="Q116" i="20"/>
  <c r="M984" i="20"/>
  <c r="O483" i="20"/>
  <c r="P1064" i="20"/>
  <c r="P1397" i="20"/>
  <c r="M1528" i="20"/>
  <c r="O350" i="20"/>
  <c r="O948" i="20"/>
  <c r="N1095" i="20"/>
  <c r="M955" i="20"/>
  <c r="P1125" i="20"/>
  <c r="O1355" i="20"/>
  <c r="O757" i="20"/>
  <c r="Q708" i="20"/>
  <c r="O1296" i="20"/>
  <c r="Q1559" i="20"/>
  <c r="N1524" i="20"/>
  <c r="N781" i="20"/>
  <c r="P265" i="20"/>
  <c r="P767" i="20"/>
  <c r="N848" i="20"/>
  <c r="P359" i="20"/>
  <c r="Q1434" i="20"/>
  <c r="N1090" i="20"/>
  <c r="P1886" i="20"/>
  <c r="Q899" i="20"/>
  <c r="M1314" i="20"/>
  <c r="O1065" i="20"/>
  <c r="Q772" i="20"/>
  <c r="O949" i="20"/>
  <c r="N1445" i="20"/>
  <c r="P1426" i="20"/>
  <c r="M1454" i="20"/>
  <c r="O1085" i="20"/>
  <c r="O1048" i="20"/>
  <c r="Q762" i="20"/>
  <c r="O1425" i="20"/>
  <c r="P1423" i="20"/>
  <c r="P1488" i="20"/>
  <c r="O1554" i="20"/>
  <c r="P1422" i="20"/>
  <c r="O1128" i="20"/>
  <c r="N1165" i="20"/>
  <c r="Q1583" i="20"/>
  <c r="N593" i="20"/>
  <c r="M219" i="20"/>
  <c r="O1393" i="20"/>
  <c r="N125" i="20"/>
  <c r="N274" i="20"/>
  <c r="N1381" i="20"/>
  <c r="Q1329" i="20"/>
  <c r="Q765" i="20"/>
  <c r="M1408" i="20"/>
  <c r="M371" i="20"/>
  <c r="Q717" i="20"/>
  <c r="O940" i="20"/>
  <c r="Q1488" i="20"/>
  <c r="P1093" i="20"/>
  <c r="N1094" i="20"/>
  <c r="Q638" i="20"/>
  <c r="P71" i="20"/>
  <c r="M747" i="20"/>
  <c r="P321" i="20"/>
  <c r="Q652" i="20"/>
  <c r="O180" i="20"/>
  <c r="P1123" i="20"/>
  <c r="Q1531" i="20"/>
  <c r="Q1481" i="20"/>
  <c r="Q144" i="20"/>
  <c r="Q1366" i="20"/>
  <c r="N1511" i="20"/>
  <c r="O1550" i="20"/>
  <c r="Q1466" i="20"/>
  <c r="N1349" i="20"/>
  <c r="M719" i="20"/>
  <c r="M154" i="20"/>
  <c r="P752" i="20"/>
  <c r="M1482" i="20"/>
  <c r="Q600" i="20"/>
  <c r="Q1315" i="20"/>
  <c r="O621" i="20"/>
  <c r="Q289" i="20"/>
  <c r="O281" i="20"/>
  <c r="O889" i="20"/>
  <c r="O755" i="20"/>
  <c r="Q195" i="20"/>
  <c r="P580" i="20"/>
  <c r="O579" i="20"/>
  <c r="P356" i="20"/>
  <c r="N945" i="20"/>
  <c r="Q1029" i="20"/>
  <c r="Q1005" i="20"/>
  <c r="N1160" i="20"/>
  <c r="N110" i="20"/>
  <c r="O860" i="20"/>
  <c r="N109" i="20"/>
  <c r="P483" i="20"/>
  <c r="O334" i="20"/>
  <c r="O1346" i="20"/>
  <c r="Q1516" i="20"/>
  <c r="N1135" i="20"/>
  <c r="Q1308" i="20"/>
  <c r="M1167" i="20"/>
  <c r="P1045" i="20"/>
  <c r="O219" i="20"/>
  <c r="O878" i="20"/>
  <c r="N1868" i="20"/>
  <c r="Q667" i="20"/>
  <c r="Q1876" i="20"/>
  <c r="M157" i="20"/>
  <c r="M1963" i="20"/>
  <c r="P936" i="20"/>
  <c r="Q1975" i="20"/>
  <c r="M545" i="20"/>
  <c r="N732" i="20"/>
  <c r="O700" i="20"/>
  <c r="Q1114" i="20"/>
  <c r="P1304" i="20"/>
  <c r="M854" i="20"/>
  <c r="N1500" i="20"/>
  <c r="Q300" i="20"/>
  <c r="O1313" i="20"/>
  <c r="M1571" i="20"/>
  <c r="P1293" i="20"/>
  <c r="P785" i="20"/>
  <c r="P788" i="20"/>
  <c r="N993" i="20"/>
  <c r="M1830" i="20"/>
  <c r="N185" i="20"/>
  <c r="O1420" i="20"/>
  <c r="O100" i="20"/>
  <c r="M752" i="20"/>
  <c r="Q301" i="20"/>
  <c r="Q795" i="20"/>
  <c r="Q928" i="20"/>
  <c r="O840" i="20"/>
  <c r="Q1331" i="20"/>
  <c r="Q90" i="20"/>
  <c r="N1010" i="20"/>
  <c r="O1469" i="20"/>
  <c r="P602" i="20"/>
  <c r="Q1381" i="20"/>
  <c r="P1403" i="20"/>
  <c r="M373" i="20"/>
  <c r="Q658" i="20"/>
  <c r="N895" i="20"/>
  <c r="O1476" i="20"/>
  <c r="O1801" i="20"/>
  <c r="N988" i="20"/>
  <c r="N641" i="20"/>
  <c r="M1992" i="20"/>
  <c r="P750" i="20"/>
  <c r="O1394" i="20"/>
  <c r="N720" i="20"/>
  <c r="M94" i="20"/>
  <c r="P1531" i="20"/>
  <c r="M602" i="20"/>
  <c r="P134" i="20"/>
  <c r="Q220" i="20"/>
  <c r="P547" i="20"/>
  <c r="O657" i="20"/>
  <c r="Q1060" i="20"/>
  <c r="N1379" i="20"/>
  <c r="N1119" i="20"/>
  <c r="N1520" i="20"/>
  <c r="O1403" i="20"/>
  <c r="O1992" i="20"/>
  <c r="M667" i="20"/>
  <c r="N753" i="20"/>
  <c r="P642" i="20"/>
  <c r="P186" i="20"/>
  <c r="Q698" i="20"/>
  <c r="N596" i="20"/>
  <c r="M709" i="20"/>
  <c r="M644" i="20"/>
  <c r="Q1358" i="20"/>
  <c r="O1478" i="20"/>
  <c r="Q1526" i="20"/>
  <c r="O786" i="20"/>
  <c r="Q149" i="20"/>
  <c r="N1416" i="20"/>
  <c r="M166" i="20"/>
  <c r="P1493" i="20"/>
  <c r="M659" i="20"/>
  <c r="Q1294" i="20"/>
  <c r="P80" i="20"/>
  <c r="N1366" i="20"/>
  <c r="O735" i="20"/>
  <c r="N74" i="20"/>
  <c r="N375" i="20"/>
  <c r="P125" i="20"/>
  <c r="O731" i="20"/>
  <c r="Q246" i="20"/>
  <c r="O1836" i="20"/>
  <c r="M1968" i="20"/>
  <c r="M131" i="20"/>
  <c r="O1962" i="20"/>
  <c r="Q111" i="20"/>
  <c r="O538" i="20"/>
  <c r="O658" i="20"/>
  <c r="M637" i="20"/>
  <c r="M1088" i="20"/>
  <c r="Q1589" i="20"/>
  <c r="P1149" i="20"/>
  <c r="Q1582" i="20"/>
  <c r="M1536" i="20"/>
  <c r="P1470" i="20"/>
  <c r="O509" i="20"/>
  <c r="M1522" i="20"/>
  <c r="N70" i="20"/>
  <c r="Q1716" i="20"/>
  <c r="M864" i="20"/>
  <c r="P1294" i="20"/>
  <c r="N859" i="20"/>
  <c r="N653" i="20"/>
  <c r="P682" i="20"/>
  <c r="N731" i="20"/>
  <c r="Q1997" i="20"/>
  <c r="N1080" i="20"/>
  <c r="P219" i="20"/>
  <c r="P1300" i="20"/>
  <c r="P963" i="20"/>
  <c r="N114" i="20"/>
  <c r="M604" i="20"/>
  <c r="Q1499" i="20"/>
  <c r="N1358" i="20"/>
  <c r="P870" i="20"/>
  <c r="P289" i="20"/>
  <c r="P1060" i="20"/>
  <c r="Q1373" i="20"/>
  <c r="P728" i="20"/>
  <c r="O1472" i="20"/>
  <c r="Q608" i="20"/>
  <c r="P614" i="20"/>
  <c r="M641" i="20"/>
  <c r="M1458" i="20"/>
  <c r="N940" i="20"/>
  <c r="M1758" i="20"/>
  <c r="M1845" i="20"/>
  <c r="O169" i="20"/>
  <c r="Q1989" i="20"/>
  <c r="O308" i="20"/>
  <c r="O780" i="20"/>
  <c r="P1078" i="20"/>
  <c r="P1069" i="20"/>
  <c r="O1169" i="20"/>
  <c r="N930" i="20"/>
  <c r="P844" i="20"/>
  <c r="Q1979" i="20"/>
  <c r="S1101" i="20"/>
  <c r="T1900" i="20"/>
  <c r="P116" i="20"/>
  <c r="P1074" i="20"/>
  <c r="S1615" i="20"/>
  <c r="T198" i="20"/>
  <c r="P683" i="20"/>
  <c r="P644" i="20"/>
  <c r="T63" i="20"/>
  <c r="M898" i="20"/>
  <c r="P735" i="20"/>
  <c r="P1334" i="20"/>
  <c r="P938" i="20"/>
  <c r="P774" i="20"/>
  <c r="M1583" i="20"/>
  <c r="Q1528" i="20"/>
  <c r="M548" i="20"/>
  <c r="O522" i="20"/>
  <c r="O1009" i="20"/>
  <c r="Q954" i="20"/>
  <c r="O1499" i="20"/>
  <c r="P184" i="20"/>
  <c r="P1963" i="20"/>
  <c r="O943" i="20"/>
  <c r="P1347" i="20"/>
  <c r="Q653" i="20"/>
  <c r="Q656" i="20"/>
  <c r="Q359" i="20"/>
  <c r="Q630" i="20"/>
  <c r="O1282" i="20"/>
  <c r="M1060" i="20"/>
  <c r="M572" i="20"/>
  <c r="N739" i="20"/>
  <c r="Q1305" i="20"/>
  <c r="Q1139" i="20"/>
  <c r="O1283" i="20"/>
  <c r="N482" i="20"/>
  <c r="Q1512" i="20"/>
  <c r="N619" i="20"/>
  <c r="M96" i="20"/>
  <c r="M1476" i="20"/>
  <c r="N1313" i="20"/>
  <c r="P235" i="20"/>
  <c r="P341" i="20"/>
  <c r="M1388" i="20"/>
  <c r="N1432" i="20"/>
  <c r="N1150" i="20"/>
  <c r="M1159" i="20"/>
  <c r="N638" i="20"/>
  <c r="O868" i="20"/>
  <c r="N369" i="20"/>
  <c r="M672" i="20"/>
  <c r="N611" i="20"/>
  <c r="P1103" i="20"/>
  <c r="O1088" i="20"/>
  <c r="N1447" i="20"/>
  <c r="Q1098" i="20"/>
  <c r="N1342" i="20"/>
  <c r="M1457" i="20"/>
  <c r="P1399" i="20"/>
  <c r="P1379" i="20"/>
  <c r="P1528" i="20"/>
  <c r="Q660" i="20"/>
  <c r="P206" i="20"/>
  <c r="N1118" i="20"/>
  <c r="P624" i="20"/>
  <c r="M1095" i="20"/>
  <c r="P495" i="20"/>
  <c r="M537" i="20"/>
  <c r="Q156" i="20"/>
  <c r="P1361" i="20"/>
  <c r="M1552" i="20"/>
  <c r="N1168" i="20"/>
  <c r="P1303" i="20"/>
  <c r="N746" i="20"/>
  <c r="M170" i="20"/>
  <c r="O1410" i="20"/>
  <c r="Q1448" i="20"/>
  <c r="P853" i="20"/>
  <c r="P249" i="20"/>
  <c r="P1053" i="20"/>
  <c r="N676" i="20"/>
  <c r="P933" i="20"/>
  <c r="N689" i="20"/>
  <c r="P930" i="20"/>
  <c r="P899" i="20"/>
  <c r="N546" i="20"/>
  <c r="M701" i="20"/>
  <c r="M628" i="20"/>
  <c r="P151" i="20"/>
  <c r="Q485" i="20"/>
  <c r="O1531" i="20"/>
  <c r="M859" i="20"/>
  <c r="M750" i="20"/>
  <c r="M692" i="20"/>
  <c r="P1374" i="20"/>
  <c r="O1511" i="20"/>
  <c r="N652" i="20"/>
  <c r="Q788" i="20"/>
  <c r="N634" i="20"/>
  <c r="Q905" i="20"/>
  <c r="N334" i="20"/>
  <c r="Q583" i="20"/>
  <c r="O1334" i="20"/>
  <c r="M1456" i="20"/>
  <c r="M764" i="20"/>
  <c r="N1482" i="20"/>
  <c r="M1857" i="20"/>
  <c r="M1870" i="20"/>
  <c r="N1993" i="20"/>
  <c r="M636" i="20"/>
  <c r="Q86" i="20"/>
  <c r="M1976" i="20"/>
  <c r="N526" i="20"/>
  <c r="P656" i="20"/>
  <c r="N1371" i="20"/>
  <c r="O1983" i="20"/>
  <c r="M215" i="20"/>
  <c r="Q1048" i="20"/>
  <c r="Q889" i="20"/>
  <c r="P621" i="20"/>
  <c r="P1586" i="20"/>
  <c r="O1581" i="20"/>
  <c r="O756" i="20"/>
  <c r="N1397" i="20"/>
  <c r="O1464" i="20"/>
  <c r="Q1351" i="20"/>
  <c r="M1280" i="20"/>
  <c r="N75" i="20"/>
  <c r="P1094" i="20"/>
  <c r="O255" i="20"/>
  <c r="N715" i="20"/>
  <c r="Q890" i="20"/>
  <c r="N603" i="20"/>
  <c r="Q965" i="20"/>
  <c r="N684" i="20"/>
  <c r="P612" i="20"/>
  <c r="N1450" i="20"/>
  <c r="Q728" i="20"/>
  <c r="M691" i="20"/>
  <c r="M954" i="20"/>
  <c r="O1160" i="20"/>
  <c r="O235" i="20"/>
  <c r="P1565" i="20"/>
  <c r="N674" i="20"/>
  <c r="N104" i="20"/>
  <c r="P166" i="20"/>
  <c r="N599" i="20"/>
  <c r="P558" i="20"/>
  <c r="O190" i="20"/>
  <c r="M605" i="20"/>
  <c r="M1578" i="20"/>
  <c r="Q533" i="20"/>
  <c r="P100" i="20"/>
  <c r="N79" i="20"/>
  <c r="M1959" i="20"/>
  <c r="P1941" i="20"/>
  <c r="P189" i="20"/>
  <c r="N706" i="20"/>
  <c r="P352" i="20"/>
  <c r="P1409" i="20"/>
  <c r="O619" i="20"/>
  <c r="O491" i="20"/>
  <c r="N1034" i="20"/>
  <c r="Q1413" i="20"/>
  <c r="M542" i="20"/>
  <c r="P1471" i="20"/>
  <c r="M731" i="20"/>
  <c r="Q719" i="20"/>
  <c r="P754" i="20"/>
  <c r="M699" i="20"/>
  <c r="Q347" i="20"/>
  <c r="P1775" i="20"/>
  <c r="P255" i="20"/>
  <c r="M1294" i="20"/>
  <c r="P1859" i="20"/>
  <c r="N1960" i="20"/>
  <c r="P729" i="20"/>
  <c r="N174" i="20"/>
  <c r="M632" i="20"/>
  <c r="N1473" i="20"/>
  <c r="P1299" i="20"/>
  <c r="M1005" i="20"/>
  <c r="O1440" i="20"/>
  <c r="N500" i="20"/>
  <c r="O1288" i="20"/>
  <c r="M894" i="20"/>
  <c r="Q721" i="20"/>
  <c r="N116" i="20"/>
  <c r="O1535" i="20"/>
  <c r="M176" i="20"/>
  <c r="N215" i="20"/>
  <c r="N623" i="20"/>
  <c r="M645" i="20"/>
  <c r="P124" i="20"/>
  <c r="M1863" i="20"/>
  <c r="P599" i="20"/>
  <c r="M687" i="20"/>
  <c r="P1282" i="20"/>
  <c r="O1042" i="20"/>
  <c r="Q1545" i="20"/>
  <c r="Q869" i="20"/>
  <c r="M1471" i="20"/>
  <c r="M1089" i="20"/>
  <c r="O766" i="20"/>
  <c r="O684" i="20"/>
  <c r="P1506" i="20"/>
  <c r="O1559" i="20"/>
  <c r="Q517" i="20"/>
  <c r="P796" i="20"/>
  <c r="M1094" i="20"/>
  <c r="M69" i="20"/>
  <c r="O1094" i="20"/>
  <c r="O714" i="20"/>
  <c r="O1158" i="20"/>
  <c r="N1882" i="20"/>
  <c r="O764" i="20"/>
  <c r="P1396" i="20"/>
  <c r="N601" i="20"/>
  <c r="N983" i="20"/>
  <c r="Q85" i="20"/>
  <c r="O1124" i="20"/>
  <c r="N595" i="20"/>
  <c r="N667" i="20"/>
  <c r="N1007" i="20"/>
  <c r="Q1437" i="20"/>
  <c r="N741" i="20"/>
  <c r="O908" i="20"/>
  <c r="P275" i="20"/>
  <c r="O55" i="20"/>
  <c r="N722" i="20"/>
  <c r="N356" i="20"/>
  <c r="N943" i="20"/>
  <c r="P1148" i="20"/>
  <c r="P670" i="20"/>
  <c r="N1386" i="20"/>
  <c r="Q623" i="20"/>
  <c r="M944" i="20"/>
  <c r="P1987" i="20"/>
  <c r="Q1574" i="20"/>
  <c r="P1993" i="20"/>
  <c r="O795" i="20"/>
  <c r="P770" i="20"/>
  <c r="O1573" i="20"/>
  <c r="N614" i="20"/>
  <c r="M946" i="20"/>
  <c r="M1029" i="20"/>
  <c r="O1475" i="20"/>
  <c r="O1289" i="20"/>
  <c r="O1519" i="20"/>
  <c r="M1341" i="20"/>
  <c r="Q341" i="20"/>
  <c r="M1573" i="20"/>
  <c r="O1529" i="20"/>
  <c r="M1521" i="20"/>
  <c r="O1365" i="20"/>
  <c r="O94" i="20"/>
  <c r="O1449" i="20"/>
  <c r="Q970" i="20"/>
  <c r="O221" i="20"/>
  <c r="O929" i="20"/>
  <c r="Q1371" i="20"/>
  <c r="N664" i="20"/>
  <c r="M1290" i="20"/>
  <c r="Q370" i="20"/>
  <c r="P764" i="20"/>
  <c r="Q1356" i="20"/>
  <c r="Q1450" i="20"/>
  <c r="N1999" i="20"/>
  <c r="Q1359" i="20"/>
  <c r="O1292" i="20"/>
  <c r="M989" i="20"/>
  <c r="N1436" i="20"/>
  <c r="M753" i="20"/>
  <c r="P75" i="20"/>
  <c r="N1528" i="20"/>
  <c r="O618" i="20"/>
  <c r="P1432" i="20"/>
  <c r="Q790" i="20"/>
  <c r="N1345" i="20"/>
  <c r="P361" i="20"/>
  <c r="O613" i="20"/>
  <c r="Q604" i="20"/>
  <c r="O616" i="20"/>
  <c r="M617" i="20"/>
  <c r="O1598" i="20"/>
  <c r="P319" i="20"/>
  <c r="O1078" i="20"/>
  <c r="Q913" i="20"/>
  <c r="N938" i="20"/>
  <c r="O1917" i="20"/>
  <c r="P337" i="20"/>
  <c r="Q1075" i="20"/>
  <c r="O1496" i="20"/>
  <c r="N270" i="20"/>
  <c r="O195" i="20"/>
  <c r="M350" i="20"/>
  <c r="O1441" i="20"/>
  <c r="P1978" i="20"/>
  <c r="N747" i="20"/>
  <c r="O785" i="20"/>
  <c r="P1981" i="20"/>
  <c r="M139" i="20"/>
  <c r="P1536" i="20"/>
  <c r="N1570" i="20"/>
  <c r="O151" i="20"/>
  <c r="N783" i="20"/>
  <c r="O179" i="20"/>
  <c r="Q1422" i="20"/>
  <c r="M1382" i="20"/>
  <c r="P883" i="20"/>
  <c r="Q1813" i="20"/>
  <c r="P1832" i="20"/>
  <c r="N531" i="20"/>
  <c r="N672" i="20"/>
  <c r="Q74" i="20"/>
  <c r="O615" i="20"/>
  <c r="O257" i="20"/>
  <c r="Q266" i="20"/>
  <c r="O1851" i="20"/>
  <c r="Q602" i="20"/>
  <c r="N568" i="20"/>
  <c r="P549" i="20"/>
  <c r="O939" i="20"/>
  <c r="O873" i="20"/>
  <c r="N1916" i="20"/>
  <c r="Q776" i="20"/>
  <c r="P1907" i="20"/>
  <c r="P732" i="20"/>
  <c r="P730" i="20"/>
  <c r="P903" i="20"/>
  <c r="M1283" i="20"/>
  <c r="P1057" i="20"/>
  <c r="O1712" i="20"/>
  <c r="M1652" i="20"/>
  <c r="O1958" i="20"/>
  <c r="M1811" i="20"/>
  <c r="Q1961" i="20"/>
  <c r="O1780" i="20"/>
  <c r="N1848" i="20"/>
  <c r="M198" i="20"/>
  <c r="M372" i="20"/>
  <c r="O113" i="20"/>
  <c r="M616" i="20"/>
  <c r="Q739" i="20"/>
  <c r="M55" i="20"/>
  <c r="M1955" i="20"/>
  <c r="N779" i="20"/>
  <c r="N1329" i="20"/>
  <c r="O1898" i="20"/>
  <c r="O604" i="20"/>
  <c r="M1293" i="20"/>
  <c r="N589" i="20"/>
  <c r="P745" i="20"/>
  <c r="M89" i="20"/>
  <c r="N1959" i="20"/>
  <c r="M1947" i="20"/>
  <c r="P1926" i="20"/>
  <c r="O1364" i="20"/>
  <c r="P1445" i="20"/>
  <c r="N1574" i="20"/>
  <c r="M594" i="20"/>
  <c r="M1971" i="20"/>
  <c r="N607" i="20"/>
  <c r="N529" i="20"/>
  <c r="Q226" i="20"/>
  <c r="M1995" i="20"/>
  <c r="Q1406" i="20"/>
  <c r="O1797" i="20"/>
  <c r="P1868" i="20"/>
  <c r="O1106" i="20"/>
  <c r="P1670" i="20"/>
  <c r="N1779" i="20"/>
  <c r="N1729" i="20"/>
  <c r="M248" i="20"/>
  <c r="O1985" i="20"/>
  <c r="N98" i="20"/>
  <c r="M362" i="20"/>
  <c r="N1902" i="20"/>
  <c r="O1728" i="20"/>
  <c r="M789" i="20"/>
  <c r="P550" i="20"/>
  <c r="N1401" i="20"/>
  <c r="P1169" i="20"/>
  <c r="O760" i="20"/>
  <c r="P1310" i="20"/>
  <c r="O1387" i="20"/>
  <c r="O601" i="20"/>
  <c r="N1075" i="20"/>
  <c r="O736" i="20"/>
  <c r="Q740" i="20"/>
  <c r="M1524" i="20"/>
  <c r="N714" i="20"/>
  <c r="P1819" i="20"/>
  <c r="O1485" i="20"/>
  <c r="N624" i="20"/>
  <c r="M1667" i="20"/>
  <c r="P1967" i="20"/>
  <c r="P298" i="20"/>
  <c r="M163" i="20"/>
  <c r="M1949" i="20"/>
  <c r="N1842" i="20"/>
  <c r="P247" i="20"/>
  <c r="P877" i="20"/>
  <c r="P223" i="20"/>
  <c r="O1802" i="20"/>
  <c r="M715" i="20"/>
  <c r="Q211" i="20"/>
  <c r="N586" i="20"/>
  <c r="Q629" i="20"/>
  <c r="N1990" i="20"/>
  <c r="M679" i="20"/>
  <c r="Q745" i="20"/>
  <c r="N972" i="20"/>
  <c r="M743" i="20"/>
  <c r="O744" i="20"/>
  <c r="N250" i="20"/>
  <c r="N46" i="20"/>
  <c r="N1805" i="20"/>
  <c r="O1996" i="20"/>
  <c r="O1161" i="20"/>
  <c r="P1692" i="20"/>
  <c r="N218" i="20"/>
  <c r="Q1798" i="20"/>
  <c r="O1977" i="20"/>
  <c r="N1117" i="20"/>
  <c r="M1162" i="20"/>
  <c r="P1934" i="20"/>
  <c r="Q1146" i="20"/>
  <c r="N1307" i="20"/>
  <c r="M1474" i="20"/>
  <c r="N861" i="20"/>
  <c r="Q1829" i="20"/>
  <c r="M1771" i="20"/>
  <c r="Q1747" i="20"/>
  <c r="M228" i="20"/>
  <c r="M1786" i="20"/>
  <c r="P1022" i="20"/>
  <c r="M1057" i="20"/>
  <c r="P1377" i="20"/>
  <c r="N1107" i="20"/>
  <c r="P892" i="20"/>
  <c r="N258" i="20"/>
  <c r="N1593" i="20"/>
  <c r="M1930" i="20"/>
  <c r="M1757" i="20"/>
  <c r="Q1068" i="20"/>
  <c r="O852" i="20"/>
  <c r="M1627" i="20"/>
  <c r="O368" i="20"/>
  <c r="P1801" i="20"/>
  <c r="N1012" i="20"/>
  <c r="M1800" i="20"/>
  <c r="O1628" i="20"/>
  <c r="N1636" i="20"/>
  <c r="O1081" i="20"/>
  <c r="M855" i="20"/>
  <c r="M896" i="20"/>
  <c r="P1804" i="20"/>
  <c r="N1056" i="20"/>
  <c r="P1891" i="20"/>
  <c r="O927" i="20"/>
  <c r="N1596" i="20"/>
  <c r="N1991" i="20"/>
  <c r="M1808" i="20"/>
  <c r="T1818" i="20"/>
  <c r="P139" i="20"/>
  <c r="P1480" i="20"/>
  <c r="O1434" i="20"/>
  <c r="O888" i="20"/>
  <c r="O750" i="20"/>
  <c r="N785" i="20"/>
  <c r="N1296" i="20"/>
  <c r="Q701" i="20"/>
  <c r="O1392" i="20"/>
  <c r="M1370" i="20"/>
  <c r="N647" i="20"/>
  <c r="O1039" i="20"/>
  <c r="M340" i="20"/>
  <c r="M615" i="20"/>
  <c r="N1531" i="20"/>
  <c r="O1460" i="20"/>
  <c r="M1355" i="20"/>
  <c r="M1347" i="20"/>
  <c r="O623" i="20"/>
  <c r="Q1049" i="20"/>
  <c r="M793" i="20"/>
  <c r="N1758" i="20"/>
  <c r="P1527" i="20"/>
  <c r="O1312" i="20"/>
  <c r="P1291" i="20"/>
  <c r="P225" i="20"/>
  <c r="N1320" i="20"/>
  <c r="P1418" i="20"/>
  <c r="M1516" i="20"/>
  <c r="Q1028" i="20"/>
  <c r="O594" i="20"/>
  <c r="Q1279" i="20"/>
  <c r="N788" i="20"/>
  <c r="Q134" i="20"/>
  <c r="O1990" i="20"/>
  <c r="Q1966" i="20"/>
  <c r="O1549" i="20"/>
  <c r="O905" i="20"/>
  <c r="M677" i="20"/>
  <c r="M1374" i="20"/>
  <c r="Q276" i="20"/>
  <c r="O858" i="20"/>
  <c r="Q1584" i="20"/>
  <c r="P705" i="20"/>
  <c r="Q75" i="20"/>
  <c r="Q1959" i="20"/>
  <c r="O989" i="20"/>
  <c r="N673" i="20"/>
  <c r="P1009" i="20"/>
  <c r="M56" i="20"/>
  <c r="P89" i="20"/>
  <c r="O239" i="20"/>
  <c r="P55" i="20"/>
  <c r="O1845" i="20"/>
  <c r="Q759" i="20"/>
  <c r="M623" i="20"/>
  <c r="P610" i="20"/>
  <c r="P278" i="20"/>
  <c r="N626" i="20"/>
  <c r="N1336" i="20"/>
  <c r="N548" i="20"/>
  <c r="M265" i="20"/>
  <c r="O887" i="20"/>
  <c r="N1084" i="20"/>
  <c r="M85" i="20"/>
  <c r="M688" i="20"/>
  <c r="M933" i="20"/>
  <c r="N844" i="20"/>
  <c r="Q1535" i="20"/>
  <c r="M66" i="20"/>
  <c r="N480" i="20"/>
  <c r="Q99" i="20"/>
  <c r="N685" i="20"/>
  <c r="P632" i="20"/>
  <c r="N1120" i="20"/>
  <c r="O1997" i="20"/>
  <c r="N1367" i="20"/>
  <c r="P1955" i="20"/>
  <c r="P1893" i="20"/>
  <c r="P208" i="20"/>
  <c r="P1753" i="20"/>
  <c r="O1671" i="20"/>
  <c r="O1800" i="20"/>
  <c r="P1752" i="20"/>
  <c r="P1905" i="20"/>
  <c r="N223" i="20"/>
  <c r="M1500" i="20"/>
  <c r="N1082" i="20"/>
  <c r="M895" i="20"/>
  <c r="Q1970" i="20"/>
  <c r="O695" i="20"/>
  <c r="N716" i="20"/>
  <c r="N1073" i="20"/>
  <c r="Q154" i="20"/>
  <c r="P603" i="20"/>
  <c r="N1069" i="20"/>
  <c r="Q194" i="20"/>
  <c r="P1968" i="20"/>
  <c r="Q945" i="20"/>
  <c r="Q1741" i="20"/>
  <c r="O1921" i="20"/>
  <c r="O62" i="20"/>
  <c r="Q1443" i="20"/>
  <c r="N331" i="20"/>
  <c r="P773" i="20"/>
  <c r="O110" i="20"/>
  <c r="O1356" i="20"/>
  <c r="P276" i="20"/>
  <c r="M204" i="20"/>
  <c r="O140" i="20"/>
  <c r="M1876" i="20"/>
  <c r="P660" i="20"/>
  <c r="O879" i="20"/>
  <c r="P1961" i="20"/>
  <c r="N1864" i="20"/>
  <c r="Q1895" i="20"/>
  <c r="M1662" i="20"/>
  <c r="N847" i="20"/>
  <c r="O1841" i="20"/>
  <c r="O312" i="20"/>
  <c r="N1147" i="20"/>
  <c r="Q302" i="20"/>
  <c r="P1691" i="20"/>
  <c r="Q1682" i="20"/>
  <c r="Q909" i="20"/>
  <c r="N1937" i="20"/>
  <c r="O933" i="20"/>
  <c r="M191" i="20"/>
  <c r="Q240" i="20"/>
  <c r="O1909" i="20"/>
  <c r="M1900" i="20"/>
  <c r="Q1357" i="20"/>
  <c r="Q840" i="20"/>
  <c r="M1150" i="20"/>
  <c r="O1984" i="20"/>
  <c r="M1967" i="20"/>
  <c r="M1090" i="20"/>
  <c r="M1320" i="20"/>
  <c r="O686" i="20"/>
  <c r="N784" i="20"/>
  <c r="O1970" i="20"/>
  <c r="Q1280" i="20"/>
  <c r="M133" i="20"/>
  <c r="O724" i="20"/>
  <c r="P1772" i="20"/>
  <c r="M1166" i="20"/>
  <c r="P287" i="20"/>
  <c r="Q1792" i="20"/>
  <c r="O1643" i="20"/>
  <c r="N1760" i="20"/>
  <c r="N1739" i="20"/>
  <c r="Q1797" i="20"/>
  <c r="N774" i="20"/>
  <c r="O220" i="20"/>
  <c r="M1404" i="20"/>
  <c r="P1880" i="20"/>
  <c r="P746" i="20"/>
  <c r="Q1984" i="20"/>
  <c r="M155" i="20"/>
  <c r="O848" i="20"/>
  <c r="P104" i="20"/>
  <c r="M725" i="20"/>
  <c r="N1807" i="20"/>
  <c r="M603" i="20"/>
  <c r="P1844" i="20"/>
  <c r="Q1695" i="20"/>
  <c r="M1621" i="20"/>
  <c r="O372" i="20"/>
  <c r="M1940" i="20"/>
  <c r="O1647" i="20"/>
  <c r="O313" i="20"/>
  <c r="O1852" i="20"/>
  <c r="P1878" i="20"/>
  <c r="Q749" i="20"/>
  <c r="P1458" i="20"/>
  <c r="Q750" i="20"/>
  <c r="P1923" i="20"/>
  <c r="O1840" i="20"/>
  <c r="Q1901" i="20"/>
  <c r="O1707" i="20"/>
  <c r="Q1721" i="20"/>
  <c r="N1964" i="20"/>
  <c r="P1730" i="20"/>
  <c r="P302" i="20"/>
  <c r="O1988" i="20"/>
  <c r="P1731" i="20"/>
  <c r="Q1887" i="20"/>
  <c r="N1914" i="20"/>
  <c r="Q622" i="20"/>
  <c r="M664" i="20"/>
  <c r="P1676" i="20"/>
  <c r="N1708" i="20"/>
  <c r="M57" i="20"/>
  <c r="N841" i="20"/>
  <c r="Q1953" i="20"/>
  <c r="Q1923" i="20"/>
  <c r="P1826" i="20"/>
  <c r="Q1739" i="20"/>
  <c r="N1659" i="20"/>
  <c r="M1037" i="20"/>
  <c r="P203" i="20"/>
  <c r="N1355" i="20"/>
  <c r="Q1691" i="20"/>
  <c r="Q1999" i="20"/>
  <c r="Q1036" i="20"/>
  <c r="N1747" i="20"/>
  <c r="Q1645" i="20"/>
  <c r="P1965" i="20"/>
  <c r="Q1994" i="20"/>
  <c r="M1721" i="20"/>
  <c r="O1864" i="20"/>
  <c r="M1901" i="20"/>
  <c r="O1823" i="20"/>
  <c r="P1131" i="20"/>
  <c r="N1892" i="20"/>
  <c r="O1887" i="20"/>
  <c r="P1612" i="20"/>
  <c r="M262" i="20"/>
  <c r="M1812" i="20"/>
  <c r="N1784" i="20"/>
  <c r="M892" i="20"/>
  <c r="P585" i="20"/>
  <c r="P888" i="20"/>
  <c r="Q564" i="20"/>
  <c r="Q1391" i="20"/>
  <c r="N1330" i="20"/>
  <c r="P1542" i="20"/>
  <c r="N693" i="20"/>
  <c r="N1506" i="20"/>
  <c r="M635" i="20"/>
  <c r="P1284" i="20"/>
  <c r="Q968" i="20"/>
  <c r="O527" i="20"/>
  <c r="M758" i="20"/>
  <c r="P998" i="20"/>
  <c r="M1392" i="20"/>
  <c r="P1286" i="20"/>
  <c r="N169" i="20"/>
  <c r="N926" i="20"/>
  <c r="O1448" i="20"/>
  <c r="N869" i="20"/>
  <c r="P1985" i="20"/>
  <c r="N796" i="20"/>
  <c r="M775" i="20"/>
  <c r="N625" i="20"/>
  <c r="Q1504" i="20"/>
  <c r="M1357" i="20"/>
  <c r="O1342" i="20"/>
  <c r="P1405" i="20"/>
  <c r="P299" i="20"/>
  <c r="M1481" i="20"/>
  <c r="N1452" i="20"/>
  <c r="Q165" i="20"/>
  <c r="P522" i="20"/>
  <c r="O682" i="20"/>
  <c r="N1552" i="20"/>
  <c r="P309" i="20"/>
  <c r="O1482" i="20"/>
  <c r="M716" i="20"/>
  <c r="M226" i="20"/>
  <c r="Q1990" i="20"/>
  <c r="N1428" i="20"/>
  <c r="M1300" i="20"/>
  <c r="M1381" i="20"/>
  <c r="P1144" i="20"/>
  <c r="O768" i="20"/>
  <c r="N512" i="20"/>
  <c r="Q209" i="20"/>
  <c r="M884" i="20"/>
  <c r="P868" i="20"/>
  <c r="M899" i="20"/>
  <c r="M541" i="20"/>
  <c r="Q501" i="20"/>
  <c r="M1832" i="20"/>
  <c r="P769" i="20"/>
  <c r="O1021" i="20"/>
  <c r="P859" i="20"/>
  <c r="P1823" i="20"/>
  <c r="N780" i="20"/>
  <c r="N279" i="20"/>
  <c r="O1399" i="20"/>
  <c r="Q1963" i="20"/>
  <c r="O64" i="20"/>
  <c r="O99" i="20"/>
  <c r="P884" i="20"/>
  <c r="O1584" i="20"/>
  <c r="O734" i="20"/>
  <c r="N853" i="20"/>
  <c r="O1959" i="20"/>
  <c r="Q1101" i="20"/>
  <c r="O1397" i="20"/>
  <c r="P1465" i="20"/>
  <c r="P1018" i="20"/>
  <c r="O671" i="20"/>
  <c r="N579" i="20"/>
  <c r="O1881" i="20"/>
  <c r="N1998" i="20"/>
  <c r="M1509" i="20"/>
  <c r="N1496" i="20"/>
  <c r="P165" i="20"/>
  <c r="O625" i="20"/>
  <c r="M1111" i="20"/>
  <c r="M1032" i="20"/>
  <c r="M108" i="20"/>
  <c r="N1880" i="20"/>
  <c r="O1105" i="20"/>
  <c r="Q239" i="20"/>
  <c r="Q58" i="20"/>
  <c r="P1709" i="20"/>
  <c r="Q1793" i="20"/>
  <c r="M277" i="20"/>
  <c r="Q1323" i="20"/>
  <c r="N1357" i="20"/>
  <c r="Q1745" i="20"/>
  <c r="M690" i="20"/>
  <c r="M689" i="20"/>
  <c r="P623" i="20"/>
  <c r="N504" i="20"/>
  <c r="N850" i="20"/>
  <c r="M1092" i="20"/>
  <c r="Q729" i="20"/>
  <c r="N518" i="20"/>
  <c r="P719" i="20"/>
  <c r="N1896" i="20"/>
  <c r="Q102" i="20"/>
  <c r="M1332" i="20"/>
  <c r="P373" i="20"/>
  <c r="O677" i="20"/>
  <c r="N135" i="20"/>
  <c r="P171" i="20"/>
  <c r="O631" i="20"/>
  <c r="O194" i="20"/>
  <c r="Q1392" i="20"/>
  <c r="M1889" i="20"/>
  <c r="Q1665" i="20"/>
  <c r="N1039" i="20"/>
  <c r="P635" i="20"/>
  <c r="N1944" i="20"/>
  <c r="O1794" i="20"/>
  <c r="Q1863" i="20"/>
  <c r="N177" i="20"/>
  <c r="P1883" i="20"/>
  <c r="N1776" i="20"/>
  <c r="Q929" i="20"/>
  <c r="P1807" i="20"/>
  <c r="P726" i="20"/>
  <c r="N277" i="20"/>
  <c r="N271" i="20"/>
  <c r="N1055" i="20"/>
  <c r="M601" i="20"/>
  <c r="P148" i="20"/>
  <c r="Q205" i="20"/>
  <c r="P1549" i="20"/>
  <c r="N1886" i="20"/>
  <c r="M624" i="20"/>
  <c r="P696" i="20"/>
  <c r="O1339" i="20"/>
  <c r="O634" i="20"/>
  <c r="M609" i="20"/>
  <c r="P606" i="20"/>
  <c r="N1387" i="20"/>
  <c r="Q757" i="20"/>
  <c r="N1275" i="20"/>
  <c r="P1478" i="20"/>
  <c r="Q1921" i="20"/>
  <c r="N1733" i="20"/>
  <c r="N1965" i="20"/>
  <c r="Q1783" i="20"/>
  <c r="P1816" i="20"/>
  <c r="M1161" i="20"/>
  <c r="Q910" i="20"/>
  <c r="P74" i="20"/>
  <c r="M932" i="20"/>
  <c r="P679" i="20"/>
  <c r="Q257" i="20"/>
  <c r="N1388" i="20"/>
  <c r="Q1971" i="20"/>
  <c r="M598" i="20"/>
  <c r="O641" i="20"/>
  <c r="P1105" i="20"/>
  <c r="N190" i="20"/>
  <c r="Q677" i="20"/>
  <c r="O737" i="20"/>
  <c r="Q1299" i="20"/>
  <c r="N860" i="20"/>
  <c r="O1956" i="20"/>
  <c r="M1676" i="20"/>
  <c r="N567" i="20"/>
  <c r="Q1696" i="20"/>
  <c r="M1593" i="20"/>
  <c r="O1744" i="20"/>
  <c r="O1923" i="20"/>
  <c r="P1645" i="20"/>
  <c r="M238" i="20"/>
  <c r="O302" i="20"/>
  <c r="O739" i="20"/>
  <c r="Q787" i="20"/>
  <c r="M1077" i="20"/>
  <c r="O142" i="20"/>
  <c r="Q866" i="20"/>
  <c r="P257" i="20"/>
  <c r="N198" i="20"/>
  <c r="P1887" i="20"/>
  <c r="M1844" i="20"/>
  <c r="M897" i="20"/>
  <c r="O1933" i="20"/>
  <c r="P1897" i="20"/>
  <c r="O1963" i="20"/>
  <c r="Q1758" i="20"/>
  <c r="M1067" i="20"/>
  <c r="M1915" i="20"/>
  <c r="Q1278" i="20"/>
  <c r="M348" i="20"/>
  <c r="Q1910" i="20"/>
  <c r="O307" i="20"/>
  <c r="N1790" i="20"/>
  <c r="Q172" i="20"/>
  <c r="Q1768" i="20"/>
  <c r="O967" i="20"/>
  <c r="O1615" i="20"/>
  <c r="Q1620" i="20"/>
  <c r="P952" i="20"/>
  <c r="P881" i="20"/>
  <c r="N705" i="20"/>
  <c r="O1359" i="20"/>
  <c r="N373" i="20"/>
  <c r="Q141" i="20"/>
  <c r="O1918" i="20"/>
  <c r="M1152" i="20"/>
  <c r="P372" i="20"/>
  <c r="P1602" i="20"/>
  <c r="N1980" i="20"/>
  <c r="P852" i="20"/>
  <c r="M67" i="20"/>
  <c r="P1898" i="20"/>
  <c r="N1833" i="20"/>
  <c r="P1935" i="20"/>
  <c r="N600" i="20"/>
  <c r="Q1117" i="20"/>
  <c r="P1760" i="20"/>
  <c r="M1839" i="20"/>
  <c r="P856" i="20"/>
  <c r="N1156" i="20"/>
  <c r="P1686" i="20"/>
  <c r="M720" i="20"/>
  <c r="P1621" i="20"/>
  <c r="N202" i="20"/>
  <c r="O659" i="20"/>
  <c r="M873" i="20"/>
  <c r="P1793" i="20"/>
  <c r="N1096" i="20"/>
  <c r="M192" i="20"/>
  <c r="O1162" i="20"/>
  <c r="N1040" i="20"/>
  <c r="N1789" i="20"/>
  <c r="Q1917" i="20"/>
  <c r="Q203" i="20"/>
  <c r="Q1854" i="20"/>
  <c r="N1600" i="20"/>
  <c r="N1656" i="20"/>
  <c r="O1696" i="20"/>
  <c r="Q1777" i="20"/>
  <c r="O353" i="20"/>
  <c r="N1725" i="20"/>
  <c r="Q178" i="20"/>
  <c r="O1916" i="20"/>
  <c r="N1017" i="20"/>
  <c r="P1647" i="20"/>
  <c r="Q992" i="20"/>
  <c r="N112" i="20"/>
  <c r="Q1703" i="20"/>
  <c r="M1082" i="20"/>
  <c r="Q1631" i="20"/>
  <c r="P720" i="20"/>
  <c r="N1818" i="20"/>
  <c r="M1805" i="20"/>
  <c r="P1141" i="20"/>
  <c r="Q1670" i="20"/>
  <c r="M1098" i="20"/>
  <c r="M480" i="20"/>
  <c r="N915" i="20"/>
  <c r="Q274" i="20"/>
  <c r="N251" i="20"/>
  <c r="M748" i="20"/>
  <c r="O704" i="20"/>
  <c r="Q1573" i="20"/>
  <c r="P979" i="20"/>
  <c r="Q613" i="20"/>
  <c r="O1358" i="20"/>
  <c r="M903" i="20"/>
  <c r="P300" i="20"/>
  <c r="N1420" i="20"/>
  <c r="Q352" i="20"/>
  <c r="N325" i="20"/>
  <c r="O498" i="20"/>
  <c r="N1572" i="20"/>
  <c r="P1986" i="20"/>
  <c r="M110" i="20"/>
  <c r="P170" i="20"/>
  <c r="M1327" i="20"/>
  <c r="Q1007" i="20"/>
  <c r="Q110" i="20"/>
  <c r="P1977" i="20"/>
  <c r="M608" i="20"/>
  <c r="Q674" i="20"/>
  <c r="N1981" i="20"/>
  <c r="N1048" i="20"/>
  <c r="P1275" i="20"/>
  <c r="Q1425" i="20"/>
  <c r="Q1400" i="20"/>
  <c r="Q1588" i="20"/>
  <c r="Q703" i="20"/>
  <c r="N726" i="20"/>
  <c r="O636" i="20"/>
  <c r="Q779" i="20"/>
  <c r="M780" i="20"/>
  <c r="O640" i="20"/>
  <c r="M214" i="20"/>
  <c r="M883" i="20"/>
  <c r="O1437" i="20"/>
  <c r="O610" i="20"/>
  <c r="O774" i="20"/>
  <c r="N1139" i="20"/>
  <c r="O75" i="20"/>
  <c r="M1985" i="20"/>
  <c r="M213" i="20"/>
  <c r="O1130" i="20"/>
  <c r="M751" i="20"/>
  <c r="N1466" i="20"/>
  <c r="Q329" i="20"/>
  <c r="Q1958" i="20"/>
  <c r="O926" i="20"/>
  <c r="M1376" i="20"/>
  <c r="M930" i="20"/>
  <c r="P793" i="20"/>
  <c r="Q61" i="20"/>
  <c r="M144" i="20"/>
  <c r="N1405" i="20"/>
  <c r="N1513" i="20"/>
  <c r="P744" i="20"/>
  <c r="P1989" i="20"/>
  <c r="M619" i="20"/>
  <c r="M735" i="20"/>
  <c r="N1949" i="20"/>
  <c r="P1100" i="20"/>
  <c r="M1880" i="20"/>
  <c r="Q632" i="20"/>
  <c r="M926" i="20"/>
  <c r="P601" i="20"/>
  <c r="M1278" i="20"/>
  <c r="N646" i="20"/>
  <c r="N1030" i="20"/>
  <c r="P755" i="20"/>
  <c r="O104" i="20"/>
  <c r="N1018" i="20"/>
  <c r="M195" i="20"/>
  <c r="M1025" i="20"/>
  <c r="Q1791" i="20"/>
  <c r="P182" i="20"/>
  <c r="M901" i="20"/>
  <c r="O1122" i="20"/>
  <c r="O1891" i="20"/>
  <c r="O740" i="20"/>
  <c r="P1797" i="20"/>
  <c r="M1062" i="20"/>
  <c r="O47" i="20"/>
  <c r="M1041" i="20"/>
  <c r="O1481" i="20"/>
  <c r="M54" i="20"/>
  <c r="Q1757" i="20"/>
  <c r="N1975" i="20"/>
  <c r="N347" i="20"/>
  <c r="M595" i="20"/>
  <c r="O624" i="20"/>
  <c r="N934" i="20"/>
  <c r="P715" i="20"/>
  <c r="M1764" i="20"/>
  <c r="P66" i="20"/>
  <c r="N1958" i="20"/>
  <c r="N1922" i="20"/>
  <c r="Q213" i="20"/>
  <c r="N1399" i="20"/>
  <c r="N1738" i="20"/>
  <c r="Q1964" i="20"/>
  <c r="O675" i="20"/>
  <c r="N1449" i="20"/>
  <c r="N318" i="20"/>
  <c r="M694" i="20"/>
  <c r="M345" i="20"/>
  <c r="P792" i="20"/>
  <c r="N730" i="20"/>
  <c r="O65" i="20"/>
  <c r="M651" i="20"/>
  <c r="M1943" i="20"/>
  <c r="M70" i="20"/>
  <c r="M1760" i="20"/>
  <c r="Q1822" i="20"/>
  <c r="N917" i="20"/>
  <c r="M317" i="20"/>
  <c r="P1780" i="20"/>
  <c r="Q1717" i="20"/>
  <c r="N1893" i="20"/>
  <c r="Q996" i="20"/>
  <c r="M1298" i="20"/>
  <c r="Q606" i="20"/>
  <c r="O1965" i="20"/>
  <c r="N221" i="20"/>
  <c r="N324" i="20"/>
  <c r="M99" i="20"/>
  <c r="N1972" i="20"/>
  <c r="O144" i="20"/>
  <c r="N132" i="20"/>
  <c r="Q736" i="20"/>
  <c r="Q617" i="20"/>
  <c r="P1839" i="20"/>
  <c r="Q542" i="20"/>
  <c r="N1493" i="20"/>
  <c r="M167" i="20"/>
  <c r="Q1429" i="20"/>
  <c r="M1765" i="20"/>
  <c r="M1465" i="20"/>
  <c r="P1906" i="20"/>
  <c r="P1812" i="20"/>
  <c r="N1946" i="20"/>
  <c r="Q1816" i="20"/>
  <c r="M1086" i="20"/>
  <c r="O1989" i="20"/>
  <c r="M1850" i="20"/>
  <c r="M1660" i="20"/>
  <c r="O1862" i="20"/>
  <c r="N770" i="20"/>
  <c r="P1297" i="20"/>
  <c r="Q628" i="20"/>
  <c r="M663" i="20"/>
  <c r="N86" i="20"/>
  <c r="O599" i="20"/>
  <c r="O120" i="20"/>
  <c r="N1159" i="20"/>
  <c r="M1151" i="20"/>
  <c r="Q229" i="20"/>
  <c r="M220" i="20"/>
  <c r="Q1591" i="20"/>
  <c r="Q114" i="20"/>
  <c r="O1905" i="20"/>
  <c r="O317" i="20"/>
  <c r="Q1836" i="20"/>
  <c r="O1670" i="20"/>
  <c r="Q372" i="20"/>
  <c r="O347" i="20"/>
  <c r="N1814" i="20"/>
  <c r="O1737" i="20"/>
  <c r="M1071" i="20"/>
  <c r="Q659" i="20"/>
  <c r="M1021" i="20"/>
  <c r="O1895" i="20"/>
  <c r="M243" i="20"/>
  <c r="Q117" i="20"/>
  <c r="N1764" i="20"/>
  <c r="P1930" i="20"/>
  <c r="N108" i="20"/>
  <c r="P1016" i="20"/>
  <c r="P1822" i="20"/>
  <c r="Q927" i="20"/>
  <c r="Q1976" i="20"/>
  <c r="P292" i="20"/>
  <c r="N1620" i="20"/>
  <c r="N1834" i="20"/>
  <c r="P1982" i="20"/>
  <c r="P338" i="20"/>
  <c r="N1909" i="20"/>
  <c r="Q1912" i="20"/>
  <c r="O183" i="20"/>
  <c r="O1102" i="20"/>
  <c r="P357" i="20"/>
  <c r="N1606" i="20"/>
  <c r="P1637" i="20"/>
  <c r="M182" i="20"/>
  <c r="M1712" i="20"/>
  <c r="O1695" i="20"/>
  <c r="N914" i="20"/>
  <c r="O1875" i="20"/>
  <c r="N272" i="20"/>
  <c r="P1858" i="20"/>
  <c r="O1854" i="20"/>
  <c r="P1841" i="20"/>
  <c r="N942" i="20"/>
  <c r="O1769" i="20"/>
  <c r="O1752" i="20"/>
  <c r="Q1002" i="20"/>
  <c r="O660" i="20"/>
  <c r="Q1489" i="20"/>
  <c r="Q1902" i="20"/>
  <c r="Q1905" i="20"/>
  <c r="M1689" i="20"/>
  <c r="O1117" i="20"/>
  <c r="Q1749" i="20"/>
  <c r="O273" i="20"/>
  <c r="N1810" i="20"/>
  <c r="Q132" i="20"/>
  <c r="P1627" i="20"/>
  <c r="N751" i="20"/>
  <c r="N551" i="20"/>
  <c r="P1885" i="20"/>
  <c r="Q1754" i="20"/>
  <c r="N131" i="20"/>
  <c r="M1006" i="20"/>
  <c r="P704" i="20"/>
  <c r="M1790" i="20"/>
  <c r="O1937" i="20"/>
  <c r="Q631" i="20"/>
  <c r="N233" i="20"/>
  <c r="N1735" i="20"/>
  <c r="Q1634" i="20"/>
  <c r="P1655" i="20"/>
  <c r="M1680" i="20"/>
  <c r="P1646" i="20"/>
  <c r="M1802" i="20"/>
  <c r="M921" i="20"/>
  <c r="M358" i="20"/>
  <c r="P1792" i="20"/>
  <c r="P1618" i="20"/>
  <c r="N1898" i="20"/>
  <c r="N916" i="20"/>
  <c r="O103" i="20"/>
  <c r="N1127" i="20"/>
  <c r="P1873" i="20"/>
  <c r="N372" i="20"/>
  <c r="Q699" i="20"/>
  <c r="M1804" i="20"/>
  <c r="N166" i="20"/>
  <c r="Q1808" i="20"/>
  <c r="O1763" i="20"/>
  <c r="O157" i="20"/>
  <c r="Q1328" i="20"/>
  <c r="Q523" i="20"/>
  <c r="P1566" i="20"/>
  <c r="O1422" i="20"/>
  <c r="O250" i="20"/>
  <c r="N1565" i="20"/>
  <c r="N511" i="20"/>
  <c r="M597" i="20"/>
  <c r="Q1439" i="20"/>
  <c r="P1491" i="20"/>
  <c r="N304" i="20"/>
  <c r="P1590" i="20"/>
  <c r="O691" i="20"/>
  <c r="M1275" i="20"/>
  <c r="O265" i="20"/>
  <c r="P236" i="20"/>
  <c r="P695" i="20"/>
  <c r="O241" i="20"/>
  <c r="M244" i="20"/>
  <c r="N1673" i="20"/>
  <c r="N180" i="20"/>
  <c r="P1959" i="20"/>
  <c r="N690" i="20"/>
  <c r="Q695" i="20"/>
  <c r="P1167" i="20"/>
  <c r="M1433" i="20"/>
  <c r="M225" i="20"/>
  <c r="O770" i="20"/>
  <c r="P1984" i="20"/>
  <c r="Q1282" i="20"/>
  <c r="P561" i="20"/>
  <c r="M530" i="20"/>
  <c r="M722" i="20"/>
  <c r="O1414" i="20"/>
  <c r="M250" i="20"/>
  <c r="O205" i="20"/>
  <c r="N1543" i="20"/>
  <c r="N1556" i="20"/>
  <c r="N604" i="20"/>
  <c r="M1499" i="20"/>
  <c r="N1000" i="20"/>
  <c r="N204" i="20"/>
  <c r="N574" i="20"/>
  <c r="O651" i="20"/>
  <c r="P640" i="20"/>
  <c r="N1986" i="20"/>
  <c r="O305" i="20"/>
  <c r="O665" i="20"/>
  <c r="N740" i="20"/>
  <c r="N727" i="20"/>
  <c r="M787" i="20"/>
  <c r="Q714" i="20"/>
  <c r="N1984" i="20"/>
  <c r="N935" i="20"/>
  <c r="N1368" i="20"/>
  <c r="M1386" i="20"/>
  <c r="N758" i="20"/>
  <c r="P893" i="20"/>
  <c r="P1745" i="20"/>
  <c r="P190" i="20"/>
  <c r="M710" i="20"/>
  <c r="M755" i="20"/>
  <c r="M634" i="20"/>
  <c r="N759" i="20"/>
  <c r="M1997" i="20"/>
  <c r="Q1140" i="20"/>
  <c r="O96" i="20"/>
  <c r="P636" i="20"/>
  <c r="P761" i="20"/>
  <c r="O1077" i="20"/>
  <c r="O1943" i="20"/>
  <c r="P690" i="20"/>
  <c r="Q636" i="20"/>
  <c r="N540" i="20"/>
  <c r="O629" i="20"/>
  <c r="M1501" i="20"/>
  <c r="M1449" i="20"/>
  <c r="O2000" i="20"/>
  <c r="M1981" i="20"/>
  <c r="P1616" i="20"/>
  <c r="Q83" i="20"/>
  <c r="N936" i="20"/>
  <c r="O1869" i="20"/>
  <c r="M1147" i="20"/>
  <c r="O1999" i="20"/>
  <c r="Q1918" i="20"/>
  <c r="M1707" i="20"/>
  <c r="Q926" i="20"/>
  <c r="N1052" i="20"/>
  <c r="Q255" i="20"/>
  <c r="O1063" i="20"/>
  <c r="N283" i="20"/>
  <c r="Q130" i="20"/>
  <c r="N745" i="20"/>
  <c r="N1146" i="20"/>
  <c r="N494" i="20"/>
  <c r="Q756" i="20"/>
  <c r="Q1405" i="20"/>
  <c r="P664" i="20"/>
  <c r="M771" i="20"/>
  <c r="Q676" i="20"/>
  <c r="Q594" i="20"/>
  <c r="N1728" i="20"/>
  <c r="M868" i="20"/>
  <c r="P678" i="20"/>
  <c r="N849" i="20"/>
  <c r="M1918" i="20"/>
  <c r="P795" i="20"/>
  <c r="P630" i="20"/>
  <c r="N342" i="20"/>
  <c r="O201" i="20"/>
  <c r="P667" i="20"/>
  <c r="Q1980" i="20"/>
  <c r="N1423" i="20"/>
  <c r="O1363" i="20"/>
  <c r="N92" i="20"/>
  <c r="Q936" i="20"/>
  <c r="O996" i="20"/>
  <c r="Q267" i="20"/>
  <c r="P608" i="20"/>
  <c r="Q1671" i="20"/>
  <c r="Q664" i="20"/>
  <c r="P213" i="20"/>
  <c r="M1913" i="20"/>
  <c r="P322" i="20"/>
  <c r="P960" i="20"/>
  <c r="P1976" i="20"/>
  <c r="N140" i="20"/>
  <c r="Q1847" i="20"/>
  <c r="Q1322" i="20"/>
  <c r="M655" i="20"/>
  <c r="M1537" i="20"/>
  <c r="P1070" i="20"/>
  <c r="N225" i="20"/>
  <c r="O694" i="20"/>
  <c r="M165" i="20"/>
  <c r="M368" i="20"/>
  <c r="P959" i="20"/>
  <c r="N680" i="20"/>
  <c r="Q166" i="20"/>
  <c r="P1104" i="20"/>
  <c r="M697" i="20"/>
  <c r="P1162" i="20"/>
  <c r="M1797" i="20"/>
  <c r="N1808" i="20"/>
  <c r="M1939" i="20"/>
  <c r="N1141" i="20"/>
  <c r="Q1718" i="20"/>
  <c r="Q2000" i="20"/>
  <c r="P1889" i="20"/>
  <c r="O1806" i="20"/>
  <c r="N265" i="20"/>
  <c r="Q1760" i="20"/>
  <c r="O1961" i="20"/>
  <c r="O81" i="20"/>
  <c r="Q1577" i="20"/>
  <c r="N1332" i="20"/>
  <c r="N374" i="20"/>
  <c r="Q1846" i="20"/>
  <c r="N216" i="20"/>
  <c r="M680" i="20"/>
  <c r="Q853" i="20"/>
  <c r="P618" i="20"/>
  <c r="O745" i="20"/>
  <c r="Q1977" i="20"/>
  <c r="N1907" i="20"/>
  <c r="P1727" i="20"/>
  <c r="O1831" i="20"/>
  <c r="M1817" i="20"/>
  <c r="Q1951" i="20"/>
  <c r="P701" i="20"/>
  <c r="O1993" i="20"/>
  <c r="P1737" i="20"/>
  <c r="O1827" i="20"/>
  <c r="O1509" i="20"/>
  <c r="Q1898" i="20"/>
  <c r="O203" i="20"/>
  <c r="P1605" i="20"/>
  <c r="N1782" i="20"/>
  <c r="M1717" i="20"/>
  <c r="Q1764" i="20"/>
  <c r="Q148" i="20"/>
  <c r="M972" i="20"/>
  <c r="O1826" i="20"/>
  <c r="N1665" i="20"/>
  <c r="Q607" i="20"/>
  <c r="O1735" i="20"/>
  <c r="M977" i="20"/>
  <c r="N1071" i="20"/>
  <c r="Q1640" i="20"/>
  <c r="O1736" i="20"/>
  <c r="Q1738" i="20"/>
  <c r="O1691" i="20"/>
  <c r="O238" i="20"/>
  <c r="N1603" i="20"/>
  <c r="N1769" i="20"/>
  <c r="N1855" i="20"/>
  <c r="O664" i="20"/>
  <c r="O1027" i="20"/>
  <c r="N63" i="20"/>
  <c r="Q277" i="20"/>
  <c r="O139" i="20"/>
  <c r="M1907" i="20"/>
  <c r="N1841" i="20"/>
  <c r="O650" i="20"/>
  <c r="O57" i="20"/>
  <c r="P1006" i="20"/>
  <c r="N1974" i="20"/>
  <c r="O1739" i="20"/>
  <c r="P1663" i="20"/>
  <c r="N1151" i="20"/>
  <c r="N1763" i="20"/>
  <c r="N1901" i="20"/>
  <c r="N1921" i="20"/>
  <c r="N1952" i="20"/>
  <c r="M1838" i="20"/>
  <c r="P961" i="20"/>
  <c r="M1690" i="20"/>
  <c r="P1126" i="20"/>
  <c r="Q911" i="20"/>
  <c r="O1029" i="20"/>
  <c r="O557" i="20"/>
  <c r="N790" i="20"/>
  <c r="Q727" i="20"/>
  <c r="O1406" i="20"/>
  <c r="O1044" i="20"/>
  <c r="M784" i="20"/>
  <c r="Q654" i="20"/>
  <c r="P1371" i="20"/>
  <c r="N1523" i="20"/>
  <c r="Q135" i="20"/>
  <c r="M714" i="20"/>
  <c r="N159" i="20"/>
  <c r="O1863" i="20"/>
  <c r="N1658" i="20"/>
  <c r="N1440" i="20"/>
  <c r="N1501" i="20"/>
  <c r="M1964" i="20"/>
  <c r="P626" i="20"/>
  <c r="M620" i="20"/>
  <c r="Q1541" i="20"/>
  <c r="O360" i="20"/>
  <c r="M607" i="20"/>
  <c r="P1040" i="20"/>
  <c r="P1391" i="20"/>
  <c r="N550" i="20"/>
  <c r="O164" i="20"/>
  <c r="N1002" i="20"/>
  <c r="M1986" i="20"/>
  <c r="M776" i="20"/>
  <c r="N515" i="20"/>
  <c r="M675" i="20"/>
  <c r="Q1004" i="20"/>
  <c r="Q1415" i="20"/>
  <c r="N1128" i="20"/>
  <c r="Q625" i="20"/>
  <c r="O789" i="20"/>
  <c r="M1957" i="20"/>
  <c r="Q96" i="20"/>
  <c r="Q560" i="20"/>
  <c r="P115" i="20"/>
  <c r="N1554" i="20"/>
  <c r="N1289" i="20"/>
  <c r="O632" i="20"/>
  <c r="O784" i="20"/>
  <c r="M1286" i="20"/>
  <c r="O1563" i="20"/>
  <c r="M734" i="20"/>
  <c r="N365" i="20"/>
  <c r="M557" i="20"/>
  <c r="N1582" i="20"/>
  <c r="O1066" i="20"/>
  <c r="P1325" i="20"/>
  <c r="O1968" i="20"/>
  <c r="Q1449" i="20"/>
  <c r="O776" i="20"/>
  <c r="Q1830" i="20"/>
  <c r="Q1511" i="20"/>
  <c r="M629" i="20"/>
  <c r="O1542" i="20"/>
  <c r="M347" i="20"/>
  <c r="M1996" i="20"/>
  <c r="M1978" i="20"/>
  <c r="N1832" i="20"/>
  <c r="P1402" i="20"/>
  <c r="O1974" i="20"/>
  <c r="O1096" i="20"/>
  <c r="O1386" i="20"/>
  <c r="N1282" i="20"/>
  <c r="O252" i="20"/>
  <c r="Q124" i="20"/>
  <c r="P1475" i="20"/>
  <c r="O626" i="20"/>
  <c r="Q868" i="20"/>
  <c r="N640" i="20"/>
  <c r="P207" i="20"/>
  <c r="N1530" i="20"/>
  <c r="M1809" i="20"/>
  <c r="N875" i="20"/>
  <c r="M1864" i="20"/>
  <c r="Q238" i="20"/>
  <c r="N1772" i="20"/>
  <c r="Q337" i="20"/>
  <c r="P897" i="20"/>
  <c r="P1957" i="20"/>
  <c r="M1718" i="20"/>
  <c r="Q942" i="20"/>
  <c r="M1849" i="20"/>
  <c r="P1996" i="20"/>
  <c r="Q735" i="20"/>
  <c r="N1534" i="20"/>
  <c r="N1059" i="20"/>
  <c r="M1933" i="20"/>
  <c r="Q939" i="20"/>
  <c r="N553" i="20"/>
  <c r="N904" i="20"/>
  <c r="Q733" i="20"/>
  <c r="N717" i="20"/>
  <c r="N1169" i="20"/>
  <c r="N761" i="20"/>
  <c r="P197" i="20"/>
  <c r="Q1839" i="20"/>
  <c r="M887" i="20"/>
  <c r="O587" i="20"/>
  <c r="N583" i="20"/>
  <c r="P1980" i="20"/>
  <c r="N290" i="20"/>
  <c r="M794" i="20"/>
  <c r="M761" i="20"/>
  <c r="N246" i="20"/>
  <c r="M1980" i="20"/>
  <c r="N572" i="20"/>
  <c r="O1144" i="20"/>
  <c r="O191" i="20"/>
  <c r="O859" i="20"/>
  <c r="N1930" i="20"/>
  <c r="M1644" i="20"/>
  <c r="Q152" i="20"/>
  <c r="P93" i="20"/>
  <c r="P687" i="20"/>
  <c r="M148" i="20"/>
  <c r="Q1807" i="20"/>
  <c r="M1696" i="20"/>
  <c r="M1951" i="20"/>
  <c r="O1825" i="20"/>
  <c r="O1967" i="20"/>
  <c r="Q1886" i="20"/>
  <c r="P641" i="20"/>
  <c r="N240" i="20"/>
  <c r="P731" i="20"/>
  <c r="N358" i="20"/>
  <c r="Q1045" i="20"/>
  <c r="O1981" i="20"/>
  <c r="M918" i="20"/>
  <c r="P1972" i="20"/>
  <c r="P779" i="20"/>
  <c r="N754" i="20"/>
  <c r="N879" i="20"/>
  <c r="Q206" i="20"/>
  <c r="P1461" i="20"/>
  <c r="Q704" i="20"/>
  <c r="N534" i="20"/>
  <c r="O1002" i="20"/>
  <c r="P187" i="20"/>
  <c r="P1765" i="20"/>
  <c r="P153" i="20"/>
  <c r="M1994" i="20"/>
  <c r="Q1627" i="20"/>
  <c r="O1870" i="20"/>
  <c r="P851" i="20"/>
  <c r="Q1773" i="20"/>
  <c r="M1042" i="20"/>
  <c r="Q1657" i="20"/>
  <c r="N794" i="20"/>
  <c r="N719" i="20"/>
  <c r="N959" i="20"/>
  <c r="P1983" i="20"/>
  <c r="P239" i="20"/>
  <c r="O1082" i="20"/>
  <c r="N710" i="20"/>
  <c r="O719" i="20"/>
  <c r="M599" i="20"/>
  <c r="M240" i="20"/>
  <c r="M1799" i="20"/>
  <c r="O1986" i="20"/>
  <c r="P293" i="20"/>
  <c r="Q891" i="20"/>
  <c r="Q1649" i="20"/>
  <c r="M1816" i="20"/>
  <c r="N1931" i="20"/>
  <c r="Q702" i="20"/>
  <c r="M263" i="20"/>
  <c r="Q595" i="20"/>
  <c r="O1765" i="20"/>
  <c r="P1357" i="20"/>
  <c r="N1743" i="20"/>
  <c r="N308" i="20"/>
  <c r="O89" i="20"/>
  <c r="P1091" i="20"/>
  <c r="N872" i="20"/>
  <c r="N1780" i="20"/>
  <c r="Q322" i="20"/>
  <c r="Q1744" i="20"/>
  <c r="Q1870" i="20"/>
  <c r="M1902" i="20"/>
  <c r="Q1865" i="20"/>
  <c r="O1901" i="20"/>
  <c r="Q986" i="20"/>
  <c r="N1821" i="20"/>
  <c r="M1858" i="20"/>
  <c r="O168" i="20"/>
  <c r="N1785" i="20"/>
  <c r="O1152" i="20"/>
  <c r="O58" i="20"/>
  <c r="P1874" i="20"/>
  <c r="Q1821" i="20"/>
  <c r="N1905" i="20"/>
  <c r="N1091" i="20"/>
  <c r="Q1648" i="20"/>
  <c r="Q1654" i="20"/>
  <c r="Q1795" i="20"/>
  <c r="M639" i="20"/>
  <c r="O956" i="20"/>
  <c r="Q1762" i="20"/>
  <c r="M1017" i="20"/>
  <c r="M1658" i="20"/>
  <c r="O1657" i="20"/>
  <c r="P183" i="20"/>
  <c r="Q1626" i="20"/>
  <c r="N1689" i="20"/>
  <c r="N293" i="20"/>
  <c r="O1762" i="20"/>
  <c r="N1308" i="20"/>
  <c r="P1988" i="20"/>
  <c r="P367" i="20"/>
  <c r="O1727" i="20"/>
  <c r="Q1735" i="20"/>
  <c r="P901" i="20"/>
  <c r="Q1746" i="20"/>
  <c r="M1728" i="20"/>
  <c r="P1914" i="20"/>
  <c r="M1741" i="20"/>
  <c r="P990" i="20"/>
  <c r="M76" i="20"/>
  <c r="Q1993" i="20"/>
  <c r="N566" i="20"/>
  <c r="Q1575" i="20"/>
  <c r="M1083" i="20"/>
  <c r="N1504" i="20"/>
  <c r="P106" i="20"/>
  <c r="O1083" i="20"/>
  <c r="N1461" i="20"/>
  <c r="P1385" i="20"/>
  <c r="O1552" i="20"/>
  <c r="O345" i="20"/>
  <c r="P1121" i="20"/>
  <c r="N1024" i="20"/>
  <c r="O1293" i="20"/>
  <c r="N319" i="20"/>
  <c r="N1443" i="20"/>
  <c r="O974" i="20"/>
  <c r="M600" i="20"/>
  <c r="O216" i="20"/>
  <c r="M164" i="20"/>
  <c r="P733" i="20"/>
  <c r="Q1324" i="20"/>
  <c r="N709" i="20"/>
  <c r="O869" i="20"/>
  <c r="O373" i="20"/>
  <c r="Q1925" i="20"/>
  <c r="M1893" i="20"/>
  <c r="P1764" i="20"/>
  <c r="N82" i="20"/>
  <c r="Q713" i="20"/>
  <c r="P596" i="20"/>
  <c r="M878" i="20"/>
  <c r="P1381" i="20"/>
  <c r="N1518" i="20"/>
  <c r="O1897" i="20"/>
  <c r="O1749" i="20"/>
  <c r="P1117" i="20"/>
  <c r="Q1414" i="20"/>
  <c r="N201" i="20"/>
  <c r="Q1490" i="20"/>
  <c r="Q1475" i="20"/>
  <c r="Q879" i="20"/>
  <c r="N532" i="20"/>
  <c r="P622" i="20"/>
  <c r="O226" i="20"/>
  <c r="N670" i="20"/>
  <c r="O1150" i="20"/>
  <c r="Q1544" i="20"/>
  <c r="N492" i="20"/>
  <c r="M1960" i="20"/>
  <c r="P706" i="20"/>
  <c r="M1859" i="20"/>
  <c r="P1533" i="20"/>
  <c r="O1287" i="20"/>
  <c r="O669" i="20"/>
  <c r="N1551" i="20"/>
  <c r="M941" i="20"/>
  <c r="M611" i="20"/>
  <c r="O1980" i="20"/>
  <c r="N346" i="20"/>
  <c r="P758" i="20"/>
  <c r="Q605" i="20"/>
  <c r="O995" i="20"/>
  <c r="N1144" i="20"/>
  <c r="P1848" i="20"/>
  <c r="O1291" i="20"/>
  <c r="Q176" i="20"/>
  <c r="N661" i="20"/>
  <c r="P1535" i="20"/>
  <c r="N884" i="20"/>
  <c r="N729" i="20"/>
  <c r="N1045" i="20"/>
  <c r="M1366" i="20"/>
  <c r="P209" i="20"/>
  <c r="Q1291" i="20"/>
  <c r="Q1998" i="20"/>
  <c r="M138" i="20"/>
  <c r="O73" i="20"/>
  <c r="N615" i="20"/>
  <c r="M302" i="20"/>
  <c r="M1993" i="20"/>
  <c r="O1606" i="20"/>
  <c r="N1016" i="20"/>
  <c r="N1022" i="20"/>
  <c r="M1775" i="20"/>
  <c r="N1688" i="20"/>
  <c r="N187" i="20"/>
  <c r="N219" i="20"/>
  <c r="M1352" i="20"/>
  <c r="P604" i="20"/>
  <c r="M979" i="20"/>
  <c r="O689" i="20"/>
  <c r="P619" i="20"/>
  <c r="P609" i="20"/>
  <c r="N192" i="20"/>
  <c r="P1274" i="20"/>
  <c r="Q1283" i="20"/>
  <c r="N986" i="20"/>
  <c r="N1717" i="20"/>
  <c r="O1871" i="20"/>
  <c r="O922" i="20"/>
  <c r="P193" i="20"/>
  <c r="N339" i="20"/>
  <c r="O1371" i="20"/>
  <c r="M713" i="20"/>
  <c r="P313" i="20"/>
  <c r="Q675" i="20"/>
  <c r="M614" i="20"/>
  <c r="M1991" i="20"/>
  <c r="O1034" i="20"/>
  <c r="M622" i="20"/>
  <c r="Q1968" i="20"/>
  <c r="N597" i="20"/>
  <c r="Q952" i="20"/>
  <c r="N620" i="20"/>
  <c r="O1940" i="20"/>
  <c r="P1911" i="20"/>
  <c r="O1750" i="20"/>
  <c r="Q860" i="20"/>
  <c r="O1815" i="20"/>
  <c r="N1664" i="20"/>
  <c r="Q1900" i="20"/>
  <c r="P1127" i="20"/>
  <c r="P96" i="20"/>
  <c r="M1360" i="20"/>
  <c r="M1823" i="20"/>
  <c r="N949" i="20"/>
  <c r="N1911" i="20"/>
  <c r="N1164" i="20"/>
  <c r="Q1083" i="20"/>
  <c r="Q1957" i="20"/>
  <c r="O1886" i="20"/>
  <c r="Q308" i="20"/>
  <c r="N1884" i="20"/>
  <c r="Q1978" i="20"/>
  <c r="N766" i="20"/>
  <c r="O1057" i="20"/>
  <c r="Q487" i="20"/>
  <c r="N987" i="20"/>
  <c r="N628" i="20"/>
  <c r="N1660" i="20"/>
  <c r="M293" i="20"/>
  <c r="P1924" i="20"/>
  <c r="M770" i="20"/>
  <c r="P972" i="20"/>
  <c r="Q47" i="20"/>
  <c r="N1923" i="20"/>
  <c r="O188" i="20"/>
  <c r="N1875" i="20"/>
  <c r="M282" i="20"/>
  <c r="M1345" i="20"/>
  <c r="O1969" i="20"/>
  <c r="O934" i="20"/>
  <c r="P786" i="20"/>
  <c r="Q1982" i="20"/>
  <c r="O715" i="20"/>
  <c r="N1404" i="20"/>
  <c r="Q859" i="20"/>
  <c r="P1901" i="20"/>
  <c r="P1648" i="20"/>
  <c r="M1988" i="20"/>
  <c r="Q1987" i="20"/>
  <c r="Q1086" i="20"/>
  <c r="Q1072" i="20"/>
  <c r="Q1772" i="20"/>
  <c r="Q1907" i="20"/>
  <c r="M1796" i="20"/>
  <c r="Q612" i="20"/>
  <c r="O1036" i="20"/>
  <c r="N1829" i="20"/>
  <c r="Q317" i="20"/>
  <c r="O1991" i="20"/>
  <c r="Q741" i="20"/>
  <c r="M1746" i="20"/>
  <c r="Q1763" i="20"/>
  <c r="Q981" i="20"/>
  <c r="O1792" i="20"/>
  <c r="P1872" i="20"/>
  <c r="Q1740" i="20"/>
  <c r="Q1914" i="20"/>
  <c r="Q168" i="20"/>
  <c r="Q223" i="20"/>
  <c r="P1714" i="20"/>
  <c r="P1757" i="20"/>
  <c r="M212" i="20"/>
  <c r="Q1686" i="20"/>
  <c r="P689" i="20"/>
  <c r="O1642" i="20"/>
  <c r="Q1859" i="20"/>
  <c r="O1773" i="20"/>
  <c r="M1735" i="20"/>
  <c r="P886" i="20"/>
  <c r="Q282" i="20"/>
  <c r="O1753" i="20"/>
  <c r="P1762" i="20"/>
  <c r="O1032" i="20"/>
  <c r="O1708" i="20"/>
  <c r="Q1056" i="20"/>
  <c r="M1894" i="20"/>
  <c r="P1366" i="20"/>
  <c r="M1674" i="20"/>
  <c r="Q1142" i="20"/>
  <c r="N1672" i="20"/>
  <c r="N1934" i="20"/>
  <c r="O1807" i="20"/>
  <c r="N1816" i="20"/>
  <c r="O66" i="20"/>
  <c r="O1853" i="20"/>
  <c r="O1764" i="20"/>
  <c r="Q107" i="20"/>
  <c r="M74" i="20"/>
  <c r="Q333" i="20"/>
  <c r="M207" i="20"/>
  <c r="M1868" i="20"/>
  <c r="Q887" i="20"/>
  <c r="Q1701" i="20"/>
  <c r="O1951" i="20"/>
  <c r="N1837" i="20"/>
  <c r="M856" i="20"/>
  <c r="N101" i="20"/>
  <c r="Q87" i="20"/>
  <c r="O1091" i="20"/>
  <c r="M323" i="20"/>
  <c r="N1167" i="20"/>
  <c r="N789" i="20"/>
  <c r="P1698" i="20"/>
  <c r="O1953" i="20"/>
  <c r="Q1985" i="20"/>
  <c r="Q243" i="20"/>
  <c r="O253" i="20"/>
  <c r="N1860" i="20"/>
  <c r="N1624" i="20"/>
  <c r="O1668" i="20"/>
  <c r="N1046" i="20"/>
  <c r="P1695" i="20"/>
  <c r="O851" i="20"/>
  <c r="M1922" i="20"/>
  <c r="Q1819" i="20"/>
  <c r="M1856" i="20"/>
  <c r="P997" i="20"/>
  <c r="O1808" i="20"/>
  <c r="P77" i="20"/>
  <c r="Q921" i="20"/>
  <c r="Q218" i="20"/>
  <c r="O133" i="20"/>
  <c r="Q142" i="20"/>
  <c r="O1757" i="20"/>
  <c r="P1630" i="20"/>
  <c r="N1362" i="20"/>
  <c r="Q1788" i="20"/>
  <c r="M1998" i="20"/>
  <c r="O1924" i="20"/>
  <c r="O138" i="20"/>
  <c r="P1579" i="20"/>
  <c r="O794" i="20"/>
  <c r="N584" i="20"/>
  <c r="N1391" i="20"/>
  <c r="M1887" i="20"/>
  <c r="Q778" i="20"/>
  <c r="O765" i="20"/>
  <c r="N1982" i="20"/>
  <c r="M840" i="20"/>
  <c r="P86" i="20"/>
  <c r="M1602" i="20"/>
  <c r="Q1167" i="20"/>
  <c r="Q1011" i="20"/>
  <c r="N1987" i="20"/>
  <c r="N1655" i="20"/>
  <c r="N368" i="20"/>
  <c r="M1492" i="20"/>
  <c r="M695" i="20"/>
  <c r="Q1041" i="20"/>
  <c r="N682" i="20"/>
  <c r="O1086" i="20"/>
  <c r="P1777" i="20"/>
  <c r="M1748" i="20"/>
  <c r="N1956" i="20"/>
  <c r="N1950" i="20"/>
  <c r="Q1723" i="20"/>
  <c r="Q1728" i="20"/>
  <c r="N1904" i="20"/>
  <c r="N1634" i="20"/>
  <c r="N1858" i="20"/>
  <c r="O1717" i="20"/>
  <c r="N178" i="20"/>
  <c r="M1759" i="20"/>
  <c r="N1962" i="20"/>
  <c r="M1679" i="20"/>
  <c r="P709" i="20"/>
  <c r="M1127" i="20"/>
  <c r="M1896" i="20"/>
  <c r="P1808" i="20"/>
  <c r="P1774" i="20"/>
  <c r="M137" i="20"/>
  <c r="O1610" i="20"/>
  <c r="M1087" i="20"/>
  <c r="Q363" i="20"/>
  <c r="Q1711" i="20"/>
  <c r="Q1736" i="20"/>
  <c r="P87" i="20"/>
  <c r="Q1724" i="20"/>
  <c r="M915" i="20"/>
  <c r="O207" i="20"/>
  <c r="P1846" i="20"/>
  <c r="Q1698" i="20"/>
  <c r="M1002" i="20"/>
  <c r="Q1938" i="20"/>
  <c r="O1877" i="20"/>
  <c r="M1725" i="20"/>
  <c r="N68" i="20"/>
  <c r="N1621" i="20"/>
  <c r="O1669" i="20"/>
  <c r="O1779" i="20"/>
  <c r="Q1274" i="20"/>
  <c r="O1107" i="20"/>
  <c r="P1865" i="20"/>
  <c r="N1724" i="20"/>
  <c r="M1052" i="20"/>
  <c r="M1634" i="20"/>
  <c r="P227" i="20"/>
  <c r="O1640" i="20"/>
  <c r="N892" i="20"/>
  <c r="N1697" i="20"/>
  <c r="Q1152" i="20"/>
  <c r="P1697" i="20"/>
  <c r="Q1151" i="20"/>
  <c r="Q207" i="20"/>
  <c r="O1768" i="20"/>
  <c r="Q1771" i="20"/>
  <c r="Q1687" i="20"/>
  <c r="O212" i="20"/>
  <c r="P1912" i="20"/>
  <c r="O679" i="20"/>
  <c r="N1650" i="20"/>
  <c r="P283" i="20"/>
  <c r="N1844" i="20"/>
  <c r="N1612" i="20"/>
  <c r="M1941" i="20"/>
  <c r="O1101" i="20"/>
  <c r="P1857" i="20"/>
  <c r="O167" i="20"/>
  <c r="P1828" i="20"/>
  <c r="Q48" i="20"/>
  <c r="N203" i="20"/>
  <c r="Q1610" i="20"/>
  <c r="N162" i="20"/>
  <c r="M1646" i="20"/>
  <c r="N1730" i="20"/>
  <c r="N666" i="20"/>
  <c r="O977" i="20"/>
  <c r="N1910" i="20"/>
  <c r="M1945" i="20"/>
  <c r="N197" i="20"/>
  <c r="O1941" i="20"/>
  <c r="N594" i="20"/>
  <c r="M1824" i="20"/>
  <c r="N1067" i="20"/>
  <c r="M916" i="20"/>
  <c r="P1413" i="20"/>
  <c r="Q670" i="20"/>
  <c r="N1822" i="20"/>
  <c r="N228" i="20"/>
  <c r="O172" i="20"/>
  <c r="Q1920" i="20"/>
  <c r="Q1930" i="20"/>
  <c r="O912" i="20"/>
  <c r="M927" i="20"/>
  <c r="N1011" i="20"/>
  <c r="M956" i="20"/>
  <c r="Q1017" i="20"/>
  <c r="P1041" i="20"/>
  <c r="P921" i="20"/>
  <c r="N194" i="20"/>
  <c r="N1809" i="20"/>
  <c r="P1845" i="20"/>
  <c r="N122" i="20"/>
  <c r="M1921" i="20"/>
  <c r="Q1743" i="20"/>
  <c r="P1856" i="20"/>
  <c r="N679" i="20"/>
  <c r="M686" i="20"/>
  <c r="O1798" i="20"/>
  <c r="N172" i="20"/>
  <c r="P1960" i="20"/>
  <c r="N1897" i="20"/>
  <c r="M1102" i="20"/>
  <c r="M1774" i="20"/>
  <c r="O1667" i="20"/>
  <c r="N113" i="20"/>
  <c r="Q1037" i="20"/>
  <c r="Q1875" i="20"/>
  <c r="N1700" i="20"/>
  <c r="N1771" i="20"/>
  <c r="P1888" i="20"/>
  <c r="M152" i="20"/>
  <c r="O1944" i="20"/>
  <c r="M1659" i="20"/>
  <c r="P1007" i="20"/>
  <c r="Q1776" i="20"/>
  <c r="P891" i="20"/>
  <c r="N1652" i="20"/>
  <c r="N85" i="20"/>
  <c r="Q1929" i="20"/>
  <c r="M258" i="20"/>
  <c r="Q92" i="20"/>
  <c r="P268" i="20"/>
  <c r="P1787" i="20"/>
  <c r="M222" i="20"/>
  <c r="N1787" i="20"/>
  <c r="P1991" i="20"/>
  <c r="P1908" i="20"/>
  <c r="P1682" i="20"/>
  <c r="P1722" i="20"/>
  <c r="Q1157" i="20"/>
  <c r="O293" i="20"/>
  <c r="O362" i="20"/>
  <c r="N1871" i="20"/>
  <c r="N1136" i="20"/>
  <c r="Q1782" i="20"/>
  <c r="M223" i="20"/>
  <c r="P122" i="20"/>
  <c r="N1676" i="20"/>
  <c r="N367" i="20"/>
  <c r="N133" i="20"/>
  <c r="Q112" i="20"/>
  <c r="O1641" i="20"/>
  <c r="N991" i="20"/>
  <c r="P1716" i="20"/>
  <c r="N1671" i="20"/>
  <c r="M143" i="20"/>
  <c r="O1740" i="20"/>
  <c r="N143" i="20"/>
  <c r="O1626" i="20"/>
  <c r="M1673" i="20"/>
  <c r="P941" i="20"/>
  <c r="N1635" i="20"/>
  <c r="M1624" i="20"/>
  <c r="N1051" i="20"/>
  <c r="M1841" i="20"/>
  <c r="Q1636" i="20"/>
  <c r="N1597" i="20"/>
  <c r="O872" i="20"/>
  <c r="P1685" i="20"/>
  <c r="P1594" i="20"/>
  <c r="M1692" i="20"/>
  <c r="M1787" i="20"/>
  <c r="P1671" i="20"/>
  <c r="M911" i="20"/>
  <c r="M1669" i="20"/>
  <c r="Q1924" i="20"/>
  <c r="M1773" i="20"/>
  <c r="N1631" i="20"/>
  <c r="N1702" i="20"/>
  <c r="O1949" i="20"/>
  <c r="O1621" i="20"/>
  <c r="N1795" i="20"/>
  <c r="N1801" i="20"/>
  <c r="M1885" i="20"/>
  <c r="Q1720" i="20"/>
  <c r="O1939" i="20"/>
  <c r="O1770" i="20"/>
  <c r="P102" i="20"/>
  <c r="P258" i="20"/>
  <c r="M1890" i="20"/>
  <c r="M1648" i="20"/>
  <c r="M268" i="20"/>
  <c r="N332" i="20"/>
  <c r="O1828" i="20"/>
  <c r="M1763" i="20"/>
  <c r="N53" i="20"/>
  <c r="P1607" i="20"/>
  <c r="M1899" i="20"/>
  <c r="M127" i="20"/>
  <c r="N1839" i="20"/>
  <c r="M1908" i="20"/>
  <c r="Q1077" i="20"/>
  <c r="M367" i="20"/>
  <c r="P1723" i="20"/>
  <c r="O352" i="20"/>
  <c r="P1706" i="20"/>
  <c r="P1673" i="20"/>
  <c r="N1677" i="20"/>
  <c r="O1810" i="20"/>
  <c r="Q1800" i="20"/>
  <c r="Q1046" i="20"/>
  <c r="M1656" i="20"/>
  <c r="M1051" i="20"/>
  <c r="N1817" i="20"/>
  <c r="N1925" i="20"/>
  <c r="O63" i="20"/>
  <c r="Q906" i="20"/>
  <c r="N1680" i="20"/>
  <c r="P228" i="20"/>
  <c r="P867" i="20"/>
  <c r="O1783" i="20"/>
  <c r="O262" i="20"/>
  <c r="Q88" i="20"/>
  <c r="P951" i="20"/>
  <c r="P178" i="20"/>
  <c r="N1876" i="20"/>
  <c r="Q1647" i="20"/>
  <c r="M1126" i="20"/>
  <c r="Q1805" i="20"/>
  <c r="Q167" i="20"/>
  <c r="M1898" i="20"/>
  <c r="M1829" i="20"/>
  <c r="M128" i="20"/>
  <c r="N1881" i="20"/>
  <c r="O196" i="20"/>
  <c r="N130" i="20"/>
  <c r="O1357" i="20"/>
  <c r="N547" i="20"/>
  <c r="M724" i="20"/>
  <c r="Q1058" i="20"/>
  <c r="P840" i="20"/>
  <c r="M1852" i="20"/>
  <c r="P97" i="20"/>
  <c r="M631" i="20"/>
  <c r="M1654" i="20"/>
  <c r="Q190" i="20"/>
  <c r="P1708" i="20"/>
  <c r="M169" i="20"/>
  <c r="P1855" i="20"/>
  <c r="N650" i="20"/>
  <c r="Q849" i="20"/>
  <c r="N1604" i="20"/>
  <c r="M1136" i="20"/>
  <c r="M261" i="20"/>
  <c r="M97" i="20"/>
  <c r="Q1455" i="20"/>
  <c r="P1136" i="20"/>
  <c r="N317" i="20"/>
  <c r="P857" i="20"/>
  <c r="N1696" i="20"/>
  <c r="N1812" i="20"/>
  <c r="P192" i="20"/>
  <c r="N1939" i="20"/>
  <c r="O1838" i="20"/>
  <c r="M1743" i="20"/>
  <c r="Q1111" i="20"/>
  <c r="M1739" i="20"/>
  <c r="N1162" i="20"/>
  <c r="N1903" i="20"/>
  <c r="O1882" i="20"/>
  <c r="P1031" i="20"/>
  <c r="P1904" i="20"/>
  <c r="N1797" i="20"/>
  <c r="P232" i="20"/>
  <c r="M1927" i="20"/>
  <c r="P1931" i="20"/>
  <c r="O1062" i="20"/>
  <c r="Q318" i="20"/>
  <c r="O1656" i="20"/>
  <c r="Q1081" i="20"/>
  <c r="O1678" i="20"/>
  <c r="N1825" i="20"/>
  <c r="O263" i="20"/>
  <c r="Q1756" i="20"/>
  <c r="O1646" i="20"/>
  <c r="Q1680" i="20"/>
  <c r="N606" i="20"/>
  <c r="Q957" i="20"/>
  <c r="M1007" i="20"/>
  <c r="O951" i="20"/>
  <c r="M177" i="20"/>
  <c r="Q897" i="20"/>
  <c r="M626" i="20"/>
  <c r="M1807" i="20"/>
  <c r="N239" i="20"/>
  <c r="O1011" i="20"/>
  <c r="P1867" i="20"/>
  <c r="O921" i="20"/>
  <c r="O902" i="20"/>
  <c r="Q611" i="20"/>
  <c r="Q785" i="20"/>
  <c r="P1677" i="20"/>
  <c r="P1717" i="20"/>
  <c r="M1974" i="20"/>
  <c r="O117" i="20"/>
  <c r="N1927" i="20"/>
  <c r="N1066" i="20"/>
  <c r="M1684" i="20"/>
  <c r="Q1779" i="20"/>
  <c r="P162" i="20"/>
  <c r="M1822" i="20"/>
  <c r="N208" i="20"/>
  <c r="O102" i="20"/>
  <c r="P1990" i="20"/>
  <c r="N660" i="20"/>
  <c r="O1824" i="20"/>
  <c r="P155" i="20"/>
  <c r="N1978" i="20"/>
  <c r="Q1988" i="20"/>
  <c r="O297" i="20"/>
  <c r="O1844" i="20"/>
  <c r="M158" i="20"/>
  <c r="N1806" i="20"/>
  <c r="Q1734" i="20"/>
  <c r="P1047" i="20"/>
  <c r="Q1638" i="20"/>
  <c r="O1661" i="20"/>
  <c r="M1688" i="20"/>
  <c r="Q876" i="20"/>
  <c r="Q292" i="20"/>
  <c r="O1946" i="20"/>
  <c r="N1740" i="20"/>
  <c r="N1132" i="20"/>
  <c r="N1968" i="20"/>
  <c r="O177" i="20"/>
  <c r="Q357" i="20"/>
  <c r="Q53" i="20"/>
  <c r="O1687" i="20"/>
  <c r="P1576" i="20"/>
  <c r="N627" i="20"/>
  <c r="P1843" i="20"/>
  <c r="Q982" i="20"/>
  <c r="N1933" i="20"/>
  <c r="Q1931" i="20"/>
  <c r="N1838" i="20"/>
  <c r="Q247" i="20"/>
  <c r="P876" i="20"/>
  <c r="Q1026" i="20"/>
  <c r="P267" i="20"/>
  <c r="M982" i="20"/>
  <c r="P263" i="20"/>
  <c r="N1682" i="20"/>
  <c r="Q894" i="20"/>
  <c r="P714" i="20"/>
  <c r="O227" i="20"/>
  <c r="O1931" i="20"/>
  <c r="N748" i="20"/>
  <c r="P1789" i="20"/>
  <c r="M103" i="20"/>
  <c r="P297" i="20"/>
  <c r="Q192" i="20"/>
  <c r="N1865" i="20"/>
  <c r="P1800" i="20"/>
  <c r="P1956" i="20"/>
  <c r="P1076" i="20"/>
  <c r="Q1906" i="20"/>
  <c r="O1920" i="20"/>
  <c r="O1725" i="20"/>
  <c r="P1903" i="20"/>
  <c r="P911" i="20"/>
  <c r="O1738" i="20"/>
  <c r="M1122" i="20"/>
  <c r="P1842" i="20"/>
  <c r="O892" i="20"/>
  <c r="P986" i="20"/>
  <c r="M153" i="20"/>
  <c r="P1750" i="20"/>
  <c r="Q1051" i="20"/>
  <c r="N137" i="20"/>
  <c r="O1748" i="20"/>
  <c r="O1952" i="20"/>
  <c r="P981" i="20"/>
  <c r="P201" i="20"/>
  <c r="O1037" i="20"/>
  <c r="Q1903" i="20"/>
  <c r="M257" i="20"/>
  <c r="Q1801" i="20"/>
  <c r="O1674" i="20"/>
  <c r="O1112" i="20"/>
  <c r="P1933" i="20"/>
  <c r="P1830" i="20"/>
  <c r="O1778" i="20"/>
  <c r="Q997" i="20"/>
  <c r="M1848" i="20"/>
  <c r="N1885" i="20"/>
  <c r="P1086" i="20"/>
  <c r="P1669" i="20"/>
  <c r="M1935" i="20"/>
  <c r="O342" i="20"/>
  <c r="M1681" i="20"/>
  <c r="P127" i="20"/>
  <c r="M1904" i="20"/>
  <c r="Q293" i="20"/>
  <c r="P1921" i="20"/>
  <c r="P967" i="20"/>
  <c r="M162" i="20"/>
  <c r="Q1835" i="20"/>
  <c r="O1593" i="20"/>
  <c r="Q861" i="20"/>
  <c r="P62" i="20"/>
  <c r="M986" i="20"/>
  <c r="O1786" i="20"/>
  <c r="O620" i="20"/>
  <c r="P1599" i="20"/>
  <c r="O98" i="20"/>
  <c r="M1121" i="20"/>
  <c r="P1813" i="20"/>
  <c r="N1932" i="20"/>
  <c r="N1928" i="20"/>
  <c r="Q1702" i="20"/>
  <c r="M1827" i="20"/>
  <c r="M318" i="20"/>
  <c r="O1714" i="20"/>
  <c r="P1642" i="20"/>
  <c r="P312" i="20"/>
  <c r="M1724" i="20"/>
  <c r="N1623" i="20"/>
  <c r="M253" i="20"/>
  <c r="N1651" i="20"/>
  <c r="O1751" i="20"/>
  <c r="Q1752" i="20"/>
  <c r="N1762" i="20"/>
  <c r="O1685" i="20"/>
  <c r="M1731" i="20"/>
  <c r="M1146" i="20"/>
  <c r="Q972" i="20"/>
  <c r="N142" i="20"/>
  <c r="M1785" i="20"/>
  <c r="P942" i="20"/>
  <c r="N58" i="20"/>
  <c r="O1948" i="20"/>
  <c r="N1674" i="20"/>
  <c r="Q138" i="20"/>
  <c r="P1702" i="20"/>
  <c r="Q1616" i="20"/>
  <c r="M73" i="20"/>
  <c r="Q1787" i="20"/>
  <c r="N1638" i="20"/>
  <c r="Q1874" i="20"/>
  <c r="M971" i="20"/>
  <c r="P912" i="20"/>
  <c r="O1745" i="20"/>
  <c r="P1675" i="20"/>
  <c r="N1607" i="20"/>
  <c r="Q1042" i="20"/>
  <c r="Q1737" i="20"/>
  <c r="P1699" i="20"/>
  <c r="O83" i="20"/>
  <c r="O1689" i="20"/>
  <c r="Q1660" i="20"/>
  <c r="N362" i="20"/>
  <c r="Q1684" i="20"/>
  <c r="O358" i="20"/>
  <c r="N1092" i="20"/>
  <c r="O1697" i="20"/>
  <c r="N182" i="20"/>
  <c r="O1631" i="20"/>
  <c r="Q1027" i="20"/>
  <c r="M1761" i="20"/>
  <c r="N1847" i="20"/>
  <c r="N252" i="20"/>
  <c r="N1826" i="20"/>
  <c r="O1872" i="20"/>
  <c r="O1925" i="20"/>
  <c r="Q278" i="20"/>
  <c r="N1867" i="20"/>
  <c r="N1716" i="20"/>
  <c r="Q1057" i="20"/>
  <c r="O1604" i="20"/>
  <c r="Q182" i="20"/>
  <c r="N1920" i="20"/>
  <c r="N856" i="20"/>
  <c r="P906" i="20"/>
  <c r="N1745" i="20"/>
  <c r="P1066" i="20"/>
  <c r="Q323" i="20"/>
  <c r="N1883" i="20"/>
  <c r="O1822" i="20"/>
  <c r="Q342" i="20"/>
  <c r="M880" i="20"/>
  <c r="O998" i="20"/>
  <c r="Q1569" i="20"/>
  <c r="P1079" i="20"/>
  <c r="Q1095" i="20"/>
  <c r="N175" i="20"/>
  <c r="P1942" i="20"/>
  <c r="Q1061" i="20"/>
  <c r="O325" i="20"/>
  <c r="O1966" i="20"/>
  <c r="M1855" i="20"/>
  <c r="M732" i="20"/>
  <c r="N176" i="20"/>
  <c r="O1903" i="20"/>
  <c r="Q1940" i="20"/>
  <c r="Q1130" i="20"/>
  <c r="N955" i="20"/>
  <c r="N1802" i="20"/>
  <c r="M1831" i="20"/>
  <c r="P721" i="20"/>
  <c r="P1726" i="20"/>
  <c r="Q615" i="20"/>
  <c r="Q1926" i="20"/>
  <c r="Q1781" i="20"/>
  <c r="N749" i="20"/>
  <c r="M1715" i="20"/>
  <c r="M1871" i="20"/>
  <c r="M48" i="20"/>
  <c r="Q1890" i="20"/>
  <c r="P323" i="20"/>
  <c r="N1851" i="20"/>
  <c r="P1821" i="20"/>
  <c r="M172" i="20"/>
  <c r="Q1804" i="20"/>
  <c r="M1942" i="20"/>
  <c r="O1907" i="20"/>
  <c r="O82" i="20"/>
  <c r="M72" i="20"/>
  <c r="N153" i="20"/>
  <c r="Q916" i="20"/>
  <c r="N997" i="20"/>
  <c r="O97" i="20"/>
  <c r="P1724" i="20"/>
  <c r="O911" i="20"/>
  <c r="N1692" i="20"/>
  <c r="Q1767" i="20"/>
  <c r="M1714" i="20"/>
  <c r="P1850" i="20"/>
  <c r="O1934" i="20"/>
  <c r="P1971" i="20"/>
  <c r="N1791" i="20"/>
  <c r="N1433" i="20"/>
  <c r="M1956" i="20"/>
  <c r="N957" i="20"/>
  <c r="P1869" i="20"/>
  <c r="Q1935" i="20"/>
  <c r="Q208" i="20"/>
  <c r="P107" i="20"/>
  <c r="N1889" i="20"/>
  <c r="Q1707" i="20"/>
  <c r="N167" i="20"/>
  <c r="Q1774" i="20"/>
  <c r="P63" i="20"/>
  <c r="Q1136" i="20"/>
  <c r="M313" i="20"/>
  <c r="N1072" i="20"/>
  <c r="P1791" i="20"/>
  <c r="N1943" i="20"/>
  <c r="O1594" i="20"/>
  <c r="Q1955" i="20"/>
  <c r="P1937" i="20"/>
  <c r="O72" i="20"/>
  <c r="P1849" i="20"/>
  <c r="M1645" i="20"/>
  <c r="N1947" i="20"/>
  <c r="Q1612" i="20"/>
  <c r="O886" i="20"/>
  <c r="P1002" i="20"/>
  <c r="N1037" i="20"/>
  <c r="N1995" i="20"/>
  <c r="N1850" i="20"/>
  <c r="N1709" i="20"/>
  <c r="Q1878" i="20"/>
  <c r="N1694" i="20"/>
  <c r="N1835" i="20"/>
  <c r="M278" i="20"/>
  <c r="Q1908" i="20"/>
  <c r="M872" i="20"/>
  <c r="Q1825" i="20"/>
  <c r="M1777" i="20"/>
  <c r="M1703" i="20"/>
  <c r="Q1742" i="20"/>
  <c r="M1755" i="20"/>
  <c r="O1031" i="20"/>
  <c r="M1630" i="20"/>
  <c r="O1930" i="20"/>
  <c r="Q1913" i="20"/>
  <c r="Q932" i="20"/>
  <c r="M1926" i="20"/>
  <c r="P1735" i="20"/>
  <c r="O1817" i="20"/>
  <c r="O1819" i="20"/>
  <c r="O1688" i="20"/>
  <c r="N1632" i="20"/>
  <c r="M1778" i="20"/>
  <c r="Q1112" i="20"/>
  <c r="N1913" i="20"/>
  <c r="O1603" i="20"/>
  <c r="M1821" i="20"/>
  <c r="O1759" i="20"/>
  <c r="Q1624" i="20"/>
  <c r="O1635" i="20"/>
  <c r="Q1690" i="20"/>
  <c r="M1914" i="20"/>
  <c r="P1601" i="20"/>
  <c r="O1597" i="20"/>
  <c r="P348" i="20"/>
  <c r="N1840" i="20"/>
  <c r="N691" i="20"/>
  <c r="Q553" i="20"/>
  <c r="P847" i="20"/>
  <c r="N1471" i="20"/>
  <c r="M188" i="20"/>
  <c r="P277" i="20"/>
  <c r="O1006" i="20"/>
  <c r="N609" i="20"/>
  <c r="P1741" i="20"/>
  <c r="M1948" i="20"/>
  <c r="N1001" i="20"/>
  <c r="M283" i="20"/>
  <c r="M1874" i="20"/>
  <c r="O1644" i="20"/>
  <c r="N927" i="20"/>
  <c r="N1670" i="20"/>
  <c r="M353" i="20"/>
  <c r="Q1820" i="20"/>
  <c r="M328" i="20"/>
  <c r="Q1872" i="20"/>
  <c r="O1766" i="20"/>
  <c r="P1751" i="20"/>
  <c r="Q886" i="20"/>
  <c r="N941" i="20"/>
  <c r="N118" i="20"/>
  <c r="Q123" i="20"/>
  <c r="Q1629" i="20"/>
  <c r="P1875" i="20"/>
  <c r="N1759" i="20"/>
  <c r="P1382" i="20"/>
  <c r="N933" i="20"/>
  <c r="N1969" i="20"/>
  <c r="N1770" i="20"/>
  <c r="Q882" i="20"/>
  <c r="M1001" i="20"/>
  <c r="Q212" i="20"/>
  <c r="M1928" i="20"/>
  <c r="P1351" i="20"/>
  <c r="N147" i="20"/>
  <c r="Q1933" i="20"/>
  <c r="Q197" i="20"/>
  <c r="M1798" i="20"/>
  <c r="Q1950" i="20"/>
  <c r="P1720" i="20"/>
  <c r="Q991" i="20"/>
  <c r="O1935" i="20"/>
  <c r="Q1615" i="20"/>
  <c r="M1730" i="20"/>
  <c r="P1534" i="20"/>
  <c r="P1834" i="20"/>
  <c r="Q78" i="20"/>
  <c r="Q1919" i="20"/>
  <c r="M1691" i="20"/>
  <c r="Q1851" i="20"/>
  <c r="M287" i="20"/>
  <c r="M1749" i="20"/>
  <c r="M118" i="20"/>
  <c r="P1876" i="20"/>
  <c r="P872" i="20"/>
  <c r="P861" i="20"/>
  <c r="O1834" i="20"/>
  <c r="Q1603" i="20"/>
  <c r="O906" i="20"/>
  <c r="N312" i="20"/>
  <c r="M298" i="20"/>
  <c r="Q931" i="20"/>
  <c r="M1637" i="20"/>
  <c r="Q1651" i="20"/>
  <c r="M1031" i="20"/>
  <c r="M1036" i="20"/>
  <c r="M82" i="20"/>
  <c r="O896" i="20"/>
  <c r="Q1602" i="20"/>
  <c r="Q841" i="20"/>
  <c r="N338" i="20"/>
  <c r="M1640" i="20"/>
  <c r="M87" i="20"/>
  <c r="P1734" i="20"/>
  <c r="O1617" i="20"/>
  <c r="N1639" i="20"/>
  <c r="O1046" i="20"/>
  <c r="P987" i="20"/>
  <c r="N88" i="20"/>
  <c r="M1639" i="20"/>
  <c r="P217" i="20"/>
  <c r="O1742" i="20"/>
  <c r="Q1121" i="20"/>
  <c r="Q1595" i="20"/>
  <c r="N1706" i="20"/>
  <c r="M1650" i="20"/>
  <c r="O1915" i="20"/>
  <c r="M1608" i="20"/>
  <c r="M1618" i="20"/>
  <c r="Q1852" i="20"/>
  <c r="O1665" i="20"/>
  <c r="M343" i="20"/>
  <c r="O1627" i="20"/>
  <c r="M1699" i="20"/>
  <c r="M98" i="20"/>
  <c r="M1865" i="20"/>
  <c r="N1057" i="20"/>
  <c r="Q1652" i="20"/>
  <c r="P1683" i="20"/>
  <c r="O217" i="20"/>
  <c r="Q1092" i="20"/>
  <c r="P118" i="20"/>
  <c r="O278" i="20"/>
  <c r="N1714" i="20"/>
  <c r="O131" i="20"/>
  <c r="M1595" i="20"/>
  <c r="O856" i="20"/>
  <c r="O1092" i="20"/>
  <c r="P1817" i="20"/>
  <c r="O1650" i="20"/>
  <c r="M1719" i="20"/>
  <c r="M272" i="20"/>
  <c r="N348" i="20"/>
  <c r="M1116" i="20"/>
  <c r="O148" i="20"/>
  <c r="Q222" i="20"/>
  <c r="N1649" i="20"/>
  <c r="N1101" i="20"/>
  <c r="N1852" i="20"/>
  <c r="P1838" i="20"/>
  <c r="N343" i="20"/>
  <c r="N1599" i="20"/>
  <c r="P1056" i="20"/>
  <c r="Q1713" i="20"/>
  <c r="P1902" i="20"/>
  <c r="Q1730" i="20"/>
  <c r="Q1864" i="20"/>
  <c r="O1761" i="20"/>
  <c r="O1660" i="20"/>
  <c r="N168" i="20"/>
  <c r="Q1810" i="20"/>
  <c r="N268" i="20"/>
  <c r="N1751" i="20"/>
  <c r="S1853" i="20"/>
  <c r="O1168" i="20"/>
  <c r="P1524" i="20"/>
  <c r="N241" i="20"/>
  <c r="P1290" i="20"/>
  <c r="N1347" i="20"/>
  <c r="Q747" i="20"/>
  <c r="M858" i="20"/>
  <c r="O593" i="20"/>
  <c r="Q1880" i="20"/>
  <c r="M1011" i="20"/>
  <c r="N695" i="20"/>
  <c r="P120" i="20"/>
  <c r="O1973" i="20"/>
  <c r="N880" i="20"/>
  <c r="M1767" i="20"/>
  <c r="N793" i="20"/>
  <c r="P1279" i="20"/>
  <c r="Q1759" i="20"/>
  <c r="N1499" i="20"/>
  <c r="O915" i="20"/>
  <c r="M1950" i="20"/>
  <c r="N253" i="20"/>
  <c r="N292" i="20"/>
  <c r="N303" i="20"/>
  <c r="P1710" i="20"/>
  <c r="M613" i="20"/>
  <c r="Q1889" i="20"/>
  <c r="N1719" i="20"/>
  <c r="O1624" i="20"/>
  <c r="Q1811" i="20"/>
  <c r="M1877" i="20"/>
  <c r="Q1071" i="20"/>
  <c r="M917" i="20"/>
  <c r="N1906" i="20"/>
  <c r="P1927" i="20"/>
  <c r="M1142" i="20"/>
  <c r="N307" i="20"/>
  <c r="M1944" i="20"/>
  <c r="M1657" i="20"/>
  <c r="O1733" i="20"/>
  <c r="M58" i="20"/>
  <c r="Q892" i="20"/>
  <c r="O1648" i="20"/>
  <c r="P1754" i="20"/>
  <c r="M102" i="20"/>
  <c r="N1622" i="20"/>
  <c r="Q122" i="20"/>
  <c r="O1774" i="20"/>
  <c r="O1927" i="20"/>
  <c r="M1096" i="20"/>
  <c r="Q1786" i="20"/>
  <c r="N1106" i="20"/>
  <c r="N1777" i="20"/>
  <c r="P1916" i="20"/>
  <c r="P1634" i="20"/>
  <c r="M966" i="20"/>
  <c r="M867" i="20"/>
  <c r="P1862" i="20"/>
  <c r="P1784" i="20"/>
  <c r="M1693" i="20"/>
  <c r="Q307" i="20"/>
  <c r="M1826" i="20"/>
  <c r="P1623" i="20"/>
  <c r="Q368" i="20"/>
  <c r="M1107" i="20"/>
  <c r="Q1664" i="20"/>
  <c r="N1774" i="20"/>
  <c r="N1642" i="20"/>
  <c r="N967" i="20"/>
  <c r="P1953" i="20"/>
  <c r="P1825" i="20"/>
  <c r="Q1147" i="20"/>
  <c r="N608" i="20"/>
  <c r="O137" i="20"/>
  <c r="O592" i="20"/>
  <c r="M1768" i="20"/>
  <c r="M1791" i="20"/>
  <c r="Q1796" i="20"/>
  <c r="O1849" i="20"/>
  <c r="Q1006" i="20"/>
  <c r="Q287" i="20"/>
  <c r="Q1599" i="20"/>
  <c r="M1958" i="20"/>
  <c r="N1693" i="20"/>
  <c r="P1001" i="20"/>
  <c r="O1867" i="20"/>
  <c r="P1631" i="20"/>
  <c r="N1699" i="20"/>
  <c r="M332" i="20"/>
  <c r="M113" i="20"/>
  <c r="Q1818" i="20"/>
  <c r="Q1790" i="20"/>
  <c r="Q1694" i="20"/>
  <c r="Q327" i="20"/>
  <c r="Q1882" i="20"/>
  <c r="N278" i="20"/>
  <c r="N977" i="20"/>
  <c r="P1609" i="20"/>
  <c r="M1769" i="20"/>
  <c r="O962" i="20"/>
  <c r="Q1712" i="20"/>
  <c r="P991" i="20"/>
  <c r="O1857" i="20"/>
  <c r="M1999" i="20"/>
  <c r="N1765" i="20"/>
  <c r="Q1823" i="20"/>
  <c r="Q332" i="20"/>
  <c r="Q1952" i="20"/>
  <c r="P1759" i="20"/>
  <c r="Q312" i="20"/>
  <c r="N1831" i="20"/>
  <c r="M217" i="20"/>
  <c r="P1690" i="20"/>
  <c r="M83" i="20"/>
  <c r="P1920" i="20"/>
  <c r="N1157" i="20"/>
  <c r="N1614" i="20"/>
  <c r="N1830" i="20"/>
  <c r="Q844" i="20"/>
  <c r="P1392" i="20"/>
  <c r="P896" i="20"/>
  <c r="Q362" i="20"/>
  <c r="O1995" i="20"/>
  <c r="M357" i="20"/>
  <c r="N752" i="20"/>
  <c r="M1911" i="20"/>
  <c r="P982" i="20"/>
  <c r="P887" i="20"/>
  <c r="P72" i="20"/>
  <c r="N1936" i="20"/>
  <c r="O1637" i="20"/>
  <c r="P922" i="20"/>
  <c r="N1813" i="20"/>
  <c r="M312" i="20"/>
  <c r="N1828" i="20"/>
  <c r="O1620" i="20"/>
  <c r="N1836" i="20"/>
  <c r="M1097" i="20"/>
  <c r="M1672" i="20"/>
  <c r="N1633" i="20"/>
  <c r="M1756" i="20"/>
  <c r="O1829" i="20"/>
  <c r="N1661" i="20"/>
  <c r="M1635" i="20"/>
  <c r="M1779" i="20"/>
  <c r="Q1948" i="20"/>
  <c r="P67" i="20"/>
  <c r="P620" i="20"/>
  <c r="Q752" i="20"/>
  <c r="N273" i="20"/>
  <c r="N1722" i="20"/>
  <c r="N1853" i="20"/>
  <c r="N976" i="20"/>
  <c r="M1606" i="20"/>
  <c r="N207" i="20"/>
  <c r="N1823" i="20"/>
  <c r="M1860" i="20"/>
  <c r="Q1857" i="20"/>
  <c r="O1632" i="20"/>
  <c r="O901" i="20"/>
  <c r="M610" i="20"/>
  <c r="Q1608" i="20"/>
  <c r="Q177" i="20"/>
  <c r="Q655" i="20"/>
  <c r="O1702" i="20"/>
  <c r="P1693" i="20"/>
  <c r="P1945" i="20"/>
  <c r="M1803" i="20"/>
  <c r="O1619" i="20"/>
  <c r="Q1126" i="20"/>
  <c r="Q1066" i="20"/>
  <c r="M1603" i="20"/>
  <c r="P1072" i="20"/>
  <c r="M1813" i="20"/>
  <c r="O1041" i="20"/>
  <c r="P1827" i="20"/>
  <c r="P931" i="20"/>
  <c r="Q1893" i="20"/>
  <c r="M1912" i="20"/>
  <c r="M1702" i="20"/>
  <c r="N1643" i="20"/>
  <c r="M891" i="20"/>
  <c r="P1620" i="20"/>
  <c r="P1660" i="20"/>
  <c r="N1097" i="20"/>
  <c r="N1112" i="20"/>
  <c r="P977" i="20"/>
  <c r="Q93" i="20"/>
  <c r="Q133" i="20"/>
  <c r="O1676" i="20"/>
  <c r="N1712" i="20"/>
  <c r="Q118" i="20"/>
  <c r="Q1922" i="20"/>
  <c r="M1732" i="20"/>
  <c r="M1878" i="20"/>
  <c r="M1616" i="20"/>
  <c r="N1137" i="20"/>
  <c r="Q1012" i="20"/>
  <c r="N882" i="20"/>
  <c r="Q353" i="20"/>
  <c r="P123" i="20"/>
  <c r="P1704" i="20"/>
  <c r="M633" i="20"/>
  <c r="P1718" i="20"/>
  <c r="M1609" i="20"/>
  <c r="M1952" i="20"/>
  <c r="P1852" i="20"/>
  <c r="Q851" i="20"/>
  <c r="P1814" i="20"/>
  <c r="P1803" i="20"/>
  <c r="O1960" i="20"/>
  <c r="Q1726" i="20"/>
  <c r="Q847" i="20"/>
  <c r="O1954" i="20"/>
  <c r="Q1642" i="20"/>
  <c r="M996" i="20"/>
  <c r="P1000" i="20"/>
  <c r="Q850" i="20"/>
  <c r="Q1158" i="20"/>
  <c r="N1158" i="20"/>
  <c r="M653" i="20"/>
  <c r="P2000" i="20"/>
  <c r="Q169" i="20"/>
  <c r="P179" i="20"/>
  <c r="Q944" i="20"/>
  <c r="M853" i="20"/>
  <c r="N1756" i="20"/>
  <c r="P1521" i="20"/>
  <c r="M656" i="20"/>
  <c r="M960" i="20"/>
  <c r="Q100" i="20"/>
  <c r="N764" i="20"/>
  <c r="O1297" i="20"/>
  <c r="Q46" i="20"/>
  <c r="Q947" i="20"/>
  <c r="O1311" i="20"/>
  <c r="O1820" i="20"/>
  <c r="P1928" i="20"/>
  <c r="M252" i="20"/>
  <c r="O1116" i="20"/>
  <c r="Q1637" i="20"/>
  <c r="M592" i="20"/>
  <c r="N1648" i="20"/>
  <c r="P342" i="20"/>
  <c r="P1713" i="20"/>
  <c r="O1723" i="20"/>
  <c r="Q82" i="20"/>
  <c r="M1403" i="20"/>
  <c r="M1815" i="20"/>
  <c r="N1961" i="20"/>
  <c r="N629" i="20"/>
  <c r="O182" i="20"/>
  <c r="O1856" i="20"/>
  <c r="P1106" i="20"/>
  <c r="M193" i="20"/>
  <c r="Q1896" i="20"/>
  <c r="O1904" i="20"/>
  <c r="O1601" i="20"/>
  <c r="O1684" i="20"/>
  <c r="Q158" i="20"/>
  <c r="M1923" i="20"/>
  <c r="Q1916" i="20"/>
  <c r="N1042" i="20"/>
  <c r="P174" i="20"/>
  <c r="O1047" i="20"/>
  <c r="O272" i="20"/>
  <c r="O1955" i="20"/>
  <c r="M337" i="20"/>
  <c r="M288" i="20"/>
  <c r="O982" i="20"/>
  <c r="M1936" i="20"/>
  <c r="Q367" i="20"/>
  <c r="N966" i="20"/>
  <c r="M1668" i="20"/>
  <c r="O213" i="20"/>
  <c r="M1843" i="20"/>
  <c r="Q1965" i="20"/>
  <c r="Q1710" i="20"/>
  <c r="O357" i="20"/>
  <c r="M1897" i="20"/>
  <c r="M937" i="20"/>
  <c r="P1917" i="20"/>
  <c r="M1156" i="20"/>
  <c r="O1126" i="20"/>
  <c r="M997" i="20"/>
  <c r="N1752" i="20"/>
  <c r="M1047" i="20"/>
  <c r="N1032" i="20"/>
  <c r="N1615" i="20"/>
  <c r="N1890" i="20"/>
  <c r="P966" i="20"/>
  <c r="O208" i="20"/>
  <c r="P167" i="20"/>
  <c r="P1776" i="20"/>
  <c r="Q1942" i="20"/>
  <c r="Q1076" i="20"/>
  <c r="Q338" i="20"/>
  <c r="P318" i="20"/>
  <c r="N1794" i="20"/>
  <c r="N1761" i="20"/>
  <c r="M53" i="20"/>
  <c r="N1854" i="20"/>
  <c r="Q1102" i="20"/>
  <c r="P976" i="20"/>
  <c r="Q1733" i="20"/>
  <c r="O1947" i="20"/>
  <c r="O705" i="20"/>
  <c r="M1754" i="20"/>
  <c r="N1687" i="20"/>
  <c r="N937" i="20"/>
  <c r="P57" i="20"/>
  <c r="O670" i="20"/>
  <c r="M342" i="20"/>
  <c r="N102" i="20"/>
  <c r="P1915" i="20"/>
  <c r="O1772" i="20"/>
  <c r="O153" i="20"/>
  <c r="P907" i="20"/>
  <c r="N1720" i="20"/>
  <c r="N1846" i="20"/>
  <c r="N636" i="20"/>
  <c r="P1913" i="20"/>
  <c r="Q1853" i="20"/>
  <c r="Q951" i="20"/>
  <c r="P218" i="20"/>
  <c r="M1612" i="20"/>
  <c r="O1716" i="20"/>
  <c r="M1833" i="20"/>
  <c r="N1915" i="20"/>
  <c r="N871" i="20"/>
  <c r="P1101" i="20"/>
  <c r="Q1753" i="20"/>
  <c r="P1012" i="20"/>
  <c r="M1736" i="20"/>
  <c r="O1874" i="20"/>
  <c r="P710" i="20"/>
  <c r="M1446" i="20"/>
  <c r="N645" i="20"/>
  <c r="M1906" i="20"/>
  <c r="N327" i="20"/>
  <c r="Q1831" i="20"/>
  <c r="O233" i="20"/>
  <c r="Q1127" i="20"/>
  <c r="O678" i="20"/>
  <c r="O298" i="20"/>
  <c r="P1755" i="20"/>
  <c r="P327" i="20"/>
  <c r="P1994" i="20"/>
  <c r="O1711" i="20"/>
  <c r="Q1794" i="20"/>
  <c r="P1650" i="20"/>
  <c r="N322" i="20"/>
  <c r="Q298" i="20"/>
  <c r="Q1132" i="20"/>
  <c r="O1906" i="20"/>
  <c r="Q1676" i="20"/>
  <c r="N1616" i="20"/>
  <c r="P1600" i="20"/>
  <c r="O1873" i="20"/>
  <c r="O1706" i="20"/>
  <c r="N1647" i="20"/>
  <c r="N1077" i="20"/>
  <c r="O1721" i="20"/>
  <c r="O1616" i="20"/>
  <c r="P694" i="20"/>
  <c r="P54" i="20"/>
  <c r="Q248" i="20"/>
  <c r="O1866" i="20"/>
  <c r="M1782" i="20"/>
  <c r="N1685" i="20"/>
  <c r="Q1867" i="20"/>
  <c r="O1141" i="20"/>
  <c r="N655" i="20"/>
  <c r="O1805" i="20"/>
  <c r="P1771" i="20"/>
  <c r="M1789" i="20"/>
  <c r="M247" i="20"/>
  <c r="O877" i="20"/>
  <c r="M685" i="20"/>
  <c r="N1701" i="20"/>
  <c r="O1785" i="20"/>
  <c r="P53" i="20"/>
  <c r="P1932" i="20"/>
  <c r="O1147" i="20"/>
  <c r="N992" i="20"/>
  <c r="P233" i="20"/>
  <c r="Q297" i="20"/>
  <c r="O1067" i="20"/>
  <c r="M1920" i="20"/>
  <c r="O952" i="20"/>
  <c r="N1611" i="20"/>
  <c r="P1943" i="20"/>
  <c r="N242" i="20"/>
  <c r="N257" i="20"/>
  <c r="Q72" i="20"/>
  <c r="P1707" i="20"/>
  <c r="N961" i="20"/>
  <c r="P1799" i="20"/>
  <c r="Q1632" i="20"/>
  <c r="O1715" i="20"/>
  <c r="Q1016" i="20"/>
  <c r="O1788" i="20"/>
  <c r="N1031" i="20"/>
  <c r="N1646" i="20"/>
  <c r="M1626" i="20"/>
  <c r="P1688" i="20"/>
  <c r="P1729" i="20"/>
  <c r="P1658" i="20"/>
  <c r="M1685" i="20"/>
  <c r="N1737" i="20"/>
  <c r="P1021" i="20"/>
  <c r="P1077" i="20"/>
  <c r="M173" i="20"/>
  <c r="P1769" i="20"/>
  <c r="O1052" i="20"/>
  <c r="O1622" i="20"/>
  <c r="O1879" i="20"/>
  <c r="O1720" i="20"/>
  <c r="N1608" i="20"/>
  <c r="M1631" i="20"/>
  <c r="N1856" i="20"/>
  <c r="N163" i="20"/>
  <c r="P103" i="20"/>
  <c r="O67" i="20"/>
  <c r="Q941" i="20"/>
  <c r="P1824" i="20"/>
  <c r="O1672" i="20"/>
  <c r="O986" i="20"/>
  <c r="P1672" i="20"/>
  <c r="Q966" i="20"/>
  <c r="M1716" i="20"/>
  <c r="N857" i="20"/>
  <c r="P82" i="20"/>
  <c r="N1617" i="20"/>
  <c r="N188" i="20"/>
  <c r="P1747" i="20"/>
  <c r="Q1688" i="20"/>
  <c r="O1704" i="20"/>
  <c r="Q1789" i="20"/>
  <c r="P1795" i="20"/>
  <c r="O322" i="20"/>
  <c r="P1679" i="20"/>
  <c r="O287" i="20"/>
  <c r="Q227" i="20"/>
  <c r="M142" i="20"/>
  <c r="O267" i="20"/>
  <c r="P1725" i="20"/>
  <c r="M1704" i="20"/>
  <c r="M1611" i="20"/>
  <c r="Q1928" i="20"/>
  <c r="O1795" i="20"/>
  <c r="Q1166" i="20"/>
  <c r="P1156" i="20"/>
  <c r="Q1107" i="20"/>
  <c r="N843" i="20"/>
  <c r="N1820" i="20"/>
  <c r="O1645" i="20"/>
  <c r="O1932" i="20"/>
  <c r="O1609" i="20"/>
  <c r="M1792" i="20"/>
  <c r="N1111" i="20"/>
  <c r="Q1729" i="20"/>
  <c r="O1843" i="20"/>
  <c r="O1636" i="20"/>
  <c r="M1604" i="20"/>
  <c r="N1686" i="20"/>
  <c r="Q1934" i="20"/>
  <c r="O1709" i="20"/>
  <c r="O363" i="20"/>
  <c r="M886" i="20"/>
  <c r="M1837" i="20"/>
  <c r="M147" i="20"/>
  <c r="O1278" i="20"/>
  <c r="M674" i="20"/>
  <c r="O681" i="20"/>
  <c r="Q1275" i="20"/>
  <c r="M1120" i="20"/>
  <c r="Q903" i="20"/>
  <c r="N687" i="20"/>
  <c r="N1549" i="20"/>
  <c r="N54" i="20"/>
  <c r="O628" i="20"/>
  <c r="P996" i="20"/>
  <c r="Q1932" i="20"/>
  <c r="P605" i="20"/>
  <c r="M205" i="20"/>
  <c r="Q633" i="20"/>
  <c r="N1988" i="20"/>
  <c r="N1385" i="20"/>
  <c r="P685" i="20"/>
  <c r="N1741" i="20"/>
  <c r="O1396" i="20"/>
  <c r="Q619" i="20"/>
  <c r="P169" i="20"/>
  <c r="M1131" i="20"/>
  <c r="Q1841" i="20"/>
  <c r="P1860" i="20"/>
  <c r="O1756" i="20"/>
  <c r="Q147" i="20"/>
  <c r="N213" i="20"/>
  <c r="Q343" i="20"/>
  <c r="O1976" i="20"/>
  <c r="Q1909" i="20"/>
  <c r="O1994" i="20"/>
  <c r="M1982" i="20"/>
  <c r="N1778" i="20"/>
  <c r="P68" i="20"/>
  <c r="P1877" i="20"/>
  <c r="N1891" i="20"/>
  <c r="O1929" i="20"/>
  <c r="P1763" i="20"/>
  <c r="Q1685" i="20"/>
  <c r="O337" i="20"/>
  <c r="P1596" i="20"/>
  <c r="Q188" i="20"/>
  <c r="O1885" i="20"/>
  <c r="N267" i="20"/>
  <c r="M1737" i="20"/>
  <c r="M936" i="20"/>
  <c r="P1505" i="20"/>
  <c r="O976" i="20"/>
  <c r="O1936" i="20"/>
  <c r="O1758" i="20"/>
  <c r="O338" i="20"/>
  <c r="M187" i="20"/>
  <c r="M1137" i="20"/>
  <c r="O1618" i="20"/>
  <c r="N971" i="20"/>
  <c r="M1932" i="20"/>
  <c r="P1067" i="20"/>
  <c r="O1893" i="20"/>
  <c r="M1835" i="20"/>
  <c r="Q1162" i="20"/>
  <c r="N78" i="20"/>
  <c r="P1870" i="20"/>
  <c r="M1598" i="20"/>
  <c r="N1081" i="20"/>
  <c r="P142" i="20"/>
  <c r="Q1646" i="20"/>
  <c r="Q971" i="20"/>
  <c r="M866" i="20"/>
  <c r="O1137" i="20"/>
  <c r="P1628" i="20"/>
  <c r="Q1824" i="20"/>
  <c r="O602" i="20"/>
  <c r="Q1778" i="20"/>
  <c r="P1909" i="20"/>
  <c r="M202" i="20"/>
  <c r="O1892" i="20"/>
  <c r="P1746" i="20"/>
  <c r="Q1888" i="20"/>
  <c r="P1665" i="20"/>
  <c r="O1926" i="20"/>
  <c r="P1851" i="20"/>
  <c r="M1708" i="20"/>
  <c r="N931" i="20"/>
  <c r="N633" i="20"/>
  <c r="N1862" i="20"/>
  <c r="O1651" i="20"/>
  <c r="O1611" i="20"/>
  <c r="N956" i="20"/>
  <c r="P841" i="20"/>
  <c r="O1899" i="20"/>
  <c r="P47" i="20"/>
  <c r="M1795" i="20"/>
  <c r="O1600" i="20"/>
  <c r="O1693" i="20"/>
  <c r="Q1986" i="20"/>
  <c r="P1866" i="20"/>
  <c r="O1132" i="20"/>
  <c r="O1950" i="20"/>
  <c r="P1748" i="20"/>
  <c r="O991" i="20"/>
  <c r="P794" i="20"/>
  <c r="N1087" i="20"/>
  <c r="N1666" i="20"/>
  <c r="N262" i="20"/>
  <c r="O1793" i="20"/>
  <c r="P684" i="20"/>
  <c r="P222" i="20"/>
  <c r="P1962" i="20"/>
  <c r="N775" i="20"/>
  <c r="O343" i="20"/>
  <c r="Q1881" i="20"/>
  <c r="M1954" i="20"/>
  <c r="N1595" i="20"/>
  <c r="N1843" i="20"/>
  <c r="N1721" i="20"/>
  <c r="N87" i="20"/>
  <c r="M1828" i="20"/>
  <c r="O112" i="20"/>
  <c r="O633" i="20"/>
  <c r="N558" i="20"/>
  <c r="Q720" i="20"/>
  <c r="N96" i="20"/>
  <c r="O1813" i="20"/>
  <c r="P343" i="20"/>
  <c r="O1975" i="20"/>
  <c r="O1830" i="20"/>
  <c r="Q1960" i="20"/>
  <c r="P1892" i="20"/>
  <c r="N1480" i="20"/>
  <c r="P288" i="20"/>
  <c r="Q1047" i="20"/>
  <c r="O1097" i="20"/>
  <c r="P1766" i="20"/>
  <c r="P1805" i="20"/>
  <c r="Q303" i="20"/>
  <c r="O1767" i="20"/>
  <c r="O1659" i="20"/>
  <c r="Q1656" i="20"/>
  <c r="M1909" i="20"/>
  <c r="N902" i="20"/>
  <c r="Q937" i="20"/>
  <c r="P1603" i="20"/>
  <c r="Q1843" i="20"/>
  <c r="O1703" i="20"/>
  <c r="Q242" i="20"/>
  <c r="O1809" i="20"/>
  <c r="N1619" i="20"/>
  <c r="N1955" i="20"/>
  <c r="O1012" i="20"/>
  <c r="Q754" i="20"/>
  <c r="N1799" i="20"/>
  <c r="P1790" i="20"/>
  <c r="P1783" i="20"/>
  <c r="Q1750" i="20"/>
  <c r="Q1944" i="20"/>
  <c r="N1970" i="20"/>
  <c r="O866" i="20"/>
  <c r="P163" i="20"/>
  <c r="Q1131" i="20"/>
  <c r="P1810" i="20"/>
  <c r="M1781" i="20"/>
  <c r="P1137" i="20"/>
  <c r="O867" i="20"/>
  <c r="O1781" i="20"/>
  <c r="P1773" i="20"/>
  <c r="P1736" i="20"/>
  <c r="O1071" i="20"/>
  <c r="O1131" i="20"/>
  <c r="M1873" i="20"/>
  <c r="Q143" i="20"/>
  <c r="P1703" i="20"/>
  <c r="O1692" i="20"/>
  <c r="Q1806" i="20"/>
  <c r="P362" i="20"/>
  <c r="N1781" i="20"/>
  <c r="P1954" i="20"/>
  <c r="O1732" i="20"/>
  <c r="P862" i="20"/>
  <c r="P1597" i="20"/>
  <c r="M912" i="20"/>
  <c r="M1682" i="20"/>
  <c r="O1677" i="20"/>
  <c r="P1649" i="20"/>
  <c r="M1727" i="20"/>
  <c r="Q1845" i="20"/>
  <c r="N1849" i="20"/>
  <c r="O1839" i="20"/>
  <c r="M1642" i="20"/>
  <c r="N1773" i="20"/>
  <c r="N1941" i="20"/>
  <c r="M1842" i="20"/>
  <c r="P1051" i="20"/>
  <c r="P1111" i="20"/>
  <c r="P1610" i="20"/>
  <c r="P1733" i="20"/>
  <c r="Q1785" i="20"/>
  <c r="O152" i="20"/>
  <c r="M851" i="20"/>
  <c r="Q57" i="20"/>
  <c r="P956" i="20"/>
  <c r="O1142" i="20"/>
  <c r="O1818" i="20"/>
  <c r="N1598" i="20"/>
  <c r="Q1635" i="20"/>
  <c r="Q1625" i="20"/>
  <c r="M1700" i="20"/>
  <c r="P112" i="20"/>
  <c r="Q1666" i="20"/>
  <c r="P202" i="20"/>
  <c r="Q1606" i="20"/>
  <c r="Q1708" i="20"/>
  <c r="M1713" i="20"/>
  <c r="O143" i="20"/>
  <c r="M77" i="20"/>
  <c r="O118" i="20"/>
  <c r="M1806" i="20"/>
  <c r="Q1673" i="20"/>
  <c r="P108" i="20"/>
  <c r="O218" i="20"/>
  <c r="P866" i="20"/>
  <c r="P1624" i="20"/>
  <c r="P363" i="20"/>
  <c r="O882" i="20"/>
  <c r="P188" i="20"/>
  <c r="M1905" i="20"/>
  <c r="N887" i="20"/>
  <c r="Q1594" i="20"/>
  <c r="O127" i="20"/>
  <c r="N1731" i="20"/>
  <c r="O1912" i="20"/>
  <c r="Q68" i="20"/>
  <c r="O1111" i="20"/>
  <c r="Q198" i="20"/>
  <c r="O1614" i="20"/>
  <c r="N328" i="20"/>
  <c r="P1166" i="20"/>
  <c r="M93" i="20"/>
  <c r="O1883" i="20"/>
  <c r="M907" i="20"/>
  <c r="N298" i="20"/>
  <c r="O1811" i="20"/>
  <c r="P1615" i="20"/>
  <c r="M1740" i="20"/>
  <c r="N1704" i="20"/>
  <c r="O1777" i="20"/>
  <c r="N906" i="20"/>
  <c r="N83" i="20"/>
  <c r="O1913" i="20"/>
  <c r="P1743" i="20"/>
  <c r="N1775" i="20"/>
  <c r="Q1609" i="20"/>
  <c r="M1722" i="20"/>
  <c r="O237" i="20"/>
  <c r="P1625" i="20"/>
  <c r="M1034" i="20"/>
  <c r="P1133" i="20"/>
  <c r="M1540" i="20"/>
  <c r="P46" i="20"/>
  <c r="M650" i="20"/>
  <c r="O787" i="20"/>
  <c r="M869" i="20"/>
  <c r="M1962" i="20"/>
  <c r="Q1840" i="20"/>
  <c r="Q621" i="20"/>
  <c r="Q1943" i="20"/>
  <c r="M190" i="20"/>
  <c r="Q870" i="20"/>
  <c r="N1479" i="20"/>
  <c r="Q228" i="20"/>
  <c r="O1156" i="20"/>
  <c r="O693" i="20"/>
  <c r="Q1430" i="20"/>
  <c r="P1636" i="20"/>
  <c r="M640" i="20"/>
  <c r="Q620" i="20"/>
  <c r="P1806" i="20"/>
  <c r="P1835" i="20"/>
  <c r="N1796" i="20"/>
  <c r="O1790" i="20"/>
  <c r="O597" i="20"/>
  <c r="N337" i="20"/>
  <c r="Q1911" i="20"/>
  <c r="P1811" i="20"/>
  <c r="N1490" i="20"/>
  <c r="M902" i="20"/>
  <c r="O656" i="20"/>
  <c r="P140" i="20"/>
  <c r="Q789" i="20"/>
  <c r="P971" i="20"/>
  <c r="M1772" i="20"/>
  <c r="P1640" i="20"/>
  <c r="O348" i="20"/>
  <c r="N952" i="20"/>
  <c r="M947" i="20"/>
  <c r="Q1156" i="20"/>
  <c r="O1724" i="20"/>
  <c r="M122" i="20"/>
  <c r="M1869" i="20"/>
  <c r="Q1692" i="20"/>
  <c r="O228" i="20"/>
  <c r="M1961" i="20"/>
  <c r="N1131" i="20"/>
  <c r="O1833" i="20"/>
  <c r="P1011" i="20"/>
  <c r="N1819" i="20"/>
  <c r="P1936" i="20"/>
  <c r="N1863" i="20"/>
  <c r="P1881" i="20"/>
  <c r="M1016" i="20"/>
  <c r="O941" i="20"/>
  <c r="M1903" i="20"/>
  <c r="P1122" i="20"/>
  <c r="N1887" i="20"/>
  <c r="N947" i="20"/>
  <c r="M890" i="20"/>
  <c r="N48" i="20"/>
  <c r="Q1780" i="20"/>
  <c r="Q1417" i="20"/>
  <c r="M1066" i="20"/>
  <c r="P740" i="20"/>
  <c r="P1896" i="20"/>
  <c r="M307" i="20"/>
  <c r="M78" i="20"/>
  <c r="N1006" i="20"/>
  <c r="P1919" i="20"/>
  <c r="N248" i="20"/>
  <c r="P854" i="20"/>
  <c r="O1747" i="20"/>
  <c r="N1908" i="20"/>
  <c r="O1796" i="20"/>
  <c r="Q1891" i="20"/>
  <c r="N1021" i="20"/>
  <c r="O1791" i="20"/>
  <c r="M1664" i="20"/>
  <c r="M876" i="20"/>
  <c r="O1607" i="20"/>
  <c r="O992" i="20"/>
  <c r="M308" i="20"/>
  <c r="Q1832" i="20"/>
  <c r="M877" i="20"/>
  <c r="P1700" i="20"/>
  <c r="P1696" i="20"/>
  <c r="O1860" i="20"/>
  <c r="P1833" i="20"/>
  <c r="M1753" i="20"/>
  <c r="P158" i="20"/>
  <c r="M1026" i="20"/>
  <c r="P143" i="20"/>
  <c r="Q961" i="20"/>
  <c r="N1976" i="20"/>
  <c r="Q792" i="20"/>
  <c r="O606" i="20"/>
  <c r="P1925" i="20"/>
  <c r="Q1001" i="20"/>
  <c r="O1639" i="20"/>
  <c r="Q665" i="20"/>
  <c r="M1847" i="20"/>
  <c r="M1574" i="20"/>
  <c r="M1338" i="20"/>
  <c r="O978" i="20"/>
  <c r="N1446" i="20"/>
  <c r="N592" i="20"/>
  <c r="P594" i="20"/>
  <c r="N121" i="20"/>
  <c r="Q1644" i="20"/>
  <c r="P659" i="20"/>
  <c r="Q755" i="20"/>
  <c r="O132" i="20"/>
  <c r="Q1050" i="20"/>
  <c r="Q626" i="20"/>
  <c r="M625" i="20"/>
  <c r="M1875" i="20"/>
  <c r="M1076" i="20"/>
  <c r="M199" i="20"/>
  <c r="N765" i="20"/>
  <c r="N247" i="20"/>
  <c r="Q54" i="20"/>
  <c r="Q219" i="20"/>
  <c r="M1132" i="20"/>
  <c r="P1899" i="20"/>
  <c r="P1938" i="20"/>
  <c r="Q1623" i="20"/>
  <c r="Q1052" i="20"/>
  <c r="N1992" i="20"/>
  <c r="P1946" i="20"/>
  <c r="Q1614" i="20"/>
  <c r="Q1678" i="20"/>
  <c r="N1894" i="20"/>
  <c r="O124" i="20"/>
  <c r="P1944" i="20"/>
  <c r="P1831" i="20"/>
  <c r="O1681" i="20"/>
  <c r="N683" i="20"/>
  <c r="N237" i="20"/>
  <c r="Q358" i="20"/>
  <c r="Q857" i="20"/>
  <c r="Q1704" i="20"/>
  <c r="O1942" i="20"/>
  <c r="Q73" i="20"/>
  <c r="N1744" i="20"/>
  <c r="Q1945" i="20"/>
  <c r="P1161" i="20"/>
  <c r="M1793" i="20"/>
  <c r="O957" i="20"/>
  <c r="N183" i="20"/>
  <c r="P1742" i="20"/>
  <c r="P109" i="20"/>
  <c r="Q896" i="20"/>
  <c r="N1815" i="20"/>
  <c r="Q1755" i="20"/>
  <c r="P1948" i="20"/>
  <c r="O1890" i="20"/>
  <c r="P1062" i="20"/>
  <c r="Q967" i="20"/>
  <c r="P133" i="20"/>
  <c r="P173" i="20"/>
  <c r="M1629" i="20"/>
  <c r="Q1116" i="20"/>
  <c r="Q1715" i="20"/>
  <c r="O128" i="20"/>
  <c r="N1711" i="20"/>
  <c r="Q1871" i="20"/>
  <c r="O367" i="20"/>
  <c r="O971" i="20"/>
  <c r="M1101" i="20"/>
  <c r="Q842" i="20"/>
  <c r="O1803" i="20"/>
  <c r="Q902" i="20"/>
  <c r="M987" i="20"/>
  <c r="O1848" i="20"/>
  <c r="M1895" i="20"/>
  <c r="O1945" i="20"/>
  <c r="N72" i="20"/>
  <c r="O1705" i="20"/>
  <c r="O1016" i="20"/>
  <c r="P1895" i="20"/>
  <c r="P131" i="20"/>
  <c r="Q1850" i="20"/>
  <c r="M208" i="20"/>
  <c r="O931" i="20"/>
  <c r="O1652" i="20"/>
  <c r="P1785" i="20"/>
  <c r="M1663" i="20"/>
  <c r="N157" i="20"/>
  <c r="N1679" i="20"/>
  <c r="O841" i="20"/>
  <c r="N1938" i="20"/>
  <c r="M1937" i="20"/>
  <c r="O92" i="20"/>
  <c r="P1922" i="20"/>
  <c r="N1705" i="20"/>
  <c r="Q1655" i="20"/>
  <c r="P787" i="20"/>
  <c r="N238" i="20"/>
  <c r="P347" i="20"/>
  <c r="P1939" i="20"/>
  <c r="M1706" i="20"/>
  <c r="P308" i="20"/>
  <c r="M1990" i="20"/>
  <c r="O1666" i="20"/>
  <c r="O1837" i="20"/>
  <c r="N1963" i="20"/>
  <c r="N1755" i="20"/>
  <c r="M273" i="20"/>
  <c r="Q1995" i="20"/>
  <c r="N1948" i="20"/>
  <c r="N1753" i="20"/>
  <c r="P1151" i="20"/>
  <c r="M1825" i="20"/>
  <c r="N1102" i="20"/>
  <c r="Q1597" i="20"/>
  <c r="O187" i="20"/>
  <c r="P1818" i="20"/>
  <c r="N1736" i="20"/>
  <c r="N193" i="20"/>
  <c r="M123" i="20"/>
  <c r="P1561" i="20"/>
  <c r="Q1617" i="20"/>
  <c r="N1994" i="20"/>
  <c r="N694" i="20"/>
  <c r="Q1769" i="20"/>
  <c r="M1984" i="20"/>
  <c r="O1847" i="20"/>
  <c r="Q651" i="20"/>
  <c r="M168" i="20"/>
  <c r="P890" i="20"/>
  <c r="O1880" i="20"/>
  <c r="P882" i="20"/>
  <c r="O1634" i="20"/>
  <c r="P1794" i="20"/>
  <c r="O1816" i="20"/>
  <c r="Q1622" i="20"/>
  <c r="N1749" i="20"/>
  <c r="P1026" i="20"/>
  <c r="P172" i="20"/>
  <c r="O68" i="20"/>
  <c r="O1127" i="20"/>
  <c r="P242" i="20"/>
  <c r="M1649" i="20"/>
  <c r="O323" i="20"/>
  <c r="N1869" i="20"/>
  <c r="Q1605" i="20"/>
  <c r="N1061" i="20"/>
  <c r="M1091" i="20"/>
  <c r="O78" i="20"/>
  <c r="N291" i="20"/>
  <c r="Q1751" i="20"/>
  <c r="Q694" i="20"/>
  <c r="N1929" i="20"/>
  <c r="Q258" i="20"/>
  <c r="O1971" i="20"/>
  <c r="P1947" i="20"/>
  <c r="Q1915" i="20"/>
  <c r="P1042" i="20"/>
  <c r="N302" i="20"/>
  <c r="O1680" i="20"/>
  <c r="M1788" i="20"/>
  <c r="N227" i="20"/>
  <c r="O1858" i="20"/>
  <c r="O1889" i="20"/>
  <c r="M1879" i="20"/>
  <c r="M1853" i="20"/>
  <c r="N1027" i="20"/>
  <c r="Q1849" i="20"/>
  <c r="M338" i="20"/>
  <c r="P1142" i="20"/>
  <c r="O1673" i="20"/>
  <c r="N222" i="20"/>
  <c r="Q901" i="20"/>
  <c r="P272" i="20"/>
  <c r="M871" i="20"/>
  <c r="P1116" i="20"/>
  <c r="Q1675" i="20"/>
  <c r="N1870" i="20"/>
  <c r="Q856" i="20"/>
  <c r="Q187" i="20"/>
  <c r="N862" i="20"/>
  <c r="Q1661" i="20"/>
  <c r="Q113" i="20"/>
  <c r="O1653" i="20"/>
  <c r="Q1873" i="20"/>
  <c r="Q67" i="20"/>
  <c r="N851" i="20"/>
  <c r="Q1812" i="20"/>
  <c r="O277" i="20"/>
  <c r="O1051" i="20"/>
  <c r="Q1842" i="20"/>
  <c r="Q922" i="20"/>
  <c r="N876" i="20"/>
  <c r="M1783" i="20"/>
  <c r="Q1894" i="20"/>
  <c r="P333" i="20"/>
  <c r="Q1877" i="20"/>
  <c r="O1938" i="20"/>
  <c r="Q1826" i="20"/>
  <c r="N1602" i="20"/>
  <c r="N1641" i="20"/>
  <c r="N97" i="20"/>
  <c r="O1613" i="20"/>
  <c r="P1894" i="20"/>
  <c r="M961" i="20"/>
  <c r="M1925" i="20"/>
  <c r="M1046" i="20"/>
  <c r="Q348" i="20"/>
  <c r="M1596" i="20"/>
  <c r="P902" i="20"/>
  <c r="P1768" i="20"/>
  <c r="Q1689" i="20"/>
  <c r="Q1904" i="20"/>
  <c r="O1964" i="20"/>
  <c r="Q1067" i="20"/>
  <c r="Q1697" i="20"/>
  <c r="O1026" i="20"/>
  <c r="P1770" i="20"/>
  <c r="M292" i="20"/>
  <c r="M1747" i="20"/>
  <c r="O242" i="20"/>
  <c r="M1601" i="20"/>
  <c r="P117" i="20"/>
  <c r="P152" i="20"/>
  <c r="O1846" i="20"/>
  <c r="O222" i="20"/>
  <c r="O947" i="20"/>
  <c r="Q1949" i="20"/>
  <c r="N1026" i="20"/>
  <c r="Q1593" i="20"/>
  <c r="N1766" i="20"/>
  <c r="N128" i="20"/>
  <c r="Q1031" i="20"/>
  <c r="N1977" i="20"/>
  <c r="O1001" i="20"/>
  <c r="O158" i="20"/>
  <c r="M107" i="20"/>
  <c r="M1665" i="20"/>
  <c r="M1698" i="20"/>
  <c r="M1678" i="20"/>
  <c r="N867" i="20"/>
  <c r="M1695" i="20"/>
  <c r="P1032" i="20"/>
  <c r="O1056" i="20"/>
  <c r="Q1021" i="20"/>
  <c r="N1628" i="20"/>
  <c r="N866" i="20"/>
  <c r="O917" i="20"/>
  <c r="M852" i="20"/>
  <c r="N1878" i="20"/>
  <c r="O1902" i="20"/>
  <c r="M1794" i="20"/>
  <c r="N282" i="20"/>
  <c r="M1780" i="20"/>
  <c r="M183" i="20"/>
  <c r="M861" i="20"/>
  <c r="N1663" i="20"/>
  <c r="O232" i="20"/>
  <c r="N84" i="20"/>
  <c r="M132" i="20"/>
  <c r="N1824" i="20"/>
  <c r="Q1954" i="20"/>
  <c r="O1746" i="20"/>
  <c r="N1945" i="20"/>
  <c r="O283" i="20"/>
  <c r="O240" i="20"/>
  <c r="P1629" i="20"/>
  <c r="Q1601" i="20"/>
  <c r="M1633" i="20"/>
  <c r="Q1621" i="20"/>
  <c r="Q1091" i="20"/>
  <c r="Q1996" i="20"/>
  <c r="N911" i="20"/>
  <c r="O1719" i="20"/>
  <c r="P1639" i="20"/>
  <c r="N1750" i="20"/>
  <c r="O972" i="20"/>
  <c r="Q262" i="20"/>
  <c r="P1910" i="20"/>
  <c r="N1122" i="20"/>
  <c r="N1798" i="20"/>
  <c r="N152" i="20"/>
  <c r="Q862" i="20"/>
  <c r="M842" i="20"/>
  <c r="P332" i="20"/>
  <c r="Q157" i="20"/>
  <c r="O1787" i="20"/>
  <c r="N996" i="20"/>
  <c r="N1873" i="20"/>
  <c r="O1664" i="20"/>
  <c r="N896" i="20"/>
  <c r="N138" i="20"/>
  <c r="O1700" i="20"/>
  <c r="M1711" i="20"/>
  <c r="Q1607" i="20"/>
  <c r="P947" i="20"/>
  <c r="P48" i="20"/>
  <c r="M1106" i="20"/>
  <c r="P1705" i="20"/>
  <c r="Q1860" i="20"/>
  <c r="M1919" i="20"/>
  <c r="P1687" i="20"/>
  <c r="M1617" i="20"/>
  <c r="P962" i="20"/>
  <c r="M1677" i="20"/>
  <c r="O907" i="20"/>
  <c r="M63" i="20"/>
  <c r="P1756" i="20"/>
  <c r="P92" i="20"/>
  <c r="N1748" i="20"/>
  <c r="O1868" i="20"/>
  <c r="O1789" i="20"/>
  <c r="N1866" i="20"/>
  <c r="Q128" i="20"/>
  <c r="M1734" i="20"/>
  <c r="Q946" i="20"/>
  <c r="P916" i="20"/>
  <c r="N922" i="20"/>
  <c r="N1768" i="20"/>
  <c r="O876" i="20"/>
  <c r="O88" i="20"/>
  <c r="M1705" i="20"/>
  <c r="O1072" i="20"/>
  <c r="P1652" i="20"/>
  <c r="N1662" i="20"/>
  <c r="O1605" i="20"/>
  <c r="O1734" i="20"/>
  <c r="O1017" i="20"/>
  <c r="O1662" i="20"/>
  <c r="M232" i="20"/>
  <c r="N725" i="20"/>
  <c r="O1731" i="20"/>
  <c r="Q1096" i="20"/>
  <c r="O942" i="20"/>
  <c r="M112" i="20"/>
  <c r="M1697" i="20"/>
  <c r="P1853" i="20"/>
  <c r="P1680" i="20"/>
  <c r="Q1022" i="20"/>
  <c r="O192" i="20"/>
  <c r="Q1097" i="20"/>
  <c r="Q867" i="20"/>
  <c r="O981" i="20"/>
  <c r="N852" i="20"/>
  <c r="Q288" i="20"/>
  <c r="M1061" i="20"/>
  <c r="P83" i="20"/>
  <c r="M227" i="20"/>
  <c r="O248" i="20"/>
  <c r="N1888" i="20"/>
  <c r="P846" i="20"/>
  <c r="R52" i="20"/>
  <c r="O52" i="20"/>
  <c r="O1760" i="20"/>
  <c r="M52" i="20"/>
  <c r="Q912" i="20"/>
  <c r="N891" i="20"/>
  <c r="M952" i="20"/>
  <c r="N886" i="20"/>
  <c r="P1622" i="20"/>
  <c r="P253" i="20"/>
  <c r="Q1941" i="20"/>
  <c r="M1862" i="20"/>
  <c r="P1662" i="20"/>
  <c r="N1618" i="20"/>
  <c r="M1738" i="20"/>
  <c r="M1686" i="20"/>
  <c r="P1036" i="20"/>
  <c r="N1625" i="20"/>
  <c r="P1779" i="20"/>
  <c r="Q1613" i="20"/>
  <c r="M1851" i="20"/>
  <c r="P1740" i="20"/>
  <c r="O53" i="20"/>
  <c r="O178" i="20"/>
  <c r="O123" i="20"/>
  <c r="Q1727" i="20"/>
  <c r="O725" i="20"/>
  <c r="O1730" i="20"/>
  <c r="M846" i="20"/>
  <c r="M1966" i="20"/>
  <c r="O1835" i="20"/>
  <c r="N1142" i="20"/>
  <c r="M1112" i="20"/>
  <c r="M1675" i="20"/>
  <c r="Q1611" i="20"/>
  <c r="O1855" i="20"/>
  <c r="Q1667" i="20"/>
  <c r="Q1897" i="20"/>
  <c r="M1953" i="20"/>
  <c r="O1741" i="20"/>
  <c r="Q202" i="20"/>
  <c r="N1727" i="20"/>
  <c r="Q1668" i="20"/>
  <c r="N1874" i="20"/>
  <c r="M1641" i="20"/>
  <c r="M1027" i="20"/>
  <c r="M1056" i="20"/>
  <c r="N1645" i="20"/>
  <c r="P1657" i="20"/>
  <c r="N1800" i="20"/>
  <c r="Q1137" i="20"/>
  <c r="Q1663" i="20"/>
  <c r="M1683" i="20"/>
  <c r="M117" i="20"/>
  <c r="Q263" i="20"/>
  <c r="N1668" i="20"/>
  <c r="Q1862" i="20"/>
  <c r="Q1731" i="20"/>
  <c r="Q1705" i="20"/>
  <c r="O1630" i="20"/>
  <c r="N982" i="20"/>
  <c r="O1722" i="20"/>
  <c r="M991" i="20"/>
  <c r="O847" i="20"/>
  <c r="M1613" i="20"/>
  <c r="M1694" i="20"/>
  <c r="Q283" i="20"/>
  <c r="N1872" i="20"/>
  <c r="M1784" i="20"/>
  <c r="O1682" i="20"/>
  <c r="Q1662" i="20"/>
  <c r="M1709" i="20"/>
  <c r="N357" i="20"/>
  <c r="N323" i="20"/>
  <c r="P1613" i="20"/>
  <c r="M1628" i="20"/>
  <c r="N1669" i="20"/>
  <c r="N881" i="20"/>
  <c r="O987" i="20"/>
  <c r="O1663" i="20"/>
  <c r="N1803" i="20"/>
  <c r="Q871" i="20"/>
  <c r="M1720" i="20"/>
  <c r="P1749" i="20"/>
  <c r="Q907" i="20"/>
  <c r="P1632" i="20"/>
  <c r="N1637" i="20"/>
  <c r="O243" i="20"/>
  <c r="O1658" i="20"/>
  <c r="M267" i="20"/>
  <c r="N1594" i="20"/>
  <c r="O1076" i="20"/>
  <c r="Q268" i="20"/>
  <c r="N912" i="20"/>
  <c r="M1607" i="20"/>
  <c r="P917" i="20"/>
  <c r="Q1937" i="20"/>
  <c r="N1613" i="20"/>
  <c r="O1782" i="20"/>
  <c r="M992" i="20"/>
  <c r="N232" i="20"/>
  <c r="N951" i="20"/>
  <c r="P1701" i="20"/>
  <c r="P1656" i="20"/>
  <c r="M1651" i="20"/>
  <c r="M1081" i="20"/>
  <c r="N1754" i="20"/>
  <c r="Q1899" i="20"/>
  <c r="O1978" i="20"/>
  <c r="O1690" i="20"/>
  <c r="Q1732" i="20"/>
  <c r="N1734" i="20"/>
  <c r="N123" i="20"/>
  <c r="N1804" i="20"/>
  <c r="M1726" i="20"/>
  <c r="P1614" i="20"/>
  <c r="N333" i="20"/>
  <c r="P1739" i="20"/>
  <c r="O1595" i="20"/>
  <c r="P212" i="20"/>
  <c r="Q1883" i="20"/>
  <c r="N51" i="20"/>
  <c r="S52" i="20"/>
  <c r="N1161" i="20"/>
  <c r="O1694" i="20"/>
  <c r="P1037" i="20"/>
  <c r="P1638" i="20"/>
  <c r="M178" i="20"/>
  <c r="Q956" i="20"/>
  <c r="O1654" i="20"/>
  <c r="M1620" i="20"/>
  <c r="P1071" i="20"/>
  <c r="O1896" i="20"/>
  <c r="Q62" i="20"/>
  <c r="N288" i="20"/>
  <c r="O1596" i="20"/>
  <c r="T52" i="20"/>
  <c r="O881" i="20"/>
  <c r="Q1848" i="20"/>
  <c r="Q1844" i="20"/>
  <c r="P1732" i="20"/>
  <c r="O1701" i="20"/>
  <c r="P1796" i="20"/>
  <c r="Q1834" i="20"/>
  <c r="Q98" i="20"/>
  <c r="Q1892" i="20"/>
  <c r="P946" i="20"/>
  <c r="N897" i="20"/>
  <c r="Q1809" i="20"/>
  <c r="N1609" i="20"/>
  <c r="N1086" i="20"/>
  <c r="M744" i="20"/>
  <c r="Q1866" i="20"/>
  <c r="P177" i="20"/>
  <c r="P1667" i="20"/>
  <c r="P1761" i="20"/>
  <c r="O327" i="20"/>
  <c r="P78" i="20"/>
  <c r="Q1761" i="20"/>
  <c r="O87" i="20"/>
  <c r="P137" i="20"/>
  <c r="Q1650" i="20"/>
  <c r="Q1699" i="20"/>
  <c r="Q1828" i="20"/>
  <c r="Q1869" i="20"/>
  <c r="Q253" i="20"/>
  <c r="P1949" i="20"/>
  <c r="P1102" i="20"/>
  <c r="P1678" i="20"/>
  <c r="M922" i="20"/>
  <c r="Q328" i="20"/>
  <c r="Q1799" i="20"/>
  <c r="P957" i="20"/>
  <c r="N1626" i="20"/>
  <c r="M363" i="20"/>
  <c r="O1718" i="20"/>
  <c r="O1686" i="20"/>
  <c r="Q1748" i="20"/>
  <c r="P1684" i="20"/>
  <c r="N1935" i="20"/>
  <c r="N1919" i="20"/>
  <c r="P1744" i="20"/>
  <c r="N1710" i="20"/>
  <c r="N287" i="20"/>
  <c r="N921" i="20"/>
  <c r="O1699" i="20"/>
  <c r="Q1122" i="20"/>
  <c r="M1752" i="20"/>
  <c r="N1713" i="20"/>
  <c r="N1973" i="20"/>
  <c r="N1036" i="20"/>
  <c r="P1598" i="20"/>
  <c r="P1840" i="20"/>
  <c r="M1729" i="20"/>
  <c r="Q1784" i="20"/>
  <c r="M92" i="20"/>
  <c r="M1888" i="20"/>
  <c r="N1698" i="20"/>
  <c r="N1610" i="20"/>
  <c r="P1728" i="20"/>
  <c r="P1619" i="20"/>
  <c r="O1922" i="20"/>
  <c r="Q137" i="20"/>
  <c r="Q163" i="20"/>
  <c r="Q1709" i="20"/>
  <c r="M942" i="20"/>
  <c r="Q1677" i="20"/>
  <c r="N1653" i="20"/>
  <c r="M1625" i="20"/>
  <c r="N1678" i="20"/>
  <c r="N1691" i="20"/>
  <c r="P1890" i="20"/>
  <c r="Q63" i="20"/>
  <c r="P1854" i="20"/>
  <c r="Q193" i="20"/>
  <c r="Q1936" i="20"/>
  <c r="N901" i="20"/>
  <c r="Q1679" i="20"/>
  <c r="N1627" i="20"/>
  <c r="P1715" i="20"/>
  <c r="M1072" i="20"/>
  <c r="O1698" i="20"/>
  <c r="M233" i="20"/>
  <c r="O1061" i="20"/>
  <c r="M333" i="20"/>
  <c r="Q153" i="20"/>
  <c r="Q1722" i="20"/>
  <c r="Q1693" i="20"/>
  <c r="O1007" i="20"/>
  <c r="O1136" i="20"/>
  <c r="P1738" i="20"/>
  <c r="P198" i="20"/>
  <c r="Q1856" i="20"/>
  <c r="Q77" i="20"/>
  <c r="M1623" i="20"/>
  <c r="M1614" i="20"/>
  <c r="Q97" i="20"/>
  <c r="N1695" i="20"/>
  <c r="P273" i="20"/>
  <c r="M1751" i="20"/>
  <c r="P51" i="20"/>
  <c r="P98" i="20"/>
  <c r="N1690" i="20"/>
  <c r="Q1802" i="20"/>
  <c r="M1810" i="20"/>
  <c r="Q1681" i="20"/>
  <c r="M1615" i="20"/>
  <c r="P1863" i="20"/>
  <c r="O1911" i="20"/>
  <c r="Q272" i="20"/>
  <c r="P1711" i="20"/>
  <c r="P1952" i="20"/>
  <c r="M1117" i="20"/>
  <c r="N1047" i="20"/>
  <c r="N1757" i="20"/>
  <c r="Q1362" i="20"/>
  <c r="M1661" i="20"/>
  <c r="Q1604" i="20"/>
  <c r="M51" i="20"/>
  <c r="O946" i="20"/>
  <c r="M1836" i="20"/>
  <c r="O1876" i="20"/>
  <c r="Q1814" i="20"/>
  <c r="Q1855" i="20"/>
  <c r="N1116" i="20"/>
  <c r="M1643" i="20"/>
  <c r="O1814" i="20"/>
  <c r="P1661" i="20"/>
  <c r="N1076" i="20"/>
  <c r="N1811" i="20"/>
  <c r="P317" i="20"/>
  <c r="M237" i="20"/>
  <c r="Q1838" i="20"/>
  <c r="O1908" i="20"/>
  <c r="M1766" i="20"/>
  <c r="N1742" i="20"/>
  <c r="O328" i="20"/>
  <c r="M1801" i="20"/>
  <c r="O936" i="20"/>
  <c r="P1046" i="20"/>
  <c r="O77" i="20"/>
  <c r="P1788" i="20"/>
  <c r="Q1927" i="20"/>
  <c r="P147" i="20"/>
  <c r="P1641" i="20"/>
  <c r="O1633" i="20"/>
  <c r="M1666" i="20"/>
  <c r="M906" i="20"/>
  <c r="N1605" i="20"/>
  <c r="P157" i="20"/>
  <c r="P1608" i="20"/>
  <c r="P1758" i="20"/>
  <c r="N1723" i="20"/>
  <c r="M327" i="20"/>
  <c r="M976" i="20"/>
  <c r="N1783" i="20"/>
  <c r="Q1600" i="20"/>
  <c r="Q1803" i="20"/>
  <c r="P937" i="20"/>
  <c r="P1879" i="20"/>
  <c r="P1081" i="20"/>
  <c r="O1878" i="20"/>
  <c r="O1679" i="20"/>
  <c r="O202" i="20"/>
  <c r="N1629" i="20"/>
  <c r="M203" i="20"/>
  <c r="Q1947" i="20"/>
  <c r="Q1939" i="20"/>
  <c r="Q780" i="20"/>
  <c r="O845" i="20"/>
  <c r="M1846" i="20"/>
  <c r="O332" i="20"/>
  <c r="N263" i="20"/>
  <c r="M881" i="20"/>
  <c r="Q252" i="20"/>
  <c r="Q881" i="20"/>
  <c r="N1924" i="20"/>
  <c r="O997" i="20"/>
  <c r="O288" i="20"/>
  <c r="M197" i="20"/>
  <c r="N1793" i="20"/>
  <c r="P1617" i="20"/>
  <c r="Q233" i="20"/>
  <c r="Q103" i="20"/>
  <c r="P1918" i="20"/>
  <c r="P252" i="20"/>
  <c r="N946" i="20"/>
  <c r="P1147" i="20"/>
  <c r="M962" i="20"/>
  <c r="N877" i="20"/>
  <c r="O1755" i="20"/>
  <c r="N1899" i="20"/>
  <c r="O1121" i="20"/>
  <c r="P1096" i="20"/>
  <c r="Q1618" i="20"/>
  <c r="O1599" i="20"/>
  <c r="P927" i="20"/>
  <c r="O1151" i="20"/>
  <c r="M951" i="20"/>
  <c r="O932" i="20"/>
  <c r="N1684" i="20"/>
  <c r="N297" i="20"/>
  <c r="Q1706" i="20"/>
  <c r="P1643" i="20"/>
  <c r="N1707" i="20"/>
  <c r="N1667" i="20"/>
  <c r="Q1639" i="20"/>
  <c r="M1671" i="20"/>
  <c r="M1750" i="20"/>
  <c r="O197" i="20"/>
  <c r="P1082" i="20"/>
  <c r="O1683" i="20"/>
  <c r="P238" i="20"/>
  <c r="Q237" i="20"/>
  <c r="P1611" i="20"/>
  <c r="M1762" i="20"/>
  <c r="M1610" i="20"/>
  <c r="Q1837" i="20"/>
  <c r="O1804" i="20"/>
  <c r="O162" i="20"/>
  <c r="Q962" i="20"/>
  <c r="N1895" i="20"/>
  <c r="M1670" i="20"/>
  <c r="O871" i="20"/>
  <c r="N1877" i="20"/>
  <c r="Q1161" i="20"/>
  <c r="Q1653" i="20"/>
  <c r="M297" i="20"/>
  <c r="N107" i="20"/>
  <c r="O1928" i="20"/>
  <c r="N57" i="20"/>
  <c r="Q987" i="20"/>
  <c r="Q1628" i="20"/>
  <c r="P1674" i="20"/>
  <c r="Q877" i="20"/>
  <c r="M857" i="20"/>
  <c r="N1900" i="20"/>
  <c r="M1723" i="20"/>
  <c r="N127" i="20"/>
  <c r="Q108" i="20"/>
  <c r="P1132" i="20"/>
  <c r="P1778" i="20"/>
  <c r="M1883" i="20"/>
  <c r="Q1725" i="20"/>
  <c r="P1781" i="20"/>
  <c r="O1726" i="20"/>
  <c r="M1745" i="20"/>
  <c r="O1022" i="20"/>
  <c r="M1866" i="20"/>
  <c r="N1926" i="20"/>
  <c r="M1872" i="20"/>
  <c r="P1829" i="20"/>
  <c r="N1732" i="20"/>
  <c r="N1726" i="20"/>
  <c r="P1654" i="20"/>
  <c r="M62" i="20"/>
  <c r="O1623" i="20"/>
  <c r="O333" i="20"/>
  <c r="O1638" i="20"/>
  <c r="P1782" i="20"/>
  <c r="P1950" i="20"/>
  <c r="Q1700" i="20"/>
  <c r="P926" i="20"/>
  <c r="S846" i="20"/>
  <c r="R846" i="20"/>
  <c r="N52" i="20"/>
  <c r="Q52" i="20"/>
  <c r="Q1672" i="20"/>
  <c r="N1640" i="20"/>
  <c r="O1729" i="20"/>
  <c r="P282" i="20"/>
  <c r="P1767" i="20"/>
  <c r="O1649" i="20"/>
  <c r="M1938" i="20"/>
  <c r="Q1827" i="20"/>
  <c r="M1594" i="20"/>
  <c r="P1668" i="20"/>
  <c r="N1644" i="20"/>
  <c r="M1946" i="20"/>
  <c r="N103" i="20"/>
  <c r="O857" i="20"/>
  <c r="P248" i="20"/>
  <c r="M981" i="20"/>
  <c r="N1954" i="20"/>
  <c r="P1651" i="20"/>
  <c r="Q1714" i="20"/>
  <c r="M882" i="20"/>
  <c r="N1951" i="20"/>
  <c r="O93" i="20"/>
  <c r="Q1633" i="20"/>
  <c r="Q1683" i="20"/>
  <c r="O1842" i="20"/>
  <c r="O1888" i="20"/>
  <c r="O292" i="20"/>
  <c r="N173" i="20"/>
  <c r="P1786" i="20"/>
  <c r="Q872" i="20"/>
  <c r="P1836" i="20"/>
  <c r="N217" i="20"/>
  <c r="O193" i="20"/>
  <c r="P138" i="20"/>
  <c r="M1599" i="20"/>
  <c r="N345" i="20"/>
  <c r="P1998" i="20"/>
  <c r="Q273" i="20"/>
  <c r="M1814" i="20"/>
  <c r="N1630" i="20"/>
  <c r="N1788" i="20"/>
  <c r="Q1669" i="20"/>
  <c r="M957" i="20"/>
  <c r="M1882" i="20"/>
  <c r="M1867" i="20"/>
  <c r="O173" i="20"/>
  <c r="O1713" i="20"/>
  <c r="P1087" i="20"/>
  <c r="N363" i="20"/>
  <c r="Q917" i="20"/>
  <c r="P1644" i="20"/>
  <c r="M1840" i="20"/>
  <c r="P128" i="20"/>
  <c r="O1799" i="20"/>
  <c r="P1595" i="20"/>
  <c r="M1600" i="20"/>
  <c r="M841" i="20"/>
  <c r="N148" i="20"/>
  <c r="P237" i="20"/>
  <c r="P168" i="20"/>
  <c r="O107" i="20"/>
  <c r="M88" i="20"/>
  <c r="M1929" i="20"/>
  <c r="M1636" i="20"/>
  <c r="P1820" i="20"/>
  <c r="Q1770" i="20"/>
  <c r="O303" i="20"/>
  <c r="Q1641" i="20"/>
  <c r="M1701" i="20"/>
  <c r="Q1658" i="20"/>
  <c r="Q162" i="20"/>
  <c r="O1859" i="20"/>
  <c r="N1718" i="20"/>
  <c r="P1951" i="20"/>
  <c r="N932" i="20"/>
  <c r="Q1815" i="20"/>
  <c r="N1845" i="20"/>
  <c r="P1606" i="20"/>
  <c r="N1953" i="20"/>
  <c r="O108" i="20"/>
  <c r="O258" i="20"/>
  <c r="Q217" i="20"/>
  <c r="O1812" i="20"/>
  <c r="Q1719" i="20"/>
  <c r="Q1765" i="20"/>
  <c r="N962" i="20"/>
  <c r="Q1885" i="20"/>
  <c r="P1837" i="20"/>
  <c r="N117" i="20"/>
  <c r="P1847" i="20"/>
  <c r="M1638" i="20"/>
  <c r="P1157" i="20"/>
  <c r="N1675" i="20"/>
  <c r="O1894" i="20"/>
  <c r="P113" i="20"/>
  <c r="M1892" i="20"/>
  <c r="M1632" i="20"/>
  <c r="N756" i="20"/>
  <c r="Q1596" i="20"/>
  <c r="M1744" i="20"/>
  <c r="N1715" i="20"/>
  <c r="O163" i="20"/>
  <c r="P1604" i="20"/>
  <c r="O862" i="20"/>
  <c r="N1912" i="20"/>
  <c r="M1891" i="20"/>
  <c r="Q1032" i="20"/>
  <c r="M218" i="20"/>
  <c r="O916" i="20"/>
  <c r="Q1619" i="20"/>
  <c r="P1107" i="20"/>
  <c r="O1612" i="20"/>
  <c r="P1809" i="20"/>
  <c r="P1635" i="20"/>
  <c r="Q1817" i="20"/>
  <c r="P1027" i="20"/>
  <c r="P932" i="20"/>
  <c r="P1017" i="20"/>
  <c r="M47" i="20"/>
  <c r="M967" i="20"/>
  <c r="O1629" i="20"/>
  <c r="M1910" i="20"/>
  <c r="M1854" i="20"/>
  <c r="P52" i="20"/>
  <c r="O846" i="20"/>
  <c r="Q51" i="20"/>
  <c r="Q846" i="20"/>
  <c r="P1712" i="20"/>
  <c r="M1733" i="20"/>
  <c r="O174" i="20"/>
  <c r="O1608" i="20"/>
  <c r="O891" i="20"/>
  <c r="Q852" i="20"/>
  <c r="M1934" i="20"/>
  <c r="O282" i="20"/>
  <c r="O961" i="20"/>
  <c r="N1166" i="20"/>
  <c r="M1710" i="20"/>
  <c r="P1721" i="20"/>
  <c r="M931" i="20"/>
  <c r="O1900" i="20"/>
  <c r="Q1775" i="20"/>
  <c r="M242" i="20"/>
  <c r="M1917" i="20"/>
  <c r="P1633" i="20"/>
  <c r="M1931" i="20"/>
  <c r="P58" i="20"/>
  <c r="O1865" i="20"/>
  <c r="O122" i="20"/>
  <c r="N1121" i="20"/>
  <c r="N1792" i="20"/>
  <c r="O897" i="20"/>
  <c r="P73" i="20"/>
  <c r="P368" i="20"/>
  <c r="O842" i="20"/>
  <c r="M1770" i="20"/>
  <c r="O1821" i="20"/>
  <c r="O109" i="20"/>
  <c r="N73" i="20"/>
  <c r="Q173" i="20"/>
  <c r="N1703" i="20"/>
  <c r="Q1879" i="20"/>
  <c r="Q1630" i="20"/>
  <c r="P1694" i="20"/>
  <c r="M1653" i="20"/>
  <c r="O1743" i="20"/>
  <c r="P243" i="20"/>
  <c r="N77" i="20"/>
  <c r="N1746" i="20"/>
  <c r="N1681" i="20"/>
  <c r="O1784" i="20"/>
  <c r="P1112" i="20"/>
  <c r="Q1570" i="20"/>
  <c r="O1914" i="20"/>
  <c r="P1900" i="20"/>
  <c r="O1166" i="20"/>
  <c r="Q1766" i="20"/>
  <c r="P328" i="20"/>
  <c r="O1675" i="20"/>
  <c r="M1605" i="20"/>
  <c r="Q183" i="20"/>
  <c r="O1103" i="20"/>
  <c r="P1719" i="20"/>
  <c r="O861" i="20"/>
  <c r="Q232" i="20"/>
  <c r="P1871" i="20"/>
  <c r="Q1946" i="20"/>
  <c r="N47" i="20"/>
  <c r="Q1062" i="20"/>
  <c r="P1666" i="20"/>
  <c r="P1593" i="20"/>
  <c r="P1802" i="20"/>
  <c r="N1857" i="20"/>
  <c r="P1653" i="20"/>
  <c r="N842" i="20"/>
  <c r="P358" i="20"/>
  <c r="O198" i="20"/>
  <c r="N1942" i="20"/>
  <c r="M1924" i="20"/>
  <c r="O937" i="20"/>
  <c r="N1879" i="20"/>
  <c r="N1827" i="20"/>
  <c r="P1681" i="20"/>
  <c r="M1012" i="20"/>
  <c r="N158" i="20"/>
  <c r="M1022" i="20"/>
  <c r="O318" i="20"/>
  <c r="P1864" i="20"/>
  <c r="P1664" i="20"/>
  <c r="Q1674" i="20"/>
  <c r="M68" i="20"/>
  <c r="P1152" i="20"/>
  <c r="P1689" i="20"/>
  <c r="M847" i="20"/>
  <c r="P1798" i="20"/>
  <c r="O966" i="20"/>
  <c r="M1818" i="20"/>
  <c r="M1157" i="20"/>
  <c r="N1767" i="20"/>
  <c r="O1754" i="20"/>
  <c r="M1687" i="20"/>
  <c r="N1657" i="20"/>
  <c r="O1710" i="20"/>
  <c r="P842" i="20"/>
  <c r="P1929" i="20"/>
  <c r="M1597" i="20"/>
  <c r="O1625" i="20"/>
  <c r="P871" i="20"/>
  <c r="N62" i="20"/>
  <c r="N1654" i="20"/>
  <c r="N313" i="20"/>
  <c r="N243" i="20"/>
  <c r="N981" i="20"/>
  <c r="N67" i="20"/>
  <c r="O147" i="20"/>
  <c r="N353" i="20"/>
  <c r="O48" i="20"/>
  <c r="M1776" i="20"/>
  <c r="Q845" i="20"/>
  <c r="T846" i="20"/>
  <c r="O51" i="20"/>
  <c r="P1626" i="20"/>
  <c r="N845" i="20"/>
  <c r="M1622" i="20"/>
  <c r="M845" i="20"/>
  <c r="N907" i="20"/>
  <c r="N1601" i="20"/>
  <c r="O223" i="20"/>
  <c r="M1655" i="20"/>
  <c r="P1061" i="20"/>
  <c r="M862" i="20"/>
  <c r="M1647" i="20"/>
  <c r="Q1643" i="20"/>
  <c r="M1619" i="20"/>
  <c r="N1859" i="20"/>
  <c r="P1659" i="20"/>
  <c r="M322" i="20"/>
  <c r="O1832" i="20"/>
  <c r="O1910" i="20"/>
  <c r="P88" i="20"/>
  <c r="N846" i="20"/>
  <c r="Q1598" i="20"/>
  <c r="O1776" i="20"/>
  <c r="O1602" i="20"/>
  <c r="M1834" i="20"/>
  <c r="Q976" i="20"/>
  <c r="Q1833" i="20"/>
  <c r="N93" i="20"/>
  <c r="M1819" i="20"/>
  <c r="Q313" i="20"/>
  <c r="N1683" i="20"/>
  <c r="P845" i="20"/>
  <c r="P35" i="20"/>
  <c r="N25" i="20"/>
  <c r="O33" i="20"/>
  <c r="O4" i="20"/>
  <c r="P830" i="20"/>
  <c r="O30" i="20"/>
  <c r="Q839" i="20"/>
  <c r="Q35" i="20"/>
  <c r="O797" i="20"/>
  <c r="N839" i="20"/>
  <c r="P4" i="20"/>
  <c r="M11" i="20"/>
  <c r="M831" i="20"/>
  <c r="O41" i="20"/>
  <c r="O31" i="20"/>
  <c r="M806" i="20"/>
  <c r="Q24" i="20"/>
  <c r="M35" i="20"/>
  <c r="O826" i="20"/>
  <c r="N38" i="20"/>
  <c r="O831" i="20"/>
  <c r="M816" i="20"/>
  <c r="N809" i="20"/>
  <c r="O15" i="20"/>
  <c r="P16" i="20"/>
  <c r="N837" i="20"/>
  <c r="O819" i="20"/>
  <c r="P28" i="20"/>
  <c r="P23" i="20"/>
  <c r="N805" i="20"/>
  <c r="O39" i="20"/>
  <c r="P26" i="20"/>
  <c r="O23" i="20"/>
  <c r="M835" i="20"/>
  <c r="M21" i="20"/>
  <c r="N40" i="20"/>
  <c r="N5" i="20"/>
  <c r="M39" i="20"/>
  <c r="M19" i="20"/>
  <c r="P837" i="20"/>
  <c r="Q38" i="20"/>
  <c r="Q29" i="20"/>
  <c r="Q830" i="20"/>
  <c r="M10" i="20"/>
  <c r="Q37" i="20"/>
  <c r="O3" i="20"/>
  <c r="O801" i="20"/>
  <c r="O40" i="20"/>
  <c r="P10" i="20"/>
  <c r="N30" i="20"/>
  <c r="O808" i="20"/>
  <c r="M819" i="20"/>
  <c r="N36" i="20"/>
  <c r="M802" i="20"/>
  <c r="Q26" i="20"/>
  <c r="N13" i="20"/>
  <c r="M3" i="20"/>
  <c r="O43" i="20"/>
  <c r="P12" i="20"/>
  <c r="P44" i="20"/>
  <c r="O13" i="20"/>
  <c r="M817" i="20"/>
  <c r="P38" i="20"/>
  <c r="N806" i="20"/>
  <c r="P822" i="20"/>
  <c r="N838" i="20"/>
  <c r="O837" i="20"/>
  <c r="M832" i="20"/>
  <c r="O7" i="20"/>
  <c r="Q825" i="20"/>
  <c r="M14" i="20"/>
  <c r="P829" i="20"/>
  <c r="M824" i="20"/>
  <c r="Q804" i="20"/>
  <c r="N828" i="20"/>
  <c r="O812" i="20"/>
  <c r="Q44" i="20"/>
  <c r="Q827" i="20"/>
  <c r="N835" i="20"/>
  <c r="M801" i="20"/>
  <c r="P819" i="20"/>
  <c r="P15" i="20"/>
  <c r="P827" i="20"/>
  <c r="O10" i="20"/>
  <c r="P11" i="20"/>
  <c r="M839" i="20"/>
  <c r="N821" i="20"/>
  <c r="P836" i="20"/>
  <c r="P809" i="20"/>
  <c r="Q31" i="20"/>
  <c r="O5" i="20"/>
  <c r="O42" i="20"/>
  <c r="Q823" i="20"/>
  <c r="Q14" i="20"/>
  <c r="P34" i="20"/>
  <c r="M38" i="20"/>
  <c r="N12" i="20"/>
  <c r="M28" i="20"/>
  <c r="N16" i="20"/>
  <c r="N815" i="20"/>
  <c r="N19" i="20"/>
  <c r="N37" i="20"/>
  <c r="O32" i="20"/>
  <c r="P7" i="20"/>
  <c r="P45" i="20"/>
  <c r="P834" i="20"/>
  <c r="P807" i="20"/>
  <c r="Q815" i="20"/>
  <c r="M809" i="20"/>
  <c r="P805" i="20"/>
  <c r="N804" i="20"/>
  <c r="M833" i="20"/>
  <c r="M43" i="20"/>
  <c r="N17" i="20"/>
  <c r="Q810" i="20"/>
  <c r="M837" i="20"/>
  <c r="O833" i="20"/>
  <c r="Q826" i="20"/>
  <c r="M45" i="20"/>
  <c r="N818" i="20"/>
  <c r="O823" i="20"/>
  <c r="N14" i="20"/>
  <c r="M804" i="20"/>
  <c r="N807" i="20"/>
  <c r="Q819" i="20"/>
  <c r="O16" i="20"/>
  <c r="N42" i="20"/>
  <c r="Q821" i="20"/>
  <c r="Q807" i="20"/>
  <c r="P802" i="20"/>
  <c r="O44" i="20"/>
  <c r="P821" i="20"/>
  <c r="Q813" i="20"/>
  <c r="N811" i="20"/>
  <c r="N41" i="20"/>
  <c r="N18" i="20"/>
  <c r="P813" i="20"/>
  <c r="O9" i="20"/>
  <c r="O26" i="20"/>
  <c r="Q16" i="20"/>
  <c r="O810" i="20"/>
  <c r="N836" i="20"/>
  <c r="O22" i="20"/>
  <c r="N34" i="20"/>
  <c r="M7" i="20"/>
  <c r="Q820" i="20"/>
  <c r="M4" i="20"/>
  <c r="M799" i="20"/>
  <c r="N45" i="20"/>
  <c r="O806" i="20"/>
  <c r="Q36" i="20"/>
  <c r="M808" i="20"/>
  <c r="P14" i="20"/>
  <c r="Q824" i="20"/>
  <c r="M797" i="20"/>
  <c r="P13" i="20"/>
  <c r="Q5" i="20"/>
  <c r="Q799" i="20"/>
  <c r="Q27" i="20"/>
  <c r="Q42" i="20"/>
  <c r="Q10" i="20"/>
  <c r="N819" i="20"/>
  <c r="O827" i="20"/>
  <c r="N803" i="20"/>
  <c r="Q801" i="20"/>
  <c r="O834" i="20"/>
  <c r="P818" i="20"/>
  <c r="Q828" i="20"/>
  <c r="O804" i="20"/>
  <c r="O37" i="20"/>
  <c r="P800" i="20"/>
  <c r="M803" i="20"/>
  <c r="P817" i="20"/>
  <c r="Q812" i="20"/>
  <c r="N822" i="20"/>
  <c r="M44" i="20"/>
  <c r="Q41" i="20"/>
  <c r="P799" i="20"/>
  <c r="O817" i="20"/>
  <c r="M829" i="20"/>
  <c r="N797" i="20"/>
  <c r="O18" i="20"/>
  <c r="P22" i="20"/>
  <c r="Q833" i="20"/>
  <c r="M830" i="20"/>
  <c r="N802" i="20"/>
  <c r="O19" i="20"/>
  <c r="M16" i="20"/>
  <c r="P824" i="20"/>
  <c r="Q32" i="20"/>
  <c r="M827" i="20"/>
  <c r="P832" i="20"/>
  <c r="O824" i="20"/>
  <c r="N798" i="20"/>
  <c r="M822" i="20"/>
  <c r="P42" i="20"/>
  <c r="O835" i="20"/>
  <c r="N829" i="20"/>
  <c r="N820" i="20"/>
  <c r="N813" i="20"/>
  <c r="P797" i="20"/>
  <c r="M821" i="20"/>
  <c r="M31" i="20"/>
  <c r="M13" i="20"/>
  <c r="P838" i="20"/>
  <c r="M42" i="20"/>
  <c r="M27" i="20"/>
  <c r="O839" i="20"/>
  <c r="O836" i="20"/>
  <c r="N812" i="20"/>
  <c r="P831" i="20"/>
  <c r="N7" i="20"/>
  <c r="N816" i="20"/>
  <c r="M17" i="20"/>
  <c r="O27" i="20"/>
  <c r="O816" i="20"/>
  <c r="O828" i="20"/>
  <c r="M40" i="20"/>
  <c r="O34" i="20"/>
  <c r="P41" i="20"/>
  <c r="P25" i="20"/>
  <c r="M12" i="20"/>
  <c r="P3" i="20"/>
  <c r="N799" i="20"/>
  <c r="O818" i="20"/>
  <c r="M36" i="20"/>
  <c r="M23" i="20"/>
  <c r="O803" i="20"/>
  <c r="O45" i="20"/>
  <c r="M33" i="20"/>
  <c r="P43" i="20"/>
  <c r="M26" i="20"/>
  <c r="Q23" i="20"/>
  <c r="M823" i="20"/>
  <c r="M25" i="20"/>
  <c r="Q816" i="20"/>
  <c r="O820" i="20"/>
  <c r="Q33" i="20"/>
  <c r="P812" i="20"/>
  <c r="O25" i="20"/>
  <c r="O821" i="20"/>
  <c r="M32" i="20"/>
  <c r="P21" i="20"/>
  <c r="P806" i="20"/>
  <c r="O11" i="20"/>
  <c r="N825" i="20"/>
  <c r="N824" i="20"/>
  <c r="P33" i="20"/>
  <c r="Q43" i="20"/>
  <c r="P9" i="20"/>
  <c r="N23" i="20"/>
  <c r="Q822" i="20"/>
  <c r="Q15" i="20"/>
  <c r="P36" i="20"/>
  <c r="Q832" i="20"/>
  <c r="N33" i="20"/>
  <c r="P24" i="20"/>
  <c r="M815" i="20"/>
  <c r="Q829" i="20"/>
  <c r="N44" i="20"/>
  <c r="P820" i="20"/>
  <c r="Q818" i="20"/>
  <c r="Q21" i="20"/>
  <c r="N4" i="20"/>
  <c r="O14" i="20"/>
  <c r="N801" i="20"/>
  <c r="N31" i="20"/>
  <c r="O805" i="20"/>
  <c r="O38" i="20"/>
  <c r="O825" i="20"/>
  <c r="N11" i="20"/>
  <c r="O800" i="20"/>
  <c r="N817" i="20"/>
  <c r="M820" i="20"/>
  <c r="Q811" i="20"/>
  <c r="M836" i="20"/>
  <c r="O814" i="20"/>
  <c r="O28" i="20"/>
  <c r="O813" i="20"/>
  <c r="Q22" i="20"/>
  <c r="O838" i="20"/>
  <c r="Q34" i="20"/>
  <c r="N827" i="20"/>
  <c r="P839" i="20"/>
  <c r="P835" i="20"/>
  <c r="Q12" i="20"/>
  <c r="Q11" i="20"/>
  <c r="P6" i="20"/>
  <c r="Q28" i="20"/>
  <c r="O24" i="20"/>
  <c r="N832" i="20"/>
  <c r="O8" i="20"/>
  <c r="Q45" i="20"/>
  <c r="P826" i="20"/>
  <c r="M818" i="20"/>
  <c r="Q814" i="20"/>
  <c r="M810" i="20"/>
  <c r="Q3" i="20"/>
  <c r="M34" i="20"/>
  <c r="O6" i="20"/>
  <c r="N15" i="20"/>
  <c r="N43" i="20"/>
  <c r="M29" i="20"/>
  <c r="Q25" i="20"/>
  <c r="Q809" i="20"/>
  <c r="P816" i="20"/>
  <c r="N814" i="20"/>
  <c r="M24" i="20"/>
  <c r="Q6" i="20"/>
  <c r="M834" i="20"/>
  <c r="P801" i="20"/>
  <c r="O809" i="20"/>
  <c r="P833" i="20"/>
  <c r="Q836" i="20"/>
  <c r="M813" i="20"/>
  <c r="Q19" i="20"/>
  <c r="O21" i="20"/>
  <c r="N10" i="20"/>
  <c r="M18" i="20"/>
  <c r="M805" i="20"/>
  <c r="M9" i="20"/>
  <c r="M826" i="20"/>
  <c r="P825" i="20"/>
  <c r="O822" i="20"/>
  <c r="M20" i="20"/>
  <c r="Q17" i="20"/>
  <c r="Q802" i="20"/>
  <c r="O829" i="20"/>
  <c r="P823" i="20"/>
  <c r="P798" i="20"/>
  <c r="Q838" i="20"/>
  <c r="O36" i="20"/>
  <c r="N20" i="20"/>
  <c r="M825" i="20"/>
  <c r="N6" i="20"/>
  <c r="M798" i="20"/>
  <c r="O807" i="20"/>
  <c r="P803" i="20"/>
  <c r="N834" i="20"/>
  <c r="N833" i="20"/>
  <c r="O12" i="20"/>
  <c r="P32" i="20"/>
  <c r="O799" i="20"/>
  <c r="M15" i="20"/>
  <c r="P828" i="20"/>
  <c r="O802" i="20"/>
  <c r="N808" i="20"/>
  <c r="N22" i="20"/>
  <c r="N830" i="20"/>
  <c r="Q808" i="20"/>
  <c r="M814" i="20"/>
  <c r="M811" i="20"/>
  <c r="M838" i="20"/>
  <c r="P804" i="20"/>
  <c r="O815" i="20"/>
  <c r="Q803" i="20"/>
  <c r="M5" i="20"/>
  <c r="Q806" i="20"/>
  <c r="P37" i="20"/>
  <c r="O17" i="20"/>
  <c r="Q817" i="20"/>
  <c r="O798" i="20"/>
  <c r="M6" i="20"/>
  <c r="Q837" i="20"/>
  <c r="M30" i="20"/>
  <c r="P18" i="20"/>
  <c r="O830" i="20"/>
  <c r="P27" i="20"/>
  <c r="P811" i="20"/>
  <c r="Q805" i="20"/>
  <c r="M8" i="20"/>
  <c r="Q13" i="20"/>
  <c r="Q4" i="20"/>
  <c r="N800" i="20"/>
  <c r="Q8" i="20"/>
  <c r="Q39" i="20"/>
  <c r="Q30" i="20"/>
  <c r="P19" i="20"/>
  <c r="Q800" i="20"/>
  <c r="Q18" i="20"/>
  <c r="P20" i="20"/>
  <c r="O35" i="20"/>
  <c r="M22" i="20"/>
  <c r="P39" i="20"/>
  <c r="P5" i="20"/>
  <c r="N27" i="20"/>
  <c r="M37" i="20"/>
  <c r="N823" i="20"/>
  <c r="N39" i="20"/>
  <c r="M807" i="20"/>
  <c r="N9" i="20"/>
  <c r="Q7" i="20"/>
  <c r="N810" i="20"/>
  <c r="Q831" i="20"/>
  <c r="M800" i="20"/>
  <c r="N826" i="20"/>
  <c r="Q797" i="20"/>
  <c r="M812" i="20"/>
  <c r="O29" i="20"/>
  <c r="P815" i="20"/>
  <c r="Q798" i="20"/>
  <c r="M41" i="20"/>
  <c r="N831" i="20"/>
  <c r="P8" i="20"/>
  <c r="M828" i="20"/>
  <c r="O832" i="20"/>
  <c r="N35" i="20"/>
  <c r="Q40" i="20"/>
  <c r="N24" i="20"/>
  <c r="P810" i="20"/>
  <c r="N28" i="20"/>
  <c r="P808" i="20"/>
  <c r="N8" i="20"/>
  <c r="N21" i="20"/>
  <c r="N26" i="20"/>
  <c r="O811" i="20"/>
  <c r="P814" i="20"/>
  <c r="O20" i="20"/>
  <c r="P40" i="20"/>
  <c r="Q835" i="20"/>
  <c r="Q20" i="20"/>
  <c r="P30" i="20"/>
  <c r="N32" i="20"/>
  <c r="P31" i="20"/>
  <c r="Q9" i="20"/>
  <c r="P29" i="20"/>
  <c r="Q834" i="20"/>
  <c r="N29" i="20"/>
  <c r="P17" i="20"/>
  <c r="Q1185" i="20"/>
  <c r="Q1252" i="20"/>
  <c r="Q1202" i="20"/>
  <c r="N440" i="20"/>
  <c r="M1238" i="20"/>
  <c r="Q1229" i="20"/>
  <c r="O433" i="20"/>
  <c r="O1208" i="20"/>
  <c r="N1190" i="20"/>
  <c r="O1248" i="20"/>
  <c r="P386" i="20"/>
  <c r="M427" i="20"/>
  <c r="M1247" i="20"/>
  <c r="O448" i="20"/>
  <c r="N410" i="20"/>
  <c r="N1263" i="20"/>
  <c r="O457" i="20"/>
  <c r="Q460" i="20"/>
  <c r="O382" i="20"/>
  <c r="P1263" i="20"/>
  <c r="P454" i="20"/>
  <c r="M1189" i="20"/>
  <c r="N408" i="20"/>
  <c r="P1226" i="20"/>
  <c r="O423" i="20"/>
  <c r="O438" i="20"/>
  <c r="M1234" i="20"/>
  <c r="P1192" i="20"/>
  <c r="P1252" i="20"/>
  <c r="M1180" i="20"/>
  <c r="M419" i="20"/>
  <c r="P410" i="20"/>
  <c r="N396" i="20"/>
  <c r="M1205" i="20"/>
  <c r="Q389" i="20"/>
  <c r="N453" i="20"/>
  <c r="P1229" i="20"/>
  <c r="N1273" i="20"/>
  <c r="N1180" i="20"/>
  <c r="M441" i="20"/>
  <c r="P416" i="20"/>
  <c r="Q404" i="20"/>
  <c r="M1273" i="20"/>
  <c r="O380" i="20"/>
  <c r="O1195" i="20"/>
  <c r="Q1177" i="20"/>
  <c r="Q448" i="20"/>
  <c r="Q1176" i="20"/>
  <c r="P465" i="20"/>
  <c r="M440" i="20"/>
  <c r="N452" i="20"/>
  <c r="O443" i="20"/>
  <c r="M409" i="20"/>
  <c r="Q455" i="20"/>
  <c r="P1258" i="20"/>
  <c r="N1252" i="20"/>
  <c r="Q391" i="20"/>
  <c r="Q473" i="20"/>
  <c r="O1263" i="20"/>
  <c r="Q1255" i="20"/>
  <c r="Q1245" i="20"/>
  <c r="Q435" i="20"/>
  <c r="P382" i="20"/>
  <c r="N384" i="20"/>
  <c r="N1222" i="20"/>
  <c r="N466" i="20"/>
  <c r="Q1264" i="20"/>
  <c r="M1211" i="20"/>
  <c r="P1190" i="20"/>
  <c r="P436" i="20"/>
  <c r="P1173" i="20"/>
  <c r="N1204" i="20"/>
  <c r="O431" i="20"/>
  <c r="P1230" i="20"/>
  <c r="P384" i="20"/>
  <c r="O1269" i="20"/>
  <c r="O1240" i="20"/>
  <c r="N1234" i="20"/>
  <c r="O435" i="20"/>
  <c r="N428" i="20"/>
  <c r="N1182" i="20"/>
  <c r="Q452" i="20"/>
  <c r="N1241" i="20"/>
  <c r="Q402" i="20"/>
  <c r="P462" i="20"/>
  <c r="M1244" i="20"/>
  <c r="O1213" i="20"/>
  <c r="Q398" i="20"/>
  <c r="N1198" i="20"/>
  <c r="M1241" i="20"/>
  <c r="N1220" i="20"/>
  <c r="Q465" i="20"/>
  <c r="O1219" i="20"/>
  <c r="N393" i="20"/>
  <c r="O467" i="20"/>
  <c r="M387" i="20"/>
  <c r="M1220" i="20"/>
  <c r="P1196" i="20"/>
  <c r="O1177" i="20"/>
  <c r="P1245" i="20"/>
  <c r="P1222" i="20"/>
  <c r="M1176" i="20"/>
  <c r="O466" i="20"/>
  <c r="O1251" i="20"/>
  <c r="P1171" i="20"/>
  <c r="O468" i="20"/>
  <c r="O414" i="20"/>
  <c r="N1214" i="20"/>
  <c r="M431" i="20"/>
  <c r="M438" i="20"/>
  <c r="N1205" i="20"/>
  <c r="M403" i="20"/>
  <c r="N412" i="20"/>
  <c r="O478" i="20"/>
  <c r="P1184" i="20"/>
  <c r="M1254" i="20"/>
  <c r="P400" i="20"/>
  <c r="Q413" i="20"/>
  <c r="O395" i="20"/>
  <c r="O1176" i="20"/>
  <c r="O388" i="20"/>
  <c r="N1267" i="20"/>
  <c r="Q1257" i="20"/>
  <c r="O1223" i="20"/>
  <c r="Q1254" i="20"/>
  <c r="Q432" i="20"/>
  <c r="N436" i="20"/>
  <c r="O1209" i="20"/>
  <c r="Q419" i="20"/>
  <c r="P469" i="20"/>
  <c r="N471" i="20"/>
  <c r="N1248" i="20"/>
  <c r="O1270" i="20"/>
  <c r="P429" i="20"/>
  <c r="P437" i="20"/>
  <c r="O426" i="20"/>
  <c r="O471" i="20"/>
  <c r="M447" i="20"/>
  <c r="O452" i="20"/>
  <c r="Q1233" i="20"/>
  <c r="O1211" i="20"/>
  <c r="O475" i="20"/>
  <c r="M420" i="20"/>
  <c r="Q387" i="20"/>
  <c r="N381" i="20"/>
  <c r="P1205" i="20"/>
  <c r="P1207" i="20"/>
  <c r="Q1256" i="20"/>
  <c r="M1252" i="20"/>
  <c r="O425" i="20"/>
  <c r="M1213" i="20"/>
  <c r="M1227" i="20"/>
  <c r="N1255" i="20"/>
  <c r="N424" i="20"/>
  <c r="Q1211" i="20"/>
  <c r="M1224" i="20"/>
  <c r="N1217" i="20"/>
  <c r="Q436" i="20"/>
  <c r="P1219" i="20"/>
  <c r="P423" i="20"/>
  <c r="N479" i="20"/>
  <c r="Q395" i="20"/>
  <c r="Q405" i="20"/>
  <c r="Q463" i="20"/>
  <c r="P1238" i="20"/>
  <c r="M443" i="20"/>
  <c r="O460" i="20"/>
  <c r="Q390" i="20"/>
  <c r="M1182" i="20"/>
  <c r="O428" i="20"/>
  <c r="N468" i="20"/>
  <c r="N406" i="20"/>
  <c r="Q469" i="20"/>
  <c r="P1232" i="20"/>
  <c r="P478" i="20"/>
  <c r="P457" i="20"/>
  <c r="N1194" i="20"/>
  <c r="M468" i="20"/>
  <c r="N387" i="20"/>
  <c r="M433" i="20"/>
  <c r="M376" i="20"/>
  <c r="Q1225" i="20"/>
  <c r="N1195" i="20"/>
  <c r="P1272" i="20"/>
  <c r="M430" i="20"/>
  <c r="N1203" i="20"/>
  <c r="M1265" i="20"/>
  <c r="P422" i="20"/>
  <c r="M429" i="20"/>
  <c r="P1195" i="20"/>
  <c r="M1246" i="20"/>
  <c r="Q380" i="20"/>
  <c r="P399" i="20"/>
  <c r="N1247" i="20"/>
  <c r="P444" i="20"/>
  <c r="Q1213" i="20"/>
  <c r="O1196" i="20"/>
  <c r="Q1180" i="20"/>
  <c r="Q1175" i="20"/>
  <c r="O411" i="20"/>
  <c r="P1215" i="20"/>
  <c r="Q1200" i="20"/>
  <c r="Q430" i="20"/>
  <c r="O1189" i="20"/>
  <c r="N1174" i="20"/>
  <c r="O1202" i="20"/>
  <c r="M406" i="20"/>
  <c r="Q1236" i="20"/>
  <c r="P1248" i="20"/>
  <c r="Q1263" i="20"/>
  <c r="N1172" i="20"/>
  <c r="O415" i="20"/>
  <c r="Q451" i="20"/>
  <c r="O418" i="20"/>
  <c r="Q1190" i="20"/>
  <c r="P1254" i="20"/>
  <c r="M422" i="20"/>
  <c r="M1183" i="20"/>
  <c r="Q1247" i="20"/>
  <c r="N449" i="20"/>
  <c r="O1268" i="20"/>
  <c r="P1246" i="20"/>
  <c r="M1197" i="20"/>
  <c r="N377" i="20"/>
  <c r="Q431" i="20"/>
  <c r="M1212" i="20"/>
  <c r="P428" i="20"/>
  <c r="O440" i="20"/>
  <c r="P1200" i="20"/>
  <c r="P1217" i="20"/>
  <c r="O427" i="20"/>
  <c r="Q1234" i="20"/>
  <c r="P447" i="20"/>
  <c r="N475" i="20"/>
  <c r="P1251" i="20"/>
  <c r="N458" i="20"/>
  <c r="O386" i="20"/>
  <c r="M456" i="20"/>
  <c r="M404" i="20"/>
  <c r="O1233" i="20"/>
  <c r="M1175" i="20"/>
  <c r="P396" i="20"/>
  <c r="P417" i="20"/>
  <c r="P460" i="20"/>
  <c r="M1207" i="20"/>
  <c r="O1228" i="20"/>
  <c r="Q479" i="20"/>
  <c r="O1250" i="20"/>
  <c r="P438" i="20"/>
  <c r="Q403" i="20"/>
  <c r="M434" i="20"/>
  <c r="P1243" i="20"/>
  <c r="M463" i="20"/>
  <c r="O420" i="20"/>
  <c r="O1218" i="20"/>
  <c r="Q1217" i="20"/>
  <c r="O1185" i="20"/>
  <c r="P426" i="20"/>
  <c r="P1225" i="20"/>
  <c r="M380" i="20"/>
  <c r="O419" i="20"/>
  <c r="O451" i="20"/>
  <c r="N1191" i="20"/>
  <c r="P1209" i="20"/>
  <c r="M1218" i="20"/>
  <c r="N1197" i="20"/>
  <c r="M1200" i="20"/>
  <c r="N1268" i="20"/>
  <c r="M458" i="20"/>
  <c r="P1203" i="20"/>
  <c r="N388" i="20"/>
  <c r="M1237" i="20"/>
  <c r="M1194" i="20"/>
  <c r="O1184" i="20"/>
  <c r="N465" i="20"/>
  <c r="O1206" i="20"/>
  <c r="N1206" i="20"/>
  <c r="P379" i="20"/>
  <c r="M410" i="20"/>
  <c r="P1267" i="20"/>
  <c r="Q1219" i="20"/>
  <c r="M418" i="20"/>
  <c r="M1219" i="20"/>
  <c r="M1249" i="20"/>
  <c r="N425" i="20"/>
  <c r="Q407" i="20"/>
  <c r="P1224" i="20"/>
  <c r="M1264" i="20"/>
  <c r="N1228" i="20"/>
  <c r="N376" i="20"/>
  <c r="Q1244" i="20"/>
  <c r="P459" i="20"/>
  <c r="N451" i="20"/>
  <c r="N1196" i="20"/>
  <c r="M405" i="20"/>
  <c r="P1262" i="20"/>
  <c r="Q1269" i="20"/>
  <c r="M459" i="20"/>
  <c r="M474" i="20"/>
  <c r="Q447" i="20"/>
  <c r="P1231" i="20"/>
  <c r="N1251" i="20"/>
  <c r="O1239" i="20"/>
  <c r="Q423" i="20"/>
  <c r="Q1273" i="20"/>
  <c r="O1170" i="20"/>
  <c r="P470" i="20"/>
  <c r="O397" i="20"/>
  <c r="P475" i="20"/>
  <c r="N405" i="20"/>
  <c r="P1271" i="20"/>
  <c r="P1202" i="20"/>
  <c r="M1202" i="20"/>
  <c r="P1265" i="20"/>
  <c r="O1254" i="20"/>
  <c r="O402" i="20"/>
  <c r="Q1241" i="20"/>
  <c r="Q1259" i="20"/>
  <c r="N1207" i="20"/>
  <c r="M452" i="20"/>
  <c r="N1199" i="20"/>
  <c r="N1237" i="20"/>
  <c r="P433" i="20"/>
  <c r="M415" i="20"/>
  <c r="O1207" i="20"/>
  <c r="Q1184" i="20"/>
  <c r="O1180" i="20"/>
  <c r="O1210" i="20"/>
  <c r="N443" i="20"/>
  <c r="M442" i="20"/>
  <c r="Q1215" i="20"/>
  <c r="Q379" i="20"/>
  <c r="P411" i="20"/>
  <c r="Q382" i="20"/>
  <c r="Q401" i="20"/>
  <c r="M423" i="20"/>
  <c r="Q1243" i="20"/>
  <c r="P412" i="20"/>
  <c r="P439" i="20"/>
  <c r="P1247" i="20"/>
  <c r="M460" i="20"/>
  <c r="P403" i="20"/>
  <c r="M455" i="20"/>
  <c r="M386" i="20"/>
  <c r="P1179" i="20"/>
  <c r="O474" i="20"/>
  <c r="O1214" i="20"/>
  <c r="Q425" i="20"/>
  <c r="O1265" i="20"/>
  <c r="N1226" i="20"/>
  <c r="O377" i="20"/>
  <c r="Q1227" i="20"/>
  <c r="O1235" i="20"/>
  <c r="M1190" i="20"/>
  <c r="N1260" i="20"/>
  <c r="P450" i="20"/>
  <c r="Q457" i="20"/>
  <c r="P409" i="20"/>
  <c r="M432" i="20"/>
  <c r="O1205" i="20"/>
  <c r="N1216" i="20"/>
  <c r="O472" i="20"/>
  <c r="O1259" i="20"/>
  <c r="O1212" i="20"/>
  <c r="Q1272" i="20"/>
  <c r="O1244" i="20"/>
  <c r="Q1248" i="20"/>
  <c r="O1246" i="20"/>
  <c r="P1186" i="20"/>
  <c r="N1177" i="20"/>
  <c r="N445" i="20"/>
  <c r="O430" i="20"/>
  <c r="Q412" i="20"/>
  <c r="M402" i="20"/>
  <c r="M1177" i="20"/>
  <c r="O1171" i="20"/>
  <c r="Q446" i="20"/>
  <c r="P472" i="20"/>
  <c r="N1253" i="20"/>
  <c r="O1215" i="20"/>
  <c r="Q383" i="20"/>
  <c r="O400" i="20"/>
  <c r="N1261" i="20"/>
  <c r="O1247" i="20"/>
  <c r="M475" i="20"/>
  <c r="O437" i="20"/>
  <c r="Q468" i="20"/>
  <c r="Q414" i="20"/>
  <c r="M1210" i="20"/>
  <c r="Q437" i="20"/>
  <c r="Q1171" i="20"/>
  <c r="P401" i="20"/>
  <c r="P1227" i="20"/>
  <c r="M1206" i="20"/>
  <c r="N1208" i="20"/>
  <c r="Q388" i="20"/>
  <c r="O1245" i="20"/>
  <c r="P1228" i="20"/>
  <c r="M1271" i="20"/>
  <c r="N421" i="20"/>
  <c r="Q1207" i="20"/>
  <c r="Q1212" i="20"/>
  <c r="P1174" i="20"/>
  <c r="Q1240" i="20"/>
  <c r="P1234" i="20"/>
  <c r="N1258" i="20"/>
  <c r="O479" i="20"/>
  <c r="P387" i="20"/>
  <c r="M1209" i="20"/>
  <c r="Q456" i="20"/>
  <c r="N427" i="20"/>
  <c r="O412" i="20"/>
  <c r="Q418" i="20"/>
  <c r="N476" i="20"/>
  <c r="M1171" i="20"/>
  <c r="N1239" i="20"/>
  <c r="M471" i="20"/>
  <c r="N1254" i="20"/>
  <c r="O1172" i="20"/>
  <c r="P479" i="20"/>
  <c r="Q393" i="20"/>
  <c r="M1267" i="20"/>
  <c r="M1191" i="20"/>
  <c r="P463" i="20"/>
  <c r="M389" i="20"/>
  <c r="P467" i="20"/>
  <c r="M1236" i="20"/>
  <c r="P1242" i="20"/>
  <c r="P431" i="20"/>
  <c r="O392" i="20"/>
  <c r="M1250" i="20"/>
  <c r="P1236" i="20"/>
  <c r="P432" i="20"/>
  <c r="Q1222" i="20"/>
  <c r="N1264" i="20"/>
  <c r="P1270" i="20"/>
  <c r="Q445" i="20"/>
  <c r="O1241" i="20"/>
  <c r="M385" i="20"/>
  <c r="P1204" i="20"/>
  <c r="O429" i="20"/>
  <c r="O1261" i="20"/>
  <c r="M1215" i="20"/>
  <c r="P391" i="20"/>
  <c r="P1175" i="20"/>
  <c r="P1189" i="20"/>
  <c r="N413" i="20"/>
  <c r="M448" i="20"/>
  <c r="N433" i="20"/>
  <c r="M1268" i="20"/>
  <c r="N457" i="20"/>
  <c r="M1199" i="20"/>
  <c r="Q1230" i="20"/>
  <c r="O413" i="20"/>
  <c r="O391" i="20"/>
  <c r="P1223" i="20"/>
  <c r="P418" i="20"/>
  <c r="Q1239" i="20"/>
  <c r="P390" i="20"/>
  <c r="M1223" i="20"/>
  <c r="Q385" i="20"/>
  <c r="O378" i="20"/>
  <c r="M426" i="20"/>
  <c r="O473" i="20"/>
  <c r="N1269" i="20"/>
  <c r="N416" i="20"/>
  <c r="Q443" i="20"/>
  <c r="M412" i="20"/>
  <c r="M384" i="20"/>
  <c r="M392" i="20"/>
  <c r="Q411" i="20"/>
  <c r="O1186" i="20"/>
  <c r="O464" i="20"/>
  <c r="P1253" i="20"/>
  <c r="M1259" i="20"/>
  <c r="O1249" i="20"/>
  <c r="M1221" i="20"/>
  <c r="N389" i="20"/>
  <c r="O389" i="20"/>
  <c r="O1271" i="20"/>
  <c r="Q378" i="20"/>
  <c r="P1172" i="20"/>
  <c r="N1209" i="20"/>
  <c r="O1181" i="20"/>
  <c r="O401" i="20"/>
  <c r="P1180" i="20"/>
  <c r="M381" i="20"/>
  <c r="Q1253" i="20"/>
  <c r="N1236" i="20"/>
  <c r="Q450" i="20"/>
  <c r="Q1201" i="20"/>
  <c r="P445" i="20"/>
  <c r="M1231" i="20"/>
  <c r="M1216" i="20"/>
  <c r="Q428" i="20"/>
  <c r="M470" i="20"/>
  <c r="P468" i="20"/>
  <c r="O1198" i="20"/>
  <c r="Q470" i="20"/>
  <c r="P1176" i="20"/>
  <c r="O459" i="20"/>
  <c r="Q1216" i="20"/>
  <c r="Q440" i="20"/>
  <c r="N472" i="20"/>
  <c r="N470" i="20"/>
  <c r="Q1221" i="20"/>
  <c r="N404" i="20"/>
  <c r="M382" i="20"/>
  <c r="O462" i="20"/>
  <c r="Q1187" i="20"/>
  <c r="O1182" i="20"/>
  <c r="O1199" i="20"/>
  <c r="M451" i="20"/>
  <c r="M1178" i="20"/>
  <c r="M1188" i="20"/>
  <c r="P1240" i="20"/>
  <c r="O1188" i="20"/>
  <c r="Q1267" i="20"/>
  <c r="N1185" i="20"/>
  <c r="O446" i="20"/>
  <c r="Q472" i="20"/>
  <c r="N1218" i="20"/>
  <c r="N463" i="20"/>
  <c r="P458" i="20"/>
  <c r="M378" i="20"/>
  <c r="Q1183" i="20"/>
  <c r="M461" i="20"/>
  <c r="O1200" i="20"/>
  <c r="M1269" i="20"/>
  <c r="M391" i="20"/>
  <c r="P1191" i="20"/>
  <c r="Q1208" i="20"/>
  <c r="M1263" i="20"/>
  <c r="M1255" i="20"/>
  <c r="P424" i="20"/>
  <c r="Q442" i="20"/>
  <c r="Q415" i="20"/>
  <c r="O1190" i="20"/>
  <c r="O1187" i="20"/>
  <c r="M478" i="20"/>
  <c r="P1177" i="20"/>
  <c r="P1183" i="20"/>
  <c r="N460" i="20"/>
  <c r="O404" i="20"/>
  <c r="O1262" i="20"/>
  <c r="Q449" i="20"/>
  <c r="N1272" i="20"/>
  <c r="Q476" i="20"/>
  <c r="M1261" i="20"/>
  <c r="N1242" i="20"/>
  <c r="N1245" i="20"/>
  <c r="M439" i="20"/>
  <c r="N411" i="20"/>
  <c r="Q444" i="20"/>
  <c r="O1174" i="20"/>
  <c r="M1222" i="20"/>
  <c r="M416" i="20"/>
  <c r="O1216" i="20"/>
  <c r="M1225" i="20"/>
  <c r="M414" i="20"/>
  <c r="Q459" i="20"/>
  <c r="P1239" i="20"/>
  <c r="P1206" i="20"/>
  <c r="O1253" i="20"/>
  <c r="O1252" i="20"/>
  <c r="P464" i="20"/>
  <c r="P1244" i="20"/>
  <c r="O434" i="20"/>
  <c r="M445" i="20"/>
  <c r="P405" i="20"/>
  <c r="P406" i="20"/>
  <c r="M437" i="20"/>
  <c r="M436" i="20"/>
  <c r="M1233" i="20"/>
  <c r="Q471" i="20"/>
  <c r="N478" i="20"/>
  <c r="Q439" i="20"/>
  <c r="Q1260" i="20"/>
  <c r="N1231" i="20"/>
  <c r="N394" i="20"/>
  <c r="O421" i="20"/>
  <c r="P1194" i="20"/>
  <c r="P430" i="20"/>
  <c r="Q1189" i="20"/>
  <c r="N419" i="20"/>
  <c r="Q466" i="20"/>
  <c r="M1195" i="20"/>
  <c r="N477" i="20"/>
  <c r="P1178" i="20"/>
  <c r="P441" i="20"/>
  <c r="Q1204" i="20"/>
  <c r="P414" i="20"/>
  <c r="P1218" i="20"/>
  <c r="P1250" i="20"/>
  <c r="N430" i="20"/>
  <c r="N431" i="20"/>
  <c r="N435" i="20"/>
  <c r="M1196" i="20"/>
  <c r="M401" i="20"/>
  <c r="Q1210" i="20"/>
  <c r="M394" i="20"/>
  <c r="N378" i="20"/>
  <c r="M472" i="20"/>
  <c r="N401" i="20"/>
  <c r="Q420" i="20"/>
  <c r="N1178" i="20"/>
  <c r="M1248" i="20"/>
  <c r="M1204" i="20"/>
  <c r="O449" i="20"/>
  <c r="Q1182" i="20"/>
  <c r="P415" i="20"/>
  <c r="O410" i="20"/>
  <c r="N473" i="20"/>
  <c r="O398" i="20"/>
  <c r="N459" i="20"/>
  <c r="Q1172" i="20"/>
  <c r="N1262" i="20"/>
  <c r="N414" i="20"/>
  <c r="P394" i="20"/>
  <c r="Q467" i="20"/>
  <c r="P404" i="20"/>
  <c r="P1264" i="20"/>
  <c r="P378" i="20"/>
  <c r="P376" i="20"/>
  <c r="Q1232" i="20"/>
  <c r="P453" i="20"/>
  <c r="P1181" i="20"/>
  <c r="P1210" i="20"/>
  <c r="N422" i="20"/>
  <c r="O409" i="20"/>
  <c r="Q1261" i="20"/>
  <c r="Q1195" i="20"/>
  <c r="P1220" i="20"/>
  <c r="O1225" i="20"/>
  <c r="M1240" i="20"/>
  <c r="Q434" i="20"/>
  <c r="N395" i="20"/>
  <c r="O383" i="20"/>
  <c r="Q1226" i="20"/>
  <c r="N1210" i="20"/>
  <c r="Q377" i="20"/>
  <c r="N1189" i="20"/>
  <c r="M1245" i="20"/>
  <c r="O1183" i="20"/>
  <c r="O454" i="20"/>
  <c r="O445" i="20"/>
  <c r="O422" i="20"/>
  <c r="O1264" i="20"/>
  <c r="O470" i="20"/>
  <c r="N1183" i="20"/>
  <c r="N1243" i="20"/>
  <c r="Q1218" i="20"/>
  <c r="O406" i="20"/>
  <c r="O455" i="20"/>
  <c r="P421" i="20"/>
  <c r="O436" i="20"/>
  <c r="N1170" i="20"/>
  <c r="N1193" i="20"/>
  <c r="O477" i="20"/>
  <c r="M398" i="20"/>
  <c r="P1185" i="20"/>
  <c r="M473" i="20"/>
  <c r="M400" i="20"/>
  <c r="N407" i="20"/>
  <c r="Q429" i="20"/>
  <c r="N1188" i="20"/>
  <c r="Q462" i="20"/>
  <c r="Q1199" i="20"/>
  <c r="P449" i="20"/>
  <c r="M1226" i="20"/>
  <c r="O463" i="20"/>
  <c r="N403" i="20"/>
  <c r="O1221" i="20"/>
  <c r="M1203" i="20"/>
  <c r="N1229" i="20"/>
  <c r="Q1181" i="20"/>
  <c r="Q1268" i="20"/>
  <c r="O379" i="20"/>
  <c r="O396" i="20"/>
  <c r="P1193" i="20"/>
  <c r="M1192" i="20"/>
  <c r="N1271" i="20"/>
  <c r="N1270" i="20"/>
  <c r="N450" i="20"/>
  <c r="P451" i="20"/>
  <c r="M1229" i="20"/>
  <c r="P471" i="20"/>
  <c r="O1243" i="20"/>
  <c r="Q1173" i="20"/>
  <c r="N441" i="20"/>
  <c r="P1197" i="20"/>
  <c r="O442" i="20"/>
  <c r="N1213" i="20"/>
  <c r="N379" i="20"/>
  <c r="M1253" i="20"/>
  <c r="M462" i="20"/>
  <c r="M383" i="20"/>
  <c r="P395" i="20"/>
  <c r="M395" i="20"/>
  <c r="M457" i="20"/>
  <c r="P419" i="20"/>
  <c r="N456" i="20"/>
  <c r="P1259" i="20"/>
  <c r="O1227" i="20"/>
  <c r="O387" i="20"/>
  <c r="Q421" i="20"/>
  <c r="P1237" i="20"/>
  <c r="P1268" i="20"/>
  <c r="N418" i="20"/>
  <c r="N432" i="20"/>
  <c r="N1192" i="20"/>
  <c r="Q1266" i="20"/>
  <c r="O399" i="20"/>
  <c r="Q1193" i="20"/>
  <c r="N415" i="20"/>
  <c r="Q1220" i="20"/>
  <c r="P1212" i="20"/>
  <c r="M399" i="20"/>
  <c r="M413" i="20"/>
  <c r="M1208" i="20"/>
  <c r="Q384" i="20"/>
  <c r="P1216" i="20"/>
  <c r="O444" i="20"/>
  <c r="M450" i="20"/>
  <c r="O1231" i="20"/>
  <c r="O1272" i="20"/>
  <c r="O390" i="20"/>
  <c r="O1175" i="20"/>
  <c r="O461" i="20"/>
  <c r="Q409" i="20"/>
  <c r="P1257" i="20"/>
  <c r="Q416" i="20"/>
  <c r="N390" i="20"/>
  <c r="P380" i="20"/>
  <c r="N442" i="20"/>
  <c r="Q1194" i="20"/>
  <c r="P427" i="20"/>
  <c r="N455" i="20"/>
  <c r="M1262" i="20"/>
  <c r="M1198" i="20"/>
  <c r="Q1206" i="20"/>
  <c r="O424" i="20"/>
  <c r="N438" i="20"/>
  <c r="M467" i="20"/>
  <c r="N1225" i="20"/>
  <c r="M1186" i="20"/>
  <c r="Q1178" i="20"/>
  <c r="P402" i="20"/>
  <c r="N454" i="20"/>
  <c r="M449" i="20"/>
  <c r="N423" i="20"/>
  <c r="N1211" i="20"/>
  <c r="Q1238" i="20"/>
  <c r="N464" i="20"/>
  <c r="M453" i="20"/>
  <c r="N1230" i="20"/>
  <c r="O453" i="20"/>
  <c r="M1243" i="20"/>
  <c r="M1174" i="20"/>
  <c r="O1236" i="20"/>
  <c r="O1224" i="20"/>
  <c r="N1233" i="20"/>
  <c r="O416" i="20"/>
  <c r="Q1170" i="20"/>
  <c r="Q426" i="20"/>
  <c r="Q1192" i="20"/>
  <c r="M388" i="20"/>
  <c r="O441" i="20"/>
  <c r="P1199" i="20"/>
  <c r="N1224" i="20"/>
  <c r="P383" i="20"/>
  <c r="M428" i="20"/>
  <c r="O385" i="20"/>
  <c r="Q475" i="20"/>
  <c r="P1249" i="20"/>
  <c r="M1172" i="20"/>
  <c r="P456" i="20"/>
  <c r="M411" i="20"/>
  <c r="Q464" i="20"/>
  <c r="O439" i="20"/>
  <c r="O1191" i="20"/>
  <c r="M393" i="20"/>
  <c r="P425" i="20"/>
  <c r="M479" i="20"/>
  <c r="Q438" i="20"/>
  <c r="N447" i="20"/>
  <c r="Q1223" i="20"/>
  <c r="N402" i="20"/>
  <c r="N448" i="20"/>
  <c r="O1222" i="20"/>
  <c r="N1244" i="20"/>
  <c r="Q1258" i="20"/>
  <c r="M1187" i="20"/>
  <c r="Q381" i="20"/>
  <c r="O417" i="20"/>
  <c r="O1194" i="20"/>
  <c r="O1178" i="20"/>
  <c r="Q394" i="20"/>
  <c r="M1239" i="20"/>
  <c r="O1173" i="20"/>
  <c r="N417" i="20"/>
  <c r="O447" i="20"/>
  <c r="N1240" i="20"/>
  <c r="N1221" i="20"/>
  <c r="P1269" i="20"/>
  <c r="O432" i="20"/>
  <c r="O1266" i="20"/>
  <c r="O1229" i="20"/>
  <c r="M425" i="20"/>
  <c r="P473" i="20"/>
  <c r="Q417" i="20"/>
  <c r="P407" i="20"/>
  <c r="M1170" i="20"/>
  <c r="P385" i="20"/>
  <c r="P442" i="20"/>
  <c r="M1193" i="20"/>
  <c r="P443" i="20"/>
  <c r="N1215" i="20"/>
  <c r="N1238" i="20"/>
  <c r="O469" i="20"/>
  <c r="O405" i="20"/>
  <c r="P1170" i="20"/>
  <c r="N1200" i="20"/>
  <c r="N1223" i="20"/>
  <c r="N409" i="20"/>
  <c r="N1259" i="20"/>
  <c r="N386" i="20"/>
  <c r="Q424" i="20"/>
  <c r="M379" i="20"/>
  <c r="Q1179" i="20"/>
  <c r="M446" i="20"/>
  <c r="Q400" i="20"/>
  <c r="P1235" i="20"/>
  <c r="P474" i="20"/>
  <c r="O465" i="20"/>
  <c r="M444" i="20"/>
  <c r="Q399" i="20"/>
  <c r="N1184" i="20"/>
  <c r="M424" i="20"/>
  <c r="Q1224" i="20"/>
  <c r="O1204" i="20"/>
  <c r="N398" i="20"/>
  <c r="O1258" i="20"/>
  <c r="P413" i="20"/>
  <c r="Q1209" i="20"/>
  <c r="N399" i="20"/>
  <c r="N1179" i="20"/>
  <c r="N392" i="20"/>
  <c r="P448" i="20"/>
  <c r="N385" i="20"/>
  <c r="N1187" i="20"/>
  <c r="P452" i="20"/>
  <c r="Q1186" i="20"/>
  <c r="P1214" i="20"/>
  <c r="O1234" i="20"/>
  <c r="N380" i="20"/>
  <c r="O458" i="20"/>
  <c r="N1201" i="20"/>
  <c r="Q396" i="20"/>
  <c r="O1192" i="20"/>
  <c r="M1272" i="20"/>
  <c r="N1232" i="20"/>
  <c r="P377" i="20"/>
  <c r="P466" i="20"/>
  <c r="O384" i="20"/>
  <c r="M1230" i="20"/>
  <c r="O1230" i="20"/>
  <c r="M1214" i="20"/>
  <c r="Q1197" i="20"/>
  <c r="Q1249" i="20"/>
  <c r="M464" i="20"/>
  <c r="Q408" i="20"/>
  <c r="N469" i="20"/>
  <c r="M408" i="20"/>
  <c r="P435" i="20"/>
  <c r="Q1262" i="20"/>
  <c r="P392" i="20"/>
  <c r="Q1246" i="20"/>
  <c r="Q1174" i="20"/>
  <c r="M1266" i="20"/>
  <c r="P1187" i="20"/>
  <c r="P1198" i="20"/>
  <c r="P1260" i="20"/>
  <c r="Q1242" i="20"/>
  <c r="Q1251" i="20"/>
  <c r="P389" i="20"/>
  <c r="P434" i="20"/>
  <c r="N1219" i="20"/>
  <c r="Q1270" i="20"/>
  <c r="N1171" i="20"/>
  <c r="Q422" i="20"/>
  <c r="O450" i="20"/>
  <c r="P1213" i="20"/>
  <c r="Q1203" i="20"/>
  <c r="N1202" i="20"/>
  <c r="M1242" i="20"/>
  <c r="P420" i="20"/>
  <c r="M417" i="20"/>
  <c r="M377" i="20"/>
  <c r="M465" i="20"/>
  <c r="O1267" i="20"/>
  <c r="M1228" i="20"/>
  <c r="N383" i="20"/>
  <c r="Q1237" i="20"/>
  <c r="N1256" i="20"/>
  <c r="Q1191" i="20"/>
  <c r="M421" i="20"/>
  <c r="N1173" i="20"/>
  <c r="P1208" i="20"/>
  <c r="O1242" i="20"/>
  <c r="O1217" i="20"/>
  <c r="Q392" i="20"/>
  <c r="M1201" i="20"/>
  <c r="M1185" i="20"/>
  <c r="Q376" i="20"/>
  <c r="M1256" i="20"/>
  <c r="O408" i="20"/>
  <c r="Q1205" i="20"/>
  <c r="N439" i="20"/>
  <c r="N434" i="20"/>
  <c r="Q397" i="20"/>
  <c r="O476" i="20"/>
  <c r="Q1235" i="20"/>
  <c r="M454" i="20"/>
  <c r="O1256" i="20"/>
  <c r="M1181" i="20"/>
  <c r="M466" i="20"/>
  <c r="N461" i="20"/>
  <c r="P1221" i="20"/>
  <c r="O394" i="20"/>
  <c r="O407" i="20"/>
  <c r="Q1196" i="20"/>
  <c r="N1249" i="20"/>
  <c r="Q406" i="20"/>
  <c r="P1273" i="20"/>
  <c r="Q477" i="20"/>
  <c r="P1256" i="20"/>
  <c r="Q427" i="20"/>
  <c r="M1217" i="20"/>
  <c r="P1241" i="20"/>
  <c r="M407" i="20"/>
  <c r="M435" i="20"/>
  <c r="P1255" i="20"/>
  <c r="N1235" i="20"/>
  <c r="M390" i="20"/>
  <c r="N420" i="20"/>
  <c r="Q386" i="20"/>
  <c r="P1261" i="20"/>
  <c r="O1232" i="20"/>
  <c r="Q1231" i="20"/>
  <c r="N1186" i="20"/>
  <c r="N462" i="20"/>
  <c r="N429" i="20"/>
  <c r="P1201" i="20"/>
  <c r="P477" i="20"/>
  <c r="P1182" i="20"/>
  <c r="Q461" i="20"/>
  <c r="N1176" i="20"/>
  <c r="M1173" i="20"/>
  <c r="O376" i="20"/>
  <c r="Q1271" i="20"/>
  <c r="O1238" i="20"/>
  <c r="O1257" i="20"/>
  <c r="Q433" i="20"/>
  <c r="N1257" i="20"/>
  <c r="O1237" i="20"/>
  <c r="O1201" i="20"/>
  <c r="P476" i="20"/>
  <c r="O1226" i="20"/>
  <c r="N426" i="20"/>
  <c r="N474" i="20"/>
  <c r="M397" i="20"/>
  <c r="O1260" i="20"/>
  <c r="M1235" i="20"/>
  <c r="Q474" i="20"/>
  <c r="O1179" i="20"/>
  <c r="N1250" i="20"/>
  <c r="M1257" i="20"/>
  <c r="M476" i="20"/>
  <c r="Q453" i="20"/>
  <c r="N1266" i="20"/>
  <c r="N1212" i="20"/>
  <c r="P408" i="20"/>
  <c r="P455" i="20"/>
  <c r="M469" i="20"/>
  <c r="M1232" i="20"/>
  <c r="M1179" i="20"/>
  <c r="Q458" i="20"/>
  <c r="O393" i="20"/>
  <c r="O403" i="20"/>
  <c r="P1266" i="20"/>
  <c r="P440" i="20"/>
  <c r="O1220" i="20"/>
  <c r="N1265" i="20"/>
  <c r="N400" i="20"/>
  <c r="N391" i="20"/>
  <c r="Q1265" i="20"/>
  <c r="P388" i="20"/>
  <c r="P397" i="20"/>
  <c r="Q454" i="20"/>
  <c r="O456" i="20"/>
  <c r="Q441" i="20"/>
  <c r="Q478" i="20"/>
  <c r="P1211" i="20"/>
  <c r="N444" i="20"/>
  <c r="N467" i="20"/>
  <c r="M1251" i="20"/>
  <c r="O1255" i="20"/>
  <c r="Q1228" i="20"/>
  <c r="O1197" i="20"/>
  <c r="P393" i="20"/>
  <c r="M396" i="20"/>
  <c r="M1270" i="20"/>
  <c r="M1258" i="20"/>
  <c r="N446" i="20"/>
  <c r="P1233" i="20"/>
  <c r="Q1250" i="20"/>
  <c r="P381" i="20"/>
  <c r="N397" i="20"/>
  <c r="N437" i="20"/>
  <c r="N1175" i="20"/>
  <c r="Q1188" i="20"/>
  <c r="N382" i="20"/>
  <c r="O381" i="20"/>
  <c r="P446" i="20"/>
  <c r="N1227" i="20"/>
  <c r="P398" i="20"/>
  <c r="M477" i="20"/>
  <c r="Q410" i="20"/>
  <c r="P461" i="20"/>
  <c r="O1193" i="20"/>
  <c r="P1188" i="20"/>
  <c r="N1181" i="20"/>
  <c r="N1246" i="20"/>
  <c r="M1260" i="20"/>
  <c r="M1184" i="20"/>
  <c r="O1273" i="20"/>
  <c r="Q1198" i="20"/>
  <c r="O1203" i="20"/>
  <c r="Q1214" i="20"/>
  <c r="Y1888" i="20" l="1"/>
  <c r="Y897" i="20"/>
  <c r="Y353" i="20"/>
  <c r="Y467" i="20"/>
  <c r="Y1695" i="20"/>
  <c r="Y67" i="20"/>
  <c r="Y1683" i="20"/>
  <c r="Y981" i="20"/>
  <c r="Y1625" i="20"/>
  <c r="Y333" i="20"/>
  <c r="Y852" i="20"/>
  <c r="Y243" i="20"/>
  <c r="Y288" i="20"/>
  <c r="Y313" i="20"/>
  <c r="Y1654" i="20"/>
  <c r="Y1804" i="20"/>
  <c r="Y62" i="20"/>
  <c r="Y1726" i="20"/>
  <c r="Y123" i="20"/>
  <c r="Y1732" i="20"/>
  <c r="Y1734" i="20"/>
  <c r="Y173" i="20"/>
  <c r="Y1926" i="20"/>
  <c r="Y13" i="20"/>
  <c r="Y1754" i="20"/>
  <c r="Y1657" i="20"/>
  <c r="Y1116" i="20"/>
  <c r="Y1912" i="20"/>
  <c r="Y1757" i="20"/>
  <c r="Y725" i="20"/>
  <c r="Y1767" i="20"/>
  <c r="Y93" i="20"/>
  <c r="Y1618" i="20"/>
  <c r="Y1859" i="20"/>
  <c r="Y951" i="20"/>
  <c r="Y232" i="20"/>
  <c r="Y1715" i="20"/>
  <c r="Y1047" i="20"/>
  <c r="Y1627" i="20"/>
  <c r="Y444" i="20"/>
  <c r="Y127" i="20"/>
  <c r="Y901" i="20"/>
  <c r="Y1613" i="20"/>
  <c r="Y1662" i="20"/>
  <c r="Y756" i="20"/>
  <c r="Y1900" i="20"/>
  <c r="Y912" i="20"/>
  <c r="Y1675" i="20"/>
  <c r="Y1691" i="20"/>
  <c r="Y1768" i="20"/>
  <c r="Y1678" i="20"/>
  <c r="Y1594" i="20"/>
  <c r="Y922" i="20"/>
  <c r="Y57" i="20"/>
  <c r="Y158" i="20"/>
  <c r="Y1653" i="20"/>
  <c r="Y117" i="20"/>
  <c r="Y107" i="20"/>
  <c r="Y1637" i="20"/>
  <c r="Y1827" i="20"/>
  <c r="Y1866" i="20"/>
  <c r="Y1879" i="20"/>
  <c r="Y962" i="20"/>
  <c r="Y1877" i="20"/>
  <c r="Y1748" i="20"/>
  <c r="Y1942" i="20"/>
  <c r="Y1629" i="20"/>
  <c r="Y1895" i="20"/>
  <c r="Y1803" i="20"/>
  <c r="Y1610" i="20"/>
  <c r="Y842" i="20"/>
  <c r="Y1698" i="20"/>
  <c r="Y1953" i="20"/>
  <c r="Y881" i="20"/>
  <c r="Y1857" i="20"/>
  <c r="Y1669" i="20"/>
  <c r="Y1845" i="20"/>
  <c r="Y886" i="20"/>
  <c r="Y932" i="20"/>
  <c r="Y323" i="20"/>
  <c r="Y1951" i="20"/>
  <c r="Y357" i="20"/>
  <c r="Y47" i="20"/>
  <c r="Y1718" i="20"/>
  <c r="Y1036" i="20"/>
  <c r="Y1973" i="20"/>
  <c r="Y1713" i="20"/>
  <c r="Y1872" i="20"/>
  <c r="Y1601" i="20"/>
  <c r="Y921" i="20"/>
  <c r="Y1667" i="20"/>
  <c r="Y287" i="20"/>
  <c r="Y138" i="20"/>
  <c r="Y1707" i="20"/>
  <c r="Y1710" i="20"/>
  <c r="Y896" i="20"/>
  <c r="Y1783" i="20"/>
  <c r="Y1919" i="20"/>
  <c r="Y1873" i="20"/>
  <c r="Y1954" i="20"/>
  <c r="Y297" i="20"/>
  <c r="Y1690" i="20"/>
  <c r="Y1935" i="20"/>
  <c r="Y982" i="20"/>
  <c r="Y996" i="20"/>
  <c r="Y1684" i="20"/>
  <c r="Y1723" i="20"/>
  <c r="Y148" i="20"/>
  <c r="Y1668" i="20"/>
  <c r="Y1626" i="20"/>
  <c r="Y152" i="20"/>
  <c r="Y1681" i="20"/>
  <c r="Y1798" i="20"/>
  <c r="Y1746" i="20"/>
  <c r="Y103" i="20"/>
  <c r="Y1751" i="20"/>
  <c r="Y1881" i="20"/>
  <c r="Y268" i="20"/>
  <c r="Y907" i="20"/>
  <c r="Y1883" i="20"/>
  <c r="Y1122" i="20"/>
  <c r="Y168" i="20"/>
  <c r="Y282" i="20"/>
  <c r="Y77" i="20"/>
  <c r="Y1775" i="20"/>
  <c r="Y1745" i="20"/>
  <c r="Y1605" i="20"/>
  <c r="Y1686" i="20"/>
  <c r="Y1878" i="20"/>
  <c r="Y856" i="20"/>
  <c r="Y83" i="20"/>
  <c r="Y1920" i="20"/>
  <c r="Y1876" i="20"/>
  <c r="Y906" i="20"/>
  <c r="Y1899" i="20"/>
  <c r="Y866" i="20"/>
  <c r="Y1161" i="20"/>
  <c r="Y1628" i="20"/>
  <c r="Y1704" i="20"/>
  <c r="Y1111" i="20"/>
  <c r="Y1599" i="20"/>
  <c r="Y1166" i="20"/>
  <c r="Y343" i="20"/>
  <c r="Y1716" i="20"/>
  <c r="Y1867" i="20"/>
  <c r="Y891" i="20"/>
  <c r="Y1852" i="20"/>
  <c r="Y1800" i="20"/>
  <c r="Y298" i="20"/>
  <c r="Y1101" i="20"/>
  <c r="Y867" i="20"/>
  <c r="Y1820" i="20"/>
  <c r="Y1644" i="20"/>
  <c r="Y1649" i="20"/>
  <c r="Y1680" i="20"/>
  <c r="Y843" i="20"/>
  <c r="Y877" i="20"/>
  <c r="Y1826" i="20"/>
  <c r="Y252" i="20"/>
  <c r="Y1750" i="20"/>
  <c r="Y1847" i="20"/>
  <c r="Y1925" i="20"/>
  <c r="Y328" i="20"/>
  <c r="Y348" i="20"/>
  <c r="Y1817" i="20"/>
  <c r="Y363" i="20"/>
  <c r="Y1176" i="20"/>
  <c r="Y1977" i="20"/>
  <c r="Y1645" i="20"/>
  <c r="Y474" i="20"/>
  <c r="Y182" i="20"/>
  <c r="Y128" i="20"/>
  <c r="Y1092" i="20"/>
  <c r="Y1766" i="20"/>
  <c r="Y1731" i="20"/>
  <c r="Y426" i="20"/>
  <c r="Y1235" i="20"/>
  <c r="Y29" i="20"/>
  <c r="Y1677" i="20"/>
  <c r="Y1026" i="20"/>
  <c r="Y362" i="20"/>
  <c r="Y887" i="20"/>
  <c r="Y946" i="20"/>
  <c r="Y1714" i="20"/>
  <c r="Y911" i="20"/>
  <c r="Y1703" i="20"/>
  <c r="Y1839" i="20"/>
  <c r="Y1607" i="20"/>
  <c r="Y1057" i="20"/>
  <c r="Y188" i="20"/>
  <c r="Y1617" i="20"/>
  <c r="Y53" i="20"/>
  <c r="Y1874" i="20"/>
  <c r="Y857" i="20"/>
  <c r="Y846" i="20"/>
  <c r="Y73" i="20"/>
  <c r="Y1638" i="20"/>
  <c r="Y332" i="20"/>
  <c r="Y1246" i="20"/>
  <c r="Y4" i="20"/>
  <c r="Y382" i="20"/>
  <c r="Y1674" i="20"/>
  <c r="Y1706" i="20"/>
  <c r="Y58" i="20"/>
  <c r="Y163" i="20"/>
  <c r="Y1856" i="20"/>
  <c r="Y1801" i="20"/>
  <c r="Y1598" i="20"/>
  <c r="Y142" i="20"/>
  <c r="Y1795" i="20"/>
  <c r="Y1608" i="20"/>
  <c r="Y88" i="20"/>
  <c r="Y97" i="20"/>
  <c r="Y1727" i="20"/>
  <c r="Y1702" i="20"/>
  <c r="Y1641" i="20"/>
  <c r="Y882" i="20"/>
  <c r="Y1631" i="20"/>
  <c r="Y1602" i="20"/>
  <c r="Y1639" i="20"/>
  <c r="Y1762" i="20"/>
  <c r="Y1137" i="20"/>
  <c r="Y1651" i="20"/>
  <c r="Y1737" i="20"/>
  <c r="Y338" i="20"/>
  <c r="Y1623" i="20"/>
  <c r="Y876" i="20"/>
  <c r="Y1712" i="20"/>
  <c r="Y1941" i="20"/>
  <c r="Y1773" i="20"/>
  <c r="Y1788" i="20"/>
  <c r="Y1597" i="20"/>
  <c r="Y1793" i="20"/>
  <c r="Y434" i="20"/>
  <c r="Y1646" i="20"/>
  <c r="Y1849" i="20"/>
  <c r="Y1031" i="20"/>
  <c r="Y1112" i="20"/>
  <c r="Y851" i="20"/>
  <c r="Y1097" i="20"/>
  <c r="Y1928" i="20"/>
  <c r="Y1051" i="20"/>
  <c r="Y1932" i="20"/>
  <c r="Y1635" i="20"/>
  <c r="Y1175" i="20"/>
  <c r="Y312" i="20"/>
  <c r="Y1643" i="20"/>
  <c r="Y1630" i="20"/>
  <c r="Y961" i="20"/>
  <c r="Y862" i="20"/>
  <c r="Y439" i="20"/>
  <c r="Y143" i="20"/>
  <c r="Y257" i="20"/>
  <c r="Y1870" i="20"/>
  <c r="Y242" i="20"/>
  <c r="Y437" i="20"/>
  <c r="Y1671" i="20"/>
  <c r="Y10" i="20"/>
  <c r="Y1781" i="20"/>
  <c r="Y1611" i="20"/>
  <c r="Y991" i="20"/>
  <c r="Y133" i="20"/>
  <c r="Y222" i="20"/>
  <c r="Y367" i="20"/>
  <c r="Y397" i="20"/>
  <c r="Y1676" i="20"/>
  <c r="Y992" i="20"/>
  <c r="Y1027" i="20"/>
  <c r="Y1181" i="20"/>
  <c r="Y1136" i="20"/>
  <c r="Y1871" i="20"/>
  <c r="Y1193" i="20"/>
  <c r="Y1701" i="20"/>
  <c r="Y1742" i="20"/>
  <c r="Y429" i="20"/>
  <c r="Y1267" i="20"/>
  <c r="Y1170" i="20"/>
  <c r="Y1885" i="20"/>
  <c r="Y227" i="20"/>
  <c r="Y1945" i="20"/>
  <c r="Y302" i="20"/>
  <c r="Y147" i="20"/>
  <c r="Y1970" i="20"/>
  <c r="Y655" i="20"/>
  <c r="Y1823" i="20"/>
  <c r="Y1173" i="20"/>
  <c r="Y1787" i="20"/>
  <c r="Y1924" i="20"/>
  <c r="Y207" i="20"/>
  <c r="Y462" i="20"/>
  <c r="Y36" i="20"/>
  <c r="Y1685" i="20"/>
  <c r="Y976" i="20"/>
  <c r="Y1853" i="20"/>
  <c r="Y1929" i="20"/>
  <c r="Y1799" i="20"/>
  <c r="Y1722" i="20"/>
  <c r="Y1770" i="20"/>
  <c r="Y1256" i="20"/>
  <c r="Y1792" i="20"/>
  <c r="Y273" i="20"/>
  <c r="Y1969" i="20"/>
  <c r="Y933" i="20"/>
  <c r="Y85" i="20"/>
  <c r="Y291" i="20"/>
  <c r="Y345" i="20"/>
  <c r="Y1955" i="20"/>
  <c r="Y1243" i="20"/>
  <c r="Y1652" i="20"/>
  <c r="Y1619" i="20"/>
  <c r="Y1759" i="20"/>
  <c r="Y1061" i="20"/>
  <c r="Y1077" i="20"/>
  <c r="Y137" i="20"/>
  <c r="Y1647" i="20"/>
  <c r="Y1869" i="20"/>
  <c r="Y1661" i="20"/>
  <c r="Y118" i="20"/>
  <c r="Y1121" i="20"/>
  <c r="Y941" i="20"/>
  <c r="Y902" i="20"/>
  <c r="Y1616" i="20"/>
  <c r="Y1633" i="20"/>
  <c r="Y1771" i="20"/>
  <c r="Y1700" i="20"/>
  <c r="Y1836" i="20"/>
  <c r="Y113" i="20"/>
  <c r="Y1749" i="20"/>
  <c r="Y1824" i="20"/>
  <c r="Y322" i="20"/>
  <c r="Y1828" i="20"/>
  <c r="Y383" i="20"/>
  <c r="Y1670" i="20"/>
  <c r="Y1813" i="20"/>
  <c r="Y927" i="20"/>
  <c r="Y1897" i="20"/>
  <c r="Y1936" i="20"/>
  <c r="Y1183" i="20"/>
  <c r="Y172" i="20"/>
  <c r="Y1480" i="20"/>
  <c r="Y1001" i="20"/>
  <c r="Y1254" i="20"/>
  <c r="Y1865" i="20"/>
  <c r="Y679" i="20"/>
  <c r="Y609" i="20"/>
  <c r="Y446" i="20"/>
  <c r="Y1640" i="20"/>
  <c r="Y752" i="20"/>
  <c r="Y30" i="20"/>
  <c r="Y263" i="20"/>
  <c r="Y327" i="20"/>
  <c r="Y748" i="20"/>
  <c r="Y122" i="20"/>
  <c r="Y694" i="20"/>
  <c r="Y96" i="20"/>
  <c r="Y1471" i="20"/>
  <c r="Y412" i="20"/>
  <c r="Y1994" i="20"/>
  <c r="Y1086" i="20"/>
  <c r="Y645" i="20"/>
  <c r="Y1809" i="20"/>
  <c r="Y1142" i="20"/>
  <c r="Y558" i="20"/>
  <c r="Y194" i="20"/>
  <c r="Y84" i="20"/>
  <c r="Y691" i="20"/>
  <c r="Y1239" i="20"/>
  <c r="Y1830" i="20"/>
  <c r="Y1840" i="20"/>
  <c r="Y1682" i="20"/>
  <c r="Y193" i="20"/>
  <c r="Y1614" i="20"/>
  <c r="Y1736" i="20"/>
  <c r="Y217" i="20"/>
  <c r="Y87" i="20"/>
  <c r="Y1157" i="20"/>
  <c r="Y1721" i="20"/>
  <c r="Y1011" i="20"/>
  <c r="Y1811" i="20"/>
  <c r="Y1843" i="20"/>
  <c r="Y1609" i="20"/>
  <c r="Y1595" i="20"/>
  <c r="Y871" i="20"/>
  <c r="Y1102" i="20"/>
  <c r="Y1915" i="20"/>
  <c r="Y1831" i="20"/>
  <c r="Y1838" i="20"/>
  <c r="Y1205" i="20"/>
  <c r="Y1753" i="20"/>
  <c r="Y775" i="20"/>
  <c r="Y1933" i="20"/>
  <c r="Y228" i="20"/>
  <c r="Y391" i="20"/>
  <c r="Y1948" i="20"/>
  <c r="Y51" i="20"/>
  <c r="Y1822" i="20"/>
  <c r="Y476" i="20"/>
  <c r="Y1186" i="20"/>
  <c r="Y1913" i="20"/>
  <c r="Y32" i="20"/>
  <c r="Y1076" i="20"/>
  <c r="Y1202" i="20"/>
  <c r="Y627" i="20"/>
  <c r="Y1755" i="20"/>
  <c r="Y1765" i="20"/>
  <c r="Y1963" i="20"/>
  <c r="Y262" i="20"/>
  <c r="Y636" i="20"/>
  <c r="Y1632" i="20"/>
  <c r="Y1067" i="20"/>
  <c r="Y1663" i="20"/>
  <c r="Y1666" i="20"/>
  <c r="Y1846" i="20"/>
  <c r="Y1087" i="20"/>
  <c r="Y1720" i="20"/>
  <c r="Y1251" i="20"/>
  <c r="Y594" i="20"/>
  <c r="Y44" i="20"/>
  <c r="Y52" i="20"/>
  <c r="Y463" i="20"/>
  <c r="Y1968" i="20"/>
  <c r="Y197" i="20"/>
  <c r="Y1132" i="20"/>
  <c r="Y1218" i="20"/>
  <c r="Y1740" i="20"/>
  <c r="Y1910" i="20"/>
  <c r="Y427" i="20"/>
  <c r="Y102" i="20"/>
  <c r="Y977" i="20"/>
  <c r="Y238" i="20"/>
  <c r="Y278" i="20"/>
  <c r="Y666" i="20"/>
  <c r="Y1976" i="20"/>
  <c r="Y1214" i="20"/>
  <c r="Y1730" i="20"/>
  <c r="Y37" i="20"/>
  <c r="Y1705" i="20"/>
  <c r="Y937" i="20"/>
  <c r="Y162" i="20"/>
  <c r="Y1687" i="20"/>
  <c r="Y203" i="20"/>
  <c r="Y1938" i="20"/>
  <c r="Y1806" i="20"/>
  <c r="Y956" i="20"/>
  <c r="Y1699" i="20"/>
  <c r="Y1679" i="20"/>
  <c r="Y157" i="20"/>
  <c r="Y1862" i="20"/>
  <c r="Y1854" i="20"/>
  <c r="Y1835" i="20"/>
  <c r="Y1185" i="20"/>
  <c r="Y1224" i="20"/>
  <c r="Y1189" i="20"/>
  <c r="Y633" i="20"/>
  <c r="Y1693" i="20"/>
  <c r="Y1694" i="20"/>
  <c r="Y1978" i="20"/>
  <c r="Y1612" i="20"/>
  <c r="Y931" i="20"/>
  <c r="Y1761" i="20"/>
  <c r="Y1210" i="20"/>
  <c r="Y1844" i="20"/>
  <c r="Y1794" i="20"/>
  <c r="Y1709" i="20"/>
  <c r="Y1850" i="20"/>
  <c r="Y660" i="20"/>
  <c r="Y1650" i="20"/>
  <c r="Y1995" i="20"/>
  <c r="Y1037" i="20"/>
  <c r="Y208" i="20"/>
  <c r="Y1021" i="20"/>
  <c r="Y395" i="20"/>
  <c r="Y72" i="20"/>
  <c r="Y1947" i="20"/>
  <c r="Y1908" i="20"/>
  <c r="Y19" i="20"/>
  <c r="Y1890" i="20"/>
  <c r="Y608" i="20"/>
  <c r="Y1066" i="20"/>
  <c r="Y1171" i="20"/>
  <c r="Y1615" i="20"/>
  <c r="Y1927" i="20"/>
  <c r="Y248" i="20"/>
  <c r="Y1032" i="20"/>
  <c r="Y1258" i="20"/>
  <c r="Y1212" i="20"/>
  <c r="Y1219" i="20"/>
  <c r="Y1697" i="20"/>
  <c r="Y814" i="20"/>
  <c r="Y1006" i="20"/>
  <c r="Y1752" i="20"/>
  <c r="Y967" i="20"/>
  <c r="Y892" i="20"/>
  <c r="Y1642" i="20"/>
  <c r="Y1943" i="20"/>
  <c r="Y1774" i="20"/>
  <c r="Y1072" i="20"/>
  <c r="Y1081" i="20"/>
  <c r="Y1724" i="20"/>
  <c r="Y1711" i="20"/>
  <c r="Y48" i="20"/>
  <c r="Y78" i="20"/>
  <c r="Y815" i="20"/>
  <c r="Y1196" i="20"/>
  <c r="Y167" i="20"/>
  <c r="Y239" i="20"/>
  <c r="Y947" i="20"/>
  <c r="Y1889" i="20"/>
  <c r="Y16" i="20"/>
  <c r="Y1887" i="20"/>
  <c r="Y1621" i="20"/>
  <c r="Y68" i="20"/>
  <c r="Y966" i="20"/>
  <c r="Y971" i="20"/>
  <c r="Y957" i="20"/>
  <c r="Y33" i="20"/>
  <c r="Y1777" i="20"/>
  <c r="Y606" i="20"/>
  <c r="Y451" i="20"/>
  <c r="Y1863" i="20"/>
  <c r="Y1106" i="20"/>
  <c r="Y1433" i="20"/>
  <c r="Y1815" i="20"/>
  <c r="Y26" i="20"/>
  <c r="Y1791" i="20"/>
  <c r="Y1233" i="20"/>
  <c r="Y1819" i="20"/>
  <c r="Y21" i="20"/>
  <c r="Y1266" i="20"/>
  <c r="Y1818" i="20"/>
  <c r="Y12" i="20"/>
  <c r="Y1825" i="20"/>
  <c r="Y376" i="20"/>
  <c r="Y166" i="20"/>
  <c r="Y183" i="20"/>
  <c r="Y1131" i="20"/>
  <c r="Y1362" i="20"/>
  <c r="Y1042" i="20"/>
  <c r="Y1622" i="20"/>
  <c r="Y372" i="20"/>
  <c r="Y112" i="20"/>
  <c r="Y1692" i="20"/>
  <c r="Y1127" i="20"/>
  <c r="Y267" i="20"/>
  <c r="Y916" i="20"/>
  <c r="Y1017" i="20"/>
  <c r="Y1898" i="20"/>
  <c r="Y1744" i="20"/>
  <c r="Y1725" i="20"/>
  <c r="Y997" i="20"/>
  <c r="Y1228" i="20"/>
  <c r="Y1249" i="20"/>
  <c r="Y153" i="20"/>
  <c r="Y8" i="20"/>
  <c r="Y1656" i="20"/>
  <c r="Y1797" i="20"/>
  <c r="Y952" i="20"/>
  <c r="Y1600" i="20"/>
  <c r="Y1046" i="20"/>
  <c r="Y307" i="20"/>
  <c r="Y1624" i="20"/>
  <c r="Y237" i="20"/>
  <c r="Y1735" i="20"/>
  <c r="Y1891" i="20"/>
  <c r="Y1860" i="20"/>
  <c r="Y393" i="20"/>
  <c r="Y233" i="20"/>
  <c r="Y1789" i="20"/>
  <c r="Y683" i="20"/>
  <c r="Y404" i="20"/>
  <c r="Y1040" i="20"/>
  <c r="Y1903" i="20"/>
  <c r="Y629" i="20"/>
  <c r="Y1906" i="20"/>
  <c r="Y1162" i="20"/>
  <c r="Y1962" i="20"/>
  <c r="Y470" i="20"/>
  <c r="Y1778" i="20"/>
  <c r="Y1096" i="20"/>
  <c r="Y1961" i="20"/>
  <c r="Y472" i="20"/>
  <c r="Y1220" i="20"/>
  <c r="Y789" i="20"/>
  <c r="Y422" i="20"/>
  <c r="Y131" i="20"/>
  <c r="Y1257" i="20"/>
  <c r="Y1167" i="20"/>
  <c r="Y178" i="20"/>
  <c r="Y1851" i="20"/>
  <c r="Y202" i="20"/>
  <c r="Y813" i="20"/>
  <c r="Y1894" i="20"/>
  <c r="Y551" i="20"/>
  <c r="Y820" i="20"/>
  <c r="Y1858" i="20"/>
  <c r="Y421" i="20"/>
  <c r="Y751" i="20"/>
  <c r="Y1490" i="20"/>
  <c r="Y101" i="20"/>
  <c r="Y1198" i="20"/>
  <c r="Y1939" i="20"/>
  <c r="Y1156" i="20"/>
  <c r="Y1784" i="20"/>
  <c r="Y1634" i="20"/>
  <c r="Y1837" i="20"/>
  <c r="Y1810" i="20"/>
  <c r="Y1230" i="20"/>
  <c r="Y829" i="20"/>
  <c r="Y1719" i="20"/>
  <c r="Y1904" i="20"/>
  <c r="Y469" i="20"/>
  <c r="Y464" i="20"/>
  <c r="Y600" i="20"/>
  <c r="Y1892" i="20"/>
  <c r="Y213" i="20"/>
  <c r="Y1952" i="20"/>
  <c r="Y425" i="20"/>
  <c r="Y1921" i="20"/>
  <c r="Y1833" i="20"/>
  <c r="Y1812" i="20"/>
  <c r="Y1308" i="20"/>
  <c r="Y1901" i="20"/>
  <c r="Y1992" i="20"/>
  <c r="Y1763" i="20"/>
  <c r="Y337" i="20"/>
  <c r="Y293" i="20"/>
  <c r="Y1151" i="20"/>
  <c r="Y1648" i="20"/>
  <c r="Y1689" i="20"/>
  <c r="Y1980" i="20"/>
  <c r="Y1991" i="20"/>
  <c r="Y1211" i="20"/>
  <c r="Y1596" i="20"/>
  <c r="Y1816" i="20"/>
  <c r="Y1974" i="20"/>
  <c r="Y942" i="20"/>
  <c r="Y1696" i="20"/>
  <c r="Y1747" i="20"/>
  <c r="Y1934" i="20"/>
  <c r="Y1056" i="20"/>
  <c r="Y1672" i="20"/>
  <c r="Y1841" i="20"/>
  <c r="Y272" i="20"/>
  <c r="Y373" i="20"/>
  <c r="Y1355" i="20"/>
  <c r="Y914" i="20"/>
  <c r="Y705" i="20"/>
  <c r="Y821" i="20"/>
  <c r="Y1208" i="20"/>
  <c r="Y1636" i="20"/>
  <c r="Y749" i="20"/>
  <c r="Y63" i="20"/>
  <c r="Y1659" i="20"/>
  <c r="Y1950" i="20"/>
  <c r="Y1091" i="20"/>
  <c r="Y1012" i="20"/>
  <c r="Y1905" i="20"/>
  <c r="Y1855" i="20"/>
  <c r="Y1606" i="20"/>
  <c r="Y1769" i="20"/>
  <c r="Y1603" i="20"/>
  <c r="Y841" i="20"/>
  <c r="Y1790" i="20"/>
  <c r="Y303" i="20"/>
  <c r="Y1708" i="20"/>
  <c r="Y1785" i="20"/>
  <c r="Y1909" i="20"/>
  <c r="Y317" i="20"/>
  <c r="Y423" i="20"/>
  <c r="Y28" i="20"/>
  <c r="Y23" i="20"/>
  <c r="Y1956" i="20"/>
  <c r="Y1593" i="20"/>
  <c r="Y1821" i="20"/>
  <c r="Y1071" i="20"/>
  <c r="Y1834" i="20"/>
  <c r="Y1914" i="20"/>
  <c r="Y258" i="20"/>
  <c r="Y1796" i="20"/>
  <c r="Y1620" i="20"/>
  <c r="Y1107" i="20"/>
  <c r="Y292" i="20"/>
  <c r="Y1665" i="20"/>
  <c r="Y1964" i="20"/>
  <c r="Y454" i="20"/>
  <c r="Y108" i="20"/>
  <c r="Y1206" i="20"/>
  <c r="Y1780" i="20"/>
  <c r="Y872" i="20"/>
  <c r="Y1764" i="20"/>
  <c r="Y198" i="20"/>
  <c r="Y45" i="20"/>
  <c r="Y1782" i="20"/>
  <c r="Y414" i="20"/>
  <c r="Y861" i="20"/>
  <c r="Y253" i="20"/>
  <c r="Y308" i="20"/>
  <c r="Y1262" i="20"/>
  <c r="Y24" i="20"/>
  <c r="Y1743" i="20"/>
  <c r="Y1307" i="20"/>
  <c r="Y465" i="20"/>
  <c r="Y43" i="20"/>
  <c r="Y459" i="20"/>
  <c r="Y798" i="20"/>
  <c r="Y1241" i="20"/>
  <c r="Y15" i="20"/>
  <c r="Y1829" i="20"/>
  <c r="Y1814" i="20"/>
  <c r="Y400" i="20"/>
  <c r="Y1182" i="20"/>
  <c r="Y1117" i="20"/>
  <c r="Y473" i="20"/>
  <c r="Y1225" i="20"/>
  <c r="Y428" i="20"/>
  <c r="Y1931" i="20"/>
  <c r="Y218" i="20"/>
  <c r="Y438" i="20"/>
  <c r="Y1907" i="20"/>
  <c r="Y388" i="20"/>
  <c r="Y567" i="20"/>
  <c r="Y35" i="20"/>
  <c r="Y1805" i="20"/>
  <c r="Y1807" i="20"/>
  <c r="Y46" i="20"/>
  <c r="Y860" i="20"/>
  <c r="Y250" i="20"/>
  <c r="Y5" i="20"/>
  <c r="Y420" i="20"/>
  <c r="Y455" i="20"/>
  <c r="Y710" i="20"/>
  <c r="Y216" i="20"/>
  <c r="Y1159" i="20"/>
  <c r="Y972" i="20"/>
  <c r="Y1404" i="20"/>
  <c r="Y190" i="20"/>
  <c r="Y40" i="20"/>
  <c r="Y682" i="20"/>
  <c r="Y374" i="20"/>
  <c r="Y1268" i="20"/>
  <c r="Y1332" i="20"/>
  <c r="Y86" i="20"/>
  <c r="Y1990" i="20"/>
  <c r="Y1265" i="20"/>
  <c r="Y959" i="20"/>
  <c r="Y1232" i="20"/>
  <c r="Y719" i="20"/>
  <c r="Y586" i="20"/>
  <c r="Y794" i="20"/>
  <c r="Y1388" i="20"/>
  <c r="Y774" i="20"/>
  <c r="Y1234" i="20"/>
  <c r="Y1499" i="20"/>
  <c r="Y770" i="20"/>
  <c r="Y1261" i="20"/>
  <c r="Y824" i="20"/>
  <c r="Y265" i="20"/>
  <c r="Y831" i="20"/>
  <c r="Y1739" i="20"/>
  <c r="Y1201" i="20"/>
  <c r="Y442" i="20"/>
  <c r="Y1875" i="20"/>
  <c r="Y1197" i="20"/>
  <c r="Y1760" i="20"/>
  <c r="Y390" i="20"/>
  <c r="Y380" i="20"/>
  <c r="Y1923" i="20"/>
  <c r="Y247" i="20"/>
  <c r="Y461" i="20"/>
  <c r="Y825" i="20"/>
  <c r="Y1842" i="20"/>
  <c r="Y1741" i="20"/>
  <c r="Y1141" i="20"/>
  <c r="Y1227" i="20"/>
  <c r="Y1946" i="20"/>
  <c r="Y1808" i="20"/>
  <c r="Y1965" i="20"/>
  <c r="Y1802" i="20"/>
  <c r="Y1733" i="20"/>
  <c r="Y1660" i="20"/>
  <c r="Y1604" i="20"/>
  <c r="Y1178" i="20"/>
  <c r="Y628" i="20"/>
  <c r="Y534" i="20"/>
  <c r="Y624" i="20"/>
  <c r="Y987" i="20"/>
  <c r="Y765" i="20"/>
  <c r="Y1275" i="20"/>
  <c r="Y784" i="20"/>
  <c r="Y680" i="20"/>
  <c r="Y1493" i="20"/>
  <c r="Y1191" i="20"/>
  <c r="Y1387" i="20"/>
  <c r="Y714" i="20"/>
  <c r="Y766" i="20"/>
  <c r="Y879" i="20"/>
  <c r="Y805" i="20"/>
  <c r="Y1187" i="20"/>
  <c r="Y754" i="20"/>
  <c r="Y401" i="20"/>
  <c r="Y1204" i="20"/>
  <c r="Y1884" i="20"/>
  <c r="Y955" i="20"/>
  <c r="Y1236" i="20"/>
  <c r="Y385" i="20"/>
  <c r="Y392" i="20"/>
  <c r="Y1075" i="20"/>
  <c r="Y1253" i="20"/>
  <c r="Y225" i="20"/>
  <c r="Y34" i="20"/>
  <c r="Y132" i="20"/>
  <c r="Y1972" i="20"/>
  <c r="Y1886" i="20"/>
  <c r="Y830" i="20"/>
  <c r="Y1164" i="20"/>
  <c r="Y1385" i="20"/>
  <c r="Y358" i="20"/>
  <c r="Y1911" i="20"/>
  <c r="Y324" i="20"/>
  <c r="Y949" i="20"/>
  <c r="Y793" i="20"/>
  <c r="Y240" i="20"/>
  <c r="Y221" i="20"/>
  <c r="Y1250" i="20"/>
  <c r="Y1401" i="20"/>
  <c r="Y140" i="20"/>
  <c r="Y650" i="20"/>
  <c r="Y466" i="20"/>
  <c r="Y1055" i="20"/>
  <c r="Y1937" i="20"/>
  <c r="Y368" i="20"/>
  <c r="Y1179" i="20"/>
  <c r="Y378" i="20"/>
  <c r="Y1209" i="20"/>
  <c r="Y271" i="20"/>
  <c r="Y277" i="20"/>
  <c r="Y1902" i="20"/>
  <c r="Y1893" i="20"/>
  <c r="Y1664" i="20"/>
  <c r="Y1988" i="20"/>
  <c r="Y98" i="20"/>
  <c r="Y764" i="20"/>
  <c r="Y1222" i="20"/>
  <c r="Y399" i="20"/>
  <c r="Y22" i="20"/>
  <c r="Y1147" i="20"/>
  <c r="Y384" i="20"/>
  <c r="Y1776" i="20"/>
  <c r="Y836" i="20"/>
  <c r="Y808" i="20"/>
  <c r="Y917" i="20"/>
  <c r="Y1729" i="20"/>
  <c r="Y177" i="20"/>
  <c r="Y847" i="20"/>
  <c r="Y1779" i="20"/>
  <c r="Y1655" i="20"/>
  <c r="Y620" i="20"/>
  <c r="Y1930" i="20"/>
  <c r="Y92" i="20"/>
  <c r="Y1944" i="20"/>
  <c r="Y1864" i="20"/>
  <c r="Y597" i="20"/>
  <c r="Y398" i="20"/>
  <c r="Y835" i="20"/>
  <c r="Y445" i="20"/>
  <c r="Y1423" i="20"/>
  <c r="Y1039" i="20"/>
  <c r="Y1177" i="20"/>
  <c r="Y880" i="20"/>
  <c r="Y730" i="20"/>
  <c r="Y572" i="20"/>
  <c r="Y529" i="20"/>
  <c r="Y1987" i="20"/>
  <c r="Y246" i="20"/>
  <c r="Y342" i="20"/>
  <c r="Y435" i="20"/>
  <c r="Y607" i="20"/>
  <c r="Y318" i="20"/>
  <c r="Y1479" i="20"/>
  <c r="Y1449" i="20"/>
  <c r="Y431" i="20"/>
  <c r="Y290" i="20"/>
  <c r="Y135" i="20"/>
  <c r="Y837" i="20"/>
  <c r="Y430" i="20"/>
  <c r="Y1574" i="20"/>
  <c r="Y849" i="20"/>
  <c r="Y339" i="20"/>
  <c r="Y389" i="20"/>
  <c r="Y802" i="20"/>
  <c r="Y583" i="20"/>
  <c r="Y1738" i="20"/>
  <c r="Y331" i="20"/>
  <c r="Y1184" i="20"/>
  <c r="Y176" i="20"/>
  <c r="Y1399" i="20"/>
  <c r="Y1728" i="20"/>
  <c r="Y832" i="20"/>
  <c r="Y1922" i="20"/>
  <c r="Y1896" i="20"/>
  <c r="Y809" i="20"/>
  <c r="Y826" i="20"/>
  <c r="Y1959" i="20"/>
  <c r="Y1717" i="20"/>
  <c r="Y1958" i="20"/>
  <c r="Y986" i="20"/>
  <c r="Y761" i="20"/>
  <c r="Y518" i="20"/>
  <c r="Y1169" i="20"/>
  <c r="Y18" i="20"/>
  <c r="Y589" i="20"/>
  <c r="Y41" i="20"/>
  <c r="Y1252" i="20"/>
  <c r="Y717" i="20"/>
  <c r="Y192" i="20"/>
  <c r="Y934" i="20"/>
  <c r="Y850" i="20"/>
  <c r="Y1069" i="20"/>
  <c r="Y904" i="20"/>
  <c r="Y494" i="20"/>
  <c r="Y504" i="20"/>
  <c r="Y553" i="20"/>
  <c r="Y1146" i="20"/>
  <c r="Y1329" i="20"/>
  <c r="Y745" i="20"/>
  <c r="Y347" i="20"/>
  <c r="Y811" i="20"/>
  <c r="Y1073" i="20"/>
  <c r="Y779" i="20"/>
  <c r="Y1975" i="20"/>
  <c r="Y716" i="20"/>
  <c r="Y1059" i="20"/>
  <c r="Y1203" i="20"/>
  <c r="Y283" i="20"/>
  <c r="Y1534" i="20"/>
  <c r="Y1357" i="20"/>
  <c r="Y219" i="20"/>
  <c r="Y187" i="20"/>
  <c r="Y695" i="20"/>
  <c r="Y1052" i="20"/>
  <c r="Y1082" i="20"/>
  <c r="Y1688" i="20"/>
  <c r="Y1195" i="20"/>
  <c r="Y38" i="20"/>
  <c r="Y223" i="20"/>
  <c r="Y1022" i="20"/>
  <c r="Y1848" i="20"/>
  <c r="Y477" i="20"/>
  <c r="Y1016" i="20"/>
  <c r="Y810" i="20"/>
  <c r="Y1880" i="20"/>
  <c r="Y1756" i="20"/>
  <c r="Y1772" i="20"/>
  <c r="Y936" i="20"/>
  <c r="Y387" i="20"/>
  <c r="Y419" i="20"/>
  <c r="Y615" i="20"/>
  <c r="Y828" i="20"/>
  <c r="Y1194" i="20"/>
  <c r="Y875" i="20"/>
  <c r="Y1367" i="20"/>
  <c r="Y1530" i="20"/>
  <c r="Y1018" i="20"/>
  <c r="Y1496" i="20"/>
  <c r="Y9" i="20"/>
  <c r="Y1120" i="20"/>
  <c r="Y1216" i="20"/>
  <c r="Y415" i="20"/>
  <c r="Y640" i="20"/>
  <c r="Y1998" i="20"/>
  <c r="Y458" i="20"/>
  <c r="Y1045" i="20"/>
  <c r="Y833" i="20"/>
  <c r="Y540" i="20"/>
  <c r="Y1030" i="20"/>
  <c r="Y452" i="20"/>
  <c r="Y685" i="20"/>
  <c r="Y729" i="20"/>
  <c r="Y646" i="20"/>
  <c r="Y579" i="20"/>
  <c r="Y884" i="20"/>
  <c r="Y480" i="20"/>
  <c r="Y1916" i="20"/>
  <c r="Y475" i="20"/>
  <c r="Y797" i="20"/>
  <c r="Y386" i="20"/>
  <c r="Y661" i="20"/>
  <c r="Y1259" i="20"/>
  <c r="Y1282" i="20"/>
  <c r="Y1260" i="20"/>
  <c r="Y844" i="20"/>
  <c r="Y568" i="20"/>
  <c r="Y54" i="20"/>
  <c r="Y409" i="20"/>
  <c r="Y1144" i="20"/>
  <c r="Y1949" i="20"/>
  <c r="Y853" i="20"/>
  <c r="Y1084" i="20"/>
  <c r="Y1832" i="20"/>
  <c r="Y759" i="20"/>
  <c r="Y1223" i="20"/>
  <c r="Y39" i="20"/>
  <c r="Y346" i="20"/>
  <c r="Y1982" i="20"/>
  <c r="Y548" i="20"/>
  <c r="Y406" i="20"/>
  <c r="Y1200" i="20"/>
  <c r="Y468" i="20"/>
  <c r="Y1513" i="20"/>
  <c r="Y1336" i="20"/>
  <c r="Y672" i="20"/>
  <c r="Y42" i="20"/>
  <c r="Y1192" i="20"/>
  <c r="Y1405" i="20"/>
  <c r="Y626" i="20"/>
  <c r="Y531" i="20"/>
  <c r="Y1549" i="20"/>
  <c r="Y394" i="20"/>
  <c r="Y432" i="20"/>
  <c r="Y1551" i="20"/>
  <c r="Y418" i="20"/>
  <c r="Y279" i="20"/>
  <c r="Y823" i="20"/>
  <c r="Y758" i="20"/>
  <c r="Y780" i="20"/>
  <c r="Y1368" i="20"/>
  <c r="Y1231" i="20"/>
  <c r="Y935" i="20"/>
  <c r="Y416" i="20"/>
  <c r="Y27" i="20"/>
  <c r="Y121" i="20"/>
  <c r="Y1984" i="20"/>
  <c r="Y783" i="20"/>
  <c r="Y492" i="20"/>
  <c r="Y687" i="20"/>
  <c r="Y918" i="20"/>
  <c r="Y1582" i="20"/>
  <c r="Y1466" i="20"/>
  <c r="Y49" i="20"/>
  <c r="Y1570" i="20"/>
  <c r="Y497" i="20"/>
  <c r="Y727" i="20"/>
  <c r="Y930" i="20"/>
  <c r="Y1316" i="20"/>
  <c r="Y184" i="20"/>
  <c r="Y1522" i="20"/>
  <c r="Y365" i="20"/>
  <c r="Y491" i="20"/>
  <c r="Y740" i="20"/>
  <c r="Y1507" i="20"/>
  <c r="Y673" i="20"/>
  <c r="Y670" i="20"/>
  <c r="Y175" i="20"/>
  <c r="Y1269" i="20"/>
  <c r="Y1180" i="20"/>
  <c r="Y760" i="20"/>
  <c r="Y989" i="20"/>
  <c r="Y614" i="20"/>
  <c r="Y1288" i="20"/>
  <c r="Y834" i="20"/>
  <c r="Y1226" i="20"/>
  <c r="Y840" i="20"/>
  <c r="Y1273" i="20"/>
  <c r="Y940" i="20"/>
  <c r="Y1238" i="20"/>
  <c r="Y1986" i="20"/>
  <c r="Y377" i="20"/>
  <c r="Y226" i="20"/>
  <c r="Y1215" i="20"/>
  <c r="Y747" i="20"/>
  <c r="Y478" i="20"/>
  <c r="Y532" i="20"/>
  <c r="Y456" i="20"/>
  <c r="Y1406" i="20"/>
  <c r="Y453" i="20"/>
  <c r="Y1139" i="20"/>
  <c r="Y512" i="20"/>
  <c r="Y1971" i="20"/>
  <c r="Y1492" i="20"/>
  <c r="Y827" i="20"/>
  <c r="Y1386" i="20"/>
  <c r="Y799" i="20"/>
  <c r="Y807" i="20"/>
  <c r="Y489" i="20"/>
  <c r="Y124" i="20"/>
  <c r="Y396" i="20"/>
  <c r="Y1304" i="20"/>
  <c r="Y1289" i="20"/>
  <c r="Y574" i="20"/>
  <c r="Y943" i="20"/>
  <c r="Y905" i="20"/>
  <c r="Y356" i="20"/>
  <c r="Y280" i="20"/>
  <c r="Y535" i="20"/>
  <c r="Y1554" i="20"/>
  <c r="Y722" i="20"/>
  <c r="Y1358" i="20"/>
  <c r="Y204" i="20"/>
  <c r="Y201" i="20"/>
  <c r="Y1347" i="20"/>
  <c r="Y1000" i="20"/>
  <c r="Y114" i="20"/>
  <c r="Y822" i="20"/>
  <c r="Y741" i="20"/>
  <c r="Y270" i="20"/>
  <c r="Y1007" i="20"/>
  <c r="Y1155" i="20"/>
  <c r="Y1428" i="20"/>
  <c r="Y510" i="20"/>
  <c r="Y667" i="20"/>
  <c r="Y1080" i="20"/>
  <c r="Y6" i="20"/>
  <c r="Y595" i="20"/>
  <c r="Y604" i="20"/>
  <c r="Y449" i="20"/>
  <c r="Y1517" i="20"/>
  <c r="Y731" i="20"/>
  <c r="Y479" i="20"/>
  <c r="Y516" i="20"/>
  <c r="Y1442" i="20"/>
  <c r="Y1544" i="20"/>
  <c r="Y1556" i="20"/>
  <c r="Y983" i="20"/>
  <c r="Y653" i="20"/>
  <c r="Y329" i="20"/>
  <c r="Y601" i="20"/>
  <c r="Y859" i="20"/>
  <c r="Y20" i="20"/>
  <c r="Y14" i="20"/>
  <c r="Y1217" i="20"/>
  <c r="Y592" i="20"/>
  <c r="Y1543" i="20"/>
  <c r="Y120" i="20"/>
  <c r="Y839" i="20"/>
  <c r="Y1882" i="20"/>
  <c r="Y1518" i="20"/>
  <c r="Y424" i="20"/>
  <c r="Y70" i="20"/>
  <c r="Y379" i="20"/>
  <c r="Y938" i="20"/>
  <c r="Y1558" i="20"/>
  <c r="Y1128" i="20"/>
  <c r="Y726" i="20"/>
  <c r="Y493" i="20"/>
  <c r="Y1213" i="20"/>
  <c r="Y1552" i="20"/>
  <c r="Y788" i="20"/>
  <c r="Y1299" i="20"/>
  <c r="Y968" i="20"/>
  <c r="Y707" i="20"/>
  <c r="Y549" i="20"/>
  <c r="Y651" i="20"/>
  <c r="Y1255" i="20"/>
  <c r="Y1302" i="20"/>
  <c r="Y82" i="20"/>
  <c r="Y144" i="20"/>
  <c r="Y547" i="20"/>
  <c r="Y515" i="20"/>
  <c r="Y602" i="20"/>
  <c r="Y630" i="20"/>
  <c r="Y1391" i="20"/>
  <c r="Y965" i="20"/>
  <c r="Y517" i="20"/>
  <c r="Y1452" i="20"/>
  <c r="Y818" i="20"/>
  <c r="Y1446" i="20"/>
  <c r="Y1172" i="20"/>
  <c r="Y441" i="20"/>
  <c r="Y1048" i="20"/>
  <c r="Y375" i="20"/>
  <c r="Y74" i="20"/>
  <c r="Y1002" i="20"/>
  <c r="Y1967" i="20"/>
  <c r="Y1981" i="20"/>
  <c r="Y623" i="20"/>
  <c r="Y1320" i="20"/>
  <c r="Y581" i="20"/>
  <c r="Y215" i="20"/>
  <c r="Y1366" i="20"/>
  <c r="Y65" i="20"/>
  <c r="Y116" i="20"/>
  <c r="Y1158" i="20"/>
  <c r="Y1380" i="20"/>
  <c r="Y550" i="20"/>
  <c r="Y1345" i="20"/>
  <c r="Y709" i="20"/>
  <c r="Y241" i="20"/>
  <c r="Y1416" i="20"/>
  <c r="Y259" i="20"/>
  <c r="Y500" i="20"/>
  <c r="Y1285" i="20"/>
  <c r="Y1473" i="20"/>
  <c r="Y1538" i="20"/>
  <c r="Y408" i="20"/>
  <c r="Y690" i="20"/>
  <c r="Y838" i="20"/>
  <c r="Y174" i="20"/>
  <c r="Y625" i="20"/>
  <c r="Y845" i="20"/>
  <c r="Y596" i="20"/>
  <c r="Y305" i="20"/>
  <c r="Y195" i="20"/>
  <c r="Y1758" i="20"/>
  <c r="Y1960" i="20"/>
  <c r="Y224" i="20"/>
  <c r="Y1475" i="20"/>
  <c r="Y999" i="20"/>
  <c r="Y631" i="20"/>
  <c r="Y450" i="20"/>
  <c r="Y703" i="20"/>
  <c r="Y1526" i="20"/>
  <c r="Y584" i="20"/>
  <c r="Y753" i="20"/>
  <c r="Y659" i="20"/>
  <c r="Y1484" i="20"/>
  <c r="Y1126" i="20"/>
  <c r="Y254" i="20"/>
  <c r="Y381" i="20"/>
  <c r="Y1940" i="20"/>
  <c r="Y514" i="20"/>
  <c r="Y1520" i="20"/>
  <c r="Y1270" i="20"/>
  <c r="Y806" i="20"/>
  <c r="Y457" i="20"/>
  <c r="Y1174" i="20"/>
  <c r="Y1119" i="20"/>
  <c r="Y632" i="20"/>
  <c r="Y613" i="20"/>
  <c r="Y658" i="20"/>
  <c r="Y1528" i="20"/>
  <c r="Y1379" i="20"/>
  <c r="Y433" i="20"/>
  <c r="Y314" i="20"/>
  <c r="Y1375" i="20"/>
  <c r="Y735" i="20"/>
  <c r="Y563" i="20"/>
  <c r="Y963" i="20"/>
  <c r="Y990" i="20"/>
  <c r="Y264" i="20"/>
  <c r="Y1149" i="20"/>
  <c r="Y858" i="20"/>
  <c r="Y969" i="20"/>
  <c r="Y721" i="20"/>
  <c r="Y180" i="20"/>
  <c r="Y1034" i="20"/>
  <c r="Y94" i="20"/>
  <c r="Y569" i="20"/>
  <c r="Y1453" i="20"/>
  <c r="Y796" i="20"/>
  <c r="Y1035" i="20"/>
  <c r="Y1578" i="20"/>
  <c r="Y1054" i="20"/>
  <c r="Y1271" i="20"/>
  <c r="Y642" i="20"/>
  <c r="Y706" i="20"/>
  <c r="Y720" i="20"/>
  <c r="Y111" i="20"/>
  <c r="Y275" i="20"/>
  <c r="Y1221" i="20"/>
  <c r="Y533" i="20"/>
  <c r="Y1673" i="20"/>
  <c r="Y212" i="20"/>
  <c r="Y352" i="20"/>
  <c r="Y700" i="20"/>
  <c r="Y79" i="20"/>
  <c r="Y641" i="20"/>
  <c r="Y413" i="20"/>
  <c r="Y165" i="20"/>
  <c r="Y988" i="20"/>
  <c r="Y359" i="20"/>
  <c r="Y1041" i="20"/>
  <c r="Y1240" i="20"/>
  <c r="Y1485" i="20"/>
  <c r="Y1085" i="20"/>
  <c r="Y895" i="20"/>
  <c r="Y704" i="20"/>
  <c r="Y141" i="20"/>
  <c r="Y1985" i="20"/>
  <c r="Y1412" i="20"/>
  <c r="Y411" i="20"/>
  <c r="Y66" i="20"/>
  <c r="Y599" i="20"/>
  <c r="Y1333" i="20"/>
  <c r="Y800" i="20"/>
  <c r="Y612" i="20"/>
  <c r="Y443" i="20"/>
  <c r="Y1580" i="20"/>
  <c r="Y1263" i="20"/>
  <c r="Y417" i="20"/>
  <c r="Y1229" i="20"/>
  <c r="Y1245" i="20"/>
  <c r="Y869" i="20"/>
  <c r="Y104" i="20"/>
  <c r="Y665" i="20"/>
  <c r="Y1470" i="20"/>
  <c r="Y894" i="20"/>
  <c r="Y1477" i="20"/>
  <c r="Y410" i="20"/>
  <c r="Y674" i="20"/>
  <c r="Y1436" i="20"/>
  <c r="Y1010" i="20"/>
  <c r="Y1443" i="20"/>
  <c r="Y90" i="20"/>
  <c r="Y1044" i="20"/>
  <c r="Y734" i="20"/>
  <c r="Y1536" i="20"/>
  <c r="Y1319" i="20"/>
  <c r="Y1572" i="20"/>
  <c r="Y1450" i="20"/>
  <c r="Y235" i="20"/>
  <c r="Y684" i="20"/>
  <c r="Y199" i="20"/>
  <c r="Y319" i="20"/>
  <c r="Y603" i="20"/>
  <c r="Y185" i="20"/>
  <c r="Y211" i="20"/>
  <c r="Y755" i="20"/>
  <c r="Y1331" i="20"/>
  <c r="Y309" i="20"/>
  <c r="Y1501" i="20"/>
  <c r="Y95" i="20"/>
  <c r="Y817" i="20"/>
  <c r="Y715" i="20"/>
  <c r="Y993" i="20"/>
  <c r="Y656" i="20"/>
  <c r="Y1350" i="20"/>
  <c r="Y713" i="20"/>
  <c r="Y803" i="20"/>
  <c r="Y1997" i="20"/>
  <c r="Y1242" i="20"/>
  <c r="Y1786" i="20"/>
  <c r="Y926" i="20"/>
  <c r="Y1190" i="20"/>
  <c r="Y403" i="20"/>
  <c r="Y701" i="20"/>
  <c r="Y1592" i="20"/>
  <c r="Y75" i="20"/>
  <c r="Y1322" i="20"/>
  <c r="Y733" i="20"/>
  <c r="Y571" i="20"/>
  <c r="Y870" i="20"/>
  <c r="Y565" i="20"/>
  <c r="Y1440" i="20"/>
  <c r="Y1397" i="20"/>
  <c r="Y1500" i="20"/>
  <c r="Y294" i="20"/>
  <c r="Y1455" i="20"/>
  <c r="Y325" i="20"/>
  <c r="Y483" i="20"/>
  <c r="Y169" i="20"/>
  <c r="Y1531" i="20"/>
  <c r="Y64" i="20"/>
  <c r="Y816" i="20"/>
  <c r="Y732" i="20"/>
  <c r="Y1024" i="20"/>
  <c r="Y1049" i="20"/>
  <c r="Y1264" i="20"/>
  <c r="Y130" i="20"/>
  <c r="Y1248" i="20"/>
  <c r="Y191" i="20"/>
  <c r="Y1658" i="20"/>
  <c r="Y17" i="20"/>
  <c r="Y1272" i="20"/>
  <c r="Y1237" i="20"/>
  <c r="Y819" i="20"/>
  <c r="Y890" i="20"/>
  <c r="Y1371" i="20"/>
  <c r="Y1005" i="20"/>
  <c r="Y1290" i="20"/>
  <c r="Y244" i="20"/>
  <c r="Y355" i="20"/>
  <c r="Y526" i="20"/>
  <c r="Y11" i="20"/>
  <c r="Y757" i="20"/>
  <c r="Y1917" i="20"/>
  <c r="Y1199" i="20"/>
  <c r="Y699" i="20"/>
  <c r="Y1999" i="20"/>
  <c r="Y1868" i="20"/>
  <c r="Y471" i="20"/>
  <c r="Y893" i="20"/>
  <c r="Y1918" i="20"/>
  <c r="Y1152" i="20"/>
  <c r="Y1993" i="20"/>
  <c r="Y1062" i="20"/>
  <c r="Y502" i="20"/>
  <c r="Y210" i="20"/>
  <c r="Y1420" i="20"/>
  <c r="Y1482" i="20"/>
  <c r="Y898" i="20"/>
  <c r="Y1244" i="20"/>
  <c r="Y953" i="20"/>
  <c r="Y315" i="20"/>
  <c r="Y1135" i="20"/>
  <c r="Y878" i="20"/>
  <c r="Y1281" i="20"/>
  <c r="Y1427" i="20"/>
  <c r="Y229" i="20"/>
  <c r="Y552" i="20"/>
  <c r="Y1541" i="20"/>
  <c r="Y334" i="20"/>
  <c r="Y126" i="20"/>
  <c r="Y159" i="20"/>
  <c r="Y109" i="20"/>
  <c r="Y366" i="20"/>
  <c r="Y634" i="20"/>
  <c r="Y149" i="20"/>
  <c r="Y110" i="20"/>
  <c r="Y460" i="20"/>
  <c r="Y686" i="20"/>
  <c r="Y652" i="20"/>
  <c r="Y1160" i="20"/>
  <c r="Y1274" i="20"/>
  <c r="Y587" i="20"/>
  <c r="Y945" i="20"/>
  <c r="Y1983" i="20"/>
  <c r="Y1326" i="20"/>
  <c r="Y499" i="20"/>
  <c r="Y854" i="20"/>
  <c r="Y1483" i="20"/>
  <c r="Y647" i="20"/>
  <c r="Y256" i="20"/>
  <c r="Y546" i="20"/>
  <c r="Y1098" i="20"/>
  <c r="Y1053" i="20"/>
  <c r="Y1502" i="20"/>
  <c r="Y528" i="20"/>
  <c r="Y304" i="20"/>
  <c r="Y689" i="20"/>
  <c r="Y804" i="20"/>
  <c r="Y1207" i="20"/>
  <c r="Y1247" i="20"/>
  <c r="Y676" i="20"/>
  <c r="Y1532" i="20"/>
  <c r="Y1590" i="20"/>
  <c r="Y99" i="20"/>
  <c r="Y1461" i="20"/>
  <c r="Y1349" i="20"/>
  <c r="Y769" i="20"/>
  <c r="Y364" i="20"/>
  <c r="Y1113" i="20"/>
  <c r="Y350" i="20"/>
  <c r="Y189" i="20"/>
  <c r="Y1523" i="20"/>
  <c r="Y490" i="20"/>
  <c r="Y1511" i="20"/>
  <c r="Y496" i="20"/>
  <c r="Y736" i="20"/>
  <c r="Y7" i="20"/>
  <c r="Y746" i="20"/>
  <c r="Y436" i="20"/>
  <c r="Y1153" i="20"/>
  <c r="Y578" i="20"/>
  <c r="Y767" i="20"/>
  <c r="Y678" i="20"/>
  <c r="Y537" i="20"/>
  <c r="Y1168" i="20"/>
  <c r="Y1340" i="20"/>
  <c r="Y1100" i="20"/>
  <c r="Y1009" i="20"/>
  <c r="Y561" i="20"/>
  <c r="Y1118" i="20"/>
  <c r="Y664" i="20"/>
  <c r="Y1094" i="20"/>
  <c r="Y1458" i="20"/>
  <c r="Y1581" i="20"/>
  <c r="Y1314" i="20"/>
  <c r="Y1438" i="20"/>
  <c r="Y209" i="20"/>
  <c r="Y448" i="20"/>
  <c r="Y1550" i="20"/>
  <c r="Y542" i="20"/>
  <c r="Y1342" i="20"/>
  <c r="Y1324" i="20"/>
  <c r="Y1296" i="20"/>
  <c r="Y1585" i="20"/>
  <c r="Y1478" i="20"/>
  <c r="Y1447" i="20"/>
  <c r="Y1348" i="20"/>
  <c r="Y1434" i="20"/>
  <c r="Y1504" i="20"/>
  <c r="Y1381" i="20"/>
  <c r="Y519" i="20"/>
  <c r="Y274" i="20"/>
  <c r="Y495" i="20"/>
  <c r="Y611" i="20"/>
  <c r="Y125" i="20"/>
  <c r="Y511" i="20"/>
  <c r="Y498" i="20"/>
  <c r="Y369" i="20"/>
  <c r="Y1506" i="20"/>
  <c r="Y593" i="20"/>
  <c r="Y863" i="20"/>
  <c r="Y617" i="20"/>
  <c r="Y785" i="20"/>
  <c r="Y638" i="20"/>
  <c r="Y503" i="20"/>
  <c r="Y1165" i="20"/>
  <c r="Y508" i="20"/>
  <c r="Y883" i="20"/>
  <c r="Y1280" i="20"/>
  <c r="Y1402" i="20"/>
  <c r="Y1150" i="20"/>
  <c r="Y1589" i="20"/>
  <c r="Y1430" i="20"/>
  <c r="Y1279" i="20"/>
  <c r="Y1093" i="20"/>
  <c r="Y1360" i="20"/>
  <c r="Y1559" i="20"/>
  <c r="Y255" i="20"/>
  <c r="Y1432" i="20"/>
  <c r="Y281" i="20"/>
  <c r="Y711" i="20"/>
  <c r="Y1565" i="20"/>
  <c r="Y179" i="20"/>
  <c r="Y1354" i="20"/>
  <c r="Y1029" i="20"/>
  <c r="Y1396" i="20"/>
  <c r="Y954" i="20"/>
  <c r="Y1398" i="20"/>
  <c r="Y402" i="20"/>
  <c r="Y1188" i="20"/>
  <c r="Y693" i="20"/>
  <c r="Y1313" i="20"/>
  <c r="Y888" i="20"/>
  <c r="Y1278" i="20"/>
  <c r="Y580" i="20"/>
  <c r="Y501" i="20"/>
  <c r="Y1114" i="20"/>
  <c r="Y1560" i="20"/>
  <c r="Y570" i="20"/>
  <c r="Y702" i="20"/>
  <c r="Y712" i="20"/>
  <c r="Y300" i="20"/>
  <c r="Y1363" i="20"/>
  <c r="Y743" i="20"/>
  <c r="Y654" i="20"/>
  <c r="Y619" i="20"/>
  <c r="Y1555" i="20"/>
  <c r="Y1515" i="20"/>
  <c r="Y1505" i="20"/>
  <c r="Y1125" i="20"/>
  <c r="Y1124" i="20"/>
  <c r="Y669" i="20"/>
  <c r="Y1472" i="20"/>
  <c r="Y1533" i="20"/>
  <c r="Y1023" i="20"/>
  <c r="Y1417" i="20"/>
  <c r="Y349" i="20"/>
  <c r="Y973" i="20"/>
  <c r="Y335" i="20"/>
  <c r="Y1514" i="20"/>
  <c r="Y59" i="20"/>
  <c r="Y1548" i="20"/>
  <c r="Y482" i="20"/>
  <c r="Y1339" i="20"/>
  <c r="Y507" i="20"/>
  <c r="Y1104" i="20"/>
  <c r="Y1318" i="20"/>
  <c r="Y1445" i="20"/>
  <c r="Y908" i="20"/>
  <c r="Y762" i="20"/>
  <c r="Y1545" i="20"/>
  <c r="Y261" i="20"/>
  <c r="Y251" i="20"/>
  <c r="Y1394" i="20"/>
  <c r="Y978" i="20"/>
  <c r="Y1568" i="20"/>
  <c r="Y1509" i="20"/>
  <c r="Y164" i="20"/>
  <c r="Y1426" i="20"/>
  <c r="Y1286" i="20"/>
  <c r="Y724" i="20"/>
  <c r="Y739" i="20"/>
  <c r="Y590" i="20"/>
  <c r="Y407" i="20"/>
  <c r="Y1996" i="20"/>
  <c r="Y637" i="20"/>
  <c r="Y284" i="20"/>
  <c r="Y136" i="20"/>
  <c r="Y984" i="20"/>
  <c r="Y812" i="20"/>
  <c r="Y1148" i="20"/>
  <c r="Y50" i="20"/>
  <c r="Y566" i="20"/>
  <c r="Y1353" i="20"/>
  <c r="Y1495" i="20"/>
  <c r="Y777" i="20"/>
  <c r="Y320" i="20"/>
  <c r="Y1154" i="20"/>
  <c r="Y555" i="20"/>
  <c r="Y1587" i="20"/>
  <c r="Y1143" i="20"/>
  <c r="Y662" i="20"/>
  <c r="Y577" i="20"/>
  <c r="Y576" i="20"/>
  <c r="Y1090" i="20"/>
  <c r="Y776" i="20"/>
  <c r="Y1378" i="20"/>
  <c r="Y1038" i="20"/>
  <c r="Y25" i="20"/>
  <c r="Y447" i="20"/>
  <c r="Y1989" i="20"/>
  <c r="Y1140" i="20"/>
  <c r="Y1327" i="20"/>
  <c r="Y554" i="20"/>
  <c r="Y545" i="20"/>
  <c r="Y948" i="20"/>
  <c r="Y1468" i="20"/>
  <c r="Y1498" i="20"/>
  <c r="Y31" i="20"/>
  <c r="Y698" i="20"/>
  <c r="Y115" i="20"/>
  <c r="Y795" i="20"/>
  <c r="Y903" i="20"/>
  <c r="Y1323" i="20"/>
  <c r="Y100" i="20"/>
  <c r="Y681" i="20"/>
  <c r="Y440" i="20"/>
  <c r="Y1979" i="20"/>
  <c r="Y675" i="20"/>
  <c r="Y1330" i="20"/>
  <c r="Y979" i="20"/>
  <c r="Y848" i="20"/>
  <c r="Y1424" i="20"/>
  <c r="Y1425" i="20"/>
  <c r="Y1512" i="20"/>
  <c r="Y1370" i="20"/>
  <c r="Y296" i="20"/>
  <c r="Y1311" i="20"/>
  <c r="Y622" i="20"/>
  <c r="Y1109" i="20"/>
  <c r="Y196" i="20"/>
  <c r="Y145" i="20"/>
  <c r="Y750" i="20"/>
  <c r="Y1437" i="20"/>
  <c r="Y106" i="20"/>
  <c r="Y1365" i="20"/>
  <c r="Y573" i="20"/>
  <c r="Y920" i="20"/>
  <c r="Y488" i="20"/>
  <c r="Y1966" i="20"/>
  <c r="Y2000" i="20"/>
  <c r="Y1464" i="20"/>
  <c r="Y330" i="20"/>
  <c r="Y536" i="20"/>
  <c r="Y170" i="20"/>
  <c r="Y781" i="20"/>
  <c r="Y1562" i="20"/>
  <c r="Y1068" i="20"/>
  <c r="Y1410" i="20"/>
  <c r="Y1547" i="20"/>
  <c r="Y1429" i="20"/>
  <c r="Y1497" i="20"/>
  <c r="Y1563" i="20"/>
  <c r="Y1359" i="20"/>
  <c r="Y771" i="20"/>
  <c r="Y1103" i="20"/>
  <c r="Y481" i="20"/>
  <c r="Y1460" i="20"/>
  <c r="Y560" i="20"/>
  <c r="Y344" i="20"/>
  <c r="Y1503" i="20"/>
  <c r="Y575" i="20"/>
  <c r="Y588" i="20"/>
  <c r="Y1467" i="20"/>
  <c r="Y868" i="20"/>
  <c r="Y230" i="20"/>
  <c r="Y1287" i="20"/>
  <c r="Y621" i="20"/>
  <c r="Y1524" i="20"/>
  <c r="Y1444" i="20"/>
  <c r="Y944" i="20"/>
  <c r="Y585" i="20"/>
  <c r="Y1392" i="20"/>
  <c r="Y1020" i="20"/>
  <c r="Y543" i="20"/>
  <c r="Y231" i="20"/>
  <c r="Y790" i="20"/>
  <c r="Y1567" i="20"/>
  <c r="Y1403" i="20"/>
  <c r="Y1435" i="20"/>
  <c r="Y763" i="20"/>
  <c r="Y718" i="20"/>
  <c r="Y1303" i="20"/>
  <c r="Y1003" i="20"/>
  <c r="Y1535" i="20"/>
  <c r="Y1421" i="20"/>
  <c r="Y1063" i="20"/>
  <c r="Y60" i="20"/>
  <c r="Y1321" i="20"/>
  <c r="Y1295" i="20"/>
  <c r="Y351" i="20"/>
  <c r="Y925" i="20"/>
  <c r="Y1431" i="20"/>
  <c r="Y1050" i="20"/>
  <c r="Y513" i="20"/>
  <c r="Y1297" i="20"/>
  <c r="Y1374" i="20"/>
  <c r="Y556" i="20"/>
  <c r="Y1516" i="20"/>
  <c r="Y1566" i="20"/>
  <c r="Y541" i="20"/>
  <c r="Y326" i="20"/>
  <c r="Y915" i="20"/>
  <c r="Y610" i="20"/>
  <c r="Y1372" i="20"/>
  <c r="Y1489" i="20"/>
  <c r="Y975" i="20"/>
  <c r="Y744" i="20"/>
  <c r="Y171" i="20"/>
  <c r="Y1043" i="20"/>
  <c r="Y1409" i="20"/>
  <c r="Y56" i="20"/>
  <c r="Y885" i="20"/>
  <c r="Y677" i="20"/>
  <c r="Y509" i="20"/>
  <c r="Y1508" i="20"/>
  <c r="Y974" i="20"/>
  <c r="Y1123" i="20"/>
  <c r="Y960" i="20"/>
  <c r="Y1576" i="20"/>
  <c r="Y361" i="20"/>
  <c r="Y181" i="20"/>
  <c r="Y792" i="20"/>
  <c r="Y1352" i="20"/>
  <c r="Y1525" i="20"/>
  <c r="Y521" i="20"/>
  <c r="Y523" i="20"/>
  <c r="Y1130" i="20"/>
  <c r="Y1465" i="20"/>
  <c r="Y522" i="20"/>
  <c r="Y864" i="20"/>
  <c r="Y742" i="20"/>
  <c r="Y1376" i="20"/>
  <c r="Y1015" i="20"/>
  <c r="Y1312" i="20"/>
  <c r="Y220" i="20"/>
  <c r="Y1487" i="20"/>
  <c r="Y1389" i="20"/>
  <c r="Y1351" i="20"/>
  <c r="Y1115" i="20"/>
  <c r="Y1004" i="20"/>
  <c r="Y899" i="20"/>
  <c r="Y1163" i="20"/>
  <c r="Y865" i="20"/>
  <c r="Y538" i="20"/>
  <c r="Y1028" i="20"/>
  <c r="Y791" i="20"/>
  <c r="Y668" i="20"/>
  <c r="Y1414" i="20"/>
  <c r="Y249" i="20"/>
  <c r="Y1957" i="20"/>
  <c r="Y1373" i="20"/>
  <c r="Y939" i="20"/>
  <c r="Y1529" i="20"/>
  <c r="Y950" i="20"/>
  <c r="Y69" i="20"/>
  <c r="Y1481" i="20"/>
  <c r="Y696" i="20"/>
  <c r="Y1361" i="20"/>
  <c r="Y1573" i="20"/>
  <c r="Y1306" i="20"/>
  <c r="Y998" i="20"/>
  <c r="Y1343" i="20"/>
  <c r="Y1540" i="20"/>
  <c r="Y1328" i="20"/>
  <c r="Y1411" i="20"/>
  <c r="Y692" i="20"/>
  <c r="Y506" i="20"/>
  <c r="Y405" i="20"/>
  <c r="Y524" i="20"/>
  <c r="Y924" i="20"/>
  <c r="Y1451" i="20"/>
  <c r="Y1583" i="20"/>
  <c r="Y525" i="20"/>
  <c r="Y801" i="20"/>
  <c r="Y688" i="20"/>
  <c r="Y1584" i="20"/>
  <c r="Y605" i="20"/>
  <c r="Y1088" i="20"/>
  <c r="Y1277" i="20"/>
  <c r="Y134" i="20"/>
  <c r="Y1519" i="20"/>
  <c r="Y1095" i="20"/>
  <c r="Y150" i="20"/>
  <c r="Y520" i="20"/>
  <c r="Y648" i="20"/>
  <c r="Y1356" i="20"/>
  <c r="Y486" i="20"/>
  <c r="Y91" i="20"/>
  <c r="Y1539" i="20"/>
  <c r="Y1064" i="20"/>
  <c r="Y1407" i="20"/>
  <c r="Y772" i="20"/>
  <c r="Y855" i="20"/>
  <c r="Y1283" i="20"/>
  <c r="Y484" i="20"/>
  <c r="Y1395" i="20"/>
  <c r="Y1557" i="20"/>
  <c r="Y873" i="20"/>
  <c r="Y723" i="20"/>
  <c r="Y1561" i="20"/>
  <c r="Y234" i="20"/>
  <c r="Y782" i="20"/>
  <c r="Y1457" i="20"/>
  <c r="Y1338" i="20"/>
  <c r="Y1441" i="20"/>
  <c r="Y1510" i="20"/>
  <c r="Y1344" i="20"/>
  <c r="Y71" i="20"/>
  <c r="Y530" i="20"/>
  <c r="Y1309" i="20"/>
  <c r="Y285" i="20"/>
  <c r="Y295" i="20"/>
  <c r="Y1284" i="20"/>
  <c r="Y1145" i="20"/>
  <c r="Y1571" i="20"/>
  <c r="Y1527" i="20"/>
  <c r="Y985" i="20"/>
  <c r="Y371" i="20"/>
  <c r="Y964" i="20"/>
  <c r="Y1377" i="20"/>
  <c r="Y1542" i="20"/>
  <c r="Y1400" i="20"/>
  <c r="Y639" i="20"/>
  <c r="Y336" i="20"/>
  <c r="Y1138" i="20"/>
  <c r="Y160" i="20"/>
  <c r="Y1413" i="20"/>
  <c r="Y1476" i="20"/>
  <c r="Y151" i="20"/>
  <c r="Y1110" i="20"/>
  <c r="Y370" i="20"/>
  <c r="Y644" i="20"/>
  <c r="Y1575" i="20"/>
  <c r="Y874" i="20"/>
  <c r="Y266" i="20"/>
  <c r="Y1591" i="20"/>
  <c r="Y1337" i="20"/>
  <c r="Y311" i="20"/>
  <c r="Y89" i="20"/>
  <c r="Y598" i="20"/>
  <c r="Y995" i="20"/>
  <c r="Y1579" i="20"/>
  <c r="Y1474" i="20"/>
  <c r="Y1346" i="20"/>
  <c r="Y737" i="20"/>
  <c r="Y340" i="20"/>
  <c r="Y80" i="20"/>
  <c r="Y1384" i="20"/>
  <c r="Y1491" i="20"/>
  <c r="Y1133" i="20"/>
  <c r="Y146" i="20"/>
  <c r="Y1382" i="20"/>
  <c r="Y1408" i="20"/>
  <c r="Y970" i="20"/>
  <c r="Y1033" i="20"/>
  <c r="Y1390" i="20"/>
  <c r="Y1439" i="20"/>
  <c r="Y913" i="20"/>
  <c r="Y557" i="20"/>
  <c r="Y544" i="20"/>
  <c r="Y562" i="20"/>
  <c r="Y910" i="20"/>
  <c r="Y1315" i="20"/>
  <c r="Y1134" i="20"/>
  <c r="Y306" i="20"/>
  <c r="Y1276" i="20"/>
  <c r="Y786" i="20"/>
  <c r="Y76" i="20"/>
  <c r="Y1418" i="20"/>
  <c r="Y1298" i="20"/>
  <c r="Y649" i="20"/>
  <c r="Y1369" i="20"/>
  <c r="Y155" i="20"/>
  <c r="Y1494" i="20"/>
  <c r="Y1078" i="20"/>
  <c r="Y1462" i="20"/>
  <c r="Y564" i="20"/>
  <c r="Y1129" i="20"/>
  <c r="Y1025" i="20"/>
  <c r="Y1454" i="20"/>
  <c r="Y1294" i="20"/>
  <c r="Y1019" i="20"/>
  <c r="Y206" i="20"/>
  <c r="Y919" i="20"/>
  <c r="Y61" i="20"/>
  <c r="Y156" i="20"/>
  <c r="Y1300" i="20"/>
  <c r="Y341" i="20"/>
  <c r="Y81" i="20"/>
  <c r="Y1463" i="20"/>
  <c r="Y1553" i="20"/>
  <c r="Y768" i="20"/>
  <c r="Y1334" i="20"/>
  <c r="Y1089" i="20"/>
  <c r="Y1058" i="20"/>
  <c r="Y697" i="20"/>
  <c r="Y1291" i="20"/>
  <c r="Y1393" i="20"/>
  <c r="Y994" i="20"/>
  <c r="Y1305" i="20"/>
  <c r="Y276" i="20"/>
  <c r="Y161" i="20"/>
  <c r="Y559" i="20"/>
  <c r="Y1546" i="20"/>
  <c r="Y1060" i="20"/>
  <c r="Y1588" i="20"/>
  <c r="Y505" i="20"/>
  <c r="Y929" i="20"/>
  <c r="Y778" i="20"/>
  <c r="Y1008" i="20"/>
  <c r="Y236" i="20"/>
  <c r="Y738" i="20"/>
  <c r="Y1364" i="20"/>
  <c r="Y539" i="20"/>
  <c r="Y1341" i="20"/>
  <c r="Y1083" i="20"/>
  <c r="Y1486" i="20"/>
  <c r="Y1488" i="20"/>
  <c r="Y1079" i="20"/>
  <c r="Y1074" i="20"/>
  <c r="Y55" i="20"/>
  <c r="Y310" i="20"/>
  <c r="Y527" i="20"/>
  <c r="Y316" i="20"/>
  <c r="Y591" i="20"/>
  <c r="Y1301" i="20"/>
  <c r="Y1099" i="20"/>
  <c r="Y139" i="20"/>
  <c r="Y582" i="20"/>
  <c r="Y269" i="20"/>
  <c r="Y923" i="20"/>
  <c r="Y485" i="20"/>
  <c r="Y360" i="20"/>
  <c r="Y1014" i="20"/>
  <c r="Y301" i="20"/>
  <c r="Y205" i="20"/>
  <c r="Y643" i="20"/>
  <c r="Y1293" i="20"/>
  <c r="Y1065" i="20"/>
  <c r="Y289" i="20"/>
  <c r="Y657" i="20"/>
  <c r="Y708" i="20"/>
  <c r="Y186" i="20"/>
  <c r="Y663" i="20"/>
  <c r="Y1292" i="20"/>
  <c r="Y154" i="20"/>
  <c r="Y1070" i="20"/>
  <c r="Y958" i="20"/>
  <c r="Y1422" i="20"/>
  <c r="Y487" i="20"/>
  <c r="Y1469" i="20"/>
  <c r="Y1013" i="20"/>
  <c r="Y1564" i="20"/>
  <c r="Y1537" i="20"/>
  <c r="Y1456" i="20"/>
  <c r="Y1310" i="20"/>
  <c r="Y286" i="20"/>
  <c r="Y900" i="20"/>
  <c r="Y214" i="20"/>
  <c r="Y1317" i="20"/>
  <c r="Y299" i="20"/>
  <c r="Y618" i="20"/>
  <c r="Y1105" i="20"/>
  <c r="Y260" i="20"/>
  <c r="Y1383" i="20"/>
  <c r="Y773" i="20"/>
  <c r="Y909" i="20"/>
  <c r="Y616" i="20"/>
  <c r="Y1459" i="20"/>
  <c r="Y671" i="20"/>
  <c r="Y635" i="20"/>
  <c r="Y105" i="20"/>
  <c r="Y119" i="20"/>
  <c r="Y1586" i="20"/>
  <c r="Y1415" i="20"/>
  <c r="Y787" i="20"/>
  <c r="Y354" i="20"/>
  <c r="Y1325" i="20"/>
  <c r="Y200" i="20"/>
  <c r="Y129" i="20"/>
  <c r="Y889" i="20"/>
  <c r="Y1419" i="20"/>
  <c r="Y1448" i="20"/>
  <c r="Y980" i="20"/>
  <c r="Y1521" i="20"/>
  <c r="Y321" i="20"/>
  <c r="Y1569" i="20"/>
  <c r="Y1335" i="20"/>
  <c r="Y1577" i="20"/>
  <c r="Y1108" i="20"/>
  <c r="Y928" i="20"/>
  <c r="Y245" i="20"/>
  <c r="Y728" i="20"/>
  <c r="B1996" i="20"/>
  <c r="B1973" i="20"/>
  <c r="A1630" i="20"/>
  <c r="A1611" i="20"/>
  <c r="A1996" i="20"/>
  <c r="A1973" i="20"/>
  <c r="G1999" i="20"/>
  <c r="I1999" i="20" s="1"/>
  <c r="G1976" i="20"/>
  <c r="G824" i="20"/>
  <c r="G30" i="20"/>
  <c r="I30" i="20" s="1"/>
  <c r="B824" i="20"/>
  <c r="B30" i="20"/>
  <c r="H824" i="20"/>
  <c r="H30" i="20"/>
  <c r="A825" i="20"/>
  <c r="A31" i="20"/>
  <c r="I1975" i="20"/>
  <c r="I1997" i="20"/>
  <c r="I1382" i="20"/>
  <c r="I1589" i="20"/>
  <c r="I1567" i="20"/>
  <c r="F43" i="19"/>
  <c r="G42" i="19"/>
  <c r="I619" i="20"/>
  <c r="I42" i="19"/>
  <c r="H586" i="19"/>
  <c r="F583" i="19"/>
  <c r="G583" i="19"/>
  <c r="B1997" i="20" l="1"/>
  <c r="B1974" i="20"/>
  <c r="A1997" i="20"/>
  <c r="A1974" i="20"/>
  <c r="G2000" i="20"/>
  <c r="I2000" i="20" s="1"/>
  <c r="G1977" i="20"/>
  <c r="I1977" i="20" s="1"/>
  <c r="A826" i="20"/>
  <c r="A32" i="20"/>
  <c r="H825" i="20"/>
  <c r="H31" i="20"/>
  <c r="G825" i="20"/>
  <c r="G31" i="20"/>
  <c r="I31" i="20" s="1"/>
  <c r="B825" i="20"/>
  <c r="B31" i="20"/>
  <c r="I1976" i="20"/>
  <c r="I1998" i="20"/>
  <c r="I823" i="20"/>
  <c r="I1590" i="20"/>
  <c r="I1568" i="20"/>
  <c r="I620" i="20"/>
  <c r="G43" i="19"/>
  <c r="I43" i="19"/>
  <c r="F44" i="19"/>
  <c r="F584" i="19"/>
  <c r="G584" i="19"/>
  <c r="B1998" i="20" l="1"/>
  <c r="B1975" i="20"/>
  <c r="A1998" i="20"/>
  <c r="A1975" i="20"/>
  <c r="H826" i="20"/>
  <c r="H32" i="20"/>
  <c r="B826" i="20"/>
  <c r="B32" i="20"/>
  <c r="A827" i="20"/>
  <c r="A33" i="20"/>
  <c r="G826" i="20"/>
  <c r="I826" i="20" s="1"/>
  <c r="G32" i="20"/>
  <c r="I32" i="20" s="1"/>
  <c r="I824" i="20"/>
  <c r="I44" i="19"/>
  <c r="G44" i="19"/>
  <c r="F45" i="19"/>
  <c r="I621" i="20"/>
  <c r="F585" i="19"/>
  <c r="G585" i="19"/>
  <c r="B1999" i="20" l="1"/>
  <c r="B1976" i="20"/>
  <c r="A1999" i="20"/>
  <c r="A1976" i="20"/>
  <c r="G827" i="20"/>
  <c r="I827" i="20" s="1"/>
  <c r="G33" i="20"/>
  <c r="I33" i="20" s="1"/>
  <c r="B827" i="20"/>
  <c r="B33" i="20"/>
  <c r="H827" i="20"/>
  <c r="H33" i="20"/>
  <c r="A828" i="20"/>
  <c r="A34" i="20"/>
  <c r="I825" i="20"/>
  <c r="F586" i="19"/>
  <c r="G45" i="19"/>
  <c r="F46" i="19"/>
  <c r="I622" i="20"/>
  <c r="I45" i="19"/>
  <c r="G586" i="19"/>
  <c r="B2000" i="20" l="1"/>
  <c r="B1977" i="20"/>
  <c r="A2000" i="20"/>
  <c r="A1977" i="20"/>
  <c r="H828" i="20"/>
  <c r="H34" i="20"/>
  <c r="G828" i="20"/>
  <c r="G34" i="20"/>
  <c r="I34" i="20" s="1"/>
  <c r="A829" i="20"/>
  <c r="A35" i="20"/>
  <c r="B828" i="20"/>
  <c r="B34" i="20"/>
  <c r="I1385" i="20"/>
  <c r="F47" i="19"/>
  <c r="I623" i="20"/>
  <c r="I46" i="19"/>
  <c r="G46" i="19"/>
  <c r="B829" i="20" l="1"/>
  <c r="B35" i="20"/>
  <c r="G829" i="20"/>
  <c r="G35" i="20"/>
  <c r="I35" i="20" s="1"/>
  <c r="H829" i="20"/>
  <c r="H35" i="20"/>
  <c r="A830" i="20"/>
  <c r="A36" i="20"/>
  <c r="I1386" i="20"/>
  <c r="I47" i="19"/>
  <c r="I624" i="20"/>
  <c r="G47" i="19"/>
  <c r="F48" i="19"/>
  <c r="A831" i="20" l="1"/>
  <c r="A37" i="20"/>
  <c r="G830" i="20"/>
  <c r="G36" i="20"/>
  <c r="I36" i="20" s="1"/>
  <c r="B830" i="20"/>
  <c r="B36" i="20"/>
  <c r="H830" i="20"/>
  <c r="H36" i="20"/>
  <c r="I828" i="20"/>
  <c r="F49" i="19"/>
  <c r="G48" i="19"/>
  <c r="I625" i="20"/>
  <c r="I48" i="19"/>
  <c r="B831" i="20" l="1"/>
  <c r="B37" i="20"/>
  <c r="H831" i="20"/>
  <c r="H37" i="20"/>
  <c r="A832" i="20"/>
  <c r="A38" i="20"/>
  <c r="G831" i="20"/>
  <c r="I831" i="20" s="1"/>
  <c r="G37" i="20"/>
  <c r="I37" i="20" s="1"/>
  <c r="I829" i="20"/>
  <c r="B16" i="26" s="1" a="1"/>
  <c r="B16" i="26" s="1"/>
  <c r="G49" i="19"/>
  <c r="I626" i="20"/>
  <c r="I49" i="19"/>
  <c r="F50" i="19"/>
  <c r="AB16" i="26" l="1"/>
  <c r="AD16" i="26" s="1"/>
  <c r="G832" i="20"/>
  <c r="I832" i="20" s="1"/>
  <c r="G38" i="20"/>
  <c r="I38" i="20" s="1"/>
  <c r="H832" i="20"/>
  <c r="H38" i="20"/>
  <c r="B832" i="20"/>
  <c r="B38" i="20"/>
  <c r="A833" i="20"/>
  <c r="A39" i="20"/>
  <c r="I830" i="20"/>
  <c r="I50" i="19"/>
  <c r="I627" i="20"/>
  <c r="F51" i="19"/>
  <c r="F52" i="19"/>
  <c r="G50" i="19"/>
  <c r="AC16" i="26" l="1"/>
  <c r="A835" i="20"/>
  <c r="A41" i="20"/>
  <c r="G833" i="20"/>
  <c r="G39" i="20"/>
  <c r="I39" i="20" s="1"/>
  <c r="A834" i="20"/>
  <c r="A40" i="20"/>
  <c r="B833" i="20"/>
  <c r="B39" i="20"/>
  <c r="H833" i="20"/>
  <c r="H39" i="20"/>
  <c r="I1391" i="20"/>
  <c r="I51" i="19"/>
  <c r="I628" i="20"/>
  <c r="G52" i="19"/>
  <c r="G51" i="19"/>
  <c r="G834" i="20" l="1"/>
  <c r="I834" i="20" s="1"/>
  <c r="G40" i="20"/>
  <c r="I40" i="20" s="1"/>
  <c r="B834" i="20"/>
  <c r="B40" i="20"/>
  <c r="H834" i="20"/>
  <c r="H40" i="20"/>
  <c r="B835" i="20"/>
  <c r="B41" i="20"/>
  <c r="G835" i="20"/>
  <c r="I835" i="20" s="1"/>
  <c r="G41" i="20"/>
  <c r="I41" i="20" s="1"/>
  <c r="I833" i="20"/>
  <c r="I1392" i="20"/>
  <c r="I629" i="20"/>
  <c r="I630" i="20"/>
  <c r="I52" i="19"/>
  <c r="H835" i="20" l="1"/>
  <c r="H41" i="20"/>
  <c r="AB42" i="26" l="1"/>
  <c r="AC42" i="26" s="1"/>
  <c r="AB43" i="26" l="1"/>
  <c r="AC43" i="26" s="1"/>
  <c r="AD42" i="26"/>
  <c r="AB44" i="26" l="1"/>
  <c r="AC44" i="26" s="1"/>
  <c r="AD43" i="26"/>
  <c r="AD44" i="26" l="1"/>
  <c r="AB21" i="26" l="1"/>
  <c r="AB22" i="26" l="1"/>
  <c r="AB23" i="26" s="1"/>
  <c r="AC21" i="26"/>
  <c r="AD21" i="26"/>
  <c r="AB24" i="26" l="1"/>
  <c r="AC23" i="26"/>
  <c r="AD23" i="26"/>
  <c r="AC22" i="26"/>
  <c r="AD22" i="26"/>
  <c r="AB25" i="26" l="1"/>
  <c r="AD24" i="26"/>
  <c r="AC24" i="26"/>
  <c r="AB26" i="26" l="1"/>
  <c r="AD25" i="26"/>
  <c r="AC25" i="26"/>
  <c r="AB27" i="26" l="1"/>
  <c r="AD26" i="26"/>
  <c r="AC26" i="26"/>
  <c r="AB28" i="26" l="1"/>
  <c r="AD27" i="26"/>
  <c r="AC27" i="26"/>
  <c r="AB29" i="26" l="1"/>
  <c r="AB30" i="26" s="1"/>
  <c r="AB31" i="26" s="1"/>
  <c r="AC28" i="26"/>
  <c r="AD28" i="26"/>
  <c r="AB32" i="26" l="1"/>
  <c r="AC31" i="26"/>
  <c r="AD31" i="26"/>
  <c r="AC30" i="26"/>
  <c r="AD30" i="26"/>
  <c r="AC29" i="26"/>
  <c r="AD29" i="26"/>
  <c r="AB33" i="26" l="1"/>
  <c r="AC32" i="26"/>
  <c r="AD32" i="26"/>
  <c r="AB34" i="26" l="1"/>
  <c r="AC33" i="26"/>
  <c r="AD33" i="26"/>
  <c r="AB35" i="26" l="1"/>
  <c r="AC34" i="26"/>
  <c r="AD34" i="26"/>
  <c r="AB36" i="26" l="1"/>
  <c r="AC35" i="26"/>
  <c r="AD35" i="26"/>
  <c r="AB37" i="26" l="1"/>
  <c r="AC36" i="26"/>
  <c r="AD36" i="26"/>
  <c r="AB38" i="26" l="1"/>
  <c r="AC37" i="26"/>
  <c r="AD37" i="26"/>
  <c r="AB39" i="26" l="1"/>
  <c r="AC38" i="26"/>
  <c r="AD38" i="26"/>
  <c r="AB40" i="26" l="1"/>
  <c r="AC39" i="26"/>
  <c r="AD39" i="26"/>
  <c r="AB41" i="26" l="1"/>
  <c r="AC40" i="26"/>
  <c r="AD40" i="26"/>
  <c r="AC41" i="26" l="1"/>
  <c r="AD41" i="26"/>
  <c r="AB17" i="26" l="1"/>
  <c r="AB18" i="26" s="1"/>
  <c r="AB19" i="26" s="1"/>
  <c r="AB20" i="26" s="1"/>
  <c r="AC20" i="26" l="1"/>
  <c r="AD20" i="26"/>
  <c r="AC19" i="26"/>
  <c r="AD19" i="26"/>
  <c r="AC18" i="26"/>
  <c r="AD18" i="26"/>
  <c r="AD17" i="26"/>
  <c r="AC17" i="26"/>
  <c r="M13" i="26" l="1"/>
  <c r="L13" i="26"/>
  <c r="AD13" i="26" l="1"/>
  <c r="AC13"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2" authorId="0" shapeId="0" xr:uid="{00000000-0006-0000-1300-000001000000}">
      <text>
        <r>
          <rPr>
            <b/>
            <sz val="9"/>
            <color indexed="81"/>
            <rFont val="Tahoma"/>
            <family val="2"/>
          </rPr>
          <t xml:space="preserve">Javier y Estefanía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76" authorId="0" shapeId="0" xr:uid="{00000000-0006-0000-1500-000001000000}">
      <text>
        <r>
          <rPr>
            <b/>
            <sz val="9"/>
            <color indexed="81"/>
            <rFont val="Tahoma"/>
            <family val="2"/>
          </rPr>
          <t>Autor:</t>
        </r>
        <r>
          <rPr>
            <sz val="9"/>
            <color indexed="81"/>
            <rFont val="Tahoma"/>
            <family val="2"/>
          </rPr>
          <t xml:space="preserve">
Finalizo el texto en punto para que no coincida el nombre con las periodificaciones a C/P del pasivo corriente y así evitar error al ordenar por la columna OrdenNivel3</t>
        </r>
      </text>
    </comment>
    <comment ref="D176" authorId="0" shapeId="0" xr:uid="{00000000-0006-0000-1500-000002000000}">
      <text>
        <r>
          <rPr>
            <b/>
            <sz val="9"/>
            <color indexed="81"/>
            <rFont val="Tahoma"/>
            <family val="2"/>
          </rPr>
          <t>Autor:</t>
        </r>
        <r>
          <rPr>
            <sz val="9"/>
            <color indexed="81"/>
            <rFont val="Tahoma"/>
            <family val="2"/>
          </rPr>
          <t xml:space="preserve">
Finalizo el texto en punto para que no coincida el nombre con las periodificaciones a C/P del pasivo corriente y así evitar error al ordenar por la columna OrdenNivel3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<sst xmlns="http://schemas.openxmlformats.org/spreadsheetml/2006/main" count="7811" uniqueCount="1789">
  <si>
    <t>Saldos (31/12/2023)</t>
  </si>
  <si>
    <t>Grupo</t>
  </si>
  <si>
    <t>Código</t>
  </si>
  <si>
    <t>Nombre de la cuenta</t>
  </si>
  <si>
    <t>Deudor</t>
  </si>
  <si>
    <t>Acreedor</t>
  </si>
  <si>
    <r>
      <rPr>
        <b/>
        <sz val="11"/>
        <color theme="1"/>
        <rFont val="Arial"/>
        <family val="2"/>
      </rPr>
      <t>Grupo 1
Financiación básica</t>
    </r>
    <r>
      <rPr>
        <sz val="11"/>
        <color theme="1"/>
        <rFont val="Arial"/>
        <family val="2"/>
      </rPr>
      <t xml:space="preserve">
PN y PNC (l/p)</t>
    </r>
  </si>
  <si>
    <t xml:space="preserve"> Capital social</t>
  </si>
  <si>
    <t xml:space="preserve"> Reserva legal</t>
  </si>
  <si>
    <t xml:space="preserve"> Reservas voluntarias</t>
  </si>
  <si>
    <t xml:space="preserve"> Remanente</t>
  </si>
  <si>
    <t xml:space="preserve"> Deudas a largo plazo con entidades de crédito</t>
  </si>
  <si>
    <t xml:space="preserve"> Deudas a largo plazo</t>
  </si>
  <si>
    <t xml:space="preserve"> Proveedores de inmovilizado a largo plazo </t>
  </si>
  <si>
    <t xml:space="preserve"> Fianzas recibidas a largo plazo</t>
  </si>
  <si>
    <r>
      <rPr>
        <b/>
        <sz val="11"/>
        <color theme="1"/>
        <rFont val="Arial"/>
        <family val="2"/>
      </rPr>
      <t>Grupo 2
Activo no corriente</t>
    </r>
    <r>
      <rPr>
        <sz val="11"/>
        <color theme="1"/>
        <rFont val="Arial"/>
        <family val="2"/>
      </rPr>
      <t xml:space="preserve">
ANC (l/p)</t>
    </r>
  </si>
  <si>
    <t xml:space="preserve"> Propiedad industrial</t>
  </si>
  <si>
    <t xml:space="preserve"> Aplicaciones informáticas</t>
  </si>
  <si>
    <t xml:space="preserve"> Terrenos y bienes naturales</t>
  </si>
  <si>
    <t xml:space="preserve"> Construcciones</t>
  </si>
  <si>
    <t xml:space="preserve"> Instalaciones técnicas</t>
  </si>
  <si>
    <t xml:space="preserve"> Maquinaria</t>
  </si>
  <si>
    <t xml:space="preserve"> Utillaje</t>
  </si>
  <si>
    <t xml:space="preserve"> Mobiliario</t>
  </si>
  <si>
    <t xml:space="preserve"> Equipos para procesos de información</t>
  </si>
  <si>
    <t xml:space="preserve"> Elementos de transporte</t>
  </si>
  <si>
    <t xml:space="preserve"> Inversiones en terrenos y bienes naturales</t>
  </si>
  <si>
    <t xml:space="preserve"> Inversiones en construcciones</t>
  </si>
  <si>
    <t xml:space="preserve"> Inversiones financieras a largo plazo en instrumentos de patrimonio</t>
  </si>
  <si>
    <t xml:space="preserve"> Créditos a largo plazo</t>
  </si>
  <si>
    <t xml:space="preserve"> Créditos a largo plazo por enajenación de inmovilizado</t>
  </si>
  <si>
    <t xml:space="preserve"> Imposiciones a largo plazo</t>
  </si>
  <si>
    <t xml:space="preserve"> Fianzas constituidas a largo plazo</t>
  </si>
  <si>
    <t xml:space="preserve"> Amortización acumulada del inmovilizado intangible</t>
  </si>
  <si>
    <t xml:space="preserve"> Amortización acumulada del inmovilizado material</t>
  </si>
  <si>
    <t xml:space="preserve"> Amortización acumulada de las inversiones inmobiliarias</t>
  </si>
  <si>
    <t xml:space="preserve"> Deterioro de valor del inmovilizado material</t>
  </si>
  <si>
    <r>
      <rPr>
        <b/>
        <sz val="11"/>
        <color theme="1"/>
        <rFont val="Arial"/>
        <family val="2"/>
      </rPr>
      <t>Grupo 3
Existencias</t>
    </r>
    <r>
      <rPr>
        <sz val="11"/>
        <color theme="1"/>
        <rFont val="Arial"/>
        <family val="2"/>
      </rPr>
      <t xml:space="preserve">
AC (c/p)</t>
    </r>
  </si>
  <si>
    <t xml:space="preserve"> Mercaderías</t>
  </si>
  <si>
    <t xml:space="preserve"> Materias primas</t>
  </si>
  <si>
    <t xml:space="preserve"> Combustibles</t>
  </si>
  <si>
    <t xml:space="preserve"> Embalajes</t>
  </si>
  <si>
    <t xml:space="preserve"> Envases</t>
  </si>
  <si>
    <t xml:space="preserve"> Material de oficina</t>
  </si>
  <si>
    <t xml:space="preserve"> Productos en curs</t>
  </si>
  <si>
    <t xml:space="preserve"> Productos semiterminados</t>
  </si>
  <si>
    <t xml:space="preserve"> Productos terminados</t>
  </si>
  <si>
    <t xml:space="preserve"> Subproductos</t>
  </si>
  <si>
    <t xml:space="preserve"> Residuos</t>
  </si>
  <si>
    <t xml:space="preserve"> Materiales recuperados</t>
  </si>
  <si>
    <t xml:space="preserve"> Deterioro de valor de las mercaderías</t>
  </si>
  <si>
    <r>
      <rPr>
        <b/>
        <sz val="11"/>
        <color theme="1"/>
        <rFont val="Arial"/>
        <family val="2"/>
      </rPr>
      <t>Grupo 4
Acreedores y deudores por operaciones comerciales</t>
    </r>
    <r>
      <rPr>
        <sz val="11"/>
        <color theme="1"/>
        <rFont val="Arial"/>
        <family val="2"/>
      </rPr>
      <t xml:space="preserve">
Ac (c/p) y PC (c/p)</t>
    </r>
  </si>
  <si>
    <t xml:space="preserve"> Proveedores</t>
  </si>
  <si>
    <t xml:space="preserve"> Anticipos a proveedores</t>
  </si>
  <si>
    <t xml:space="preserve"> Acreedores por prestaciones de servicios</t>
  </si>
  <si>
    <t xml:space="preserve"> Clientes</t>
  </si>
  <si>
    <t xml:space="preserve"> Clientes de dudoso cobro</t>
  </si>
  <si>
    <t xml:space="preserve"> Anticipos de clientes</t>
  </si>
  <si>
    <t xml:space="preserve"> Deudores</t>
  </si>
  <si>
    <t xml:space="preserve"> Anticipos de remuneraciones</t>
  </si>
  <si>
    <t xml:space="preserve"> Remuneraciones pendientes de pago</t>
  </si>
  <si>
    <t xml:space="preserve"> Hacienda Pública, deudora por IVA</t>
  </si>
  <si>
    <t>Organismos de la Seguridad Social, deudores</t>
  </si>
  <si>
    <t xml:space="preserve"> Hacienda Pública, IVA soportado</t>
  </si>
  <si>
    <t xml:space="preserve"> Hacienda Pública, retenciones y pagos a cuenta</t>
  </si>
  <si>
    <t xml:space="preserve"> Hacienda Pública, acreedora por IVA</t>
  </si>
  <si>
    <t xml:space="preserve"> Hacienda Pública, acreedora por retenciones practicadas</t>
  </si>
  <si>
    <t xml:space="preserve"> Hacienda Pública, acreedora por impuesto sobre sociedades</t>
  </si>
  <si>
    <t xml:space="preserve"> Organismos de la Seguridad Social, acreedores</t>
  </si>
  <si>
    <t xml:space="preserve"> Hacienda Pública, IVA repercutido</t>
  </si>
  <si>
    <t xml:space="preserve"> Gastos anticipados</t>
  </si>
  <si>
    <t xml:space="preserve"> Ingresos anticipados</t>
  </si>
  <si>
    <t xml:space="preserve"> Deterioro de valor de créditos por operaciones comerciales</t>
  </si>
  <si>
    <r>
      <rPr>
        <b/>
        <sz val="11"/>
        <color theme="1"/>
        <rFont val="Arial"/>
        <family val="2"/>
      </rPr>
      <t>Grupo 5
Cuentas financieras</t>
    </r>
    <r>
      <rPr>
        <sz val="11"/>
        <color theme="1"/>
        <rFont val="Arial"/>
        <family val="2"/>
      </rPr>
      <t xml:space="preserve">
AC (c/p) y PC (l/p)</t>
    </r>
  </si>
  <si>
    <t xml:space="preserve"> Deudas a corto plazo con entidades de crédito</t>
  </si>
  <si>
    <t xml:space="preserve"> Deudas a corto plazo</t>
  </si>
  <si>
    <t xml:space="preserve"> Proveedores de inmovilizado a corto plazo</t>
  </si>
  <si>
    <t xml:space="preserve"> Dividendo activo a pagar</t>
  </si>
  <si>
    <t xml:space="preserve"> Intereses a corto plazo de deudas con entidades de crédito</t>
  </si>
  <si>
    <t xml:space="preserve"> Intereses a corto plazo de deudas</t>
  </si>
  <si>
    <t xml:space="preserve"> Inversiones financieras a corto plazo en instrumentos de patrimonio</t>
  </si>
  <si>
    <t xml:space="preserve"> Créditos a corto plazo</t>
  </si>
  <si>
    <t xml:space="preserve"> Créditos a corto plazo por enajenación de inmovilizado</t>
  </si>
  <si>
    <t xml:space="preserve"> Intereses a corto plazo de créditos</t>
  </si>
  <si>
    <t xml:space="preserve"> Imposiciones a corto plazo</t>
  </si>
  <si>
    <t xml:space="preserve"> Dividendo activo a cuenta</t>
  </si>
  <si>
    <t xml:space="preserve"> Fianzas recibidas a corto plazo</t>
  </si>
  <si>
    <t xml:space="preserve"> Fianzas constituidas a corto plazo</t>
  </si>
  <si>
    <t xml:space="preserve"> Caja, euros</t>
  </si>
  <si>
    <t xml:space="preserve"> Bancos e instituciones de crédito c/c vista, euros</t>
  </si>
  <si>
    <r>
      <rPr>
        <b/>
        <sz val="11"/>
        <color theme="1"/>
        <rFont val="Arial"/>
        <family val="2"/>
      </rPr>
      <t>Grupo 6
Compras y gastos</t>
    </r>
    <r>
      <rPr>
        <sz val="11"/>
        <color theme="1"/>
        <rFont val="Arial"/>
        <family val="2"/>
      </rPr>
      <t xml:space="preserve">
G</t>
    </r>
  </si>
  <si>
    <t xml:space="preserve"> Compras de mercaderías</t>
  </si>
  <si>
    <t xml:space="preserve"> Compras de materias primas</t>
  </si>
  <si>
    <t xml:space="preserve"> Descuentos sobre compras por pronto pago</t>
  </si>
  <si>
    <t xml:space="preserve"> Devoluciones de compras y operaciones similares</t>
  </si>
  <si>
    <t xml:space="preserve"> “Rappels” por compras</t>
  </si>
  <si>
    <t xml:space="preserve"> Variación de existencias de mercaderías</t>
  </si>
  <si>
    <t xml:space="preserve"> Variación de existencias de materias primas</t>
  </si>
  <si>
    <t xml:space="preserve"> Arrendamientos y cánones</t>
  </si>
  <si>
    <t xml:space="preserve"> Reparaciones y conservación</t>
  </si>
  <si>
    <t xml:space="preserve"> Servicios de profesionales independientes</t>
  </si>
  <si>
    <t xml:space="preserve"> Transportes</t>
  </si>
  <si>
    <t xml:space="preserve"> Primas de seguros</t>
  </si>
  <si>
    <t xml:space="preserve"> Servicios bancarios y similares</t>
  </si>
  <si>
    <t xml:space="preserve"> Publicidad, propaganda y relaciones públicas</t>
  </si>
  <si>
    <t xml:space="preserve"> Suministros</t>
  </si>
  <si>
    <t xml:space="preserve"> Otros servicios</t>
  </si>
  <si>
    <t xml:space="preserve"> Impuesto sobre beneficios</t>
  </si>
  <si>
    <t xml:space="preserve"> Sueldos y salarios</t>
  </si>
  <si>
    <t xml:space="preserve"> Seguridad Social a cargo de la empresa</t>
  </si>
  <si>
    <t xml:space="preserve"> Pérdidas de créditos comerciales incobrables</t>
  </si>
  <si>
    <t xml:space="preserve"> Intereses de deudas</t>
  </si>
  <si>
    <t xml:space="preserve"> Otros gastos financieros</t>
  </si>
  <si>
    <t xml:space="preserve"> Pérdidas procedentes del inmovilizado intangible</t>
  </si>
  <si>
    <t xml:space="preserve"> Pérdidas procedentes del inmovilizado material</t>
  </si>
  <si>
    <t xml:space="preserve"> Pérdidas procedentes de las inversiones inmobiliarias</t>
  </si>
  <si>
    <t xml:space="preserve"> Gastos excepcionales</t>
  </si>
  <si>
    <t xml:space="preserve"> Amortización del inmovilizado intangible</t>
  </si>
  <si>
    <t xml:space="preserve"> Amortización del inmovilizado material</t>
  </si>
  <si>
    <t xml:space="preserve"> Amortización de las inversiones inmobiliarias</t>
  </si>
  <si>
    <t xml:space="preserve"> Pérdidas por deterioro del inmovilizado material</t>
  </si>
  <si>
    <t xml:space="preserve"> Pérdidas por deterioro de existencias</t>
  </si>
  <si>
    <t xml:space="preserve"> Pérdidas por deterioro de créditos por operaciones comerciales</t>
  </si>
  <si>
    <r>
      <rPr>
        <b/>
        <sz val="11"/>
        <color theme="1"/>
        <rFont val="Arial"/>
        <family val="2"/>
      </rPr>
      <t>Grupo 7
Ventas e ingresos</t>
    </r>
    <r>
      <rPr>
        <sz val="11"/>
        <color theme="1"/>
        <rFont val="Arial"/>
        <family val="2"/>
      </rPr>
      <t xml:space="preserve">
I</t>
    </r>
  </si>
  <si>
    <t xml:space="preserve"> Ventas de mercaderías</t>
  </si>
  <si>
    <t xml:space="preserve"> Ventas de productos terminados</t>
  </si>
  <si>
    <t xml:space="preserve"> Ventas de productos semiterminados</t>
  </si>
  <si>
    <t xml:space="preserve"> Ventas de subproductos y residuos</t>
  </si>
  <si>
    <t xml:space="preserve"> Prestaciones de servicios</t>
  </si>
  <si>
    <t xml:space="preserve"> Descuentos sobre ventas por pronto pago</t>
  </si>
  <si>
    <t xml:space="preserve"> Devoluciones de ventas y operaciones similares</t>
  </si>
  <si>
    <t xml:space="preserve"> “Rappels” sobre ventas</t>
  </si>
  <si>
    <t xml:space="preserve"> Variación de existencias de productos en curso</t>
  </si>
  <si>
    <t xml:space="preserve"> Variación de existencias de productos semiterminados</t>
  </si>
  <si>
    <t xml:space="preserve"> Variación de existencias de productos terminados</t>
  </si>
  <si>
    <t xml:space="preserve"> Variación de existencias de subproductos, residuos y materiales recuperados</t>
  </si>
  <si>
    <t xml:space="preserve"> Ingresos por arrendamientos</t>
  </si>
  <si>
    <t xml:space="preserve"> Ingresos de créditos</t>
  </si>
  <si>
    <t xml:space="preserve"> Otros ingresos financieros</t>
  </si>
  <si>
    <t xml:space="preserve"> Beneficios procedentes del inmovilizado intangible</t>
  </si>
  <si>
    <t xml:space="preserve"> Beneficios procedentes del inmovilizado mate rial</t>
  </si>
  <si>
    <t xml:space="preserve"> Beneficios procedentes de las inversiones inmobiliarias</t>
  </si>
  <si>
    <t xml:space="preserve"> Ingresos excepcionales</t>
  </si>
  <si>
    <t xml:space="preserve"> Reversión del deterioro del inmovilizado material</t>
  </si>
  <si>
    <t xml:space="preserve"> Reversión del deterioro de créditos por operaciones comerciales</t>
  </si>
  <si>
    <t>INTRODUCCIÓN</t>
  </si>
  <si>
    <t>Esta plantilla de Excel® es el resultado de un proyecto de desarrollo de una herramienta educativa que permite a los estudiantes de asignaturas básicas de Contabilidad el registro de los hechos contables a través de asientos (Libro Diario). A partir de ello, y de forma totalmente automatizada, se generan: las correspondientes cuentas (Libro Mayor), el Balance de Comprobación de Sumas y Saldos, el Balance de Situación, la Cuenta de Pérdidas y Ganancias y algunos de los principales indicadores para interpretar la situación económico-financiera de una empresa. En este caso concreto, la empresa es una "QUESERÍA", cuya actividad principal es la fabricación y venta de quesos. Adicionalmente, compra y vende mercaderías (mermelada, miel, productos de merchandising, etc.) y presta servicios (visitas guiadas a la empresa, talleres y catas de sus productos, etc.).</t>
  </si>
  <si>
    <t>IMPORTANTE</t>
  </si>
  <si>
    <t>Esta plantilla no reemplaza ningún porgrama de gestión contable, sino que pretende facilitar el proceso de aprendizaje en el entorno educativo.</t>
  </si>
  <si>
    <t xml:space="preserve">Esta versión está diseñada para ser utilizada con Excel en línea, aplicación web que forma parte de Microsoft 365. </t>
  </si>
  <si>
    <t>Es gratuita y se ejecuta en el navegador web, sin necesidad de instalar el programa en el ordenador. Para acceder, es necesario contar con una cuenta de Microsoft.</t>
  </si>
  <si>
    <t>También pude ser utilizado con la versión de escritorio, pero para su correcto funcionamiento deberá contar con la versión Excel 2021.</t>
  </si>
  <si>
    <t>RECOMENDACIONES DE USO</t>
  </si>
  <si>
    <t>La plantilla consta de varias pestañas (Balance de Comprobación Inicial, Libro Diario, Cuentas individuales, Libro Mayor, etc.).</t>
  </si>
  <si>
    <t>El estudiante solo deberá ingresar información de forma manual en las dos primeras: Balance de Comprobación Inicial y Libro Diario.</t>
  </si>
  <si>
    <t>Las demás pestañas se encuentran totalmente automatizadas, por lo que se recomienda no modificar tablas ni fórmulas.</t>
  </si>
  <si>
    <t>Existen pestañas que permanecen ocultas para facilitar la navegación.</t>
  </si>
  <si>
    <t>ACLARACIONES</t>
  </si>
  <si>
    <t>*Microsoft Excel es un programa registrado por Microsoft Corporation. La presente planilla de Excel es un producto independiente y no ha sido autorizada,</t>
  </si>
  <si>
    <t>sponsoreada, o de cualquier otra forma aprobada por Microsoft Corporation.</t>
  </si>
  <si>
    <t>Versión 2025.11</t>
  </si>
  <si>
    <t>Actualizada el 23/04/2025</t>
  </si>
  <si>
    <t>BALANCE DE COMPROBACIÓN</t>
  </si>
  <si>
    <t>Saldos (31/12/2024)</t>
  </si>
  <si>
    <t>Tipo de Cuenta</t>
  </si>
  <si>
    <r>
      <rPr>
        <b/>
        <sz val="11"/>
        <color theme="1"/>
        <rFont val="Arial"/>
        <family val="2"/>
      </rPr>
      <t>Grupo 1
Financiación básica</t>
    </r>
    <r>
      <rPr>
        <sz val="11"/>
        <color theme="1"/>
        <rFont val="Arial"/>
        <family val="2"/>
      </rPr>
      <t xml:space="preserve">
PN y PNC (L/P)</t>
    </r>
  </si>
  <si>
    <t>100 -  Capital social</t>
  </si>
  <si>
    <t>112 -  Reserva legal</t>
  </si>
  <si>
    <t>129 -  Resultado del ejercicio</t>
  </si>
  <si>
    <t>170 -  Deudas a largo plazo con entidades de crédito</t>
  </si>
  <si>
    <t>173 -  Proveedores de inmovilizado a largo plazo</t>
  </si>
  <si>
    <r>
      <rPr>
        <b/>
        <sz val="11"/>
        <color theme="1"/>
        <rFont val="Arial"/>
        <family val="2"/>
      </rPr>
      <t>Grupo 2
Activo no corriente</t>
    </r>
    <r>
      <rPr>
        <sz val="11"/>
        <color theme="1"/>
        <rFont val="Arial"/>
        <family val="2"/>
      </rPr>
      <t xml:space="preserve">
ANC (L/P)</t>
    </r>
  </si>
  <si>
    <t>203 -  Propiedad industrial</t>
  </si>
  <si>
    <t>206 -  Aplicaciones informáticas</t>
  </si>
  <si>
    <t>210 -  Terrenos y bienes naturales</t>
  </si>
  <si>
    <t>211 -  Construcciones</t>
  </si>
  <si>
    <t>213 -  Maquinaria</t>
  </si>
  <si>
    <t>216 -  Mobiliario</t>
  </si>
  <si>
    <t>217 -  Equipos para proceso de información</t>
  </si>
  <si>
    <t>218 -  Elementos de transporte</t>
  </si>
  <si>
    <t>221 -  Inversiones construcciones</t>
  </si>
  <si>
    <t>258 -  Imposiciones a largo plazo</t>
  </si>
  <si>
    <t>280 -  Amortización acumulada de inmovilizado intangible</t>
  </si>
  <si>
    <t>281 -  Amortizacion acumulada de inmovilizado material</t>
  </si>
  <si>
    <t>282 -  Amortización acumulada de las inversiones inmobiliarias</t>
  </si>
  <si>
    <t>291 -  Deterioro de valor del inmovilizado material</t>
  </si>
  <si>
    <r>
      <rPr>
        <b/>
        <sz val="11"/>
        <color theme="1"/>
        <rFont val="Arial"/>
        <family val="2"/>
      </rPr>
      <t>Grupo 3
Existencias</t>
    </r>
    <r>
      <rPr>
        <sz val="11"/>
        <color theme="1"/>
        <rFont val="Arial"/>
        <family val="2"/>
      </rPr>
      <t xml:space="preserve">
AC (C/P)</t>
    </r>
  </si>
  <si>
    <t>300 -  Mercaderías</t>
  </si>
  <si>
    <t>310 -  Materias primas</t>
  </si>
  <si>
    <t>350 -  Productos terminados</t>
  </si>
  <si>
    <t>390 -  Deterioro de valor de las mercaderías</t>
  </si>
  <si>
    <r>
      <rPr>
        <b/>
        <sz val="11"/>
        <color theme="1"/>
        <rFont val="Arial"/>
        <family val="2"/>
      </rPr>
      <t>Grupo 4
Acreedores y deudores por operaciones comerciales</t>
    </r>
    <r>
      <rPr>
        <sz val="11"/>
        <color theme="1"/>
        <rFont val="Arial"/>
        <family val="2"/>
      </rPr>
      <t xml:space="preserve">
AC (C/P) y PC (C/P)</t>
    </r>
  </si>
  <si>
    <t>400 -  Proveedores</t>
  </si>
  <si>
    <t>410 -  Acreedores por prestaciones de servicios</t>
  </si>
  <si>
    <t>430 -  Clientes</t>
  </si>
  <si>
    <t>4750 -  Hacienda Pública, acreedora por IVA</t>
  </si>
  <si>
    <t>4751 -  Hacienda Pública, acreedora por retenciones practicadas</t>
  </si>
  <si>
    <t>4752 -  Hacienda Pública, acreedora por impuesto sobre sociedades</t>
  </si>
  <si>
    <t>476  -  Organismos de la Seguridad Social, acreedores</t>
  </si>
  <si>
    <r>
      <rPr>
        <b/>
        <sz val="11"/>
        <color theme="1"/>
        <rFont val="Arial"/>
        <family val="2"/>
      </rPr>
      <t>Grupo 5
Cuentas financieras</t>
    </r>
    <r>
      <rPr>
        <sz val="11"/>
        <color theme="1"/>
        <rFont val="Arial"/>
        <family val="2"/>
      </rPr>
      <t xml:space="preserve">
AC (C/P) y PC (L/P)</t>
    </r>
  </si>
  <si>
    <t>520 -  Deudas a corto plazo con entidades de crédito</t>
  </si>
  <si>
    <t>523 -  Proveedores de inmovilizado a corto plazo</t>
  </si>
  <si>
    <t>527 -  Intereses a corto plazo de deudas con entidades de crédito</t>
  </si>
  <si>
    <t>543 -  Créditos a corto plazo por enajenación del inmovilizado</t>
  </si>
  <si>
    <t>548 -  Imposiciones a corto plazo</t>
  </si>
  <si>
    <t>565 -  Fianzas constituidas a corto plazo</t>
  </si>
  <si>
    <t>570 -  Caja, euros</t>
  </si>
  <si>
    <t>572 -  Bancos e instituciones de crédito c/c vista, euros</t>
  </si>
  <si>
    <t>TOTALES</t>
  </si>
  <si>
    <t>LIBRO DIARIO (ASIENTOS)</t>
  </si>
  <si>
    <t>DEBE</t>
  </si>
  <si>
    <t>HABER</t>
  </si>
  <si>
    <t>200 -  Investigación</t>
  </si>
  <si>
    <t>110 -  Prima de emisión o asunción</t>
  </si>
  <si>
    <t>220 -  Inversiones en terrenos y bienes naturales</t>
  </si>
  <si>
    <t>113 -  Reservas voluntarias</t>
  </si>
  <si>
    <t>240 -  Participaciones a largo plazo en partes vinculadas</t>
  </si>
  <si>
    <t>108 -  Acciones o participaciones propias en situaciones especiales</t>
  </si>
  <si>
    <t xml:space="preserve">242 -  Créditos a largo plazo a partes vinculadas </t>
  </si>
  <si>
    <t>120 -  Remanente</t>
  </si>
  <si>
    <t>474 -  Activos por impuesto diferido</t>
  </si>
  <si>
    <t>118 -  Aportaciones de socios o propietarios</t>
  </si>
  <si>
    <t>580 -  Inmovilizado</t>
  </si>
  <si>
    <t>557 -  Dividendo activo a cuenta</t>
  </si>
  <si>
    <t>111 -  Otros instrumentos de patrimonio neto</t>
  </si>
  <si>
    <t>530 -  Participaciones a corto plazo en partes vinculadas</t>
  </si>
  <si>
    <t>140 -  Provisión por retribuciones a largo plazo al personal</t>
  </si>
  <si>
    <t>532 -  Créditos a corto plazo a partes vinculadas</t>
  </si>
  <si>
    <t>150 -  Acciones o participaciones a largo plazo contabilizadas como pasivos financieros</t>
  </si>
  <si>
    <t>480 -  Gastos anticipados</t>
  </si>
  <si>
    <t>160 -  Deudas a largo plazo con entidades de crédito vinculadas</t>
  </si>
  <si>
    <t>479 -  Pasivos por diferencias temporarias imponibles</t>
  </si>
  <si>
    <t>181 -  Anticipos recibidos por ventas o prestaciones de servicios a largo plazo</t>
  </si>
  <si>
    <t>585 -  Provisiones</t>
  </si>
  <si>
    <t>499 -  Provisión por operaciones comerciales</t>
  </si>
  <si>
    <t>103  - Socios por desembolsos no exigidos</t>
  </si>
  <si>
    <t>510 -  Deudas a corto plazo con entidades de crédito vinculadas</t>
  </si>
  <si>
    <t>485 -  Ingresos anticipados</t>
  </si>
  <si>
    <t>700 -  Ventas de mercaderías</t>
  </si>
  <si>
    <t>710 -  Variación de existencias de productos en curso</t>
  </si>
  <si>
    <t>730 -  Trabajos realizados para el inmovilizado intangible</t>
  </si>
  <si>
    <t>600 -  Compras de mercaderías</t>
  </si>
  <si>
    <t>740 -  Subvenciones, donaciones y legados a la explotación</t>
  </si>
  <si>
    <t>640 -  Sueldos y salarios</t>
  </si>
  <si>
    <t>620 -  Gastos en investigación y desarrollo del ejercicio</t>
  </si>
  <si>
    <t>680 -  Amortización del inmovilizado intangible</t>
  </si>
  <si>
    <t>746 -  Subvenciones, donaciones y legados de capital transferidas al resultado del ejercicio</t>
  </si>
  <si>
    <t>795 -  Exceso de provisiones</t>
  </si>
  <si>
    <t>670 -  Pérdidas procedentes del inmovilizado intangible</t>
  </si>
  <si>
    <t>678 -  Gastos excepcionales</t>
  </si>
  <si>
    <t>760 -  Ingresos de participaciones en instrumentos de patrimonio, empresas del grupo</t>
  </si>
  <si>
    <t>660 -  Gastos financieros por actualización de provisiones</t>
  </si>
  <si>
    <t>663 -  Pérdidas por valoración de instrumentos financieros por su valor razonable</t>
  </si>
  <si>
    <t>668 -  Diferencias negativas de cambio</t>
  </si>
  <si>
    <t>666 -  Pérdidas en participaciones y valores representativos de deuda</t>
  </si>
  <si>
    <t>630 -  Impuesto sobre beneficios</t>
  </si>
  <si>
    <t>Estructura Balance y PyG</t>
  </si>
  <si>
    <t>Saldo Inicial</t>
  </si>
  <si>
    <t>Apartado 1 - ASIENTO 1</t>
  </si>
  <si>
    <t>Descripción</t>
  </si>
  <si>
    <t>Contabilizar el asiento de apertura del ejercicio económico 2025.</t>
  </si>
  <si>
    <t>Asiento de Apertura</t>
  </si>
  <si>
    <t>Apartado 2 - ASIENTO 2</t>
  </si>
  <si>
    <t>Un cliente paga en efectivo una factura que tenía pendiente por importe de 2.000 euros.</t>
  </si>
  <si>
    <t>Operaciones del Ejercicio</t>
  </si>
  <si>
    <t>Apartado 3 - ASIENTO 3</t>
  </si>
  <si>
    <t>Otro cliente paga mediante transferencia bancaria una factura que tenía pendiente por importe de 10.000 euros.</t>
  </si>
  <si>
    <t>Apartado 4 - ASIENTO 4</t>
  </si>
  <si>
    <t>La empresa paga a un suministrador de mermeladas y miel una factura que tenía pendiente por importe de 6.000 euros. El 90% se paga mediante transferencia bancaria y el resto en billetes de 100 euros.</t>
  </si>
  <si>
    <t>Apartado 5 - ASIENTO 5</t>
  </si>
  <si>
    <r>
      <t>La empresa salda todas sus deudas con Hacienda Pública y los organismos de la Seguridad Social, salvo lo correspondiente al impuesto sobre sociedades (</t>
    </r>
    <r>
      <rPr>
        <i/>
        <sz val="11"/>
        <color rgb="FF000000"/>
        <rFont val="Arial"/>
        <family val="2"/>
      </rPr>
      <t>esto se comentará a 31/12/2025</t>
    </r>
    <r>
      <rPr>
        <sz val="11"/>
        <color rgb="FF000000"/>
        <rFont val="Arial"/>
        <family val="2"/>
      </rPr>
      <t>).</t>
    </r>
  </si>
  <si>
    <t>Apartado 6 - ASIENTO 6</t>
  </si>
  <si>
    <r>
      <t>Operación sorpresa:</t>
    </r>
    <r>
      <rPr>
        <sz val="11"/>
        <color rgb="FF000000"/>
        <rFont val="Arial"/>
        <family val="2"/>
      </rPr>
      <t xml:space="preserve"> La empresa paga los intereses anuales generados por el préstamo bancario a largo plazo que tiene contratado, que ascienden a un total de 6.000 euros.</t>
    </r>
  </si>
  <si>
    <t>Apartado 7 - ASIENTO 7</t>
  </si>
  <si>
    <t>El Ayuntamiento del pueblo de al lado le devuelve en efectivo solamente la mitad de la fianza que la empresa entregó en concepto de garantía por el alquiler de un local durante las pasadas Navidades, al haber encontrado dos ventanas rotas y una mesa totalmente destrozada.</t>
  </si>
  <si>
    <t>Apartado 8 - ASIENTO 8</t>
  </si>
  <si>
    <t>La empresa compra 50 tarros de miel para ponerlos a la venta. El precio unitario de compra es de 6 euros, más el 10% de IVA. Paga la mitad en efectivo y la otra mitad queda pendiente de pago.</t>
  </si>
  <si>
    <t>Apartado 9 - ASIENTO 9</t>
  </si>
  <si>
    <t>La empresa compra 500 litros de leche para hacer queso. El precio de compra es de 0,2 euros/litro, más el 4% de IVA. Paga todo a través de Bizum.</t>
  </si>
  <si>
    <t>Apartado 10 - ASIENTO 10</t>
  </si>
  <si>
    <t>La empresa compra a crédito un lote de 40 tarros de mermelada para ponerlos a la venta. El precio de compra es de 5 euros/unidad. Se aplica un descuento del 10%, que se incluye en la factura, por el volumen total de compras realizado el año pasado. A ello se añade el 10% de IVA.</t>
  </si>
  <si>
    <t>Apartado 11(A) - ASIENTO 11</t>
  </si>
  <si>
    <t>La empresa compra al contado 100 kilos de sal para hacer queso. El importe total de la factura es de 110 euros, incluyendo el 10% de IVA. Paga todo en billetes de 10 euros.</t>
  </si>
  <si>
    <t>Apartado 11(B) - ASIENTO 12</t>
  </si>
  <si>
    <t>Al día siguiente, la empresa devuelve la mitad de los paquetes, por estar los envases defectuosos y la sal enmohecida. El proveedor le devuelve el dinero correspondiente a través de Bizum.</t>
  </si>
  <si>
    <t>Apartado 12 - ASIENTO 13</t>
  </si>
  <si>
    <t>La empresa vende 20 tarros de miel a una tienda de alimentación del pueblo. El precio unitario de venta es de 10 euros, más el 10% de IVA. Cobra en metálico el importe correspondiente al IVA y, del resto, la mitad lo recibe por Bizum y la otra mitad queda pendiente de cobro.</t>
  </si>
  <si>
    <t>Apartado 13 - ASIENTO 14</t>
  </si>
  <si>
    <t>La empresa vende 100 quesos a una cadena de supermercados. El importe total de la factura es de 416 euros, incluyendo el 4% de IVA. Todo queda pendiente de cobro.</t>
  </si>
  <si>
    <t>Apartado 14 - ASIENTO 15</t>
  </si>
  <si>
    <t>La empresa vende a una cafetería 10 tarros de mermelada. El precio unitario de venta es de 8 euros. Se aplica un descuento del 12,5%, que se incluye en la factura, porque el dueño de la cafetería es primo de una de las socias de la empresa. A ello se añade el 10% de IVA. La operación se realiza al contado, mediante transferencia bancaria.</t>
  </si>
  <si>
    <t>Apartado 15(A) - ASIENTO 16</t>
  </si>
  <si>
    <t>La empresa vende 60 quesos a una charcutería. El importe total de la factura es de 208 euros, incluyendo el 4% de IVA. La charcutera entrega cuatro billetes de 50 euros y cuatro monedas de 2 euros.</t>
  </si>
  <si>
    <t>Apartado 15(B) - ASIENTO 17</t>
  </si>
  <si>
    <t>Al día siguiente, la charcutera devuelve un cuarto de la mercancía, porque los quesos pesan un 25% menos de lo requerido. La empresa le devuelve el dinero correspondiente a través de Bizum.</t>
  </si>
  <si>
    <t>Apartado 16 - ASIENTO 18</t>
  </si>
  <si>
    <t>Junto con la aprobación de las Cuentas Anuales, los socios de la empresa acuerdan la siguiente distribución del resultado del pasado ejercicio económico 2024: (a) Reserva legal: el mínimo exigido por Ley (10% del beneficio hasta que la reserva legal alcance, al menos, el 20% del capital social); (b) Reservas voluntarias: 5.000 euros; (c) Dividendos: 100.000 euros; y (d) El resto, de momento, lo dejan sin repartir.</t>
  </si>
  <si>
    <t>Apartado 17 - ASIENTO 19</t>
  </si>
  <si>
    <t>La empresa realiza un taller sobre elaboración de queso a 50 estudiantes universitarios y 2 profesores. El precio por persona es de 9 euros. La operación, que queda pendiente de cobro, está exenta de IVA, al tratarse de una actividad formativa.</t>
  </si>
  <si>
    <t>Apartado 18 - ASIENTO 20</t>
  </si>
  <si>
    <t>Como la universidad paga dentro de la semana posterior a la realización del taller, la empresa aplica el descuento de 18 euros por pronto pago que habían acordado.</t>
  </si>
  <si>
    <t>Apartado 19(A) - ASIENTO 21</t>
  </si>
  <si>
    <t>Firma el contrato de alquiler de un local en el pueblo de al lado, para establecer un punto de venta durante el verano. El contrato es por tres meses, por un total de 900 euros, más el 21% de IVA. El pago se hace por transferencia bancaria, la mitad en el momento de la firma y la otra mitad al finalizar el contrato.</t>
  </si>
  <si>
    <t>Ojo aquí: el 21/09 hay que contabilizar el pago del otro 50%.</t>
  </si>
  <si>
    <t>Apartado 19(B) - ASIENTO 22</t>
  </si>
  <si>
    <t>Además, se constituye una fianza de 200 euros en metálico para cubrir posibles desperfectos en el local. Al vencimiento del contrato, como no hay desperfectos, la empresa recupera en efectivo el importe total de la fianza.</t>
  </si>
  <si>
    <t>Ojo aquí: el 21/09 hay que contabilizar la devolución de la fianza.</t>
  </si>
  <si>
    <t>Apartado 20 - ASIENTO 23</t>
  </si>
  <si>
    <t>Entra en vigor la renovación de la póliza de seguro de una de las furgonetas que utiliza para el reparto de sus productos. El importe de la prima anual es de 600 euros, estando exento de IVA. El recibo lo tiene domiciliado y se lo pasan por la cuenta corriente ese mismo día.</t>
  </si>
  <si>
    <t>Ojo aquí: el 31/12 hay que periodificar la parte correspondiente al gasto de 2025 (600*6/12=300 euros). TEMA 6 de la asignatura.</t>
  </si>
  <si>
    <t>Apartado 21 - ASIENTO 24</t>
  </si>
  <si>
    <t>La empresa ofrece a otra quesería el servicio de instalación de una máquina pasteurizadora que ha comprado. El precio del servicio es de 121 euros, incluyendo el 21% de IVA. Se cobra al contado y en metálico.</t>
  </si>
  <si>
    <t>Apartado 22(A) - ASIENTO 25</t>
  </si>
  <si>
    <t>La empresa alquila el local de su propiedad que no está utilizando para desarrollar su actividad a un vecino del pueblo, para que éste abra una panadería. El importe total recogido en el contrato anual es de 6.000 euros, más el 21% de IVA. Como le conoce de toda la vida, le permite pagar todo a la vez al finalizar el contrato.</t>
  </si>
  <si>
    <t>Ojo aquí: el 31/12 hay que periodificar la parte correspondiente al ingreso de 2025 (6000*7/12=3500 euros). TEMA 6 de la asignatura.</t>
  </si>
  <si>
    <t>Apartado 22(B) - ASIENTO 26</t>
  </si>
  <si>
    <t>No obstante, el arrendatario entrega ese mismo día por transferencia bancaria una fianza de 600 euros.</t>
  </si>
  <si>
    <t>Apartado 23(A) - ASIENTO 27</t>
  </si>
  <si>
    <t>Llega la fecha de vencimiento de uno de los dos depósitos a plazo fijo que contrató con el banco el pasado 31 de diciembre. La empresa recupera en su cuenta corriente el montante total, más lo correspondiente al 5% anual de intereses, con una retención del 19% sobre la ganancia.</t>
  </si>
  <si>
    <t>Recuperación del principal.</t>
  </si>
  <si>
    <t>Apartado 23(B) - ASIENTO 28</t>
  </si>
  <si>
    <t xml:space="preserve">Cobro del 5% de intereses, menos la retención del 19%. </t>
  </si>
  <si>
    <t>Apartado 24(A) - ASIENTO 29</t>
  </si>
  <si>
    <t>La empresa cobra en su cuenta corriente el importe que estaba pendiente por la venta de una máquina pasteurizadora el pasado 31 de diciembre. Se había acordado un tipo de interés anual del 4,5%, con una retención del 19% sobre la ganancia.</t>
  </si>
  <si>
    <t>Cobro del importe pendiente.</t>
  </si>
  <si>
    <t>Recuperación del montante.</t>
  </si>
  <si>
    <t>Apartado 24(B) - ASIENTO 30</t>
  </si>
  <si>
    <t xml:space="preserve">Cobro del 4,5% anual de intereses, menos la retención del 19%. </t>
  </si>
  <si>
    <t>Apartado 25(A) -  ASIENTO 31</t>
  </si>
  <si>
    <t>Llega la fecha de vencimiento del préstamo que tiene contratado con el banco desde el pasado 31 de diciembre. La empresa paga desde su cuenta corriente el montante total más 600 euros de intereses. Al tratarse de un préstamo con una entidad financiera, no se aplica ninguna retención.</t>
  </si>
  <si>
    <t>Pago del principal.</t>
  </si>
  <si>
    <t>Apartado 25(B) - ASIENTO 32</t>
  </si>
  <si>
    <t>Pago de los 600 euros de intereses.</t>
  </si>
  <si>
    <t>Apartado 19(C) - ASIENTO 33</t>
  </si>
  <si>
    <t>Pago de la otra mitad del alquiler del local al finalizar el contrato.</t>
  </si>
  <si>
    <t>Apartado 19(D) - ASOENTO 34</t>
  </si>
  <si>
    <t>Recuperación de la fianza al vencimiento del contrato de alquiler del local.</t>
  </si>
  <si>
    <t>Apartado 26(A) - ASIENTO 35</t>
  </si>
  <si>
    <t>La empresa paga en efectivo el importe que estaba pendiente por la compra de cuatro mesas el pasado 31 de diciembre. Se había acordado un tipo de interés anual del 4%, con una retención del 19% sobre la ganancia.</t>
  </si>
  <si>
    <t>Pago del importe pendiente.</t>
  </si>
  <si>
    <t>Apartado 26(B) - ASIENTO 36</t>
  </si>
  <si>
    <t xml:space="preserve">Pago del 4% anual de intereses, menos la retención del 19%. </t>
  </si>
  <si>
    <t>Apartado 27 -  ASIENTO 37</t>
  </si>
  <si>
    <t>La empresa adquiere un nuevo ordenador por importe de 720 euros, más el 21% de IVA. También adquiere la licencia de Microsoft para instalar en el mismo, por importe de 145,20 euros, incluyendo el 21% de IVA. Se paga la mitad por transferencia bancaria y la otra mitad queda pendiente de pago para dentro de cuatro meses.</t>
  </si>
  <si>
    <t>Ojo aquí: el 31/12 hay que tener en cuenta la amortización por tres meses de estos dos elementos de inmovilizado. TEMA 6 de la asignatura.</t>
  </si>
  <si>
    <t>Apartado 28 - ASIENTO 38</t>
  </si>
  <si>
    <t>La empresa retira una de las máquinas que se utilizaba para hacer queso, por ser muy vieja y no cumplir con los objetivos productivos. Su precio de adquisición fue 1.800 euros, está totalmente amortizada y no tiene valor residual.</t>
  </si>
  <si>
    <t>Ojo aquí: el 31/12 hay que tener en cuenta que esta máquina ya no está y no hay que amortizar nada por ella, aparte que ya estaba totalmente anortizada. TEMA 6 de la asignatura.</t>
  </si>
  <si>
    <t>Apartado 29(A) - ASIENTO 39</t>
  </si>
  <si>
    <t>La empresa vende una furgoneta que utilizaba para repartir los pedidos, porque consumía mucho combustible. El precio de venta es de 13.310 euros, incluyendo el 21% de IVA. La operación se cobra mediante transferencia bancaria. Se adquirió hace justamente un año por importe de 12.000 euros, más el 21% de IVA. La furgoneta tiene un valor residual de 1.200 euros y su vida útil es de 10 años.</t>
  </si>
  <si>
    <t>Amortización 11 meses 2025</t>
  </si>
  <si>
    <t>Apartado 29(B) - ASIENTO 40</t>
  </si>
  <si>
    <t>Ojo aquí: el 31/12 hay que tener en cuenta que esta furgoneta ya no está y no hay que amortizar nada por ella, aparte que ya estaba totalmente anortizada. TEMA 6 de la asignatura.</t>
  </si>
  <si>
    <t>Apartado 30(A) - ASIENTO 41</t>
  </si>
  <si>
    <t xml:space="preserve">La empresa hace una serie de transferencias bancarias a sus trabajadores, como anticipo de las nóminas del mes de diciembre, por un importe total de 5.000 euros. </t>
  </si>
  <si>
    <t>Apartado 30(B) - ASIENTO 42</t>
  </si>
  <si>
    <t>Una semana más tarde, la empresa contabiliza dichas nóminas, con la siguiente información:
a.	El importe bruto es de 20.000 euros.
b.	La cuota de la empresa a la Seguridad Social es del 30%.
c.	La cuota de los trabajadores a la Seguridad Social es del 6%.
d.	La retención a los trabajadores por IRPF es del 20%.
e.	Se aplica el anticipo de la semana pasada.
f.	Del neto resultante, quedan pendientes de pago 1.800 euros por falta de liquidez en la empresa en esos momentos.</t>
  </si>
  <si>
    <t>Apartado 31 - ASIENTO 43</t>
  </si>
  <si>
    <r>
      <t>La empresa procede a liquidar el IVA (</t>
    </r>
    <r>
      <rPr>
        <i/>
        <sz val="11"/>
        <color rgb="FF000000"/>
        <rFont val="Arial"/>
        <family val="2"/>
      </rPr>
      <t>recordemos que la liquidación del IVA se hace trimestralmente, pero aquí lo hacemos todo junto para hacerlo solo una vez</t>
    </r>
    <r>
      <rPr>
        <sz val="11"/>
        <color rgb="FF000000"/>
        <rFont val="Arial"/>
        <family val="2"/>
      </rPr>
      <t>).</t>
    </r>
  </si>
  <si>
    <t>Apartado 32(A) - ASIENTO 44</t>
  </si>
  <si>
    <t>Periodificar los gastos e ingresos que, en su caso, corresponda. En relación con la OPERACIÓN SORPRESA del apartado 6), se sabe que los intereses que genera el préstamo bancario a largo plazo se pagan cada 31/01 y ascienden a un total de 6.000 euros anuales.</t>
  </si>
  <si>
    <t>Devengo intereses préstamo</t>
  </si>
  <si>
    <t>Ajuste por Periodificación</t>
  </si>
  <si>
    <t>Apartado 32(B) - ASIENTO 45</t>
  </si>
  <si>
    <t>Periodificación gasto: prima de seguro.</t>
  </si>
  <si>
    <t>Apartado 32(C) - ASIENTO 46</t>
  </si>
  <si>
    <t>Periodificación ingreso: arrendamiento local.</t>
  </si>
  <si>
    <t>Apartado 33 - ASIENTO 47</t>
  </si>
  <si>
    <t>El próximo 31/01 vence el único préstamo que ahora tiene contratado con el banco.</t>
  </si>
  <si>
    <t>Ajuste por Reclasificación</t>
  </si>
  <si>
    <t>Apartado 34 - ASIENTO 48</t>
  </si>
  <si>
    <t>El próximo 30/06 tiene que pagar la deuda que mantiene con la empresa que le vendió una máquina hace un año y tres meses.</t>
  </si>
  <si>
    <t>Apartado 35 - ASIENTO 49</t>
  </si>
  <si>
    <t>El inmovilizado intangible tiene los siguientes valores residuales y años de vida útil, no estando ningún elemento totalmente amortizado:
a.	Receta patentada: 0 euros y 20 años.
b.	Programas informáticos: 0 euros y 5 años.</t>
  </si>
  <si>
    <t>Aquí hay que tener en cuenta la propiedad industrial (5.000 euros) y las aplicaciones informáticas (2.000 euros), incluidas las adquiridas el 01/10 (120 euros).</t>
  </si>
  <si>
    <t>Corrección Valorativa - Amortización</t>
  </si>
  <si>
    <t>Apartado 36 - ASIENTO 50</t>
  </si>
  <si>
    <t>El inmovilizado material tiene los siguientes valores residuales y años de vida útil, no estando ningún elemento totalmente amortizado:
a.	Inmueble: 20.000 euros y 50 años.
b.	Máquinas: 0 euros y 10 años.
c.	Muebles y enseres: 0 y 10 años.
d.	Ordenadores, Tablet y caja registradora: 0 y 5 años.
e.	Furgonetas: 10% y 10 años.</t>
  </si>
  <si>
    <t>Aquí hay que tener en cuenta que los terrenos no se amortizan, las construcciones (70.000 euros), la maquinaria (10.000-1.800 euros que se dieron de baja), el mobiliario (4.800 euros), los EPI (1.200 euros, más el ordenador adquirido el 01/10 por 720 euros) y los elementos de transporte (32.000-12.000 euros que se vendieron).</t>
  </si>
  <si>
    <t>Apartado 37 - ASIENTO 51</t>
  </si>
  <si>
    <t>La inversión inmobiliaria tiene el siguiente valor residual y años de vida útil, no estando totalmente amortizada:
a.	Local: 15.000 euros y 50 años.</t>
  </si>
  <si>
    <t>Aquí hay que tener en cuenta las inversiones en construcciones (60.000 euros).</t>
  </si>
  <si>
    <t>Apartado 38 - ASIENTO 52</t>
  </si>
  <si>
    <t>Una de las máquinas de la empresa ha estado expuesta a mucha humedad durante este último año y se ha oxidado, estimándose una pérdida de valor de 500 euros.</t>
  </si>
  <si>
    <t>Corrección Valorativa - Deterioro de Valor</t>
  </si>
  <si>
    <t>Apartado 39(A) - ASIENTO 53</t>
  </si>
  <si>
    <t>El año pasado se registraron dos deterioros de valor. Uno debido a un golpe en un accidente de tráfico con una furgoneta y el otro a unas abolladuras en las tapas de unos tarros de miel y de mermelada. Ambos han sido reparados durante este ejercicio económico.</t>
  </si>
  <si>
    <t>Reversión deterioro: furgoneta</t>
  </si>
  <si>
    <t>Apartado 39(B) - ASIENTO 54</t>
  </si>
  <si>
    <t>Reversión deterioro: tarros</t>
  </si>
  <si>
    <t>Apartado 40(A) - ASIENTO 55</t>
  </si>
  <si>
    <t>Los valores de las existencias finales son los siguientes:
a.	Mermelada, miel y ropa promocional para vender: 30.000 euros.
b.	Leche, sal, fermentos y cuajo: 1.500 euros.
c.	Quesos: 73.640 euros.</t>
  </si>
  <si>
    <t>Baja Ex. Ini. Mercaderías</t>
  </si>
  <si>
    <t>Regularización de Existencias</t>
  </si>
  <si>
    <t>Apartado 40(B) - ASIENTO 56</t>
  </si>
  <si>
    <t>Alta Ex. Fin. Mercaderías</t>
  </si>
  <si>
    <t>Apartado 40(C) - ASIENTO 57</t>
  </si>
  <si>
    <t>Baja Ex. Ini. Materias Primas</t>
  </si>
  <si>
    <t>Apartado 40(D) - ASIENTO 58</t>
  </si>
  <si>
    <t>Alta Ex. Fin. Materias Primas</t>
  </si>
  <si>
    <t>Apartado 40(E) - ASIENTO 59</t>
  </si>
  <si>
    <t>Baja Ex. Ini. Productos Terminados</t>
  </si>
  <si>
    <t>Apartado 40(F) - ASIENTO 60</t>
  </si>
  <si>
    <t>Alta Ex. Fin. Productos Terminados</t>
  </si>
  <si>
    <t>Apartado 41 - ASIENTO 61</t>
  </si>
  <si>
    <t>La empresa ha rescindido el contrato indefinido de uno de sus trabajadores, que ha interpuesto una demanda en el Juzgado por considerar el despido improcedente. Un abogado especializado en derecho laboral consultado por la empresa considera que existe un alto grado de probabilidad de que el fallo sea favorable al trabajador y que el juicio se resuelva dentro del próximo año. El coste estimado de la indemnización es de 4.000 euros.</t>
  </si>
  <si>
    <t>Provisiones</t>
  </si>
  <si>
    <t>Apartado 42(A) - ASIENTO 62</t>
  </si>
  <si>
    <t>Determinar el resultado contable del ejercicio económico 2025.</t>
  </si>
  <si>
    <t>Cerramos todas las cuentas de los Grupos 6 y 7 con saldo deudor.</t>
  </si>
  <si>
    <t>Determinación de Resultado Contable</t>
  </si>
  <si>
    <t>Apartado 42(B) - ASIENTO 63</t>
  </si>
  <si>
    <t>Cerramos todas las cuentas de los Grupos 6 y 7 con saldo acreedor.</t>
  </si>
  <si>
    <t>Apartado 43(A) - ASIENTO 64</t>
  </si>
  <si>
    <t>Contabilizar el Impuesto sobre Sociedades del ejercicio económico 2025 (tipo general del 25%).</t>
  </si>
  <si>
    <t>El Impuesto sobre Sociedades se devenga el último día del período impositivo (cierre del ejercicio, en este caso 31/12). La declaración (Modelo 200) deberá presentarse dentro de los 25 días naturales siguientes a los 6 meses posteriores a la conclusión del periodo impositivo. Las empresas están obligadas a realizar tres pagos a cuenta del impuesto (Modelo 202): (1º) del 1 al 20 de abril; (2º) del 1 al 20 de octubre; y (3º) del 1 al 20 de diciembre.</t>
  </si>
  <si>
    <t>Impuesto de Sociedades</t>
  </si>
  <si>
    <t>Apartado 43(B) - ASIENTO 65</t>
  </si>
  <si>
    <t>Cerramos la última cuenta del Grupo 6 con saldo deudor.</t>
  </si>
  <si>
    <t>Apartado 44 - ASIENTO 66</t>
  </si>
  <si>
    <t>Contabilizar el asiento de cierre del ejercicio económico 2025.</t>
  </si>
  <si>
    <t>Asiento de Cierre</t>
  </si>
  <si>
    <t>Cierre de cuentas</t>
  </si>
  <si>
    <t xml:space="preserve">Asiento </t>
  </si>
  <si>
    <t>Ajuste a Valor Razonable</t>
  </si>
  <si>
    <t>LIBRO DIARIO (TABLA DINÁMICA)</t>
  </si>
  <si>
    <t>Sin cuenta</t>
  </si>
  <si>
    <t>Con Mov.</t>
  </si>
  <si>
    <t>EstructuraBce</t>
  </si>
  <si>
    <t>Incluir</t>
  </si>
  <si>
    <t>Tipo Movimiento</t>
  </si>
  <si>
    <t>(Todas)</t>
  </si>
  <si>
    <t>Nro Asiento</t>
  </si>
  <si>
    <t>Fecha</t>
  </si>
  <si>
    <t>Cuenta</t>
  </si>
  <si>
    <t xml:space="preserve"> Debe</t>
  </si>
  <si>
    <t xml:space="preserve"> Haber</t>
  </si>
  <si>
    <t>Total general</t>
  </si>
  <si>
    <t>SELECCIONAR CUENTA:</t>
  </si>
  <si>
    <t>Suma Debe</t>
  </si>
  <si>
    <t>Suma Haber</t>
  </si>
  <si>
    <t>Saldo Deudor</t>
  </si>
  <si>
    <t>Saldo Acreedor</t>
  </si>
  <si>
    <t>Tipo de Movimiento</t>
  </si>
  <si>
    <t>Tipo de Operación</t>
  </si>
  <si>
    <t>Debe</t>
  </si>
  <si>
    <t>Haber</t>
  </si>
  <si>
    <t>Saldo</t>
  </si>
  <si>
    <t>LIBRO MAYOR</t>
  </si>
  <si>
    <t>Tipo Operación</t>
  </si>
  <si>
    <t xml:space="preserve"> Saldo Deudor</t>
  </si>
  <si>
    <t xml:space="preserve"> Saldo Acreedor</t>
  </si>
  <si>
    <t>(Varios elementos)</t>
  </si>
  <si>
    <t xml:space="preserve"> Suma Debe</t>
  </si>
  <si>
    <t>FORMATO GENERAL</t>
  </si>
  <si>
    <t>Fecha del asiento</t>
  </si>
  <si>
    <t>Importe 1</t>
  </si>
  <si>
    <t>(Cód.) Título de cuenta 1</t>
  </si>
  <si>
    <t>(Cód.) Título de cuenta 2</t>
  </si>
  <si>
    <t>Importe 2</t>
  </si>
  <si>
    <t>Importe 3</t>
  </si>
  <si>
    <t>(Cód.) Título de cuenta 3</t>
  </si>
  <si>
    <t>(Cód.) Título de cuenta 4</t>
  </si>
  <si>
    <t>Importe 4</t>
  </si>
  <si>
    <t>Importe 5</t>
  </si>
  <si>
    <t>(Cód.) Título de cuenta 5</t>
  </si>
  <si>
    <t>(Cód.) Título de cuenta n</t>
  </si>
  <si>
    <t>Importe n</t>
  </si>
  <si>
    <t>Suma DEBE                                      =                                      Suma HABER</t>
  </si>
  <si>
    <t>0 (Apertura)</t>
  </si>
  <si>
    <t>01/01</t>
  </si>
  <si>
    <t>Asiento de apertura del ejercicio económico</t>
  </si>
  <si>
    <t>(203) Propiedad industrial</t>
  </si>
  <si>
    <t>(100) Capital social</t>
  </si>
  <si>
    <t>(206) Aplicaciones informáticas</t>
  </si>
  <si>
    <t>(112) Reserva legal</t>
  </si>
  <si>
    <t>(210) Terrenos y bienes naturales</t>
  </si>
  <si>
    <t>(129) Resultado del ejercicio</t>
  </si>
  <si>
    <t>(211) Construcciones</t>
  </si>
  <si>
    <t>(170) Deudas a largo plazo con entidades de crédito</t>
  </si>
  <si>
    <t>(213) Maquinaria</t>
  </si>
  <si>
    <t xml:space="preserve">(173) Proveedores de inmovilizado a largo plazo </t>
  </si>
  <si>
    <t>(216) Mobiliario</t>
  </si>
  <si>
    <t>(280) Amortización acumulada del inmovilizado intangible</t>
  </si>
  <si>
    <t>(217) Equipos para procesos de información</t>
  </si>
  <si>
    <t>(281) Amortización acumulada del inmovilizado material</t>
  </si>
  <si>
    <t>(218) Elementos de transporte</t>
  </si>
  <si>
    <t>(282) Amortización acumulada de las inversiones inmobiliarias</t>
  </si>
  <si>
    <t>(221) Inversiones en construcciones</t>
  </si>
  <si>
    <t>(291) Deterioro de valor del inmovilizado material</t>
  </si>
  <si>
    <t>(258) Imposiciones a largo plazo</t>
  </si>
  <si>
    <t>(390) Deterioro de valor de las mercaderías</t>
  </si>
  <si>
    <t>(300) Mercaderías</t>
  </si>
  <si>
    <t>(400) Proveedores</t>
  </si>
  <si>
    <t>(310) Materias primas</t>
  </si>
  <si>
    <t>(410) Acreedores por prestaciones de servicios</t>
  </si>
  <si>
    <t>(350) Productos terminados</t>
  </si>
  <si>
    <t>(4750) Hacienda Pública, acreedora por IVA</t>
  </si>
  <si>
    <t>(430) Clientes</t>
  </si>
  <si>
    <t>(4751) Hacienda Pública, acreedora por retenciones practicadas</t>
  </si>
  <si>
    <t>(543) Créditos a corto plazo por enajenación de inmovilizado</t>
  </si>
  <si>
    <t>(4752) Hacienda Pública, acreedora por impuesto sobre sociedades</t>
  </si>
  <si>
    <t>(548) Imposiciones a corto plazo</t>
  </si>
  <si>
    <t>(476) Organismos de la Seguridad Social, acreedores</t>
  </si>
  <si>
    <t>(565) Fianzas constituidas a corto plazo</t>
  </si>
  <si>
    <t>(520) Deudas a corto plazo con entidades de crédito</t>
  </si>
  <si>
    <t>(570) Caja</t>
  </si>
  <si>
    <t>(523) Proveedores de inmovilizado a corto plazo</t>
  </si>
  <si>
    <t>(572) Bancos, c/c</t>
  </si>
  <si>
    <t>02/01</t>
  </si>
  <si>
    <t>Mete en la cuenta corriente el dinero que tienen en metálico.</t>
  </si>
  <si>
    <t>10/01</t>
  </si>
  <si>
    <t>Un cliente le paga en efectivo una factura que tenía pendiente por importe de 2.000 euros.</t>
  </si>
  <si>
    <t>15/01</t>
  </si>
  <si>
    <t>Otro cliente le paga mediante transferencia bancaria una factura que tenía pendiente por importe de 10.000 euros.</t>
  </si>
  <si>
    <t>20/01</t>
  </si>
  <si>
    <t>31/01</t>
  </si>
  <si>
    <t>La empresa salda todas sus deudas con la Hacienda Pública y la Seguridad Social, salvo lo correspondiente al impuesto sobre beneficios.</t>
  </si>
  <si>
    <t>15/02</t>
  </si>
  <si>
    <t>(678) Gastos excepcionales</t>
  </si>
  <si>
    <t>20/02</t>
  </si>
  <si>
    <t>La empresa compra 50 tarros de miel para ponerlos a la venta. El precio unitario de compra es de 6 euros, más IVA del 10%. Paga la mitad en efectivo y la otra mitad queda pendiente de pago.</t>
  </si>
  <si>
    <t>(600) Compras de mercaderías</t>
  </si>
  <si>
    <t>(472) HP, IVA soportado</t>
  </si>
  <si>
    <t>(572) Bancos</t>
  </si>
  <si>
    <t>25/02</t>
  </si>
  <si>
    <t>La empresa compra 500 litros de leche para hacer queso. El precio de compra es de 0,2 euros/litro, más IVA del 2%. Paga todo a través de Bizum.</t>
  </si>
  <si>
    <t>(601) Compras de mateias primas</t>
  </si>
  <si>
    <t>01/03</t>
  </si>
  <si>
    <t>La empresa compra a crédito 40 tarros de mermelada para ponerlos a la venta. El precio de compra es de 5 euros/unidad. Se aplica un descuento del 10%, que se incluye en la factura, por el volumen total de compras realizado el año pasado. A ello se añade el 10% de IVA.</t>
  </si>
  <si>
    <t>10-A</t>
  </si>
  <si>
    <t>10/03</t>
  </si>
  <si>
    <t>La empresa compra al contado 100 kilos de sal para hacer queso. El precio total de la compra es de 110 euros, incluyendo el 10% de IVA. Paga todo en billetes de 10 euros.</t>
  </si>
  <si>
    <t>10-B</t>
  </si>
  <si>
    <t>11/03</t>
  </si>
  <si>
    <t>Al día siguiente, la empresa devuelve la mitad de la mercancía, por estar los envases rotos y la sal enmohecida. El proveedor le devuelve el dinero correspondiente a través de Bizum.</t>
  </si>
  <si>
    <t>(608) Devoluciones de compras y operaciones similares</t>
  </si>
  <si>
    <t>27/03</t>
  </si>
  <si>
    <t>La empresa vende 20 tarros de miel a una tienda de alimentación del pueblo. El precio unitario de venta es de 10 euros, más IVA del 10%. Cobra en metálico el importe correspondiente al IVA y, del resto, la mitad lo recibe por Bizum y la otra mitad queda pendiente de cobro.</t>
  </si>
  <si>
    <t>(700) Ventas de mercaderías</t>
  </si>
  <si>
    <t>(477) HP, IVA repercutido</t>
  </si>
  <si>
    <t>31/03</t>
  </si>
  <si>
    <t>La empresa vende 100 quesos a una cadena de supermercados. El precio total de la venta es de 408 euros, incluyendo el 2% de IVA. Todo queda pendiente de cobro.</t>
  </si>
  <si>
    <t>(701) Ventas de productos terminados</t>
  </si>
  <si>
    <t>09/04</t>
  </si>
  <si>
    <t>14-A</t>
  </si>
  <si>
    <t>19/04</t>
  </si>
  <si>
    <t>La empresa vende 60 quesos a una charcutería. El precio total de la venta es de 153 euros, incluyendo el 2% de IVA. Cobra todo en billetes de 50 euros y tres monedas de 1 euro.</t>
  </si>
  <si>
    <t>14-B</t>
  </si>
  <si>
    <t>20/04</t>
  </si>
  <si>
    <t>Al día siguiente, la charcutera devuelve un tercio de la mercancía, porque los quesos pesan un 25% menos de lo requerido. La empresa le devuelve el dinero correspondiente a través de Bizum.</t>
  </si>
  <si>
    <t>(708) Devoluciones de ventas y operaciones similares</t>
  </si>
  <si>
    <t>30/04</t>
  </si>
  <si>
    <t>Junto con la aprobación de las cuentas anuales, los socios de la empresa acuerdan la siguiente distribución del resultado del pasado ejercicio económico 2023:
	Reserva legal: el mínimo exigido por Ley (al menos el 10% del beneficio, hasta alcanzar el 20% del capital social).
	Reservas voluntarias: 5.000 euros.
	Dividendos: 100.000 euros.
	El resto, lo dejan de momento sin repartir, ni lo aplican específicamente a ninguna otra cuenta.</t>
  </si>
  <si>
    <t>(113) Reservas voluntarias</t>
  </si>
  <si>
    <t>(526) Dividendo activo a pagar</t>
  </si>
  <si>
    <t>(120) Remanente</t>
  </si>
  <si>
    <t>05/05</t>
  </si>
  <si>
    <t>La empresa realiza un taller sobre elaboración de queso a 25 estudiantes universitarios y 4 profesores. El precio por persona es de 9 euros. La operación, que queda pendiente de cobro, está exenta de IVA, al tratarse de una actividad formativa de una enseñanza universitaria.</t>
  </si>
  <si>
    <t>(705) Prestaciones de servicios</t>
  </si>
  <si>
    <t>07/05</t>
  </si>
  <si>
    <t>La universidad habla con la empresa para realizar el pago ese mismo día. Ante la premura del mismo, esta decide aplicar un descuento de 11 euros.</t>
  </si>
  <si>
    <t>(706) Descuentos sobre ventas por pronto pago</t>
  </si>
  <si>
    <t>18-A1</t>
  </si>
  <si>
    <t>21/06</t>
  </si>
  <si>
    <t>(621) Areendamientos y cánones</t>
  </si>
  <si>
    <t>18-A2</t>
  </si>
  <si>
    <t>21/09</t>
  </si>
  <si>
    <t>18-B1</t>
  </si>
  <si>
    <t>Además, se constituye una fianza de 200 euros, también a través del banco, que es devuelta al vencimiento del contrato.</t>
  </si>
  <si>
    <t>(565) Fianzas constituidas a C/P</t>
  </si>
  <si>
    <t>18-B2</t>
  </si>
  <si>
    <t>Devolución de la fianza al vencimiento del contrato.</t>
  </si>
  <si>
    <t>Entra en vigor la renovación de la póliza de seguro de una de las furgonetas que utiliza para el reparto de mercancía. El importe de la prima anual es de 600 euros, lo tiene domiciliado y se lo pasan ese mismo día.</t>
  </si>
  <si>
    <t>01/07</t>
  </si>
  <si>
    <t>(625) Primas de seguros</t>
  </si>
  <si>
    <t>15/07</t>
  </si>
  <si>
    <t>(759) Ingresos por servicios diversos</t>
  </si>
  <si>
    <t>21-A</t>
  </si>
  <si>
    <t>La empresa alquila el local en el que ha invertido a un vecino del pueblo, para que éste abra una carnicería. El importe anual recogido en el contrato es de 6.000 euros, más el 21% de IVA, que se cobrará dentro de un año. El arrendatario entrega por transferencia bancaria una fianza de 600 euros.</t>
  </si>
  <si>
    <t>01/08</t>
  </si>
  <si>
    <t>(440) Deudores</t>
  </si>
  <si>
    <t>(752) Ingresos por arrendamientos</t>
  </si>
  <si>
    <t>21-B</t>
  </si>
  <si>
    <t>El arrendatario entrega por transferencia bancaria una fianza de 600 euros.</t>
  </si>
  <si>
    <t>(560) Fianzas recibidas a C/P</t>
  </si>
  <si>
    <t>Llega la fecha de vencimiento del depósito a plazo fijo que tenía contratado con el banco. La empresa recupera en su cuenta corriente el montante total, más el 5% de intereses, con una retención del 19% sobre la ganancia.</t>
  </si>
  <si>
    <t>22-A</t>
  </si>
  <si>
    <t>15/08</t>
  </si>
  <si>
    <t>A (montante)</t>
  </si>
  <si>
    <t>(548) Imposiciones a C/P</t>
  </si>
  <si>
    <t>22-B</t>
  </si>
  <si>
    <t>B (intereses)</t>
  </si>
  <si>
    <t>(762) Ingresos de créditos</t>
  </si>
  <si>
    <t>(473) HP, retenciones y pagos a cuenta</t>
  </si>
  <si>
    <t>23-A</t>
  </si>
  <si>
    <t>La empresa cobra en su cuenta corriente el importe que estaba pendiente por la venta de una máquina pasteurizadora el pasado 20 de noviembre. Se había acordado un tipo de interés anual del 2%, con una retención del 19% sobre la ganancia.</t>
  </si>
  <si>
    <t>20/08</t>
  </si>
  <si>
    <t>(543) Créditos a C/P por enajenación de inmovilizado</t>
  </si>
  <si>
    <t>23-B</t>
  </si>
  <si>
    <t xml:space="preserve">Cobro del 2% anual de intereses, menos la retención del 19%. </t>
  </si>
  <si>
    <t>24-A</t>
  </si>
  <si>
    <t>Llega la fecha de vencimiento del préstamo que tenía contratado con el banco de hace justo un año. La empresa paga desde su cuenta corriente el montante total, más el 6% de intereses. Al tratarse de un préstamo con una entidad financiera, no se aplica ninguna retención.</t>
  </si>
  <si>
    <t>15/09</t>
  </si>
  <si>
    <t>(520) Deudas a C/P con entidades de crédito</t>
  </si>
  <si>
    <t>Pago del montante.</t>
  </si>
  <si>
    <t>24-B</t>
  </si>
  <si>
    <t>Llega la fecha de vencimiento del préstamo que tenía contratado con el banco. La empresa paga desde su cuenta corriente el montante total, más el 5% de intereses, con una retención del 19% sobre la ganancia.</t>
  </si>
  <si>
    <t>(662) Intereses de deudas</t>
  </si>
  <si>
    <t>Pago del 6% de intereses (un año), sin ninguna retención.</t>
  </si>
  <si>
    <t>25-A</t>
  </si>
  <si>
    <t>La empresa paga en efectivo el importe que estaba pendiente por la compra de cuatro mesas el pasado 31 de diciembre. Se había acordado un tipo de interés anual del 3,6%, con una retención del 19% sobre la ganancia.</t>
  </si>
  <si>
    <t>30/09</t>
  </si>
  <si>
    <t>25-B</t>
  </si>
  <si>
    <t xml:space="preserve">Pago del 3,6% anual de intereses, menos la retención del 19%. </t>
  </si>
  <si>
    <t>01/10</t>
  </si>
  <si>
    <t>(523) Proveedores del inmovilizado a C/P</t>
  </si>
  <si>
    <t>Se retira una de las máquinas que se utilizaba para hacer queso, por ser muy vieja y no cumplir con los objetivos productivos. Su precio de adquisición fue 1.800 euros, está totalmente amortizada y no tiene valor residual.</t>
  </si>
  <si>
    <t>31/10</t>
  </si>
  <si>
    <t>La empresa vende una furgoneta que utilizaba para repartir los pedidos, porque consumía mucho combustible. El precio de venta es de 13.310 euros, incluyendo el 21% de IVA. La operación se cobra mediante transferencia bancaria. Se adquirió hace justamente un año por importe de 12.000 euros. La furgoneta tiene un valor residual de 1.200 euros y su vida útil es de 10 años.</t>
  </si>
  <si>
    <t>28-A (amortizar)</t>
  </si>
  <si>
    <t>31/11</t>
  </si>
  <si>
    <t>(681) Amortización del inmovilizado material</t>
  </si>
  <si>
    <t>28-B (venta)</t>
  </si>
  <si>
    <t>(771) Beneficios procedentes del inmovilizado material</t>
  </si>
  <si>
    <t>29 (Nóminas)</t>
  </si>
  <si>
    <t>La empresa hace una serie de transferencias bancarias a sus trabajadores, como anticipo de las nóminas del mes de diciembre, por un importe total de 5.000 euros.</t>
  </si>
  <si>
    <t>29-A (anticipo)</t>
  </si>
  <si>
    <t>20/12</t>
  </si>
  <si>
    <t>(460) Anticipos de remuneraciones</t>
  </si>
  <si>
    <t xml:space="preserve"> Una semana más tarde, la empresa contabiliza dichas nóminas, con la siguiente información:
	El importe bruto es de 20.000 euros.
	La cuota de la empresa a la Seguridad Social es del 30%.
	La cuota de los trabajadores a la Seguridad Social es del 6%.
	La retención a los trabajadores por IRPF es del 20%.
	Se aplica el anticipo de la semana pasada.
	Del neto resultante, quedan pendientes de pago 1.800 euros por falta de liquidez en la empresa en esos momentos.</t>
  </si>
  <si>
    <t>29-B (nóminas)</t>
  </si>
  <si>
    <t>27/12</t>
  </si>
  <si>
    <t>(640) Sueldos y Salarios</t>
  </si>
  <si>
    <t>(642) Seguridad Social a cargo de la empresa</t>
  </si>
  <si>
    <t>(4751) HP, acreedora por retenciones practicadas</t>
  </si>
  <si>
    <t>(465) Remuneraciones pendientes de pago</t>
  </si>
  <si>
    <t>30 (IVA)</t>
  </si>
  <si>
    <t>La empresa procede a liquidar el IVA (recordad que la liquidación del IVA se hace trimestralmente, pero aquí lo hacemos todo junto para hacerlo solo una vez).</t>
  </si>
  <si>
    <t>Liquidación IVA</t>
  </si>
  <si>
    <t>31/12</t>
  </si>
  <si>
    <t>(4750) HP, acreedora por IVA</t>
  </si>
  <si>
    <t>31 (periodificaciones)</t>
  </si>
  <si>
    <t>Periodificar el gasto del apartado 19º)</t>
  </si>
  <si>
    <t>31-A. Gasto (prima seguro)</t>
  </si>
  <si>
    <t>(480) Gastos anticipados</t>
  </si>
  <si>
    <t>Periodificar el ingreso del apartado 21º)</t>
  </si>
  <si>
    <t>31-B. Ingreso (alquiler local)</t>
  </si>
  <si>
    <t>(485) Ingresos anticipados</t>
  </si>
  <si>
    <t>32 (devengo intereses)</t>
  </si>
  <si>
    <t>El préstamo que tiene contratado con el banco le ha generado este año unos intereses de 6.000 euros, pagaderos al vencimiento del mismo.</t>
  </si>
  <si>
    <t>(527) Intereses a C/P de deudas</t>
  </si>
  <si>
    <t>33 (reclasificación préstamo)</t>
  </si>
  <si>
    <t>El próximo 31 de marzo vence el préstamo que tiene contratado con el banco.</t>
  </si>
  <si>
    <t>(170) Deudas a L/P con entidades de crédito</t>
  </si>
  <si>
    <t>34 (reclasificación proveed.)</t>
  </si>
  <si>
    <t>El próximo 30 de junio tiene que pagar la deuda que mantiene con la empresa que le vendió una máquina hace un año y tres meses.</t>
  </si>
  <si>
    <t>(173) Proveedores de inmovilizado a L/P</t>
  </si>
  <si>
    <t>(523) Proveedores de inmovilizado a C/P</t>
  </si>
  <si>
    <t>35 (Amort. Inmov. Intangible)</t>
  </si>
  <si>
    <t>El inmovilizado intangible tiene los siguientes valores residuales y años de vida útil, no estando ninguno totalmente amortizado:
	Receta patentada: 0 euros y 10 años.
	Programas informáticos: 0 euros y 5 años.</t>
  </si>
  <si>
    <t>(680) Amortización del inmovilizado intangible</t>
  </si>
  <si>
    <t>36 (Amort. Inmov. Material)</t>
  </si>
  <si>
    <t>El inmovilizado material tiene los siguientes valores residuales y años de vida útil, no estando ninguno totalmente amortizado:
	Inmueble: 20.000 euros y 50 años.
	Máquinas: 0 euros y 10 años.
	Muebles y enseres: 0 y 10 años.
	Ordenadores, Tablet y caja registradora: 0 y 5 años.
	Furgonetas: 10% y 10 años.</t>
  </si>
  <si>
    <t>Aquí hay que tener en cuenta que los terrenos no se amortizan, las construcciones (70.000 euros), la maquinaria (10.000-1.800 euros que se dieron de baja), el mobiliario (4.800 euros), los EPI (1.200 euros, más el ordenador adquiridao el 01/10 por 720 euros) y los elementos de transporte (32.000-12.000 euros que se vendieron).</t>
  </si>
  <si>
    <t>37 (Amort. Inv. Inmobiliarias)</t>
  </si>
  <si>
    <t>La inversión inmobiliaria tiene el siguiente valor residual y años de vida útil, no estando totalmente amortizada:
	Local: 15.000 euros y 50 años.</t>
  </si>
  <si>
    <t>(682) Amortización de las inversiones inmobiliarias</t>
  </si>
  <si>
    <t>38 (Deterioro)</t>
  </si>
  <si>
    <t>(691) Pérdidas por deterioro de valor del inmovilizado material</t>
  </si>
  <si>
    <t>39 (Reversión deterioro)</t>
  </si>
  <si>
    <t xml:space="preserve">Los deterioros de valor registrados el año pasado ya han sido corregidos. </t>
  </si>
  <si>
    <t>39-A (furgoneta)</t>
  </si>
  <si>
    <t xml:space="preserve">Uno era debido a un golpe en un accidente de tráfico con una furgoneta </t>
  </si>
  <si>
    <t>(791) Reversión del deterioro del inmovilizado material</t>
  </si>
  <si>
    <t>39-B (tarros miel y mermelada)</t>
  </si>
  <si>
    <t>y el otro a unas abolladuras en las tapas de unos tarros de miel y de mermelada.</t>
  </si>
  <si>
    <t>(793) Reversión del deterioro de existencias</t>
  </si>
  <si>
    <t>40 (variación de existencias)</t>
  </si>
  <si>
    <t>Los valores de las existencias finales son los siguientes:
	Mermelada, miel y ropa promocional para vender: 30.000 euros.
	Leche, sal, fermentos y cuajo: 1.500 euros.
	Quesos: 73.640 euros.</t>
  </si>
  <si>
    <t>40-A Mercaderías</t>
  </si>
  <si>
    <t>(610) Variación de existencias de mercaderías</t>
  </si>
  <si>
    <t>40-B Materias Primas</t>
  </si>
  <si>
    <t>(611) Variación de existencias de materias primas</t>
  </si>
  <si>
    <t>40-C Productos terminados</t>
  </si>
  <si>
    <t>(712) Variación de existencias de productos terminados</t>
  </si>
  <si>
    <t>41 (Provisiones)</t>
  </si>
  <si>
    <t>(641) Indemnizaciones</t>
  </si>
  <si>
    <t>(5290)  Provisión a corto plazo por retribuciones al personal</t>
  </si>
  <si>
    <t>42 (determinación del resultado)</t>
  </si>
  <si>
    <t>42-A (gastos)</t>
  </si>
  <si>
    <t>(601) Compras de materias primas</t>
  </si>
  <si>
    <t>(708) Devoluciones de ventas y op. sim.</t>
  </si>
  <si>
    <t>(621) Arrendamientos y cánones</t>
  </si>
  <si>
    <t>42-B (ingresos)</t>
  </si>
  <si>
    <t>(608) Devoluciones de compras y op. sim.</t>
  </si>
  <si>
    <t>42-C (impuesto sociedades)</t>
  </si>
  <si>
    <t>(630) Impuesto sobre beneficios</t>
  </si>
  <si>
    <t>(4752) HP, acreedora por IS</t>
  </si>
  <si>
    <t>42-D (cierre cuenta gasto por IS)</t>
  </si>
  <si>
    <t>43 (asiento cierre ejercicio)</t>
  </si>
  <si>
    <t>(210) Terrenos y BN</t>
  </si>
  <si>
    <t>(280) Amort. Ac. Inmov. Intangible</t>
  </si>
  <si>
    <t>(281) Amort. Ac. Inmovilizado Material</t>
  </si>
  <si>
    <t>(282) Amort. Ac. Inversiones Inmobiliarias</t>
  </si>
  <si>
    <t>(291) Deterioro valor Inmov. Material</t>
  </si>
  <si>
    <t>(217) Equipos procesos información</t>
  </si>
  <si>
    <t>(410) Acreedores prest. Servicios</t>
  </si>
  <si>
    <t>(258) Imposiciones a L/P</t>
  </si>
  <si>
    <t>(4751) HP, acreedora por retenc. pract.</t>
  </si>
  <si>
    <t>(476) Organismos Seg. Soc. acreedores</t>
  </si>
  <si>
    <t>(520) Deudas a C/P con EC</t>
  </si>
  <si>
    <t>(523) Proveedores de Inmov. C/P</t>
  </si>
  <si>
    <t>Fecha asiento</t>
  </si>
  <si>
    <t>(170) Deudas a L/P con EC</t>
  </si>
  <si>
    <r>
      <t xml:space="preserve"> </t>
    </r>
    <r>
      <rPr>
        <b/>
        <sz val="11"/>
        <color rgb="FF000000"/>
        <rFont val="Arial"/>
        <family val="2"/>
      </rPr>
      <t xml:space="preserve">DEBE - (Nº) Título de cuenta - HABER </t>
    </r>
  </si>
  <si>
    <t xml:space="preserve"> Aumenta A y G </t>
  </si>
  <si>
    <t xml:space="preserve"> Disminuye A y G </t>
  </si>
  <si>
    <t xml:space="preserve"> Disminuye PN, P e I </t>
  </si>
  <si>
    <t xml:space="preserve"> Aumenta PN, P e I </t>
  </si>
  <si>
    <t xml:space="preserve"> Suma DEBE            =          Suma HABER </t>
  </si>
  <si>
    <t>(173) Proveedores de Inmov. L/P</t>
  </si>
  <si>
    <t>Diferencia (D-H)</t>
  </si>
  <si>
    <t>(390) Deterioro valor mercaderías</t>
  </si>
  <si>
    <t>(410) Acreedores prest. servicios</t>
  </si>
  <si>
    <t>(543) Créditos a C/P por enaj. Inmov.</t>
  </si>
  <si>
    <t>Saldo (472)</t>
  </si>
  <si>
    <t>Saldo (477)</t>
  </si>
  <si>
    <t>Ingresos</t>
  </si>
  <si>
    <t>Gastos</t>
  </si>
  <si>
    <t>Resultado</t>
  </si>
  <si>
    <t>IS (25% Bº)</t>
  </si>
  <si>
    <t>QUESERÍA
Dedicada a la fabricación y venta de quesos. También compra y vende mercaderías, y presta servicios, como visitas guiadas a la empresa y talleres y catas de sus productos.</t>
  </si>
  <si>
    <t>Saldos (31/12/2025)</t>
  </si>
  <si>
    <t>Código y Nombre de la cuenta</t>
  </si>
  <si>
    <r>
      <rPr>
        <b/>
        <sz val="11"/>
        <color theme="1"/>
        <rFont val="Arial"/>
        <family val="2"/>
      </rPr>
      <t>Grupo 1
Financiación básica</t>
    </r>
    <r>
      <rPr>
        <sz val="11"/>
        <color theme="1"/>
        <rFont val="Arial"/>
        <family val="2"/>
      </rPr>
      <t xml:space="preserve">
PN y PNC (L/P)</t>
    </r>
  </si>
  <si>
    <r>
      <rPr>
        <b/>
        <sz val="11"/>
        <color rgb="FF000000"/>
        <rFont val="Arial"/>
        <family val="2"/>
      </rPr>
      <t xml:space="preserve">Grupo 2
Activo no corriente
</t>
    </r>
    <r>
      <rPr>
        <sz val="11"/>
        <color rgb="FF000000"/>
        <rFont val="Arial"/>
        <family val="2"/>
      </rPr>
      <t>ANC (L/P)</t>
    </r>
  </si>
  <si>
    <t>A(-)</t>
  </si>
  <si>
    <r>
      <rPr>
        <b/>
        <sz val="11"/>
        <color theme="1"/>
        <rFont val="Arial"/>
        <family val="2"/>
      </rPr>
      <t>Grupo 3
Existencias</t>
    </r>
    <r>
      <rPr>
        <sz val="11"/>
        <color theme="1"/>
        <rFont val="Arial"/>
        <family val="2"/>
      </rPr>
      <t xml:space="preserve">
AC (C/P)</t>
    </r>
  </si>
  <si>
    <r>
      <rPr>
        <b/>
        <sz val="11"/>
        <color rgb="FF000000"/>
        <rFont val="Arial"/>
        <family val="2"/>
      </rPr>
      <t xml:space="preserve">Grupo 4
Acreedores y deudores por operaciones comerciales
</t>
    </r>
    <r>
      <rPr>
        <sz val="11"/>
        <color rgb="FF000000"/>
        <rFont val="Arial"/>
        <family val="2"/>
      </rPr>
      <t>AC (C/P) y PC (C/P)</t>
    </r>
  </si>
  <si>
    <t>Balance de Comprobación de Sumas y Saldos (con Asiento de Cierre)</t>
  </si>
  <si>
    <t xml:space="preserve">Saldo </t>
  </si>
  <si>
    <t>CUENTA DE PÉRDIDAS Y GANANCIAS (31/12/2025)</t>
  </si>
  <si>
    <t/>
  </si>
  <si>
    <t xml:space="preserve"> Importe</t>
  </si>
  <si>
    <t>A) RESULTADO DE EXPLOTACIÓN (Suma del 1 al 12)</t>
  </si>
  <si>
    <t>01. Importe Neto de la cifra de negocios</t>
  </si>
  <si>
    <t>02. Variación de existencias de productos terminados y en curso de fabricación</t>
  </si>
  <si>
    <t>03. Trabajos realizados por la empresa para su activo</t>
  </si>
  <si>
    <t>04. Aprovisionamientos</t>
  </si>
  <si>
    <t>05. Otros Ingresos de Explotación</t>
  </si>
  <si>
    <t>06. Gastos de Personal</t>
  </si>
  <si>
    <t>07. Otros Gastos de Explotación</t>
  </si>
  <si>
    <t>08. Amortización del Inmovilizado</t>
  </si>
  <si>
    <t>09. Imputación de subvenciones de inmovilizado no financiero y otras</t>
  </si>
  <si>
    <t>10. Exceso de Provisiones</t>
  </si>
  <si>
    <t>11. Deterioro y Resultado por enajenaciones de inmovilizado</t>
  </si>
  <si>
    <t>12 Otros resultados</t>
  </si>
  <si>
    <t>B) RESULTADO FINANCIERO (Suma del 13 al 17)</t>
  </si>
  <si>
    <t>13. Ingresos Financieros</t>
  </si>
  <si>
    <t>14. Gastos Financieros</t>
  </si>
  <si>
    <t>15. Variación de Valor Razonable en Instrumentos financieros</t>
  </si>
  <si>
    <t>16. Diferencias de Cambio</t>
  </si>
  <si>
    <t>17. Deterioro y Rdo por enajenaciones de instrumentos financieros</t>
  </si>
  <si>
    <t>C) RESULTADO ANTES DE IMPUESTOS (A+B)</t>
  </si>
  <si>
    <t>C) IMPUESTOS SOBRE BENEFICIOS</t>
  </si>
  <si>
    <t>18. Impuesto sobre Beneficio</t>
  </si>
  <si>
    <t>D) RESULTADO DEL EJERCICIO (C+18)</t>
  </si>
  <si>
    <t>BALANCE DE SITUACIÓN (31/12/2025)</t>
  </si>
  <si>
    <t>Estruct.BCE</t>
  </si>
  <si>
    <t>PATRIMONIO NETO Y PASIVO</t>
  </si>
  <si>
    <t xml:space="preserve"> </t>
  </si>
  <si>
    <t xml:space="preserve"> 31/12/2025</t>
  </si>
  <si>
    <t>31/12/2025</t>
  </si>
  <si>
    <t>ACTIVO</t>
  </si>
  <si>
    <t>A) ACTIVO NO CORRIENTE</t>
  </si>
  <si>
    <t>A) PATRIMONIO NETO</t>
  </si>
  <si>
    <t>I. Inmovilizado Intangible</t>
  </si>
  <si>
    <t>I. Capital</t>
  </si>
  <si>
    <t>II. Inmovilizado material</t>
  </si>
  <si>
    <t>II. Prima de emisión</t>
  </si>
  <si>
    <t>III. Inversiones inmobiliarias</t>
  </si>
  <si>
    <t>III. Reservas</t>
  </si>
  <si>
    <t>IV. Inversiones empresas del grupo y asociadas a L/P</t>
  </si>
  <si>
    <t>IV. Acciones y participaciones en patrimonio propias</t>
  </si>
  <si>
    <t>VI. Activos por impuesto diferido</t>
  </si>
  <si>
    <t>V. Resultados de ejercicios anteriores</t>
  </si>
  <si>
    <t>B) ACTIVO CORRIENTE</t>
  </si>
  <si>
    <t>VI. Otras aportaciones de socios</t>
  </si>
  <si>
    <t>I. Activos no corrientes mantenidos para la venta</t>
  </si>
  <si>
    <t>VII. Resultado del Ejercicio</t>
  </si>
  <si>
    <t>II. Existencias</t>
  </si>
  <si>
    <t>VIII. Dividendo a cuenta</t>
  </si>
  <si>
    <t>III. Deudores comerciales y otras cuentas a cobrar</t>
  </si>
  <si>
    <t>IX. Otros instrumentos de patrimonio neto</t>
  </si>
  <si>
    <t>IV. Inversiones empresas del grupo y asociadas a corto plazo</t>
  </si>
  <si>
    <t>B) PASIVO NO CORRIENTE</t>
  </si>
  <si>
    <t>VI. Periodificaciones a corto plazo.</t>
  </si>
  <si>
    <t>I. Provisiones a largo plazo</t>
  </si>
  <si>
    <t>VII. Efectivo y otros activos líquidos equivalentes</t>
  </si>
  <si>
    <t>II. Deudas a largo plazo</t>
  </si>
  <si>
    <t>III. Deudas con empresas del grupo y asociadas a largo plazo</t>
  </si>
  <si>
    <t>IV. Pasivos por impuesto diferido</t>
  </si>
  <si>
    <t>V. Periodificaciones a largo plazo</t>
  </si>
  <si>
    <t>C) PASIVO CORRIENTE</t>
  </si>
  <si>
    <t>I. Pasivos vinculados con activos no corrientes mantenidos para la venta</t>
  </si>
  <si>
    <t>II. Provisiones a corto plazo</t>
  </si>
  <si>
    <t>III. Deudas a corto plazo</t>
  </si>
  <si>
    <t>IV. Deudas con empresas del grupo y asociados a corto plazo</t>
  </si>
  <si>
    <t>V. Acreedores comerciales y otras cuentas a pagar</t>
  </si>
  <si>
    <t>VI. Periodificaciones a corto plazo</t>
  </si>
  <si>
    <t>Códigos de cuentas</t>
  </si>
  <si>
    <t>Importes desglosados</t>
  </si>
  <si>
    <t>=SUMA(D7:D12)</t>
  </si>
  <si>
    <t>=SUMA(E7:E18)</t>
  </si>
  <si>
    <t>203, 206, (280)</t>
  </si>
  <si>
    <t>=5000+2120-2306</t>
  </si>
  <si>
    <t>A-1) Fondos Propios</t>
  </si>
  <si>
    <t>210, 211, 213, 216, 217, 218, (281), (291)</t>
  </si>
  <si>
    <t>II. Inmovilizado Material</t>
  </si>
  <si>
    <t>=200000+70000+8200+4800+1920+20000-26086-500</t>
  </si>
  <si>
    <t>100</t>
  </si>
  <si>
    <t>=3000</t>
  </si>
  <si>
    <t>221, (282)</t>
  </si>
  <si>
    <t>III. Inversiones Inmobiliarias</t>
  </si>
  <si>
    <t>=60000-12900</t>
  </si>
  <si>
    <t>II. Prima de Emisión</t>
  </si>
  <si>
    <t>IV. Inversiones en empresas del grupo y asociadas a largo plazo</t>
  </si>
  <si>
    <t>112, 113</t>
  </si>
  <si>
    <t>=600+5000</t>
  </si>
  <si>
    <t>258</t>
  </si>
  <si>
    <t>V. Inversiones financieras a largo plazo</t>
  </si>
  <si>
    <t>=30000</t>
  </si>
  <si>
    <t>IV. (Acciones y participaciones en patrimonio propias)</t>
  </si>
  <si>
    <t>VI. Activos por Impuesto diferido</t>
  </si>
  <si>
    <t>120</t>
  </si>
  <si>
    <t>=114900</t>
  </si>
  <si>
    <t>=SUMA(D14:D20)</t>
  </si>
  <si>
    <t>129</t>
  </si>
  <si>
    <t>VII. Resultado del ejercicio</t>
  </si>
  <si>
    <t>=35280,75</t>
  </si>
  <si>
    <t>300, 310, 350</t>
  </si>
  <si>
    <t>=30000+1500+73640</t>
  </si>
  <si>
    <t>VIII. (Dividendo a cuenta)</t>
  </si>
  <si>
    <t>430, 440</t>
  </si>
  <si>
    <t>=20508+7260</t>
  </si>
  <si>
    <t>IV. Inversiones en empresas del Grupo y Asociadas a corto plazo</t>
  </si>
  <si>
    <t>A-2) Ajustes por cambios de valor</t>
  </si>
  <si>
    <t>V. Inversiones financieras a corto plazo</t>
  </si>
  <si>
    <t>A-3) Subvenciones, donaciones y legados recibidos</t>
  </si>
  <si>
    <t>480</t>
  </si>
  <si>
    <t xml:space="preserve">VI. Periodificaciones a corto plazo </t>
  </si>
  <si>
    <t>=300</t>
  </si>
  <si>
    <t>=SUMA(E20:E24)</t>
  </si>
  <si>
    <t>570, 572</t>
  </si>
  <si>
    <t>=897,13+1132,1</t>
  </si>
  <si>
    <t>=4000</t>
  </si>
  <si>
    <t>TOTAL ACTIVO (A+B)</t>
  </si>
  <si>
    <t>=D6+D13</t>
  </si>
  <si>
    <t>=SUMA(E26:E31)</t>
  </si>
  <si>
    <t>520, 523, 526, 527, 529, 560</t>
  </si>
  <si>
    <t>=120000+1508,2+100000+6000+600</t>
  </si>
  <si>
    <t>IV. Deudas con empresas del grupo y asociadas a corto plazo</t>
  </si>
  <si>
    <t>400, 410, 465, 4750, 4751, 4752, 476</t>
  </si>
  <si>
    <t>=10198+8000+1800+3207,6+4000+66569,68+7200</t>
  </si>
  <si>
    <t>485</t>
  </si>
  <si>
    <t>=3500</t>
  </si>
  <si>
    <t>TOTAL PATRIMONIO NETO Y PASIVO (A+B+C)</t>
  </si>
  <si>
    <t>=E6+E19+E25</t>
  </si>
  <si>
    <t>BALANCE DE SITUACIÓN (31/12/2025) - APERTURA HASTA NIVEL DE CUENTA ANALÍTICA</t>
  </si>
  <si>
    <t>INGRESOS - GASTOS</t>
  </si>
  <si>
    <t>Importe</t>
  </si>
  <si>
    <t>(708), (706), 700, 701, 705</t>
  </si>
  <si>
    <t>1. Importe neto de la cifra de negocios</t>
  </si>
  <si>
    <t>=-50-11+270+550+261</t>
  </si>
  <si>
    <t>712</t>
  </si>
  <si>
    <t>2. Variación de existencias de productos en terminados y en curso de fabricación</t>
  </si>
  <si>
    <t>=+59440</t>
  </si>
  <si>
    <t>3. Trabajos realizados por la empresa para su activo</t>
  </si>
  <si>
    <t>(600), (601), (611), 608, 793, 610</t>
  </si>
  <si>
    <t>4. Aprovisionamientos</t>
  </si>
  <si>
    <t>=-300-380-500+50+200+29000</t>
  </si>
  <si>
    <t>759, 752</t>
  </si>
  <si>
    <t>5. Otros ingresos de explotación</t>
  </si>
  <si>
    <t>=100+2500</t>
  </si>
  <si>
    <t>(640), (642), (641)</t>
  </si>
  <si>
    <t>6. Gastos de personal</t>
  </si>
  <si>
    <t>=-20000-6000-4000</t>
  </si>
  <si>
    <t>(621), (625)</t>
  </si>
  <si>
    <t>7. Otros gastos de explotación</t>
  </si>
  <si>
    <t>=-900-300</t>
  </si>
  <si>
    <t>(681), (680), (682)</t>
  </si>
  <si>
    <t>8. Amortización del inmovilizado</t>
  </si>
  <si>
    <t>=-5366-906-900</t>
  </si>
  <si>
    <t>9. Imputación de subvenciones de inmovilizado no financiero y otras</t>
  </si>
  <si>
    <t>10. Excesos de provisiones</t>
  </si>
  <si>
    <t>(691), 771, 791</t>
  </si>
  <si>
    <t>11. Deterioro y resultado por enajenaciones del inmovilizado</t>
  </si>
  <si>
    <t>=-500+80+2000</t>
  </si>
  <si>
    <t>(678)</t>
  </si>
  <si>
    <t>12. Otros resultados</t>
  </si>
  <si>
    <t>=-500</t>
  </si>
  <si>
    <t>A) RESULTADO DE EXPLOTACIÓN (SUMA DEL 1 AL 12)</t>
  </si>
  <si>
    <t>=SUMA(G6:G17)</t>
  </si>
  <si>
    <t>762</t>
  </si>
  <si>
    <t>13. Ingresos financieros</t>
  </si>
  <si>
    <t>=1030</t>
  </si>
  <si>
    <t>(662)</t>
  </si>
  <si>
    <t>14. Gastos financieros</t>
  </si>
  <si>
    <t>=-7827</t>
  </si>
  <si>
    <t>15. Variación de valor razonable en instrumentos financieros</t>
  </si>
  <si>
    <t>16. Diferencias de cambio</t>
  </si>
  <si>
    <t>17. Deterioro y resultado por enajenaciones de instrumentos financieros</t>
  </si>
  <si>
    <t>B) RESULTADO FINANCIERO (SUMA DEL 13 AL 17)</t>
  </si>
  <si>
    <t>=SUMA(G19:G23)</t>
  </si>
  <si>
    <t>=G18+G24</t>
  </si>
  <si>
    <t>(630)</t>
  </si>
  <si>
    <t>18. Impuesto sobre beneficios</t>
  </si>
  <si>
    <t>=-25%*G25</t>
  </si>
  <si>
    <t>=G25+G26</t>
  </si>
  <si>
    <t>RATIOS (31/12/2025)</t>
  </si>
  <si>
    <t>Ratio</t>
  </si>
  <si>
    <t>Fórmula</t>
  </si>
  <si>
    <t>Numerador</t>
  </si>
  <si>
    <t>Denominador</t>
  </si>
  <si>
    <t>Valor</t>
  </si>
  <si>
    <t>Interpretación</t>
  </si>
  <si>
    <t>Ratio de solvencia</t>
  </si>
  <si>
    <t>Activo Corriente / Pasivo Corriente</t>
  </si>
  <si>
    <t>Ratio de garantía</t>
  </si>
  <si>
    <t>Activo Total / Pasivo Total</t>
  </si>
  <si>
    <t>Ratio de endeudamiento</t>
  </si>
  <si>
    <t>Pasivo Total / Patrimonio Neto</t>
  </si>
  <si>
    <t>Ratio de endeudamiento a C/P</t>
  </si>
  <si>
    <t>Pasivo Corriente / Patrimonio Neto</t>
  </si>
  <si>
    <t>Ratio de endeudamiento a L/P</t>
  </si>
  <si>
    <t>Pasivo No Corriente / Patrimonio Neto</t>
  </si>
  <si>
    <t>Deuda a C/P</t>
  </si>
  <si>
    <t>Pasivo Corriente / Pasivo Total</t>
  </si>
  <si>
    <t>Deuda a L/P</t>
  </si>
  <si>
    <t>Pasivo No Corriente / Pasivo Total</t>
  </si>
  <si>
    <t>Rentabilidad económica</t>
  </si>
  <si>
    <t>Resultado antes de Intereses e Impuestos / Activo Total</t>
  </si>
  <si>
    <t>Rentabilidad financiera</t>
  </si>
  <si>
    <t>Resultado del Ejercicio / Fondos Propios</t>
  </si>
  <si>
    <t>&gt;1</t>
  </si>
  <si>
    <t>La empresa tiene suficientes recursos económicos a corto plazo para cubrir sus deudas a corto plazo. En principio, podría continuar operando sin problemas dentro del próximo año.</t>
  </si>
  <si>
    <t>&lt;1</t>
  </si>
  <si>
    <t>La empresa no tiene suficientes recursos económicos a corto plazo para cubrir sus deudas a corto plazo. Podría ser una señal de problemas financieros dentro del próximo año.</t>
  </si>
  <si>
    <t>La empresa tiene los recursos económicos a corto plazo justos para cubrir sus deudas a corto plazo.</t>
  </si>
  <si>
    <t>La empresa tiene suficientes recursos económicos, tanto a corto como a largo plazo, para cubrir todas sus deudas, tanto a corto como a largo plazo. Es señal de que tiene un margen de seguridad financiera.</t>
  </si>
  <si>
    <t>La empresa no tiene suficientes recursos económicos, tanto a corto como a largo plazo, para cubrir todas sus deudas, tanto a corto como a largo plazo. Es señal de que podría estar en situación de riesgo financiero.</t>
  </si>
  <si>
    <t>La empresa tiene los recursos económicos, tanto a corto como a largo plazo, justos para cubrir todas sus deudas, tanto a corto como a largo plazo.</t>
  </si>
  <si>
    <t>La empresa se financia en mayor medida con recursos ajenos que propios.</t>
  </si>
  <si>
    <t>La empresa se financia en mayor medida con recursos propios que ajenos.</t>
  </si>
  <si>
    <t>La empresa se financia en la misma medida con recursos propios que ajenos.</t>
  </si>
  <si>
    <t>La empresa se financia en mayor medida con recursos ajenos a corto plazo que propios.</t>
  </si>
  <si>
    <t>La empresa se financia en mayor medida con recursos propios que ajenos a corto plazo.</t>
  </si>
  <si>
    <t>La empresa se financia en la misma medida con recursos propios que ajenos a corto plazo.</t>
  </si>
  <si>
    <t>La empresa se financia en mayor medida con recursos ajenos a largo plazo que propios.</t>
  </si>
  <si>
    <t>La empresa se financia en mayor medida con recursos propios que ajenos a largo plazo.</t>
  </si>
  <si>
    <t>La empresa se financia en la misma medida con recursos propios que ajenos a largo plazo.</t>
  </si>
  <si>
    <t>&gt;50%</t>
  </si>
  <si>
    <t xml:space="preserve">La calidad de la deuda de la empresa es mala, ya que la mayor parte es a corto plazo. </t>
  </si>
  <si>
    <t>&lt;50%</t>
  </si>
  <si>
    <t xml:space="preserve">La calidad de la deuda de la empresa es buena, ya que la menor parte es a corto plazo. </t>
  </si>
  <si>
    <t xml:space="preserve">La calidad de la deuda de la empresa es media, ya que se reparte en igual proporción entre corto y largo plazo. </t>
  </si>
  <si>
    <t xml:space="preserve">La calidad de la deuda de la empresa es buena, ya que la mayor parte es a largo plazo. </t>
  </si>
  <si>
    <t xml:space="preserve">La calidad de la deuda de la empresa es mala, ya que la menor parte es a largo plazo. </t>
  </si>
  <si>
    <t xml:space="preserve">La calidad de la deuda de la empresa es media, ya que se reparte en igual proporción entre largo y corto plazo. </t>
  </si>
  <si>
    <t>(+) &gt;0%</t>
  </si>
  <si>
    <t>La empresa está generando beneficios. Cuanto mayor sea este valor, mejor, ya que indica una mayor eficiencia en el uso de sus activos para generar ganancias.</t>
  </si>
  <si>
    <t>(-) &lt;0%</t>
  </si>
  <si>
    <t>La empresa está incurriendo en pérdidas. Esto puede ser una señal de problemas financieros y puede requerir una revisión de la estrategia operativa y financiera de la empresa.</t>
  </si>
  <si>
    <t>El beneficio de la empresa es cero. Esto puede ser una señal de problemas financieros y puede requerir una revisión de la estrategia operativa y financiera de la empresa.</t>
  </si>
  <si>
    <t>La empresa está generando beneficios. Cuanto mayor sea este valor, mejor, ya que indica una mayor eficiencia en el uso de sus recursos propios para generar ganancias.</t>
  </si>
  <si>
    <t>(0) =0%</t>
  </si>
  <si>
    <t>Tipo Asiento</t>
  </si>
  <si>
    <t>Compra de Mercaderías</t>
  </si>
  <si>
    <t>Compra de Materias Primas</t>
  </si>
  <si>
    <t>Compra de Inmovilizado</t>
  </si>
  <si>
    <t>Venta de Mercaderías</t>
  </si>
  <si>
    <t>Venta de Productos Terminados</t>
  </si>
  <si>
    <t>Operaciones Financieras</t>
  </si>
  <si>
    <t>Cobro</t>
  </si>
  <si>
    <t>Pago</t>
  </si>
  <si>
    <t>Movimiento</t>
  </si>
  <si>
    <t>Tipo Movimiento2</t>
  </si>
  <si>
    <t>ImporteSig</t>
  </si>
  <si>
    <t>BS_Nivel_1</t>
  </si>
  <si>
    <t>BS_Nivel_2</t>
  </si>
  <si>
    <t>BS_Nivel_3</t>
  </si>
  <si>
    <t>BS_Nivel_4</t>
  </si>
  <si>
    <t>PyG_Nivel_1</t>
  </si>
  <si>
    <t>PyG_Nivel_2</t>
  </si>
  <si>
    <t>PyG_Nivel_3</t>
  </si>
  <si>
    <t>Orden Registro</t>
  </si>
  <si>
    <t>Niveles:2</t>
  </si>
  <si>
    <t>Niveles:3</t>
  </si>
  <si>
    <t>Grupos</t>
  </si>
  <si>
    <t>Nivel 1</t>
  </si>
  <si>
    <t>Nivel 2</t>
  </si>
  <si>
    <t>Nivel 3</t>
  </si>
  <si>
    <t>Nivel 4</t>
  </si>
  <si>
    <t>CPGC</t>
  </si>
  <si>
    <t>OrdenNivel4</t>
  </si>
  <si>
    <t>Nombre Cuenta</t>
  </si>
  <si>
    <t>Nombre Cuenta ()</t>
  </si>
  <si>
    <t>Largo</t>
  </si>
  <si>
    <t>1. Capital Social</t>
  </si>
  <si>
    <t>1000  Capital social</t>
  </si>
  <si>
    <t>Grupo 1 - 
Financiación básica
PN y PNC (L/P)</t>
  </si>
  <si>
    <t>1. Fondo Social</t>
  </si>
  <si>
    <t>1010  Fondo Social</t>
  </si>
  <si>
    <t>1. Capital</t>
  </si>
  <si>
    <t>1020  Capital</t>
  </si>
  <si>
    <t>3. Otras deudas a corto plazo</t>
  </si>
  <si>
    <t>Grupo 1</t>
  </si>
  <si>
    <t>103  Socios por desembolsos no exigidos</t>
  </si>
  <si>
    <t>104  Socios por aportaciones no dinerarias pendientes</t>
  </si>
  <si>
    <t>1. Acciones y participaciones en patrimonio propias</t>
  </si>
  <si>
    <t>108   Acciones o participaciones propias en situaciones especiales</t>
  </si>
  <si>
    <t>108   Acciones o participaciones propias para reducción de capital</t>
  </si>
  <si>
    <t>1. Prima de emisión</t>
  </si>
  <si>
    <t>1100  Prima de emisión o asunción</t>
  </si>
  <si>
    <t>1. Otros instrumentos de patrimonio neto</t>
  </si>
  <si>
    <t>1110  Otros instrumentos de patrimonio neto</t>
  </si>
  <si>
    <t>1. Reservas</t>
  </si>
  <si>
    <t>1120  Reserva legal</t>
  </si>
  <si>
    <t>1130  Reservas voluntarias</t>
  </si>
  <si>
    <t>1140  Reservas especiales</t>
  </si>
  <si>
    <t>1150  Reservas por pérdidas y ganancias actuariales y otros ajustes</t>
  </si>
  <si>
    <t>1. Otras aportaciones de socios</t>
  </si>
  <si>
    <t>1180  Aportaciones de socios o propietarios</t>
  </si>
  <si>
    <t>1190   Diferencias por ajuste del capital a euros</t>
  </si>
  <si>
    <t>1. Resultados de ejercicios anteriores</t>
  </si>
  <si>
    <t>1200  Remanente</t>
  </si>
  <si>
    <t>1210  Resultados negativos de ejercicios anteriores</t>
  </si>
  <si>
    <t>1. Resultado del ejercicio</t>
  </si>
  <si>
    <t>1290  Resultado del ejercicio</t>
  </si>
  <si>
    <t>1. Subvenciones, donaciones y legados recibidos</t>
  </si>
  <si>
    <t>1300  Subvenciones oficiales de capital</t>
  </si>
  <si>
    <t>1310  Donaciones y legados de capital</t>
  </si>
  <si>
    <t>1320  Otras subvenciones, donaciones y legados</t>
  </si>
  <si>
    <t>1. Ajustes por cambios de valor</t>
  </si>
  <si>
    <t>1330  Ajustes por valoración en activos financieros disponibles para la venta</t>
  </si>
  <si>
    <t>1340  Operaciones de cobertura</t>
  </si>
  <si>
    <t>1350  Diferencias de conversión</t>
  </si>
  <si>
    <t>1360  Ajustes por valoración en activos no corrientes y grupos enajenables de elementos, mantenidos para la venta</t>
  </si>
  <si>
    <t>1370  Ingresos fiscales a distribuir en varios ejercicios</t>
  </si>
  <si>
    <t>1. Provisiones a largo plazo</t>
  </si>
  <si>
    <t>1400  Provisión por retribuciones a largo plazo al personal</t>
  </si>
  <si>
    <t>1410  Provisión para impuestos</t>
  </si>
  <si>
    <t>1420  Provisión para otras responsabilidades</t>
  </si>
  <si>
    <t>1430  Provisión por desmantelamiento, retiro o rehabilitación del inmovilizado</t>
  </si>
  <si>
    <t>1450  Provisión para actuaciones medioambientales</t>
  </si>
  <si>
    <t>1460  Provisión para reestructuraciones</t>
  </si>
  <si>
    <t>1470  Provisión por transacciones con pagos basados en instrumentos de patrimonio</t>
  </si>
  <si>
    <t>3. Otras deudas a largo plazo</t>
  </si>
  <si>
    <t>1500  Acciones o participaciones a largo plazo contabilizadas como pasivos financieros</t>
  </si>
  <si>
    <t>1530  Desembolsos no exigidos por acciones o participaciones consideradas como pasivos financieros</t>
  </si>
  <si>
    <t>1540  Aportaciones no dinerarias pendientes por acciones o participaciones consideradas como pasivos financieros</t>
  </si>
  <si>
    <t>1. Deudas con empresas del grupo y asociadas a largo plazo</t>
  </si>
  <si>
    <t>1600  Deudas a largo plazo con entidades de crédito vinculadas</t>
  </si>
  <si>
    <t>1610  Proveedores de inmovilizado a largo plazo, partes vinculadas</t>
  </si>
  <si>
    <t>1620  Acreedores por arrendamiento financiero a largo plazo, partes vinculadas</t>
  </si>
  <si>
    <t xml:space="preserve">1630  Otras deudas a largo plazo con partes vinculadas </t>
  </si>
  <si>
    <t>1. Deudas con entidades de crédito</t>
  </si>
  <si>
    <t>1700  Deudas a largo plazo con entidades de crédito</t>
  </si>
  <si>
    <t>1710  Deudas a largo plazo</t>
  </si>
  <si>
    <t>1720  Deudas a largo plazo transformables en subvenciones, donaciones y legados</t>
  </si>
  <si>
    <t>1730  Proveedores de inmovilizado a largo plazo</t>
  </si>
  <si>
    <t>1740  Acreedores por arrendamiento financiero a largo plazo</t>
  </si>
  <si>
    <t>1750  Efectos a pagar a largo plazo</t>
  </si>
  <si>
    <t>1760  Pasivos por derivados financieros a largo plazo</t>
  </si>
  <si>
    <t>1770  Obligaciones y bonos</t>
  </si>
  <si>
    <t>1780  Obligaciones y bonos convertibles</t>
  </si>
  <si>
    <t>1790  Deudas representadas en otros valores negociables</t>
  </si>
  <si>
    <t>1800  Fianzas recibidas a largo plazo</t>
  </si>
  <si>
    <t>1. Periodificaciones a largo plazo</t>
  </si>
  <si>
    <t>1810  Anticipos recibidos por ventas o prestaciones de servicios a largo plazo</t>
  </si>
  <si>
    <t>1850  Depósitos recibidos a largo plazo</t>
  </si>
  <si>
    <t>1890  Garantías financieras a largo plazo</t>
  </si>
  <si>
    <t>19</t>
  </si>
  <si>
    <t>190</t>
  </si>
  <si>
    <t>1900  Acciones o participaciones emitidas</t>
  </si>
  <si>
    <t>192</t>
  </si>
  <si>
    <t>1920  Suscriptores de acciones</t>
  </si>
  <si>
    <t>194</t>
  </si>
  <si>
    <t>1940  Capital emitido pendiente de inscripción</t>
  </si>
  <si>
    <t>195</t>
  </si>
  <si>
    <t>1950  Acciones o participaciones emitidas consideradas como pasivos financieros</t>
  </si>
  <si>
    <t>197</t>
  </si>
  <si>
    <t>1970  Suscriptores de acciones consideradas como pasivos financieros</t>
  </si>
  <si>
    <t>199</t>
  </si>
  <si>
    <t>1990  Acciones o participaciones emitidas consideradas como pasivos financieros pendientes de inscripción</t>
  </si>
  <si>
    <t>1. Inmovilizado intangible</t>
  </si>
  <si>
    <t>Grupo 2</t>
  </si>
  <si>
    <t>2000  Investigación</t>
  </si>
  <si>
    <t>Grupo 2 - Activo no corriente
ANC (L/P)</t>
  </si>
  <si>
    <t>20</t>
  </si>
  <si>
    <t>2010  Desarrollo</t>
  </si>
  <si>
    <t>202</t>
  </si>
  <si>
    <t>2020  Concesiones administrativas</t>
  </si>
  <si>
    <t>2030  Propiedad industrial</t>
  </si>
  <si>
    <t>204</t>
  </si>
  <si>
    <t>2040  Fondo de comercio</t>
  </si>
  <si>
    <t>205</t>
  </si>
  <si>
    <t>2050  Derechos de traspaso</t>
  </si>
  <si>
    <t>2060  Aplicaciones informáticas</t>
  </si>
  <si>
    <t>209</t>
  </si>
  <si>
    <t>2090  Anticipos para inmovilizaciones intangibles</t>
  </si>
  <si>
    <t>1. Inmovilizado material</t>
  </si>
  <si>
    <t>2100  Terrenos y bienes naturales</t>
  </si>
  <si>
    <t>2110  Construcciones</t>
  </si>
  <si>
    <t>21</t>
  </si>
  <si>
    <t>212</t>
  </si>
  <si>
    <t>2120  Instalaciones técnicas</t>
  </si>
  <si>
    <t>2130  Maquinaria</t>
  </si>
  <si>
    <t>214</t>
  </si>
  <si>
    <t>2140  Utillaje</t>
  </si>
  <si>
    <t>215</t>
  </si>
  <si>
    <t>2150  Otras instalaciones</t>
  </si>
  <si>
    <t>2160  Mobiliario</t>
  </si>
  <si>
    <t>2170  Equipos para proceso de información</t>
  </si>
  <si>
    <t>2180  Elementos de transporte</t>
  </si>
  <si>
    <t>219</t>
  </si>
  <si>
    <t>2190  Otro inmovilizado material</t>
  </si>
  <si>
    <t>1. Inversiones inmobiliarias</t>
  </si>
  <si>
    <t>2200  Inversiones en terrenos y bienes naturales</t>
  </si>
  <si>
    <t>2210  Inversiones construcciones</t>
  </si>
  <si>
    <t>23</t>
  </si>
  <si>
    <t>230</t>
  </si>
  <si>
    <t>2300  Adaptación de terrenos y bienes naturales</t>
  </si>
  <si>
    <t>231</t>
  </si>
  <si>
    <t>2310  Construcciones en curso</t>
  </si>
  <si>
    <t>232</t>
  </si>
  <si>
    <t>2320  Instalaciones técnicas en montaje</t>
  </si>
  <si>
    <t>233</t>
  </si>
  <si>
    <t>2330  Maquinaria en montaje</t>
  </si>
  <si>
    <t>237</t>
  </si>
  <si>
    <t>2370  Equipos para procesos de información en montaje</t>
  </si>
  <si>
    <t>239</t>
  </si>
  <si>
    <t>2390  Anticipos para inmovilizaciones materiales</t>
  </si>
  <si>
    <t>1. Inversiones en empresas del grupo y asociadas a L/P</t>
  </si>
  <si>
    <t>2400  Participaciones a largo plazo en partes vinculadas</t>
  </si>
  <si>
    <t>2410  Valores representativos de deuda a largo plazo de partes vinculadas</t>
  </si>
  <si>
    <t xml:space="preserve">2420  Créditos a largo plazo a partes vinculadas </t>
  </si>
  <si>
    <t>2490  Desembolsos pendientes sobre participaciones a largo plazo en partes vinculadas</t>
  </si>
  <si>
    <t>1. Inversiones financieras a largo plazo</t>
  </si>
  <si>
    <t>2500  Inversiones financieras a largo plazo en instrumentos de patrimonio</t>
  </si>
  <si>
    <t>25</t>
  </si>
  <si>
    <t>251</t>
  </si>
  <si>
    <t>2510  Valores representativos de deuda a largo plazo</t>
  </si>
  <si>
    <t>252</t>
  </si>
  <si>
    <t>2520  Créditos a largo plazo</t>
  </si>
  <si>
    <t>253</t>
  </si>
  <si>
    <t>2530  Créditos a largo plazo por enajenación de inmovilizado</t>
  </si>
  <si>
    <t>254</t>
  </si>
  <si>
    <t>2540  Créditos a largo plazo al personal</t>
  </si>
  <si>
    <t>255</t>
  </si>
  <si>
    <t>2550  Activos por derivados financieros a largo plazo</t>
  </si>
  <si>
    <t>257</t>
  </si>
  <si>
    <t>2570  Derechos de reembolso derivados de contratos de seguro relativos a retribuciones a largo plazo al personal</t>
  </si>
  <si>
    <t>2580  Imposiciones a largo plazo</t>
  </si>
  <si>
    <t>259</t>
  </si>
  <si>
    <t>2590  Desembolsos pendientes sobre participaciones en el patrimonio neto a largo plazo</t>
  </si>
  <si>
    <t>2600  Fianzas constituidas a largo plazo</t>
  </si>
  <si>
    <t>2650  Depósitos constituidos a largo plazo</t>
  </si>
  <si>
    <t>280   Amortización acumulada de inmovilizado intangible</t>
  </si>
  <si>
    <t>2810  Amortizacion acumulada de inmovilizado material</t>
  </si>
  <si>
    <t>2820  Amortización acumulada de las inversiones inmobiliarias</t>
  </si>
  <si>
    <t>2900  Deterioro de valor del inmovilizado intangible</t>
  </si>
  <si>
    <t>2910  Deterioro de valor del inmovilizado material</t>
  </si>
  <si>
    <t>2920  Deterioro de valor de las inversiones inmobiliarias</t>
  </si>
  <si>
    <t>2930  Deterioro de valor de participaciones a largo plazo en partes vinculadas</t>
  </si>
  <si>
    <t>2940  Deterioro de valor de valores representativos de deuda a largo plazo de partes vinculadas</t>
  </si>
  <si>
    <t>2950  Deterioro de valor de créditos a largo plazo a partes vinculadas</t>
  </si>
  <si>
    <t>2970  Deterioro de valor de valores representativos de deuda a largo plazo</t>
  </si>
  <si>
    <t>2980  Deterioro de valor de créditos a largo plazo</t>
  </si>
  <si>
    <t>1. Existencias</t>
  </si>
  <si>
    <t>3000  Mercaderías</t>
  </si>
  <si>
    <t>Grupo 3 - Existencias
AC (C/P)</t>
  </si>
  <si>
    <t>3100  Materias primas</t>
  </si>
  <si>
    <t>32</t>
  </si>
  <si>
    <t>320</t>
  </si>
  <si>
    <t>Grupo 3</t>
  </si>
  <si>
    <t>3200  Elementos y conjuntos incorporables</t>
  </si>
  <si>
    <t>321</t>
  </si>
  <si>
    <t>3210  Existencias Combustibles</t>
  </si>
  <si>
    <t>322</t>
  </si>
  <si>
    <t>3220  Repuestos</t>
  </si>
  <si>
    <t>325</t>
  </si>
  <si>
    <t>3250  Materiales diversos</t>
  </si>
  <si>
    <t>326</t>
  </si>
  <si>
    <t>3260  Embalajes</t>
  </si>
  <si>
    <t>327</t>
  </si>
  <si>
    <t>3270  Envases</t>
  </si>
  <si>
    <t>328</t>
  </si>
  <si>
    <t>3280  Material de oficina</t>
  </si>
  <si>
    <t>33</t>
  </si>
  <si>
    <t>330</t>
  </si>
  <si>
    <t>3300  Productos en curso</t>
  </si>
  <si>
    <t>34</t>
  </si>
  <si>
    <t>340</t>
  </si>
  <si>
    <t>3400  Productos semiterminados</t>
  </si>
  <si>
    <t>3500  Productos terminados</t>
  </si>
  <si>
    <t>36</t>
  </si>
  <si>
    <t>360</t>
  </si>
  <si>
    <t>3600  Subproductos</t>
  </si>
  <si>
    <t>365</t>
  </si>
  <si>
    <t>3650  Residuos</t>
  </si>
  <si>
    <t>368</t>
  </si>
  <si>
    <t>3680  Materiales recuperados</t>
  </si>
  <si>
    <t>3900  Deterioro de valor de las mercaderías</t>
  </si>
  <si>
    <t>39</t>
  </si>
  <si>
    <t>391</t>
  </si>
  <si>
    <t>3910  Deterioro de valor de las materias primas</t>
  </si>
  <si>
    <t>392</t>
  </si>
  <si>
    <t>3920  Deterioro de valor de otros aprovisionamientos</t>
  </si>
  <si>
    <t>393</t>
  </si>
  <si>
    <t>3930  Deterioro de valor de los productos en curso</t>
  </si>
  <si>
    <t>394</t>
  </si>
  <si>
    <t>3940  Deterioro de valor de los productos semiterminados</t>
  </si>
  <si>
    <t>395</t>
  </si>
  <si>
    <t>3950  Deterioro de valor de los productos terminados</t>
  </si>
  <si>
    <t>396</t>
  </si>
  <si>
    <t>3960  Deterioro de valor de los subproductos, residuos y materiales recuperados</t>
  </si>
  <si>
    <t>1. Proveedores</t>
  </si>
  <si>
    <t>4000  Proveedores</t>
  </si>
  <si>
    <t>Grupo 4 - Acreedores y deudores por operaciones comerciales
AC (C/P) y PC (C/P)</t>
  </si>
  <si>
    <t>4010  Proveedores, efectos comerciales a pagar</t>
  </si>
  <si>
    <t>4030  Proveedores, empresas del grupo</t>
  </si>
  <si>
    <t>4040  Proveedores, empresas asociadas</t>
  </si>
  <si>
    <t>4050  Proveedores, otras partes vinculadas</t>
  </si>
  <si>
    <t>4060  Envases y embalajes a devolver a proveedores</t>
  </si>
  <si>
    <t>4070  Anticipos a proveedores</t>
  </si>
  <si>
    <t>2. Otros acreedores</t>
  </si>
  <si>
    <t>4100  Acreedores por prestaciones de servicios</t>
  </si>
  <si>
    <t>4110  Acreedores, efectos comerciales a pagar</t>
  </si>
  <si>
    <t>4190  Acreedores por operaciones en común</t>
  </si>
  <si>
    <t>1. Clientes por ventas y prestaciones de servicios</t>
  </si>
  <si>
    <t>4300  Clientes</t>
  </si>
  <si>
    <t>4310  Clientes, efectos comerciales a cobrar</t>
  </si>
  <si>
    <t>4320  Clientes, operaciones de “factoring”</t>
  </si>
  <si>
    <t>4330  Clientes, empresas del grupo</t>
  </si>
  <si>
    <t>4340  Clientes, empresas asociadas</t>
  </si>
  <si>
    <t>4350  Clientes, otras partes vinculadas</t>
  </si>
  <si>
    <t>4360  Clientes de dudoso cobro</t>
  </si>
  <si>
    <t>4370  Envases y embalajes a devolver por clientes</t>
  </si>
  <si>
    <t>4380  Anticipos de clientes</t>
  </si>
  <si>
    <t>3. Otros deudores</t>
  </si>
  <si>
    <t>4400  Deudores</t>
  </si>
  <si>
    <t>4410  Deudores, efectos comerciales a cobrar</t>
  </si>
  <si>
    <t>4460  Deudores de dudoso cobro</t>
  </si>
  <si>
    <t>4490  Deudores por operaciones en común</t>
  </si>
  <si>
    <t>4600  Anticipos de remuneraciones</t>
  </si>
  <si>
    <t>4650  Remuneraciones pendiente de pago</t>
  </si>
  <si>
    <t>4660  Remuneraciones mediante sistemas de aportación definida pendientes de pago</t>
  </si>
  <si>
    <t>470   Hacienda Pública, deudora por diversos conceptos</t>
  </si>
  <si>
    <t>4700  Hacienda Pública, deudora por IVA</t>
  </si>
  <si>
    <t xml:space="preserve">4710  Organismos de la Seguridad Social, deudores </t>
  </si>
  <si>
    <t>4720  Hacienda Pública, IVA soportado</t>
  </si>
  <si>
    <t>4730  Hacienda Publica, retenciones y pagos a cuenta</t>
  </si>
  <si>
    <t>1. Activos por Impuesto diferido</t>
  </si>
  <si>
    <t>Grupo 4</t>
  </si>
  <si>
    <t>4740  Activos por impuesto diferido</t>
  </si>
  <si>
    <t>4750  Hacienda Pública, acreedora por conceptos fiscales</t>
  </si>
  <si>
    <t>4750  Hacienda Pública, acreedora por IVA</t>
  </si>
  <si>
    <t>4751  Hacienda Pública, acreedora por retenciones practicadas</t>
  </si>
  <si>
    <t>4752  Hacienda Pública, acreedora por impuesto sobre sociedades</t>
  </si>
  <si>
    <t>476   Organismos de la Seguridad Social, acreedores</t>
  </si>
  <si>
    <t>4770  Hacienda Pública, IVA repercutido</t>
  </si>
  <si>
    <t>1. Pasivos por impuesto diferido</t>
  </si>
  <si>
    <t>4790  Pasivos por diferencias temporarias imponibles</t>
  </si>
  <si>
    <t>1. Periodificaciones a corto plazo.</t>
  </si>
  <si>
    <t>4800  Gastos anticipados</t>
  </si>
  <si>
    <t>1. Periodificaciones a corto plazo</t>
  </si>
  <si>
    <t>4850  Ingresos anticipados</t>
  </si>
  <si>
    <t>1. Provisiones a corto plazo</t>
  </si>
  <si>
    <t>4900  Deterioro de valor de créditos por operaciones comerciales</t>
  </si>
  <si>
    <t>4930  Deterioro de valor de créditos por operaciones comerciales con partes vinculadas</t>
  </si>
  <si>
    <t>4990  Provisión por operaciones comerciales</t>
  </si>
  <si>
    <t>50</t>
  </si>
  <si>
    <t>500</t>
  </si>
  <si>
    <t>Grupo 5</t>
  </si>
  <si>
    <t>5000  Obligaciones y bonos a corto plazo</t>
  </si>
  <si>
    <t>Grupo 5 - Cuentas financieras
AC (C/P) y PC (L/P)</t>
  </si>
  <si>
    <t>501</t>
  </si>
  <si>
    <t>5010  Obligaciones y bonos convertibles a corto plazo</t>
  </si>
  <si>
    <t>VI. Deuda con características especiales a corto plazo</t>
  </si>
  <si>
    <t>502</t>
  </si>
  <si>
    <t>5020  Acciones o participaciones a corto plazo contabilizadas como pasivos financieros</t>
  </si>
  <si>
    <t>505</t>
  </si>
  <si>
    <t>5050  Deudas representadas en otros valores negociables a corto plazo</t>
  </si>
  <si>
    <t>506</t>
  </si>
  <si>
    <t>5060  Intereses a corto plazo de empréstitos y otras emisiones análogas</t>
  </si>
  <si>
    <t>507</t>
  </si>
  <si>
    <t>5070  Dividendos de acciones o participaciones consideradas como pasivos financieros</t>
  </si>
  <si>
    <t>509</t>
  </si>
  <si>
    <t>5090  Valores negociables amortizados</t>
  </si>
  <si>
    <t>1. Deudas con empresas del grupo y asociados a corto plazo</t>
  </si>
  <si>
    <t>5100  Deudas a corto plazo con entidades de crédito vinculadas</t>
  </si>
  <si>
    <t>5110  Proveedores de inmovilizado a corto plazo, partes vinculadas</t>
  </si>
  <si>
    <t>5120  Acreedores por arrendamiento financiero a corto plazo, partes vinculadas</t>
  </si>
  <si>
    <t xml:space="preserve">5130  Otras deudas a corto plazo con partes vinculadas </t>
  </si>
  <si>
    <t>5140  Intereses a corto plazo de deudas con partes vinculadas</t>
  </si>
  <si>
    <t>1. Deudas con entidades de crédito a corto plazo</t>
  </si>
  <si>
    <t>5200  Deudas a corto plazo con entidades de crédito</t>
  </si>
  <si>
    <t>5210  Deudas a corto plazo</t>
  </si>
  <si>
    <t>5220  Deudas a corto plazo transformables en subvenciones, donaciones y legados</t>
  </si>
  <si>
    <t>5230  Proveedores de inmovilizado a corto plazo</t>
  </si>
  <si>
    <t>5240  Acreedores por arrendamiento financiero a corto plazo</t>
  </si>
  <si>
    <t>5250  Efectos a pagar a corto plazo</t>
  </si>
  <si>
    <t>5260  Dividendo activo a pagar</t>
  </si>
  <si>
    <t>5270  Intereses a corto plazo de deudas con entidades de crédito</t>
  </si>
  <si>
    <t>5280  Intereses a corto plazo de deudas</t>
  </si>
  <si>
    <t>5290  Provisiones a corto plazo</t>
  </si>
  <si>
    <t>5290  Provisión a corto plazo por retribuciones al personal</t>
  </si>
  <si>
    <t>5291  Provisión a corto plazo para impuestos</t>
  </si>
  <si>
    <t>5292  Provisión a corto plazo para otras responsabilidades</t>
  </si>
  <si>
    <t>5293  Provisión a corto plazo por desmantelamiento, retiro o rehabilitación del inmovilizado</t>
  </si>
  <si>
    <t>5295  Provisión a corto plazo para actuaciones medioambientales</t>
  </si>
  <si>
    <t>5296  Provisión a corto plazo para reestructuraciones</t>
  </si>
  <si>
    <t>5297  Provisión a corto plazo por transacciones con pagos basados en instrumentos de patrimonio</t>
  </si>
  <si>
    <t>1. Inversiones en empresas del grupo y asociadas a corto plazo</t>
  </si>
  <si>
    <t>5300  Participaciones a corto plazo en partes vinculadas</t>
  </si>
  <si>
    <t>5310  Valores representativos de deuda a corto plazo de partes vinculadas</t>
  </si>
  <si>
    <t>5320  Créditos a corto plazo a partes vinculadas</t>
  </si>
  <si>
    <t>5330  Intereses a corto plazo de valores representativos de deuda de partes vinculadas</t>
  </si>
  <si>
    <t>5340  Intereses a corto plazo de créditos a partes vinculadas</t>
  </si>
  <si>
    <t>5350  Dividendo a cobrar de inversiones financieras en partes vinculadas</t>
  </si>
  <si>
    <t>5390  Desembolsos pendientes sobre participaciones a corto plazo en partes vinculadas</t>
  </si>
  <si>
    <t>1. Inversiones financieras a corto plazo</t>
  </si>
  <si>
    <t>54</t>
  </si>
  <si>
    <t>540</t>
  </si>
  <si>
    <t>5400  Inversiones financieras a corto plazo en instrumentos de patrimonio</t>
  </si>
  <si>
    <t>541</t>
  </si>
  <si>
    <t>5410  Valores representativos de deuda a corto plazo</t>
  </si>
  <si>
    <t>542</t>
  </si>
  <si>
    <t>5420  Créditos a corto plazo</t>
  </si>
  <si>
    <t>543</t>
  </si>
  <si>
    <t>5430  Créditos a corto plazo por enajenación del inmovilizado</t>
  </si>
  <si>
    <t>544</t>
  </si>
  <si>
    <t>5440  Créditos a corto plazo al personal</t>
  </si>
  <si>
    <t>545</t>
  </si>
  <si>
    <t>5450  Dividendo a cobrar</t>
  </si>
  <si>
    <t>546</t>
  </si>
  <si>
    <t>5460  Intereses a corto plazo de valores representativos de deudas</t>
  </si>
  <si>
    <t>547</t>
  </si>
  <si>
    <t>5470  Intereses a corto plazo de créditos</t>
  </si>
  <si>
    <t>548</t>
  </si>
  <si>
    <t>5480  Imposiciones a corto plazo</t>
  </si>
  <si>
    <t>549</t>
  </si>
  <si>
    <t>5490  Desembolsos pendientes sobre participaciones en el patrimonio neto a corto plazo</t>
  </si>
  <si>
    <t>55</t>
  </si>
  <si>
    <t>550</t>
  </si>
  <si>
    <t>5500  Titular de la explotación</t>
  </si>
  <si>
    <t>551</t>
  </si>
  <si>
    <t>5510  Cuenta corriente de socios y administradores</t>
  </si>
  <si>
    <t>552</t>
  </si>
  <si>
    <t>5520  Cuenta corriente con otras personas y entidades vinculadas</t>
  </si>
  <si>
    <t>553</t>
  </si>
  <si>
    <t>5530  Cuentas corrientes en fusiones y escisiones</t>
  </si>
  <si>
    <t>554</t>
  </si>
  <si>
    <t>5540  Cuenta corriente con uniones temporales de empresas y comunidades de bienes</t>
  </si>
  <si>
    <t>555</t>
  </si>
  <si>
    <t>5550  Partidas pendiente de aplicación</t>
  </si>
  <si>
    <t>556</t>
  </si>
  <si>
    <t>5560  Desembolsos exigidos sobre participaciones en el patrimonio neto</t>
  </si>
  <si>
    <t>1. Dividendo a cuenta</t>
  </si>
  <si>
    <t>557</t>
  </si>
  <si>
    <t>5570  Dividendo activo a cuenta</t>
  </si>
  <si>
    <t>2. Accionistas (socios) por desembolsos exigidos</t>
  </si>
  <si>
    <t>558</t>
  </si>
  <si>
    <t>5580  Socios por desembolsos exigidos</t>
  </si>
  <si>
    <t>559</t>
  </si>
  <si>
    <t>5590  Derivados financieros a corto plazo</t>
  </si>
  <si>
    <t>5600  Fianzas recibidas a corto plazo</t>
  </si>
  <si>
    <t>5610  Depósitos recibidos a corto plazo</t>
  </si>
  <si>
    <t>5650  Fianzas constituidas a corto plazo</t>
  </si>
  <si>
    <t>5660  Depósitos constituidos a corto plazo</t>
  </si>
  <si>
    <t>5670  Intereses pagados por anticipado</t>
  </si>
  <si>
    <t>5680  Intereses cobrados por anticipado</t>
  </si>
  <si>
    <t>5690  Garantías financieras a corto plazo</t>
  </si>
  <si>
    <t>1. Efectivo y otros activos líquidos equivalentes</t>
  </si>
  <si>
    <t>5700  Caja, euros</t>
  </si>
  <si>
    <t>5710  Caja, moneda extranjera</t>
  </si>
  <si>
    <t>5720  Bancos e instituciones de crédito c/c vista, euros</t>
  </si>
  <si>
    <t>5730  Bancos e instituciones de crédito c/c vista, moneda extranjera</t>
  </si>
  <si>
    <t>5740  Bancos e instituciones de crédito, cuentas de ahorro, euros</t>
  </si>
  <si>
    <t>5750  Bancos e instituciones de crédito, cuentas de ahorro, moneda extranjera</t>
  </si>
  <si>
    <t>5760  Inversiones a corto plazo de gran liquidez</t>
  </si>
  <si>
    <t>1. Activos no corrientes mantenidos para la venta</t>
  </si>
  <si>
    <t>5800  Inmovilizado</t>
  </si>
  <si>
    <t>58</t>
  </si>
  <si>
    <t>581</t>
  </si>
  <si>
    <t>5810  Inversiones con personas y entidades vinculadas</t>
  </si>
  <si>
    <t>582</t>
  </si>
  <si>
    <t>5820  Inversiones financieras</t>
  </si>
  <si>
    <t>583</t>
  </si>
  <si>
    <t>5830  Existencias, deudores comerciales y otras cuentas a cobrar</t>
  </si>
  <si>
    <t>584</t>
  </si>
  <si>
    <t>5840  Otros activos</t>
  </si>
  <si>
    <t>1. Pasivos vinculados con activos no corrientes mantenidos para la venta</t>
  </si>
  <si>
    <t>585</t>
  </si>
  <si>
    <t>5850  Provisiones</t>
  </si>
  <si>
    <t>586</t>
  </si>
  <si>
    <t>5860  Deudas con características especiales</t>
  </si>
  <si>
    <t>587</t>
  </si>
  <si>
    <t>5870  Deudas con personas y entidades vinculadas</t>
  </si>
  <si>
    <t>588</t>
  </si>
  <si>
    <t>5880  Acreedores comerciales y otras cuentas a pagar</t>
  </si>
  <si>
    <t>589</t>
  </si>
  <si>
    <t>5890  Otros pasivos</t>
  </si>
  <si>
    <t>59</t>
  </si>
  <si>
    <t>593</t>
  </si>
  <si>
    <t>5930  Deterioro de valor de participaciones a corto plazo en partes vinculadas</t>
  </si>
  <si>
    <t>594</t>
  </si>
  <si>
    <t>5940  Deterioro de valor de valores representativos de deuda a corto plazo de partes vinculadas</t>
  </si>
  <si>
    <t>595</t>
  </si>
  <si>
    <t>5950  Deterioro de valor de créditos a corto plazo a partes vinculadas</t>
  </si>
  <si>
    <t>597</t>
  </si>
  <si>
    <t>5970  Deterioro de valor de valores representativos de deuda a corto plazo</t>
  </si>
  <si>
    <t>598</t>
  </si>
  <si>
    <t>5980  Deterioro de valor de créditos a corto plazo</t>
  </si>
  <si>
    <t>599</t>
  </si>
  <si>
    <t>5990  Deterioro de valor de activos no corrientes mantenidos para la venta</t>
  </si>
  <si>
    <t>6000  Compras de mercaderías</t>
  </si>
  <si>
    <t>Grupo 6 - Compras y Gastos</t>
  </si>
  <si>
    <t>6010  Compras de materias primas</t>
  </si>
  <si>
    <t>60</t>
  </si>
  <si>
    <t>602</t>
  </si>
  <si>
    <t>Grupo 6</t>
  </si>
  <si>
    <t>6020  Compras de otros aprovisionamientos</t>
  </si>
  <si>
    <t>606</t>
  </si>
  <si>
    <t>6060  Descuentos sobre compras por pronto pago de mercaderías</t>
  </si>
  <si>
    <t>607</t>
  </si>
  <si>
    <t>6070  Trabajos realizados por otras empresas</t>
  </si>
  <si>
    <t>6080  Devoluciones de compras y operaciones similares</t>
  </si>
  <si>
    <t>609</t>
  </si>
  <si>
    <t>6090  "Rappels" por compras</t>
  </si>
  <si>
    <t>6100  Variación de existencias de mercaderías</t>
  </si>
  <si>
    <t>6110  Variación de existencias de materias primas</t>
  </si>
  <si>
    <t>6120  Variación de existencias de otros aprovisionamientos</t>
  </si>
  <si>
    <t>6200  Gastos en investigación y desarrollo del ejercicio</t>
  </si>
  <si>
    <t>6210  Arrendamientos y cánones</t>
  </si>
  <si>
    <t>62</t>
  </si>
  <si>
    <t>622</t>
  </si>
  <si>
    <t>6220  Reparaciones y conservación</t>
  </si>
  <si>
    <t>623</t>
  </si>
  <si>
    <t>6230  Servicios de profesionales independientes</t>
  </si>
  <si>
    <t>624</t>
  </si>
  <si>
    <t>6240  Transportes</t>
  </si>
  <si>
    <t>625</t>
  </si>
  <si>
    <t>6250  Primas de seguros</t>
  </si>
  <si>
    <t>626</t>
  </si>
  <si>
    <t>6260  Servicios bancarios y similares</t>
  </si>
  <si>
    <t>627</t>
  </si>
  <si>
    <t>6270  Publicidad, propaganda y relaciones públicas</t>
  </si>
  <si>
    <t>628</t>
  </si>
  <si>
    <t>6280  Suministros</t>
  </si>
  <si>
    <t>629</t>
  </si>
  <si>
    <t>6290  Otros servicios</t>
  </si>
  <si>
    <t>6300  Impuesto sobre beneficios</t>
  </si>
  <si>
    <t>63</t>
  </si>
  <si>
    <t>631</t>
  </si>
  <si>
    <t>6310  Otros tributos</t>
  </si>
  <si>
    <t>633</t>
  </si>
  <si>
    <t>6330  Ajustes negativos en la imposición sobre beneficios</t>
  </si>
  <si>
    <t>634</t>
  </si>
  <si>
    <t>6340  Ajustes negativos en la imposición indirecta</t>
  </si>
  <si>
    <t>636</t>
  </si>
  <si>
    <t>6360  Devolución de impuestos</t>
  </si>
  <si>
    <t>638</t>
  </si>
  <si>
    <t>6380  Ajustes positivos en la imposición sobre beneficios</t>
  </si>
  <si>
    <t>639</t>
  </si>
  <si>
    <t>6390  Ajustes positivos en la imposición indirecta</t>
  </si>
  <si>
    <t>6400  Sueldos y salarios</t>
  </si>
  <si>
    <t>6410  Indemnizaciones</t>
  </si>
  <si>
    <t>6420  Seguridad social a cargo de la empresa</t>
  </si>
  <si>
    <t>64</t>
  </si>
  <si>
    <t>643</t>
  </si>
  <si>
    <t>6430  Retribuciones a largo plazo mediante sistemas de aportación definida</t>
  </si>
  <si>
    <t>644</t>
  </si>
  <si>
    <t>6440  Retribuciones a largo plazo mediante sistemas de prestación definida</t>
  </si>
  <si>
    <t>645</t>
  </si>
  <si>
    <t>6450  Retribuciones al personal liquidados con instrumentos de patrimonio</t>
  </si>
  <si>
    <t>649</t>
  </si>
  <si>
    <t>6490  Otros gastos sociales</t>
  </si>
  <si>
    <t>65</t>
  </si>
  <si>
    <t>650</t>
  </si>
  <si>
    <t>6500  Pérdidas de créditos comerciales incobrables</t>
  </si>
  <si>
    <t>651</t>
  </si>
  <si>
    <t>6510  Resultados de operaciones en común</t>
  </si>
  <si>
    <t>659</t>
  </si>
  <si>
    <t>6590  Otras pérdidas en gestión corriente</t>
  </si>
  <si>
    <t>6600  Gastos financieros por actualización de provisiones</t>
  </si>
  <si>
    <t>6610  Gastos financieros por actualización de provisiones</t>
  </si>
  <si>
    <t>662    Intereses de deudas</t>
  </si>
  <si>
    <t>6630  Pérdidas por valoración de instrumentos financieros por su valor razonable</t>
  </si>
  <si>
    <t>6640  Gastos por dividendos de acciones o participaciones consideradas como pasivos financieros</t>
  </si>
  <si>
    <t>6650  Intereses por descuento de efectos y operaciones de “factoring”</t>
  </si>
  <si>
    <t>6660  Pérdidas en participaciones y valores representativos de deuda</t>
  </si>
  <si>
    <t>6670  Pérdidas de créditos no comerciales</t>
  </si>
  <si>
    <t>6680  Diferencias negativas de cambio</t>
  </si>
  <si>
    <t>6690  Otros gastos financieros</t>
  </si>
  <si>
    <t>6700  Pérdidas procedentes del inmovilizado intangible</t>
  </si>
  <si>
    <t>67</t>
  </si>
  <si>
    <t>671</t>
  </si>
  <si>
    <t>6710  Pérdidas procedentes del inmovilizado material</t>
  </si>
  <si>
    <t>672</t>
  </si>
  <si>
    <t>6720  Pérdidas procedentes de las inversiones inmobiliarias</t>
  </si>
  <si>
    <t>673</t>
  </si>
  <si>
    <t>6730  Pérdidas procedentes de participaciones a largo plazo en partes vinculadas</t>
  </si>
  <si>
    <t>675</t>
  </si>
  <si>
    <t>6750  Pérdidas por operaciones con obligaciones propias</t>
  </si>
  <si>
    <t>678</t>
  </si>
  <si>
    <t>6780  Gastos excepcionales</t>
  </si>
  <si>
    <t>6800  Amortización del inmovilizado intangible</t>
  </si>
  <si>
    <t>6810  Amortización del inmovilizado material</t>
  </si>
  <si>
    <t>6820  Amortización de las inversiones inmobiliarias</t>
  </si>
  <si>
    <t>69</t>
  </si>
  <si>
    <t>690</t>
  </si>
  <si>
    <t>6900  Pérdidas por deterioro de inmovilizado intangible</t>
  </si>
  <si>
    <t>691</t>
  </si>
  <si>
    <t>6910  Pérdidas por deterioro del inmovilizado material</t>
  </si>
  <si>
    <t>692</t>
  </si>
  <si>
    <t>6920  Pérdidas por deterioro de las inversiones inmobiliarias</t>
  </si>
  <si>
    <t>693</t>
  </si>
  <si>
    <t>6930  Pérdidas por deterioro de existencias</t>
  </si>
  <si>
    <t>694</t>
  </si>
  <si>
    <t>6940  Pérdidas por deterioro de créditos por operaciones comerciales</t>
  </si>
  <si>
    <t>695</t>
  </si>
  <si>
    <t>6950  Dotación a la provisión por operaciones comerciales</t>
  </si>
  <si>
    <t>6959  Dotación a la provisión para otras operaciones comerciales</t>
  </si>
  <si>
    <t>696</t>
  </si>
  <si>
    <t>6960   Pérdidas por deterioro de participaciones y valores representativos de deuda a largo plazo</t>
  </si>
  <si>
    <t>698</t>
  </si>
  <si>
    <t>6980   Pérdidas por deterioro de participaciones y valores representativos de deuda a corto plazo</t>
  </si>
  <si>
    <t>6990   Pérdidas por deterioro de créditos a corto plazo</t>
  </si>
  <si>
    <t>7000  Ventas de mercaderías</t>
  </si>
  <si>
    <t>Grupo 7 - Ventas e Ingresos</t>
  </si>
  <si>
    <t>7010  Ventas de productos terminados</t>
  </si>
  <si>
    <t>7020  Ventas de productos semiterminados</t>
  </si>
  <si>
    <t>70</t>
  </si>
  <si>
    <t>703</t>
  </si>
  <si>
    <t>Grupo 7</t>
  </si>
  <si>
    <t>7030  Ventas de subproductos y residuos</t>
  </si>
  <si>
    <t>704</t>
  </si>
  <si>
    <t>7040  Ventas de envases y embalajes</t>
  </si>
  <si>
    <t>7050  Prestaciones de servicios</t>
  </si>
  <si>
    <t>7060  Descuentos sobre ventas por pronto pago</t>
  </si>
  <si>
    <t>7080  Devoluciones de ventas y operaciones similares</t>
  </si>
  <si>
    <t>7090  “Rappels” sobre ventas</t>
  </si>
  <si>
    <t>7100  Variación de existencias de productos en curso</t>
  </si>
  <si>
    <t>7110  Variación de existencias de productos semiterminados</t>
  </si>
  <si>
    <t>7120  Variación de existencias de productos terminados</t>
  </si>
  <si>
    <t>7130  Variación de existencias de subproductos, residuos y materiales recuperados</t>
  </si>
  <si>
    <t>7300  Trabajos realizados para el inmovilizado intangible</t>
  </si>
  <si>
    <t>7310  Trabajos realizados para el inmovilizado material</t>
  </si>
  <si>
    <t>7320  Trabajos realizados en inversiones inmobiliarias</t>
  </si>
  <si>
    <t>7330  Trabajos realizados para el inmovilizado material en curso</t>
  </si>
  <si>
    <t>7400  Subvenciones, donaciones y legados a la explotación</t>
  </si>
  <si>
    <t>7460  Subvenciones, donaciones y legados de capital transferidas al resultado del ejercicio</t>
  </si>
  <si>
    <t>7470  Otras subvenciones, donaciones y legados transferidos al resultado del ejercicio</t>
  </si>
  <si>
    <t>7510  Resultados de operaciones en común</t>
  </si>
  <si>
    <t>7520  Ingresos por arrendamientos</t>
  </si>
  <si>
    <t>75</t>
  </si>
  <si>
    <t>753</t>
  </si>
  <si>
    <t>7530  Ingresos de propiedad industrial cedida en explotación</t>
  </si>
  <si>
    <t>754</t>
  </si>
  <si>
    <t>7540  Ingresos por comisiones</t>
  </si>
  <si>
    <t>755</t>
  </si>
  <si>
    <t>7550  Ingresos por servicios al personal</t>
  </si>
  <si>
    <t>7590  Ingresos por servicios diversos</t>
  </si>
  <si>
    <t>7600  Ingresos de participaciones en instrumentos de patrimonio, empresas del grupo</t>
  </si>
  <si>
    <t>76</t>
  </si>
  <si>
    <t>760</t>
  </si>
  <si>
    <t>7610  Ingresos de valores representativos de deuda</t>
  </si>
  <si>
    <t>762    Ingresos de créditos</t>
  </si>
  <si>
    <t>763    Beneficios por valoración de instrumentos financieros por su valor razonable</t>
  </si>
  <si>
    <t>766    Beneficios en participaciones y valores representativos de deuda</t>
  </si>
  <si>
    <t>767    Ingresos de activos afectos y de derechos de reembolso relativos a retribuciones a largo plazo</t>
  </si>
  <si>
    <t xml:space="preserve">768    Diferencias positivas de cambio </t>
  </si>
  <si>
    <t>769    Otros ingresos financieros</t>
  </si>
  <si>
    <t>77</t>
  </si>
  <si>
    <t>770</t>
  </si>
  <si>
    <t>7700  Beneficios procedentes del inmovilizado intangible</t>
  </si>
  <si>
    <t>771</t>
  </si>
  <si>
    <t>7710  Beneficios procedentes del inmovilizado material</t>
  </si>
  <si>
    <t>772</t>
  </si>
  <si>
    <t>7720  Beneficios procedentes de las inversiones inmobiliarias</t>
  </si>
  <si>
    <t>773</t>
  </si>
  <si>
    <t>7730  Beneficios procedentes de participaciones a largo plazo en partes vinculadas</t>
  </si>
  <si>
    <t>774</t>
  </si>
  <si>
    <t>7740  Diferencia negativa en combinaciones de negocios</t>
  </si>
  <si>
    <t>775</t>
  </si>
  <si>
    <t>7750  Beneficios por operaciones con obligaciones propias</t>
  </si>
  <si>
    <t>778</t>
  </si>
  <si>
    <t>7780  Ingresos excepcionales</t>
  </si>
  <si>
    <t>79</t>
  </si>
  <si>
    <t>790</t>
  </si>
  <si>
    <t>7900  Reversión del deterioro del inmovilizado intangible</t>
  </si>
  <si>
    <t>791</t>
  </si>
  <si>
    <t>7910  Reversión del deterioro del inmovilizado material</t>
  </si>
  <si>
    <t>792</t>
  </si>
  <si>
    <t>7920  Reversión del deterioro de las inversiones inmobiliarias</t>
  </si>
  <si>
    <t>793</t>
  </si>
  <si>
    <t>7930  Reversión del deterioro de existencias</t>
  </si>
  <si>
    <t>794</t>
  </si>
  <si>
    <t>7940  Reversión del deterioro de créditos por operaciones comerciales</t>
  </si>
  <si>
    <t>795</t>
  </si>
  <si>
    <t>7950  Exceso de provisiones</t>
  </si>
  <si>
    <t>796</t>
  </si>
  <si>
    <t>7960  Reversión del deterioro de participaciones y valores representativos de deuda a largo plazo</t>
  </si>
  <si>
    <t>797</t>
  </si>
  <si>
    <t>7970  Reversión del deterioro de créditos a largo plazo</t>
  </si>
  <si>
    <t>798</t>
  </si>
  <si>
    <t>7980  Reversión del deterioro de participaciones y valores representativos de deuda a corto plazo</t>
  </si>
  <si>
    <t>799</t>
  </si>
  <si>
    <t>7990  Reversión del deterioro de créditos a corto plazo</t>
  </si>
  <si>
    <t>OrdenNivel3</t>
  </si>
  <si>
    <t>C) RESULTADO ANTES DE IMPUESTOS</t>
  </si>
  <si>
    <t>A) RESULTADO DE EXPLOTACIÓN</t>
  </si>
  <si>
    <t>6061  Descuentos sobre compras por pronto pago de materias primas</t>
  </si>
  <si>
    <t>6062  Descuentos sobre compras por pronto pago de otros aprovisionamientos</t>
  </si>
  <si>
    <t>6081  Devoluciones de compras de materias primas</t>
  </si>
  <si>
    <t>6082  Devoluciones de compras de otros aprovisionamientos</t>
  </si>
  <si>
    <t>6090  Rappels por compras de mercaderías</t>
  </si>
  <si>
    <t>6091  Rappels por compras de materias primas</t>
  </si>
  <si>
    <t>6092  Rappels por compras de otros aprovisionamientos</t>
  </si>
  <si>
    <t>C1_) IMPUESTOS SOBRE BENEFICIOS</t>
  </si>
  <si>
    <t>C1) IMPUESTOS SOBRE BENEFICIOS</t>
  </si>
  <si>
    <t>6301  Impuesto diferido</t>
  </si>
  <si>
    <t>6341  Ajustes negativos en IVA de activo corriente</t>
  </si>
  <si>
    <t>6342  Ajustes negativos en IVA de inversiones</t>
  </si>
  <si>
    <t>6391  Ajustes positivos en IVA de activo corriente</t>
  </si>
  <si>
    <t>6392  Ajustes positivos en IVA de inversiones</t>
  </si>
  <si>
    <t>6440  Retribuciones a largo plazo mediante sistemas de prestación definida. Contribuciones anuales</t>
  </si>
  <si>
    <t>6442  Retribuciones a largo plazo mediante sistemas de prestación definida. Otros costes</t>
  </si>
  <si>
    <t>6457  Retribuciones al personal liquidados en efectivo basados en instrumentos de patrimonio</t>
  </si>
  <si>
    <t>6510  Resultados de operaciones en común. Beneficio transferido (gestor)</t>
  </si>
  <si>
    <t>6511  Resultados de operaciones en común. Pérdida soportada (partícipe o asociado no gestor)</t>
  </si>
  <si>
    <t>B) RESULTADO FINANCIERO</t>
  </si>
  <si>
    <t>6610  Intereses de obligaciones y bonos a largo plazo, empresas del grupo</t>
  </si>
  <si>
    <t>6611  Intereses de obligaciones y bonos a largo plazo, empresas asociadas</t>
  </si>
  <si>
    <t>6612  Intereses de obligaciones y bonos a largo plazo, otras partes vinculadas</t>
  </si>
  <si>
    <t>6613  Intereses de obligaciones y bonos a largo plazo, otras empresas</t>
  </si>
  <si>
    <t>6615  Intereses de obligaciones y bonos a corto plazo, empresas del grupo</t>
  </si>
  <si>
    <t>6616  Intereses de obligaciones y bonos a corto plazo, empresas asociadas</t>
  </si>
  <si>
    <t>6617  Intereses de obligaciones y bonos a corto plazo, otras partes vinculadas</t>
  </si>
  <si>
    <t>6618  Intereses de obligaciones y bonos a corto plazo, otras empresas</t>
  </si>
  <si>
    <t>6620  Intereses de deudas , empresas del grupo</t>
  </si>
  <si>
    <t>6621  Intereses de deudas, empresas asociadas</t>
  </si>
  <si>
    <t>6622  Intereses de deudas, otras partes vinculadas</t>
  </si>
  <si>
    <t>6623  Intereses de deudas con entidades de crédito</t>
  </si>
  <si>
    <t>6624  Intereses de deudas, otras empresas</t>
  </si>
  <si>
    <t>6631  Pérdidas de designados por la empresa</t>
  </si>
  <si>
    <t>6632  Pérdidas de disponibles para la venta</t>
  </si>
  <si>
    <t>6633  Pérdidas de instrumentos de cobertura</t>
  </si>
  <si>
    <t>6640  Dividendos de pasivos, empresas del grupo</t>
  </si>
  <si>
    <t>6641  Dividendos de pasivos, empresas asociadas</t>
  </si>
  <si>
    <t>6642  Dividendos de pasivos, otras partes vinculadas</t>
  </si>
  <si>
    <t>6643  Dividendos de pasivos, otras empresas</t>
  </si>
  <si>
    <t>6650  Intereses por descuentos de efectos en entidades de crédito del grupo</t>
  </si>
  <si>
    <t>6651  Intereses por descuento de efectos en entidades de crédito asociadas</t>
  </si>
  <si>
    <t>6652  Intereses por descuento de efectos en otras entidades de crédito vinculadas</t>
  </si>
  <si>
    <t>6653  Intereses por descuento de efectos en otras entidades de crédito</t>
  </si>
  <si>
    <t>6654  Intereses por operaciones de "factoring" con entidades de crédito del grupo</t>
  </si>
  <si>
    <t>6655  Intereses por operaciones de “factoring” con entidades de crédito asociadas</t>
  </si>
  <si>
    <t>6656  Intereses por operaciones de “factoring” con otras entidades de crédito vinculadas</t>
  </si>
  <si>
    <t>6657  Intereses por operaciones de “factoring” con otras entidades de crédito</t>
  </si>
  <si>
    <t>6661  Pérdidas en valores representativos de deuda a largo plazo, empresas asociadas</t>
  </si>
  <si>
    <t>6662  Pérdidas en valores representativos de deuda a largo plazo, otras partes vinculadas</t>
  </si>
  <si>
    <t>6663  Pérdidas en valores representativos de deuda a largo plazo, otras empresas</t>
  </si>
  <si>
    <t>6665  Pérdidas en valores representativos de deuda a corto plazo, empresas del grupo</t>
  </si>
  <si>
    <t>6666  Pérdidas en valores representativos de deuda a corto plazo, empresas asociadas</t>
  </si>
  <si>
    <t>6667  Pérdidas en valores representativos de deuda a corto plazo, otras partes vinculadas</t>
  </si>
  <si>
    <t>6668  Pérdidas en valores representativos de deuda a corto plazo, otras empresas</t>
  </si>
  <si>
    <t>6670  Pérdidas de créditos a largo plazo, empresas del grupo</t>
  </si>
  <si>
    <t>6671  Pérdidas de créditos a largo plazo, empresas asociadas</t>
  </si>
  <si>
    <t>6672  Pérdidas de créditos a largo plazo, otras partes vinculadas</t>
  </si>
  <si>
    <t>6673  Pérdidas de créditos a largo plazo, otras empresas</t>
  </si>
  <si>
    <t>6675  Pérdidas de créditos a corto plazo, empresas del grupo</t>
  </si>
  <si>
    <t>6676  Pérdidas de créditos a corto plazo, empresas asociadas</t>
  </si>
  <si>
    <t>6677  Pérdidas de créditos a corto plazo, otras partes vinculadas</t>
  </si>
  <si>
    <t>6678  Pérdidas de créditos a corto plazo, otras empresas</t>
  </si>
  <si>
    <t>6733  Pérdidas procedentes de participaciones a largo plazo, empresas del grupo</t>
  </si>
  <si>
    <t>6734  Pérdidas procedentes de participaciones a largo plazo, empresas asociadas</t>
  </si>
  <si>
    <t>6735  Pérdidas procedentes de participaciones a largo plazo, otras partes vinculadas</t>
  </si>
  <si>
    <t>6930  Pérdidas por deterioro de productos terminados y en curso de fabricación</t>
  </si>
  <si>
    <t>6931  Pérdidas por deterioro de mercaderías</t>
  </si>
  <si>
    <t>6932  Pérdidas por deterioro de materias primas</t>
  </si>
  <si>
    <t>6933  Pérdidas por deterioro de otros aprovisionamientos</t>
  </si>
  <si>
    <t>6954  Dotación a la provisión por contratos onerosos</t>
  </si>
  <si>
    <t>6960  Pérdidas por deterioro de participaciones en instrumentos de patrimonio neto a largo plazo, empresas del grupo</t>
  </si>
  <si>
    <t>6961  Pérdidas por deterioro de participaciones en instrumentos de patrimonio neto a largo plazo, empresas asociadas</t>
  </si>
  <si>
    <t>6962  Pérdidas por deterioro de participaciones en instrumentos de patrimonio neto a largo plazo, otras partes vinculadas</t>
  </si>
  <si>
    <t>6963  Pérdidas por deterioro de participaciones en instrumentos de patrimonio neto a largo plazo, otras empresas</t>
  </si>
  <si>
    <t>6965  Pérdidas por deterioro de participaciones en instrumentos de patrimonio neto a corto plazo, empresas del grupo</t>
  </si>
  <si>
    <t>6966  Pérdidas por deterioro de participaciones en instrumentos de patrimonio neto a corto plazo, empresas asociadas</t>
  </si>
  <si>
    <t>6967  Pérdidas por deterioro de participaciones en instrumentos de patrimonio neto a corto plazo, otras partes vinculadas</t>
  </si>
  <si>
    <t>6968  Pérdidas por deterioro de participaciones en instrumentos de patrimonio neto a corto plazo, otras empresas</t>
  </si>
  <si>
    <t>6970  Pérdidas por deterioro de créditos a largo plazo, empresas del grupo</t>
  </si>
  <si>
    <t>6971  Pérdidas por deterioro de créditos a largo plazo, empresas asociadas</t>
  </si>
  <si>
    <t>6972  Pérdidas por deterioro de créditos a largo plazo, otras partes vinculadas</t>
  </si>
  <si>
    <t>6973  Pérdidas por deterioro de créditos a largo plazo, otras empresas</t>
  </si>
  <si>
    <t>6980  Pérdidas por deterioro de participaciones en instrumentos de patrimonio neto a corto plazo, empresas del grupo</t>
  </si>
  <si>
    <t>6981  Pérdidas por deterioro de participaciones en instrumentos de patrimonio neto a corto plazo, empresas asociadas</t>
  </si>
  <si>
    <t>6985  Pérdidas por deterioro en valores representativos de deuda a corto plazo, empresas del grupo</t>
  </si>
  <si>
    <t>6986  Pérdidas por deterioro en valores representativos de deuda a corto plazo, empresas asociadas</t>
  </si>
  <si>
    <t>6987  Pérdidas por deterioro en valores representativos de deuda a corto plazo, otras partes vinculadas</t>
  </si>
  <si>
    <t>6988  Pérdidas por deterioro en valores representativos de deuda a corto plazo, otras empresas</t>
  </si>
  <si>
    <t>6990  Pérdidas por deterioro de créditos a corto plazo, empresas del grupo</t>
  </si>
  <si>
    <t>6991  Pérdidas por deterioro de créditos a corto plazo, empresas asociadas</t>
  </si>
  <si>
    <t>6992  Pérdidas por deterioro de créditos a corto plazo, otras partes vinculadas</t>
  </si>
  <si>
    <t>6993  Pérdidas por deterioro de créditos a corto plazo, otras empresas</t>
  </si>
  <si>
    <t>7061  Descuentos sobre ventas por pronto pago de productos terminados</t>
  </si>
  <si>
    <t>7062  Descuentos sobre ventas por pronto pago de productos semiterminados</t>
  </si>
  <si>
    <t>7063  Descuentos sobre ventas por pronto pago de subproductos y residuos</t>
  </si>
  <si>
    <t>7081  Devoluciones de ventas de productos terminados</t>
  </si>
  <si>
    <t>7082  Devoluciones de ventas de productos semiterminados</t>
  </si>
  <si>
    <t>7083  Devoluciones de ventas de subproductos y residuos</t>
  </si>
  <si>
    <t>7084  Devoluciones de ventas de envases y embalajes</t>
  </si>
  <si>
    <t>7090  Rappels sobre ventas de mercaderías</t>
  </si>
  <si>
    <t>7091  Rappels sobre ventas de productos terminados</t>
  </si>
  <si>
    <t>7092  Rappels sobre ventas de productos semiterminados</t>
  </si>
  <si>
    <t>7093  Rappels sobre ventas de subproductos y residuos</t>
  </si>
  <si>
    <t>7094  Rappels sobre ventas de envases y embalajes</t>
  </si>
  <si>
    <t>7510  Pérdida transferida (gestor)</t>
  </si>
  <si>
    <t>7511  Beneficio atribuido (partícipe o asociado no gestor)</t>
  </si>
  <si>
    <t>7601  Ingresos de participaciones en instrumentos de patrimonio, empresas asociadas</t>
  </si>
  <si>
    <t>7602  Ingresos de participaciones en instrumentos de patrimonio, otras partes vinculadas</t>
  </si>
  <si>
    <t>7603  Ingresos de participaciones en instrumentos de patrimonio, otras empresas</t>
  </si>
  <si>
    <t>7610  Ingresos de valores representativos de deuda, empresas del grupo</t>
  </si>
  <si>
    <t>7611  Ingresos de valores representativos de deuda, empresas asociadas</t>
  </si>
  <si>
    <t>7612  Ingresos de valores representativos de deuda, otras partes vinculadas</t>
  </si>
  <si>
    <t>7613  Ingresos de valores representativos de deuda, otras empresas</t>
  </si>
  <si>
    <t>7620  Ingresos de créditos a largo plazo</t>
  </si>
  <si>
    <t>7621  Ingresos de créditos a corto plazo</t>
  </si>
  <si>
    <t>7630  Beneficios de cartera de negociación</t>
  </si>
  <si>
    <t>7631  Beneficios de designados por la empresa</t>
  </si>
  <si>
    <t>7632  Beneficios de disponibles para la venta</t>
  </si>
  <si>
    <t>7633  Beneficios de instrumentos de cobertura</t>
  </si>
  <si>
    <t>7660  Beneficios en valores representativos de deuda a largo plazo, empresas del grupo</t>
  </si>
  <si>
    <t>7661  Beneficios en valores representativos de deuda a largo plazo, empresas asociadas</t>
  </si>
  <si>
    <t>7662  Beneficios en valores representativos de deuda a largo plazo, otras partes vinculadas</t>
  </si>
  <si>
    <t>7663  Beneficios en valores representativos de deuda a largo plazo, otras empresas</t>
  </si>
  <si>
    <t>7665  Beneficios en valores representativos de deuda a corto plazo, empresas del grupo</t>
  </si>
  <si>
    <t>7666  Beneficios en valores representativos de deuda a corto plazo, empresas asociadas</t>
  </si>
  <si>
    <t>7667  Beneficios en valores representativos de deuda a corto plazo, otras partes vinculadas</t>
  </si>
  <si>
    <t>7668  Beneficios en valores representativos de deuda a corto plazo, otras empresas</t>
  </si>
  <si>
    <t>7670  Ingresos de activos afectos y de derechos de reembolso relativos a retribuciones a largo plazo</t>
  </si>
  <si>
    <t>7680  Diferencias positivas de cambio</t>
  </si>
  <si>
    <t>7690  Otros ingresos financieros</t>
  </si>
  <si>
    <t>7733  Beneficios procedentes de participaciones a largo plazo, empresas del grupo</t>
  </si>
  <si>
    <t>7734  Beneficios procedentes de participaciones a largo plazo, empresas asociadas</t>
  </si>
  <si>
    <t>7735  Beneficios procedentes de participaciones a largo plazo, otras partes vinculadas</t>
  </si>
  <si>
    <t>7930  Reversión del deterioro de productos terminados y en curso de fabricación</t>
  </si>
  <si>
    <t>7931  Reversión del deterioro de existencias</t>
  </si>
  <si>
    <t>7932  Reversión del deterioro de materias primas</t>
  </si>
  <si>
    <t>7933  Reversión del deterioro de otros aprovisionamientos</t>
  </si>
  <si>
    <t>7951  Exceso de provisión para impuestos</t>
  </si>
  <si>
    <t>7952  Exceso de provisión para otras responsabilidades</t>
  </si>
  <si>
    <t>7954  Exceso de provisión por operaciones comerciales</t>
  </si>
  <si>
    <t>7955  Exceso de provisión para actuaciones medioambientales</t>
  </si>
  <si>
    <t>7956  Exceso de provisión para reestructuraciones</t>
  </si>
  <si>
    <t>7957  Exceso de provisión por transacciones con pagos basados en instrumentos de patrimonio</t>
  </si>
  <si>
    <t>7960  Reversión del deterioro de participaciones en instrumentos de patrimonio neto a largo plazo, empresas del grupo</t>
  </si>
  <si>
    <t>7961  Reversión del deterioro de participaciones en instrumentos de patrimonio neto a largo plazo, otras partes vinculadas</t>
  </si>
  <si>
    <t>7965  Reversión del deterioro de valores representativos de deuda a largo plazo, empresas del grupo</t>
  </si>
  <si>
    <t>7966  Reversión del deterioro de valores representativos de deuda a largo plazo, empresas asociadas</t>
  </si>
  <si>
    <t>7967  Reversión del deterioro de valores representativos de deuda a largo plazo, otras partes vinculadas</t>
  </si>
  <si>
    <t>7968  Reversión del deterioro de valores representativos de deuda a largo plazo, otras empresas</t>
  </si>
  <si>
    <t>7970  Reversión del deterioro de créditos a largo plazo, empresas del grupo</t>
  </si>
  <si>
    <t>7971  Reversión del deterioro de créditos a largo plazo, empresas asociadas</t>
  </si>
  <si>
    <t>7972  Reversión del deterioro de créditos a largo plazo, otras partes vinculadas</t>
  </si>
  <si>
    <t>7973  Reversión del deterioro de créditos a largo plazo, otras empresas</t>
  </si>
  <si>
    <t>7980  Reversión del deterioro de participaciones en instrumentos de patrimonio neto a corto plazo, empresas del grupo</t>
  </si>
  <si>
    <t>7981  Reversión del deterioro de participaciones en instrumentos de patrimonio neto a corto plazo, empresas asociadas</t>
  </si>
  <si>
    <t>7985  Reversión del deterioro en valores representativos de deuda a corto plazo, empresas del grupo</t>
  </si>
  <si>
    <t>7986  Reversión del deterioro en valores representativos de deuda a corto plazo, empresas asociadas</t>
  </si>
  <si>
    <t>7987  Reversión del deterioro en valores representativos de deuda a corto plazo, otras partes vinculadas</t>
  </si>
  <si>
    <t>7988  Reversión del deterioro en valores representativos de deuda a corto plazo, otras empresas</t>
  </si>
  <si>
    <t>7990  Reversión del deterioro de créditos a corto plazo, empresas del grupo</t>
  </si>
  <si>
    <t>7991  Reversión del deterioro de créditos a corto plazo, empresas asociadas</t>
  </si>
  <si>
    <t>7992  Reversión del deterioro de créditos a corto plazo, otras partes vinculadas</t>
  </si>
  <si>
    <t>7993  Reversión del deterioro de créditos a corto plazo, otras empresas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</si>
</sst>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_-* #,##0\ _€_-;\-* #,##0\ _€_-;_-* &quot;-&quot;??\ _€_-;_-@_-"/>
    <numFmt numFmtId="166" formatCode="#,##0.00_ ;\-#,##0.00\ "/>
    <numFmt numFmtId="167" formatCode="dd/mm/yyyy;@"/>
  </numFmts>
  <fonts count="39">
    <font>
      <sz val="11"/>
      <color theme="1"/>
      <name val="Calibri"/>
      <family val="2"/>
      <scheme val="minor"/>
    </font>
    <font>
      <sz val="11"/>
      <color theme="1"/>
      <name val="Arial"/>
      <family val="2"/>
    </font>
    <font>
      <sz val="11"/>
      <color rgb="FF000000"/>
      <name val="Arial"/>
      <family val="2"/>
    </font>
    <font>
      <b/>
      <sz val="11"/>
      <color theme="1"/>
      <name val="Arial"/>
      <family val="2"/>
    </font>
    <font>
      <b/>
      <sz val="11"/>
      <color rgb="FF000000"/>
      <name val="Arial"/>
      <family val="2"/>
    </font>
    <font>
      <sz val="11"/>
      <name val="Arial"/>
      <family val="2"/>
    </font>
    <font>
      <sz val="11"/>
      <color theme="1"/>
      <name val="Calibri"/>
      <family val="2"/>
      <scheme val="minor"/>
    </font>
    <font>
      <i/>
      <sz val="11"/>
      <color theme="1"/>
      <name val="Arial"/>
      <family val="2"/>
    </font>
    <font>
      <b/>
      <sz val="11"/>
      <color rgb="FFFF0000"/>
      <name val="Arial"/>
      <family val="2"/>
    </font>
    <font>
      <sz val="18"/>
      <name val="Arial"/>
      <family val="2"/>
    </font>
    <font>
      <b/>
      <sz val="11"/>
      <name val="Arial"/>
      <family val="2"/>
    </font>
    <font>
      <b/>
      <i/>
      <sz val="11"/>
      <color rgb="FFFF0000"/>
      <name val="Arial"/>
      <family val="2"/>
    </font>
    <font>
      <sz val="12"/>
      <name val="Arial"/>
      <family val="2"/>
    </font>
    <font>
      <b/>
      <sz val="12"/>
      <name val="Arial"/>
      <family val="2"/>
    </font>
    <font>
      <sz val="12"/>
      <color theme="1"/>
      <name val="Arial"/>
      <family val="2"/>
    </font>
    <font>
      <b/>
      <sz val="12"/>
      <color theme="1"/>
      <name val="Arial"/>
      <family val="2"/>
    </font>
    <font>
      <b/>
      <sz val="11"/>
      <color theme="0"/>
      <name val="Arial"/>
      <family val="2"/>
    </font>
    <font>
      <sz val="9"/>
      <name val="Arial"/>
      <family val="2"/>
    </font>
    <font>
      <sz val="8"/>
      <name val="Arial"/>
      <family val="2"/>
    </font>
    <font>
      <sz val="11"/>
      <color theme="1"/>
      <name val="Calibri"/>
      <family val="2"/>
    </font>
    <font>
      <b/>
      <sz val="9"/>
      <color indexed="81"/>
      <name val="Tahoma"/>
      <family val="2"/>
    </font>
    <font>
      <sz val="9"/>
      <color indexed="81"/>
      <name val="Tahoma"/>
      <family val="2"/>
    </font>
    <font>
      <u/>
      <sz val="11"/>
      <color theme="10"/>
      <name val="Calibri"/>
      <family val="2"/>
      <scheme val="minor"/>
    </font>
    <font>
      <b/>
      <sz val="11"/>
      <color theme="1"/>
      <name val="Calibri"/>
      <family val="2"/>
      <scheme val="minor"/>
    </font>
    <font>
      <b/>
      <u/>
      <sz val="11"/>
      <color theme="1"/>
      <name val="Arial"/>
      <family val="2"/>
    </font>
    <font>
      <b/>
      <sz val="14"/>
      <color theme="1"/>
      <name val="Arial"/>
      <family val="2"/>
    </font>
    <font>
      <u/>
      <sz val="11"/>
      <color theme="10"/>
      <name val="Arial"/>
      <family val="2"/>
    </font>
    <font>
      <b/>
      <sz val="10"/>
      <color theme="1"/>
      <name val="Arial"/>
      <family val="2"/>
    </font>
    <font>
      <b/>
      <sz val="14"/>
      <color theme="1"/>
      <name val="Calibri"/>
      <family val="2"/>
      <scheme val="minor"/>
    </font>
    <font>
      <b/>
      <sz val="16"/>
      <color theme="1"/>
      <name val="Calibri"/>
      <family val="2"/>
      <scheme val="minor"/>
    </font>
    <font>
      <sz val="11"/>
      <color indexed="9"/>
      <name val="Arial"/>
      <family val="2"/>
    </font>
    <font>
      <b/>
      <i/>
      <sz val="11"/>
      <name val="Arial"/>
      <family val="2"/>
    </font>
    <font>
      <b/>
      <sz val="16"/>
      <color theme="1"/>
      <name val="Arial"/>
      <family val="2"/>
    </font>
    <font>
      <b/>
      <sz val="18"/>
      <color theme="1"/>
      <name val="Arial"/>
      <family val="2"/>
    </font>
    <font>
      <i/>
      <sz val="11"/>
      <color rgb="FF000000"/>
      <name val="Arial"/>
      <family val="2"/>
    </font>
    <font>
      <i/>
      <sz val="11"/>
      <color rgb="FF0070C0"/>
      <name val="Arial"/>
      <family val="2"/>
    </font>
    <font>
      <sz val="11"/>
      <color theme="0"/>
      <name val="Arial"/>
      <family val="2"/>
    </font>
    <font>
      <sz val="11"/>
      <color theme="1"/>
      <name val="Arial"/>
    </font>
    <font>
      <sz val="11"/>
      <color theme="0"/>
      <name val="Arial"/>
    </font>
  </fonts>
  <fills count="30">
    <fill>
      <patternFill patternType="none"/>
    </fill>
    <fill>
      <patternFill patternType="gray125"/>
    </fill>
    <fill>
      <patternFill patternType="solid">
        <fgColor rgb="FFCCFFCC"/>
        <bgColor indexed="64"/>
      </patternFill>
    </fill>
    <fill>
      <patternFill patternType="solid">
        <fgColor rgb="FFCCFFFF"/>
        <bgColor indexed="64"/>
      </patternFill>
    </fill>
    <fill>
      <patternFill patternType="solid">
        <fgColor rgb="FFCCCCFF"/>
        <bgColor indexed="64"/>
      </patternFill>
    </fill>
    <fill>
      <patternFill patternType="solid">
        <fgColor rgb="FFFFCC99"/>
        <bgColor indexed="64"/>
      </patternFill>
    </fill>
    <fill>
      <patternFill patternType="solid">
        <fgColor rgb="FFFF9999"/>
        <bgColor indexed="64"/>
      </patternFill>
    </fill>
    <fill>
      <patternFill patternType="solid">
        <fgColor rgb="FFFFCCFF"/>
        <bgColor indexed="64"/>
      </patternFill>
    </fill>
    <fill>
      <patternFill patternType="solid">
        <fgColor rgb="FFFFFF99"/>
        <bgColor indexed="64"/>
      </patternFill>
    </fill>
    <fill>
      <patternFill patternType="solid">
        <fgColor theme="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2"/>
        <bgColor indexed="64"/>
      </patternFill>
    </fill>
    <fill>
      <patternFill patternType="solid">
        <fgColor rgb="FF00B0F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rgb="FF00808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rgb="FFFFFFFF"/>
        <bgColor rgb="FF000000"/>
      </patternFill>
    </fill>
    <fill>
      <patternFill patternType="solid">
        <fgColor rgb="FF4C858E"/>
        <bgColor indexed="64"/>
      </patternFill>
    </fill>
    <fill>
      <patternFill patternType="solid">
        <fgColor rgb="FFFFFFB0"/>
        <bgColor indexed="64"/>
      </patternFill>
    </fill>
    <fill>
      <patternFill patternType="solid">
        <fgColor rgb="FFE8FFD1"/>
        <bgColor indexed="64"/>
      </patternFill>
    </fill>
    <fill>
      <patternFill patternType="solid">
        <fgColor rgb="FFE1FFFF"/>
        <bgColor indexed="64"/>
      </patternFill>
    </fill>
    <fill>
      <patternFill patternType="solid">
        <fgColor rgb="FFFEE6F4"/>
        <bgColor indexed="64"/>
      </patternFill>
    </fill>
    <fill>
      <patternFill patternType="solid">
        <fgColor rgb="FFE6DDFF"/>
        <bgColor indexed="64"/>
      </patternFill>
    </fill>
    <fill>
      <patternFill patternType="solid">
        <fgColor rgb="FFFFBDBD"/>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auto="1"/>
      </left>
      <right/>
      <top style="medium">
        <color indexed="64"/>
      </top>
      <bottom/>
      <diagonal/>
    </border>
    <border>
      <left style="medium">
        <color auto="1"/>
      </left>
      <right/>
      <top/>
      <bottom/>
      <diagonal/>
    </border>
    <border>
      <left/>
      <right/>
      <top/>
      <bottom style="dashed">
        <color indexed="64"/>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right/>
      <top/>
      <bottom style="medium">
        <color rgb="FFFFFFFF"/>
      </bottom>
      <diagonal/>
    </border>
    <border>
      <left style="medium">
        <color rgb="FFFFFFFF"/>
      </left>
      <right/>
      <top style="medium">
        <color rgb="FFFFFFFF"/>
      </top>
      <bottom style="medium">
        <color rgb="FF000000"/>
      </bottom>
      <diagonal/>
    </border>
    <border>
      <left/>
      <right style="medium">
        <color rgb="FFFFFFFF"/>
      </right>
      <top style="medium">
        <color rgb="FFFFFFFF"/>
      </top>
      <bottom style="medium">
        <color rgb="FF000000"/>
      </bottom>
      <diagonal/>
    </border>
    <border>
      <left style="medium">
        <color rgb="FFFFFFFF"/>
      </left>
      <right style="medium">
        <color rgb="FF000000"/>
      </right>
      <top style="medium">
        <color rgb="FF000000"/>
      </top>
      <bottom style="medium">
        <color rgb="FFFFFFFF"/>
      </bottom>
      <diagonal/>
    </border>
    <border>
      <left style="medium">
        <color rgb="FF000000"/>
      </left>
      <right style="medium">
        <color rgb="FFFFFFFF"/>
      </right>
      <top style="medium">
        <color rgb="FF000000"/>
      </top>
      <bottom style="medium">
        <color rgb="FFFFFFFF"/>
      </bottom>
      <diagonal/>
    </border>
    <border>
      <left style="medium">
        <color rgb="FFFFFFFF"/>
      </left>
      <right style="medium">
        <color rgb="FF000000"/>
      </right>
      <top style="medium">
        <color rgb="FFFFFFFF"/>
      </top>
      <bottom style="medium">
        <color rgb="FFFFFFFF"/>
      </bottom>
      <diagonal/>
    </border>
    <border>
      <left style="medium">
        <color rgb="FF000000"/>
      </left>
      <right style="medium">
        <color rgb="FFFFFFFF"/>
      </right>
      <top style="medium">
        <color rgb="FFFFFFFF"/>
      </top>
      <bottom style="medium">
        <color rgb="FFFFFFFF"/>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theme="9" tint="0.39997558519241921"/>
      </bottom>
      <diagonal/>
    </border>
    <border>
      <left/>
      <right/>
      <top/>
      <bottom style="thick">
        <color indexed="64"/>
      </bottom>
      <diagonal/>
    </border>
    <border>
      <left style="thin">
        <color rgb="FF8EA9DB"/>
      </left>
      <right/>
      <top style="thin">
        <color rgb="FF8EA9DB"/>
      </top>
      <bottom/>
      <diagonal/>
    </border>
    <border>
      <left/>
      <right/>
      <top style="thin">
        <color rgb="FF8EA9DB"/>
      </top>
      <bottom/>
      <diagonal/>
    </border>
    <border>
      <left style="thin">
        <color rgb="FF8EA9DB"/>
      </left>
      <right/>
      <top style="thin">
        <color rgb="FF8EA9DB"/>
      </top>
      <bottom style="thin">
        <color rgb="FF8EA9DB"/>
      </bottom>
      <diagonal/>
    </border>
    <border>
      <left/>
      <right/>
      <top style="thin">
        <color rgb="FF8EA9DB"/>
      </top>
      <bottom style="thin">
        <color rgb="FF8EA9DB"/>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right style="thin">
        <color indexed="64"/>
      </right>
      <top/>
      <bottom style="thin">
        <color indexed="64"/>
      </bottom>
      <diagonal/>
    </border>
    <border>
      <left/>
      <right/>
      <top style="thick">
        <color indexed="64"/>
      </top>
      <bottom/>
      <diagonal/>
    </border>
    <border>
      <left/>
      <right style="medium">
        <color rgb="FF000000"/>
      </right>
      <top/>
      <bottom style="medium">
        <color rgb="FF000000"/>
      </bottom>
      <diagonal/>
    </border>
  </borders>
  <cellStyleXfs count="3">
    <xf numFmtId="0" fontId="0" fillId="0" borderId="0"/>
    <xf numFmtId="164" fontId="6" fillId="0" borderId="0" applyFont="0" applyFill="0" applyBorder="0" applyAlignment="0" applyProtection="0"/>
    <xf numFmtId="0" fontId="22" fillId="0" borderId="0" applyNumberFormat="0" applyFill="0" applyBorder="0" applyAlignment="0" applyProtection="0"/>
  </cellStyleXfs>
  <cellXfs count="439">
    <xf numFmtId="0" fontId="0" fillId="0" borderId="0" xfId="0"/>
    <xf numFmtId="0" fontId="1" fillId="0" borderId="0" xfId="0" applyFont="1" applyAlignment="1">
      <alignment vertical="center"/>
    </xf>
    <xf numFmtId="0" fontId="1" fillId="0" borderId="0" xfId="0" applyFont="1" applyAlignment="1">
      <alignment horizontal="center" vertical="center"/>
    </xf>
    <xf numFmtId="3" fontId="2" fillId="2" borderId="1" xfId="0" applyNumberFormat="1" applyFont="1" applyFill="1" applyBorder="1" applyAlignment="1">
      <alignment horizontal="center" vertical="center"/>
    </xf>
    <xf numFmtId="3" fontId="2" fillId="3" borderId="1" xfId="0" applyNumberFormat="1" applyFont="1" applyFill="1" applyBorder="1" applyAlignment="1">
      <alignment horizontal="center" vertical="center"/>
    </xf>
    <xf numFmtId="0" fontId="3" fillId="0" borderId="0" xfId="0" applyFont="1" applyAlignment="1">
      <alignment vertical="center"/>
    </xf>
    <xf numFmtId="3" fontId="2" fillId="4" borderId="1" xfId="0" applyNumberFormat="1" applyFont="1" applyFill="1" applyBorder="1" applyAlignment="1">
      <alignment horizontal="center" vertical="center"/>
    </xf>
    <xf numFmtId="0" fontId="2" fillId="5" borderId="1" xfId="0" applyFont="1" applyFill="1" applyBorder="1" applyAlignment="1">
      <alignment horizontal="center" vertical="center"/>
    </xf>
    <xf numFmtId="3" fontId="2" fillId="5" borderId="1" xfId="0" applyNumberFormat="1" applyFont="1" applyFill="1" applyBorder="1" applyAlignment="1">
      <alignment horizontal="center" vertical="center"/>
    </xf>
    <xf numFmtId="3" fontId="2" fillId="6" borderId="1" xfId="0" applyNumberFormat="1" applyFont="1" applyFill="1" applyBorder="1" applyAlignment="1">
      <alignment horizontal="center" vertical="center"/>
    </xf>
    <xf numFmtId="3" fontId="2" fillId="7" borderId="1" xfId="0" applyNumberFormat="1" applyFont="1" applyFill="1" applyBorder="1" applyAlignment="1">
      <alignment horizontal="center" vertical="center"/>
    </xf>
    <xf numFmtId="0" fontId="5" fillId="2" borderId="1" xfId="0" applyFont="1" applyFill="1" applyBorder="1" applyAlignment="1">
      <alignment vertical="center"/>
    </xf>
    <xf numFmtId="0" fontId="5" fillId="2" borderId="1" xfId="0" applyFont="1" applyFill="1" applyBorder="1" applyAlignment="1">
      <alignment horizontal="center" vertical="center"/>
    </xf>
    <xf numFmtId="0" fontId="5" fillId="3" borderId="1" xfId="0" applyFont="1" applyFill="1" applyBorder="1" applyAlignment="1">
      <alignment vertical="center"/>
    </xf>
    <xf numFmtId="0" fontId="5" fillId="3" borderId="1" xfId="0" applyFont="1" applyFill="1" applyBorder="1" applyAlignment="1">
      <alignment horizontal="center" vertical="center"/>
    </xf>
    <xf numFmtId="0" fontId="5" fillId="7" borderId="1" xfId="0" applyFont="1" applyFill="1" applyBorder="1" applyAlignment="1">
      <alignment vertical="center"/>
    </xf>
    <xf numFmtId="0" fontId="5" fillId="7" borderId="1" xfId="0" applyFont="1" applyFill="1" applyBorder="1" applyAlignment="1">
      <alignment horizontal="center" vertical="center"/>
    </xf>
    <xf numFmtId="0" fontId="5" fillId="4" borderId="1" xfId="0" applyFont="1" applyFill="1" applyBorder="1" applyAlignment="1">
      <alignment vertical="center"/>
    </xf>
    <xf numFmtId="0" fontId="5" fillId="4" borderId="1" xfId="0" applyFont="1" applyFill="1" applyBorder="1" applyAlignment="1">
      <alignment horizontal="center" vertical="center"/>
    </xf>
    <xf numFmtId="0" fontId="5" fillId="6" borderId="1" xfId="0" applyFont="1" applyFill="1" applyBorder="1" applyAlignment="1">
      <alignment vertical="center"/>
    </xf>
    <xf numFmtId="0" fontId="5" fillId="6" borderId="1" xfId="0" applyFont="1" applyFill="1" applyBorder="1" applyAlignment="1">
      <alignment horizontal="center" vertical="center"/>
    </xf>
    <xf numFmtId="0" fontId="5" fillId="5" borderId="1" xfId="0" applyFont="1" applyFill="1" applyBorder="1" applyAlignment="1">
      <alignment vertical="center"/>
    </xf>
    <xf numFmtId="0" fontId="5" fillId="5" borderId="1" xfId="0" applyFont="1" applyFill="1" applyBorder="1" applyAlignment="1">
      <alignment horizontal="center" vertical="center"/>
    </xf>
    <xf numFmtId="0" fontId="5" fillId="8" borderId="1" xfId="0" applyFont="1" applyFill="1" applyBorder="1" applyAlignment="1">
      <alignment vertical="center"/>
    </xf>
    <xf numFmtId="0" fontId="5" fillId="8" borderId="1" xfId="0" applyFont="1" applyFill="1" applyBorder="1" applyAlignment="1">
      <alignment horizontal="center" vertical="center"/>
    </xf>
    <xf numFmtId="0" fontId="2" fillId="8" borderId="1" xfId="0" applyFont="1" applyFill="1" applyBorder="1" applyAlignment="1">
      <alignment horizontal="center" vertical="center"/>
    </xf>
    <xf numFmtId="3" fontId="1" fillId="0" borderId="0" xfId="0" applyNumberFormat="1" applyFont="1" applyAlignment="1">
      <alignment horizontal="center" vertical="center"/>
    </xf>
    <xf numFmtId="3" fontId="1" fillId="0" borderId="0" xfId="0" applyNumberFormat="1" applyFont="1" applyAlignment="1">
      <alignment vertical="center" wrapText="1"/>
    </xf>
    <xf numFmtId="165" fontId="3" fillId="0" borderId="1" xfId="1" applyNumberFormat="1" applyFont="1" applyBorder="1" applyAlignment="1">
      <alignment horizontal="center" vertical="center"/>
    </xf>
    <xf numFmtId="0" fontId="1" fillId="9" borderId="0" xfId="0" applyFont="1" applyFill="1" applyAlignment="1">
      <alignment horizontal="center" vertical="center"/>
    </xf>
    <xf numFmtId="0" fontId="1" fillId="9" borderId="0" xfId="0" applyFont="1" applyFill="1" applyAlignment="1">
      <alignment vertical="center"/>
    </xf>
    <xf numFmtId="165" fontId="1" fillId="9" borderId="0" xfId="0" applyNumberFormat="1" applyFont="1" applyFill="1" applyAlignment="1">
      <alignment horizontal="center" vertical="center"/>
    </xf>
    <xf numFmtId="164" fontId="1" fillId="9" borderId="0" xfId="1" applyFont="1" applyFill="1" applyAlignment="1">
      <alignment horizontal="center" vertical="center"/>
    </xf>
    <xf numFmtId="0" fontId="3" fillId="0" borderId="0" xfId="0" applyFont="1" applyAlignment="1">
      <alignment horizontal="center" vertical="center"/>
    </xf>
    <xf numFmtId="3" fontId="3" fillId="11" borderId="0" xfId="0" applyNumberFormat="1" applyFont="1" applyFill="1" applyAlignment="1">
      <alignment horizontal="center" vertical="center" wrapText="1"/>
    </xf>
    <xf numFmtId="3" fontId="1" fillId="11" borderId="0" xfId="0" applyNumberFormat="1" applyFont="1" applyFill="1" applyAlignment="1">
      <alignment vertical="center" wrapText="1"/>
    </xf>
    <xf numFmtId="0" fontId="2" fillId="11" borderId="9" xfId="0" applyFont="1" applyFill="1" applyBorder="1" applyAlignment="1">
      <alignment horizontal="center" vertical="center" wrapText="1" readingOrder="1"/>
    </xf>
    <xf numFmtId="0" fontId="9" fillId="11" borderId="13" xfId="0" applyFont="1" applyFill="1" applyBorder="1" applyAlignment="1">
      <alignment vertical="center" wrapText="1"/>
    </xf>
    <xf numFmtId="0" fontId="2" fillId="11" borderId="14" xfId="0" applyFont="1" applyFill="1" applyBorder="1" applyAlignment="1">
      <alignment horizontal="left" vertical="center" wrapText="1" readingOrder="1"/>
    </xf>
    <xf numFmtId="0" fontId="2" fillId="11" borderId="15" xfId="0" applyFont="1" applyFill="1" applyBorder="1" applyAlignment="1">
      <alignment horizontal="center" vertical="center" wrapText="1" readingOrder="1"/>
    </xf>
    <xf numFmtId="0" fontId="2" fillId="11" borderId="16" xfId="0" applyFont="1" applyFill="1" applyBorder="1" applyAlignment="1">
      <alignment horizontal="center" vertical="center" wrapText="1" readingOrder="1"/>
    </xf>
    <xf numFmtId="0" fontId="9" fillId="11" borderId="15" xfId="0" applyFont="1" applyFill="1" applyBorder="1" applyAlignment="1">
      <alignment vertical="center" wrapText="1"/>
    </xf>
    <xf numFmtId="0" fontId="2" fillId="11" borderId="16" xfId="0" applyFont="1" applyFill="1" applyBorder="1" applyAlignment="1">
      <alignment horizontal="left" vertical="center" wrapText="1" readingOrder="1"/>
    </xf>
    <xf numFmtId="3" fontId="3" fillId="0" borderId="0" xfId="0" applyNumberFormat="1" applyFont="1" applyAlignment="1">
      <alignment vertical="center" wrapText="1"/>
    </xf>
    <xf numFmtId="165" fontId="1" fillId="0" borderId="0" xfId="1" applyNumberFormat="1" applyFont="1" applyAlignment="1">
      <alignment vertical="center"/>
    </xf>
    <xf numFmtId="49" fontId="5" fillId="0" borderId="0" xfId="0" applyNumberFormat="1" applyFont="1" applyAlignment="1">
      <alignment horizontal="left" vertical="center" wrapText="1"/>
    </xf>
    <xf numFmtId="3" fontId="3" fillId="13" borderId="0" xfId="0" applyNumberFormat="1" applyFont="1" applyFill="1" applyAlignment="1">
      <alignment vertical="center" wrapText="1"/>
    </xf>
    <xf numFmtId="0" fontId="7" fillId="0" borderId="0" xfId="0" applyFont="1" applyAlignment="1">
      <alignment vertical="center"/>
    </xf>
    <xf numFmtId="0" fontId="11" fillId="0" borderId="0" xfId="0" applyFont="1" applyAlignment="1">
      <alignment vertical="center"/>
    </xf>
    <xf numFmtId="0" fontId="11" fillId="8" borderId="0" xfId="0" applyFont="1" applyFill="1" applyAlignment="1">
      <alignment vertical="center"/>
    </xf>
    <xf numFmtId="164" fontId="1" fillId="0" borderId="0" xfId="1" applyFont="1" applyAlignment="1">
      <alignment vertical="center" wrapText="1"/>
    </xf>
    <xf numFmtId="164" fontId="3" fillId="0" borderId="0" xfId="1" applyFont="1" applyAlignment="1">
      <alignment horizontal="center" vertical="center"/>
    </xf>
    <xf numFmtId="0" fontId="1" fillId="0" borderId="0" xfId="0" applyFont="1" applyAlignment="1">
      <alignment vertical="center" wrapText="1"/>
    </xf>
    <xf numFmtId="0" fontId="1" fillId="0" borderId="0" xfId="0" applyFont="1" applyAlignment="1">
      <alignment horizontal="left" vertical="center"/>
    </xf>
    <xf numFmtId="164" fontId="1" fillId="0" borderId="0" xfId="1" applyFont="1" applyAlignment="1">
      <alignment vertical="center"/>
    </xf>
    <xf numFmtId="0" fontId="1" fillId="13" borderId="0" xfId="0" applyFont="1" applyFill="1" applyAlignment="1">
      <alignment vertical="center" wrapText="1"/>
    </xf>
    <xf numFmtId="0" fontId="1" fillId="0" borderId="0" xfId="0" applyFont="1" applyAlignment="1">
      <alignment horizontal="left" vertical="center" wrapText="1"/>
    </xf>
    <xf numFmtId="165" fontId="1" fillId="10" borderId="0" xfId="1" applyNumberFormat="1" applyFont="1" applyFill="1" applyAlignment="1">
      <alignment vertical="center"/>
    </xf>
    <xf numFmtId="164" fontId="1" fillId="10" borderId="0" xfId="1" applyFont="1" applyFill="1" applyAlignment="1">
      <alignment vertical="center"/>
    </xf>
    <xf numFmtId="164" fontId="3" fillId="0" borderId="0" xfId="1" applyFont="1" applyFill="1" applyAlignment="1">
      <alignment vertical="center"/>
    </xf>
    <xf numFmtId="164" fontId="8" fillId="16" borderId="0" xfId="1" applyFont="1" applyFill="1" applyBorder="1" applyAlignment="1">
      <alignment vertical="center"/>
    </xf>
    <xf numFmtId="164" fontId="1" fillId="16" borderId="3" xfId="1" applyFont="1" applyFill="1" applyBorder="1" applyAlignment="1">
      <alignment vertical="center"/>
    </xf>
    <xf numFmtId="164" fontId="1" fillId="16" borderId="0" xfId="1" applyFont="1" applyFill="1" applyBorder="1" applyAlignment="1">
      <alignment vertical="center"/>
    </xf>
    <xf numFmtId="164" fontId="7" fillId="0" borderId="0" xfId="1" applyFont="1" applyFill="1" applyBorder="1" applyAlignment="1">
      <alignment horizontal="center" vertical="center"/>
    </xf>
    <xf numFmtId="164" fontId="7" fillId="0" borderId="4" xfId="1" applyFont="1" applyFill="1" applyBorder="1" applyAlignment="1">
      <alignment horizontal="center" vertical="center"/>
    </xf>
    <xf numFmtId="164" fontId="1" fillId="16" borderId="4" xfId="1" applyFont="1" applyFill="1" applyBorder="1" applyAlignment="1">
      <alignment vertical="center"/>
    </xf>
    <xf numFmtId="164" fontId="1" fillId="0" borderId="0" xfId="1" applyFont="1" applyBorder="1" applyAlignment="1">
      <alignment vertical="center"/>
    </xf>
    <xf numFmtId="164" fontId="1" fillId="0" borderId="4" xfId="1" applyFont="1" applyBorder="1" applyAlignment="1">
      <alignment vertical="center"/>
    </xf>
    <xf numFmtId="164" fontId="1" fillId="0" borderId="0" xfId="1" applyFont="1" applyFill="1" applyBorder="1" applyAlignment="1">
      <alignment vertical="center"/>
    </xf>
    <xf numFmtId="164" fontId="1" fillId="0" borderId="4" xfId="1" applyFont="1" applyFill="1" applyBorder="1" applyAlignment="1">
      <alignment vertical="center"/>
    </xf>
    <xf numFmtId="164" fontId="8" fillId="16" borderId="3" xfId="1" applyFont="1" applyFill="1" applyBorder="1" applyAlignment="1">
      <alignment vertical="center"/>
    </xf>
    <xf numFmtId="164" fontId="1" fillId="0" borderId="3" xfId="1" applyFont="1" applyBorder="1" applyAlignment="1">
      <alignment vertical="center"/>
    </xf>
    <xf numFmtId="165" fontId="3" fillId="0" borderId="0" xfId="1" applyNumberFormat="1" applyFont="1" applyAlignment="1">
      <alignment horizontal="right" vertical="center"/>
    </xf>
    <xf numFmtId="164" fontId="3" fillId="0" borderId="0" xfId="1" applyFont="1" applyAlignment="1">
      <alignment vertical="center"/>
    </xf>
    <xf numFmtId="164" fontId="3" fillId="14" borderId="0" xfId="1" applyFont="1" applyFill="1" applyBorder="1" applyAlignment="1">
      <alignment vertical="center"/>
    </xf>
    <xf numFmtId="165" fontId="3" fillId="14" borderId="0" xfId="1" applyNumberFormat="1" applyFont="1" applyFill="1" applyBorder="1" applyAlignment="1">
      <alignment vertical="center"/>
    </xf>
    <xf numFmtId="164" fontId="8" fillId="16" borderId="4" xfId="1" applyFont="1" applyFill="1" applyBorder="1" applyAlignment="1">
      <alignment vertical="center"/>
    </xf>
    <xf numFmtId="164" fontId="1" fillId="0" borderId="0" xfId="1" applyFont="1" applyFill="1" applyAlignment="1">
      <alignment vertical="center"/>
    </xf>
    <xf numFmtId="164" fontId="3" fillId="13" borderId="0" xfId="1" applyFont="1" applyFill="1" applyAlignment="1">
      <alignment horizontal="center" vertical="center" wrapText="1"/>
    </xf>
    <xf numFmtId="164" fontId="5" fillId="0" borderId="0" xfId="1" applyFont="1" applyBorder="1" applyAlignment="1">
      <alignment horizontal="center" vertical="center" wrapText="1"/>
    </xf>
    <xf numFmtId="164" fontId="1" fillId="0" borderId="0" xfId="0" applyNumberFormat="1" applyFont="1" applyAlignment="1">
      <alignment vertical="center"/>
    </xf>
    <xf numFmtId="164" fontId="1" fillId="0" borderId="0" xfId="1" applyFont="1" applyAlignment="1">
      <alignment horizontal="center" vertical="center" wrapText="1"/>
    </xf>
    <xf numFmtId="164" fontId="3" fillId="0" borderId="0" xfId="1" applyFont="1" applyAlignment="1">
      <alignment horizontal="center" vertical="center" wrapText="1"/>
    </xf>
    <xf numFmtId="164" fontId="1" fillId="13" borderId="0" xfId="1" applyFont="1" applyFill="1" applyAlignment="1">
      <alignment vertical="center"/>
    </xf>
    <xf numFmtId="164" fontId="1" fillId="16" borderId="0" xfId="1" applyFont="1" applyFill="1" applyAlignment="1">
      <alignment vertical="center"/>
    </xf>
    <xf numFmtId="49" fontId="5" fillId="2" borderId="1" xfId="0" applyNumberFormat="1" applyFont="1" applyFill="1" applyBorder="1" applyAlignment="1">
      <alignment horizontal="left" vertical="center" wrapText="1"/>
    </xf>
    <xf numFmtId="164" fontId="1" fillId="2" borderId="1" xfId="1" applyFont="1" applyFill="1" applyBorder="1" applyAlignment="1">
      <alignment vertical="center"/>
    </xf>
    <xf numFmtId="0" fontId="1" fillId="2" borderId="1" xfId="0" applyFont="1" applyFill="1" applyBorder="1" applyAlignment="1">
      <alignment vertical="center" wrapText="1"/>
    </xf>
    <xf numFmtId="49" fontId="5" fillId="3" borderId="1" xfId="0" applyNumberFormat="1" applyFont="1" applyFill="1" applyBorder="1" applyAlignment="1">
      <alignment horizontal="left" vertical="center" wrapText="1"/>
    </xf>
    <xf numFmtId="164" fontId="1" fillId="3" borderId="1" xfId="1" applyFont="1" applyFill="1" applyBorder="1" applyAlignment="1">
      <alignment vertical="center"/>
    </xf>
    <xf numFmtId="49" fontId="5" fillId="7" borderId="1" xfId="0" applyNumberFormat="1" applyFont="1" applyFill="1" applyBorder="1" applyAlignment="1">
      <alignment horizontal="left" vertical="center" wrapText="1"/>
    </xf>
    <xf numFmtId="49" fontId="5" fillId="4" borderId="1" xfId="0" applyNumberFormat="1" applyFont="1" applyFill="1" applyBorder="1" applyAlignment="1">
      <alignment horizontal="left" vertical="center" wrapText="1"/>
    </xf>
    <xf numFmtId="164" fontId="1" fillId="4" borderId="1" xfId="1" applyFont="1" applyFill="1" applyBorder="1" applyAlignment="1">
      <alignment vertical="center"/>
    </xf>
    <xf numFmtId="49" fontId="5" fillId="6" borderId="1" xfId="0" applyNumberFormat="1" applyFont="1" applyFill="1" applyBorder="1" applyAlignment="1">
      <alignment horizontal="left" vertical="center" wrapText="1"/>
    </xf>
    <xf numFmtId="164" fontId="2" fillId="2" borderId="1" xfId="1" applyFont="1" applyFill="1" applyBorder="1" applyAlignment="1">
      <alignment vertical="center"/>
    </xf>
    <xf numFmtId="164" fontId="5" fillId="2" borderId="1" xfId="1" applyFont="1" applyFill="1" applyBorder="1" applyAlignment="1">
      <alignment vertical="center" wrapText="1"/>
    </xf>
    <xf numFmtId="164" fontId="5" fillId="3" borderId="1" xfId="1" applyFont="1" applyFill="1" applyBorder="1" applyAlignment="1">
      <alignment vertical="center" wrapText="1"/>
    </xf>
    <xf numFmtId="164" fontId="2" fillId="3" borderId="1" xfId="1" applyFont="1" applyFill="1" applyBorder="1" applyAlignment="1">
      <alignment vertical="center"/>
    </xf>
    <xf numFmtId="164" fontId="5" fillId="7" borderId="1" xfId="1" applyFont="1" applyFill="1" applyBorder="1" applyAlignment="1">
      <alignment vertical="center" wrapText="1"/>
    </xf>
    <xf numFmtId="164" fontId="1" fillId="7" borderId="1" xfId="1" applyFont="1" applyFill="1" applyBorder="1" applyAlignment="1">
      <alignment vertical="center"/>
    </xf>
    <xf numFmtId="164" fontId="2" fillId="4" borderId="1" xfId="1" applyFont="1" applyFill="1" applyBorder="1" applyAlignment="1">
      <alignment vertical="center"/>
    </xf>
    <xf numFmtId="164" fontId="5" fillId="4" borderId="1" xfId="1" applyFont="1" applyFill="1" applyBorder="1" applyAlignment="1">
      <alignment vertical="center" wrapText="1"/>
    </xf>
    <xf numFmtId="164" fontId="2" fillId="6" borderId="1" xfId="1" applyFont="1" applyFill="1" applyBorder="1" applyAlignment="1">
      <alignment vertical="center"/>
    </xf>
    <xf numFmtId="164" fontId="5" fillId="6" borderId="1" xfId="1" applyFont="1" applyFill="1" applyBorder="1" applyAlignment="1">
      <alignment vertical="center" wrapText="1"/>
    </xf>
    <xf numFmtId="164" fontId="1" fillId="6" borderId="1" xfId="1" applyFont="1" applyFill="1" applyBorder="1" applyAlignment="1">
      <alignment vertical="center"/>
    </xf>
    <xf numFmtId="164" fontId="3" fillId="0" borderId="1" xfId="1" applyFont="1" applyBorder="1" applyAlignment="1">
      <alignment vertical="center"/>
    </xf>
    <xf numFmtId="14" fontId="13" fillId="0" borderId="1" xfId="0" applyNumberFormat="1" applyFont="1" applyBorder="1" applyAlignment="1">
      <alignment horizontal="center" vertical="center"/>
    </xf>
    <xf numFmtId="49" fontId="13" fillId="0" borderId="1" xfId="0" applyNumberFormat="1" applyFont="1" applyBorder="1" applyAlignment="1">
      <alignment horizontal="center" vertical="center"/>
    </xf>
    <xf numFmtId="0" fontId="13" fillId="0" borderId="1" xfId="0" applyFont="1" applyBorder="1" applyAlignment="1">
      <alignment horizontal="center" vertical="center"/>
    </xf>
    <xf numFmtId="49" fontId="12" fillId="0" borderId="1" xfId="0" applyNumberFormat="1" applyFont="1" applyBorder="1" applyAlignment="1">
      <alignment horizontal="center" vertical="center"/>
    </xf>
    <xf numFmtId="0" fontId="13" fillId="0" borderId="19" xfId="0" applyFont="1" applyBorder="1" applyAlignment="1">
      <alignment horizontal="center" vertical="center"/>
    </xf>
    <xf numFmtId="0" fontId="12" fillId="0" borderId="1" xfId="0" applyFont="1" applyBorder="1" applyAlignment="1">
      <alignment vertical="center"/>
    </xf>
    <xf numFmtId="0" fontId="13" fillId="3" borderId="1" xfId="0" applyFont="1" applyFill="1" applyBorder="1" applyAlignment="1">
      <alignment vertical="center"/>
    </xf>
    <xf numFmtId="0" fontId="13" fillId="3" borderId="1" xfId="0" applyFont="1" applyFill="1" applyBorder="1" applyAlignment="1">
      <alignment horizontal="center" vertical="center"/>
    </xf>
    <xf numFmtId="0" fontId="13" fillId="5" borderId="1" xfId="0" applyFont="1" applyFill="1" applyBorder="1" applyAlignment="1">
      <alignment vertical="center"/>
    </xf>
    <xf numFmtId="0" fontId="13" fillId="5" borderId="19" xfId="0" applyFont="1" applyFill="1" applyBorder="1" applyAlignment="1">
      <alignment horizontal="center" vertical="center"/>
    </xf>
    <xf numFmtId="0" fontId="12" fillId="18" borderId="0" xfId="0" applyFont="1" applyFill="1" applyAlignment="1">
      <alignment vertical="center"/>
    </xf>
    <xf numFmtId="0" fontId="12" fillId="18" borderId="0" xfId="0" applyFont="1" applyFill="1" applyAlignment="1">
      <alignment horizontal="center" vertical="center"/>
    </xf>
    <xf numFmtId="0" fontId="13" fillId="18" borderId="0" xfId="0" applyFont="1" applyFill="1" applyAlignment="1">
      <alignment vertical="center"/>
    </xf>
    <xf numFmtId="0" fontId="13" fillId="2" borderId="1" xfId="0" applyFont="1" applyFill="1" applyBorder="1" applyAlignment="1">
      <alignment vertical="center"/>
    </xf>
    <xf numFmtId="0" fontId="14" fillId="0" borderId="0" xfId="0" applyFont="1" applyAlignment="1">
      <alignment vertical="center"/>
    </xf>
    <xf numFmtId="0" fontId="14" fillId="0" borderId="0" xfId="0" applyFont="1" applyAlignment="1">
      <alignment horizontal="center" vertical="center"/>
    </xf>
    <xf numFmtId="49" fontId="12" fillId="0" borderId="1" xfId="1" applyNumberFormat="1" applyFont="1" applyFill="1" applyBorder="1" applyAlignment="1">
      <alignment vertical="center"/>
    </xf>
    <xf numFmtId="164" fontId="13" fillId="0" borderId="21" xfId="1" applyFont="1" applyFill="1" applyBorder="1" applyAlignment="1">
      <alignment horizontal="center" vertical="center"/>
    </xf>
    <xf numFmtId="164" fontId="12" fillId="0" borderId="1" xfId="1" applyFont="1" applyFill="1" applyBorder="1" applyAlignment="1">
      <alignment vertical="center"/>
    </xf>
    <xf numFmtId="164" fontId="13" fillId="2" borderId="1" xfId="1" applyFont="1" applyFill="1" applyBorder="1" applyAlignment="1">
      <alignment vertical="center"/>
    </xf>
    <xf numFmtId="164" fontId="14" fillId="0" borderId="0" xfId="1" applyFont="1" applyAlignment="1">
      <alignment vertical="center"/>
    </xf>
    <xf numFmtId="164" fontId="13" fillId="5" borderId="1" xfId="1" applyFont="1" applyFill="1" applyBorder="1" applyAlignment="1">
      <alignment vertical="center"/>
    </xf>
    <xf numFmtId="164" fontId="13" fillId="5" borderId="20" xfId="1" applyFont="1" applyFill="1" applyBorder="1" applyAlignment="1">
      <alignment vertical="center"/>
    </xf>
    <xf numFmtId="164" fontId="13" fillId="3" borderId="1" xfId="1" applyFont="1" applyFill="1" applyBorder="1" applyAlignment="1">
      <alignment horizontal="center" vertical="center"/>
    </xf>
    <xf numFmtId="164" fontId="12" fillId="0" borderId="1" xfId="1" applyFont="1" applyFill="1" applyBorder="1" applyAlignment="1">
      <alignment horizontal="center" vertical="center"/>
    </xf>
    <xf numFmtId="164" fontId="13" fillId="3" borderId="1" xfId="1" applyFont="1" applyFill="1" applyBorder="1" applyAlignment="1">
      <alignment vertical="center"/>
    </xf>
    <xf numFmtId="0" fontId="1" fillId="9" borderId="1" xfId="0" applyFont="1" applyFill="1" applyBorder="1" applyAlignment="1">
      <alignment vertical="center"/>
    </xf>
    <xf numFmtId="0" fontId="16" fillId="19" borderId="1" xfId="0" applyFont="1" applyFill="1" applyBorder="1" applyAlignment="1">
      <alignment horizontal="center" vertical="center"/>
    </xf>
    <xf numFmtId="2" fontId="1" fillId="9" borderId="1" xfId="1" applyNumberFormat="1" applyFont="1" applyFill="1" applyBorder="1" applyAlignment="1">
      <alignment horizontal="center" vertical="center"/>
    </xf>
    <xf numFmtId="164" fontId="3" fillId="0" borderId="0" xfId="1" applyFont="1" applyFill="1" applyAlignment="1">
      <alignment horizontal="center" vertical="center" wrapText="1"/>
    </xf>
    <xf numFmtId="49" fontId="10" fillId="0" borderId="0" xfId="0" applyNumberFormat="1" applyFont="1" applyAlignment="1">
      <alignment horizontal="center" vertical="center" wrapText="1"/>
    </xf>
    <xf numFmtId="164" fontId="5" fillId="0" borderId="0" xfId="1" applyFont="1" applyFill="1" applyBorder="1" applyAlignment="1">
      <alignment horizontal="center" vertical="center" wrapText="1"/>
    </xf>
    <xf numFmtId="164" fontId="1" fillId="0" borderId="0" xfId="1" applyFont="1" applyFill="1" applyAlignment="1">
      <alignment vertical="center" wrapText="1"/>
    </xf>
    <xf numFmtId="49" fontId="0" fillId="0" borderId="0" xfId="0" applyNumberFormat="1"/>
    <xf numFmtId="164" fontId="18" fillId="0" borderId="0" xfId="1" applyFont="1" applyBorder="1" applyAlignment="1">
      <alignment horizontal="center" vertical="center" wrapText="1"/>
    </xf>
    <xf numFmtId="0" fontId="17" fillId="0" borderId="0" xfId="1" applyNumberFormat="1" applyFont="1" applyBorder="1" applyAlignment="1">
      <alignment horizontal="center" vertical="center" wrapText="1"/>
    </xf>
    <xf numFmtId="164" fontId="5" fillId="0" borderId="1" xfId="1" applyFont="1" applyBorder="1" applyAlignment="1">
      <alignment horizontal="center" vertical="center" wrapText="1"/>
    </xf>
    <xf numFmtId="49" fontId="5" fillId="0" borderId="1" xfId="0" applyNumberFormat="1" applyFont="1" applyBorder="1" applyAlignment="1">
      <alignment horizontal="left" vertical="center" wrapText="1"/>
    </xf>
    <xf numFmtId="14" fontId="0" fillId="0" borderId="0" xfId="0" applyNumberFormat="1"/>
    <xf numFmtId="166" fontId="0" fillId="0" borderId="0" xfId="0" applyNumberFormat="1"/>
    <xf numFmtId="0" fontId="0" fillId="0" borderId="0" xfId="0" pivotButton="1"/>
    <xf numFmtId="0" fontId="0" fillId="15" borderId="0" xfId="0" applyFill="1"/>
    <xf numFmtId="164" fontId="5" fillId="0" borderId="17" xfId="1" applyFont="1" applyBorder="1" applyAlignment="1">
      <alignment horizontal="center" vertical="center" wrapText="1"/>
    </xf>
    <xf numFmtId="49" fontId="5" fillId="0" borderId="17" xfId="0" applyNumberFormat="1" applyFont="1" applyBorder="1" applyAlignment="1">
      <alignment horizontal="left" vertical="center" wrapText="1"/>
    </xf>
    <xf numFmtId="0" fontId="19" fillId="0" borderId="0" xfId="0" applyFont="1" applyAlignment="1">
      <alignment vertical="center" wrapText="1"/>
    </xf>
    <xf numFmtId="49" fontId="5" fillId="9" borderId="1" xfId="0" applyNumberFormat="1" applyFont="1" applyFill="1" applyBorder="1" applyAlignment="1">
      <alignment horizontal="left" vertical="center" wrapText="1"/>
    </xf>
    <xf numFmtId="4" fontId="0" fillId="0" borderId="0" xfId="0" applyNumberFormat="1"/>
    <xf numFmtId="4" fontId="0" fillId="0" borderId="0" xfId="0" applyNumberFormat="1" applyAlignment="1">
      <alignment wrapText="1"/>
    </xf>
    <xf numFmtId="0" fontId="0" fillId="0" borderId="0" xfId="0" applyAlignment="1">
      <alignment wrapText="1"/>
    </xf>
    <xf numFmtId="0" fontId="0" fillId="0" borderId="0" xfId="0" applyAlignment="1">
      <alignment horizontal="left"/>
    </xf>
    <xf numFmtId="164" fontId="18" fillId="0" borderId="0" xfId="1" applyFont="1" applyBorder="1" applyAlignment="1">
      <alignment horizontal="left" vertical="center" wrapText="1"/>
    </xf>
    <xf numFmtId="4" fontId="1" fillId="9" borderId="0" xfId="0" applyNumberFormat="1" applyFont="1" applyFill="1" applyAlignment="1">
      <alignment vertical="center"/>
    </xf>
    <xf numFmtId="4" fontId="1" fillId="9" borderId="0" xfId="0" applyNumberFormat="1" applyFont="1" applyFill="1" applyAlignment="1">
      <alignment horizontal="center" vertical="center"/>
    </xf>
    <xf numFmtId="0" fontId="23" fillId="15" borderId="0" xfId="0" applyFont="1" applyFill="1"/>
    <xf numFmtId="0" fontId="1" fillId="0" borderId="0" xfId="0" applyFont="1"/>
    <xf numFmtId="0" fontId="1" fillId="0" borderId="0" xfId="0" applyFont="1" applyAlignment="1">
      <alignment horizontal="center"/>
    </xf>
    <xf numFmtId="0" fontId="26" fillId="0" borderId="0" xfId="2" applyFont="1"/>
    <xf numFmtId="0" fontId="1" fillId="0" borderId="0" xfId="0" applyFont="1" applyAlignment="1">
      <alignment horizontal="right"/>
    </xf>
    <xf numFmtId="0" fontId="1" fillId="0" borderId="34" xfId="0" applyFont="1" applyBorder="1"/>
    <xf numFmtId="0" fontId="1" fillId="0" borderId="0" xfId="0" applyFont="1" applyAlignment="1">
      <alignment horizontal="center" wrapText="1"/>
    </xf>
    <xf numFmtId="39" fontId="1" fillId="0" borderId="0" xfId="0" applyNumberFormat="1" applyFont="1"/>
    <xf numFmtId="4" fontId="1" fillId="0" borderId="0" xfId="0" applyNumberFormat="1" applyFont="1"/>
    <xf numFmtId="166" fontId="1" fillId="0" borderId="0" xfId="0" applyNumberFormat="1" applyFont="1"/>
    <xf numFmtId="0" fontId="27" fillId="0" borderId="0" xfId="0" applyFont="1" applyAlignment="1">
      <alignment horizontal="center"/>
    </xf>
    <xf numFmtId="164" fontId="3" fillId="21" borderId="3" xfId="1" applyFont="1" applyFill="1" applyBorder="1" applyAlignment="1">
      <alignment horizontal="center" vertical="center" wrapText="1"/>
    </xf>
    <xf numFmtId="3" fontId="3" fillId="21" borderId="23" xfId="0" applyNumberFormat="1" applyFont="1" applyFill="1" applyBorder="1" applyAlignment="1">
      <alignment vertical="center" wrapText="1"/>
    </xf>
    <xf numFmtId="164" fontId="3" fillId="21" borderId="24" xfId="1" applyFont="1" applyFill="1" applyBorder="1" applyAlignment="1">
      <alignment horizontal="center" vertical="center" wrapText="1"/>
    </xf>
    <xf numFmtId="164" fontId="5" fillId="0" borderId="35" xfId="1" applyFont="1" applyBorder="1" applyAlignment="1">
      <alignment horizontal="center" vertical="center" wrapText="1"/>
    </xf>
    <xf numFmtId="49" fontId="5" fillId="0" borderId="35" xfId="0" applyNumberFormat="1" applyFont="1" applyBorder="1" applyAlignment="1">
      <alignment horizontal="left" vertical="center" wrapText="1"/>
    </xf>
    <xf numFmtId="4" fontId="0" fillId="15" borderId="0" xfId="0" applyNumberFormat="1" applyFill="1" applyAlignment="1">
      <alignment horizontal="center"/>
    </xf>
    <xf numFmtId="4" fontId="0" fillId="15" borderId="0" xfId="0" applyNumberFormat="1" applyFill="1"/>
    <xf numFmtId="0" fontId="23" fillId="0" borderId="0" xfId="0" pivotButton="1" applyFont="1"/>
    <xf numFmtId="0" fontId="29" fillId="0" borderId="0" xfId="0" applyFont="1"/>
    <xf numFmtId="0" fontId="0" fillId="15" borderId="0" xfId="0" applyFill="1" applyAlignment="1">
      <alignment horizontal="center"/>
    </xf>
    <xf numFmtId="0" fontId="3" fillId="0" borderId="0" xfId="0" applyFont="1"/>
    <xf numFmtId="4" fontId="3" fillId="0" borderId="31" xfId="0" applyNumberFormat="1" applyFont="1" applyBorder="1" applyAlignment="1">
      <alignment horizontal="center"/>
    </xf>
    <xf numFmtId="4" fontId="3" fillId="0" borderId="32" xfId="0" applyNumberFormat="1" applyFont="1" applyBorder="1" applyAlignment="1">
      <alignment horizontal="center"/>
    </xf>
    <xf numFmtId="4" fontId="3" fillId="0" borderId="33" xfId="0" applyNumberFormat="1" applyFont="1" applyBorder="1" applyAlignment="1">
      <alignment horizontal="center"/>
    </xf>
    <xf numFmtId="0" fontId="23" fillId="0" borderId="0" xfId="0" applyFont="1"/>
    <xf numFmtId="0" fontId="30" fillId="0" borderId="0" xfId="0" applyFont="1"/>
    <xf numFmtId="0" fontId="5" fillId="0" borderId="0" xfId="0" applyFont="1" applyAlignment="1">
      <alignment vertical="top" wrapText="1"/>
    </xf>
    <xf numFmtId="0" fontId="5" fillId="0" borderId="0" xfId="0" applyFont="1" applyAlignment="1">
      <alignment horizontal="left" vertical="top" wrapText="1"/>
    </xf>
    <xf numFmtId="0" fontId="2" fillId="0" borderId="0" xfId="0" applyFont="1" applyAlignment="1">
      <alignment vertical="center" wrapText="1"/>
    </xf>
    <xf numFmtId="0" fontId="2" fillId="0" borderId="0" xfId="0" applyFont="1" applyAlignment="1">
      <alignment horizontal="left" vertical="center" wrapText="1"/>
    </xf>
    <xf numFmtId="0" fontId="5" fillId="0" borderId="0" xfId="0" applyFont="1" applyAlignment="1">
      <alignment horizontal="justify" vertical="justify" wrapText="1"/>
    </xf>
    <xf numFmtId="164" fontId="5" fillId="0" borderId="29" xfId="1" applyFont="1" applyBorder="1" applyAlignment="1">
      <alignment vertical="center" wrapText="1"/>
    </xf>
    <xf numFmtId="14" fontId="1" fillId="0" borderId="0" xfId="1" applyNumberFormat="1" applyFont="1" applyAlignment="1">
      <alignment vertical="center"/>
    </xf>
    <xf numFmtId="14" fontId="1" fillId="0" borderId="0" xfId="1" applyNumberFormat="1" applyFont="1" applyFill="1" applyAlignment="1">
      <alignment vertical="center"/>
    </xf>
    <xf numFmtId="14" fontId="18" fillId="0" borderId="0" xfId="1" applyNumberFormat="1" applyFont="1" applyBorder="1" applyAlignment="1">
      <alignment horizontal="center" vertical="center" wrapText="1"/>
    </xf>
    <xf numFmtId="14" fontId="1" fillId="0" borderId="0" xfId="1" applyNumberFormat="1" applyFont="1" applyFill="1" applyAlignment="1">
      <alignment vertical="center" wrapText="1"/>
    </xf>
    <xf numFmtId="14" fontId="3" fillId="0" borderId="0" xfId="1" applyNumberFormat="1" applyFont="1" applyFill="1" applyAlignment="1">
      <alignment horizontal="center" vertical="center" wrapText="1"/>
    </xf>
    <xf numFmtId="14" fontId="10" fillId="0" borderId="0" xfId="0" applyNumberFormat="1" applyFont="1" applyAlignment="1">
      <alignment horizontal="center" vertical="center" wrapText="1"/>
    </xf>
    <xf numFmtId="14" fontId="5" fillId="0" borderId="0" xfId="1" applyNumberFormat="1" applyFont="1" applyFill="1" applyBorder="1" applyAlignment="1">
      <alignment horizontal="center" vertical="center" wrapText="1"/>
    </xf>
    <xf numFmtId="166" fontId="18" fillId="0" borderId="0" xfId="1" applyNumberFormat="1" applyFont="1" applyBorder="1" applyAlignment="1">
      <alignment horizontal="center" vertical="center" wrapText="1"/>
    </xf>
    <xf numFmtId="2" fontId="18" fillId="0" borderId="0" xfId="1" applyNumberFormat="1" applyFont="1" applyBorder="1" applyAlignment="1">
      <alignment horizontal="center" vertical="center" wrapText="1"/>
    </xf>
    <xf numFmtId="0" fontId="18" fillId="0" borderId="0" xfId="1" applyNumberFormat="1" applyFont="1" applyBorder="1" applyAlignment="1">
      <alignment horizontal="center" vertical="center" wrapText="1"/>
    </xf>
    <xf numFmtId="0" fontId="25" fillId="0" borderId="0" xfId="0" applyFont="1" applyAlignment="1">
      <alignment vertical="center" wrapText="1"/>
    </xf>
    <xf numFmtId="167" fontId="1" fillId="0" borderId="0" xfId="0" applyNumberFormat="1" applyFont="1" applyAlignment="1">
      <alignment horizontal="center"/>
    </xf>
    <xf numFmtId="14" fontId="3" fillId="20" borderId="32" xfId="0" applyNumberFormat="1" applyFont="1" applyFill="1" applyBorder="1" applyAlignment="1">
      <alignment horizontal="center" vertical="center"/>
    </xf>
    <xf numFmtId="0" fontId="3" fillId="20" borderId="32" xfId="0" applyFont="1" applyFill="1" applyBorder="1" applyAlignment="1">
      <alignment horizontal="center" vertical="center"/>
    </xf>
    <xf numFmtId="0" fontId="3" fillId="20" borderId="32" xfId="0" applyFont="1" applyFill="1" applyBorder="1" applyAlignment="1">
      <alignment horizontal="center" vertical="center" wrapText="1"/>
    </xf>
    <xf numFmtId="0" fontId="3" fillId="20" borderId="34" xfId="0" applyFont="1" applyFill="1" applyBorder="1" applyAlignment="1">
      <alignment horizontal="center" vertical="center"/>
    </xf>
    <xf numFmtId="0" fontId="3" fillId="20" borderId="31" xfId="0" applyFont="1" applyFill="1" applyBorder="1" applyAlignment="1">
      <alignment horizontal="center" vertical="center" wrapText="1"/>
    </xf>
    <xf numFmtId="0" fontId="27" fillId="0" borderId="0" xfId="0" applyFont="1" applyAlignment="1">
      <alignment horizontal="center" wrapText="1"/>
    </xf>
    <xf numFmtId="10" fontId="1" fillId="9" borderId="1" xfId="1" applyNumberFormat="1" applyFont="1" applyFill="1" applyBorder="1" applyAlignment="1">
      <alignment horizontal="center" vertical="center"/>
    </xf>
    <xf numFmtId="4" fontId="1" fillId="0" borderId="1" xfId="0" applyNumberFormat="1" applyFont="1" applyBorder="1" applyAlignment="1">
      <alignment vertical="center"/>
    </xf>
    <xf numFmtId="164" fontId="1" fillId="0" borderId="2" xfId="1" applyFont="1" applyBorder="1" applyAlignment="1">
      <alignment vertical="center"/>
    </xf>
    <xf numFmtId="0" fontId="1" fillId="0" borderId="2" xfId="0" applyFont="1" applyBorder="1" applyAlignment="1">
      <alignment vertical="center" wrapText="1"/>
    </xf>
    <xf numFmtId="14" fontId="1" fillId="0" borderId="2" xfId="1" applyNumberFormat="1" applyFont="1" applyBorder="1" applyAlignment="1">
      <alignment vertical="center"/>
    </xf>
    <xf numFmtId="164" fontId="1" fillId="0" borderId="2" xfId="1" applyFont="1" applyFill="1" applyBorder="1" applyAlignment="1">
      <alignment vertical="center"/>
    </xf>
    <xf numFmtId="0" fontId="3" fillId="0" borderId="39" xfId="0" applyFont="1" applyBorder="1" applyAlignment="1">
      <alignment horizontal="center" vertical="center"/>
    </xf>
    <xf numFmtId="14" fontId="3" fillId="0" borderId="39" xfId="0" applyNumberFormat="1" applyFont="1" applyBorder="1" applyAlignment="1">
      <alignment horizontal="center" vertical="center"/>
    </xf>
    <xf numFmtId="0" fontId="3" fillId="9" borderId="35" xfId="0" applyFont="1" applyFill="1" applyBorder="1" applyAlignment="1">
      <alignment horizontal="center" vertical="center"/>
    </xf>
    <xf numFmtId="2" fontId="1" fillId="0" borderId="1" xfId="1" applyNumberFormat="1" applyFont="1" applyFill="1" applyBorder="1" applyAlignment="1">
      <alignment horizontal="justify" vertical="center" wrapText="1"/>
    </xf>
    <xf numFmtId="2" fontId="1" fillId="0" borderId="1" xfId="1" applyNumberFormat="1" applyFont="1" applyFill="1" applyBorder="1" applyAlignment="1">
      <alignment horizontal="center" vertical="center"/>
    </xf>
    <xf numFmtId="164" fontId="26" fillId="0" borderId="0" xfId="2" quotePrefix="1" applyNumberFormat="1" applyFont="1" applyFill="1" applyAlignment="1">
      <alignment horizontal="right" vertical="center"/>
    </xf>
    <xf numFmtId="0" fontId="3" fillId="15" borderId="0" xfId="0" applyFont="1" applyFill="1"/>
    <xf numFmtId="4" fontId="3" fillId="0" borderId="27" xfId="0" applyNumberFormat="1" applyFont="1" applyBorder="1" applyAlignment="1">
      <alignment horizontal="center"/>
    </xf>
    <xf numFmtId="4" fontId="3" fillId="0" borderId="37" xfId="0" applyNumberFormat="1" applyFont="1" applyBorder="1" applyAlignment="1">
      <alignment horizontal="center"/>
    </xf>
    <xf numFmtId="0" fontId="32" fillId="0" borderId="0" xfId="0" applyFont="1"/>
    <xf numFmtId="0" fontId="1" fillId="0" borderId="0" xfId="0" applyFont="1" applyAlignment="1">
      <alignment horizontal="left"/>
    </xf>
    <xf numFmtId="0" fontId="33" fillId="0" borderId="0" xfId="0" applyFont="1"/>
    <xf numFmtId="0" fontId="1" fillId="0" borderId="1" xfId="0" applyFont="1" applyBorder="1"/>
    <xf numFmtId="0" fontId="1" fillId="16" borderId="1" xfId="0" applyFont="1" applyFill="1" applyBorder="1"/>
    <xf numFmtId="0" fontId="1" fillId="0" borderId="1" xfId="0" applyFont="1" applyBorder="1" applyAlignment="1">
      <alignment wrapText="1"/>
    </xf>
    <xf numFmtId="0" fontId="1" fillId="16" borderId="1" xfId="0" applyFont="1" applyFill="1" applyBorder="1" applyAlignment="1">
      <alignment wrapText="1"/>
    </xf>
    <xf numFmtId="0" fontId="3" fillId="0" borderId="30" xfId="0" applyFont="1" applyBorder="1" applyAlignment="1">
      <alignment horizontal="center" vertical="center" wrapText="1"/>
    </xf>
    <xf numFmtId="0" fontId="3" fillId="0" borderId="0" xfId="0" applyFont="1" applyAlignment="1">
      <alignment vertical="center" wrapText="1"/>
    </xf>
    <xf numFmtId="0" fontId="1" fillId="0" borderId="40" xfId="0" applyFont="1" applyBorder="1" applyAlignment="1">
      <alignment vertical="center" wrapText="1"/>
    </xf>
    <xf numFmtId="0" fontId="1" fillId="0" borderId="41" xfId="0" applyFont="1" applyBorder="1" applyAlignment="1">
      <alignment vertical="center" wrapText="1"/>
    </xf>
    <xf numFmtId="0" fontId="1" fillId="0" borderId="42" xfId="0" applyFont="1" applyBorder="1" applyAlignment="1">
      <alignment vertical="center" wrapText="1"/>
    </xf>
    <xf numFmtId="0" fontId="1" fillId="0" borderId="43" xfId="0" applyFont="1" applyBorder="1" applyAlignment="1">
      <alignment vertical="center" wrapText="1"/>
    </xf>
    <xf numFmtId="164" fontId="10" fillId="21" borderId="25" xfId="0" applyNumberFormat="1" applyFont="1" applyFill="1" applyBorder="1" applyAlignment="1">
      <alignment vertical="center" wrapText="1"/>
    </xf>
    <xf numFmtId="164" fontId="10" fillId="21" borderId="36" xfId="0" applyNumberFormat="1" applyFont="1" applyFill="1" applyBorder="1" applyAlignment="1">
      <alignment vertical="center" wrapText="1"/>
    </xf>
    <xf numFmtId="0" fontId="1" fillId="0" borderId="39" xfId="0" applyFont="1" applyBorder="1" applyAlignment="1">
      <alignment horizontal="center"/>
    </xf>
    <xf numFmtId="0" fontId="1" fillId="0" borderId="39" xfId="0" applyFont="1" applyBorder="1"/>
    <xf numFmtId="4" fontId="1" fillId="0" borderId="39" xfId="0" applyNumberFormat="1" applyFont="1" applyBorder="1"/>
    <xf numFmtId="4" fontId="3" fillId="0" borderId="28" xfId="0" applyNumberFormat="1" applyFont="1" applyBorder="1" applyAlignment="1">
      <alignment horizontal="center"/>
    </xf>
    <xf numFmtId="0" fontId="1" fillId="0" borderId="4" xfId="0" applyFont="1" applyBorder="1"/>
    <xf numFmtId="0" fontId="1" fillId="0" borderId="26" xfId="0" applyFont="1" applyBorder="1"/>
    <xf numFmtId="0" fontId="1" fillId="9" borderId="39" xfId="0" applyFont="1" applyFill="1" applyBorder="1" applyAlignment="1">
      <alignment vertical="center"/>
    </xf>
    <xf numFmtId="0" fontId="1" fillId="9" borderId="39" xfId="0" applyFont="1" applyFill="1" applyBorder="1" applyAlignment="1">
      <alignment horizontal="center" vertical="center"/>
    </xf>
    <xf numFmtId="0" fontId="2" fillId="22" borderId="1" xfId="0" applyFont="1" applyFill="1" applyBorder="1"/>
    <xf numFmtId="0" fontId="2" fillId="22" borderId="21" xfId="0" applyFont="1" applyFill="1" applyBorder="1"/>
    <xf numFmtId="0" fontId="2" fillId="22" borderId="35" xfId="0" applyFont="1" applyFill="1" applyBorder="1"/>
    <xf numFmtId="0" fontId="2" fillId="22" borderId="47" xfId="0" applyFont="1" applyFill="1" applyBorder="1"/>
    <xf numFmtId="9" fontId="2" fillId="22" borderId="47" xfId="0" applyNumberFormat="1" applyFont="1" applyFill="1" applyBorder="1"/>
    <xf numFmtId="0" fontId="3" fillId="20" borderId="49" xfId="0" applyFont="1" applyFill="1" applyBorder="1" applyAlignment="1">
      <alignment horizontal="center" vertical="center"/>
    </xf>
    <xf numFmtId="4" fontId="1" fillId="0" borderId="0" xfId="0" applyNumberFormat="1" applyFont="1" applyAlignment="1">
      <alignment wrapText="1"/>
    </xf>
    <xf numFmtId="164" fontId="5" fillId="0" borderId="35" xfId="1" applyFont="1" applyBorder="1" applyAlignment="1" applyProtection="1">
      <alignment horizontal="center" vertical="center" wrapText="1"/>
      <protection locked="0"/>
    </xf>
    <xf numFmtId="49" fontId="5" fillId="0" borderId="35" xfId="0" applyNumberFormat="1" applyFont="1" applyBorder="1" applyAlignment="1" applyProtection="1">
      <alignment horizontal="left" vertical="center" wrapText="1"/>
      <protection locked="0"/>
    </xf>
    <xf numFmtId="164" fontId="5" fillId="0" borderId="1" xfId="1" applyFont="1" applyBorder="1" applyAlignment="1" applyProtection="1">
      <alignment horizontal="center" vertical="center" wrapText="1"/>
      <protection locked="0"/>
    </xf>
    <xf numFmtId="49" fontId="5" fillId="0" borderId="1" xfId="0" applyNumberFormat="1" applyFont="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164" fontId="5" fillId="0" borderId="17" xfId="1" applyFont="1" applyBorder="1" applyAlignment="1" applyProtection="1">
      <alignment horizontal="center" vertical="center" wrapText="1"/>
      <protection locked="0"/>
    </xf>
    <xf numFmtId="49" fontId="5" fillId="0" borderId="17" xfId="0" applyNumberFormat="1" applyFont="1" applyBorder="1" applyAlignment="1" applyProtection="1">
      <alignment horizontal="left" vertical="center" wrapText="1"/>
      <protection locked="0"/>
    </xf>
    <xf numFmtId="164" fontId="1" fillId="0" borderId="35" xfId="1" applyFont="1" applyBorder="1" applyAlignment="1" applyProtection="1">
      <alignment vertical="center" wrapText="1"/>
      <protection locked="0"/>
    </xf>
    <xf numFmtId="3" fontId="1" fillId="0" borderId="35" xfId="0" applyNumberFormat="1" applyFont="1" applyBorder="1" applyAlignment="1" applyProtection="1">
      <alignment vertical="center" wrapText="1"/>
      <protection locked="0"/>
    </xf>
    <xf numFmtId="164" fontId="1" fillId="0" borderId="1" xfId="1" applyFont="1" applyBorder="1" applyAlignment="1" applyProtection="1">
      <alignment vertical="center" wrapText="1"/>
      <protection locked="0"/>
    </xf>
    <xf numFmtId="3" fontId="1" fillId="0" borderId="1" xfId="0" applyNumberFormat="1" applyFont="1" applyBorder="1" applyAlignment="1" applyProtection="1">
      <alignment vertical="center" wrapText="1"/>
      <protection locked="0"/>
    </xf>
    <xf numFmtId="164" fontId="1" fillId="0" borderId="35" xfId="1" applyFont="1" applyFill="1" applyBorder="1" applyAlignment="1" applyProtection="1">
      <alignment vertical="center" wrapText="1"/>
      <protection locked="0"/>
    </xf>
    <xf numFmtId="164" fontId="1" fillId="0" borderId="1" xfId="1" applyFont="1" applyFill="1" applyBorder="1" applyAlignment="1" applyProtection="1">
      <alignment vertical="center" wrapText="1"/>
      <protection locked="0"/>
    </xf>
    <xf numFmtId="0" fontId="1" fillId="0" borderId="1" xfId="0" applyFont="1" applyBorder="1" applyAlignment="1" applyProtection="1">
      <alignment vertical="center" wrapText="1"/>
      <protection locked="0"/>
    </xf>
    <xf numFmtId="164" fontId="1" fillId="0" borderId="1" xfId="0" applyNumberFormat="1" applyFont="1" applyBorder="1" applyAlignment="1" applyProtection="1">
      <alignment vertical="center"/>
      <protection locked="0"/>
    </xf>
    <xf numFmtId="0" fontId="1" fillId="0" borderId="35" xfId="0" applyFont="1" applyBorder="1" applyAlignment="1" applyProtection="1">
      <alignment vertical="center" wrapText="1"/>
      <protection locked="0"/>
    </xf>
    <xf numFmtId="164" fontId="1" fillId="0" borderId="35" xfId="1" applyFont="1" applyBorder="1" applyAlignment="1" applyProtection="1">
      <alignment vertical="center"/>
      <protection locked="0"/>
    </xf>
    <xf numFmtId="164" fontId="1" fillId="0" borderId="1" xfId="1" applyFont="1" applyBorder="1" applyAlignment="1" applyProtection="1">
      <alignment vertical="center"/>
      <protection locked="0"/>
    </xf>
    <xf numFmtId="164" fontId="1" fillId="0" borderId="35" xfId="1" applyFont="1" applyBorder="1" applyAlignment="1" applyProtection="1">
      <alignment horizontal="center" vertical="center" wrapText="1"/>
      <protection locked="0"/>
    </xf>
    <xf numFmtId="164" fontId="1" fillId="0" borderId="1" xfId="1" applyFont="1" applyBorder="1" applyAlignment="1" applyProtection="1">
      <alignment horizontal="center" vertical="center" wrapText="1"/>
      <protection locked="0"/>
    </xf>
    <xf numFmtId="0" fontId="1" fillId="0" borderId="1" xfId="0" applyFont="1" applyBorder="1" applyAlignment="1" applyProtection="1">
      <alignment vertical="center"/>
      <protection locked="0"/>
    </xf>
    <xf numFmtId="0" fontId="24"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2" fillId="0" borderId="0" xfId="0" applyFont="1" applyAlignment="1" applyProtection="1">
      <alignment vertical="center"/>
      <protection locked="0"/>
    </xf>
    <xf numFmtId="0" fontId="8" fillId="0" borderId="0" xfId="0" applyFont="1" applyAlignment="1" applyProtection="1">
      <alignment vertical="center"/>
      <protection locked="0"/>
    </xf>
    <xf numFmtId="0" fontId="1" fillId="0" borderId="0" xfId="0" applyFont="1" applyAlignment="1" applyProtection="1">
      <alignment horizontal="left" vertical="center"/>
      <protection locked="0"/>
    </xf>
    <xf numFmtId="0" fontId="11" fillId="0" borderId="0" xfId="0" applyFont="1" applyAlignment="1" applyProtection="1">
      <alignment vertical="center"/>
      <protection locked="0"/>
    </xf>
    <xf numFmtId="0" fontId="7" fillId="0" borderId="0" xfId="0" applyFont="1" applyAlignment="1" applyProtection="1">
      <alignment vertical="center"/>
      <protection locked="0"/>
    </xf>
    <xf numFmtId="0" fontId="34" fillId="0" borderId="0" xfId="0" applyFont="1" applyAlignment="1" applyProtection="1">
      <alignment vertical="center"/>
      <protection locked="0"/>
    </xf>
    <xf numFmtId="0" fontId="34" fillId="0" borderId="0" xfId="0" applyFont="1" applyAlignment="1" applyProtection="1">
      <alignment vertical="center" wrapText="1"/>
      <protection locked="0"/>
    </xf>
    <xf numFmtId="49" fontId="10" fillId="0" borderId="37" xfId="0" applyNumberFormat="1" applyFont="1" applyBorder="1" applyAlignment="1" applyProtection="1">
      <alignment horizontal="left" vertical="center" wrapText="1"/>
      <protection locked="0"/>
    </xf>
    <xf numFmtId="0" fontId="2" fillId="0" borderId="0" xfId="0" applyFont="1" applyAlignment="1" applyProtection="1">
      <alignment vertical="center" wrapText="1"/>
      <protection locked="0"/>
    </xf>
    <xf numFmtId="164" fontId="5" fillId="0" borderId="17" xfId="1" applyFont="1" applyFill="1" applyBorder="1" applyAlignment="1" applyProtection="1">
      <alignment horizontal="center" vertical="center" wrapText="1"/>
      <protection locked="0"/>
    </xf>
    <xf numFmtId="0" fontId="4" fillId="0" borderId="1" xfId="0" applyFont="1" applyBorder="1" applyAlignment="1">
      <alignment horizontal="center" vertical="center"/>
    </xf>
    <xf numFmtId="0" fontId="4" fillId="9" borderId="35" xfId="0" applyFont="1" applyFill="1" applyBorder="1" applyAlignment="1">
      <alignment horizontal="center" vertical="center"/>
    </xf>
    <xf numFmtId="0" fontId="3" fillId="0" borderId="0" xfId="0" applyFont="1" applyAlignment="1">
      <alignment horizontal="center" vertical="center" wrapText="1"/>
    </xf>
    <xf numFmtId="0" fontId="3" fillId="0" borderId="1" xfId="0" applyFont="1" applyBorder="1" applyAlignment="1">
      <alignment horizontal="center" vertical="center"/>
    </xf>
    <xf numFmtId="0" fontId="25" fillId="0" borderId="0" xfId="0" applyFont="1" applyAlignment="1">
      <alignment horizontal="center" vertical="center" wrapText="1"/>
    </xf>
    <xf numFmtId="0" fontId="4" fillId="9" borderId="1" xfId="0" applyFont="1" applyFill="1" applyBorder="1" applyAlignment="1">
      <alignment horizontal="center" vertical="center"/>
    </xf>
    <xf numFmtId="0" fontId="3" fillId="9" borderId="1" xfId="0" applyFont="1" applyFill="1" applyBorder="1" applyAlignment="1">
      <alignment horizontal="center" vertical="center"/>
    </xf>
    <xf numFmtId="0" fontId="28" fillId="0" borderId="0" xfId="0" applyFont="1" applyAlignment="1">
      <alignment horizontal="center"/>
    </xf>
    <xf numFmtId="0" fontId="1" fillId="0" borderId="1" xfId="0" applyFont="1" applyBorder="1" applyAlignment="1">
      <alignment vertical="center"/>
    </xf>
    <xf numFmtId="4" fontId="1" fillId="0" borderId="1" xfId="0" applyNumberFormat="1" applyFont="1" applyBorder="1" applyAlignment="1">
      <alignment vertical="center" wrapText="1"/>
    </xf>
    <xf numFmtId="0" fontId="35" fillId="0" borderId="0" xfId="0" applyFont="1" applyAlignment="1" applyProtection="1">
      <alignment vertical="center"/>
      <protection locked="0"/>
    </xf>
    <xf numFmtId="0" fontId="1" fillId="23" borderId="0" xfId="0" applyFont="1" applyFill="1"/>
    <xf numFmtId="0" fontId="3" fillId="24" borderId="22" xfId="0" applyFont="1" applyFill="1" applyBorder="1"/>
    <xf numFmtId="0" fontId="1" fillId="24" borderId="22" xfId="0" applyFont="1" applyFill="1" applyBorder="1"/>
    <xf numFmtId="0" fontId="5" fillId="24" borderId="0" xfId="0" applyFont="1" applyFill="1" applyAlignment="1">
      <alignment horizontal="left" vertical="top" wrapText="1"/>
    </xf>
    <xf numFmtId="0" fontId="10" fillId="24" borderId="22" xfId="0" applyFont="1" applyFill="1" applyBorder="1"/>
    <xf numFmtId="0" fontId="30" fillId="24" borderId="22" xfId="0" applyFont="1" applyFill="1" applyBorder="1"/>
    <xf numFmtId="0" fontId="2" fillId="24" borderId="0" xfId="0" applyFont="1" applyFill="1" applyAlignment="1">
      <alignment horizontal="left" vertical="center" wrapText="1"/>
    </xf>
    <xf numFmtId="0" fontId="30" fillId="24" borderId="0" xfId="0" applyFont="1" applyFill="1"/>
    <xf numFmtId="0" fontId="2" fillId="24" borderId="0" xfId="0" applyFont="1" applyFill="1" applyAlignment="1">
      <alignment vertical="center" wrapText="1"/>
    </xf>
    <xf numFmtId="0" fontId="1" fillId="24" borderId="0" xfId="0" applyFont="1" applyFill="1"/>
    <xf numFmtId="0" fontId="31" fillId="24" borderId="0" xfId="0" applyFont="1" applyFill="1"/>
    <xf numFmtId="0" fontId="5" fillId="24" borderId="0" xfId="0" applyFont="1" applyFill="1"/>
    <xf numFmtId="0" fontId="10" fillId="24" borderId="0" xfId="0" applyFont="1" applyFill="1"/>
    <xf numFmtId="0" fontId="5" fillId="25" borderId="1" xfId="0" applyFont="1" applyFill="1" applyBorder="1" applyAlignment="1" applyProtection="1">
      <alignment vertical="center"/>
      <protection locked="0"/>
    </xf>
    <xf numFmtId="165" fontId="2" fillId="25" borderId="1" xfId="1" applyNumberFormat="1" applyFont="1" applyFill="1" applyBorder="1" applyAlignment="1" applyProtection="1">
      <alignment horizontal="center" vertical="center"/>
      <protection locked="0"/>
    </xf>
    <xf numFmtId="0" fontId="5" fillId="26" borderId="1" xfId="0" applyFont="1" applyFill="1" applyBorder="1" applyAlignment="1" applyProtection="1">
      <alignment vertical="center"/>
      <protection locked="0"/>
    </xf>
    <xf numFmtId="165" fontId="2" fillId="26" borderId="1" xfId="1" applyNumberFormat="1" applyFont="1" applyFill="1" applyBorder="1" applyAlignment="1" applyProtection="1">
      <alignment horizontal="center" vertical="center"/>
      <protection locked="0"/>
    </xf>
    <xf numFmtId="0" fontId="5" fillId="27" borderId="1" xfId="0" applyFont="1" applyFill="1" applyBorder="1" applyAlignment="1" applyProtection="1">
      <alignment vertical="center"/>
      <protection locked="0"/>
    </xf>
    <xf numFmtId="165" fontId="2" fillId="27" borderId="1" xfId="1" applyNumberFormat="1" applyFont="1" applyFill="1" applyBorder="1" applyAlignment="1" applyProtection="1">
      <alignment horizontal="center" vertical="center"/>
      <protection locked="0"/>
    </xf>
    <xf numFmtId="0" fontId="5" fillId="28" borderId="1" xfId="0" applyFont="1" applyFill="1" applyBorder="1" applyAlignment="1" applyProtection="1">
      <alignment vertical="center"/>
      <protection locked="0"/>
    </xf>
    <xf numFmtId="165" fontId="2" fillId="28" borderId="1" xfId="1" applyNumberFormat="1" applyFont="1" applyFill="1" applyBorder="1" applyAlignment="1" applyProtection="1">
      <alignment horizontal="center" vertical="center"/>
      <protection locked="0"/>
    </xf>
    <xf numFmtId="0" fontId="5" fillId="29" borderId="1" xfId="0" applyFont="1" applyFill="1" applyBorder="1" applyAlignment="1" applyProtection="1">
      <alignment vertical="center"/>
      <protection locked="0"/>
    </xf>
    <xf numFmtId="165" fontId="2" fillId="29" borderId="1" xfId="1" applyNumberFormat="1" applyFont="1" applyFill="1" applyBorder="1" applyAlignment="1" applyProtection="1">
      <alignment horizontal="center" vertical="center"/>
      <protection locked="0"/>
    </xf>
    <xf numFmtId="164" fontId="16" fillId="23" borderId="3" xfId="1" applyFont="1" applyFill="1" applyBorder="1" applyAlignment="1">
      <alignment horizontal="center" vertical="center" wrapText="1"/>
    </xf>
    <xf numFmtId="164" fontId="16" fillId="23" borderId="24" xfId="1" applyFont="1" applyFill="1" applyBorder="1" applyAlignment="1">
      <alignment horizontal="center" vertical="center" wrapText="1"/>
    </xf>
    <xf numFmtId="164" fontId="16" fillId="23" borderId="25" xfId="0" applyNumberFormat="1" applyFont="1" applyFill="1" applyBorder="1" applyAlignment="1">
      <alignment vertical="center" wrapText="1"/>
    </xf>
    <xf numFmtId="164" fontId="16" fillId="23" borderId="36" xfId="0" applyNumberFormat="1" applyFont="1" applyFill="1" applyBorder="1" applyAlignment="1">
      <alignment vertical="center" wrapText="1"/>
    </xf>
    <xf numFmtId="164" fontId="36" fillId="0" borderId="0" xfId="1" applyFont="1" applyFill="1" applyAlignment="1">
      <alignment vertical="center"/>
    </xf>
    <xf numFmtId="0" fontId="36" fillId="0" borderId="0" xfId="0" applyFont="1" applyAlignment="1">
      <alignment vertical="center" wrapText="1"/>
    </xf>
    <xf numFmtId="0" fontId="16" fillId="23" borderId="38" xfId="0" applyFont="1" applyFill="1" applyBorder="1" applyAlignment="1">
      <alignment horizontal="left"/>
    </xf>
    <xf numFmtId="4" fontId="16" fillId="23" borderId="38" xfId="0" applyNumberFormat="1" applyFont="1" applyFill="1" applyBorder="1"/>
    <xf numFmtId="0" fontId="16" fillId="23" borderId="1" xfId="0" applyFont="1" applyFill="1" applyBorder="1" applyAlignment="1">
      <alignment horizontal="center" vertical="center"/>
    </xf>
    <xf numFmtId="0" fontId="16" fillId="23" borderId="1" xfId="0" applyFont="1" applyFill="1" applyBorder="1" applyAlignment="1">
      <alignment horizontal="center" vertical="center" wrapText="1"/>
    </xf>
    <xf numFmtId="0" fontId="37" fillId="0" borderId="0" xfId="0" pivotButton="1" applyFont="1"/>
    <xf numFmtId="0" fontId="37" fillId="0" borderId="0" xfId="0" applyFont="1"/>
    <xf numFmtId="4" fontId="38" fillId="23" borderId="0" xfId="0" applyNumberFormat="1" applyFont="1" applyFill="1" applyAlignment="1">
      <alignment horizontal="center"/>
    </xf>
    <xf numFmtId="0" fontId="38" fillId="23" borderId="0" xfId="0" applyFont="1" applyFill="1" applyAlignment="1">
      <alignment horizontal="center" vertical="center" wrapText="1"/>
    </xf>
    <xf numFmtId="0" fontId="37" fillId="0" borderId="0" xfId="0" applyFont="1" applyAlignment="1">
      <alignment horizontal="center"/>
    </xf>
    <xf numFmtId="0" fontId="37" fillId="15" borderId="0" xfId="0" applyFont="1" applyFill="1" applyAlignment="1">
      <alignment horizontal="left"/>
    </xf>
    <xf numFmtId="4" fontId="37" fillId="15" borderId="0" xfId="0" applyNumberFormat="1" applyFont="1" applyFill="1"/>
    <xf numFmtId="0" fontId="37" fillId="0" borderId="0" xfId="0" applyFont="1" applyAlignment="1">
      <alignment horizontal="left" indent="1"/>
    </xf>
    <xf numFmtId="4" fontId="37" fillId="0" borderId="0" xfId="0" applyNumberFormat="1" applyFont="1"/>
    <xf numFmtId="0" fontId="37" fillId="0" borderId="0" xfId="0" applyFont="1" applyAlignment="1">
      <alignment horizontal="left"/>
    </xf>
    <xf numFmtId="4" fontId="38" fillId="23" borderId="0" xfId="0" applyNumberFormat="1" applyFont="1" applyFill="1"/>
    <xf numFmtId="0" fontId="38" fillId="23" borderId="0" xfId="0" applyFont="1" applyFill="1" applyAlignment="1">
      <alignment horizontal="left"/>
    </xf>
    <xf numFmtId="0" fontId="37" fillId="9" borderId="0" xfId="0" applyFont="1" applyFill="1"/>
    <xf numFmtId="0" fontId="37" fillId="9" borderId="0" xfId="0" applyFont="1" applyFill="1" applyAlignment="1">
      <alignment horizontal="center"/>
    </xf>
    <xf numFmtId="0" fontId="37" fillId="0" borderId="0" xfId="0" applyFont="1" applyAlignment="1">
      <alignment horizontal="left" indent="2"/>
    </xf>
    <xf numFmtId="0" fontId="1" fillId="5" borderId="1"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8" borderId="1" xfId="0" applyFont="1" applyFill="1" applyBorder="1" applyAlignment="1">
      <alignment horizontal="center" vertical="center" wrapText="1"/>
    </xf>
    <xf numFmtId="0" fontId="1" fillId="8" borderId="1" xfId="0" applyFont="1" applyFill="1" applyBorder="1" applyAlignment="1">
      <alignment horizontal="center" vertical="center"/>
    </xf>
    <xf numFmtId="0" fontId="1" fillId="6" borderId="1" xfId="0" applyFont="1" applyFill="1" applyBorder="1" applyAlignment="1">
      <alignment horizontal="center" vertical="center" wrapText="1"/>
    </xf>
    <xf numFmtId="0" fontId="1" fillId="6" borderId="1" xfId="0" applyFont="1" applyFill="1" applyBorder="1" applyAlignment="1">
      <alignment horizontal="center" vertical="center"/>
    </xf>
    <xf numFmtId="0" fontId="4" fillId="0" borderId="1" xfId="0" applyFont="1" applyBorder="1" applyAlignment="1">
      <alignment horizontal="center" vertical="center"/>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1" fillId="7" borderId="1" xfId="0" applyFont="1" applyFill="1" applyBorder="1" applyAlignment="1">
      <alignment horizontal="center" vertical="center" wrapText="1"/>
    </xf>
    <xf numFmtId="0" fontId="1" fillId="7"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5" fillId="24" borderId="0" xfId="0" applyFont="1" applyFill="1" applyAlignment="1">
      <alignment horizontal="justify" vertical="justify" wrapText="1"/>
    </xf>
    <xf numFmtId="0" fontId="5" fillId="24" borderId="0" xfId="0" applyFont="1" applyFill="1" applyAlignment="1">
      <alignment vertical="center" wrapText="1"/>
    </xf>
    <xf numFmtId="0" fontId="2" fillId="24" borderId="0" xfId="0" applyFont="1" applyFill="1" applyAlignment="1">
      <alignment horizontal="justify" vertical="justify" wrapText="1"/>
    </xf>
    <xf numFmtId="0" fontId="5" fillId="24" borderId="0" xfId="0" applyFont="1" applyFill="1" applyAlignment="1">
      <alignment horizontal="left" vertical="center" wrapText="1"/>
    </xf>
    <xf numFmtId="0" fontId="4" fillId="9" borderId="17" xfId="0" applyFont="1" applyFill="1" applyBorder="1" applyAlignment="1">
      <alignment horizontal="center" vertical="center"/>
    </xf>
    <xf numFmtId="0" fontId="4" fillId="9" borderId="35" xfId="0" applyFont="1" applyFill="1" applyBorder="1" applyAlignment="1">
      <alignment horizontal="center" vertical="center"/>
    </xf>
    <xf numFmtId="0" fontId="3" fillId="0" borderId="0" xfId="0" applyFont="1" applyAlignment="1">
      <alignment horizontal="center" vertical="center" wrapText="1"/>
    </xf>
    <xf numFmtId="0" fontId="1" fillId="29" borderId="1" xfId="0" applyFont="1" applyFill="1" applyBorder="1" applyAlignment="1">
      <alignment horizontal="center" vertical="center" wrapText="1"/>
    </xf>
    <xf numFmtId="0" fontId="1" fillId="29" borderId="1" xfId="0" applyFont="1" applyFill="1" applyBorder="1" applyAlignment="1">
      <alignment horizontal="center" vertical="center"/>
    </xf>
    <xf numFmtId="0" fontId="3" fillId="0" borderId="1" xfId="0" applyFont="1" applyBorder="1" applyAlignment="1">
      <alignment horizontal="center" vertical="center"/>
    </xf>
    <xf numFmtId="0" fontId="4" fillId="9" borderId="44" xfId="0" applyFont="1" applyFill="1" applyBorder="1" applyAlignment="1">
      <alignment horizontal="center" vertical="center"/>
    </xf>
    <xf numFmtId="0" fontId="4" fillId="9" borderId="46" xfId="0" applyFont="1" applyFill="1" applyBorder="1" applyAlignment="1">
      <alignment horizontal="center" vertical="center"/>
    </xf>
    <xf numFmtId="0" fontId="1" fillId="25" borderId="1" xfId="0" applyFont="1" applyFill="1" applyBorder="1" applyAlignment="1">
      <alignment horizontal="center" vertical="center" wrapText="1"/>
    </xf>
    <xf numFmtId="0" fontId="1" fillId="26" borderId="1" xfId="0" applyFont="1" applyFill="1" applyBorder="1" applyAlignment="1">
      <alignment horizontal="center" vertical="center" wrapText="1"/>
    </xf>
    <xf numFmtId="0" fontId="1" fillId="26" borderId="1" xfId="0" applyFont="1" applyFill="1" applyBorder="1" applyAlignment="1">
      <alignment horizontal="center" vertical="center"/>
    </xf>
    <xf numFmtId="0" fontId="1" fillId="27" borderId="1" xfId="0" applyFont="1" applyFill="1" applyBorder="1" applyAlignment="1">
      <alignment horizontal="center" vertical="center" wrapText="1"/>
    </xf>
    <xf numFmtId="0" fontId="1" fillId="27" borderId="1" xfId="0" applyFont="1" applyFill="1" applyBorder="1" applyAlignment="1">
      <alignment horizontal="center" vertical="center"/>
    </xf>
    <xf numFmtId="0" fontId="1" fillId="28" borderId="1" xfId="0" applyFont="1" applyFill="1" applyBorder="1" applyAlignment="1">
      <alignment horizontal="center" vertical="center" wrapText="1"/>
    </xf>
    <xf numFmtId="0" fontId="1" fillId="28" borderId="1" xfId="0" applyFont="1" applyFill="1" applyBorder="1" applyAlignment="1">
      <alignment horizontal="center" vertical="center"/>
    </xf>
    <xf numFmtId="0" fontId="3" fillId="9" borderId="44" xfId="0" applyFont="1" applyFill="1" applyBorder="1" applyAlignment="1">
      <alignment horizontal="center" vertical="center"/>
    </xf>
    <xf numFmtId="0" fontId="3" fillId="9" borderId="45" xfId="0" applyFont="1" applyFill="1" applyBorder="1" applyAlignment="1">
      <alignment horizontal="center" vertical="center"/>
    </xf>
    <xf numFmtId="164" fontId="5" fillId="0" borderId="27" xfId="1" applyFont="1" applyBorder="1" applyAlignment="1">
      <alignment horizontal="center" vertical="center" wrapText="1"/>
    </xf>
    <xf numFmtId="164" fontId="5" fillId="0" borderId="28" xfId="1" applyFont="1" applyBorder="1" applyAlignment="1">
      <alignment horizontal="center" vertical="center" wrapText="1"/>
    </xf>
    <xf numFmtId="3" fontId="3" fillId="21" borderId="23" xfId="0" applyNumberFormat="1" applyFont="1" applyFill="1" applyBorder="1" applyAlignment="1">
      <alignment horizontal="center" vertical="center" wrapText="1"/>
    </xf>
    <xf numFmtId="14" fontId="10" fillId="21" borderId="2" xfId="0" applyNumberFormat="1" applyFont="1" applyFill="1" applyBorder="1" applyAlignment="1" applyProtection="1">
      <alignment horizontal="center" vertical="center" wrapText="1"/>
      <protection locked="0"/>
    </xf>
    <xf numFmtId="164" fontId="10" fillId="0" borderId="27" xfId="1" applyFont="1" applyBorder="1" applyAlignment="1" applyProtection="1">
      <alignment horizontal="center" vertical="center" wrapText="1"/>
      <protection locked="0"/>
    </xf>
    <xf numFmtId="164" fontId="10" fillId="0" borderId="29" xfId="1" applyFont="1" applyBorder="1" applyAlignment="1" applyProtection="1">
      <alignment horizontal="center" vertical="center" wrapText="1"/>
      <protection locked="0"/>
    </xf>
    <xf numFmtId="14" fontId="16" fillId="23" borderId="2" xfId="0" applyNumberFormat="1" applyFont="1" applyFill="1" applyBorder="1" applyAlignment="1" applyProtection="1">
      <alignment horizontal="center" vertical="center" wrapText="1"/>
      <protection locked="0"/>
    </xf>
    <xf numFmtId="3" fontId="16" fillId="23" borderId="23" xfId="0" applyNumberFormat="1" applyFont="1" applyFill="1" applyBorder="1" applyAlignment="1">
      <alignment horizontal="center" vertical="center" wrapText="1"/>
    </xf>
    <xf numFmtId="164" fontId="10" fillId="0" borderId="27" xfId="1" applyFont="1" applyFill="1" applyBorder="1" applyAlignment="1" applyProtection="1">
      <alignment horizontal="center" vertical="center" wrapText="1"/>
      <protection locked="0"/>
    </xf>
    <xf numFmtId="164" fontId="10" fillId="0" borderId="29" xfId="1" applyFont="1" applyFill="1" applyBorder="1" applyAlignment="1" applyProtection="1">
      <alignment horizontal="center" vertical="center" wrapText="1"/>
      <protection locked="0"/>
    </xf>
    <xf numFmtId="164" fontId="10" fillId="0" borderId="27" xfId="1" applyFont="1" applyBorder="1" applyAlignment="1">
      <alignment horizontal="center" vertical="center" wrapText="1"/>
    </xf>
    <xf numFmtId="164" fontId="10" fillId="0" borderId="29" xfId="1" applyFont="1" applyBorder="1" applyAlignment="1">
      <alignment horizontal="center" vertical="center" wrapText="1"/>
    </xf>
    <xf numFmtId="0" fontId="15" fillId="0" borderId="23" xfId="0" applyFont="1" applyBorder="1" applyAlignment="1">
      <alignment horizontal="center" vertical="center"/>
    </xf>
    <xf numFmtId="0" fontId="15" fillId="0" borderId="39" xfId="0" applyFont="1" applyBorder="1" applyAlignment="1">
      <alignment horizontal="center" vertical="center"/>
    </xf>
    <xf numFmtId="14" fontId="10" fillId="21" borderId="25" xfId="0" applyNumberFormat="1" applyFont="1" applyFill="1" applyBorder="1" applyAlignment="1">
      <alignment horizontal="center" vertical="center" wrapText="1"/>
    </xf>
    <xf numFmtId="14" fontId="10" fillId="21" borderId="2" xfId="0" applyNumberFormat="1" applyFont="1" applyFill="1" applyBorder="1" applyAlignment="1">
      <alignment horizontal="center" vertical="center" wrapText="1"/>
    </xf>
    <xf numFmtId="14" fontId="10" fillId="21" borderId="36" xfId="0" applyNumberFormat="1" applyFont="1" applyFill="1" applyBorder="1" applyAlignment="1">
      <alignment horizontal="center" vertical="center" wrapText="1"/>
    </xf>
    <xf numFmtId="0" fontId="25" fillId="0" borderId="0" xfId="0" applyFont="1" applyAlignment="1">
      <alignment horizontal="center" vertical="center"/>
    </xf>
    <xf numFmtId="0" fontId="25" fillId="0" borderId="48" xfId="0" applyFont="1" applyBorder="1" applyAlignment="1">
      <alignment horizontal="center" vertical="center" wrapText="1"/>
    </xf>
    <xf numFmtId="0" fontId="25" fillId="0" borderId="0" xfId="0" applyFont="1" applyAlignment="1">
      <alignment horizontal="center" vertical="center" wrapText="1"/>
    </xf>
    <xf numFmtId="0" fontId="4" fillId="9" borderId="0" xfId="0" applyFont="1" applyFill="1" applyAlignment="1">
      <alignment horizontal="center" vertical="center"/>
    </xf>
    <xf numFmtId="0" fontId="3" fillId="0" borderId="27" xfId="0" applyFont="1" applyBorder="1" applyAlignment="1">
      <alignment horizontal="center"/>
    </xf>
    <xf numFmtId="0" fontId="3" fillId="0" borderId="28" xfId="0" applyFont="1" applyBorder="1" applyAlignment="1">
      <alignment horizontal="center"/>
    </xf>
    <xf numFmtId="0" fontId="3" fillId="0" borderId="29" xfId="0" applyFont="1" applyBorder="1" applyAlignment="1">
      <alignment horizontal="center"/>
    </xf>
    <xf numFmtId="0" fontId="25" fillId="9" borderId="0" xfId="0" applyFont="1" applyFill="1" applyAlignment="1">
      <alignment horizontal="center" vertical="center"/>
    </xf>
    <xf numFmtId="49" fontId="10" fillId="13" borderId="5" xfId="0" applyNumberFormat="1" applyFont="1" applyFill="1" applyBorder="1" applyAlignment="1">
      <alignment horizontal="center" vertical="center" wrapText="1"/>
    </xf>
    <xf numFmtId="0" fontId="3" fillId="0" borderId="0" xfId="0" applyFont="1" applyAlignment="1">
      <alignment horizontal="center" vertical="center"/>
    </xf>
    <xf numFmtId="0" fontId="4" fillId="11" borderId="6" xfId="0" applyFont="1" applyFill="1" applyBorder="1" applyAlignment="1">
      <alignment horizontal="center" vertical="center" wrapText="1" readingOrder="1"/>
    </xf>
    <xf numFmtId="0" fontId="4" fillId="11" borderId="7" xfId="0" applyFont="1" applyFill="1" applyBorder="1" applyAlignment="1">
      <alignment horizontal="center" vertical="center" wrapText="1" readingOrder="1"/>
    </xf>
    <xf numFmtId="0" fontId="4" fillId="11" borderId="8" xfId="0" applyFont="1" applyFill="1" applyBorder="1" applyAlignment="1">
      <alignment horizontal="center" vertical="center" wrapText="1" readingOrder="1"/>
    </xf>
    <xf numFmtId="0" fontId="8" fillId="0" borderId="6" xfId="0" applyFont="1" applyBorder="1" applyAlignment="1">
      <alignment horizontal="center" vertical="center" wrapText="1" readingOrder="1"/>
    </xf>
    <xf numFmtId="0" fontId="8" fillId="0" borderId="7" xfId="0" applyFont="1" applyBorder="1" applyAlignment="1">
      <alignment horizontal="center" vertical="center" wrapText="1" readingOrder="1"/>
    </xf>
    <xf numFmtId="0" fontId="8" fillId="0" borderId="8" xfId="0" applyFont="1" applyBorder="1" applyAlignment="1">
      <alignment horizontal="center" vertical="center" wrapText="1" readingOrder="1"/>
    </xf>
    <xf numFmtId="49" fontId="10" fillId="0" borderId="5" xfId="0" applyNumberFormat="1" applyFont="1" applyBorder="1" applyAlignment="1">
      <alignment horizontal="center" vertical="center" wrapText="1"/>
    </xf>
    <xf numFmtId="164" fontId="3" fillId="3" borderId="2" xfId="1" applyFont="1" applyFill="1" applyBorder="1" applyAlignment="1">
      <alignment horizontal="center" vertical="center"/>
    </xf>
    <xf numFmtId="164" fontId="3" fillId="17" borderId="2" xfId="1" applyFont="1" applyFill="1" applyBorder="1" applyAlignment="1">
      <alignment horizontal="center" vertical="center"/>
    </xf>
    <xf numFmtId="165" fontId="3" fillId="0" borderId="10" xfId="1" applyNumberFormat="1" applyFont="1" applyFill="1" applyBorder="1" applyAlignment="1">
      <alignment horizontal="center" vertical="center"/>
    </xf>
    <xf numFmtId="0" fontId="2" fillId="11" borderId="11" xfId="0" applyFont="1" applyFill="1" applyBorder="1" applyAlignment="1">
      <alignment horizontal="center" vertical="center" wrapText="1" readingOrder="1"/>
    </xf>
    <xf numFmtId="0" fontId="2" fillId="11" borderId="12" xfId="0" applyFont="1" applyFill="1" applyBorder="1" applyAlignment="1">
      <alignment horizontal="center" vertical="center" wrapText="1" readingOrder="1"/>
    </xf>
    <xf numFmtId="164" fontId="3" fillId="7" borderId="2" xfId="1" applyFont="1" applyFill="1" applyBorder="1" applyAlignment="1">
      <alignment horizontal="center" vertical="center"/>
    </xf>
    <xf numFmtId="164" fontId="3" fillId="6" borderId="2" xfId="1" applyFont="1" applyFill="1" applyBorder="1" applyAlignment="1">
      <alignment horizontal="center" vertical="center"/>
    </xf>
    <xf numFmtId="164" fontId="3" fillId="15" borderId="2" xfId="1" applyFont="1" applyFill="1" applyBorder="1" applyAlignment="1">
      <alignment horizontal="center" vertical="center"/>
    </xf>
    <xf numFmtId="164" fontId="3" fillId="18" borderId="2" xfId="1" applyFont="1" applyFill="1" applyBorder="1" applyAlignment="1">
      <alignment horizontal="center" vertical="center"/>
    </xf>
    <xf numFmtId="164" fontId="3" fillId="0" borderId="2" xfId="1" applyFont="1" applyBorder="1" applyAlignment="1">
      <alignment horizontal="center" vertical="center"/>
    </xf>
    <xf numFmtId="0" fontId="2" fillId="4" borderId="17"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3" fillId="12" borderId="0" xfId="0" applyFont="1" applyFill="1" applyAlignment="1">
      <alignment horizontal="center" vertical="center" wrapText="1"/>
    </xf>
    <xf numFmtId="0" fontId="3" fillId="12" borderId="0" xfId="0" applyFont="1" applyFill="1" applyAlignment="1">
      <alignment horizontal="center" vertical="center"/>
    </xf>
    <xf numFmtId="0" fontId="4" fillId="9"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3" fillId="9" borderId="1" xfId="0" applyFont="1" applyFill="1" applyBorder="1" applyAlignment="1">
      <alignment horizontal="center" vertical="center"/>
    </xf>
    <xf numFmtId="15" fontId="32" fillId="0" borderId="0" xfId="0" applyNumberFormat="1" applyFont="1" applyAlignment="1">
      <alignment horizontal="center"/>
    </xf>
    <xf numFmtId="0" fontId="32" fillId="0" borderId="0" xfId="0" applyFont="1" applyAlignment="1">
      <alignment horizontal="center"/>
    </xf>
    <xf numFmtId="0" fontId="15" fillId="0" borderId="0" xfId="0" applyFont="1" applyAlignment="1">
      <alignment horizontal="center" vertical="center"/>
    </xf>
    <xf numFmtId="0" fontId="28" fillId="0" borderId="0" xfId="0" applyFont="1" applyAlignment="1">
      <alignment horizontal="center"/>
    </xf>
    <xf numFmtId="0" fontId="33" fillId="0" borderId="0" xfId="0" applyFont="1" applyAlignment="1">
      <alignment horizontal="center"/>
    </xf>
    <xf numFmtId="4" fontId="37" fillId="0" borderId="0" xfId="0" applyNumberFormat="1" applyFont="1" applyFill="1"/>
  </cellXfs>
  <cellStyles count="3">
    <cellStyle name="Hipervínculo" xfId="2" builtinId="8"/>
    <cellStyle name="Millares" xfId="1" builtinId="3"/>
    <cellStyle name="Normal" xfId="0" builtinId="0"/>
  </cellStyles>
  <dxfs count="964">
    <dxf>
      <numFmt numFmtId="0" formatCode="General"/>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0" formatCode="General"/>
      <fill>
        <patternFill patternType="none">
          <fgColor rgb="FFD9E2F3"/>
          <bgColor auto="1"/>
        </patternFill>
      </fill>
      <alignment horizontal="general"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0" formatCode="General"/>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0" formatCode="General"/>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rgb="FFD9E2F3"/>
          <bgColor auto="1"/>
        </patternFill>
      </fill>
      <alignment horizontal="general" vertical="center" textRotation="0" wrapText="1" indent="0" justifyLastLine="0" shrinkToFit="0" readingOrder="0"/>
    </dxf>
    <dxf>
      <font>
        <b/>
        <i val="0"/>
        <strike val="0"/>
        <condense val="0"/>
        <extend val="0"/>
        <outline val="0"/>
        <shadow val="0"/>
        <u val="none"/>
        <vertAlign val="baseline"/>
        <sz val="11"/>
        <color theme="1"/>
        <name val="Arial"/>
        <scheme val="none"/>
      </font>
      <fill>
        <patternFill patternType="none">
          <fgColor rgb="FFD9E2F3"/>
          <bgColor auto="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6" formatCode="#,##0.00_ ;\-#,##0.00\ "/>
    </dxf>
    <dxf>
      <numFmt numFmtId="166" formatCode="#,##0.00_ ;\-#,##0.00\ "/>
    </dxf>
    <dxf>
      <numFmt numFmtId="4" formatCode="#,##0.00"/>
    </dxf>
    <dxf>
      <numFmt numFmtId="0" formatCode="General"/>
    </dxf>
    <dxf>
      <numFmt numFmtId="0" formatCode="General"/>
    </dxf>
    <dxf>
      <numFmt numFmtId="0" formatCode="General"/>
    </dxf>
    <dxf>
      <numFmt numFmtId="30" formatCode="@"/>
    </dxf>
    <dxf>
      <numFmt numFmtId="166" formatCode="#,##0.00_ ;\-#,##0.00\ "/>
    </dxf>
    <dxf>
      <numFmt numFmtId="30" formatCode="@"/>
    </dxf>
    <dxf>
      <numFmt numFmtId="19" formatCode="dd/mm/yyyy"/>
    </dxf>
    <dxf>
      <font>
        <b/>
        <i val="0"/>
        <color rgb="FFFF0000"/>
      </font>
      <fill>
        <patternFill>
          <bgColor rgb="FFFFFF00"/>
        </patternFill>
      </fill>
    </dxf>
    <dxf>
      <font>
        <color theme="0"/>
      </font>
    </dxf>
    <dxf>
      <font>
        <color theme="0"/>
      </font>
    </dxf>
    <dxf>
      <font>
        <color theme="0"/>
      </font>
    </dxf>
    <dxf>
      <font>
        <color theme="0"/>
      </font>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font>
        <b/>
        <i/>
        <color rgb="FFFF0000"/>
      </font>
      <fill>
        <patternFill>
          <bgColor rgb="FFFFFF00"/>
        </patternFill>
      </fill>
    </dxf>
    <dxf>
      <font>
        <b/>
        <i/>
        <color theme="9" tint="-0.24994659260841701"/>
      </font>
      <fill>
        <patternFill>
          <bgColor theme="9" tint="0.79998168889431442"/>
        </patternFill>
      </fill>
    </dxf>
    <dxf>
      <font>
        <b/>
        <i/>
        <color rgb="FFFF0000"/>
      </font>
      <fill>
        <patternFill>
          <bgColor rgb="FFFFFF00"/>
        </patternFill>
      </fill>
    </dxf>
    <dxf>
      <alignment horizontal="center" readingOrder="0"/>
    </dxf>
    <dxf>
      <alignment horizontal="center" readingOrder="0"/>
    </dxf>
    <dxf>
      <numFmt numFmtId="166" formatCode="#,##0.00_ ;\-#,##0.00\ "/>
    </dxf>
    <dxf>
      <font>
        <b/>
      </font>
    </dxf>
    <dxf>
      <font>
        <b val="0"/>
      </font>
    </dxf>
    <dxf>
      <font>
        <b/>
      </font>
    </dxf>
    <dxf>
      <fill>
        <patternFill patternType="solid">
          <fgColor indexed="64"/>
          <bgColor theme="9" tint="0.59999389629810485"/>
        </patternFill>
      </fill>
    </dxf>
    <dxf>
      <fill>
        <patternFill patternType="solid">
          <fgColor indexed="64"/>
          <bgColor theme="9" tint="0.59999389629810485"/>
        </patternFill>
      </fill>
    </dxf>
    <dxf>
      <numFmt numFmtId="4" formatCode="#,##0.00"/>
    </dxf>
    <dxf>
      <alignment horizontal="center" readingOrder="0"/>
    </dxf>
    <dxf>
      <alignment horizontal="center"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9" tint="0.39997558519241921"/>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patternType="solid">
          <fgColor indexed="64"/>
          <bgColor rgb="FFFFFF00"/>
        </patternFill>
      </fill>
    </dxf>
    <dxf>
      <fill>
        <patternFill patternType="solid">
          <fgColor indexed="64"/>
          <bgColor rgb="FFFFFF00"/>
        </patternFill>
      </fill>
    </dxf>
    <dxf>
      <fill>
        <patternFill patternType="solid">
          <fgColor indexed="64"/>
          <bgColor rgb="FFFFFF00"/>
        </patternFill>
      </fill>
    </dxf>
    <dxf>
      <fill>
        <patternFill patternType="solid">
          <fgColor indexed="64"/>
          <bgColor rgb="FFFFFF00"/>
        </patternFill>
      </fill>
    </dxf>
    <dxf>
      <fill>
        <patternFill patternType="none"/>
      </fill>
    </dxf>
    <dxf>
      <fill>
        <patternFill patternType="none">
          <bgColor auto="1"/>
        </patternFill>
      </fill>
    </dxf>
    <dxf>
      <fill>
        <patternFill>
          <bgColor rgb="FF4C858E"/>
        </patternFill>
      </fill>
    </dxf>
    <dxf>
      <fill>
        <patternFill>
          <bgColor rgb="FF4C858E"/>
        </patternFill>
      </fill>
    </dxf>
    <dxf>
      <font>
        <color theme="0"/>
      </font>
    </dxf>
    <dxf>
      <font>
        <color theme="0"/>
      </font>
    </dxf>
    <dxf>
      <numFmt numFmtId="4" formatCode="#,##0.00"/>
    </dxf>
    <dxf>
      <alignment horizontal="center" readingOrder="0"/>
    </dxf>
    <dxf>
      <alignment horizontal="center" readingOrder="0"/>
    </dxf>
    <dxf>
      <fill>
        <patternFill>
          <bgColor auto="1"/>
        </patternFill>
      </fill>
    </dxf>
    <dxf>
      <fill>
        <patternFill>
          <bgColor auto="1"/>
        </patternFill>
      </fill>
    </dxf>
    <dxf>
      <fill>
        <patternFill>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9" tint="0.39997558519241921"/>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bgColor rgb="FF4C858E"/>
        </patternFill>
      </fill>
    </dxf>
    <dxf>
      <fill>
        <patternFill>
          <bgColor rgb="FF4C858E"/>
        </patternFill>
      </fill>
    </dxf>
    <dxf>
      <font>
        <color theme="0"/>
      </font>
    </dxf>
    <dxf>
      <font>
        <color theme="0"/>
      </font>
    </dxf>
    <dxf>
      <numFmt numFmtId="4" formatCode="#,##0.00"/>
    </dxf>
    <dxf>
      <alignment horizontal="center" readingOrder="0"/>
    </dxf>
    <dxf>
      <alignment horizontal="center" readingOrder="0"/>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bgColor rgb="FF4C858E"/>
        </patternFill>
      </fill>
    </dxf>
    <dxf>
      <fill>
        <patternFill>
          <bgColor rgb="FF4C858E"/>
        </patternFill>
      </fill>
    </dxf>
    <dxf>
      <fill>
        <patternFill>
          <bgColor rgb="FF4C858E"/>
        </patternFill>
      </fill>
    </dxf>
    <dxf>
      <fill>
        <patternFill>
          <bgColor rgb="FF4C858E"/>
        </patternFill>
      </fill>
    </dxf>
    <dxf>
      <font>
        <color theme="0"/>
      </font>
    </dxf>
    <dxf>
      <font>
        <color theme="0"/>
      </font>
    </dxf>
    <dxf>
      <font>
        <color theme="0"/>
      </font>
    </dxf>
    <dxf>
      <font>
        <color theme="0"/>
      </font>
    </dxf>
    <dxf>
      <numFmt numFmtId="4" formatCode="#,##0.00"/>
    </dxf>
    <dxf>
      <alignment horizontal="center" readingOrder="0"/>
    </dxf>
    <dxf>
      <alignment horizontal="center" readingOrder="0"/>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patternType="solid">
          <fgColor indexed="64"/>
          <bgColor theme="9" tint="0.59999389629810485"/>
        </patternFill>
      </fill>
    </dxf>
    <dxf>
      <fill>
        <patternFill patternType="solid">
          <fgColor indexed="64"/>
          <bgColor theme="9" tint="0.59999389629810485"/>
        </patternFill>
      </fill>
    </dxf>
    <dxf>
      <numFmt numFmtId="4" formatCode="#,##0.00"/>
    </dxf>
    <dxf>
      <numFmt numFmtId="4" formatCode="#,##0.00"/>
    </dxf>
    <dxf>
      <alignment horizontal="center" readingOrder="0"/>
    </dxf>
    <dxf>
      <fill>
        <patternFill patternType="solid">
          <bgColor theme="9" tint="0.79998168889431442"/>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ont>
        <b/>
      </font>
    </dxf>
    <dxf>
      <fill>
        <patternFill patternType="solid">
          <bgColor theme="9" tint="0.79998168889431442"/>
        </patternFill>
      </fill>
    </dxf>
    <dxf>
      <fill>
        <patternFill patternType="solid">
          <bgColor theme="9" tint="0.79998168889431442"/>
        </patternFill>
      </fill>
    </dxf>
    <dxf>
      <fill>
        <patternFill>
          <bgColor theme="9" tint="0.59999389629810485"/>
        </patternFill>
      </fill>
    </dxf>
    <dxf>
      <fill>
        <patternFill patternType="solid">
          <bgColor theme="9" tint="0.59999389629810485"/>
        </patternFill>
      </fill>
    </dxf>
    <dxf>
      <alignment horizontal="center" readingOrder="0"/>
    </dxf>
    <dxf>
      <fill>
        <patternFill patternType="solid">
          <bgColor theme="9" tint="0.39997558519241921"/>
        </patternFill>
      </fill>
    </dxf>
    <dxf>
      <fill>
        <patternFill>
          <bgColor theme="9" tint="0.59999389629810485"/>
        </patternFill>
      </fill>
    </dxf>
    <dxf>
      <numFmt numFmtId="4" formatCode="#,##0.00"/>
    </dxf>
    <dxf>
      <alignment horizontal="center"/>
    </dxf>
    <dxf>
      <alignment vertical="center" readingOrder="0"/>
    </dxf>
    <dxf>
      <alignment vertical="center" readingOrder="0"/>
    </dxf>
    <dxf>
      <alignment vertical="center" readingOrder="0"/>
    </dxf>
    <dxf>
      <alignment wrapText="1" readingOrder="0"/>
    </dxf>
    <dxf>
      <alignment wrapText="1" readingOrder="0"/>
    </dxf>
    <dxf>
      <alignment wrapText="1" readingOrder="0"/>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ont>
        <b/>
      </font>
    </dxf>
    <dxf>
      <fill>
        <patternFill patternType="solid">
          <bgColor theme="9" tint="0.59999389629810485"/>
        </patternFill>
      </fill>
    </dxf>
    <dxf>
      <alignment horizontal="center" readingOrder="0"/>
    </dxf>
    <dxf>
      <font>
        <b val="0"/>
      </font>
    </dxf>
    <dxf>
      <font>
        <b/>
      </font>
    </dxf>
    <dxf>
      <fill>
        <patternFill patternType="solid">
          <bgColor theme="9" tint="0.59999389629810485"/>
        </patternFill>
      </fill>
    </dxf>
    <dxf>
      <fill>
        <patternFill patternType="solid">
          <bgColor theme="9" tint="0.59999389629810485"/>
        </patternFill>
      </fill>
    </dxf>
    <dxf>
      <font>
        <b val="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patternType="solid">
          <fgColor indexed="64"/>
          <bgColor rgb="FFFFFF00"/>
        </patternFill>
      </fill>
    </dxf>
    <dxf>
      <fill>
        <patternFill patternType="solid">
          <fgColor indexed="64"/>
          <bgColor rgb="FFFFFF00"/>
        </patternFill>
      </fill>
    </dxf>
    <dxf>
      <fill>
        <patternFill patternType="solid">
          <fgColor indexed="64"/>
          <bgColor rgb="FFFFFF00"/>
        </patternFill>
      </fill>
    </dxf>
    <dxf>
      <fill>
        <patternFill patternType="none"/>
      </fill>
    </dxf>
    <dxf>
      <fill>
        <patternFill patternType="none">
          <bgColor auto="1"/>
        </patternFill>
      </fill>
    </dxf>
    <dxf>
      <fill>
        <patternFill>
          <bgColor rgb="FF4C858E"/>
        </patternFill>
      </fill>
    </dxf>
    <dxf>
      <fill>
        <patternFill>
          <bgColor rgb="FF4C858E"/>
        </patternFill>
      </fill>
    </dxf>
    <dxf>
      <fill>
        <patternFill>
          <bgColor rgb="FF4C858E"/>
        </patternFill>
      </fill>
    </dxf>
    <dxf>
      <font>
        <color theme="0"/>
      </font>
    </dxf>
    <dxf>
      <font>
        <color theme="0"/>
      </font>
    </dxf>
    <dxf>
      <font>
        <color theme="0"/>
      </font>
    </dxf>
    <dxf>
      <font>
        <color theme="0"/>
      </font>
      <fill>
        <patternFill patternType="solid">
          <fgColor indexed="64"/>
          <bgColor rgb="FF4C858E"/>
        </patternFill>
      </fill>
      <alignment horizontal="center" vertical="center" wrapText="1" readingOrder="0"/>
    </dxf>
    <dxf>
      <font>
        <color theme="0"/>
      </font>
      <fill>
        <patternFill patternType="solid">
          <fgColor indexed="64"/>
          <bgColor rgb="FF4C858E"/>
        </patternFill>
      </fill>
      <alignment horizontal="center" vertical="center" wrapText="1" readingOrder="0"/>
    </dxf>
    <dxf>
      <numFmt numFmtId="4" formatCode="#,##0.00"/>
    </dxf>
    <dxf>
      <numFmt numFmtId="4" formatCode="#,##0.00"/>
    </dxf>
    <dxf>
      <alignment horizontal="center" readingOrder="0"/>
    </dxf>
    <dxf>
      <fill>
        <patternFill patternType="solid">
          <bgColor theme="9" tint="0.79998168889431442"/>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ont>
        <b/>
      </font>
    </dxf>
    <dxf>
      <fill>
        <patternFill patternType="solid">
          <bgColor theme="9" tint="0.79998168889431442"/>
        </patternFill>
      </fill>
    </dxf>
    <dxf>
      <fill>
        <patternFill patternType="solid">
          <bgColor theme="9" tint="0.79998168889431442"/>
        </patternFill>
      </fill>
    </dxf>
    <dxf>
      <fill>
        <patternFill>
          <bgColor theme="9" tint="0.59999389629810485"/>
        </patternFill>
      </fill>
    </dxf>
    <dxf>
      <fill>
        <patternFill patternType="solid">
          <bgColor theme="9" tint="0.59999389629810485"/>
        </patternFill>
      </fill>
    </dxf>
    <dxf>
      <font>
        <b/>
      </font>
      <fill>
        <patternFill patternType="solid">
          <fgColor indexed="64"/>
          <bgColor theme="9" tint="0.59999389629810485"/>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4" formatCode="#,##0.00"/>
      <fill>
        <patternFill patternType="solid">
          <fgColor indexed="64"/>
          <bgColor theme="9" tint="0.59999389629810485"/>
        </patternFill>
      </fill>
      <alignment horizontal="center" readingOrder="0"/>
    </dxf>
    <dxf>
      <fill>
        <patternFill>
          <bgColor rgb="FF4C858E"/>
        </patternFill>
      </fill>
    </dxf>
    <dxf>
      <fill>
        <patternFill>
          <bgColor rgb="FF4C858E"/>
        </patternFill>
      </fill>
    </dxf>
    <dxf>
      <fill>
        <patternFill>
          <bgColor rgb="FF4C858E"/>
        </patternFill>
      </fill>
    </dxf>
    <dxf>
      <fill>
        <patternFill>
          <bgColor rgb="FF4C858E"/>
        </patternFill>
      </fill>
    </dxf>
    <dxf>
      <fill>
        <patternFill>
          <bgColor rgb="FF4C858E"/>
        </patternFill>
      </fill>
    </dxf>
    <dxf>
      <fill>
        <patternFill>
          <bgColor rgb="FF4C858E"/>
        </patternFill>
      </fill>
    </dxf>
    <dxf>
      <font>
        <color theme="0"/>
      </font>
    </dxf>
    <dxf>
      <font>
        <color theme="0"/>
      </font>
    </dxf>
    <dxf>
      <font>
        <color theme="0"/>
      </font>
    </dxf>
    <dxf>
      <font>
        <color theme="0"/>
      </font>
    </dxf>
    <dxf>
      <font>
        <color theme="0"/>
      </font>
    </dxf>
    <dxf>
      <font>
        <color theme="0"/>
      </font>
    </dxf>
    <dxf>
      <font>
        <color theme="0"/>
      </font>
      <numFmt numFmtId="4" formatCode="#,##0.00"/>
      <fill>
        <patternFill patternType="solid">
          <fgColor indexed="64"/>
          <bgColor rgb="FF4C858E"/>
        </patternFill>
      </fill>
      <alignment horizontal="center" readingOrder="0"/>
    </dxf>
    <dxf>
      <font>
        <color theme="0"/>
      </font>
      <numFmt numFmtId="4" formatCode="#,##0.00"/>
      <fill>
        <patternFill patternType="solid">
          <fgColor indexed="64"/>
          <bgColor rgb="FF4C858E"/>
        </patternFill>
      </fill>
      <alignment horizontal="center" readingOrder="0"/>
    </dxf>
    <dxf>
      <font>
        <color theme="0"/>
      </font>
      <numFmt numFmtId="4" formatCode="#,##0.00"/>
      <fill>
        <patternFill patternType="solid">
          <fgColor indexed="64"/>
          <bgColor rgb="FF4C858E"/>
        </patternFill>
      </fill>
      <alignment horizontal="center" readingOrder="0"/>
    </dxf>
    <dxf>
      <font>
        <color theme="0"/>
      </font>
      <numFmt numFmtId="4" formatCode="#,##0.00"/>
      <fill>
        <patternFill patternType="solid">
          <fgColor indexed="64"/>
          <bgColor rgb="FF4C858E"/>
        </patternFill>
      </fill>
      <alignment horizontal="center" readingOrder="0"/>
    </dxf>
    <dxf>
      <font>
        <color theme="0"/>
      </font>
      <numFmt numFmtId="4" formatCode="#,##0.00"/>
      <fill>
        <patternFill patternType="solid">
          <fgColor indexed="64"/>
          <bgColor rgb="FF4C858E"/>
        </patternFill>
      </fill>
      <alignment horizontal="center" readingOrder="0"/>
    </dxf>
    <dxf>
      <numFmt numFmtId="4" formatCode="#,##0.00"/>
    </dxf>
    <dxf>
      <numFmt numFmtId="4" formatCode="#,##0.00"/>
    </dxf>
    <dxf>
      <alignment horizontal="center" readingOrder="0"/>
    </dxf>
    <dxf>
      <fill>
        <patternFill patternType="solid">
          <bgColor theme="9" tint="0.79998168889431442"/>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ont>
        <b/>
      </font>
    </dxf>
  </dxfs>
  <tableStyles count="0" defaultTableStyle="TableStyleMedium2" defaultPivotStyle="PivotStyleLight16"/>
  <colors>
    <mruColors>
      <color rgb="FF4C858E"/>
      <color rgb="FFFFBDBD"/>
      <color rgb="FFE6DDFF"/>
      <color rgb="FFFEE6F4"/>
      <color rgb="FFFFE5FF"/>
      <color rgb="FFE1FFFF"/>
      <color rgb="FFE8FFD1"/>
      <color rgb="FF075D68"/>
      <color rgb="FFD6E4E6"/>
      <color rgb="FFFFFF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07/relationships/slicerCache" Target="slicerCaches/slicerCache1.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1.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07/relationships/slicerCache" Target="slicerCaches/slicerCache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07/relationships/slicerCache" Target="slicerCaches/slicerCache3.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07/relationships/slicerCache" Target="slicerCaches/slicerCache2.xml"/><Relationship Id="rId30" Type="http://schemas.openxmlformats.org/officeDocument/2006/relationships/theme" Target="theme/theme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Balance Comprobaci&#243;n Inicial'!A1"/></Relationships>
</file>

<file path=xl/drawings/_rels/drawing10.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hyperlink" Target="#'Libro Diario'!A1"/><Relationship Id="rId18" Type="http://schemas.openxmlformats.org/officeDocument/2006/relationships/image" Target="../media/image2.png"/><Relationship Id="rId3" Type="http://schemas.openxmlformats.org/officeDocument/2006/relationships/hyperlink" Target="#'Cuentas Individuales'!A1"/><Relationship Id="rId7" Type="http://schemas.openxmlformats.org/officeDocument/2006/relationships/hyperlink" Target="#'Balance de Situaci&#243;n'!A1"/><Relationship Id="rId12" Type="http://schemas.openxmlformats.org/officeDocument/2006/relationships/image" Target="../media/image8.png"/><Relationship Id="rId17" Type="http://schemas.openxmlformats.org/officeDocument/2006/relationships/image" Target="../media/image1.png"/><Relationship Id="rId2" Type="http://schemas.openxmlformats.org/officeDocument/2006/relationships/image" Target="../media/image3.png"/><Relationship Id="rId16" Type="http://schemas.openxmlformats.org/officeDocument/2006/relationships/image" Target="../media/image10.png"/><Relationship Id="rId1" Type="http://schemas.openxmlformats.org/officeDocument/2006/relationships/hyperlink" Target="#'Libro Mayor'!A1"/><Relationship Id="rId6" Type="http://schemas.openxmlformats.org/officeDocument/2006/relationships/image" Target="../media/image5.png"/><Relationship Id="rId11" Type="http://schemas.openxmlformats.org/officeDocument/2006/relationships/hyperlink" Target="#Ratios!A1"/><Relationship Id="rId5" Type="http://schemas.openxmlformats.org/officeDocument/2006/relationships/hyperlink" Target="#'Balance Comprobaci&#243;n'!A1"/><Relationship Id="rId15" Type="http://schemas.openxmlformats.org/officeDocument/2006/relationships/hyperlink" Target="#'Balance Comprobaci&#243;n Inicial'!A1"/><Relationship Id="rId10" Type="http://schemas.openxmlformats.org/officeDocument/2006/relationships/image" Target="../media/image7.png"/><Relationship Id="rId4" Type="http://schemas.openxmlformats.org/officeDocument/2006/relationships/image" Target="../media/image4.png"/><Relationship Id="rId9" Type="http://schemas.openxmlformats.org/officeDocument/2006/relationships/hyperlink" Target="#'Cuenta de PyG'!A1"/><Relationship Id="rId14" Type="http://schemas.openxmlformats.org/officeDocument/2006/relationships/image" Target="../media/image9.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hyperlink" Target="#'Libro Diario'!A1"/><Relationship Id="rId18" Type="http://schemas.openxmlformats.org/officeDocument/2006/relationships/image" Target="../media/image2.png"/><Relationship Id="rId3" Type="http://schemas.openxmlformats.org/officeDocument/2006/relationships/hyperlink" Target="#'Cuentas Individuales'!A1"/><Relationship Id="rId7" Type="http://schemas.openxmlformats.org/officeDocument/2006/relationships/hyperlink" Target="#'Balance de Situaci&#243;n'!A1"/><Relationship Id="rId12" Type="http://schemas.openxmlformats.org/officeDocument/2006/relationships/image" Target="../media/image8.png"/><Relationship Id="rId17" Type="http://schemas.openxmlformats.org/officeDocument/2006/relationships/image" Target="../media/image1.png"/><Relationship Id="rId2" Type="http://schemas.openxmlformats.org/officeDocument/2006/relationships/image" Target="../media/image3.png"/><Relationship Id="rId16" Type="http://schemas.openxmlformats.org/officeDocument/2006/relationships/image" Target="../media/image10.png"/><Relationship Id="rId1" Type="http://schemas.openxmlformats.org/officeDocument/2006/relationships/hyperlink" Target="#'Libro Mayor'!A1"/><Relationship Id="rId6" Type="http://schemas.openxmlformats.org/officeDocument/2006/relationships/image" Target="../media/image5.png"/><Relationship Id="rId11" Type="http://schemas.openxmlformats.org/officeDocument/2006/relationships/hyperlink" Target="#Ratios!A1"/><Relationship Id="rId5" Type="http://schemas.openxmlformats.org/officeDocument/2006/relationships/hyperlink" Target="#'Balance Comprobaci&#243;n'!A1"/><Relationship Id="rId15" Type="http://schemas.openxmlformats.org/officeDocument/2006/relationships/hyperlink" Target="#'Balance Comprobaci&#243;n Inicial'!A1"/><Relationship Id="rId10" Type="http://schemas.openxmlformats.org/officeDocument/2006/relationships/image" Target="../media/image7.png"/><Relationship Id="rId4" Type="http://schemas.openxmlformats.org/officeDocument/2006/relationships/image" Target="../media/image4.png"/><Relationship Id="rId9" Type="http://schemas.openxmlformats.org/officeDocument/2006/relationships/hyperlink" Target="#'Cuenta de PyG'!A1"/><Relationship Id="rId14" Type="http://schemas.openxmlformats.org/officeDocument/2006/relationships/image" Target="../media/image9.png"/></Relationships>
</file>

<file path=xl/drawings/_rels/drawing2.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hyperlink" Target="#'Libro Diario'!A1"/><Relationship Id="rId18" Type="http://schemas.openxmlformats.org/officeDocument/2006/relationships/image" Target="../media/image2.png"/><Relationship Id="rId3" Type="http://schemas.openxmlformats.org/officeDocument/2006/relationships/hyperlink" Target="#'Cuentas Individuales'!A1"/><Relationship Id="rId7" Type="http://schemas.openxmlformats.org/officeDocument/2006/relationships/hyperlink" Target="#'Balance de Situaci&#243;n'!A1"/><Relationship Id="rId12" Type="http://schemas.openxmlformats.org/officeDocument/2006/relationships/image" Target="../media/image8.png"/><Relationship Id="rId17" Type="http://schemas.openxmlformats.org/officeDocument/2006/relationships/image" Target="../media/image1.png"/><Relationship Id="rId2" Type="http://schemas.openxmlformats.org/officeDocument/2006/relationships/image" Target="../media/image3.png"/><Relationship Id="rId16" Type="http://schemas.openxmlformats.org/officeDocument/2006/relationships/image" Target="../media/image10.png"/><Relationship Id="rId1" Type="http://schemas.openxmlformats.org/officeDocument/2006/relationships/hyperlink" Target="#'Libro Mayor'!A1"/><Relationship Id="rId6" Type="http://schemas.openxmlformats.org/officeDocument/2006/relationships/image" Target="../media/image5.png"/><Relationship Id="rId11" Type="http://schemas.openxmlformats.org/officeDocument/2006/relationships/hyperlink" Target="#Ratios!A1"/><Relationship Id="rId5" Type="http://schemas.openxmlformats.org/officeDocument/2006/relationships/hyperlink" Target="#'Balance Comprobaci&#243;n'!A1"/><Relationship Id="rId15" Type="http://schemas.openxmlformats.org/officeDocument/2006/relationships/hyperlink" Target="#'Balance Comprobaci&#243;n Inicial'!A1"/><Relationship Id="rId10" Type="http://schemas.openxmlformats.org/officeDocument/2006/relationships/image" Target="../media/image7.png"/><Relationship Id="rId4" Type="http://schemas.openxmlformats.org/officeDocument/2006/relationships/image" Target="../media/image4.png"/><Relationship Id="rId9" Type="http://schemas.openxmlformats.org/officeDocument/2006/relationships/hyperlink" Target="#'Cuenta de PyG'!A1"/><Relationship Id="rId14" Type="http://schemas.openxmlformats.org/officeDocument/2006/relationships/image" Target="../media/image9.png"/></Relationships>
</file>

<file path=xl/drawings/_rels/drawing3.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image" Target="../media/image9.png"/><Relationship Id="rId3" Type="http://schemas.openxmlformats.org/officeDocument/2006/relationships/hyperlink" Target="#'Cuentas Individuales'!A1"/><Relationship Id="rId7" Type="http://schemas.openxmlformats.org/officeDocument/2006/relationships/hyperlink" Target="#'Balance de Situaci&#243;n'!A1"/><Relationship Id="rId12" Type="http://schemas.openxmlformats.org/officeDocument/2006/relationships/hyperlink" Target="#'Libro Diario'!A1"/><Relationship Id="rId17" Type="http://schemas.openxmlformats.org/officeDocument/2006/relationships/image" Target="../media/image2.png"/><Relationship Id="rId2" Type="http://schemas.openxmlformats.org/officeDocument/2006/relationships/image" Target="../media/image3.png"/><Relationship Id="rId16" Type="http://schemas.openxmlformats.org/officeDocument/2006/relationships/image" Target="../media/image1.png"/><Relationship Id="rId1" Type="http://schemas.openxmlformats.org/officeDocument/2006/relationships/hyperlink" Target="#'Libro Mayor'!A1"/><Relationship Id="rId6" Type="http://schemas.openxmlformats.org/officeDocument/2006/relationships/image" Target="../media/image5.png"/><Relationship Id="rId11" Type="http://schemas.openxmlformats.org/officeDocument/2006/relationships/image" Target="../media/image8.png"/><Relationship Id="rId5" Type="http://schemas.openxmlformats.org/officeDocument/2006/relationships/hyperlink" Target="#'Balance Comprobaci&#243;n'!A1"/><Relationship Id="rId15" Type="http://schemas.openxmlformats.org/officeDocument/2006/relationships/image" Target="../media/image10.png"/><Relationship Id="rId10" Type="http://schemas.openxmlformats.org/officeDocument/2006/relationships/image" Target="../media/image7.png"/><Relationship Id="rId4" Type="http://schemas.openxmlformats.org/officeDocument/2006/relationships/image" Target="../media/image4.png"/><Relationship Id="rId9" Type="http://schemas.openxmlformats.org/officeDocument/2006/relationships/hyperlink" Target="#'Cuenta de PyG'!A1"/><Relationship Id="rId14" Type="http://schemas.openxmlformats.org/officeDocument/2006/relationships/hyperlink" Target="#'Balance Comprobaci&#243;n Inicial'!A1"/></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hyperlink" Target="#'Libro Diario'!A1"/><Relationship Id="rId18" Type="http://schemas.openxmlformats.org/officeDocument/2006/relationships/image" Target="../media/image2.png"/><Relationship Id="rId3" Type="http://schemas.openxmlformats.org/officeDocument/2006/relationships/hyperlink" Target="#'Cuentas Individuales'!A1"/><Relationship Id="rId7" Type="http://schemas.openxmlformats.org/officeDocument/2006/relationships/hyperlink" Target="#'Balance de Situaci&#243;n'!A1"/><Relationship Id="rId12" Type="http://schemas.openxmlformats.org/officeDocument/2006/relationships/image" Target="../media/image8.png"/><Relationship Id="rId17" Type="http://schemas.openxmlformats.org/officeDocument/2006/relationships/image" Target="../media/image1.png"/><Relationship Id="rId2" Type="http://schemas.openxmlformats.org/officeDocument/2006/relationships/image" Target="../media/image3.png"/><Relationship Id="rId16" Type="http://schemas.openxmlformats.org/officeDocument/2006/relationships/image" Target="../media/image10.png"/><Relationship Id="rId1" Type="http://schemas.openxmlformats.org/officeDocument/2006/relationships/hyperlink" Target="#'Libro Mayor'!A1"/><Relationship Id="rId6" Type="http://schemas.openxmlformats.org/officeDocument/2006/relationships/image" Target="../media/image5.png"/><Relationship Id="rId11" Type="http://schemas.openxmlformats.org/officeDocument/2006/relationships/hyperlink" Target="#Ratios!A1"/><Relationship Id="rId5" Type="http://schemas.openxmlformats.org/officeDocument/2006/relationships/hyperlink" Target="#'Balance Comprobaci&#243;n'!A1"/><Relationship Id="rId15" Type="http://schemas.openxmlformats.org/officeDocument/2006/relationships/hyperlink" Target="#'Balance Comprobaci&#243;n Inicial'!A1"/><Relationship Id="rId10" Type="http://schemas.openxmlformats.org/officeDocument/2006/relationships/image" Target="../media/image7.png"/><Relationship Id="rId4" Type="http://schemas.openxmlformats.org/officeDocument/2006/relationships/image" Target="../media/image4.png"/><Relationship Id="rId9" Type="http://schemas.openxmlformats.org/officeDocument/2006/relationships/hyperlink" Target="#'Cuenta de PyG'!A1"/><Relationship Id="rId14" Type="http://schemas.openxmlformats.org/officeDocument/2006/relationships/image" Target="../media/image9.png"/></Relationships>
</file>

<file path=xl/drawings/_rels/drawing6.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hyperlink" Target="#'Libro Diario'!A1"/><Relationship Id="rId18" Type="http://schemas.openxmlformats.org/officeDocument/2006/relationships/image" Target="../media/image2.png"/><Relationship Id="rId3" Type="http://schemas.openxmlformats.org/officeDocument/2006/relationships/hyperlink" Target="#'Cuentas Individuales'!A1"/><Relationship Id="rId7" Type="http://schemas.openxmlformats.org/officeDocument/2006/relationships/hyperlink" Target="#'Balance de Situaci&#243;n'!A1"/><Relationship Id="rId12" Type="http://schemas.openxmlformats.org/officeDocument/2006/relationships/image" Target="../media/image8.png"/><Relationship Id="rId17" Type="http://schemas.openxmlformats.org/officeDocument/2006/relationships/image" Target="../media/image1.png"/><Relationship Id="rId2" Type="http://schemas.openxmlformats.org/officeDocument/2006/relationships/image" Target="../media/image3.png"/><Relationship Id="rId16" Type="http://schemas.openxmlformats.org/officeDocument/2006/relationships/image" Target="../media/image10.png"/><Relationship Id="rId1" Type="http://schemas.openxmlformats.org/officeDocument/2006/relationships/hyperlink" Target="#'Libro Mayor'!A1"/><Relationship Id="rId6" Type="http://schemas.openxmlformats.org/officeDocument/2006/relationships/image" Target="../media/image5.png"/><Relationship Id="rId11" Type="http://schemas.openxmlformats.org/officeDocument/2006/relationships/hyperlink" Target="#Ratios!A1"/><Relationship Id="rId5" Type="http://schemas.openxmlformats.org/officeDocument/2006/relationships/hyperlink" Target="#'Balance Comprobaci&#243;n'!A1"/><Relationship Id="rId15" Type="http://schemas.openxmlformats.org/officeDocument/2006/relationships/hyperlink" Target="#'Balance Comprobaci&#243;n Inicial'!A1"/><Relationship Id="rId10" Type="http://schemas.openxmlformats.org/officeDocument/2006/relationships/image" Target="../media/image7.png"/><Relationship Id="rId4" Type="http://schemas.openxmlformats.org/officeDocument/2006/relationships/image" Target="../media/image4.png"/><Relationship Id="rId9" Type="http://schemas.openxmlformats.org/officeDocument/2006/relationships/hyperlink" Target="#'Cuenta de PyG'!A1"/><Relationship Id="rId14" Type="http://schemas.openxmlformats.org/officeDocument/2006/relationships/image" Target="../media/image9.png"/></Relationships>
</file>

<file path=xl/drawings/_rels/drawing7.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hyperlink" Target="#'Libro Diario'!A1"/><Relationship Id="rId18" Type="http://schemas.openxmlformats.org/officeDocument/2006/relationships/image" Target="../media/image2.png"/><Relationship Id="rId3" Type="http://schemas.openxmlformats.org/officeDocument/2006/relationships/hyperlink" Target="#'Cuentas Individuales'!A1"/><Relationship Id="rId7" Type="http://schemas.openxmlformats.org/officeDocument/2006/relationships/hyperlink" Target="#'Balance de Situaci&#243;n'!A1"/><Relationship Id="rId12" Type="http://schemas.openxmlformats.org/officeDocument/2006/relationships/image" Target="../media/image8.png"/><Relationship Id="rId17" Type="http://schemas.openxmlformats.org/officeDocument/2006/relationships/image" Target="../media/image1.png"/><Relationship Id="rId2" Type="http://schemas.openxmlformats.org/officeDocument/2006/relationships/image" Target="../media/image3.png"/><Relationship Id="rId16" Type="http://schemas.openxmlformats.org/officeDocument/2006/relationships/image" Target="../media/image10.png"/><Relationship Id="rId1" Type="http://schemas.openxmlformats.org/officeDocument/2006/relationships/hyperlink" Target="#'Libro Mayor'!A1"/><Relationship Id="rId6" Type="http://schemas.openxmlformats.org/officeDocument/2006/relationships/image" Target="../media/image5.png"/><Relationship Id="rId11" Type="http://schemas.openxmlformats.org/officeDocument/2006/relationships/hyperlink" Target="#Ratios!A1"/><Relationship Id="rId5" Type="http://schemas.openxmlformats.org/officeDocument/2006/relationships/hyperlink" Target="#'Balance Comprobaci&#243;n'!A1"/><Relationship Id="rId15" Type="http://schemas.openxmlformats.org/officeDocument/2006/relationships/hyperlink" Target="#'Balance Comprobaci&#243;n Inicial'!A1"/><Relationship Id="rId10" Type="http://schemas.openxmlformats.org/officeDocument/2006/relationships/image" Target="../media/image7.png"/><Relationship Id="rId4" Type="http://schemas.openxmlformats.org/officeDocument/2006/relationships/image" Target="../media/image4.png"/><Relationship Id="rId9" Type="http://schemas.openxmlformats.org/officeDocument/2006/relationships/hyperlink" Target="#'Cuenta de PyG'!A1"/><Relationship Id="rId14"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hyperlink" Target="#'Libro Diario'!A1"/><Relationship Id="rId18" Type="http://schemas.openxmlformats.org/officeDocument/2006/relationships/image" Target="../media/image2.png"/><Relationship Id="rId3" Type="http://schemas.openxmlformats.org/officeDocument/2006/relationships/hyperlink" Target="#'Cuentas Individuales'!A1"/><Relationship Id="rId7" Type="http://schemas.openxmlformats.org/officeDocument/2006/relationships/hyperlink" Target="#'Balance de Situaci&#243;n'!A1"/><Relationship Id="rId12" Type="http://schemas.openxmlformats.org/officeDocument/2006/relationships/image" Target="../media/image8.png"/><Relationship Id="rId17" Type="http://schemas.openxmlformats.org/officeDocument/2006/relationships/image" Target="../media/image1.png"/><Relationship Id="rId2" Type="http://schemas.openxmlformats.org/officeDocument/2006/relationships/image" Target="../media/image3.png"/><Relationship Id="rId16" Type="http://schemas.openxmlformats.org/officeDocument/2006/relationships/image" Target="../media/image10.png"/><Relationship Id="rId1" Type="http://schemas.openxmlformats.org/officeDocument/2006/relationships/hyperlink" Target="#'Libro Mayor'!A1"/><Relationship Id="rId6" Type="http://schemas.openxmlformats.org/officeDocument/2006/relationships/image" Target="../media/image5.png"/><Relationship Id="rId11" Type="http://schemas.openxmlformats.org/officeDocument/2006/relationships/hyperlink" Target="#Ratios!A1"/><Relationship Id="rId5" Type="http://schemas.openxmlformats.org/officeDocument/2006/relationships/hyperlink" Target="#'Balance Comprobaci&#243;n'!A1"/><Relationship Id="rId15" Type="http://schemas.openxmlformats.org/officeDocument/2006/relationships/hyperlink" Target="#'Balance Comprobaci&#243;n Inicial'!A1"/><Relationship Id="rId10" Type="http://schemas.openxmlformats.org/officeDocument/2006/relationships/image" Target="../media/image7.png"/><Relationship Id="rId4" Type="http://schemas.openxmlformats.org/officeDocument/2006/relationships/image" Target="../media/image4.png"/><Relationship Id="rId9" Type="http://schemas.openxmlformats.org/officeDocument/2006/relationships/hyperlink" Target="#'Cuenta de PyG'!A1"/><Relationship Id="rId14"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6</xdr:col>
      <xdr:colOff>508000</xdr:colOff>
      <xdr:row>7</xdr:row>
      <xdr:rowOff>101600</xdr:rowOff>
    </xdr:from>
    <xdr:to>
      <xdr:col>9</xdr:col>
      <xdr:colOff>349250</xdr:colOff>
      <xdr:row>9</xdr:row>
      <xdr:rowOff>38100</xdr:rowOff>
    </xdr:to>
    <xdr:sp macro="" textlink="">
      <xdr:nvSpPr>
        <xdr:cNvPr id="8" name="Rectángulo 7">
          <a:hlinkClick xmlns:r="http://schemas.openxmlformats.org/officeDocument/2006/relationships" r:id="rId1"/>
          <a:extLst>
            <a:ext uri="{FF2B5EF4-FFF2-40B4-BE49-F238E27FC236}">
              <a16:creationId xmlns:a16="http://schemas.microsoft.com/office/drawing/2014/main" id="{00000000-0008-0000-0100-000008000000}"/>
            </a:ext>
            <a:ext uri="{147F2762-F138-4A5C-976F-8EAC2B608ADB}">
              <a16:predDERef xmlns:a16="http://schemas.microsoft.com/office/drawing/2014/main" pred="{00000000-0008-0000-0300-000005000000}"/>
            </a:ext>
          </a:extLst>
        </xdr:cNvPr>
        <xdr:cNvSpPr>
          <a:spLocks noChangeAspect="1"/>
        </xdr:cNvSpPr>
      </xdr:nvSpPr>
      <xdr:spPr>
        <a:xfrm>
          <a:off x="4387850" y="1352550"/>
          <a:ext cx="2108200" cy="292100"/>
        </a:xfrm>
        <a:prstGeom prst="rect">
          <a:avLst/>
        </a:prstGeom>
        <a:solidFill>
          <a:srgbClr val="D6E4E6"/>
        </a:solidFill>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s-AR" sz="1100" b="1"/>
            <a:t>Balance Comprobación Inicial</a:t>
          </a:r>
        </a:p>
      </xdr:txBody>
    </xdr:sp>
    <xdr:clientData/>
  </xdr:twoCellAnchor>
  <xdr:twoCellAnchor>
    <xdr:from>
      <xdr:col>1</xdr:col>
      <xdr:colOff>9525</xdr:colOff>
      <xdr:row>1</xdr:row>
      <xdr:rowOff>19050</xdr:rowOff>
    </xdr:from>
    <xdr:to>
      <xdr:col>14</xdr:col>
      <xdr:colOff>95250</xdr:colOff>
      <xdr:row>6</xdr:row>
      <xdr:rowOff>28575</xdr:rowOff>
    </xdr:to>
    <xdr:grpSp>
      <xdr:nvGrpSpPr>
        <xdr:cNvPr id="2" name="Grupo 1">
          <a:extLst>
            <a:ext uri="{FF2B5EF4-FFF2-40B4-BE49-F238E27FC236}">
              <a16:creationId xmlns:a16="http://schemas.microsoft.com/office/drawing/2014/main" id="{00000000-0008-0000-0100-000002000000}"/>
            </a:ext>
          </a:extLst>
        </xdr:cNvPr>
        <xdr:cNvGrpSpPr/>
      </xdr:nvGrpSpPr>
      <xdr:grpSpPr>
        <a:xfrm>
          <a:off x="104775" y="200025"/>
          <a:ext cx="10477500" cy="914400"/>
          <a:chOff x="104775" y="200025"/>
          <a:chExt cx="10477500" cy="914400"/>
        </a:xfrm>
      </xdr:grpSpPr>
      <xdr:sp macro="" textlink="">
        <xdr:nvSpPr>
          <xdr:cNvPr id="12" name="Rectángulo 11">
            <a:extLst>
              <a:ext uri="{FF2B5EF4-FFF2-40B4-BE49-F238E27FC236}">
                <a16:creationId xmlns:a16="http://schemas.microsoft.com/office/drawing/2014/main" id="{00000000-0008-0000-0100-00000C000000}"/>
              </a:ext>
              <a:ext uri="{147F2762-F138-4A5C-976F-8EAC2B608ADB}">
                <a16:predDERef xmlns:a16="http://schemas.microsoft.com/office/drawing/2014/main" pred="{00000000-0008-0000-0100-000008000000}"/>
              </a:ext>
            </a:extLst>
          </xdr:cNvPr>
          <xdr:cNvSpPr/>
        </xdr:nvSpPr>
        <xdr:spPr>
          <a:xfrm>
            <a:off x="104775" y="200025"/>
            <a:ext cx="10372725" cy="914400"/>
          </a:xfrm>
          <a:prstGeom prst="rect">
            <a:avLst/>
          </a:prstGeom>
          <a:solidFill>
            <a:srgbClr val="D6E4E6"/>
          </a:solidFill>
          <a:ln>
            <a:solidFill>
              <a:srgbClr val="075D6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sp macro="" textlink="">
        <xdr:nvSpPr>
          <xdr:cNvPr id="14" name="Rectángulo 13">
            <a:extLst>
              <a:ext uri="{FF2B5EF4-FFF2-40B4-BE49-F238E27FC236}">
                <a16:creationId xmlns:a16="http://schemas.microsoft.com/office/drawing/2014/main" id="{00000000-0008-0000-0100-00000E000000}"/>
              </a:ext>
              <a:ext uri="{147F2762-F138-4A5C-976F-8EAC2B608ADB}">
                <a16:predDERef xmlns:a16="http://schemas.microsoft.com/office/drawing/2014/main" pred="{00000000-0008-0000-0200-000003000000}"/>
              </a:ext>
            </a:extLst>
          </xdr:cNvPr>
          <xdr:cNvSpPr/>
        </xdr:nvSpPr>
        <xdr:spPr>
          <a:xfrm>
            <a:off x="2667000" y="247650"/>
            <a:ext cx="7915275"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600" b="1">
                <a:solidFill>
                  <a:sysClr val="windowText" lastClr="000000"/>
                </a:solidFill>
              </a:rPr>
              <a:t>Herramienta educativa para la</a:t>
            </a:r>
            <a:r>
              <a:rPr lang="es-AR" sz="1600" b="1" baseline="0">
                <a:solidFill>
                  <a:sysClr val="windowText" lastClr="000000"/>
                </a:solidFill>
              </a:rPr>
              <a:t> gestión contable en</a:t>
            </a:r>
          </a:p>
          <a:p>
            <a:pPr algn="ctr"/>
            <a:r>
              <a:rPr lang="es-AR" sz="1600" b="1" baseline="0">
                <a:solidFill>
                  <a:sysClr val="windowText" lastClr="000000"/>
                </a:solidFill>
              </a:rPr>
              <a:t>asignaturas de "Introducción a la Contabilidad" a nivel de Grado</a:t>
            </a:r>
          </a:p>
          <a:p>
            <a:pPr algn="ctr"/>
            <a:endParaRPr lang="es-AR" sz="1600" b="1" baseline="0">
              <a:solidFill>
                <a:sysClr val="windowText" lastClr="000000"/>
              </a:solidFill>
            </a:endParaRPr>
          </a:p>
        </xdr:txBody>
      </xdr:sp>
      <xdr:sp macro="" textlink="">
        <xdr:nvSpPr>
          <xdr:cNvPr id="15" name="Rectángulo 14">
            <a:extLst>
              <a:ext uri="{FF2B5EF4-FFF2-40B4-BE49-F238E27FC236}">
                <a16:creationId xmlns:a16="http://schemas.microsoft.com/office/drawing/2014/main" id="{00000000-0008-0000-0100-00000F000000}"/>
              </a:ext>
              <a:ext uri="{147F2762-F138-4A5C-976F-8EAC2B608ADB}">
                <a16:predDERef xmlns:a16="http://schemas.microsoft.com/office/drawing/2014/main" pred="{00000000-0008-0000-0100-00000E000000}"/>
              </a:ext>
            </a:extLst>
          </xdr:cNvPr>
          <xdr:cNvSpPr/>
        </xdr:nvSpPr>
        <xdr:spPr>
          <a:xfrm>
            <a:off x="4070350" y="800100"/>
            <a:ext cx="5057775" cy="2772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200" b="1">
                <a:solidFill>
                  <a:sysClr val="windowText" lastClr="000000"/>
                </a:solidFill>
              </a:rPr>
              <a:t>Aplicación al caso práctico "QUESERÍA LA GANADORA"</a:t>
            </a:r>
            <a:endParaRPr lang="es-AR" sz="1200">
              <a:solidFill>
                <a:sysClr val="windowText" lastClr="000000"/>
              </a:solidFill>
            </a:endParaRPr>
          </a:p>
        </xdr:txBody>
      </xdr:sp>
      <xdr:pic>
        <xdr:nvPicPr>
          <xdr:cNvPr id="16" name="Imagen 15">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7800" y="307975"/>
            <a:ext cx="2570435" cy="721590"/>
          </a:xfrm>
          <a:prstGeom prst="rect">
            <a:avLst/>
          </a:prstGeom>
          <a:noFill/>
        </xdr:spPr>
      </xdr:pic>
    </xdr:grpSp>
    <xdr:clientData/>
  </xdr:twoCellAnchor>
  <xdr:twoCellAnchor editAs="oneCell">
    <xdr:from>
      <xdr:col>12</xdr:col>
      <xdr:colOff>561976</xdr:colOff>
      <xdr:row>1</xdr:row>
      <xdr:rowOff>106517</xdr:rowOff>
    </xdr:from>
    <xdr:to>
      <xdr:col>13</xdr:col>
      <xdr:colOff>600076</xdr:colOff>
      <xdr:row>5</xdr:row>
      <xdr:rowOff>114014</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
        <a:stretch>
          <a:fillRect/>
        </a:stretch>
      </xdr:blipFill>
      <xdr:spPr>
        <a:xfrm>
          <a:off x="9601201" y="287492"/>
          <a:ext cx="762000" cy="73139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3303156</xdr:colOff>
      <xdr:row>4</xdr:row>
      <xdr:rowOff>108955</xdr:rowOff>
    </xdr:from>
    <xdr:to>
      <xdr:col>3</xdr:col>
      <xdr:colOff>167881</xdr:colOff>
      <xdr:row>6</xdr:row>
      <xdr:rowOff>54269</xdr:rowOff>
    </xdr:to>
    <xdr:grpSp>
      <xdr:nvGrpSpPr>
        <xdr:cNvPr id="61" name="Grupo 60">
          <a:hlinkClick xmlns:r="http://schemas.openxmlformats.org/officeDocument/2006/relationships" r:id="rId1"/>
          <a:extLst>
            <a:ext uri="{FF2B5EF4-FFF2-40B4-BE49-F238E27FC236}">
              <a16:creationId xmlns:a16="http://schemas.microsoft.com/office/drawing/2014/main" id="{00000000-0008-0000-0D00-00003D000000}"/>
            </a:ext>
          </a:extLst>
        </xdr:cNvPr>
        <xdr:cNvGrpSpPr>
          <a:grpSpLocks noChangeAspect="1"/>
        </xdr:cNvGrpSpPr>
      </xdr:nvGrpSpPr>
      <xdr:grpSpPr>
        <a:xfrm>
          <a:off x="3674631" y="832855"/>
          <a:ext cx="1436725" cy="307264"/>
          <a:chOff x="8559800" y="508000"/>
          <a:chExt cx="1809750" cy="298450"/>
        </a:xfrm>
      </xdr:grpSpPr>
      <xdr:sp macro="" textlink="">
        <xdr:nvSpPr>
          <xdr:cNvPr id="62" name="Rectángulo 61">
            <a:extLst>
              <a:ext uri="{FF2B5EF4-FFF2-40B4-BE49-F238E27FC236}">
                <a16:creationId xmlns:a16="http://schemas.microsoft.com/office/drawing/2014/main" id="{00000000-0008-0000-0D00-00003E000000}"/>
              </a:ext>
            </a:extLst>
          </xdr:cNvPr>
          <xdr:cNvSpPr/>
        </xdr:nvSpPr>
        <xdr:spPr>
          <a:xfrm>
            <a:off x="8559800" y="50800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Libro Mayor</a:t>
            </a:r>
            <a:endParaRPr lang="es-AR" sz="900" b="1">
              <a:latin typeface="Arial" panose="020B0604020202020204" pitchFamily="34" charset="0"/>
              <a:cs typeface="Arial" panose="020B0604020202020204" pitchFamily="34" charset="0"/>
            </a:endParaRPr>
          </a:p>
        </xdr:txBody>
      </xdr:sp>
      <xdr:pic>
        <xdr:nvPicPr>
          <xdr:cNvPr id="63" name="Imagen 62">
            <a:extLst>
              <a:ext uri="{FF2B5EF4-FFF2-40B4-BE49-F238E27FC236}">
                <a16:creationId xmlns:a16="http://schemas.microsoft.com/office/drawing/2014/main" id="{00000000-0008-0000-0D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636000" y="539750"/>
            <a:ext cx="222250" cy="222250"/>
          </a:xfrm>
          <a:prstGeom prst="rect">
            <a:avLst/>
          </a:prstGeom>
        </xdr:spPr>
      </xdr:pic>
    </xdr:grpSp>
    <xdr:clientData/>
  </xdr:twoCellAnchor>
  <xdr:twoCellAnchor>
    <xdr:from>
      <xdr:col>1</xdr:col>
      <xdr:colOff>1409700</xdr:colOff>
      <xdr:row>4</xdr:row>
      <xdr:rowOff>109130</xdr:rowOff>
    </xdr:from>
    <xdr:to>
      <xdr:col>1</xdr:col>
      <xdr:colOff>3124196</xdr:colOff>
      <xdr:row>6</xdr:row>
      <xdr:rowOff>57986</xdr:rowOff>
    </xdr:to>
    <xdr:grpSp>
      <xdr:nvGrpSpPr>
        <xdr:cNvPr id="64" name="Grupo 63">
          <a:hlinkClick xmlns:r="http://schemas.openxmlformats.org/officeDocument/2006/relationships" r:id="rId3"/>
          <a:extLst>
            <a:ext uri="{FF2B5EF4-FFF2-40B4-BE49-F238E27FC236}">
              <a16:creationId xmlns:a16="http://schemas.microsoft.com/office/drawing/2014/main" id="{00000000-0008-0000-0D00-000040000000}"/>
            </a:ext>
          </a:extLst>
        </xdr:cNvPr>
        <xdr:cNvGrpSpPr/>
      </xdr:nvGrpSpPr>
      <xdr:grpSpPr>
        <a:xfrm>
          <a:off x="1781175" y="833030"/>
          <a:ext cx="1714496" cy="310806"/>
          <a:chOff x="1316186" y="814566"/>
          <a:chExt cx="1714496" cy="304456"/>
        </a:xfrm>
      </xdr:grpSpPr>
      <xdr:sp macro="" textlink="">
        <xdr:nvSpPr>
          <xdr:cNvPr id="65" name="Rectángulo 64">
            <a:extLst>
              <a:ext uri="{FF2B5EF4-FFF2-40B4-BE49-F238E27FC236}">
                <a16:creationId xmlns:a16="http://schemas.microsoft.com/office/drawing/2014/main" id="{00000000-0008-0000-0D00-000041000000}"/>
              </a:ext>
            </a:extLst>
          </xdr:cNvPr>
          <xdr:cNvSpPr/>
        </xdr:nvSpPr>
        <xdr:spPr>
          <a:xfrm>
            <a:off x="1316186" y="814566"/>
            <a:ext cx="1714496" cy="30445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Cuentas Individuales</a:t>
            </a:r>
            <a:endParaRPr lang="es-AR" sz="900" b="1">
              <a:latin typeface="Arial" panose="020B0604020202020204" pitchFamily="34" charset="0"/>
              <a:cs typeface="Arial" panose="020B0604020202020204" pitchFamily="34" charset="0"/>
            </a:endParaRPr>
          </a:p>
        </xdr:txBody>
      </xdr:sp>
      <xdr:pic>
        <xdr:nvPicPr>
          <xdr:cNvPr id="66" name="Imagen 65">
            <a:extLst>
              <a:ext uri="{FF2B5EF4-FFF2-40B4-BE49-F238E27FC236}">
                <a16:creationId xmlns:a16="http://schemas.microsoft.com/office/drawing/2014/main" id="{00000000-0008-0000-0D00-000042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20748" y="859206"/>
            <a:ext cx="215059" cy="233200"/>
          </a:xfrm>
          <a:prstGeom prst="rect">
            <a:avLst/>
          </a:prstGeom>
        </xdr:spPr>
      </xdr:pic>
    </xdr:grpSp>
    <xdr:clientData/>
  </xdr:twoCellAnchor>
  <xdr:twoCellAnchor>
    <xdr:from>
      <xdr:col>1</xdr:col>
      <xdr:colOff>1417233</xdr:colOff>
      <xdr:row>6</xdr:row>
      <xdr:rowOff>146392</xdr:rowOff>
    </xdr:from>
    <xdr:to>
      <xdr:col>1</xdr:col>
      <xdr:colOff>3112650</xdr:colOff>
      <xdr:row>8</xdr:row>
      <xdr:rowOff>94012</xdr:rowOff>
    </xdr:to>
    <xdr:grpSp>
      <xdr:nvGrpSpPr>
        <xdr:cNvPr id="67" name="Grupo 66">
          <a:hlinkClick xmlns:r="http://schemas.openxmlformats.org/officeDocument/2006/relationships" r:id="rId5"/>
          <a:extLst>
            <a:ext uri="{FF2B5EF4-FFF2-40B4-BE49-F238E27FC236}">
              <a16:creationId xmlns:a16="http://schemas.microsoft.com/office/drawing/2014/main" id="{00000000-0008-0000-0D00-000043000000}"/>
            </a:ext>
          </a:extLst>
        </xdr:cNvPr>
        <xdr:cNvGrpSpPr/>
      </xdr:nvGrpSpPr>
      <xdr:grpSpPr>
        <a:xfrm>
          <a:off x="1788708" y="1232242"/>
          <a:ext cx="1695417" cy="309570"/>
          <a:chOff x="1323719" y="1207428"/>
          <a:chExt cx="1695417" cy="303220"/>
        </a:xfrm>
      </xdr:grpSpPr>
      <xdr:sp macro="" textlink="">
        <xdr:nvSpPr>
          <xdr:cNvPr id="68" name="Rectángulo 67">
            <a:extLst>
              <a:ext uri="{FF2B5EF4-FFF2-40B4-BE49-F238E27FC236}">
                <a16:creationId xmlns:a16="http://schemas.microsoft.com/office/drawing/2014/main" id="{00000000-0008-0000-0D00-000044000000}"/>
              </a:ext>
            </a:extLst>
          </xdr:cNvPr>
          <xdr:cNvSpPr/>
        </xdr:nvSpPr>
        <xdr:spPr>
          <a:xfrm>
            <a:off x="1323719" y="1207428"/>
            <a:ext cx="1695417"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Bce Comp. Trimestral</a:t>
            </a:r>
            <a:endParaRPr lang="es-AR" sz="900" b="1">
              <a:latin typeface="Arial" panose="020B0604020202020204" pitchFamily="34" charset="0"/>
              <a:cs typeface="Arial" panose="020B0604020202020204" pitchFamily="34" charset="0"/>
            </a:endParaRPr>
          </a:p>
        </xdr:txBody>
      </xdr:sp>
      <xdr:pic>
        <xdr:nvPicPr>
          <xdr:cNvPr id="69" name="Imagen 68">
            <a:extLst>
              <a:ext uri="{FF2B5EF4-FFF2-40B4-BE49-F238E27FC236}">
                <a16:creationId xmlns:a16="http://schemas.microsoft.com/office/drawing/2014/main" id="{00000000-0008-0000-0D00-000045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401304" y="1246137"/>
            <a:ext cx="202909" cy="219351"/>
          </a:xfrm>
          <a:prstGeom prst="rect">
            <a:avLst/>
          </a:prstGeom>
        </xdr:spPr>
      </xdr:pic>
    </xdr:grpSp>
    <xdr:clientData/>
  </xdr:twoCellAnchor>
  <xdr:twoCellAnchor>
    <xdr:from>
      <xdr:col>1</xdr:col>
      <xdr:colOff>3303156</xdr:colOff>
      <xdr:row>6</xdr:row>
      <xdr:rowOff>157916</xdr:rowOff>
    </xdr:from>
    <xdr:to>
      <xdr:col>3</xdr:col>
      <xdr:colOff>173396</xdr:colOff>
      <xdr:row>8</xdr:row>
      <xdr:rowOff>107194</xdr:rowOff>
    </xdr:to>
    <xdr:grpSp>
      <xdr:nvGrpSpPr>
        <xdr:cNvPr id="70" name="Grupo 69">
          <a:hlinkClick xmlns:r="http://schemas.openxmlformats.org/officeDocument/2006/relationships" r:id="rId7"/>
          <a:extLst>
            <a:ext uri="{FF2B5EF4-FFF2-40B4-BE49-F238E27FC236}">
              <a16:creationId xmlns:a16="http://schemas.microsoft.com/office/drawing/2014/main" id="{00000000-0008-0000-0D00-000046000000}"/>
            </a:ext>
          </a:extLst>
        </xdr:cNvPr>
        <xdr:cNvGrpSpPr>
          <a:grpSpLocks noChangeAspect="1"/>
        </xdr:cNvGrpSpPr>
      </xdr:nvGrpSpPr>
      <xdr:grpSpPr>
        <a:xfrm>
          <a:off x="3674631" y="1243766"/>
          <a:ext cx="1442240" cy="311228"/>
          <a:chOff x="8566150" y="1289050"/>
          <a:chExt cx="1809750" cy="295966"/>
        </a:xfrm>
      </xdr:grpSpPr>
      <xdr:sp macro="" textlink="">
        <xdr:nvSpPr>
          <xdr:cNvPr id="71" name="Rectángulo 70">
            <a:extLst>
              <a:ext uri="{FF2B5EF4-FFF2-40B4-BE49-F238E27FC236}">
                <a16:creationId xmlns:a16="http://schemas.microsoft.com/office/drawing/2014/main" id="{00000000-0008-0000-0D00-000047000000}"/>
              </a:ext>
            </a:extLst>
          </xdr:cNvPr>
          <xdr:cNvSpPr/>
        </xdr:nvSpPr>
        <xdr:spPr>
          <a:xfrm>
            <a:off x="8566150" y="1289050"/>
            <a:ext cx="1809750" cy="29596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Balance de Situación</a:t>
            </a:r>
            <a:endParaRPr lang="es-AR" sz="900" b="1">
              <a:latin typeface="Arial" panose="020B0604020202020204" pitchFamily="34" charset="0"/>
              <a:cs typeface="Arial" panose="020B0604020202020204" pitchFamily="34" charset="0"/>
            </a:endParaRPr>
          </a:p>
        </xdr:txBody>
      </xdr:sp>
      <xdr:pic>
        <xdr:nvPicPr>
          <xdr:cNvPr id="72" name="Imagen 71">
            <a:extLst>
              <a:ext uri="{FF2B5EF4-FFF2-40B4-BE49-F238E27FC236}">
                <a16:creationId xmlns:a16="http://schemas.microsoft.com/office/drawing/2014/main" id="{00000000-0008-0000-0D00-000048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629650" y="1314450"/>
            <a:ext cx="240969" cy="260349"/>
          </a:xfrm>
          <a:prstGeom prst="rect">
            <a:avLst/>
          </a:prstGeom>
        </xdr:spPr>
      </xdr:pic>
    </xdr:grpSp>
    <xdr:clientData/>
  </xdr:twoCellAnchor>
  <xdr:twoCellAnchor>
    <xdr:from>
      <xdr:col>3</xdr:col>
      <xdr:colOff>375855</xdr:colOff>
      <xdr:row>6</xdr:row>
      <xdr:rowOff>157567</xdr:rowOff>
    </xdr:from>
    <xdr:to>
      <xdr:col>4</xdr:col>
      <xdr:colOff>1522264</xdr:colOff>
      <xdr:row>8</xdr:row>
      <xdr:rowOff>104588</xdr:rowOff>
    </xdr:to>
    <xdr:grpSp>
      <xdr:nvGrpSpPr>
        <xdr:cNvPr id="73" name="Grupo 72">
          <a:hlinkClick xmlns:r="http://schemas.openxmlformats.org/officeDocument/2006/relationships" r:id="rId9"/>
          <a:extLst>
            <a:ext uri="{FF2B5EF4-FFF2-40B4-BE49-F238E27FC236}">
              <a16:creationId xmlns:a16="http://schemas.microsoft.com/office/drawing/2014/main" id="{00000000-0008-0000-0D00-000049000000}"/>
            </a:ext>
          </a:extLst>
        </xdr:cNvPr>
        <xdr:cNvGrpSpPr>
          <a:grpSpLocks noChangeAspect="1"/>
        </xdr:cNvGrpSpPr>
      </xdr:nvGrpSpPr>
      <xdr:grpSpPr>
        <a:xfrm>
          <a:off x="5319330" y="1243417"/>
          <a:ext cx="1698859" cy="308971"/>
          <a:chOff x="8559800" y="1695450"/>
          <a:chExt cx="1809750" cy="298450"/>
        </a:xfrm>
      </xdr:grpSpPr>
      <xdr:sp macro="" textlink="">
        <xdr:nvSpPr>
          <xdr:cNvPr id="74" name="Rectángulo 73">
            <a:extLst>
              <a:ext uri="{FF2B5EF4-FFF2-40B4-BE49-F238E27FC236}">
                <a16:creationId xmlns:a16="http://schemas.microsoft.com/office/drawing/2014/main" id="{00000000-0008-0000-0D00-00004A000000}"/>
              </a:ext>
            </a:extLst>
          </xdr:cNvPr>
          <xdr:cNvSpPr/>
        </xdr:nvSpPr>
        <xdr:spPr>
          <a:xfrm>
            <a:off x="8559800" y="169545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a:latin typeface="Arial" panose="020B0604020202020204" pitchFamily="34" charset="0"/>
                <a:cs typeface="Arial" panose="020B0604020202020204" pitchFamily="34" charset="0"/>
              </a:rPr>
              <a:t>Cuenta de</a:t>
            </a:r>
            <a:r>
              <a:rPr lang="es-AR" sz="900" b="1" baseline="0">
                <a:latin typeface="Arial" panose="020B0604020202020204" pitchFamily="34" charset="0"/>
                <a:cs typeface="Arial" panose="020B0604020202020204" pitchFamily="34" charset="0"/>
              </a:rPr>
              <a:t> PyG</a:t>
            </a:r>
            <a:endParaRPr lang="es-AR" sz="900" b="1">
              <a:latin typeface="Arial" panose="020B0604020202020204" pitchFamily="34" charset="0"/>
              <a:cs typeface="Arial" panose="020B0604020202020204" pitchFamily="34" charset="0"/>
            </a:endParaRPr>
          </a:p>
        </xdr:txBody>
      </xdr:sp>
      <xdr:pic>
        <xdr:nvPicPr>
          <xdr:cNvPr id="75" name="Imagen 74">
            <a:extLst>
              <a:ext uri="{FF2B5EF4-FFF2-40B4-BE49-F238E27FC236}">
                <a16:creationId xmlns:a16="http://schemas.microsoft.com/office/drawing/2014/main" id="{00000000-0008-0000-0D00-00004B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48700" y="1714500"/>
            <a:ext cx="226200" cy="226200"/>
          </a:xfrm>
          <a:prstGeom prst="rect">
            <a:avLst/>
          </a:prstGeom>
        </xdr:spPr>
      </xdr:pic>
    </xdr:grpSp>
    <xdr:clientData/>
  </xdr:twoCellAnchor>
  <xdr:twoCellAnchor>
    <xdr:from>
      <xdr:col>4</xdr:col>
      <xdr:colOff>1736634</xdr:colOff>
      <xdr:row>6</xdr:row>
      <xdr:rowOff>152976</xdr:rowOff>
    </xdr:from>
    <xdr:to>
      <xdr:col>5</xdr:col>
      <xdr:colOff>309828</xdr:colOff>
      <xdr:row>8</xdr:row>
      <xdr:rowOff>99776</xdr:rowOff>
    </xdr:to>
    <xdr:grpSp>
      <xdr:nvGrpSpPr>
        <xdr:cNvPr id="78" name="Grupo 77">
          <a:hlinkClick xmlns:r="http://schemas.openxmlformats.org/officeDocument/2006/relationships" r:id="rId11"/>
          <a:extLst>
            <a:ext uri="{FF2B5EF4-FFF2-40B4-BE49-F238E27FC236}">
              <a16:creationId xmlns:a16="http://schemas.microsoft.com/office/drawing/2014/main" id="{00000000-0008-0000-0D00-00004E000000}"/>
            </a:ext>
          </a:extLst>
        </xdr:cNvPr>
        <xdr:cNvGrpSpPr/>
      </xdr:nvGrpSpPr>
      <xdr:grpSpPr>
        <a:xfrm>
          <a:off x="7232559" y="1238826"/>
          <a:ext cx="1611669" cy="308750"/>
          <a:chOff x="5589555" y="1073022"/>
          <a:chExt cx="1836130" cy="310036"/>
        </a:xfrm>
      </xdr:grpSpPr>
      <xdr:sp macro="" textlink="">
        <xdr:nvSpPr>
          <xdr:cNvPr id="79" name="Rectángulo 78">
            <a:extLst>
              <a:ext uri="{FF2B5EF4-FFF2-40B4-BE49-F238E27FC236}">
                <a16:creationId xmlns:a16="http://schemas.microsoft.com/office/drawing/2014/main" id="{00000000-0008-0000-0D00-00004F000000}"/>
              </a:ext>
            </a:extLst>
          </xdr:cNvPr>
          <xdr:cNvSpPr>
            <a:spLocks noChangeAspect="1"/>
          </xdr:cNvSpPr>
        </xdr:nvSpPr>
        <xdr:spPr>
          <a:xfrm>
            <a:off x="5589555" y="1073022"/>
            <a:ext cx="1836130" cy="31003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Indicadores</a:t>
            </a:r>
            <a:endParaRPr lang="es-AR" sz="900" b="1">
              <a:latin typeface="Arial" panose="020B0604020202020204" pitchFamily="34" charset="0"/>
              <a:cs typeface="Arial" panose="020B0604020202020204" pitchFamily="34" charset="0"/>
            </a:endParaRPr>
          </a:p>
        </xdr:txBody>
      </xdr:sp>
      <xdr:pic>
        <xdr:nvPicPr>
          <xdr:cNvPr id="80" name="Imagen 79">
            <a:extLst>
              <a:ext uri="{FF2B5EF4-FFF2-40B4-BE49-F238E27FC236}">
                <a16:creationId xmlns:a16="http://schemas.microsoft.com/office/drawing/2014/main" id="{00000000-0008-0000-0D00-000050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646709" y="1079524"/>
            <a:ext cx="260368" cy="266590"/>
          </a:xfrm>
          <a:prstGeom prst="rect">
            <a:avLst/>
          </a:prstGeom>
        </xdr:spPr>
      </xdr:pic>
    </xdr:grpSp>
    <xdr:clientData/>
  </xdr:twoCellAnchor>
  <xdr:twoCellAnchor>
    <xdr:from>
      <xdr:col>3</xdr:col>
      <xdr:colOff>366769</xdr:colOff>
      <xdr:row>4</xdr:row>
      <xdr:rowOff>107950</xdr:rowOff>
    </xdr:from>
    <xdr:to>
      <xdr:col>4</xdr:col>
      <xdr:colOff>1528038</xdr:colOff>
      <xdr:row>6</xdr:row>
      <xdr:rowOff>54750</xdr:rowOff>
    </xdr:to>
    <xdr:grpSp>
      <xdr:nvGrpSpPr>
        <xdr:cNvPr id="2" name="Grupo 1">
          <a:hlinkClick xmlns:r="http://schemas.openxmlformats.org/officeDocument/2006/relationships" r:id="rId13"/>
          <a:extLst>
            <a:ext uri="{FF2B5EF4-FFF2-40B4-BE49-F238E27FC236}">
              <a16:creationId xmlns:a16="http://schemas.microsoft.com/office/drawing/2014/main" id="{00000000-0008-0000-0D00-000002000000}"/>
            </a:ext>
          </a:extLst>
        </xdr:cNvPr>
        <xdr:cNvGrpSpPr/>
      </xdr:nvGrpSpPr>
      <xdr:grpSpPr>
        <a:xfrm>
          <a:off x="5310244" y="831850"/>
          <a:ext cx="1713719" cy="308750"/>
          <a:chOff x="5542019" y="819150"/>
          <a:chExt cx="1739119" cy="302400"/>
        </a:xfrm>
      </xdr:grpSpPr>
      <xdr:sp macro="" textlink="">
        <xdr:nvSpPr>
          <xdr:cNvPr id="76" name="Rectángulo 75">
            <a:extLst>
              <a:ext uri="{FF2B5EF4-FFF2-40B4-BE49-F238E27FC236}">
                <a16:creationId xmlns:a16="http://schemas.microsoft.com/office/drawing/2014/main" id="{00000000-0008-0000-0D00-00004C000000}"/>
              </a:ext>
            </a:extLst>
          </xdr:cNvPr>
          <xdr:cNvSpPr>
            <a:spLocks noChangeAspect="1"/>
          </xdr:cNvSpPr>
        </xdr:nvSpPr>
        <xdr:spPr>
          <a:xfrm>
            <a:off x="5542019" y="819150"/>
            <a:ext cx="1739119" cy="30240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Libro Diario</a:t>
            </a:r>
            <a:endParaRPr lang="es-AR" sz="900" b="1">
              <a:latin typeface="Arial" panose="020B0604020202020204" pitchFamily="34" charset="0"/>
              <a:cs typeface="Arial" panose="020B0604020202020204" pitchFamily="34" charset="0"/>
            </a:endParaRPr>
          </a:p>
        </xdr:txBody>
      </xdr:sp>
      <xdr:pic>
        <xdr:nvPicPr>
          <xdr:cNvPr id="27" name="12 Imagen" descr="Hoja.PNG">
            <a:extLst>
              <a:ext uri="{FF2B5EF4-FFF2-40B4-BE49-F238E27FC236}">
                <a16:creationId xmlns:a16="http://schemas.microsoft.com/office/drawing/2014/main" id="{00000000-0008-0000-0D00-00001B000000}"/>
              </a:ext>
            </a:extLst>
          </xdr:cNvPr>
          <xdr:cNvPicPr>
            <a:picLocks noChangeAspect="1"/>
          </xdr:cNvPicPr>
        </xdr:nvPicPr>
        <xdr:blipFill>
          <a:blip xmlns:r="http://schemas.openxmlformats.org/officeDocument/2006/relationships" r:embed="rId14" cstate="print"/>
          <a:stretch>
            <a:fillRect/>
          </a:stretch>
        </xdr:blipFill>
        <xdr:spPr>
          <a:xfrm>
            <a:off x="5619750" y="850900"/>
            <a:ext cx="230481" cy="238248"/>
          </a:xfrm>
          <a:prstGeom prst="rect">
            <a:avLst/>
          </a:prstGeom>
        </xdr:spPr>
      </xdr:pic>
    </xdr:grpSp>
    <xdr:clientData/>
  </xdr:twoCellAnchor>
  <xdr:twoCellAnchor>
    <xdr:from>
      <xdr:col>4</xdr:col>
      <xdr:colOff>1728383</xdr:colOff>
      <xdr:row>4</xdr:row>
      <xdr:rowOff>123300</xdr:rowOff>
    </xdr:from>
    <xdr:to>
      <xdr:col>5</xdr:col>
      <xdr:colOff>301577</xdr:colOff>
      <xdr:row>6</xdr:row>
      <xdr:rowOff>70920</xdr:rowOff>
    </xdr:to>
    <xdr:grpSp>
      <xdr:nvGrpSpPr>
        <xdr:cNvPr id="4" name="Grupo 3">
          <a:hlinkClick xmlns:r="http://schemas.openxmlformats.org/officeDocument/2006/relationships" r:id="rId15"/>
          <a:extLst>
            <a:ext uri="{FF2B5EF4-FFF2-40B4-BE49-F238E27FC236}">
              <a16:creationId xmlns:a16="http://schemas.microsoft.com/office/drawing/2014/main" id="{00000000-0008-0000-0D00-000004000000}"/>
            </a:ext>
          </a:extLst>
        </xdr:cNvPr>
        <xdr:cNvGrpSpPr/>
      </xdr:nvGrpSpPr>
      <xdr:grpSpPr>
        <a:xfrm>
          <a:off x="7224308" y="847200"/>
          <a:ext cx="1611669" cy="309570"/>
          <a:chOff x="7481483" y="834500"/>
          <a:chExt cx="1754544" cy="303220"/>
        </a:xfrm>
      </xdr:grpSpPr>
      <xdr:sp macro="" textlink="">
        <xdr:nvSpPr>
          <xdr:cNvPr id="77" name="Rectángulo 76">
            <a:extLst>
              <a:ext uri="{FF2B5EF4-FFF2-40B4-BE49-F238E27FC236}">
                <a16:creationId xmlns:a16="http://schemas.microsoft.com/office/drawing/2014/main" id="{00000000-0008-0000-0D00-00004D000000}"/>
              </a:ext>
            </a:extLst>
          </xdr:cNvPr>
          <xdr:cNvSpPr/>
        </xdr:nvSpPr>
        <xdr:spPr>
          <a:xfrm>
            <a:off x="7481483" y="834500"/>
            <a:ext cx="1754544"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b="1">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Bal. Comp. Inicial</a:t>
            </a:r>
            <a:endParaRPr lang="es-AR" sz="900" b="1">
              <a:latin typeface="Arial" panose="020B0604020202020204" pitchFamily="34" charset="0"/>
              <a:cs typeface="Arial" panose="020B0604020202020204" pitchFamily="34" charset="0"/>
            </a:endParaRPr>
          </a:p>
        </xdr:txBody>
      </xdr:sp>
      <xdr:pic>
        <xdr:nvPicPr>
          <xdr:cNvPr id="29" name="17 Imagen" descr="Icono 1.PNG">
            <a:extLst>
              <a:ext uri="{FF2B5EF4-FFF2-40B4-BE49-F238E27FC236}">
                <a16:creationId xmlns:a16="http://schemas.microsoft.com/office/drawing/2014/main" id="{00000000-0008-0000-0D00-00001D000000}"/>
              </a:ext>
            </a:extLst>
          </xdr:cNvPr>
          <xdr:cNvPicPr>
            <a:picLocks noChangeAspect="1"/>
          </xdr:cNvPicPr>
        </xdr:nvPicPr>
        <xdr:blipFill>
          <a:blip xmlns:r="http://schemas.openxmlformats.org/officeDocument/2006/relationships" r:embed="rId16" cstate="print"/>
          <a:stretch>
            <a:fillRect/>
          </a:stretch>
        </xdr:blipFill>
        <xdr:spPr>
          <a:xfrm>
            <a:off x="7569200" y="857250"/>
            <a:ext cx="198143" cy="245289"/>
          </a:xfrm>
          <a:prstGeom prst="rect">
            <a:avLst/>
          </a:prstGeom>
        </xdr:spPr>
      </xdr:pic>
    </xdr:grpSp>
    <xdr:clientData/>
  </xdr:twoCellAnchor>
  <xdr:twoCellAnchor>
    <xdr:from>
      <xdr:col>1</xdr:col>
      <xdr:colOff>0</xdr:colOff>
      <xdr:row>0</xdr:row>
      <xdr:rowOff>85725</xdr:rowOff>
    </xdr:from>
    <xdr:to>
      <xdr:col>6</xdr:col>
      <xdr:colOff>114300</xdr:colOff>
      <xdr:row>4</xdr:row>
      <xdr:rowOff>41564</xdr:rowOff>
    </xdr:to>
    <xdr:grpSp>
      <xdr:nvGrpSpPr>
        <xdr:cNvPr id="36" name="Grupo 35">
          <a:extLst>
            <a:ext uri="{FF2B5EF4-FFF2-40B4-BE49-F238E27FC236}">
              <a16:creationId xmlns:a16="http://schemas.microsoft.com/office/drawing/2014/main" id="{00000000-0008-0000-0D00-000024000000}"/>
            </a:ext>
          </a:extLst>
        </xdr:cNvPr>
        <xdr:cNvGrpSpPr/>
      </xdr:nvGrpSpPr>
      <xdr:grpSpPr>
        <a:xfrm>
          <a:off x="371475" y="85725"/>
          <a:ext cx="9534525" cy="679739"/>
          <a:chOff x="104775" y="200025"/>
          <a:chExt cx="10477500" cy="914400"/>
        </a:xfrm>
      </xdr:grpSpPr>
      <xdr:sp macro="" textlink="">
        <xdr:nvSpPr>
          <xdr:cNvPr id="37" name="Rectángulo 36">
            <a:extLst>
              <a:ext uri="{FF2B5EF4-FFF2-40B4-BE49-F238E27FC236}">
                <a16:creationId xmlns:a16="http://schemas.microsoft.com/office/drawing/2014/main" id="{00000000-0008-0000-0D00-000025000000}"/>
              </a:ext>
              <a:ext uri="{147F2762-F138-4A5C-976F-8EAC2B608ADB}">
                <a16:predDERef xmlns:a16="http://schemas.microsoft.com/office/drawing/2014/main" pred="{00000000-0008-0000-0100-000008000000}"/>
              </a:ext>
            </a:extLst>
          </xdr:cNvPr>
          <xdr:cNvSpPr/>
        </xdr:nvSpPr>
        <xdr:spPr>
          <a:xfrm>
            <a:off x="104775" y="200025"/>
            <a:ext cx="10372725" cy="914400"/>
          </a:xfrm>
          <a:prstGeom prst="rect">
            <a:avLst/>
          </a:prstGeom>
          <a:solidFill>
            <a:srgbClr val="D6E4E6"/>
          </a:solidFill>
          <a:ln>
            <a:solidFill>
              <a:srgbClr val="075D6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sp macro="" textlink="">
        <xdr:nvSpPr>
          <xdr:cNvPr id="38" name="Rectángulo 37">
            <a:extLst>
              <a:ext uri="{FF2B5EF4-FFF2-40B4-BE49-F238E27FC236}">
                <a16:creationId xmlns:a16="http://schemas.microsoft.com/office/drawing/2014/main" id="{00000000-0008-0000-0D00-000026000000}"/>
              </a:ext>
              <a:ext uri="{147F2762-F138-4A5C-976F-8EAC2B608ADB}">
                <a16:predDERef xmlns:a16="http://schemas.microsoft.com/office/drawing/2014/main" pred="{00000000-0008-0000-0200-000003000000}"/>
              </a:ext>
            </a:extLst>
          </xdr:cNvPr>
          <xdr:cNvSpPr/>
        </xdr:nvSpPr>
        <xdr:spPr>
          <a:xfrm>
            <a:off x="2667000" y="247650"/>
            <a:ext cx="7915275"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200" b="1">
                <a:solidFill>
                  <a:sysClr val="windowText" lastClr="000000"/>
                </a:solidFill>
              </a:rPr>
              <a:t>Herramienta educativa para la</a:t>
            </a:r>
            <a:r>
              <a:rPr lang="es-AR" sz="1200" b="1" baseline="0">
                <a:solidFill>
                  <a:sysClr val="windowText" lastClr="000000"/>
                </a:solidFill>
              </a:rPr>
              <a:t> gestión contable en</a:t>
            </a:r>
          </a:p>
          <a:p>
            <a:pPr algn="ctr"/>
            <a:r>
              <a:rPr lang="es-AR" sz="1200" b="1" baseline="0">
                <a:solidFill>
                  <a:sysClr val="windowText" lastClr="000000"/>
                </a:solidFill>
              </a:rPr>
              <a:t>asignaturas de "Introducción a la Contabilidad" a nivel de Grado</a:t>
            </a:r>
          </a:p>
          <a:p>
            <a:pPr algn="ctr"/>
            <a:endParaRPr lang="es-AR" sz="1200" b="1" baseline="0">
              <a:solidFill>
                <a:sysClr val="windowText" lastClr="000000"/>
              </a:solidFill>
            </a:endParaRPr>
          </a:p>
        </xdr:txBody>
      </xdr:sp>
      <xdr:sp macro="" textlink="">
        <xdr:nvSpPr>
          <xdr:cNvPr id="39" name="Rectángulo 38">
            <a:extLst>
              <a:ext uri="{FF2B5EF4-FFF2-40B4-BE49-F238E27FC236}">
                <a16:creationId xmlns:a16="http://schemas.microsoft.com/office/drawing/2014/main" id="{00000000-0008-0000-0D00-000027000000}"/>
              </a:ext>
              <a:ext uri="{147F2762-F138-4A5C-976F-8EAC2B608ADB}">
                <a16:predDERef xmlns:a16="http://schemas.microsoft.com/office/drawing/2014/main" pred="{00000000-0008-0000-0100-00000E000000}"/>
              </a:ext>
            </a:extLst>
          </xdr:cNvPr>
          <xdr:cNvSpPr/>
        </xdr:nvSpPr>
        <xdr:spPr>
          <a:xfrm>
            <a:off x="4070350" y="771466"/>
            <a:ext cx="5057775" cy="277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050" b="1">
                <a:solidFill>
                  <a:sysClr val="windowText" lastClr="000000"/>
                </a:solidFill>
              </a:rPr>
              <a:t>Aplicación al caso práctico "QUESERÍA LA GANADORA"</a:t>
            </a:r>
            <a:endParaRPr lang="es-AR" sz="1050">
              <a:solidFill>
                <a:sysClr val="windowText" lastClr="000000"/>
              </a:solidFill>
            </a:endParaRPr>
          </a:p>
        </xdr:txBody>
      </xdr:sp>
      <xdr:pic>
        <xdr:nvPicPr>
          <xdr:cNvPr id="40" name="Imagen 39">
            <a:extLst>
              <a:ext uri="{FF2B5EF4-FFF2-40B4-BE49-F238E27FC236}">
                <a16:creationId xmlns:a16="http://schemas.microsoft.com/office/drawing/2014/main" id="{00000000-0008-0000-0D00-000028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77801" y="307975"/>
            <a:ext cx="2231031" cy="721591"/>
          </a:xfrm>
          <a:prstGeom prst="rect">
            <a:avLst/>
          </a:prstGeom>
          <a:noFill/>
        </xdr:spPr>
      </xdr:pic>
    </xdr:grpSp>
    <xdr:clientData/>
  </xdr:twoCellAnchor>
  <xdr:twoCellAnchor editAs="oneCell">
    <xdr:from>
      <xdr:col>5</xdr:col>
      <xdr:colOff>593618</xdr:colOff>
      <xdr:row>0</xdr:row>
      <xdr:rowOff>123825</xdr:rowOff>
    </xdr:from>
    <xdr:to>
      <xdr:col>5</xdr:col>
      <xdr:colOff>1228725</xdr:colOff>
      <xdr:row>4</xdr:row>
      <xdr:rowOff>9525</xdr:rowOff>
    </xdr:to>
    <xdr:pic>
      <xdr:nvPicPr>
        <xdr:cNvPr id="31" name="Imagen 30">
          <a:extLst>
            <a:ext uri="{FF2B5EF4-FFF2-40B4-BE49-F238E27FC236}">
              <a16:creationId xmlns:a16="http://schemas.microsoft.com/office/drawing/2014/main" id="{00000000-0008-0000-0D00-00001F000000}"/>
            </a:ext>
          </a:extLst>
        </xdr:cNvPr>
        <xdr:cNvPicPr>
          <a:picLocks noChangeAspect="1"/>
        </xdr:cNvPicPr>
      </xdr:nvPicPr>
      <xdr:blipFill>
        <a:blip xmlns:r="http://schemas.openxmlformats.org/officeDocument/2006/relationships" r:embed="rId18"/>
        <a:stretch>
          <a:fillRect/>
        </a:stretch>
      </xdr:blipFill>
      <xdr:spPr>
        <a:xfrm>
          <a:off x="9128018" y="123825"/>
          <a:ext cx="635107" cy="6096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14941</xdr:colOff>
      <xdr:row>0</xdr:row>
      <xdr:rowOff>14941</xdr:rowOff>
    </xdr:from>
    <xdr:to>
      <xdr:col>6</xdr:col>
      <xdr:colOff>59391</xdr:colOff>
      <xdr:row>3</xdr:row>
      <xdr:rowOff>173691</xdr:rowOff>
    </xdr:to>
    <xdr:grpSp>
      <xdr:nvGrpSpPr>
        <xdr:cNvPr id="2" name="Grupo 1">
          <a:extLst>
            <a:ext uri="{FF2B5EF4-FFF2-40B4-BE49-F238E27FC236}">
              <a16:creationId xmlns:a16="http://schemas.microsoft.com/office/drawing/2014/main" id="{00000000-0008-0000-0F00-000002000000}"/>
            </a:ext>
          </a:extLst>
        </xdr:cNvPr>
        <xdr:cNvGrpSpPr/>
      </xdr:nvGrpSpPr>
      <xdr:grpSpPr>
        <a:xfrm>
          <a:off x="14941" y="14941"/>
          <a:ext cx="8512175" cy="730250"/>
          <a:chOff x="0" y="38100"/>
          <a:chExt cx="8290934" cy="596901"/>
        </a:xfrm>
      </xdr:grpSpPr>
      <xdr:grpSp>
        <xdr:nvGrpSpPr>
          <xdr:cNvPr id="3" name="Grupo 2">
            <a:extLst>
              <a:ext uri="{FF2B5EF4-FFF2-40B4-BE49-F238E27FC236}">
                <a16:creationId xmlns:a16="http://schemas.microsoft.com/office/drawing/2014/main" id="{00000000-0008-0000-0F00-000003000000}"/>
              </a:ext>
            </a:extLst>
          </xdr:cNvPr>
          <xdr:cNvGrpSpPr/>
        </xdr:nvGrpSpPr>
        <xdr:grpSpPr>
          <a:xfrm>
            <a:off x="0" y="38100"/>
            <a:ext cx="8290934" cy="596901"/>
            <a:chOff x="0" y="43248"/>
            <a:chExt cx="8183933" cy="677548"/>
          </a:xfrm>
        </xdr:grpSpPr>
        <xdr:sp macro="" textlink="">
          <xdr:nvSpPr>
            <xdr:cNvPr id="5" name="Rectángulo 4">
              <a:extLst>
                <a:ext uri="{FF2B5EF4-FFF2-40B4-BE49-F238E27FC236}">
                  <a16:creationId xmlns:a16="http://schemas.microsoft.com/office/drawing/2014/main" id="{00000000-0008-0000-0F00-000005000000}"/>
                </a:ext>
              </a:extLst>
            </xdr:cNvPr>
            <xdr:cNvSpPr/>
          </xdr:nvSpPr>
          <xdr:spPr>
            <a:xfrm>
              <a:off x="15383" y="56805"/>
              <a:ext cx="8168550" cy="639693"/>
            </a:xfrm>
            <a:prstGeom prst="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pic>
          <xdr:nvPicPr>
            <xdr:cNvPr id="6" name="Imagen 5">
              <a:extLst>
                <a:ext uri="{FF2B5EF4-FFF2-40B4-BE49-F238E27FC236}">
                  <a16:creationId xmlns:a16="http://schemas.microsoft.com/office/drawing/2014/main" id="{00000000-0008-0000-0F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3248"/>
              <a:ext cx="2126003" cy="677548"/>
            </a:xfrm>
            <a:prstGeom prst="rect">
              <a:avLst/>
            </a:prstGeom>
            <a:noFill/>
          </xdr:spPr>
        </xdr:pic>
      </xdr:grpSp>
      <xdr:sp macro="" textlink="">
        <xdr:nvSpPr>
          <xdr:cNvPr id="4" name="Rectángulo 3">
            <a:extLst>
              <a:ext uri="{FF2B5EF4-FFF2-40B4-BE49-F238E27FC236}">
                <a16:creationId xmlns:a16="http://schemas.microsoft.com/office/drawing/2014/main" id="{00000000-0008-0000-0F00-000004000000}"/>
              </a:ext>
            </a:extLst>
          </xdr:cNvPr>
          <xdr:cNvSpPr/>
        </xdr:nvSpPr>
        <xdr:spPr>
          <a:xfrm>
            <a:off x="5607050" y="159792"/>
            <a:ext cx="2616200" cy="438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s-AR" sz="1100" b="1">
                <a:solidFill>
                  <a:sysClr val="windowText" lastClr="000000"/>
                </a:solidFill>
              </a:rPr>
              <a:t>Sistemas</a:t>
            </a:r>
            <a:r>
              <a:rPr lang="es-AR" sz="1100" b="1" baseline="0">
                <a:solidFill>
                  <a:sysClr val="windowText" lastClr="000000"/>
                </a:solidFill>
              </a:rPr>
              <a:t> de Información Contable</a:t>
            </a:r>
          </a:p>
          <a:p>
            <a:pPr algn="r"/>
            <a:r>
              <a:rPr lang="es-AR" sz="1100" baseline="0">
                <a:solidFill>
                  <a:sysClr val="windowText" lastClr="000000"/>
                </a:solidFill>
              </a:rPr>
              <a:t>Grado de Relaciones Internacionales</a:t>
            </a:r>
            <a:endParaRPr lang="es-AR" sz="1100">
              <a:solidFill>
                <a:sysClr val="windowText" lastClr="000000"/>
              </a:solidFill>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2449081</xdr:colOff>
      <xdr:row>3</xdr:row>
      <xdr:rowOff>151818</xdr:rowOff>
    </xdr:from>
    <xdr:to>
      <xdr:col>3</xdr:col>
      <xdr:colOff>439343</xdr:colOff>
      <xdr:row>4</xdr:row>
      <xdr:rowOff>182857</xdr:rowOff>
    </xdr:to>
    <xdr:grpSp>
      <xdr:nvGrpSpPr>
        <xdr:cNvPr id="100" name="Grupo 99">
          <a:hlinkClick xmlns:r="http://schemas.openxmlformats.org/officeDocument/2006/relationships" r:id="rId1"/>
          <a:extLst>
            <a:ext uri="{FF2B5EF4-FFF2-40B4-BE49-F238E27FC236}">
              <a16:creationId xmlns:a16="http://schemas.microsoft.com/office/drawing/2014/main" id="{00000000-0008-0000-1100-000064000000}"/>
            </a:ext>
          </a:extLst>
        </xdr:cNvPr>
        <xdr:cNvGrpSpPr>
          <a:grpSpLocks noChangeAspect="1"/>
        </xdr:cNvGrpSpPr>
      </xdr:nvGrpSpPr>
      <xdr:grpSpPr>
        <a:xfrm>
          <a:off x="5077981" y="951918"/>
          <a:ext cx="1485937" cy="297739"/>
          <a:chOff x="8559800" y="508000"/>
          <a:chExt cx="1809750" cy="298450"/>
        </a:xfrm>
      </xdr:grpSpPr>
      <xdr:sp macro="" textlink="">
        <xdr:nvSpPr>
          <xdr:cNvPr id="101" name="Rectángulo 100">
            <a:extLst>
              <a:ext uri="{FF2B5EF4-FFF2-40B4-BE49-F238E27FC236}">
                <a16:creationId xmlns:a16="http://schemas.microsoft.com/office/drawing/2014/main" id="{00000000-0008-0000-1100-000065000000}"/>
              </a:ext>
            </a:extLst>
          </xdr:cNvPr>
          <xdr:cNvSpPr/>
        </xdr:nvSpPr>
        <xdr:spPr>
          <a:xfrm>
            <a:off x="8559800" y="50800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Libro Mayor</a:t>
            </a:r>
            <a:endParaRPr lang="es-AR" sz="900" b="1">
              <a:latin typeface="Arial" panose="020B0604020202020204" pitchFamily="34" charset="0"/>
              <a:cs typeface="Arial" panose="020B0604020202020204" pitchFamily="34" charset="0"/>
            </a:endParaRPr>
          </a:p>
        </xdr:txBody>
      </xdr:sp>
      <xdr:pic>
        <xdr:nvPicPr>
          <xdr:cNvPr id="102" name="Imagen 101">
            <a:extLst>
              <a:ext uri="{FF2B5EF4-FFF2-40B4-BE49-F238E27FC236}">
                <a16:creationId xmlns:a16="http://schemas.microsoft.com/office/drawing/2014/main" id="{00000000-0008-0000-1100-00006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636000" y="539750"/>
            <a:ext cx="222250" cy="222250"/>
          </a:xfrm>
          <a:prstGeom prst="rect">
            <a:avLst/>
          </a:prstGeom>
        </xdr:spPr>
      </xdr:pic>
    </xdr:grpSp>
    <xdr:clientData/>
  </xdr:twoCellAnchor>
  <xdr:twoCellAnchor>
    <xdr:from>
      <xdr:col>2</xdr:col>
      <xdr:colOff>555625</xdr:colOff>
      <xdr:row>3</xdr:row>
      <xdr:rowOff>151993</xdr:rowOff>
    </xdr:from>
    <xdr:to>
      <xdr:col>2</xdr:col>
      <xdr:colOff>2270121</xdr:colOff>
      <xdr:row>4</xdr:row>
      <xdr:rowOff>186574</xdr:rowOff>
    </xdr:to>
    <xdr:grpSp>
      <xdr:nvGrpSpPr>
        <xdr:cNvPr id="103" name="Grupo 102">
          <a:hlinkClick xmlns:r="http://schemas.openxmlformats.org/officeDocument/2006/relationships" r:id="rId3"/>
          <a:extLst>
            <a:ext uri="{FF2B5EF4-FFF2-40B4-BE49-F238E27FC236}">
              <a16:creationId xmlns:a16="http://schemas.microsoft.com/office/drawing/2014/main" id="{00000000-0008-0000-1100-000067000000}"/>
            </a:ext>
          </a:extLst>
        </xdr:cNvPr>
        <xdr:cNvGrpSpPr/>
      </xdr:nvGrpSpPr>
      <xdr:grpSpPr>
        <a:xfrm>
          <a:off x="3184525" y="952093"/>
          <a:ext cx="1714496" cy="301281"/>
          <a:chOff x="1316186" y="814566"/>
          <a:chExt cx="1714496" cy="304456"/>
        </a:xfrm>
      </xdr:grpSpPr>
      <xdr:sp macro="" textlink="">
        <xdr:nvSpPr>
          <xdr:cNvPr id="104" name="Rectángulo 103">
            <a:extLst>
              <a:ext uri="{FF2B5EF4-FFF2-40B4-BE49-F238E27FC236}">
                <a16:creationId xmlns:a16="http://schemas.microsoft.com/office/drawing/2014/main" id="{00000000-0008-0000-1100-000068000000}"/>
              </a:ext>
            </a:extLst>
          </xdr:cNvPr>
          <xdr:cNvSpPr/>
        </xdr:nvSpPr>
        <xdr:spPr>
          <a:xfrm>
            <a:off x="1316186" y="814566"/>
            <a:ext cx="1714496" cy="30445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Cuentas Individuales</a:t>
            </a:r>
            <a:endParaRPr lang="es-AR" sz="900" b="1">
              <a:latin typeface="Arial" panose="020B0604020202020204" pitchFamily="34" charset="0"/>
              <a:cs typeface="Arial" panose="020B0604020202020204" pitchFamily="34" charset="0"/>
            </a:endParaRPr>
          </a:p>
        </xdr:txBody>
      </xdr:sp>
      <xdr:pic>
        <xdr:nvPicPr>
          <xdr:cNvPr id="105" name="Imagen 104">
            <a:extLst>
              <a:ext uri="{FF2B5EF4-FFF2-40B4-BE49-F238E27FC236}">
                <a16:creationId xmlns:a16="http://schemas.microsoft.com/office/drawing/2014/main" id="{00000000-0008-0000-1100-00006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20748" y="859206"/>
            <a:ext cx="215059" cy="233200"/>
          </a:xfrm>
          <a:prstGeom prst="rect">
            <a:avLst/>
          </a:prstGeom>
        </xdr:spPr>
      </xdr:pic>
    </xdr:grpSp>
    <xdr:clientData/>
  </xdr:twoCellAnchor>
  <xdr:twoCellAnchor>
    <xdr:from>
      <xdr:col>2</xdr:col>
      <xdr:colOff>563158</xdr:colOff>
      <xdr:row>5</xdr:row>
      <xdr:rowOff>5105</xdr:rowOff>
    </xdr:from>
    <xdr:to>
      <xdr:col>2</xdr:col>
      <xdr:colOff>2258575</xdr:colOff>
      <xdr:row>6</xdr:row>
      <xdr:rowOff>38450</xdr:rowOff>
    </xdr:to>
    <xdr:grpSp>
      <xdr:nvGrpSpPr>
        <xdr:cNvPr id="106" name="Grupo 105">
          <a:hlinkClick xmlns:r="http://schemas.openxmlformats.org/officeDocument/2006/relationships" r:id="rId5"/>
          <a:extLst>
            <a:ext uri="{FF2B5EF4-FFF2-40B4-BE49-F238E27FC236}">
              <a16:creationId xmlns:a16="http://schemas.microsoft.com/office/drawing/2014/main" id="{00000000-0008-0000-1100-00006A000000}"/>
            </a:ext>
          </a:extLst>
        </xdr:cNvPr>
        <xdr:cNvGrpSpPr/>
      </xdr:nvGrpSpPr>
      <xdr:grpSpPr>
        <a:xfrm>
          <a:off x="3192058" y="1338605"/>
          <a:ext cx="1695417" cy="300045"/>
          <a:chOff x="1323719" y="1207428"/>
          <a:chExt cx="1695417" cy="303220"/>
        </a:xfrm>
      </xdr:grpSpPr>
      <xdr:sp macro="" textlink="">
        <xdr:nvSpPr>
          <xdr:cNvPr id="107" name="Rectángulo 106">
            <a:extLst>
              <a:ext uri="{FF2B5EF4-FFF2-40B4-BE49-F238E27FC236}">
                <a16:creationId xmlns:a16="http://schemas.microsoft.com/office/drawing/2014/main" id="{00000000-0008-0000-1100-00006B000000}"/>
              </a:ext>
            </a:extLst>
          </xdr:cNvPr>
          <xdr:cNvSpPr/>
        </xdr:nvSpPr>
        <xdr:spPr>
          <a:xfrm>
            <a:off x="1323719" y="1207428"/>
            <a:ext cx="1695417"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Bce Comp. Trimestral</a:t>
            </a:r>
            <a:endParaRPr lang="es-AR" sz="900" b="1">
              <a:latin typeface="Arial" panose="020B0604020202020204" pitchFamily="34" charset="0"/>
              <a:cs typeface="Arial" panose="020B0604020202020204" pitchFamily="34" charset="0"/>
            </a:endParaRPr>
          </a:p>
        </xdr:txBody>
      </xdr:sp>
      <xdr:pic>
        <xdr:nvPicPr>
          <xdr:cNvPr id="108" name="Imagen 107">
            <a:extLst>
              <a:ext uri="{FF2B5EF4-FFF2-40B4-BE49-F238E27FC236}">
                <a16:creationId xmlns:a16="http://schemas.microsoft.com/office/drawing/2014/main" id="{00000000-0008-0000-1100-00006C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401304" y="1246137"/>
            <a:ext cx="202909" cy="219351"/>
          </a:xfrm>
          <a:prstGeom prst="rect">
            <a:avLst/>
          </a:prstGeom>
        </xdr:spPr>
      </xdr:pic>
    </xdr:grpSp>
    <xdr:clientData/>
  </xdr:twoCellAnchor>
  <xdr:twoCellAnchor>
    <xdr:from>
      <xdr:col>2</xdr:col>
      <xdr:colOff>2449081</xdr:colOff>
      <xdr:row>5</xdr:row>
      <xdr:rowOff>10279</xdr:rowOff>
    </xdr:from>
    <xdr:to>
      <xdr:col>3</xdr:col>
      <xdr:colOff>444858</xdr:colOff>
      <xdr:row>6</xdr:row>
      <xdr:rowOff>45282</xdr:rowOff>
    </xdr:to>
    <xdr:grpSp>
      <xdr:nvGrpSpPr>
        <xdr:cNvPr id="109" name="Grupo 108">
          <a:hlinkClick xmlns:r="http://schemas.openxmlformats.org/officeDocument/2006/relationships" r:id="rId7"/>
          <a:extLst>
            <a:ext uri="{FF2B5EF4-FFF2-40B4-BE49-F238E27FC236}">
              <a16:creationId xmlns:a16="http://schemas.microsoft.com/office/drawing/2014/main" id="{00000000-0008-0000-1100-00006D000000}"/>
            </a:ext>
          </a:extLst>
        </xdr:cNvPr>
        <xdr:cNvGrpSpPr>
          <a:grpSpLocks noChangeAspect="1"/>
        </xdr:cNvGrpSpPr>
      </xdr:nvGrpSpPr>
      <xdr:grpSpPr>
        <a:xfrm>
          <a:off x="5077981" y="1343779"/>
          <a:ext cx="1491452" cy="301703"/>
          <a:chOff x="8566150" y="1289050"/>
          <a:chExt cx="1809750" cy="295966"/>
        </a:xfrm>
      </xdr:grpSpPr>
      <xdr:sp macro="" textlink="">
        <xdr:nvSpPr>
          <xdr:cNvPr id="110" name="Rectángulo 109">
            <a:extLst>
              <a:ext uri="{FF2B5EF4-FFF2-40B4-BE49-F238E27FC236}">
                <a16:creationId xmlns:a16="http://schemas.microsoft.com/office/drawing/2014/main" id="{00000000-0008-0000-1100-00006E000000}"/>
              </a:ext>
            </a:extLst>
          </xdr:cNvPr>
          <xdr:cNvSpPr/>
        </xdr:nvSpPr>
        <xdr:spPr>
          <a:xfrm>
            <a:off x="8566150" y="1289050"/>
            <a:ext cx="1809750" cy="29596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Balance de Situación</a:t>
            </a:r>
            <a:endParaRPr lang="es-AR" sz="900" b="1">
              <a:latin typeface="Arial" panose="020B0604020202020204" pitchFamily="34" charset="0"/>
              <a:cs typeface="Arial" panose="020B0604020202020204" pitchFamily="34" charset="0"/>
            </a:endParaRPr>
          </a:p>
        </xdr:txBody>
      </xdr:sp>
      <xdr:pic>
        <xdr:nvPicPr>
          <xdr:cNvPr id="111" name="Imagen 110">
            <a:extLst>
              <a:ext uri="{FF2B5EF4-FFF2-40B4-BE49-F238E27FC236}">
                <a16:creationId xmlns:a16="http://schemas.microsoft.com/office/drawing/2014/main" id="{00000000-0008-0000-1100-00006F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629650" y="1314450"/>
            <a:ext cx="240969" cy="260349"/>
          </a:xfrm>
          <a:prstGeom prst="rect">
            <a:avLst/>
          </a:prstGeom>
        </xdr:spPr>
      </xdr:pic>
    </xdr:grpSp>
    <xdr:clientData/>
  </xdr:twoCellAnchor>
  <xdr:twoCellAnchor>
    <xdr:from>
      <xdr:col>3</xdr:col>
      <xdr:colOff>647317</xdr:colOff>
      <xdr:row>5</xdr:row>
      <xdr:rowOff>9930</xdr:rowOff>
    </xdr:from>
    <xdr:to>
      <xdr:col>5</xdr:col>
      <xdr:colOff>371326</xdr:colOff>
      <xdr:row>6</xdr:row>
      <xdr:rowOff>42676</xdr:rowOff>
    </xdr:to>
    <xdr:grpSp>
      <xdr:nvGrpSpPr>
        <xdr:cNvPr id="112" name="Grupo 111">
          <a:hlinkClick xmlns:r="http://schemas.openxmlformats.org/officeDocument/2006/relationships" r:id="rId9"/>
          <a:extLst>
            <a:ext uri="{FF2B5EF4-FFF2-40B4-BE49-F238E27FC236}">
              <a16:creationId xmlns:a16="http://schemas.microsoft.com/office/drawing/2014/main" id="{00000000-0008-0000-1100-000070000000}"/>
            </a:ext>
          </a:extLst>
        </xdr:cNvPr>
        <xdr:cNvGrpSpPr>
          <a:grpSpLocks noChangeAspect="1"/>
        </xdr:cNvGrpSpPr>
      </xdr:nvGrpSpPr>
      <xdr:grpSpPr>
        <a:xfrm>
          <a:off x="6771892" y="1343430"/>
          <a:ext cx="1638534" cy="299446"/>
          <a:chOff x="8559800" y="1695450"/>
          <a:chExt cx="1809750" cy="298450"/>
        </a:xfrm>
      </xdr:grpSpPr>
      <xdr:sp macro="" textlink="">
        <xdr:nvSpPr>
          <xdr:cNvPr id="113" name="Rectángulo 112">
            <a:extLst>
              <a:ext uri="{FF2B5EF4-FFF2-40B4-BE49-F238E27FC236}">
                <a16:creationId xmlns:a16="http://schemas.microsoft.com/office/drawing/2014/main" id="{00000000-0008-0000-1100-000071000000}"/>
              </a:ext>
            </a:extLst>
          </xdr:cNvPr>
          <xdr:cNvSpPr/>
        </xdr:nvSpPr>
        <xdr:spPr>
          <a:xfrm>
            <a:off x="8559800" y="169545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a:latin typeface="Arial" panose="020B0604020202020204" pitchFamily="34" charset="0"/>
                <a:cs typeface="Arial" panose="020B0604020202020204" pitchFamily="34" charset="0"/>
              </a:rPr>
              <a:t>Cuenta de</a:t>
            </a:r>
            <a:r>
              <a:rPr lang="es-AR" sz="900" b="1" baseline="0">
                <a:latin typeface="Arial" panose="020B0604020202020204" pitchFamily="34" charset="0"/>
                <a:cs typeface="Arial" panose="020B0604020202020204" pitchFamily="34" charset="0"/>
              </a:rPr>
              <a:t> PyG</a:t>
            </a:r>
            <a:endParaRPr lang="es-AR" sz="900" b="1">
              <a:latin typeface="Arial" panose="020B0604020202020204" pitchFamily="34" charset="0"/>
              <a:cs typeface="Arial" panose="020B0604020202020204" pitchFamily="34" charset="0"/>
            </a:endParaRPr>
          </a:p>
        </xdr:txBody>
      </xdr:sp>
      <xdr:pic>
        <xdr:nvPicPr>
          <xdr:cNvPr id="114" name="Imagen 113">
            <a:extLst>
              <a:ext uri="{FF2B5EF4-FFF2-40B4-BE49-F238E27FC236}">
                <a16:creationId xmlns:a16="http://schemas.microsoft.com/office/drawing/2014/main" id="{00000000-0008-0000-1100-000072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48700" y="1714500"/>
            <a:ext cx="226200" cy="226200"/>
          </a:xfrm>
          <a:prstGeom prst="rect">
            <a:avLst/>
          </a:prstGeom>
        </xdr:spPr>
      </xdr:pic>
    </xdr:grpSp>
    <xdr:clientData/>
  </xdr:twoCellAnchor>
  <xdr:twoCellAnchor>
    <xdr:from>
      <xdr:col>5</xdr:col>
      <xdr:colOff>585696</xdr:colOff>
      <xdr:row>5</xdr:row>
      <xdr:rowOff>5339</xdr:rowOff>
    </xdr:from>
    <xdr:to>
      <xdr:col>6</xdr:col>
      <xdr:colOff>1248040</xdr:colOff>
      <xdr:row>6</xdr:row>
      <xdr:rowOff>37864</xdr:rowOff>
    </xdr:to>
    <xdr:grpSp>
      <xdr:nvGrpSpPr>
        <xdr:cNvPr id="117" name="Grupo 116">
          <a:hlinkClick xmlns:r="http://schemas.openxmlformats.org/officeDocument/2006/relationships" r:id="rId11"/>
          <a:extLst>
            <a:ext uri="{FF2B5EF4-FFF2-40B4-BE49-F238E27FC236}">
              <a16:creationId xmlns:a16="http://schemas.microsoft.com/office/drawing/2014/main" id="{00000000-0008-0000-1100-000075000000}"/>
            </a:ext>
          </a:extLst>
        </xdr:cNvPr>
        <xdr:cNvGrpSpPr/>
      </xdr:nvGrpSpPr>
      <xdr:grpSpPr>
        <a:xfrm>
          <a:off x="8624796" y="1338839"/>
          <a:ext cx="1700569" cy="299225"/>
          <a:chOff x="5589555" y="1073022"/>
          <a:chExt cx="1836130" cy="310036"/>
        </a:xfrm>
      </xdr:grpSpPr>
      <xdr:sp macro="" textlink="">
        <xdr:nvSpPr>
          <xdr:cNvPr id="118" name="Rectángulo 117">
            <a:extLst>
              <a:ext uri="{FF2B5EF4-FFF2-40B4-BE49-F238E27FC236}">
                <a16:creationId xmlns:a16="http://schemas.microsoft.com/office/drawing/2014/main" id="{00000000-0008-0000-1100-000076000000}"/>
              </a:ext>
            </a:extLst>
          </xdr:cNvPr>
          <xdr:cNvSpPr>
            <a:spLocks noChangeAspect="1"/>
          </xdr:cNvSpPr>
        </xdr:nvSpPr>
        <xdr:spPr>
          <a:xfrm>
            <a:off x="5589555" y="1073022"/>
            <a:ext cx="1836130" cy="31003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Indicadores</a:t>
            </a:r>
            <a:endParaRPr lang="es-AR" sz="900" b="1">
              <a:latin typeface="Arial" panose="020B0604020202020204" pitchFamily="34" charset="0"/>
              <a:cs typeface="Arial" panose="020B0604020202020204" pitchFamily="34" charset="0"/>
            </a:endParaRPr>
          </a:p>
        </xdr:txBody>
      </xdr:sp>
      <xdr:pic>
        <xdr:nvPicPr>
          <xdr:cNvPr id="119" name="Imagen 118">
            <a:extLst>
              <a:ext uri="{FF2B5EF4-FFF2-40B4-BE49-F238E27FC236}">
                <a16:creationId xmlns:a16="http://schemas.microsoft.com/office/drawing/2014/main" id="{00000000-0008-0000-1100-000077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646709" y="1079524"/>
            <a:ext cx="260368" cy="266590"/>
          </a:xfrm>
          <a:prstGeom prst="rect">
            <a:avLst/>
          </a:prstGeom>
        </xdr:spPr>
      </xdr:pic>
    </xdr:grpSp>
    <xdr:clientData/>
  </xdr:twoCellAnchor>
  <xdr:twoCellAnchor>
    <xdr:from>
      <xdr:col>3</xdr:col>
      <xdr:colOff>638231</xdr:colOff>
      <xdr:row>3</xdr:row>
      <xdr:rowOff>150813</xdr:rowOff>
    </xdr:from>
    <xdr:to>
      <xdr:col>5</xdr:col>
      <xdr:colOff>377100</xdr:colOff>
      <xdr:row>4</xdr:row>
      <xdr:rowOff>183338</xdr:rowOff>
    </xdr:to>
    <xdr:grpSp>
      <xdr:nvGrpSpPr>
        <xdr:cNvPr id="2" name="Grupo 1">
          <a:hlinkClick xmlns:r="http://schemas.openxmlformats.org/officeDocument/2006/relationships" r:id="rId13"/>
          <a:extLst>
            <a:ext uri="{FF2B5EF4-FFF2-40B4-BE49-F238E27FC236}">
              <a16:creationId xmlns:a16="http://schemas.microsoft.com/office/drawing/2014/main" id="{00000000-0008-0000-1100-000002000000}"/>
            </a:ext>
          </a:extLst>
        </xdr:cNvPr>
        <xdr:cNvGrpSpPr/>
      </xdr:nvGrpSpPr>
      <xdr:grpSpPr>
        <a:xfrm>
          <a:off x="6762806" y="950913"/>
          <a:ext cx="1653394" cy="299225"/>
          <a:chOff x="7058081" y="950913"/>
          <a:chExt cx="1739119" cy="299225"/>
        </a:xfrm>
      </xdr:grpSpPr>
      <xdr:sp macro="" textlink="">
        <xdr:nvSpPr>
          <xdr:cNvPr id="115" name="Rectángulo 114">
            <a:extLst>
              <a:ext uri="{FF2B5EF4-FFF2-40B4-BE49-F238E27FC236}">
                <a16:creationId xmlns:a16="http://schemas.microsoft.com/office/drawing/2014/main" id="{00000000-0008-0000-1100-000073000000}"/>
              </a:ext>
            </a:extLst>
          </xdr:cNvPr>
          <xdr:cNvSpPr>
            <a:spLocks noChangeAspect="1"/>
          </xdr:cNvSpPr>
        </xdr:nvSpPr>
        <xdr:spPr>
          <a:xfrm>
            <a:off x="7058081" y="950913"/>
            <a:ext cx="1739119" cy="299225"/>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Libro Diario</a:t>
            </a:r>
            <a:endParaRPr lang="es-AR" sz="900" b="1">
              <a:latin typeface="Arial" panose="020B0604020202020204" pitchFamily="34" charset="0"/>
              <a:cs typeface="Arial" panose="020B0604020202020204" pitchFamily="34" charset="0"/>
            </a:endParaRPr>
          </a:p>
        </xdr:txBody>
      </xdr:sp>
      <xdr:pic>
        <xdr:nvPicPr>
          <xdr:cNvPr id="28" name="12 Imagen" descr="Hoja.PNG">
            <a:extLst>
              <a:ext uri="{FF2B5EF4-FFF2-40B4-BE49-F238E27FC236}">
                <a16:creationId xmlns:a16="http://schemas.microsoft.com/office/drawing/2014/main" id="{00000000-0008-0000-1100-00001C000000}"/>
              </a:ext>
            </a:extLst>
          </xdr:cNvPr>
          <xdr:cNvPicPr>
            <a:picLocks noChangeAspect="1"/>
          </xdr:cNvPicPr>
        </xdr:nvPicPr>
        <xdr:blipFill>
          <a:blip xmlns:r="http://schemas.openxmlformats.org/officeDocument/2006/relationships" r:embed="rId14" cstate="print"/>
          <a:stretch>
            <a:fillRect/>
          </a:stretch>
        </xdr:blipFill>
        <xdr:spPr>
          <a:xfrm>
            <a:off x="7150100" y="990600"/>
            <a:ext cx="230481" cy="238248"/>
          </a:xfrm>
          <a:prstGeom prst="rect">
            <a:avLst/>
          </a:prstGeom>
        </xdr:spPr>
      </xdr:pic>
    </xdr:grpSp>
    <xdr:clientData/>
  </xdr:twoCellAnchor>
  <xdr:twoCellAnchor>
    <xdr:from>
      <xdr:col>5</xdr:col>
      <xdr:colOff>577445</xdr:colOff>
      <xdr:row>3</xdr:row>
      <xdr:rowOff>166163</xdr:rowOff>
    </xdr:from>
    <xdr:to>
      <xdr:col>6</xdr:col>
      <xdr:colOff>1239789</xdr:colOff>
      <xdr:row>4</xdr:row>
      <xdr:rowOff>199508</xdr:rowOff>
    </xdr:to>
    <xdr:grpSp>
      <xdr:nvGrpSpPr>
        <xdr:cNvPr id="4" name="Grupo 3">
          <a:hlinkClick xmlns:r="http://schemas.openxmlformats.org/officeDocument/2006/relationships" r:id="rId15"/>
          <a:extLst>
            <a:ext uri="{FF2B5EF4-FFF2-40B4-BE49-F238E27FC236}">
              <a16:creationId xmlns:a16="http://schemas.microsoft.com/office/drawing/2014/main" id="{00000000-0008-0000-1100-000004000000}"/>
            </a:ext>
          </a:extLst>
        </xdr:cNvPr>
        <xdr:cNvGrpSpPr/>
      </xdr:nvGrpSpPr>
      <xdr:grpSpPr>
        <a:xfrm>
          <a:off x="8616545" y="966263"/>
          <a:ext cx="1700569" cy="300045"/>
          <a:chOff x="8997545" y="966263"/>
          <a:chExt cx="1748194" cy="300045"/>
        </a:xfrm>
      </xdr:grpSpPr>
      <xdr:sp macro="" textlink="">
        <xdr:nvSpPr>
          <xdr:cNvPr id="116" name="Rectángulo 115">
            <a:extLst>
              <a:ext uri="{FF2B5EF4-FFF2-40B4-BE49-F238E27FC236}">
                <a16:creationId xmlns:a16="http://schemas.microsoft.com/office/drawing/2014/main" id="{00000000-0008-0000-1100-000074000000}"/>
              </a:ext>
            </a:extLst>
          </xdr:cNvPr>
          <xdr:cNvSpPr/>
        </xdr:nvSpPr>
        <xdr:spPr>
          <a:xfrm>
            <a:off x="8997545" y="966263"/>
            <a:ext cx="1748194" cy="300045"/>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b="1">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Bal. Comp. Inicial</a:t>
            </a:r>
            <a:endParaRPr lang="es-AR" sz="900" b="1">
              <a:latin typeface="Arial" panose="020B0604020202020204" pitchFamily="34" charset="0"/>
              <a:cs typeface="Arial" panose="020B0604020202020204" pitchFamily="34" charset="0"/>
            </a:endParaRPr>
          </a:p>
        </xdr:txBody>
      </xdr:sp>
      <xdr:pic>
        <xdr:nvPicPr>
          <xdr:cNvPr id="31" name="17 Imagen" descr="Icono 1.PNG">
            <a:extLst>
              <a:ext uri="{FF2B5EF4-FFF2-40B4-BE49-F238E27FC236}">
                <a16:creationId xmlns:a16="http://schemas.microsoft.com/office/drawing/2014/main" id="{00000000-0008-0000-1100-00001F000000}"/>
              </a:ext>
            </a:extLst>
          </xdr:cNvPr>
          <xdr:cNvPicPr>
            <a:picLocks noChangeAspect="1"/>
          </xdr:cNvPicPr>
        </xdr:nvPicPr>
        <xdr:blipFill>
          <a:blip xmlns:r="http://schemas.openxmlformats.org/officeDocument/2006/relationships" r:embed="rId16" cstate="print"/>
          <a:stretch>
            <a:fillRect/>
          </a:stretch>
        </xdr:blipFill>
        <xdr:spPr>
          <a:xfrm>
            <a:off x="9086850" y="990600"/>
            <a:ext cx="198143" cy="245289"/>
          </a:xfrm>
          <a:prstGeom prst="rect">
            <a:avLst/>
          </a:prstGeom>
        </xdr:spPr>
      </xdr:pic>
    </xdr:grpSp>
    <xdr:clientData/>
  </xdr:twoCellAnchor>
  <xdr:twoCellAnchor>
    <xdr:from>
      <xdr:col>1</xdr:col>
      <xdr:colOff>22412</xdr:colOff>
      <xdr:row>0</xdr:row>
      <xdr:rowOff>89647</xdr:rowOff>
    </xdr:from>
    <xdr:to>
      <xdr:col>7</xdr:col>
      <xdr:colOff>190500</xdr:colOff>
      <xdr:row>3</xdr:row>
      <xdr:rowOff>78440</xdr:rowOff>
    </xdr:to>
    <xdr:grpSp>
      <xdr:nvGrpSpPr>
        <xdr:cNvPr id="32" name="Grupo 31">
          <a:extLst>
            <a:ext uri="{FF2B5EF4-FFF2-40B4-BE49-F238E27FC236}">
              <a16:creationId xmlns:a16="http://schemas.microsoft.com/office/drawing/2014/main" id="{00000000-0008-0000-1100-000020000000}"/>
            </a:ext>
          </a:extLst>
        </xdr:cNvPr>
        <xdr:cNvGrpSpPr/>
      </xdr:nvGrpSpPr>
      <xdr:grpSpPr>
        <a:xfrm>
          <a:off x="203387" y="89647"/>
          <a:ext cx="14531788" cy="788893"/>
          <a:chOff x="104775" y="200025"/>
          <a:chExt cx="10477500" cy="914400"/>
        </a:xfrm>
      </xdr:grpSpPr>
      <xdr:sp macro="" textlink="">
        <xdr:nvSpPr>
          <xdr:cNvPr id="33" name="Rectángulo 32">
            <a:extLst>
              <a:ext uri="{FF2B5EF4-FFF2-40B4-BE49-F238E27FC236}">
                <a16:creationId xmlns:a16="http://schemas.microsoft.com/office/drawing/2014/main" id="{00000000-0008-0000-1100-000021000000}"/>
              </a:ext>
              <a:ext uri="{147F2762-F138-4A5C-976F-8EAC2B608ADB}">
                <a16:predDERef xmlns:a16="http://schemas.microsoft.com/office/drawing/2014/main" pred="{00000000-0008-0000-0100-000008000000}"/>
              </a:ext>
            </a:extLst>
          </xdr:cNvPr>
          <xdr:cNvSpPr/>
        </xdr:nvSpPr>
        <xdr:spPr>
          <a:xfrm>
            <a:off x="104775" y="200025"/>
            <a:ext cx="10372725" cy="914400"/>
          </a:xfrm>
          <a:prstGeom prst="rect">
            <a:avLst/>
          </a:prstGeom>
          <a:solidFill>
            <a:srgbClr val="D6E4E6"/>
          </a:solidFill>
          <a:ln>
            <a:solidFill>
              <a:srgbClr val="075D6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sp macro="" textlink="">
        <xdr:nvSpPr>
          <xdr:cNvPr id="34" name="Rectángulo 33">
            <a:extLst>
              <a:ext uri="{FF2B5EF4-FFF2-40B4-BE49-F238E27FC236}">
                <a16:creationId xmlns:a16="http://schemas.microsoft.com/office/drawing/2014/main" id="{00000000-0008-0000-1100-000022000000}"/>
              </a:ext>
              <a:ext uri="{147F2762-F138-4A5C-976F-8EAC2B608ADB}">
                <a16:predDERef xmlns:a16="http://schemas.microsoft.com/office/drawing/2014/main" pred="{00000000-0008-0000-0200-000003000000}"/>
              </a:ext>
            </a:extLst>
          </xdr:cNvPr>
          <xdr:cNvSpPr/>
        </xdr:nvSpPr>
        <xdr:spPr>
          <a:xfrm>
            <a:off x="2667000" y="247650"/>
            <a:ext cx="7915275"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200" b="1">
                <a:solidFill>
                  <a:sysClr val="windowText" lastClr="000000"/>
                </a:solidFill>
              </a:rPr>
              <a:t>Herramienta educativa para la</a:t>
            </a:r>
            <a:r>
              <a:rPr lang="es-AR" sz="1200" b="1" baseline="0">
                <a:solidFill>
                  <a:sysClr val="windowText" lastClr="000000"/>
                </a:solidFill>
              </a:rPr>
              <a:t> gestión contable en</a:t>
            </a:r>
          </a:p>
          <a:p>
            <a:pPr algn="ctr"/>
            <a:r>
              <a:rPr lang="es-AR" sz="1200" b="1" baseline="0">
                <a:solidFill>
                  <a:sysClr val="windowText" lastClr="000000"/>
                </a:solidFill>
              </a:rPr>
              <a:t>asignaturas de "Introducción a la Contabilidad" a nivel de Grado</a:t>
            </a:r>
          </a:p>
          <a:p>
            <a:pPr algn="ctr"/>
            <a:endParaRPr lang="es-AR" sz="1200" b="1" baseline="0">
              <a:solidFill>
                <a:sysClr val="windowText" lastClr="000000"/>
              </a:solidFill>
            </a:endParaRPr>
          </a:p>
        </xdr:txBody>
      </xdr:sp>
      <xdr:sp macro="" textlink="">
        <xdr:nvSpPr>
          <xdr:cNvPr id="35" name="Rectángulo 34">
            <a:extLst>
              <a:ext uri="{FF2B5EF4-FFF2-40B4-BE49-F238E27FC236}">
                <a16:creationId xmlns:a16="http://schemas.microsoft.com/office/drawing/2014/main" id="{00000000-0008-0000-1100-000023000000}"/>
              </a:ext>
              <a:ext uri="{147F2762-F138-4A5C-976F-8EAC2B608ADB}">
                <a16:predDERef xmlns:a16="http://schemas.microsoft.com/office/drawing/2014/main" pred="{00000000-0008-0000-0100-00000E000000}"/>
              </a:ext>
            </a:extLst>
          </xdr:cNvPr>
          <xdr:cNvSpPr/>
        </xdr:nvSpPr>
        <xdr:spPr>
          <a:xfrm>
            <a:off x="4070350" y="771466"/>
            <a:ext cx="5057775" cy="277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050" b="1">
                <a:solidFill>
                  <a:sysClr val="windowText" lastClr="000000"/>
                </a:solidFill>
              </a:rPr>
              <a:t>Aplicación al caso práctico "QUESERÍA LA GANADORA"</a:t>
            </a:r>
            <a:endParaRPr lang="es-AR" sz="1050">
              <a:solidFill>
                <a:sysClr val="windowText" lastClr="000000"/>
              </a:solidFill>
            </a:endParaRPr>
          </a:p>
        </xdr:txBody>
      </xdr:sp>
      <xdr:pic>
        <xdr:nvPicPr>
          <xdr:cNvPr id="36" name="Imagen 35">
            <a:extLst>
              <a:ext uri="{FF2B5EF4-FFF2-40B4-BE49-F238E27FC236}">
                <a16:creationId xmlns:a16="http://schemas.microsoft.com/office/drawing/2014/main" id="{00000000-0008-0000-1100-000024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77801" y="307975"/>
            <a:ext cx="1834914" cy="721591"/>
          </a:xfrm>
          <a:prstGeom prst="rect">
            <a:avLst/>
          </a:prstGeom>
          <a:noFill/>
        </xdr:spPr>
      </xdr:pic>
    </xdr:grpSp>
    <xdr:clientData/>
  </xdr:twoCellAnchor>
  <xdr:twoCellAnchor editAs="oneCell">
    <xdr:from>
      <xdr:col>6</xdr:col>
      <xdr:colOff>4684060</xdr:colOff>
      <xdr:row>0</xdr:row>
      <xdr:rowOff>114310</xdr:rowOff>
    </xdr:from>
    <xdr:to>
      <xdr:col>6</xdr:col>
      <xdr:colOff>5446060</xdr:colOff>
      <xdr:row>3</xdr:row>
      <xdr:rowOff>38883</xdr:rowOff>
    </xdr:to>
    <xdr:pic>
      <xdr:nvPicPr>
        <xdr:cNvPr id="37" name="Imagen 36">
          <a:extLst>
            <a:ext uri="{FF2B5EF4-FFF2-40B4-BE49-F238E27FC236}">
              <a16:creationId xmlns:a16="http://schemas.microsoft.com/office/drawing/2014/main" id="{00000000-0008-0000-1100-000025000000}"/>
            </a:ext>
          </a:extLst>
        </xdr:cNvPr>
        <xdr:cNvPicPr>
          <a:picLocks noChangeAspect="1"/>
        </xdr:cNvPicPr>
      </xdr:nvPicPr>
      <xdr:blipFill>
        <a:blip xmlns:r="http://schemas.openxmlformats.org/officeDocument/2006/relationships" r:embed="rId18"/>
        <a:stretch>
          <a:fillRect/>
        </a:stretch>
      </xdr:blipFill>
      <xdr:spPr>
        <a:xfrm>
          <a:off x="13749619" y="114310"/>
          <a:ext cx="762000" cy="7313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906324</xdr:colOff>
      <xdr:row>3</xdr:row>
      <xdr:rowOff>92800</xdr:rowOff>
    </xdr:from>
    <xdr:to>
      <xdr:col>2</xdr:col>
      <xdr:colOff>2558949</xdr:colOff>
      <xdr:row>4</xdr:row>
      <xdr:rowOff>180123</xdr:rowOff>
    </xdr:to>
    <xdr:grpSp>
      <xdr:nvGrpSpPr>
        <xdr:cNvPr id="13" name="Grupo 12">
          <a:hlinkClick xmlns:r="http://schemas.openxmlformats.org/officeDocument/2006/relationships" r:id="rId1"/>
          <a:extLst>
            <a:ext uri="{FF2B5EF4-FFF2-40B4-BE49-F238E27FC236}">
              <a16:creationId xmlns:a16="http://schemas.microsoft.com/office/drawing/2014/main" id="{00000000-0008-0000-0200-00000D000000}"/>
            </a:ext>
          </a:extLst>
        </xdr:cNvPr>
        <xdr:cNvGrpSpPr>
          <a:grpSpLocks noChangeAspect="1"/>
        </xdr:cNvGrpSpPr>
      </xdr:nvGrpSpPr>
      <xdr:grpSpPr>
        <a:xfrm>
          <a:off x="3097074" y="807175"/>
          <a:ext cx="1652625" cy="296873"/>
          <a:chOff x="8559800" y="508000"/>
          <a:chExt cx="1809750" cy="298450"/>
        </a:xfrm>
      </xdr:grpSpPr>
      <xdr:sp macro="" textlink="">
        <xdr:nvSpPr>
          <xdr:cNvPr id="14" name="Rectángulo 13">
            <a:extLst>
              <a:ext uri="{FF2B5EF4-FFF2-40B4-BE49-F238E27FC236}">
                <a16:creationId xmlns:a16="http://schemas.microsoft.com/office/drawing/2014/main" id="{00000000-0008-0000-0200-00000E000000}"/>
              </a:ext>
            </a:extLst>
          </xdr:cNvPr>
          <xdr:cNvSpPr/>
        </xdr:nvSpPr>
        <xdr:spPr>
          <a:xfrm>
            <a:off x="8559800" y="50800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Libro Mayor</a:t>
            </a:r>
            <a:endParaRPr lang="es-AR" sz="900" b="1">
              <a:latin typeface="Arial" panose="020B0604020202020204" pitchFamily="34" charset="0"/>
              <a:cs typeface="Arial" panose="020B0604020202020204" pitchFamily="34" charset="0"/>
            </a:endParaRPr>
          </a:p>
        </xdr:txBody>
      </xdr:sp>
      <xdr:pic>
        <xdr:nvPicPr>
          <xdr:cNvPr id="15" name="Imagen 14">
            <a:extLst>
              <a:ext uri="{FF2B5EF4-FFF2-40B4-BE49-F238E27FC236}">
                <a16:creationId xmlns:a16="http://schemas.microsoft.com/office/drawing/2014/main" id="{00000000-0008-0000-02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636000" y="539750"/>
            <a:ext cx="222250" cy="222250"/>
          </a:xfrm>
          <a:prstGeom prst="rect">
            <a:avLst/>
          </a:prstGeom>
        </xdr:spPr>
      </xdr:pic>
    </xdr:grpSp>
    <xdr:clientData/>
  </xdr:twoCellAnchor>
  <xdr:twoCellAnchor>
    <xdr:from>
      <xdr:col>1</xdr:col>
      <xdr:colOff>666750</xdr:colOff>
      <xdr:row>3</xdr:row>
      <xdr:rowOff>95250</xdr:rowOff>
    </xdr:from>
    <xdr:to>
      <xdr:col>2</xdr:col>
      <xdr:colOff>723900</xdr:colOff>
      <xdr:row>4</xdr:row>
      <xdr:rowOff>180975</xdr:rowOff>
    </xdr:to>
    <xdr:grpSp>
      <xdr:nvGrpSpPr>
        <xdr:cNvPr id="7" name="Grupo 6">
          <a:hlinkClick xmlns:r="http://schemas.openxmlformats.org/officeDocument/2006/relationships" r:id="rId3"/>
          <a:extLst>
            <a:ext uri="{FF2B5EF4-FFF2-40B4-BE49-F238E27FC236}">
              <a16:creationId xmlns:a16="http://schemas.microsoft.com/office/drawing/2014/main" id="{00000000-0008-0000-0200-000007000000}"/>
            </a:ext>
            <a:ext uri="{147F2762-F138-4A5C-976F-8EAC2B608ADB}">
              <a16:predDERef xmlns:a16="http://schemas.microsoft.com/office/drawing/2014/main" pred="{00000000-0008-0000-0300-000016000000}"/>
            </a:ext>
          </a:extLst>
        </xdr:cNvPr>
        <xdr:cNvGrpSpPr/>
      </xdr:nvGrpSpPr>
      <xdr:grpSpPr>
        <a:xfrm>
          <a:off x="1181100" y="809625"/>
          <a:ext cx="1733550" cy="295275"/>
          <a:chOff x="1316186" y="814566"/>
          <a:chExt cx="1714496" cy="304456"/>
        </a:xfrm>
      </xdr:grpSpPr>
      <xdr:sp macro="" textlink="">
        <xdr:nvSpPr>
          <xdr:cNvPr id="17" name="Rectángulo 16">
            <a:extLst>
              <a:ext uri="{FF2B5EF4-FFF2-40B4-BE49-F238E27FC236}">
                <a16:creationId xmlns:a16="http://schemas.microsoft.com/office/drawing/2014/main" id="{00000000-0008-0000-0200-000011000000}"/>
              </a:ext>
            </a:extLst>
          </xdr:cNvPr>
          <xdr:cNvSpPr/>
        </xdr:nvSpPr>
        <xdr:spPr>
          <a:xfrm>
            <a:off x="1316186" y="814566"/>
            <a:ext cx="1714496" cy="30445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Cuentas Individuales</a:t>
            </a:r>
            <a:endParaRPr lang="es-AR" sz="900" b="1">
              <a:latin typeface="Arial" panose="020B0604020202020204" pitchFamily="34" charset="0"/>
              <a:cs typeface="Arial" panose="020B0604020202020204" pitchFamily="34" charset="0"/>
            </a:endParaRPr>
          </a:p>
        </xdr:txBody>
      </xdr:sp>
      <xdr:pic>
        <xdr:nvPicPr>
          <xdr:cNvPr id="18" name="Imagen 17">
            <a:extLst>
              <a:ext uri="{FF2B5EF4-FFF2-40B4-BE49-F238E27FC236}">
                <a16:creationId xmlns:a16="http://schemas.microsoft.com/office/drawing/2014/main" id="{00000000-0008-0000-0200-000012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20748" y="859206"/>
            <a:ext cx="215059" cy="233200"/>
          </a:xfrm>
          <a:prstGeom prst="rect">
            <a:avLst/>
          </a:prstGeom>
        </xdr:spPr>
      </xdr:pic>
    </xdr:grpSp>
    <xdr:clientData/>
  </xdr:twoCellAnchor>
  <xdr:twoCellAnchor>
    <xdr:from>
      <xdr:col>1</xdr:col>
      <xdr:colOff>666750</xdr:colOff>
      <xdr:row>5</xdr:row>
      <xdr:rowOff>57150</xdr:rowOff>
    </xdr:from>
    <xdr:to>
      <xdr:col>2</xdr:col>
      <xdr:colOff>714375</xdr:colOff>
      <xdr:row>6</xdr:row>
      <xdr:rowOff>152400</xdr:rowOff>
    </xdr:to>
    <xdr:grpSp>
      <xdr:nvGrpSpPr>
        <xdr:cNvPr id="38" name="Grupo 37">
          <a:hlinkClick xmlns:r="http://schemas.openxmlformats.org/officeDocument/2006/relationships" r:id="rId5"/>
          <a:extLst>
            <a:ext uri="{FF2B5EF4-FFF2-40B4-BE49-F238E27FC236}">
              <a16:creationId xmlns:a16="http://schemas.microsoft.com/office/drawing/2014/main" id="{00000000-0008-0000-0200-000026000000}"/>
            </a:ext>
            <a:ext uri="{147F2762-F138-4A5C-976F-8EAC2B608ADB}">
              <a16:predDERef xmlns:a16="http://schemas.microsoft.com/office/drawing/2014/main" pred="{00000000-0008-0000-0200-000007000000}"/>
            </a:ext>
          </a:extLst>
        </xdr:cNvPr>
        <xdr:cNvGrpSpPr/>
      </xdr:nvGrpSpPr>
      <xdr:grpSpPr>
        <a:xfrm>
          <a:off x="1181100" y="1190625"/>
          <a:ext cx="1724025" cy="304800"/>
          <a:chOff x="1323719" y="1207428"/>
          <a:chExt cx="1695417" cy="303220"/>
        </a:xfrm>
      </xdr:grpSpPr>
      <xdr:sp macro="" textlink="">
        <xdr:nvSpPr>
          <xdr:cNvPr id="20" name="Rectángulo 19">
            <a:extLst>
              <a:ext uri="{FF2B5EF4-FFF2-40B4-BE49-F238E27FC236}">
                <a16:creationId xmlns:a16="http://schemas.microsoft.com/office/drawing/2014/main" id="{00000000-0008-0000-0200-000014000000}"/>
              </a:ext>
            </a:extLst>
          </xdr:cNvPr>
          <xdr:cNvSpPr/>
        </xdr:nvSpPr>
        <xdr:spPr>
          <a:xfrm>
            <a:off x="1323719" y="1207428"/>
            <a:ext cx="1695417"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Bce Comp. Trimestral</a:t>
            </a:r>
            <a:endParaRPr lang="es-AR" sz="900" b="1">
              <a:latin typeface="Arial" panose="020B0604020202020204" pitchFamily="34" charset="0"/>
              <a:cs typeface="Arial" panose="020B0604020202020204" pitchFamily="34" charset="0"/>
            </a:endParaRPr>
          </a:p>
        </xdr:txBody>
      </xdr:sp>
      <xdr:pic>
        <xdr:nvPicPr>
          <xdr:cNvPr id="21" name="Imagen 20">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401304" y="1246137"/>
            <a:ext cx="202909" cy="219351"/>
          </a:xfrm>
          <a:prstGeom prst="rect">
            <a:avLst/>
          </a:prstGeom>
        </xdr:spPr>
      </xdr:pic>
    </xdr:grpSp>
    <xdr:clientData/>
  </xdr:twoCellAnchor>
  <xdr:twoCellAnchor>
    <xdr:from>
      <xdr:col>2</xdr:col>
      <xdr:colOff>906324</xdr:colOff>
      <xdr:row>5</xdr:row>
      <xdr:rowOff>70179</xdr:rowOff>
    </xdr:from>
    <xdr:to>
      <xdr:col>2</xdr:col>
      <xdr:colOff>2564464</xdr:colOff>
      <xdr:row>6</xdr:row>
      <xdr:rowOff>161466</xdr:rowOff>
    </xdr:to>
    <xdr:grpSp>
      <xdr:nvGrpSpPr>
        <xdr:cNvPr id="22" name="Grupo 21">
          <a:hlinkClick xmlns:r="http://schemas.openxmlformats.org/officeDocument/2006/relationships" r:id="rId7"/>
          <a:extLst>
            <a:ext uri="{FF2B5EF4-FFF2-40B4-BE49-F238E27FC236}">
              <a16:creationId xmlns:a16="http://schemas.microsoft.com/office/drawing/2014/main" id="{00000000-0008-0000-0200-000016000000}"/>
            </a:ext>
          </a:extLst>
        </xdr:cNvPr>
        <xdr:cNvGrpSpPr>
          <a:grpSpLocks noChangeAspect="1"/>
        </xdr:cNvGrpSpPr>
      </xdr:nvGrpSpPr>
      <xdr:grpSpPr>
        <a:xfrm>
          <a:off x="3097074" y="1203654"/>
          <a:ext cx="1658140" cy="300837"/>
          <a:chOff x="8566150" y="1289050"/>
          <a:chExt cx="1809750" cy="295966"/>
        </a:xfrm>
      </xdr:grpSpPr>
      <xdr:sp macro="" textlink="">
        <xdr:nvSpPr>
          <xdr:cNvPr id="23" name="Rectángulo 22">
            <a:extLst>
              <a:ext uri="{FF2B5EF4-FFF2-40B4-BE49-F238E27FC236}">
                <a16:creationId xmlns:a16="http://schemas.microsoft.com/office/drawing/2014/main" id="{00000000-0008-0000-0200-000017000000}"/>
              </a:ext>
            </a:extLst>
          </xdr:cNvPr>
          <xdr:cNvSpPr/>
        </xdr:nvSpPr>
        <xdr:spPr>
          <a:xfrm>
            <a:off x="8566150" y="1289050"/>
            <a:ext cx="1809750" cy="29596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Balance de Situación</a:t>
            </a:r>
            <a:endParaRPr lang="es-AR" sz="900" b="1">
              <a:latin typeface="Arial" panose="020B0604020202020204" pitchFamily="34" charset="0"/>
              <a:cs typeface="Arial" panose="020B0604020202020204" pitchFamily="34" charset="0"/>
            </a:endParaRPr>
          </a:p>
        </xdr:txBody>
      </xdr:sp>
      <xdr:pic>
        <xdr:nvPicPr>
          <xdr:cNvPr id="24" name="Imagen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629650" y="1314450"/>
            <a:ext cx="240969" cy="260349"/>
          </a:xfrm>
          <a:prstGeom prst="rect">
            <a:avLst/>
          </a:prstGeom>
        </xdr:spPr>
      </xdr:pic>
    </xdr:grpSp>
    <xdr:clientData/>
  </xdr:twoCellAnchor>
  <xdr:twoCellAnchor>
    <xdr:from>
      <xdr:col>2</xdr:col>
      <xdr:colOff>2766923</xdr:colOff>
      <xdr:row>5</xdr:row>
      <xdr:rowOff>69830</xdr:rowOff>
    </xdr:from>
    <xdr:to>
      <xdr:col>3</xdr:col>
      <xdr:colOff>381000</xdr:colOff>
      <xdr:row>6</xdr:row>
      <xdr:rowOff>158860</xdr:rowOff>
    </xdr:to>
    <xdr:grpSp>
      <xdr:nvGrpSpPr>
        <xdr:cNvPr id="25" name="Grupo 24">
          <a:hlinkClick xmlns:r="http://schemas.openxmlformats.org/officeDocument/2006/relationships" r:id="rId9"/>
          <a:extLst>
            <a:ext uri="{FF2B5EF4-FFF2-40B4-BE49-F238E27FC236}">
              <a16:creationId xmlns:a16="http://schemas.microsoft.com/office/drawing/2014/main" id="{00000000-0008-0000-0200-000019000000}"/>
            </a:ext>
          </a:extLst>
        </xdr:cNvPr>
        <xdr:cNvGrpSpPr>
          <a:grpSpLocks noChangeAspect="1"/>
        </xdr:cNvGrpSpPr>
      </xdr:nvGrpSpPr>
      <xdr:grpSpPr>
        <a:xfrm>
          <a:off x="4957673" y="1203305"/>
          <a:ext cx="2138452" cy="298580"/>
          <a:chOff x="8559800" y="1695450"/>
          <a:chExt cx="1809750" cy="298450"/>
        </a:xfrm>
      </xdr:grpSpPr>
      <xdr:sp macro="" textlink="">
        <xdr:nvSpPr>
          <xdr:cNvPr id="26" name="Rectángulo 25">
            <a:extLst>
              <a:ext uri="{FF2B5EF4-FFF2-40B4-BE49-F238E27FC236}">
                <a16:creationId xmlns:a16="http://schemas.microsoft.com/office/drawing/2014/main" id="{00000000-0008-0000-0200-00001A000000}"/>
              </a:ext>
            </a:extLst>
          </xdr:cNvPr>
          <xdr:cNvSpPr/>
        </xdr:nvSpPr>
        <xdr:spPr>
          <a:xfrm>
            <a:off x="8559800" y="169545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a:latin typeface="Arial" panose="020B0604020202020204" pitchFamily="34" charset="0"/>
                <a:cs typeface="Arial" panose="020B0604020202020204" pitchFamily="34" charset="0"/>
              </a:rPr>
              <a:t>Cuenta de</a:t>
            </a:r>
            <a:r>
              <a:rPr lang="es-AR" sz="900" b="1" baseline="0">
                <a:latin typeface="Arial" panose="020B0604020202020204" pitchFamily="34" charset="0"/>
                <a:cs typeface="Arial" panose="020B0604020202020204" pitchFamily="34" charset="0"/>
              </a:rPr>
              <a:t> PyG</a:t>
            </a:r>
            <a:endParaRPr lang="es-AR" sz="900" b="1">
              <a:latin typeface="Arial" panose="020B0604020202020204" pitchFamily="34" charset="0"/>
              <a:cs typeface="Arial" panose="020B0604020202020204" pitchFamily="34" charset="0"/>
            </a:endParaRPr>
          </a:p>
        </xdr:txBody>
      </xdr:sp>
      <xdr:pic>
        <xdr:nvPicPr>
          <xdr:cNvPr id="27" name="Imagen 26">
            <a:extLst>
              <a:ext uri="{FF2B5EF4-FFF2-40B4-BE49-F238E27FC236}">
                <a16:creationId xmlns:a16="http://schemas.microsoft.com/office/drawing/2014/main" id="{00000000-0008-0000-0200-00001B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48700" y="1714500"/>
            <a:ext cx="226200" cy="226200"/>
          </a:xfrm>
          <a:prstGeom prst="rect">
            <a:avLst/>
          </a:prstGeom>
        </xdr:spPr>
      </xdr:pic>
    </xdr:grpSp>
    <xdr:clientData/>
  </xdr:twoCellAnchor>
  <xdr:twoCellAnchor>
    <xdr:from>
      <xdr:col>3</xdr:col>
      <xdr:colOff>595370</xdr:colOff>
      <xdr:row>5</xdr:row>
      <xdr:rowOff>65239</xdr:rowOff>
    </xdr:from>
    <xdr:to>
      <xdr:col>5</xdr:col>
      <xdr:colOff>698914</xdr:colOff>
      <xdr:row>6</xdr:row>
      <xdr:rowOff>154048</xdr:rowOff>
    </xdr:to>
    <xdr:grpSp>
      <xdr:nvGrpSpPr>
        <xdr:cNvPr id="34" name="Grupo 33">
          <a:hlinkClick xmlns:r="http://schemas.openxmlformats.org/officeDocument/2006/relationships" r:id="rId11"/>
          <a:extLst>
            <a:ext uri="{FF2B5EF4-FFF2-40B4-BE49-F238E27FC236}">
              <a16:creationId xmlns:a16="http://schemas.microsoft.com/office/drawing/2014/main" id="{00000000-0008-0000-0200-000022000000}"/>
            </a:ext>
          </a:extLst>
        </xdr:cNvPr>
        <xdr:cNvGrpSpPr/>
      </xdr:nvGrpSpPr>
      <xdr:grpSpPr>
        <a:xfrm>
          <a:off x="7310495" y="1198714"/>
          <a:ext cx="1684694" cy="298359"/>
          <a:chOff x="5589555" y="1073022"/>
          <a:chExt cx="1836130" cy="310036"/>
        </a:xfrm>
      </xdr:grpSpPr>
      <xdr:sp macro="" textlink="">
        <xdr:nvSpPr>
          <xdr:cNvPr id="35" name="Rectángulo 34">
            <a:extLst>
              <a:ext uri="{FF2B5EF4-FFF2-40B4-BE49-F238E27FC236}">
                <a16:creationId xmlns:a16="http://schemas.microsoft.com/office/drawing/2014/main" id="{00000000-0008-0000-0200-000023000000}"/>
              </a:ext>
            </a:extLst>
          </xdr:cNvPr>
          <xdr:cNvSpPr>
            <a:spLocks noChangeAspect="1"/>
          </xdr:cNvSpPr>
        </xdr:nvSpPr>
        <xdr:spPr>
          <a:xfrm>
            <a:off x="5589555" y="1073022"/>
            <a:ext cx="1836130" cy="31003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Indicadores</a:t>
            </a:r>
            <a:endParaRPr lang="es-AR" sz="900" b="1">
              <a:latin typeface="Arial" panose="020B0604020202020204" pitchFamily="34" charset="0"/>
              <a:cs typeface="Arial" panose="020B0604020202020204" pitchFamily="34" charset="0"/>
            </a:endParaRPr>
          </a:p>
        </xdr:txBody>
      </xdr:sp>
      <xdr:pic>
        <xdr:nvPicPr>
          <xdr:cNvPr id="36" name="Imagen 35">
            <a:extLst>
              <a:ext uri="{FF2B5EF4-FFF2-40B4-BE49-F238E27FC236}">
                <a16:creationId xmlns:a16="http://schemas.microsoft.com/office/drawing/2014/main" id="{00000000-0008-0000-0200-000024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646709" y="1079524"/>
            <a:ext cx="260368" cy="266590"/>
          </a:xfrm>
          <a:prstGeom prst="rect">
            <a:avLst/>
          </a:prstGeom>
        </xdr:spPr>
      </xdr:pic>
    </xdr:grpSp>
    <xdr:clientData/>
  </xdr:twoCellAnchor>
  <xdr:twoCellAnchor>
    <xdr:from>
      <xdr:col>2</xdr:col>
      <xdr:colOff>2757837</xdr:colOff>
      <xdr:row>3</xdr:row>
      <xdr:rowOff>91795</xdr:rowOff>
    </xdr:from>
    <xdr:to>
      <xdr:col>3</xdr:col>
      <xdr:colOff>386774</xdr:colOff>
      <xdr:row>4</xdr:row>
      <xdr:rowOff>180604</xdr:rowOff>
    </xdr:to>
    <xdr:grpSp>
      <xdr:nvGrpSpPr>
        <xdr:cNvPr id="3" name="Grupo 2">
          <a:hlinkClick xmlns:r="http://schemas.openxmlformats.org/officeDocument/2006/relationships" r:id="rId13"/>
          <a:extLst>
            <a:ext uri="{FF2B5EF4-FFF2-40B4-BE49-F238E27FC236}">
              <a16:creationId xmlns:a16="http://schemas.microsoft.com/office/drawing/2014/main" id="{00000000-0008-0000-0200-000003000000}"/>
            </a:ext>
          </a:extLst>
        </xdr:cNvPr>
        <xdr:cNvGrpSpPr/>
      </xdr:nvGrpSpPr>
      <xdr:grpSpPr>
        <a:xfrm>
          <a:off x="4948587" y="806170"/>
          <a:ext cx="2153312" cy="298359"/>
          <a:chOff x="5056537" y="815695"/>
          <a:chExt cx="2366037" cy="304709"/>
        </a:xfrm>
      </xdr:grpSpPr>
      <xdr:sp macro="" textlink="">
        <xdr:nvSpPr>
          <xdr:cNvPr id="29" name="Rectángulo 28">
            <a:extLst>
              <a:ext uri="{FF2B5EF4-FFF2-40B4-BE49-F238E27FC236}">
                <a16:creationId xmlns:a16="http://schemas.microsoft.com/office/drawing/2014/main" id="{00000000-0008-0000-0200-00001D000000}"/>
              </a:ext>
            </a:extLst>
          </xdr:cNvPr>
          <xdr:cNvSpPr>
            <a:spLocks noChangeAspect="1"/>
          </xdr:cNvSpPr>
        </xdr:nvSpPr>
        <xdr:spPr>
          <a:xfrm>
            <a:off x="5056537" y="815695"/>
            <a:ext cx="2366037" cy="304709"/>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Libro Diario</a:t>
            </a:r>
            <a:endParaRPr lang="es-AR" sz="900" b="1">
              <a:latin typeface="Arial" panose="020B0604020202020204" pitchFamily="34" charset="0"/>
              <a:cs typeface="Arial" panose="020B0604020202020204" pitchFamily="34" charset="0"/>
            </a:endParaRPr>
          </a:p>
        </xdr:txBody>
      </xdr:sp>
      <xdr:pic>
        <xdr:nvPicPr>
          <xdr:cNvPr id="28" name="12 Imagen" descr="Hoja.PNG">
            <a:extLst>
              <a:ext uri="{FF2B5EF4-FFF2-40B4-BE49-F238E27FC236}">
                <a16:creationId xmlns:a16="http://schemas.microsoft.com/office/drawing/2014/main" id="{00000000-0008-0000-0200-00001C000000}"/>
              </a:ext>
            </a:extLst>
          </xdr:cNvPr>
          <xdr:cNvPicPr>
            <a:picLocks noChangeAspect="1"/>
          </xdr:cNvPicPr>
        </xdr:nvPicPr>
        <xdr:blipFill>
          <a:blip xmlns:r="http://schemas.openxmlformats.org/officeDocument/2006/relationships" r:embed="rId14" cstate="print"/>
          <a:stretch>
            <a:fillRect/>
          </a:stretch>
        </xdr:blipFill>
        <xdr:spPr>
          <a:xfrm>
            <a:off x="5168213" y="876036"/>
            <a:ext cx="252000" cy="192933"/>
          </a:xfrm>
          <a:prstGeom prst="rect">
            <a:avLst/>
          </a:prstGeom>
        </xdr:spPr>
      </xdr:pic>
    </xdr:grpSp>
    <xdr:clientData/>
  </xdr:twoCellAnchor>
  <xdr:twoCellAnchor>
    <xdr:from>
      <xdr:col>3</xdr:col>
      <xdr:colOff>587119</xdr:colOff>
      <xdr:row>3</xdr:row>
      <xdr:rowOff>107145</xdr:rowOff>
    </xdr:from>
    <xdr:to>
      <xdr:col>5</xdr:col>
      <xdr:colOff>690663</xdr:colOff>
      <xdr:row>4</xdr:row>
      <xdr:rowOff>196774</xdr:rowOff>
    </xdr:to>
    <xdr:grpSp>
      <xdr:nvGrpSpPr>
        <xdr:cNvPr id="4" name="Grupo 3">
          <a:hlinkClick xmlns:r="http://schemas.openxmlformats.org/officeDocument/2006/relationships" r:id="rId15"/>
          <a:extLst>
            <a:ext uri="{FF2B5EF4-FFF2-40B4-BE49-F238E27FC236}">
              <a16:creationId xmlns:a16="http://schemas.microsoft.com/office/drawing/2014/main" id="{00000000-0008-0000-0200-000004000000}"/>
            </a:ext>
          </a:extLst>
        </xdr:cNvPr>
        <xdr:cNvGrpSpPr/>
      </xdr:nvGrpSpPr>
      <xdr:grpSpPr>
        <a:xfrm>
          <a:off x="7302244" y="821520"/>
          <a:ext cx="1684694" cy="299179"/>
          <a:chOff x="7000619" y="828736"/>
          <a:chExt cx="1754544" cy="303220"/>
        </a:xfrm>
      </xdr:grpSpPr>
      <xdr:sp macro="" textlink="">
        <xdr:nvSpPr>
          <xdr:cNvPr id="32" name="Rectángulo 31">
            <a:extLst>
              <a:ext uri="{FF2B5EF4-FFF2-40B4-BE49-F238E27FC236}">
                <a16:creationId xmlns:a16="http://schemas.microsoft.com/office/drawing/2014/main" id="{00000000-0008-0000-0200-000020000000}"/>
              </a:ext>
            </a:extLst>
          </xdr:cNvPr>
          <xdr:cNvSpPr/>
        </xdr:nvSpPr>
        <xdr:spPr>
          <a:xfrm>
            <a:off x="7000619" y="828736"/>
            <a:ext cx="1754544"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b="1">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Bal. Comp. Inicial</a:t>
            </a:r>
            <a:endParaRPr lang="es-AR" sz="900" b="1">
              <a:latin typeface="Arial" panose="020B0604020202020204" pitchFamily="34" charset="0"/>
              <a:cs typeface="Arial" panose="020B0604020202020204" pitchFamily="34" charset="0"/>
            </a:endParaRPr>
          </a:p>
        </xdr:txBody>
      </xdr:sp>
      <xdr:pic>
        <xdr:nvPicPr>
          <xdr:cNvPr id="30" name="17 Imagen" descr="Icono 1.PNG">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6" cstate="print"/>
          <a:stretch>
            <a:fillRect/>
          </a:stretch>
        </xdr:blipFill>
        <xdr:spPr>
          <a:xfrm>
            <a:off x="7091369" y="860136"/>
            <a:ext cx="198143" cy="245289"/>
          </a:xfrm>
          <a:prstGeom prst="rect">
            <a:avLst/>
          </a:prstGeom>
        </xdr:spPr>
      </xdr:pic>
    </xdr:grpSp>
    <xdr:clientData/>
  </xdr:twoCellAnchor>
  <xdr:twoCellAnchor>
    <xdr:from>
      <xdr:col>0</xdr:col>
      <xdr:colOff>502228</xdr:colOff>
      <xdr:row>0</xdr:row>
      <xdr:rowOff>60613</xdr:rowOff>
    </xdr:from>
    <xdr:to>
      <xdr:col>6</xdr:col>
      <xdr:colOff>147204</xdr:colOff>
      <xdr:row>3</xdr:row>
      <xdr:rowOff>25977</xdr:rowOff>
    </xdr:to>
    <xdr:grpSp>
      <xdr:nvGrpSpPr>
        <xdr:cNvPr id="31" name="Grupo 30">
          <a:extLst>
            <a:ext uri="{FF2B5EF4-FFF2-40B4-BE49-F238E27FC236}">
              <a16:creationId xmlns:a16="http://schemas.microsoft.com/office/drawing/2014/main" id="{00000000-0008-0000-0200-00001F000000}"/>
            </a:ext>
          </a:extLst>
        </xdr:cNvPr>
        <xdr:cNvGrpSpPr/>
      </xdr:nvGrpSpPr>
      <xdr:grpSpPr>
        <a:xfrm>
          <a:off x="502228" y="60613"/>
          <a:ext cx="9322376" cy="679739"/>
          <a:chOff x="104775" y="200025"/>
          <a:chExt cx="10477500" cy="914400"/>
        </a:xfrm>
      </xdr:grpSpPr>
      <xdr:sp macro="" textlink="">
        <xdr:nvSpPr>
          <xdr:cNvPr id="33" name="Rectángulo 32">
            <a:extLst>
              <a:ext uri="{FF2B5EF4-FFF2-40B4-BE49-F238E27FC236}">
                <a16:creationId xmlns:a16="http://schemas.microsoft.com/office/drawing/2014/main" id="{00000000-0008-0000-0200-000021000000}"/>
              </a:ext>
              <a:ext uri="{147F2762-F138-4A5C-976F-8EAC2B608ADB}">
                <a16:predDERef xmlns:a16="http://schemas.microsoft.com/office/drawing/2014/main" pred="{00000000-0008-0000-0100-000008000000}"/>
              </a:ext>
            </a:extLst>
          </xdr:cNvPr>
          <xdr:cNvSpPr/>
        </xdr:nvSpPr>
        <xdr:spPr>
          <a:xfrm>
            <a:off x="104775" y="200025"/>
            <a:ext cx="10372725" cy="914400"/>
          </a:xfrm>
          <a:prstGeom prst="rect">
            <a:avLst/>
          </a:prstGeom>
          <a:solidFill>
            <a:srgbClr val="D6E4E6"/>
          </a:solidFill>
          <a:ln>
            <a:solidFill>
              <a:srgbClr val="075D6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sp macro="" textlink="">
        <xdr:nvSpPr>
          <xdr:cNvPr id="37" name="Rectángulo 36">
            <a:extLst>
              <a:ext uri="{FF2B5EF4-FFF2-40B4-BE49-F238E27FC236}">
                <a16:creationId xmlns:a16="http://schemas.microsoft.com/office/drawing/2014/main" id="{00000000-0008-0000-0200-000025000000}"/>
              </a:ext>
              <a:ext uri="{147F2762-F138-4A5C-976F-8EAC2B608ADB}">
                <a16:predDERef xmlns:a16="http://schemas.microsoft.com/office/drawing/2014/main" pred="{00000000-0008-0000-0200-000003000000}"/>
              </a:ext>
            </a:extLst>
          </xdr:cNvPr>
          <xdr:cNvSpPr/>
        </xdr:nvSpPr>
        <xdr:spPr>
          <a:xfrm>
            <a:off x="2667000" y="247650"/>
            <a:ext cx="7915275"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200" b="1">
                <a:solidFill>
                  <a:sysClr val="windowText" lastClr="000000"/>
                </a:solidFill>
              </a:rPr>
              <a:t>Herramienta educativa para la</a:t>
            </a:r>
            <a:r>
              <a:rPr lang="es-AR" sz="1200" b="1" baseline="0">
                <a:solidFill>
                  <a:sysClr val="windowText" lastClr="000000"/>
                </a:solidFill>
              </a:rPr>
              <a:t> gestión contable en</a:t>
            </a:r>
          </a:p>
          <a:p>
            <a:pPr algn="ctr"/>
            <a:r>
              <a:rPr lang="es-AR" sz="1200" b="1" baseline="0">
                <a:solidFill>
                  <a:sysClr val="windowText" lastClr="000000"/>
                </a:solidFill>
              </a:rPr>
              <a:t>asignaturas de "Introducción a la Contabilidad" a nivel de Grado</a:t>
            </a:r>
          </a:p>
          <a:p>
            <a:pPr algn="ctr"/>
            <a:endParaRPr lang="es-AR" sz="1200" b="1" baseline="0">
              <a:solidFill>
                <a:sysClr val="windowText" lastClr="000000"/>
              </a:solidFill>
            </a:endParaRPr>
          </a:p>
        </xdr:txBody>
      </xdr:sp>
      <xdr:sp macro="" textlink="">
        <xdr:nvSpPr>
          <xdr:cNvPr id="39" name="Rectángulo 38">
            <a:extLst>
              <a:ext uri="{FF2B5EF4-FFF2-40B4-BE49-F238E27FC236}">
                <a16:creationId xmlns:a16="http://schemas.microsoft.com/office/drawing/2014/main" id="{00000000-0008-0000-0200-000027000000}"/>
              </a:ext>
              <a:ext uri="{147F2762-F138-4A5C-976F-8EAC2B608ADB}">
                <a16:predDERef xmlns:a16="http://schemas.microsoft.com/office/drawing/2014/main" pred="{00000000-0008-0000-0100-00000E000000}"/>
              </a:ext>
            </a:extLst>
          </xdr:cNvPr>
          <xdr:cNvSpPr/>
        </xdr:nvSpPr>
        <xdr:spPr>
          <a:xfrm>
            <a:off x="4070350" y="771466"/>
            <a:ext cx="5057775" cy="277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050" b="1">
                <a:solidFill>
                  <a:sysClr val="windowText" lastClr="000000"/>
                </a:solidFill>
              </a:rPr>
              <a:t>Aplicación al caso práctico "QUESERÍA LA GANADORA"</a:t>
            </a:r>
            <a:endParaRPr lang="es-AR" sz="1050">
              <a:solidFill>
                <a:sysClr val="windowText" lastClr="000000"/>
              </a:solidFill>
            </a:endParaRPr>
          </a:p>
        </xdr:txBody>
      </xdr:sp>
      <xdr:pic>
        <xdr:nvPicPr>
          <xdr:cNvPr id="40" name="Imagen 39">
            <a:extLst>
              <a:ext uri="{FF2B5EF4-FFF2-40B4-BE49-F238E27FC236}">
                <a16:creationId xmlns:a16="http://schemas.microsoft.com/office/drawing/2014/main" id="{00000000-0008-0000-0200-000028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77800" y="307975"/>
            <a:ext cx="2570435" cy="721590"/>
          </a:xfrm>
          <a:prstGeom prst="rect">
            <a:avLst/>
          </a:prstGeom>
          <a:noFill/>
        </xdr:spPr>
      </xdr:pic>
    </xdr:grpSp>
    <xdr:clientData/>
  </xdr:twoCellAnchor>
  <xdr:twoCellAnchor editAs="oneCell">
    <xdr:from>
      <xdr:col>5</xdr:col>
      <xdr:colOff>704850</xdr:colOff>
      <xdr:row>0</xdr:row>
      <xdr:rowOff>104775</xdr:rowOff>
    </xdr:from>
    <xdr:to>
      <xdr:col>5</xdr:col>
      <xdr:colOff>1333500</xdr:colOff>
      <xdr:row>2</xdr:row>
      <xdr:rowOff>289078</xdr:rowOff>
    </xdr:to>
    <xdr:pic>
      <xdr:nvPicPr>
        <xdr:cNvPr id="41" name="Imagen 40">
          <a:extLst>
            <a:ext uri="{FF2B5EF4-FFF2-40B4-BE49-F238E27FC236}">
              <a16:creationId xmlns:a16="http://schemas.microsoft.com/office/drawing/2014/main" id="{00000000-0008-0000-0200-000029000000}"/>
            </a:ext>
          </a:extLst>
        </xdr:cNvPr>
        <xdr:cNvPicPr>
          <a:picLocks noChangeAspect="1"/>
        </xdr:cNvPicPr>
      </xdr:nvPicPr>
      <xdr:blipFill>
        <a:blip xmlns:r="http://schemas.openxmlformats.org/officeDocument/2006/relationships" r:embed="rId18"/>
        <a:stretch>
          <a:fillRect/>
        </a:stretch>
      </xdr:blipFill>
      <xdr:spPr>
        <a:xfrm>
          <a:off x="9001125" y="104775"/>
          <a:ext cx="628650" cy="6034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2113760</xdr:colOff>
      <xdr:row>4</xdr:row>
      <xdr:rowOff>1005</xdr:rowOff>
    </xdr:from>
    <xdr:to>
      <xdr:col>3</xdr:col>
      <xdr:colOff>1219906</xdr:colOff>
      <xdr:row>5</xdr:row>
      <xdr:rowOff>68653</xdr:rowOff>
    </xdr:to>
    <xdr:grpSp>
      <xdr:nvGrpSpPr>
        <xdr:cNvPr id="76" name="Grupo 75">
          <a:hlinkClick xmlns:r="http://schemas.openxmlformats.org/officeDocument/2006/relationships" r:id="rId1"/>
          <a:extLst>
            <a:ext uri="{FF2B5EF4-FFF2-40B4-BE49-F238E27FC236}">
              <a16:creationId xmlns:a16="http://schemas.microsoft.com/office/drawing/2014/main" id="{00000000-0008-0000-0300-00004C000000}"/>
            </a:ext>
          </a:extLst>
        </xdr:cNvPr>
        <xdr:cNvGrpSpPr>
          <a:grpSpLocks noChangeAspect="1"/>
        </xdr:cNvGrpSpPr>
      </xdr:nvGrpSpPr>
      <xdr:grpSpPr>
        <a:xfrm>
          <a:off x="3694910" y="763005"/>
          <a:ext cx="1535021" cy="305773"/>
          <a:chOff x="8559800" y="508000"/>
          <a:chExt cx="1809750" cy="298450"/>
        </a:xfrm>
      </xdr:grpSpPr>
      <xdr:sp macro="" textlink="">
        <xdr:nvSpPr>
          <xdr:cNvPr id="77" name="Rectángulo 76">
            <a:extLst>
              <a:ext uri="{FF2B5EF4-FFF2-40B4-BE49-F238E27FC236}">
                <a16:creationId xmlns:a16="http://schemas.microsoft.com/office/drawing/2014/main" id="{00000000-0008-0000-0300-00004D000000}"/>
              </a:ext>
            </a:extLst>
          </xdr:cNvPr>
          <xdr:cNvSpPr/>
        </xdr:nvSpPr>
        <xdr:spPr>
          <a:xfrm>
            <a:off x="8559800" y="50800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Libro Mayor</a:t>
            </a:r>
            <a:endParaRPr lang="es-AR" sz="900" b="1">
              <a:latin typeface="Arial" panose="020B0604020202020204" pitchFamily="34" charset="0"/>
              <a:cs typeface="Arial" panose="020B0604020202020204" pitchFamily="34" charset="0"/>
            </a:endParaRPr>
          </a:p>
        </xdr:txBody>
      </xdr:sp>
      <xdr:pic>
        <xdr:nvPicPr>
          <xdr:cNvPr id="78" name="Imagen 77">
            <a:extLst>
              <a:ext uri="{FF2B5EF4-FFF2-40B4-BE49-F238E27FC236}">
                <a16:creationId xmlns:a16="http://schemas.microsoft.com/office/drawing/2014/main" id="{00000000-0008-0000-0300-00004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636000" y="539750"/>
            <a:ext cx="222250" cy="222250"/>
          </a:xfrm>
          <a:prstGeom prst="rect">
            <a:avLst/>
          </a:prstGeom>
        </xdr:spPr>
      </xdr:pic>
    </xdr:grpSp>
    <xdr:clientData/>
  </xdr:twoCellAnchor>
  <xdr:twoCellAnchor>
    <xdr:from>
      <xdr:col>2</xdr:col>
      <xdr:colOff>220304</xdr:colOff>
      <xdr:row>4</xdr:row>
      <xdr:rowOff>1180</xdr:rowOff>
    </xdr:from>
    <xdr:to>
      <xdr:col>2</xdr:col>
      <xdr:colOff>1934800</xdr:colOff>
      <xdr:row>5</xdr:row>
      <xdr:rowOff>72370</xdr:rowOff>
    </xdr:to>
    <xdr:grpSp>
      <xdr:nvGrpSpPr>
        <xdr:cNvPr id="79" name="Grupo 78">
          <a:hlinkClick xmlns:r="http://schemas.openxmlformats.org/officeDocument/2006/relationships" r:id="rId3"/>
          <a:extLst>
            <a:ext uri="{FF2B5EF4-FFF2-40B4-BE49-F238E27FC236}">
              <a16:creationId xmlns:a16="http://schemas.microsoft.com/office/drawing/2014/main" id="{00000000-0008-0000-0300-00004F000000}"/>
            </a:ext>
          </a:extLst>
        </xdr:cNvPr>
        <xdr:cNvGrpSpPr/>
      </xdr:nvGrpSpPr>
      <xdr:grpSpPr>
        <a:xfrm>
          <a:off x="1801454" y="763180"/>
          <a:ext cx="1714496" cy="309315"/>
          <a:chOff x="1316186" y="814566"/>
          <a:chExt cx="1714496" cy="304456"/>
        </a:xfrm>
      </xdr:grpSpPr>
      <xdr:sp macro="" textlink="">
        <xdr:nvSpPr>
          <xdr:cNvPr id="80" name="Rectángulo 79">
            <a:extLst>
              <a:ext uri="{FF2B5EF4-FFF2-40B4-BE49-F238E27FC236}">
                <a16:creationId xmlns:a16="http://schemas.microsoft.com/office/drawing/2014/main" id="{00000000-0008-0000-0300-000050000000}"/>
              </a:ext>
            </a:extLst>
          </xdr:cNvPr>
          <xdr:cNvSpPr/>
        </xdr:nvSpPr>
        <xdr:spPr>
          <a:xfrm>
            <a:off x="1316186" y="814566"/>
            <a:ext cx="1714496" cy="30445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Cuentas Individuales</a:t>
            </a:r>
            <a:endParaRPr lang="es-AR" sz="900" b="1">
              <a:latin typeface="Arial" panose="020B0604020202020204" pitchFamily="34" charset="0"/>
              <a:cs typeface="Arial" panose="020B0604020202020204" pitchFamily="34" charset="0"/>
            </a:endParaRPr>
          </a:p>
        </xdr:txBody>
      </xdr:sp>
      <xdr:pic>
        <xdr:nvPicPr>
          <xdr:cNvPr id="81" name="Imagen 80">
            <a:extLst>
              <a:ext uri="{FF2B5EF4-FFF2-40B4-BE49-F238E27FC236}">
                <a16:creationId xmlns:a16="http://schemas.microsoft.com/office/drawing/2014/main" id="{00000000-0008-0000-0300-000051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20748" y="859206"/>
            <a:ext cx="215059" cy="233200"/>
          </a:xfrm>
          <a:prstGeom prst="rect">
            <a:avLst/>
          </a:prstGeom>
        </xdr:spPr>
      </xdr:pic>
    </xdr:grpSp>
    <xdr:clientData/>
  </xdr:twoCellAnchor>
  <xdr:twoCellAnchor>
    <xdr:from>
      <xdr:col>2</xdr:col>
      <xdr:colOff>227837</xdr:colOff>
      <xdr:row>5</xdr:row>
      <xdr:rowOff>160776</xdr:rowOff>
    </xdr:from>
    <xdr:to>
      <xdr:col>2</xdr:col>
      <xdr:colOff>1923254</xdr:colOff>
      <xdr:row>7</xdr:row>
      <xdr:rowOff>62262</xdr:rowOff>
    </xdr:to>
    <xdr:grpSp>
      <xdr:nvGrpSpPr>
        <xdr:cNvPr id="82" name="Grupo 81">
          <a:hlinkClick xmlns:r="http://schemas.openxmlformats.org/officeDocument/2006/relationships" r:id="rId5"/>
          <a:extLst>
            <a:ext uri="{FF2B5EF4-FFF2-40B4-BE49-F238E27FC236}">
              <a16:creationId xmlns:a16="http://schemas.microsoft.com/office/drawing/2014/main" id="{00000000-0008-0000-0300-000052000000}"/>
            </a:ext>
          </a:extLst>
        </xdr:cNvPr>
        <xdr:cNvGrpSpPr/>
      </xdr:nvGrpSpPr>
      <xdr:grpSpPr>
        <a:xfrm>
          <a:off x="1808987" y="1160901"/>
          <a:ext cx="1695417" cy="320586"/>
          <a:chOff x="1323719" y="1207428"/>
          <a:chExt cx="1695417" cy="303220"/>
        </a:xfrm>
      </xdr:grpSpPr>
      <xdr:sp macro="" textlink="">
        <xdr:nvSpPr>
          <xdr:cNvPr id="83" name="Rectángulo 82">
            <a:extLst>
              <a:ext uri="{FF2B5EF4-FFF2-40B4-BE49-F238E27FC236}">
                <a16:creationId xmlns:a16="http://schemas.microsoft.com/office/drawing/2014/main" id="{00000000-0008-0000-0300-000053000000}"/>
              </a:ext>
            </a:extLst>
          </xdr:cNvPr>
          <xdr:cNvSpPr/>
        </xdr:nvSpPr>
        <xdr:spPr>
          <a:xfrm>
            <a:off x="1323719" y="1207428"/>
            <a:ext cx="1695417"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Bce Comp. Trimestral</a:t>
            </a:r>
            <a:endParaRPr lang="es-AR" sz="900" b="1">
              <a:latin typeface="Arial" panose="020B0604020202020204" pitchFamily="34" charset="0"/>
              <a:cs typeface="Arial" panose="020B0604020202020204" pitchFamily="34" charset="0"/>
            </a:endParaRPr>
          </a:p>
        </xdr:txBody>
      </xdr:sp>
      <xdr:pic>
        <xdr:nvPicPr>
          <xdr:cNvPr id="84" name="Imagen 83">
            <a:extLst>
              <a:ext uri="{FF2B5EF4-FFF2-40B4-BE49-F238E27FC236}">
                <a16:creationId xmlns:a16="http://schemas.microsoft.com/office/drawing/2014/main" id="{00000000-0008-0000-0300-000054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401304" y="1246137"/>
            <a:ext cx="202909" cy="219351"/>
          </a:xfrm>
          <a:prstGeom prst="rect">
            <a:avLst/>
          </a:prstGeom>
        </xdr:spPr>
      </xdr:pic>
    </xdr:grpSp>
    <xdr:clientData/>
  </xdr:twoCellAnchor>
  <xdr:twoCellAnchor>
    <xdr:from>
      <xdr:col>2</xdr:col>
      <xdr:colOff>2113760</xdr:colOff>
      <xdr:row>5</xdr:row>
      <xdr:rowOff>172300</xdr:rowOff>
    </xdr:from>
    <xdr:to>
      <xdr:col>3</xdr:col>
      <xdr:colOff>1225421</xdr:colOff>
      <xdr:row>7</xdr:row>
      <xdr:rowOff>75444</xdr:rowOff>
    </xdr:to>
    <xdr:grpSp>
      <xdr:nvGrpSpPr>
        <xdr:cNvPr id="85" name="Grupo 84">
          <a:hlinkClick xmlns:r="http://schemas.openxmlformats.org/officeDocument/2006/relationships" r:id="rId7"/>
          <a:extLst>
            <a:ext uri="{FF2B5EF4-FFF2-40B4-BE49-F238E27FC236}">
              <a16:creationId xmlns:a16="http://schemas.microsoft.com/office/drawing/2014/main" id="{00000000-0008-0000-0300-000055000000}"/>
            </a:ext>
          </a:extLst>
        </xdr:cNvPr>
        <xdr:cNvGrpSpPr>
          <a:grpSpLocks noChangeAspect="1"/>
        </xdr:cNvGrpSpPr>
      </xdr:nvGrpSpPr>
      <xdr:grpSpPr>
        <a:xfrm>
          <a:off x="3694910" y="1172425"/>
          <a:ext cx="1540536" cy="322244"/>
          <a:chOff x="8566150" y="1289050"/>
          <a:chExt cx="1809750" cy="295966"/>
        </a:xfrm>
      </xdr:grpSpPr>
      <xdr:sp macro="" textlink="">
        <xdr:nvSpPr>
          <xdr:cNvPr id="86" name="Rectángulo 85">
            <a:extLst>
              <a:ext uri="{FF2B5EF4-FFF2-40B4-BE49-F238E27FC236}">
                <a16:creationId xmlns:a16="http://schemas.microsoft.com/office/drawing/2014/main" id="{00000000-0008-0000-0300-000056000000}"/>
              </a:ext>
            </a:extLst>
          </xdr:cNvPr>
          <xdr:cNvSpPr/>
        </xdr:nvSpPr>
        <xdr:spPr>
          <a:xfrm>
            <a:off x="8566150" y="1289050"/>
            <a:ext cx="1809750" cy="29596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Balance de Situación</a:t>
            </a:r>
            <a:endParaRPr lang="es-AR" sz="900" b="1">
              <a:latin typeface="Arial" panose="020B0604020202020204" pitchFamily="34" charset="0"/>
              <a:cs typeface="Arial" panose="020B0604020202020204" pitchFamily="34" charset="0"/>
            </a:endParaRPr>
          </a:p>
        </xdr:txBody>
      </xdr:sp>
      <xdr:pic>
        <xdr:nvPicPr>
          <xdr:cNvPr id="87" name="Imagen 86">
            <a:extLst>
              <a:ext uri="{FF2B5EF4-FFF2-40B4-BE49-F238E27FC236}">
                <a16:creationId xmlns:a16="http://schemas.microsoft.com/office/drawing/2014/main" id="{00000000-0008-0000-0300-000057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629650" y="1314450"/>
            <a:ext cx="240969" cy="260349"/>
          </a:xfrm>
          <a:prstGeom prst="rect">
            <a:avLst/>
          </a:prstGeom>
        </xdr:spPr>
      </xdr:pic>
    </xdr:grpSp>
    <xdr:clientData/>
  </xdr:twoCellAnchor>
  <xdr:twoCellAnchor>
    <xdr:from>
      <xdr:col>3</xdr:col>
      <xdr:colOff>1427880</xdr:colOff>
      <xdr:row>5</xdr:row>
      <xdr:rowOff>171951</xdr:rowOff>
    </xdr:from>
    <xdr:to>
      <xdr:col>4</xdr:col>
      <xdr:colOff>605659</xdr:colOff>
      <xdr:row>7</xdr:row>
      <xdr:rowOff>72838</xdr:rowOff>
    </xdr:to>
    <xdr:grpSp>
      <xdr:nvGrpSpPr>
        <xdr:cNvPr id="88" name="Grupo 87">
          <a:hlinkClick xmlns:r="http://schemas.openxmlformats.org/officeDocument/2006/relationships" r:id="rId9"/>
          <a:extLst>
            <a:ext uri="{FF2B5EF4-FFF2-40B4-BE49-F238E27FC236}">
              <a16:creationId xmlns:a16="http://schemas.microsoft.com/office/drawing/2014/main" id="{00000000-0008-0000-0300-000058000000}"/>
            </a:ext>
          </a:extLst>
        </xdr:cNvPr>
        <xdr:cNvGrpSpPr>
          <a:grpSpLocks noChangeAspect="1"/>
        </xdr:cNvGrpSpPr>
      </xdr:nvGrpSpPr>
      <xdr:grpSpPr>
        <a:xfrm>
          <a:off x="5437905" y="1172076"/>
          <a:ext cx="1606654" cy="319987"/>
          <a:chOff x="8559800" y="1695450"/>
          <a:chExt cx="1809750" cy="298450"/>
        </a:xfrm>
      </xdr:grpSpPr>
      <xdr:sp macro="" textlink="">
        <xdr:nvSpPr>
          <xdr:cNvPr id="89" name="Rectángulo 88">
            <a:extLst>
              <a:ext uri="{FF2B5EF4-FFF2-40B4-BE49-F238E27FC236}">
                <a16:creationId xmlns:a16="http://schemas.microsoft.com/office/drawing/2014/main" id="{00000000-0008-0000-0300-000059000000}"/>
              </a:ext>
            </a:extLst>
          </xdr:cNvPr>
          <xdr:cNvSpPr/>
        </xdr:nvSpPr>
        <xdr:spPr>
          <a:xfrm>
            <a:off x="8559800" y="169545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a:latin typeface="Arial" panose="020B0604020202020204" pitchFamily="34" charset="0"/>
                <a:cs typeface="Arial" panose="020B0604020202020204" pitchFamily="34" charset="0"/>
              </a:rPr>
              <a:t>Cuenta de</a:t>
            </a:r>
            <a:r>
              <a:rPr lang="es-AR" sz="900" b="1" baseline="0">
                <a:latin typeface="Arial" panose="020B0604020202020204" pitchFamily="34" charset="0"/>
                <a:cs typeface="Arial" panose="020B0604020202020204" pitchFamily="34" charset="0"/>
              </a:rPr>
              <a:t> PyG</a:t>
            </a:r>
            <a:endParaRPr lang="es-AR" sz="900" b="1">
              <a:latin typeface="Arial" panose="020B0604020202020204" pitchFamily="34" charset="0"/>
              <a:cs typeface="Arial" panose="020B0604020202020204" pitchFamily="34" charset="0"/>
            </a:endParaRPr>
          </a:p>
        </xdr:txBody>
      </xdr:sp>
      <xdr:pic>
        <xdr:nvPicPr>
          <xdr:cNvPr id="90" name="Imagen 89">
            <a:extLst>
              <a:ext uri="{FF2B5EF4-FFF2-40B4-BE49-F238E27FC236}">
                <a16:creationId xmlns:a16="http://schemas.microsoft.com/office/drawing/2014/main" id="{00000000-0008-0000-0300-00005A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48700" y="1714500"/>
            <a:ext cx="226200" cy="226200"/>
          </a:xfrm>
          <a:prstGeom prst="rect">
            <a:avLst/>
          </a:prstGeom>
        </xdr:spPr>
      </xdr:pic>
    </xdr:grpSp>
    <xdr:clientData/>
  </xdr:twoCellAnchor>
  <xdr:twoCellAnchor>
    <xdr:from>
      <xdr:col>4</xdr:col>
      <xdr:colOff>820029</xdr:colOff>
      <xdr:row>5</xdr:row>
      <xdr:rowOff>167360</xdr:rowOff>
    </xdr:from>
    <xdr:to>
      <xdr:col>9</xdr:col>
      <xdr:colOff>1486002</xdr:colOff>
      <xdr:row>7</xdr:row>
      <xdr:rowOff>68026</xdr:rowOff>
    </xdr:to>
    <xdr:grpSp>
      <xdr:nvGrpSpPr>
        <xdr:cNvPr id="5" name="Grupo 4">
          <a:extLst>
            <a:ext uri="{FF2B5EF4-FFF2-40B4-BE49-F238E27FC236}">
              <a16:creationId xmlns:a16="http://schemas.microsoft.com/office/drawing/2014/main" id="{00000000-0008-0000-0300-000005000000}"/>
            </a:ext>
          </a:extLst>
        </xdr:cNvPr>
        <xdr:cNvGrpSpPr/>
      </xdr:nvGrpSpPr>
      <xdr:grpSpPr>
        <a:xfrm>
          <a:off x="7258929" y="1167485"/>
          <a:ext cx="1704198" cy="319766"/>
          <a:chOff x="7571764" y="1139299"/>
          <a:chExt cx="1754544" cy="302400"/>
        </a:xfrm>
      </xdr:grpSpPr>
      <xdr:sp macro="" textlink="">
        <xdr:nvSpPr>
          <xdr:cNvPr id="94" name="Rectángulo 93">
            <a:extLst>
              <a:ext uri="{FF2B5EF4-FFF2-40B4-BE49-F238E27FC236}">
                <a16:creationId xmlns:a16="http://schemas.microsoft.com/office/drawing/2014/main" id="{00000000-0008-0000-0300-00005E000000}"/>
              </a:ext>
            </a:extLst>
          </xdr:cNvPr>
          <xdr:cNvSpPr>
            <a:spLocks noChangeAspect="1"/>
          </xdr:cNvSpPr>
        </xdr:nvSpPr>
        <xdr:spPr>
          <a:xfrm>
            <a:off x="7571764" y="1139299"/>
            <a:ext cx="1754544" cy="30240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Indicadores</a:t>
            </a:r>
            <a:endParaRPr lang="es-AR" sz="900" b="1">
              <a:latin typeface="Arial" panose="020B0604020202020204" pitchFamily="34" charset="0"/>
              <a:cs typeface="Arial" panose="020B0604020202020204" pitchFamily="34" charset="0"/>
            </a:endParaRPr>
          </a:p>
        </xdr:txBody>
      </xdr:sp>
      <xdr:pic>
        <xdr:nvPicPr>
          <xdr:cNvPr id="95" name="Imagen 94">
            <a:extLst>
              <a:ext uri="{FF2B5EF4-FFF2-40B4-BE49-F238E27FC236}">
                <a16:creationId xmlns:a16="http://schemas.microsoft.com/office/drawing/2014/main" id="{00000000-0008-0000-0300-00005F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626378" y="1158601"/>
            <a:ext cx="248799" cy="260024"/>
          </a:xfrm>
          <a:prstGeom prst="rect">
            <a:avLst/>
          </a:prstGeom>
        </xdr:spPr>
      </xdr:pic>
    </xdr:grpSp>
    <xdr:clientData/>
  </xdr:twoCellAnchor>
  <xdr:twoCellAnchor>
    <xdr:from>
      <xdr:col>3</xdr:col>
      <xdr:colOff>1418794</xdr:colOff>
      <xdr:row>4</xdr:row>
      <xdr:rowOff>0</xdr:rowOff>
    </xdr:from>
    <xdr:to>
      <xdr:col>4</xdr:col>
      <xdr:colOff>611433</xdr:colOff>
      <xdr:row>5</xdr:row>
      <xdr:rowOff>69134</xdr:rowOff>
    </xdr:to>
    <xdr:grpSp>
      <xdr:nvGrpSpPr>
        <xdr:cNvPr id="6" name="Grupo 5">
          <a:hlinkClick xmlns:r="http://schemas.openxmlformats.org/officeDocument/2006/relationships" r:id="rId12"/>
          <a:extLst>
            <a:ext uri="{FF2B5EF4-FFF2-40B4-BE49-F238E27FC236}">
              <a16:creationId xmlns:a16="http://schemas.microsoft.com/office/drawing/2014/main" id="{00000000-0008-0000-0300-000006000000}"/>
            </a:ext>
          </a:extLst>
        </xdr:cNvPr>
        <xdr:cNvGrpSpPr/>
      </xdr:nvGrpSpPr>
      <xdr:grpSpPr>
        <a:xfrm>
          <a:off x="5428819" y="762000"/>
          <a:ext cx="1621514" cy="307259"/>
          <a:chOff x="5624049" y="738673"/>
          <a:chExt cx="1739119" cy="302400"/>
        </a:xfrm>
      </xdr:grpSpPr>
      <xdr:sp macro="" textlink="">
        <xdr:nvSpPr>
          <xdr:cNvPr id="91" name="Rectángulo 90">
            <a:extLst>
              <a:ext uri="{FF2B5EF4-FFF2-40B4-BE49-F238E27FC236}">
                <a16:creationId xmlns:a16="http://schemas.microsoft.com/office/drawing/2014/main" id="{00000000-0008-0000-0300-00005B000000}"/>
              </a:ext>
            </a:extLst>
          </xdr:cNvPr>
          <xdr:cNvSpPr>
            <a:spLocks noChangeAspect="1"/>
          </xdr:cNvSpPr>
        </xdr:nvSpPr>
        <xdr:spPr>
          <a:xfrm>
            <a:off x="5624049" y="738673"/>
            <a:ext cx="1739119" cy="30240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Libro Diario</a:t>
            </a:r>
            <a:endParaRPr lang="es-AR" sz="900" b="1">
              <a:latin typeface="Arial" panose="020B0604020202020204" pitchFamily="34" charset="0"/>
              <a:cs typeface="Arial" panose="020B0604020202020204" pitchFamily="34" charset="0"/>
            </a:endParaRPr>
          </a:p>
        </xdr:txBody>
      </xdr:sp>
      <xdr:pic>
        <xdr:nvPicPr>
          <xdr:cNvPr id="27" name="12 Imagen" descr="Hoja.PNG">
            <a:extLst>
              <a:ext uri="{FF2B5EF4-FFF2-40B4-BE49-F238E27FC236}">
                <a16:creationId xmlns:a16="http://schemas.microsoft.com/office/drawing/2014/main" id="{00000000-0008-0000-0300-00001B000000}"/>
              </a:ext>
            </a:extLst>
          </xdr:cNvPr>
          <xdr:cNvPicPr>
            <a:picLocks noChangeAspect="1"/>
          </xdr:cNvPicPr>
        </xdr:nvPicPr>
        <xdr:blipFill>
          <a:blip xmlns:r="http://schemas.openxmlformats.org/officeDocument/2006/relationships" r:embed="rId13" cstate="print"/>
          <a:stretch>
            <a:fillRect/>
          </a:stretch>
        </xdr:blipFill>
        <xdr:spPr>
          <a:xfrm>
            <a:off x="5708520" y="771071"/>
            <a:ext cx="230481" cy="238248"/>
          </a:xfrm>
          <a:prstGeom prst="rect">
            <a:avLst/>
          </a:prstGeom>
        </xdr:spPr>
      </xdr:pic>
    </xdr:grpSp>
    <xdr:clientData/>
  </xdr:twoCellAnchor>
  <xdr:twoCellAnchor>
    <xdr:from>
      <xdr:col>4</xdr:col>
      <xdr:colOff>811778</xdr:colOff>
      <xdr:row>4</xdr:row>
      <xdr:rowOff>15350</xdr:rowOff>
    </xdr:from>
    <xdr:to>
      <xdr:col>9</xdr:col>
      <xdr:colOff>1477751</xdr:colOff>
      <xdr:row>5</xdr:row>
      <xdr:rowOff>85304</xdr:rowOff>
    </xdr:to>
    <xdr:grpSp>
      <xdr:nvGrpSpPr>
        <xdr:cNvPr id="7" name="Grupo 6">
          <a:hlinkClick xmlns:r="http://schemas.openxmlformats.org/officeDocument/2006/relationships" r:id="rId14"/>
          <a:extLst>
            <a:ext uri="{FF2B5EF4-FFF2-40B4-BE49-F238E27FC236}">
              <a16:creationId xmlns:a16="http://schemas.microsoft.com/office/drawing/2014/main" id="{00000000-0008-0000-0300-000007000000}"/>
            </a:ext>
          </a:extLst>
        </xdr:cNvPr>
        <xdr:cNvGrpSpPr/>
      </xdr:nvGrpSpPr>
      <xdr:grpSpPr>
        <a:xfrm>
          <a:off x="7250678" y="777350"/>
          <a:ext cx="1704198" cy="308079"/>
          <a:chOff x="7563513" y="754023"/>
          <a:chExt cx="1754544" cy="303220"/>
        </a:xfrm>
      </xdr:grpSpPr>
      <xdr:sp macro="" textlink="">
        <xdr:nvSpPr>
          <xdr:cNvPr id="92" name="Rectángulo 91">
            <a:extLst>
              <a:ext uri="{FF2B5EF4-FFF2-40B4-BE49-F238E27FC236}">
                <a16:creationId xmlns:a16="http://schemas.microsoft.com/office/drawing/2014/main" id="{00000000-0008-0000-0300-00005C000000}"/>
              </a:ext>
            </a:extLst>
          </xdr:cNvPr>
          <xdr:cNvSpPr/>
        </xdr:nvSpPr>
        <xdr:spPr>
          <a:xfrm>
            <a:off x="7563513" y="754023"/>
            <a:ext cx="1754544"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b="1">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Bal. Comp. Inicial</a:t>
            </a:r>
            <a:endParaRPr lang="es-AR" sz="900" b="1">
              <a:latin typeface="Arial" panose="020B0604020202020204" pitchFamily="34" charset="0"/>
              <a:cs typeface="Arial" panose="020B0604020202020204" pitchFamily="34" charset="0"/>
            </a:endParaRPr>
          </a:p>
        </xdr:txBody>
      </xdr:sp>
      <xdr:pic>
        <xdr:nvPicPr>
          <xdr:cNvPr id="29" name="17 Imagen" descr="Icono 1.PNG">
            <a:extLst>
              <a:ext uri="{FF2B5EF4-FFF2-40B4-BE49-F238E27FC236}">
                <a16:creationId xmlns:a16="http://schemas.microsoft.com/office/drawing/2014/main" id="{00000000-0008-0000-0300-00001D000000}"/>
              </a:ext>
            </a:extLst>
          </xdr:cNvPr>
          <xdr:cNvPicPr>
            <a:picLocks noChangeAspect="1"/>
          </xdr:cNvPicPr>
        </xdr:nvPicPr>
        <xdr:blipFill>
          <a:blip xmlns:r="http://schemas.openxmlformats.org/officeDocument/2006/relationships" r:embed="rId15" cstate="print"/>
          <a:stretch>
            <a:fillRect/>
          </a:stretch>
        </xdr:blipFill>
        <xdr:spPr>
          <a:xfrm>
            <a:off x="7658880" y="784033"/>
            <a:ext cx="194386" cy="245289"/>
          </a:xfrm>
          <a:prstGeom prst="rect">
            <a:avLst/>
          </a:prstGeom>
        </xdr:spPr>
      </xdr:pic>
    </xdr:grpSp>
    <xdr:clientData/>
  </xdr:twoCellAnchor>
  <xdr:twoCellAnchor>
    <xdr:from>
      <xdr:col>0</xdr:col>
      <xdr:colOff>427653</xdr:colOff>
      <xdr:row>0</xdr:row>
      <xdr:rowOff>58317</xdr:rowOff>
    </xdr:from>
    <xdr:to>
      <xdr:col>10</xdr:col>
      <xdr:colOff>145791</xdr:colOff>
      <xdr:row>3</xdr:row>
      <xdr:rowOff>154893</xdr:rowOff>
    </xdr:to>
    <xdr:grpSp>
      <xdr:nvGrpSpPr>
        <xdr:cNvPr id="37" name="Grupo 36">
          <a:extLst>
            <a:ext uri="{FF2B5EF4-FFF2-40B4-BE49-F238E27FC236}">
              <a16:creationId xmlns:a16="http://schemas.microsoft.com/office/drawing/2014/main" id="{00000000-0008-0000-0300-000025000000}"/>
            </a:ext>
          </a:extLst>
        </xdr:cNvPr>
        <xdr:cNvGrpSpPr/>
      </xdr:nvGrpSpPr>
      <xdr:grpSpPr>
        <a:xfrm>
          <a:off x="427653" y="58317"/>
          <a:ext cx="9900363" cy="668076"/>
          <a:chOff x="104775" y="200025"/>
          <a:chExt cx="10477500" cy="914400"/>
        </a:xfrm>
      </xdr:grpSpPr>
      <xdr:sp macro="" textlink="">
        <xdr:nvSpPr>
          <xdr:cNvPr id="38" name="Rectángulo 37">
            <a:extLst>
              <a:ext uri="{FF2B5EF4-FFF2-40B4-BE49-F238E27FC236}">
                <a16:creationId xmlns:a16="http://schemas.microsoft.com/office/drawing/2014/main" id="{00000000-0008-0000-0300-000026000000}"/>
              </a:ext>
              <a:ext uri="{147F2762-F138-4A5C-976F-8EAC2B608ADB}">
                <a16:predDERef xmlns:a16="http://schemas.microsoft.com/office/drawing/2014/main" pred="{00000000-0008-0000-0100-000008000000}"/>
              </a:ext>
            </a:extLst>
          </xdr:cNvPr>
          <xdr:cNvSpPr/>
        </xdr:nvSpPr>
        <xdr:spPr>
          <a:xfrm>
            <a:off x="104775" y="200025"/>
            <a:ext cx="10372725" cy="914400"/>
          </a:xfrm>
          <a:prstGeom prst="rect">
            <a:avLst/>
          </a:prstGeom>
          <a:solidFill>
            <a:srgbClr val="D6E4E6"/>
          </a:solidFill>
          <a:ln>
            <a:solidFill>
              <a:srgbClr val="075D6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sp macro="" textlink="">
        <xdr:nvSpPr>
          <xdr:cNvPr id="39" name="Rectángulo 38">
            <a:extLst>
              <a:ext uri="{FF2B5EF4-FFF2-40B4-BE49-F238E27FC236}">
                <a16:creationId xmlns:a16="http://schemas.microsoft.com/office/drawing/2014/main" id="{00000000-0008-0000-0300-000027000000}"/>
              </a:ext>
              <a:ext uri="{147F2762-F138-4A5C-976F-8EAC2B608ADB}">
                <a16:predDERef xmlns:a16="http://schemas.microsoft.com/office/drawing/2014/main" pred="{00000000-0008-0000-0200-000003000000}"/>
              </a:ext>
            </a:extLst>
          </xdr:cNvPr>
          <xdr:cNvSpPr/>
        </xdr:nvSpPr>
        <xdr:spPr>
          <a:xfrm>
            <a:off x="2667000" y="247650"/>
            <a:ext cx="7915275"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200" b="1">
                <a:solidFill>
                  <a:sysClr val="windowText" lastClr="000000"/>
                </a:solidFill>
              </a:rPr>
              <a:t>Herramienta educativa para la</a:t>
            </a:r>
            <a:r>
              <a:rPr lang="es-AR" sz="1200" b="1" baseline="0">
                <a:solidFill>
                  <a:sysClr val="windowText" lastClr="000000"/>
                </a:solidFill>
              </a:rPr>
              <a:t> gestión contable en</a:t>
            </a:r>
          </a:p>
          <a:p>
            <a:pPr algn="ctr"/>
            <a:r>
              <a:rPr lang="es-AR" sz="1200" b="1" baseline="0">
                <a:solidFill>
                  <a:sysClr val="windowText" lastClr="000000"/>
                </a:solidFill>
              </a:rPr>
              <a:t>asignaturas de "Introducción a la Contabilidad" a nivel de Grado</a:t>
            </a:r>
          </a:p>
          <a:p>
            <a:pPr algn="ctr"/>
            <a:endParaRPr lang="es-AR" sz="1200" b="1" baseline="0">
              <a:solidFill>
                <a:sysClr val="windowText" lastClr="000000"/>
              </a:solidFill>
            </a:endParaRPr>
          </a:p>
        </xdr:txBody>
      </xdr:sp>
      <xdr:sp macro="" textlink="">
        <xdr:nvSpPr>
          <xdr:cNvPr id="40" name="Rectángulo 39">
            <a:extLst>
              <a:ext uri="{FF2B5EF4-FFF2-40B4-BE49-F238E27FC236}">
                <a16:creationId xmlns:a16="http://schemas.microsoft.com/office/drawing/2014/main" id="{00000000-0008-0000-0300-000028000000}"/>
              </a:ext>
              <a:ext uri="{147F2762-F138-4A5C-976F-8EAC2B608ADB}">
                <a16:predDERef xmlns:a16="http://schemas.microsoft.com/office/drawing/2014/main" pred="{00000000-0008-0000-0100-00000E000000}"/>
              </a:ext>
            </a:extLst>
          </xdr:cNvPr>
          <xdr:cNvSpPr/>
        </xdr:nvSpPr>
        <xdr:spPr>
          <a:xfrm>
            <a:off x="4070350" y="771988"/>
            <a:ext cx="5057775" cy="277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050" b="1">
                <a:solidFill>
                  <a:sysClr val="windowText" lastClr="000000"/>
                </a:solidFill>
              </a:rPr>
              <a:t>Aplicación al caso práctico "QUESERÍA LA GANADORA"</a:t>
            </a:r>
            <a:endParaRPr lang="es-AR" sz="1050">
              <a:solidFill>
                <a:sysClr val="windowText" lastClr="000000"/>
              </a:solidFill>
            </a:endParaRPr>
          </a:p>
        </xdr:txBody>
      </xdr:sp>
      <xdr:pic>
        <xdr:nvPicPr>
          <xdr:cNvPr id="41" name="Imagen 40">
            <a:extLst>
              <a:ext uri="{FF2B5EF4-FFF2-40B4-BE49-F238E27FC236}">
                <a16:creationId xmlns:a16="http://schemas.microsoft.com/office/drawing/2014/main" id="{00000000-0008-0000-0300-000029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77800" y="307975"/>
            <a:ext cx="2570435" cy="721590"/>
          </a:xfrm>
          <a:prstGeom prst="rect">
            <a:avLst/>
          </a:prstGeom>
          <a:noFill/>
        </xdr:spPr>
      </xdr:pic>
    </xdr:grpSp>
    <xdr:clientData/>
  </xdr:twoCellAnchor>
  <xdr:twoCellAnchor editAs="oneCell">
    <xdr:from>
      <xdr:col>9</xdr:col>
      <xdr:colOff>2041071</xdr:colOff>
      <xdr:row>0</xdr:row>
      <xdr:rowOff>106913</xdr:rowOff>
    </xdr:from>
    <xdr:to>
      <xdr:col>9</xdr:col>
      <xdr:colOff>2663112</xdr:colOff>
      <xdr:row>3</xdr:row>
      <xdr:rowOff>120809</xdr:rowOff>
    </xdr:to>
    <xdr:pic>
      <xdr:nvPicPr>
        <xdr:cNvPr id="32" name="Imagen 31">
          <a:extLst>
            <a:ext uri="{FF2B5EF4-FFF2-40B4-BE49-F238E27FC236}">
              <a16:creationId xmlns:a16="http://schemas.microsoft.com/office/drawing/2014/main" id="{00000000-0008-0000-0300-000020000000}"/>
            </a:ext>
          </a:extLst>
        </xdr:cNvPr>
        <xdr:cNvPicPr>
          <a:picLocks noChangeAspect="1"/>
        </xdr:cNvPicPr>
      </xdr:nvPicPr>
      <xdr:blipFill>
        <a:blip xmlns:r="http://schemas.openxmlformats.org/officeDocument/2006/relationships" r:embed="rId17"/>
        <a:stretch>
          <a:fillRect/>
        </a:stretch>
      </xdr:blipFill>
      <xdr:spPr>
        <a:xfrm>
          <a:off x="9525000" y="106913"/>
          <a:ext cx="622041" cy="5970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0</xdr:row>
      <xdr:rowOff>31750</xdr:rowOff>
    </xdr:from>
    <xdr:to>
      <xdr:col>5</xdr:col>
      <xdr:colOff>228600</xdr:colOff>
      <xdr:row>3</xdr:row>
      <xdr:rowOff>79375</xdr:rowOff>
    </xdr:to>
    <xdr:grpSp>
      <xdr:nvGrpSpPr>
        <xdr:cNvPr id="2" name="Grupo 1">
          <a:extLst>
            <a:ext uri="{FF2B5EF4-FFF2-40B4-BE49-F238E27FC236}">
              <a16:creationId xmlns:a16="http://schemas.microsoft.com/office/drawing/2014/main" id="{00000000-0008-0000-0400-000002000000}"/>
            </a:ext>
          </a:extLst>
        </xdr:cNvPr>
        <xdr:cNvGrpSpPr/>
      </xdr:nvGrpSpPr>
      <xdr:grpSpPr>
        <a:xfrm>
          <a:off x="1" y="31750"/>
          <a:ext cx="9239249" cy="619125"/>
          <a:chOff x="1" y="38100"/>
          <a:chExt cx="8274048" cy="596901"/>
        </a:xfrm>
      </xdr:grpSpPr>
      <xdr:grpSp>
        <xdr:nvGrpSpPr>
          <xdr:cNvPr id="3" name="Grupo 2">
            <a:extLst>
              <a:ext uri="{FF2B5EF4-FFF2-40B4-BE49-F238E27FC236}">
                <a16:creationId xmlns:a16="http://schemas.microsoft.com/office/drawing/2014/main" id="{00000000-0008-0000-0400-000003000000}"/>
              </a:ext>
            </a:extLst>
          </xdr:cNvPr>
          <xdr:cNvGrpSpPr/>
        </xdr:nvGrpSpPr>
        <xdr:grpSpPr>
          <a:xfrm>
            <a:off x="1" y="38100"/>
            <a:ext cx="8274048" cy="596901"/>
            <a:chOff x="1" y="43248"/>
            <a:chExt cx="8167264" cy="677548"/>
          </a:xfrm>
        </xdr:grpSpPr>
        <xdr:sp macro="" textlink="">
          <xdr:nvSpPr>
            <xdr:cNvPr id="5" name="Rectángulo 4">
              <a:extLst>
                <a:ext uri="{FF2B5EF4-FFF2-40B4-BE49-F238E27FC236}">
                  <a16:creationId xmlns:a16="http://schemas.microsoft.com/office/drawing/2014/main" id="{00000000-0008-0000-0400-000005000000}"/>
                </a:ext>
              </a:extLst>
            </xdr:cNvPr>
            <xdr:cNvSpPr/>
          </xdr:nvSpPr>
          <xdr:spPr>
            <a:xfrm>
              <a:off x="37608" y="56805"/>
              <a:ext cx="8129657" cy="639693"/>
            </a:xfrm>
            <a:prstGeom prst="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pic>
          <xdr:nvPicPr>
            <xdr:cNvPr id="6" name="Imagen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43248"/>
              <a:ext cx="2017669" cy="677548"/>
            </a:xfrm>
            <a:prstGeom prst="rect">
              <a:avLst/>
            </a:prstGeom>
            <a:noFill/>
          </xdr:spPr>
        </xdr:pic>
      </xdr:grpSp>
      <xdr:sp macro="" textlink="">
        <xdr:nvSpPr>
          <xdr:cNvPr id="4" name="Rectángulo 3">
            <a:extLst>
              <a:ext uri="{FF2B5EF4-FFF2-40B4-BE49-F238E27FC236}">
                <a16:creationId xmlns:a16="http://schemas.microsoft.com/office/drawing/2014/main" id="{00000000-0008-0000-0400-000004000000}"/>
              </a:ext>
            </a:extLst>
          </xdr:cNvPr>
          <xdr:cNvSpPr/>
        </xdr:nvSpPr>
        <xdr:spPr>
          <a:xfrm>
            <a:off x="5607050" y="120650"/>
            <a:ext cx="2616200" cy="438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s-AR" sz="1100" b="1">
                <a:solidFill>
                  <a:sysClr val="windowText" lastClr="000000"/>
                </a:solidFill>
              </a:rPr>
              <a:t>Sistemas</a:t>
            </a:r>
            <a:r>
              <a:rPr lang="es-AR" sz="1100" b="1" baseline="0">
                <a:solidFill>
                  <a:sysClr val="windowText" lastClr="000000"/>
                </a:solidFill>
              </a:rPr>
              <a:t> de Información Contable</a:t>
            </a:r>
          </a:p>
          <a:p>
            <a:pPr algn="r"/>
            <a:r>
              <a:rPr lang="es-AR" sz="1100" baseline="0">
                <a:solidFill>
                  <a:sysClr val="windowText" lastClr="000000"/>
                </a:solidFill>
              </a:rPr>
              <a:t>Grado de Relaciones Internacionales</a:t>
            </a:r>
            <a:endParaRPr lang="es-AR" sz="1100">
              <a:solidFill>
                <a:sysClr val="windowText" lastClr="000000"/>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1770567</xdr:colOff>
      <xdr:row>4</xdr:row>
      <xdr:rowOff>1005</xdr:rowOff>
    </xdr:from>
    <xdr:to>
      <xdr:col>8</xdr:col>
      <xdr:colOff>524604</xdr:colOff>
      <xdr:row>5</xdr:row>
      <xdr:rowOff>73319</xdr:rowOff>
    </xdr:to>
    <xdr:grpSp>
      <xdr:nvGrpSpPr>
        <xdr:cNvPr id="35" name="Grupo 34">
          <a:hlinkClick xmlns:r="http://schemas.openxmlformats.org/officeDocument/2006/relationships" r:id="rId1"/>
          <a:extLst>
            <a:ext uri="{FF2B5EF4-FFF2-40B4-BE49-F238E27FC236}">
              <a16:creationId xmlns:a16="http://schemas.microsoft.com/office/drawing/2014/main" id="{00000000-0008-0000-0500-000023000000}"/>
            </a:ext>
          </a:extLst>
        </xdr:cNvPr>
        <xdr:cNvGrpSpPr>
          <a:grpSpLocks noChangeAspect="1"/>
        </xdr:cNvGrpSpPr>
      </xdr:nvGrpSpPr>
      <xdr:grpSpPr>
        <a:xfrm>
          <a:off x="4313742" y="772530"/>
          <a:ext cx="1516287" cy="300914"/>
          <a:chOff x="8559800" y="508000"/>
          <a:chExt cx="1809750" cy="298450"/>
        </a:xfrm>
      </xdr:grpSpPr>
      <xdr:sp macro="" textlink="">
        <xdr:nvSpPr>
          <xdr:cNvPr id="36" name="Rectángulo 35">
            <a:extLst>
              <a:ext uri="{FF2B5EF4-FFF2-40B4-BE49-F238E27FC236}">
                <a16:creationId xmlns:a16="http://schemas.microsoft.com/office/drawing/2014/main" id="{00000000-0008-0000-0500-000024000000}"/>
              </a:ext>
            </a:extLst>
          </xdr:cNvPr>
          <xdr:cNvSpPr/>
        </xdr:nvSpPr>
        <xdr:spPr>
          <a:xfrm>
            <a:off x="8559800" y="50800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Libro Mayor</a:t>
            </a:r>
            <a:endParaRPr lang="es-AR" sz="900" b="1">
              <a:latin typeface="Arial" panose="020B0604020202020204" pitchFamily="34" charset="0"/>
              <a:cs typeface="Arial" panose="020B0604020202020204" pitchFamily="34" charset="0"/>
            </a:endParaRPr>
          </a:p>
        </xdr:txBody>
      </xdr:sp>
      <xdr:pic>
        <xdr:nvPicPr>
          <xdr:cNvPr id="37" name="Imagen 36">
            <a:extLst>
              <a:ext uri="{FF2B5EF4-FFF2-40B4-BE49-F238E27FC236}">
                <a16:creationId xmlns:a16="http://schemas.microsoft.com/office/drawing/2014/main" id="{00000000-0008-0000-0500-00002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636000" y="539750"/>
            <a:ext cx="222250" cy="222250"/>
          </a:xfrm>
          <a:prstGeom prst="rect">
            <a:avLst/>
          </a:prstGeom>
        </xdr:spPr>
      </xdr:pic>
    </xdr:grpSp>
    <xdr:clientData/>
  </xdr:twoCellAnchor>
  <xdr:twoCellAnchor>
    <xdr:from>
      <xdr:col>2</xdr:col>
      <xdr:colOff>975661</xdr:colOff>
      <xdr:row>4</xdr:row>
      <xdr:rowOff>0</xdr:rowOff>
    </xdr:from>
    <xdr:to>
      <xdr:col>7</xdr:col>
      <xdr:colOff>1594786</xdr:colOff>
      <xdr:row>5</xdr:row>
      <xdr:rowOff>76200</xdr:rowOff>
    </xdr:to>
    <xdr:grpSp>
      <xdr:nvGrpSpPr>
        <xdr:cNvPr id="38" name="Grupo 37">
          <a:hlinkClick xmlns:r="http://schemas.openxmlformats.org/officeDocument/2006/relationships" r:id="rId3"/>
          <a:extLst>
            <a:ext uri="{FF2B5EF4-FFF2-40B4-BE49-F238E27FC236}">
              <a16:creationId xmlns:a16="http://schemas.microsoft.com/office/drawing/2014/main" id="{00000000-0008-0000-0500-000026000000}"/>
            </a:ext>
            <a:ext uri="{147F2762-F138-4A5C-976F-8EAC2B608ADB}">
              <a16:predDERef xmlns:a16="http://schemas.microsoft.com/office/drawing/2014/main" pred="{00000000-0008-0000-0300-000016000000}"/>
            </a:ext>
          </a:extLst>
        </xdr:cNvPr>
        <xdr:cNvGrpSpPr/>
      </xdr:nvGrpSpPr>
      <xdr:grpSpPr>
        <a:xfrm>
          <a:off x="2413936" y="771525"/>
          <a:ext cx="1724025" cy="304800"/>
          <a:chOff x="1316186" y="814566"/>
          <a:chExt cx="1714496" cy="304456"/>
        </a:xfrm>
      </xdr:grpSpPr>
      <xdr:sp macro="" textlink="">
        <xdr:nvSpPr>
          <xdr:cNvPr id="39" name="Rectángulo 38">
            <a:extLst>
              <a:ext uri="{FF2B5EF4-FFF2-40B4-BE49-F238E27FC236}">
                <a16:creationId xmlns:a16="http://schemas.microsoft.com/office/drawing/2014/main" id="{00000000-0008-0000-0500-000027000000}"/>
              </a:ext>
            </a:extLst>
          </xdr:cNvPr>
          <xdr:cNvSpPr/>
        </xdr:nvSpPr>
        <xdr:spPr>
          <a:xfrm>
            <a:off x="1316186" y="814566"/>
            <a:ext cx="1714496" cy="30445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Cuentas Individuales</a:t>
            </a:r>
            <a:endParaRPr lang="es-AR" sz="900" b="1">
              <a:latin typeface="Arial" panose="020B0604020202020204" pitchFamily="34" charset="0"/>
              <a:cs typeface="Arial" panose="020B0604020202020204" pitchFamily="34" charset="0"/>
            </a:endParaRPr>
          </a:p>
        </xdr:txBody>
      </xdr:sp>
      <xdr:pic>
        <xdr:nvPicPr>
          <xdr:cNvPr id="40" name="Imagen 39">
            <a:extLst>
              <a:ext uri="{FF2B5EF4-FFF2-40B4-BE49-F238E27FC236}">
                <a16:creationId xmlns:a16="http://schemas.microsoft.com/office/drawing/2014/main" id="{00000000-0008-0000-0500-00002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20748" y="859206"/>
            <a:ext cx="215059" cy="233200"/>
          </a:xfrm>
          <a:prstGeom prst="rect">
            <a:avLst/>
          </a:prstGeom>
        </xdr:spPr>
      </xdr:pic>
    </xdr:grpSp>
    <xdr:clientData/>
  </xdr:twoCellAnchor>
  <xdr:twoCellAnchor>
    <xdr:from>
      <xdr:col>2</xdr:col>
      <xdr:colOff>985186</xdr:colOff>
      <xdr:row>5</xdr:row>
      <xdr:rowOff>161925</xdr:rowOff>
    </xdr:from>
    <xdr:to>
      <xdr:col>7</xdr:col>
      <xdr:colOff>1575736</xdr:colOff>
      <xdr:row>7</xdr:row>
      <xdr:rowOff>9525</xdr:rowOff>
    </xdr:to>
    <xdr:grpSp>
      <xdr:nvGrpSpPr>
        <xdr:cNvPr id="41" name="Grupo 40">
          <a:hlinkClick xmlns:r="http://schemas.openxmlformats.org/officeDocument/2006/relationships" r:id="rId5"/>
          <a:extLst>
            <a:ext uri="{FF2B5EF4-FFF2-40B4-BE49-F238E27FC236}">
              <a16:creationId xmlns:a16="http://schemas.microsoft.com/office/drawing/2014/main" id="{00000000-0008-0000-0500-000029000000}"/>
            </a:ext>
            <a:ext uri="{147F2762-F138-4A5C-976F-8EAC2B608ADB}">
              <a16:predDERef xmlns:a16="http://schemas.microsoft.com/office/drawing/2014/main" pred="{00000000-0008-0000-0600-000026000000}"/>
            </a:ext>
          </a:extLst>
        </xdr:cNvPr>
        <xdr:cNvGrpSpPr/>
      </xdr:nvGrpSpPr>
      <xdr:grpSpPr>
        <a:xfrm>
          <a:off x="2423461" y="1162050"/>
          <a:ext cx="1695450" cy="304800"/>
          <a:chOff x="1323719" y="1207428"/>
          <a:chExt cx="1695417" cy="303220"/>
        </a:xfrm>
      </xdr:grpSpPr>
      <xdr:sp macro="" textlink="">
        <xdr:nvSpPr>
          <xdr:cNvPr id="42" name="Rectángulo 41">
            <a:extLst>
              <a:ext uri="{FF2B5EF4-FFF2-40B4-BE49-F238E27FC236}">
                <a16:creationId xmlns:a16="http://schemas.microsoft.com/office/drawing/2014/main" id="{00000000-0008-0000-0500-00002A000000}"/>
              </a:ext>
            </a:extLst>
          </xdr:cNvPr>
          <xdr:cNvSpPr/>
        </xdr:nvSpPr>
        <xdr:spPr>
          <a:xfrm>
            <a:off x="1323719" y="1207428"/>
            <a:ext cx="1695417"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Bce Comp. Trimestral</a:t>
            </a:r>
            <a:endParaRPr lang="es-AR" sz="900" b="1">
              <a:latin typeface="Arial" panose="020B0604020202020204" pitchFamily="34" charset="0"/>
              <a:cs typeface="Arial" panose="020B0604020202020204" pitchFamily="34" charset="0"/>
            </a:endParaRPr>
          </a:p>
        </xdr:txBody>
      </xdr:sp>
      <xdr:pic>
        <xdr:nvPicPr>
          <xdr:cNvPr id="43" name="Imagen 42">
            <a:extLst>
              <a:ext uri="{FF2B5EF4-FFF2-40B4-BE49-F238E27FC236}">
                <a16:creationId xmlns:a16="http://schemas.microsoft.com/office/drawing/2014/main" id="{00000000-0008-0000-0500-00002B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401304" y="1246137"/>
            <a:ext cx="202909" cy="219351"/>
          </a:xfrm>
          <a:prstGeom prst="rect">
            <a:avLst/>
          </a:prstGeom>
        </xdr:spPr>
      </xdr:pic>
    </xdr:grpSp>
    <xdr:clientData/>
  </xdr:twoCellAnchor>
  <xdr:twoCellAnchor>
    <xdr:from>
      <xdr:col>7</xdr:col>
      <xdr:colOff>1770567</xdr:colOff>
      <xdr:row>5</xdr:row>
      <xdr:rowOff>176966</xdr:rowOff>
    </xdr:from>
    <xdr:to>
      <xdr:col>8</xdr:col>
      <xdr:colOff>530119</xdr:colOff>
      <xdr:row>7</xdr:row>
      <xdr:rowOff>24644</xdr:rowOff>
    </xdr:to>
    <xdr:grpSp>
      <xdr:nvGrpSpPr>
        <xdr:cNvPr id="44" name="Grupo 43">
          <a:hlinkClick xmlns:r="http://schemas.openxmlformats.org/officeDocument/2006/relationships" r:id="rId7"/>
          <a:extLst>
            <a:ext uri="{FF2B5EF4-FFF2-40B4-BE49-F238E27FC236}">
              <a16:creationId xmlns:a16="http://schemas.microsoft.com/office/drawing/2014/main" id="{00000000-0008-0000-0500-00002C000000}"/>
            </a:ext>
          </a:extLst>
        </xdr:cNvPr>
        <xdr:cNvGrpSpPr>
          <a:grpSpLocks noChangeAspect="1"/>
        </xdr:cNvGrpSpPr>
      </xdr:nvGrpSpPr>
      <xdr:grpSpPr>
        <a:xfrm>
          <a:off x="4313742" y="1177091"/>
          <a:ext cx="1521802" cy="304878"/>
          <a:chOff x="8566150" y="1289050"/>
          <a:chExt cx="1809750" cy="295966"/>
        </a:xfrm>
      </xdr:grpSpPr>
      <xdr:sp macro="" textlink="">
        <xdr:nvSpPr>
          <xdr:cNvPr id="45" name="Rectángulo 44">
            <a:extLst>
              <a:ext uri="{FF2B5EF4-FFF2-40B4-BE49-F238E27FC236}">
                <a16:creationId xmlns:a16="http://schemas.microsoft.com/office/drawing/2014/main" id="{00000000-0008-0000-0500-00002D000000}"/>
              </a:ext>
            </a:extLst>
          </xdr:cNvPr>
          <xdr:cNvSpPr/>
        </xdr:nvSpPr>
        <xdr:spPr>
          <a:xfrm>
            <a:off x="8566150" y="1289050"/>
            <a:ext cx="1809750" cy="29596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Balance de Situación</a:t>
            </a:r>
            <a:endParaRPr lang="es-AR" sz="900" b="1">
              <a:latin typeface="Arial" panose="020B0604020202020204" pitchFamily="34" charset="0"/>
              <a:cs typeface="Arial" panose="020B0604020202020204" pitchFamily="34" charset="0"/>
            </a:endParaRPr>
          </a:p>
        </xdr:txBody>
      </xdr:sp>
      <xdr:pic>
        <xdr:nvPicPr>
          <xdr:cNvPr id="46" name="Imagen 45">
            <a:extLst>
              <a:ext uri="{FF2B5EF4-FFF2-40B4-BE49-F238E27FC236}">
                <a16:creationId xmlns:a16="http://schemas.microsoft.com/office/drawing/2014/main" id="{00000000-0008-0000-0500-00002E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629650" y="1314450"/>
            <a:ext cx="240969" cy="260349"/>
          </a:xfrm>
          <a:prstGeom prst="rect">
            <a:avLst/>
          </a:prstGeom>
        </xdr:spPr>
      </xdr:pic>
    </xdr:grpSp>
    <xdr:clientData/>
  </xdr:twoCellAnchor>
  <xdr:twoCellAnchor>
    <xdr:from>
      <xdr:col>8</xdr:col>
      <xdr:colOff>732578</xdr:colOff>
      <xdr:row>5</xdr:row>
      <xdr:rowOff>176617</xdr:rowOff>
    </xdr:from>
    <xdr:to>
      <xdr:col>11</xdr:col>
      <xdr:colOff>435295</xdr:colOff>
      <xdr:row>7</xdr:row>
      <xdr:rowOff>22038</xdr:rowOff>
    </xdr:to>
    <xdr:grpSp>
      <xdr:nvGrpSpPr>
        <xdr:cNvPr id="47" name="Grupo 46">
          <a:hlinkClick xmlns:r="http://schemas.openxmlformats.org/officeDocument/2006/relationships" r:id="rId9"/>
          <a:extLst>
            <a:ext uri="{FF2B5EF4-FFF2-40B4-BE49-F238E27FC236}">
              <a16:creationId xmlns:a16="http://schemas.microsoft.com/office/drawing/2014/main" id="{00000000-0008-0000-0500-00002F000000}"/>
            </a:ext>
          </a:extLst>
        </xdr:cNvPr>
        <xdr:cNvGrpSpPr>
          <a:grpSpLocks noChangeAspect="1"/>
        </xdr:cNvGrpSpPr>
      </xdr:nvGrpSpPr>
      <xdr:grpSpPr>
        <a:xfrm>
          <a:off x="6038003" y="1176742"/>
          <a:ext cx="1636292" cy="302621"/>
          <a:chOff x="8559800" y="1695450"/>
          <a:chExt cx="1809750" cy="298450"/>
        </a:xfrm>
      </xdr:grpSpPr>
      <xdr:sp macro="" textlink="">
        <xdr:nvSpPr>
          <xdr:cNvPr id="48" name="Rectángulo 47">
            <a:extLst>
              <a:ext uri="{FF2B5EF4-FFF2-40B4-BE49-F238E27FC236}">
                <a16:creationId xmlns:a16="http://schemas.microsoft.com/office/drawing/2014/main" id="{00000000-0008-0000-0500-000030000000}"/>
              </a:ext>
            </a:extLst>
          </xdr:cNvPr>
          <xdr:cNvSpPr/>
        </xdr:nvSpPr>
        <xdr:spPr>
          <a:xfrm>
            <a:off x="8559800" y="169545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a:latin typeface="Arial" panose="020B0604020202020204" pitchFamily="34" charset="0"/>
                <a:cs typeface="Arial" panose="020B0604020202020204" pitchFamily="34" charset="0"/>
              </a:rPr>
              <a:t>Cuenta de</a:t>
            </a:r>
            <a:r>
              <a:rPr lang="es-AR" sz="900" b="1" baseline="0">
                <a:latin typeface="Arial" panose="020B0604020202020204" pitchFamily="34" charset="0"/>
                <a:cs typeface="Arial" panose="020B0604020202020204" pitchFamily="34" charset="0"/>
              </a:rPr>
              <a:t> PyG</a:t>
            </a:r>
            <a:endParaRPr lang="es-AR" sz="900" b="1">
              <a:latin typeface="Arial" panose="020B0604020202020204" pitchFamily="34" charset="0"/>
              <a:cs typeface="Arial" panose="020B0604020202020204" pitchFamily="34" charset="0"/>
            </a:endParaRPr>
          </a:p>
        </xdr:txBody>
      </xdr:sp>
      <xdr:pic>
        <xdr:nvPicPr>
          <xdr:cNvPr id="49" name="Imagen 48">
            <a:extLst>
              <a:ext uri="{FF2B5EF4-FFF2-40B4-BE49-F238E27FC236}">
                <a16:creationId xmlns:a16="http://schemas.microsoft.com/office/drawing/2014/main" id="{00000000-0008-0000-0500-000031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48700" y="1714500"/>
            <a:ext cx="226200" cy="226200"/>
          </a:xfrm>
          <a:prstGeom prst="rect">
            <a:avLst/>
          </a:prstGeom>
        </xdr:spPr>
      </xdr:pic>
    </xdr:grpSp>
    <xdr:clientData/>
  </xdr:twoCellAnchor>
  <xdr:twoCellAnchor>
    <xdr:from>
      <xdr:col>11</xdr:col>
      <xdr:colOff>649665</xdr:colOff>
      <xdr:row>5</xdr:row>
      <xdr:rowOff>172026</xdr:rowOff>
    </xdr:from>
    <xdr:to>
      <xdr:col>28</xdr:col>
      <xdr:colOff>193663</xdr:colOff>
      <xdr:row>7</xdr:row>
      <xdr:rowOff>17226</xdr:rowOff>
    </xdr:to>
    <xdr:grpSp>
      <xdr:nvGrpSpPr>
        <xdr:cNvPr id="52" name="Grupo 51">
          <a:hlinkClick xmlns:r="http://schemas.openxmlformats.org/officeDocument/2006/relationships" r:id="rId11"/>
          <a:extLst>
            <a:ext uri="{FF2B5EF4-FFF2-40B4-BE49-F238E27FC236}">
              <a16:creationId xmlns:a16="http://schemas.microsoft.com/office/drawing/2014/main" id="{00000000-0008-0000-0500-000034000000}"/>
            </a:ext>
          </a:extLst>
        </xdr:cNvPr>
        <xdr:cNvGrpSpPr/>
      </xdr:nvGrpSpPr>
      <xdr:grpSpPr>
        <a:xfrm>
          <a:off x="7888665" y="1172151"/>
          <a:ext cx="1649023" cy="302400"/>
          <a:chOff x="5589555" y="1073022"/>
          <a:chExt cx="1836130" cy="310036"/>
        </a:xfrm>
      </xdr:grpSpPr>
      <xdr:sp macro="" textlink="">
        <xdr:nvSpPr>
          <xdr:cNvPr id="53" name="Rectángulo 52">
            <a:extLst>
              <a:ext uri="{FF2B5EF4-FFF2-40B4-BE49-F238E27FC236}">
                <a16:creationId xmlns:a16="http://schemas.microsoft.com/office/drawing/2014/main" id="{00000000-0008-0000-0500-000035000000}"/>
              </a:ext>
            </a:extLst>
          </xdr:cNvPr>
          <xdr:cNvSpPr>
            <a:spLocks noChangeAspect="1"/>
          </xdr:cNvSpPr>
        </xdr:nvSpPr>
        <xdr:spPr>
          <a:xfrm>
            <a:off x="5589555" y="1073022"/>
            <a:ext cx="1836130" cy="31003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Indicadores</a:t>
            </a:r>
            <a:endParaRPr lang="es-AR" sz="900" b="1">
              <a:latin typeface="Arial" panose="020B0604020202020204" pitchFamily="34" charset="0"/>
              <a:cs typeface="Arial" panose="020B0604020202020204" pitchFamily="34" charset="0"/>
            </a:endParaRPr>
          </a:p>
        </xdr:txBody>
      </xdr:sp>
      <xdr:pic>
        <xdr:nvPicPr>
          <xdr:cNvPr id="54" name="Imagen 53">
            <a:extLst>
              <a:ext uri="{FF2B5EF4-FFF2-40B4-BE49-F238E27FC236}">
                <a16:creationId xmlns:a16="http://schemas.microsoft.com/office/drawing/2014/main" id="{00000000-0008-0000-0500-000036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646709" y="1079524"/>
            <a:ext cx="260368" cy="266590"/>
          </a:xfrm>
          <a:prstGeom prst="rect">
            <a:avLst/>
          </a:prstGeom>
        </xdr:spPr>
      </xdr:pic>
    </xdr:grpSp>
    <xdr:clientData/>
  </xdr:twoCellAnchor>
  <xdr:twoCellAnchor>
    <xdr:from>
      <xdr:col>8</xdr:col>
      <xdr:colOff>723492</xdr:colOff>
      <xdr:row>4</xdr:row>
      <xdr:rowOff>0</xdr:rowOff>
    </xdr:from>
    <xdr:to>
      <xdr:col>11</xdr:col>
      <xdr:colOff>440766</xdr:colOff>
      <xdr:row>5</xdr:row>
      <xdr:rowOff>73800</xdr:rowOff>
    </xdr:to>
    <xdr:grpSp>
      <xdr:nvGrpSpPr>
        <xdr:cNvPr id="2" name="Grupo 1">
          <a:extLst>
            <a:ext uri="{FF2B5EF4-FFF2-40B4-BE49-F238E27FC236}">
              <a16:creationId xmlns:a16="http://schemas.microsoft.com/office/drawing/2014/main" id="{00000000-0008-0000-0500-000002000000}"/>
            </a:ext>
          </a:extLst>
        </xdr:cNvPr>
        <xdr:cNvGrpSpPr/>
      </xdr:nvGrpSpPr>
      <xdr:grpSpPr>
        <a:xfrm>
          <a:off x="6028917" y="771525"/>
          <a:ext cx="1650849" cy="302400"/>
          <a:chOff x="5535669" y="762000"/>
          <a:chExt cx="1739119" cy="302400"/>
        </a:xfrm>
      </xdr:grpSpPr>
      <xdr:sp macro="" textlink="">
        <xdr:nvSpPr>
          <xdr:cNvPr id="50" name="Rectángulo 49">
            <a:hlinkClick xmlns:r="http://schemas.openxmlformats.org/officeDocument/2006/relationships" r:id="rId13"/>
            <a:extLst>
              <a:ext uri="{FF2B5EF4-FFF2-40B4-BE49-F238E27FC236}">
                <a16:creationId xmlns:a16="http://schemas.microsoft.com/office/drawing/2014/main" id="{00000000-0008-0000-0500-000032000000}"/>
              </a:ext>
            </a:extLst>
          </xdr:cNvPr>
          <xdr:cNvSpPr>
            <a:spLocks noChangeAspect="1"/>
          </xdr:cNvSpPr>
        </xdr:nvSpPr>
        <xdr:spPr>
          <a:xfrm>
            <a:off x="5535669" y="762000"/>
            <a:ext cx="1739119" cy="30240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Libro Diario</a:t>
            </a:r>
            <a:endParaRPr lang="es-AR" sz="900" b="1">
              <a:latin typeface="Arial" panose="020B0604020202020204" pitchFamily="34" charset="0"/>
              <a:cs typeface="Arial" panose="020B0604020202020204" pitchFamily="34" charset="0"/>
            </a:endParaRPr>
          </a:p>
        </xdr:txBody>
      </xdr:sp>
      <xdr:pic>
        <xdr:nvPicPr>
          <xdr:cNvPr id="27" name="12 Imagen" descr="Hoja.PNG">
            <a:extLst>
              <a:ext uri="{FF2B5EF4-FFF2-40B4-BE49-F238E27FC236}">
                <a16:creationId xmlns:a16="http://schemas.microsoft.com/office/drawing/2014/main" id="{00000000-0008-0000-0500-00001B000000}"/>
              </a:ext>
            </a:extLst>
          </xdr:cNvPr>
          <xdr:cNvPicPr>
            <a:picLocks noChangeAspect="1"/>
          </xdr:cNvPicPr>
        </xdr:nvPicPr>
        <xdr:blipFill>
          <a:blip xmlns:r="http://schemas.openxmlformats.org/officeDocument/2006/relationships" r:embed="rId14" cstate="print"/>
          <a:stretch>
            <a:fillRect/>
          </a:stretch>
        </xdr:blipFill>
        <xdr:spPr>
          <a:xfrm>
            <a:off x="5626100" y="800100"/>
            <a:ext cx="230481" cy="238248"/>
          </a:xfrm>
          <a:prstGeom prst="rect">
            <a:avLst/>
          </a:prstGeom>
        </xdr:spPr>
      </xdr:pic>
    </xdr:grpSp>
    <xdr:clientData/>
  </xdr:twoCellAnchor>
  <xdr:twoCellAnchor>
    <xdr:from>
      <xdr:col>11</xdr:col>
      <xdr:colOff>641414</xdr:colOff>
      <xdr:row>4</xdr:row>
      <xdr:rowOff>15350</xdr:rowOff>
    </xdr:from>
    <xdr:to>
      <xdr:col>28</xdr:col>
      <xdr:colOff>185412</xdr:colOff>
      <xdr:row>5</xdr:row>
      <xdr:rowOff>89970</xdr:rowOff>
    </xdr:to>
    <xdr:grpSp>
      <xdr:nvGrpSpPr>
        <xdr:cNvPr id="3" name="Grupo 2">
          <a:hlinkClick xmlns:r="http://schemas.openxmlformats.org/officeDocument/2006/relationships" r:id="rId15"/>
          <a:extLst>
            <a:ext uri="{FF2B5EF4-FFF2-40B4-BE49-F238E27FC236}">
              <a16:creationId xmlns:a16="http://schemas.microsoft.com/office/drawing/2014/main" id="{00000000-0008-0000-0500-000003000000}"/>
            </a:ext>
          </a:extLst>
        </xdr:cNvPr>
        <xdr:cNvGrpSpPr/>
      </xdr:nvGrpSpPr>
      <xdr:grpSpPr>
        <a:xfrm>
          <a:off x="7880414" y="786875"/>
          <a:ext cx="1649023" cy="303220"/>
          <a:chOff x="7475133" y="777350"/>
          <a:chExt cx="1748194" cy="303220"/>
        </a:xfrm>
      </xdr:grpSpPr>
      <xdr:sp macro="" textlink="">
        <xdr:nvSpPr>
          <xdr:cNvPr id="51" name="Rectángulo 50">
            <a:extLst>
              <a:ext uri="{FF2B5EF4-FFF2-40B4-BE49-F238E27FC236}">
                <a16:creationId xmlns:a16="http://schemas.microsoft.com/office/drawing/2014/main" id="{00000000-0008-0000-0500-000033000000}"/>
              </a:ext>
            </a:extLst>
          </xdr:cNvPr>
          <xdr:cNvSpPr/>
        </xdr:nvSpPr>
        <xdr:spPr>
          <a:xfrm>
            <a:off x="7475133" y="777350"/>
            <a:ext cx="1748194"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b="1">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Bal. Comp. Inicial</a:t>
            </a:r>
            <a:endParaRPr lang="es-AR" sz="900" b="1">
              <a:latin typeface="Arial" panose="020B0604020202020204" pitchFamily="34" charset="0"/>
              <a:cs typeface="Arial" panose="020B0604020202020204" pitchFamily="34" charset="0"/>
            </a:endParaRPr>
          </a:p>
        </xdr:txBody>
      </xdr:sp>
      <xdr:pic>
        <xdr:nvPicPr>
          <xdr:cNvPr id="29" name="17 Imagen" descr="Icono 1.PNG">
            <a:extLst>
              <a:ext uri="{FF2B5EF4-FFF2-40B4-BE49-F238E27FC236}">
                <a16:creationId xmlns:a16="http://schemas.microsoft.com/office/drawing/2014/main" id="{00000000-0008-0000-0500-00001D000000}"/>
              </a:ext>
            </a:extLst>
          </xdr:cNvPr>
          <xdr:cNvPicPr>
            <a:picLocks noChangeAspect="1"/>
          </xdr:cNvPicPr>
        </xdr:nvPicPr>
        <xdr:blipFill>
          <a:blip xmlns:r="http://schemas.openxmlformats.org/officeDocument/2006/relationships" r:embed="rId16" cstate="print"/>
          <a:stretch>
            <a:fillRect/>
          </a:stretch>
        </xdr:blipFill>
        <xdr:spPr>
          <a:xfrm>
            <a:off x="7569200" y="806450"/>
            <a:ext cx="198143" cy="245289"/>
          </a:xfrm>
          <a:prstGeom prst="rect">
            <a:avLst/>
          </a:prstGeom>
        </xdr:spPr>
      </xdr:pic>
    </xdr:grpSp>
    <xdr:clientData/>
  </xdr:twoCellAnchor>
  <xdr:twoCellAnchor>
    <xdr:from>
      <xdr:col>1</xdr:col>
      <xdr:colOff>38099</xdr:colOff>
      <xdr:row>0</xdr:row>
      <xdr:rowOff>38100</xdr:rowOff>
    </xdr:from>
    <xdr:to>
      <xdr:col>30</xdr:col>
      <xdr:colOff>228599</xdr:colOff>
      <xdr:row>3</xdr:row>
      <xdr:rowOff>174914</xdr:rowOff>
    </xdr:to>
    <xdr:grpSp>
      <xdr:nvGrpSpPr>
        <xdr:cNvPr id="31" name="Grupo 30">
          <a:extLst>
            <a:ext uri="{FF2B5EF4-FFF2-40B4-BE49-F238E27FC236}">
              <a16:creationId xmlns:a16="http://schemas.microsoft.com/office/drawing/2014/main" id="{00000000-0008-0000-0500-00001F000000}"/>
            </a:ext>
          </a:extLst>
        </xdr:cNvPr>
        <xdr:cNvGrpSpPr/>
      </xdr:nvGrpSpPr>
      <xdr:grpSpPr>
        <a:xfrm>
          <a:off x="219074" y="38100"/>
          <a:ext cx="11458575" cy="679739"/>
          <a:chOff x="104775" y="200025"/>
          <a:chExt cx="10477500" cy="914400"/>
        </a:xfrm>
      </xdr:grpSpPr>
      <xdr:sp macro="" textlink="">
        <xdr:nvSpPr>
          <xdr:cNvPr id="32" name="Rectángulo 31">
            <a:extLst>
              <a:ext uri="{FF2B5EF4-FFF2-40B4-BE49-F238E27FC236}">
                <a16:creationId xmlns:a16="http://schemas.microsoft.com/office/drawing/2014/main" id="{00000000-0008-0000-0500-000020000000}"/>
              </a:ext>
              <a:ext uri="{147F2762-F138-4A5C-976F-8EAC2B608ADB}">
                <a16:predDERef xmlns:a16="http://schemas.microsoft.com/office/drawing/2014/main" pred="{00000000-0008-0000-0100-000008000000}"/>
              </a:ext>
            </a:extLst>
          </xdr:cNvPr>
          <xdr:cNvSpPr/>
        </xdr:nvSpPr>
        <xdr:spPr>
          <a:xfrm>
            <a:off x="104775" y="200025"/>
            <a:ext cx="10372725" cy="914400"/>
          </a:xfrm>
          <a:prstGeom prst="rect">
            <a:avLst/>
          </a:prstGeom>
          <a:solidFill>
            <a:srgbClr val="D6E4E6"/>
          </a:solidFill>
          <a:ln>
            <a:solidFill>
              <a:srgbClr val="075D6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sp macro="" textlink="">
        <xdr:nvSpPr>
          <xdr:cNvPr id="33" name="Rectángulo 32">
            <a:extLst>
              <a:ext uri="{FF2B5EF4-FFF2-40B4-BE49-F238E27FC236}">
                <a16:creationId xmlns:a16="http://schemas.microsoft.com/office/drawing/2014/main" id="{00000000-0008-0000-0500-000021000000}"/>
              </a:ext>
              <a:ext uri="{147F2762-F138-4A5C-976F-8EAC2B608ADB}">
                <a16:predDERef xmlns:a16="http://schemas.microsoft.com/office/drawing/2014/main" pred="{00000000-0008-0000-0200-000003000000}"/>
              </a:ext>
            </a:extLst>
          </xdr:cNvPr>
          <xdr:cNvSpPr/>
        </xdr:nvSpPr>
        <xdr:spPr>
          <a:xfrm>
            <a:off x="2667000" y="247650"/>
            <a:ext cx="7915275"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200" b="1">
                <a:solidFill>
                  <a:sysClr val="windowText" lastClr="000000"/>
                </a:solidFill>
              </a:rPr>
              <a:t>Herramienta educativa para la</a:t>
            </a:r>
            <a:r>
              <a:rPr lang="es-AR" sz="1200" b="1" baseline="0">
                <a:solidFill>
                  <a:sysClr val="windowText" lastClr="000000"/>
                </a:solidFill>
              </a:rPr>
              <a:t> gestión contable en</a:t>
            </a:r>
          </a:p>
          <a:p>
            <a:pPr algn="ctr"/>
            <a:r>
              <a:rPr lang="es-AR" sz="1200" b="1" baseline="0">
                <a:solidFill>
                  <a:sysClr val="windowText" lastClr="000000"/>
                </a:solidFill>
              </a:rPr>
              <a:t>asignaturas de "Introducción a la Contabilidad" a nivel de Grado</a:t>
            </a:r>
          </a:p>
          <a:p>
            <a:pPr algn="ctr"/>
            <a:endParaRPr lang="es-AR" sz="1200" b="1" baseline="0">
              <a:solidFill>
                <a:sysClr val="windowText" lastClr="000000"/>
              </a:solidFill>
            </a:endParaRPr>
          </a:p>
        </xdr:txBody>
      </xdr:sp>
      <xdr:sp macro="" textlink="">
        <xdr:nvSpPr>
          <xdr:cNvPr id="34" name="Rectángulo 33">
            <a:extLst>
              <a:ext uri="{FF2B5EF4-FFF2-40B4-BE49-F238E27FC236}">
                <a16:creationId xmlns:a16="http://schemas.microsoft.com/office/drawing/2014/main" id="{00000000-0008-0000-0500-000022000000}"/>
              </a:ext>
              <a:ext uri="{147F2762-F138-4A5C-976F-8EAC2B608ADB}">
                <a16:predDERef xmlns:a16="http://schemas.microsoft.com/office/drawing/2014/main" pred="{00000000-0008-0000-0100-00000E000000}"/>
              </a:ext>
            </a:extLst>
          </xdr:cNvPr>
          <xdr:cNvSpPr/>
        </xdr:nvSpPr>
        <xdr:spPr>
          <a:xfrm>
            <a:off x="4070350" y="771466"/>
            <a:ext cx="5057775" cy="277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050" b="1">
                <a:solidFill>
                  <a:sysClr val="windowText" lastClr="000000"/>
                </a:solidFill>
              </a:rPr>
              <a:t>Aplicación al caso práctico "QUESERÍA LA GANADORA"</a:t>
            </a:r>
            <a:endParaRPr lang="es-AR" sz="1050">
              <a:solidFill>
                <a:sysClr val="windowText" lastClr="000000"/>
              </a:solidFill>
            </a:endParaRPr>
          </a:p>
        </xdr:txBody>
      </xdr:sp>
    </xdr:grpSp>
    <xdr:clientData/>
  </xdr:twoCellAnchor>
  <xdr:twoCellAnchor>
    <xdr:from>
      <xdr:col>1</xdr:col>
      <xdr:colOff>38099</xdr:colOff>
      <xdr:row>0</xdr:row>
      <xdr:rowOff>104775</xdr:rowOff>
    </xdr:from>
    <xdr:to>
      <xdr:col>7</xdr:col>
      <xdr:colOff>105453</xdr:colOff>
      <xdr:row>3</xdr:row>
      <xdr:rowOff>98260</xdr:rowOff>
    </xdr:to>
    <xdr:pic>
      <xdr:nvPicPr>
        <xdr:cNvPr id="57" name="Imagen 56">
          <a:extLst>
            <a:ext uri="{FF2B5EF4-FFF2-40B4-BE49-F238E27FC236}">
              <a16:creationId xmlns:a16="http://schemas.microsoft.com/office/drawing/2014/main" id="{00000000-0008-0000-0500-000039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219074" y="104775"/>
          <a:ext cx="2429554" cy="536410"/>
        </a:xfrm>
        <a:prstGeom prst="rect">
          <a:avLst/>
        </a:prstGeom>
        <a:noFill/>
      </xdr:spPr>
    </xdr:pic>
    <xdr:clientData/>
  </xdr:twoCellAnchor>
  <xdr:twoCellAnchor editAs="oneCell">
    <xdr:from>
      <xdr:col>29</xdr:col>
      <xdr:colOff>457200</xdr:colOff>
      <xdr:row>0</xdr:row>
      <xdr:rowOff>95251</xdr:rowOff>
    </xdr:from>
    <xdr:to>
      <xdr:col>29</xdr:col>
      <xdr:colOff>1038225</xdr:colOff>
      <xdr:row>3</xdr:row>
      <xdr:rowOff>110016</xdr:rowOff>
    </xdr:to>
    <xdr:pic>
      <xdr:nvPicPr>
        <xdr:cNvPr id="55" name="Imagen 54">
          <a:extLst>
            <a:ext uri="{FF2B5EF4-FFF2-40B4-BE49-F238E27FC236}">
              <a16:creationId xmlns:a16="http://schemas.microsoft.com/office/drawing/2014/main" id="{00000000-0008-0000-0500-000037000000}"/>
            </a:ext>
          </a:extLst>
        </xdr:cNvPr>
        <xdr:cNvPicPr>
          <a:picLocks noChangeAspect="1"/>
        </xdr:cNvPicPr>
      </xdr:nvPicPr>
      <xdr:blipFill>
        <a:blip xmlns:r="http://schemas.openxmlformats.org/officeDocument/2006/relationships" r:embed="rId18"/>
        <a:stretch>
          <a:fillRect/>
        </a:stretch>
      </xdr:blipFill>
      <xdr:spPr>
        <a:xfrm>
          <a:off x="10829925" y="95251"/>
          <a:ext cx="581025" cy="5576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146050</xdr:colOff>
      <xdr:row>10</xdr:row>
      <xdr:rowOff>57149</xdr:rowOff>
    </xdr:from>
    <xdr:to>
      <xdr:col>1</xdr:col>
      <xdr:colOff>3098800</xdr:colOff>
      <xdr:row>17</xdr:row>
      <xdr:rowOff>95250</xdr:rowOff>
    </xdr:to>
    <mc:AlternateContent xmlns:mc="http://schemas.openxmlformats.org/markup-compatibility/2006" xmlns:a14="http://schemas.microsoft.com/office/drawing/2010/main">
      <mc:Choice Requires="a14">
        <xdr:graphicFrame macro="">
          <xdr:nvGraphicFramePr>
            <xdr:cNvPr id="7" name="Grupos">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microsoft.com/office/drawing/2010/slicer">
              <sle:slicer xmlns:sle="http://schemas.microsoft.com/office/drawing/2010/slicer" name="Grupos"/>
            </a:graphicData>
          </a:graphic>
        </xdr:graphicFrame>
      </mc:Choice>
      <mc:Fallback xmlns="">
        <xdr:sp macro="" textlink="">
          <xdr:nvSpPr>
            <xdr:cNvPr id="0" name=""/>
            <xdr:cNvSpPr>
              <a:spLocks noTextEdit="1"/>
            </xdr:cNvSpPr>
          </xdr:nvSpPr>
          <xdr:spPr>
            <a:xfrm>
              <a:off x="342900" y="1231899"/>
              <a:ext cx="2952750" cy="971551"/>
            </a:xfrm>
            <a:prstGeom prst="rect">
              <a:avLst/>
            </a:prstGeom>
            <a:solidFill>
              <a:prstClr val="white"/>
            </a:solidFill>
            <a:ln w="1">
              <a:solidFill>
                <a:prstClr val="green"/>
              </a:solidFill>
            </a:ln>
          </xdr:spPr>
          <xdr:txBody>
            <a:bodyPr vertOverflow="clip" horzOverflow="clip"/>
            <a:lstStyle/>
            <a:p>
              <a:r>
                <a:rPr lang="es-AR"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3276600</xdr:colOff>
      <xdr:row>10</xdr:row>
      <xdr:rowOff>57150</xdr:rowOff>
    </xdr:from>
    <xdr:to>
      <xdr:col>9</xdr:col>
      <xdr:colOff>1075765</xdr:colOff>
      <xdr:row>17</xdr:row>
      <xdr:rowOff>82550</xdr:rowOff>
    </xdr:to>
    <mc:AlternateContent xmlns:mc="http://schemas.openxmlformats.org/markup-compatibility/2006" xmlns:a14="http://schemas.microsoft.com/office/drawing/2010/main">
      <mc:Choice Requires="a14">
        <xdr:graphicFrame macro="">
          <xdr:nvGraphicFramePr>
            <xdr:cNvPr id="9" name="Niveles:2">
              <a:extLst>
                <a:ext uri="{FF2B5EF4-FFF2-40B4-BE49-F238E27FC236}">
                  <a16:creationId xmlns:a16="http://schemas.microsoft.com/office/drawing/2014/main" id="{00000000-0008-0000-0600-000009000000}"/>
                </a:ext>
              </a:extLst>
            </xdr:cNvPr>
            <xdr:cNvGraphicFramePr/>
          </xdr:nvGraphicFramePr>
          <xdr:xfrm>
            <a:off x="0" y="0"/>
            <a:ext cx="0" cy="0"/>
          </xdr:xfrm>
          <a:graphic>
            <a:graphicData uri="http://schemas.microsoft.com/office/drawing/2010/slicer">
              <sle:slicer xmlns:sle="http://schemas.microsoft.com/office/drawing/2010/slicer" name="Niveles:2"/>
            </a:graphicData>
          </a:graphic>
        </xdr:graphicFrame>
      </mc:Choice>
      <mc:Fallback xmlns="">
        <xdr:sp macro="" textlink="">
          <xdr:nvSpPr>
            <xdr:cNvPr id="0" name=""/>
            <xdr:cNvSpPr>
              <a:spLocks noTextEdit="1"/>
            </xdr:cNvSpPr>
          </xdr:nvSpPr>
          <xdr:spPr>
            <a:xfrm>
              <a:off x="3470835" y="1909856"/>
              <a:ext cx="10252636" cy="966694"/>
            </a:xfrm>
            <a:prstGeom prst="rect">
              <a:avLst/>
            </a:prstGeom>
            <a:solidFill>
              <a:prstClr val="white"/>
            </a:solidFill>
            <a:ln w="1">
              <a:solidFill>
                <a:prstClr val="green"/>
              </a:solidFill>
            </a:ln>
          </xdr:spPr>
          <xdr:txBody>
            <a:bodyPr vertOverflow="clip" horzOverflow="clip"/>
            <a:lstStyle/>
            <a:p>
              <a:r>
                <a:rPr lang="es-AR"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2</xdr:col>
      <xdr:colOff>419100</xdr:colOff>
      <xdr:row>3</xdr:row>
      <xdr:rowOff>180975</xdr:rowOff>
    </xdr:from>
    <xdr:to>
      <xdr:col>4</xdr:col>
      <xdr:colOff>333375</xdr:colOff>
      <xdr:row>5</xdr:row>
      <xdr:rowOff>95250</xdr:rowOff>
    </xdr:to>
    <xdr:grpSp>
      <xdr:nvGrpSpPr>
        <xdr:cNvPr id="37" name="Grupo 36">
          <a:hlinkClick xmlns:r="http://schemas.openxmlformats.org/officeDocument/2006/relationships" r:id="rId1"/>
          <a:extLst>
            <a:ext uri="{FF2B5EF4-FFF2-40B4-BE49-F238E27FC236}">
              <a16:creationId xmlns:a16="http://schemas.microsoft.com/office/drawing/2014/main" id="{00000000-0008-0000-0600-000025000000}"/>
            </a:ext>
            <a:ext uri="{147F2762-F138-4A5C-976F-8EAC2B608ADB}">
              <a16:predDERef xmlns:a16="http://schemas.microsoft.com/office/drawing/2014/main" pred="{00000000-0008-0000-0700-00000D000000}"/>
            </a:ext>
          </a:extLst>
        </xdr:cNvPr>
        <xdr:cNvGrpSpPr>
          <a:grpSpLocks noChangeAspect="1"/>
        </xdr:cNvGrpSpPr>
      </xdr:nvGrpSpPr>
      <xdr:grpSpPr>
        <a:xfrm>
          <a:off x="4543425" y="752475"/>
          <a:ext cx="1666875" cy="295275"/>
          <a:chOff x="8559800" y="508000"/>
          <a:chExt cx="1809750" cy="298450"/>
        </a:xfrm>
      </xdr:grpSpPr>
      <xdr:sp macro="" textlink="">
        <xdr:nvSpPr>
          <xdr:cNvPr id="38" name="Rectángulo 37">
            <a:extLst>
              <a:ext uri="{FF2B5EF4-FFF2-40B4-BE49-F238E27FC236}">
                <a16:creationId xmlns:a16="http://schemas.microsoft.com/office/drawing/2014/main" id="{00000000-0008-0000-0600-000026000000}"/>
              </a:ext>
            </a:extLst>
          </xdr:cNvPr>
          <xdr:cNvSpPr/>
        </xdr:nvSpPr>
        <xdr:spPr>
          <a:xfrm>
            <a:off x="8559800" y="50800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Libro Mayor</a:t>
            </a:r>
            <a:endParaRPr lang="es-AR" sz="900" b="1">
              <a:latin typeface="Arial" panose="020B0604020202020204" pitchFamily="34" charset="0"/>
              <a:cs typeface="Arial" panose="020B0604020202020204" pitchFamily="34" charset="0"/>
            </a:endParaRPr>
          </a:p>
        </xdr:txBody>
      </xdr:sp>
      <xdr:pic>
        <xdr:nvPicPr>
          <xdr:cNvPr id="39" name="Imagen 38">
            <a:extLst>
              <a:ext uri="{FF2B5EF4-FFF2-40B4-BE49-F238E27FC236}">
                <a16:creationId xmlns:a16="http://schemas.microsoft.com/office/drawing/2014/main" id="{00000000-0008-0000-0600-00002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636000" y="539750"/>
            <a:ext cx="222250" cy="222250"/>
          </a:xfrm>
          <a:prstGeom prst="rect">
            <a:avLst/>
          </a:prstGeom>
        </xdr:spPr>
      </xdr:pic>
    </xdr:grpSp>
    <xdr:clientData/>
  </xdr:twoCellAnchor>
  <xdr:twoCellAnchor>
    <xdr:from>
      <xdr:col>1</xdr:col>
      <xdr:colOff>2457450</xdr:colOff>
      <xdr:row>4</xdr:row>
      <xdr:rowOff>0</xdr:rowOff>
    </xdr:from>
    <xdr:to>
      <xdr:col>2</xdr:col>
      <xdr:colOff>257175</xdr:colOff>
      <xdr:row>5</xdr:row>
      <xdr:rowOff>114300</xdr:rowOff>
    </xdr:to>
    <xdr:grpSp>
      <xdr:nvGrpSpPr>
        <xdr:cNvPr id="40" name="Grupo 39">
          <a:hlinkClick xmlns:r="http://schemas.openxmlformats.org/officeDocument/2006/relationships" r:id="rId3"/>
          <a:extLst>
            <a:ext uri="{FF2B5EF4-FFF2-40B4-BE49-F238E27FC236}">
              <a16:creationId xmlns:a16="http://schemas.microsoft.com/office/drawing/2014/main" id="{00000000-0008-0000-0600-000028000000}"/>
            </a:ext>
            <a:ext uri="{147F2762-F138-4A5C-976F-8EAC2B608ADB}">
              <a16:predDERef xmlns:a16="http://schemas.microsoft.com/office/drawing/2014/main" pred="{00000000-0008-0000-0700-000025000000}"/>
            </a:ext>
          </a:extLst>
        </xdr:cNvPr>
        <xdr:cNvGrpSpPr/>
      </xdr:nvGrpSpPr>
      <xdr:grpSpPr>
        <a:xfrm>
          <a:off x="2647950" y="762000"/>
          <a:ext cx="1733550" cy="304800"/>
          <a:chOff x="1316186" y="814566"/>
          <a:chExt cx="1714496" cy="304456"/>
        </a:xfrm>
      </xdr:grpSpPr>
      <xdr:sp macro="" textlink="">
        <xdr:nvSpPr>
          <xdr:cNvPr id="41" name="Rectángulo 40">
            <a:extLst>
              <a:ext uri="{FF2B5EF4-FFF2-40B4-BE49-F238E27FC236}">
                <a16:creationId xmlns:a16="http://schemas.microsoft.com/office/drawing/2014/main" id="{00000000-0008-0000-0600-000029000000}"/>
              </a:ext>
            </a:extLst>
          </xdr:cNvPr>
          <xdr:cNvSpPr/>
        </xdr:nvSpPr>
        <xdr:spPr>
          <a:xfrm>
            <a:off x="1316186" y="814566"/>
            <a:ext cx="1714496" cy="30445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Cuentas Individuales</a:t>
            </a:r>
            <a:endParaRPr lang="es-AR" sz="900" b="1">
              <a:latin typeface="Arial" panose="020B0604020202020204" pitchFamily="34" charset="0"/>
              <a:cs typeface="Arial" panose="020B0604020202020204" pitchFamily="34" charset="0"/>
            </a:endParaRPr>
          </a:p>
        </xdr:txBody>
      </xdr:sp>
      <xdr:pic>
        <xdr:nvPicPr>
          <xdr:cNvPr id="42" name="Imagen 41">
            <a:extLst>
              <a:ext uri="{FF2B5EF4-FFF2-40B4-BE49-F238E27FC236}">
                <a16:creationId xmlns:a16="http://schemas.microsoft.com/office/drawing/2014/main" id="{00000000-0008-0000-0600-00002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20748" y="859206"/>
            <a:ext cx="215059" cy="233200"/>
          </a:xfrm>
          <a:prstGeom prst="rect">
            <a:avLst/>
          </a:prstGeom>
        </xdr:spPr>
      </xdr:pic>
    </xdr:grpSp>
    <xdr:clientData/>
  </xdr:twoCellAnchor>
  <xdr:twoCellAnchor>
    <xdr:from>
      <xdr:col>1</xdr:col>
      <xdr:colOff>2457450</xdr:colOff>
      <xdr:row>5</xdr:row>
      <xdr:rowOff>171450</xdr:rowOff>
    </xdr:from>
    <xdr:to>
      <xdr:col>2</xdr:col>
      <xdr:colOff>257175</xdr:colOff>
      <xdr:row>7</xdr:row>
      <xdr:rowOff>95250</xdr:rowOff>
    </xdr:to>
    <xdr:grpSp>
      <xdr:nvGrpSpPr>
        <xdr:cNvPr id="43" name="Grupo 42">
          <a:hlinkClick xmlns:r="http://schemas.openxmlformats.org/officeDocument/2006/relationships" r:id="rId5"/>
          <a:extLst>
            <a:ext uri="{FF2B5EF4-FFF2-40B4-BE49-F238E27FC236}">
              <a16:creationId xmlns:a16="http://schemas.microsoft.com/office/drawing/2014/main" id="{00000000-0008-0000-0600-00002B000000}"/>
            </a:ext>
            <a:ext uri="{147F2762-F138-4A5C-976F-8EAC2B608ADB}">
              <a16:predDERef xmlns:a16="http://schemas.microsoft.com/office/drawing/2014/main" pred="{00000000-0008-0000-0700-000028000000}"/>
            </a:ext>
          </a:extLst>
        </xdr:cNvPr>
        <xdr:cNvGrpSpPr/>
      </xdr:nvGrpSpPr>
      <xdr:grpSpPr>
        <a:xfrm>
          <a:off x="2647950" y="1123950"/>
          <a:ext cx="1733550" cy="304800"/>
          <a:chOff x="1323719" y="1207428"/>
          <a:chExt cx="1695417" cy="303220"/>
        </a:xfrm>
      </xdr:grpSpPr>
      <xdr:sp macro="" textlink="">
        <xdr:nvSpPr>
          <xdr:cNvPr id="44" name="Rectángulo 43">
            <a:extLst>
              <a:ext uri="{FF2B5EF4-FFF2-40B4-BE49-F238E27FC236}">
                <a16:creationId xmlns:a16="http://schemas.microsoft.com/office/drawing/2014/main" id="{00000000-0008-0000-0600-00002C000000}"/>
              </a:ext>
            </a:extLst>
          </xdr:cNvPr>
          <xdr:cNvSpPr/>
        </xdr:nvSpPr>
        <xdr:spPr>
          <a:xfrm>
            <a:off x="1323719" y="1207428"/>
            <a:ext cx="1695417"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Bce Comp. Trimestral</a:t>
            </a:r>
            <a:endParaRPr lang="es-AR" sz="900" b="1">
              <a:latin typeface="Arial" panose="020B0604020202020204" pitchFamily="34" charset="0"/>
              <a:cs typeface="Arial" panose="020B0604020202020204" pitchFamily="34" charset="0"/>
            </a:endParaRPr>
          </a:p>
        </xdr:txBody>
      </xdr:sp>
      <xdr:pic>
        <xdr:nvPicPr>
          <xdr:cNvPr id="45" name="Imagen 44">
            <a:extLst>
              <a:ext uri="{FF2B5EF4-FFF2-40B4-BE49-F238E27FC236}">
                <a16:creationId xmlns:a16="http://schemas.microsoft.com/office/drawing/2014/main" id="{00000000-0008-0000-0600-00002D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401304" y="1246137"/>
            <a:ext cx="202909" cy="219351"/>
          </a:xfrm>
          <a:prstGeom prst="rect">
            <a:avLst/>
          </a:prstGeom>
        </xdr:spPr>
      </xdr:pic>
    </xdr:grpSp>
    <xdr:clientData/>
  </xdr:twoCellAnchor>
  <xdr:twoCellAnchor>
    <xdr:from>
      <xdr:col>2</xdr:col>
      <xdr:colOff>419100</xdr:colOff>
      <xdr:row>5</xdr:row>
      <xdr:rowOff>180975</xdr:rowOff>
    </xdr:from>
    <xdr:to>
      <xdr:col>4</xdr:col>
      <xdr:colOff>342900</xdr:colOff>
      <xdr:row>7</xdr:row>
      <xdr:rowOff>104775</xdr:rowOff>
    </xdr:to>
    <xdr:grpSp>
      <xdr:nvGrpSpPr>
        <xdr:cNvPr id="46" name="Grupo 45">
          <a:hlinkClick xmlns:r="http://schemas.openxmlformats.org/officeDocument/2006/relationships" r:id="rId7"/>
          <a:extLst>
            <a:ext uri="{FF2B5EF4-FFF2-40B4-BE49-F238E27FC236}">
              <a16:creationId xmlns:a16="http://schemas.microsoft.com/office/drawing/2014/main" id="{00000000-0008-0000-0600-00002E000000}"/>
            </a:ext>
            <a:ext uri="{147F2762-F138-4A5C-976F-8EAC2B608ADB}">
              <a16:predDERef xmlns:a16="http://schemas.microsoft.com/office/drawing/2014/main" pred="{00000000-0008-0000-0700-00002B000000}"/>
            </a:ext>
          </a:extLst>
        </xdr:cNvPr>
        <xdr:cNvGrpSpPr>
          <a:grpSpLocks noChangeAspect="1"/>
        </xdr:cNvGrpSpPr>
      </xdr:nvGrpSpPr>
      <xdr:grpSpPr>
        <a:xfrm>
          <a:off x="4543425" y="1133475"/>
          <a:ext cx="1676400" cy="304800"/>
          <a:chOff x="8566150" y="1289050"/>
          <a:chExt cx="1809750" cy="295966"/>
        </a:xfrm>
      </xdr:grpSpPr>
      <xdr:sp macro="" textlink="">
        <xdr:nvSpPr>
          <xdr:cNvPr id="47" name="Rectángulo 46">
            <a:extLst>
              <a:ext uri="{FF2B5EF4-FFF2-40B4-BE49-F238E27FC236}">
                <a16:creationId xmlns:a16="http://schemas.microsoft.com/office/drawing/2014/main" id="{00000000-0008-0000-0600-00002F000000}"/>
              </a:ext>
            </a:extLst>
          </xdr:cNvPr>
          <xdr:cNvSpPr/>
        </xdr:nvSpPr>
        <xdr:spPr>
          <a:xfrm>
            <a:off x="8566150" y="1289050"/>
            <a:ext cx="1809750" cy="29596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Balance de Situación</a:t>
            </a:r>
            <a:endParaRPr lang="es-AR" sz="900" b="1">
              <a:latin typeface="Arial" panose="020B0604020202020204" pitchFamily="34" charset="0"/>
              <a:cs typeface="Arial" panose="020B0604020202020204" pitchFamily="34" charset="0"/>
            </a:endParaRPr>
          </a:p>
        </xdr:txBody>
      </xdr:sp>
      <xdr:pic>
        <xdr:nvPicPr>
          <xdr:cNvPr id="48" name="Imagen 47">
            <a:extLst>
              <a:ext uri="{FF2B5EF4-FFF2-40B4-BE49-F238E27FC236}">
                <a16:creationId xmlns:a16="http://schemas.microsoft.com/office/drawing/2014/main" id="{00000000-0008-0000-0600-000030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629650" y="1314450"/>
            <a:ext cx="240969" cy="260349"/>
          </a:xfrm>
          <a:prstGeom prst="rect">
            <a:avLst/>
          </a:prstGeom>
        </xdr:spPr>
      </xdr:pic>
    </xdr:grpSp>
    <xdr:clientData/>
  </xdr:twoCellAnchor>
  <xdr:twoCellAnchor>
    <xdr:from>
      <xdr:col>4</xdr:col>
      <xdr:colOff>545071</xdr:colOff>
      <xdr:row>5</xdr:row>
      <xdr:rowOff>182967</xdr:rowOff>
    </xdr:from>
    <xdr:to>
      <xdr:col>5</xdr:col>
      <xdr:colOff>680336</xdr:colOff>
      <xdr:row>7</xdr:row>
      <xdr:rowOff>104588</xdr:rowOff>
    </xdr:to>
    <xdr:grpSp>
      <xdr:nvGrpSpPr>
        <xdr:cNvPr id="49" name="Grupo 48">
          <a:hlinkClick xmlns:r="http://schemas.openxmlformats.org/officeDocument/2006/relationships" r:id="rId9"/>
          <a:extLst>
            <a:ext uri="{FF2B5EF4-FFF2-40B4-BE49-F238E27FC236}">
              <a16:creationId xmlns:a16="http://schemas.microsoft.com/office/drawing/2014/main" id="{00000000-0008-0000-0600-000031000000}"/>
            </a:ext>
          </a:extLst>
        </xdr:cNvPr>
        <xdr:cNvGrpSpPr>
          <a:grpSpLocks noChangeAspect="1"/>
        </xdr:cNvGrpSpPr>
      </xdr:nvGrpSpPr>
      <xdr:grpSpPr>
        <a:xfrm>
          <a:off x="6421996" y="1135467"/>
          <a:ext cx="1649740" cy="302621"/>
          <a:chOff x="8559800" y="1695450"/>
          <a:chExt cx="1809750" cy="298450"/>
        </a:xfrm>
      </xdr:grpSpPr>
      <xdr:sp macro="" textlink="">
        <xdr:nvSpPr>
          <xdr:cNvPr id="50" name="Rectángulo 49">
            <a:extLst>
              <a:ext uri="{FF2B5EF4-FFF2-40B4-BE49-F238E27FC236}">
                <a16:creationId xmlns:a16="http://schemas.microsoft.com/office/drawing/2014/main" id="{00000000-0008-0000-0600-000032000000}"/>
              </a:ext>
            </a:extLst>
          </xdr:cNvPr>
          <xdr:cNvSpPr/>
        </xdr:nvSpPr>
        <xdr:spPr>
          <a:xfrm>
            <a:off x="8559800" y="169545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a:latin typeface="Arial" panose="020B0604020202020204" pitchFamily="34" charset="0"/>
                <a:cs typeface="Arial" panose="020B0604020202020204" pitchFamily="34" charset="0"/>
              </a:rPr>
              <a:t>Cuenta de</a:t>
            </a:r>
            <a:r>
              <a:rPr lang="es-AR" sz="900" b="1" baseline="0">
                <a:latin typeface="Arial" panose="020B0604020202020204" pitchFamily="34" charset="0"/>
                <a:cs typeface="Arial" panose="020B0604020202020204" pitchFamily="34" charset="0"/>
              </a:rPr>
              <a:t> PyG</a:t>
            </a:r>
            <a:endParaRPr lang="es-AR" sz="900" b="1">
              <a:latin typeface="Arial" panose="020B0604020202020204" pitchFamily="34" charset="0"/>
              <a:cs typeface="Arial" panose="020B0604020202020204" pitchFamily="34" charset="0"/>
            </a:endParaRPr>
          </a:p>
        </xdr:txBody>
      </xdr:sp>
      <xdr:pic>
        <xdr:nvPicPr>
          <xdr:cNvPr id="51" name="Imagen 50">
            <a:extLst>
              <a:ext uri="{FF2B5EF4-FFF2-40B4-BE49-F238E27FC236}">
                <a16:creationId xmlns:a16="http://schemas.microsoft.com/office/drawing/2014/main" id="{00000000-0008-0000-0600-000033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48700" y="1714500"/>
            <a:ext cx="226200" cy="226200"/>
          </a:xfrm>
          <a:prstGeom prst="rect">
            <a:avLst/>
          </a:prstGeom>
        </xdr:spPr>
      </xdr:pic>
    </xdr:grpSp>
    <xdr:clientData/>
  </xdr:twoCellAnchor>
  <xdr:twoCellAnchor>
    <xdr:from>
      <xdr:col>5</xdr:col>
      <xdr:colOff>898441</xdr:colOff>
      <xdr:row>5</xdr:row>
      <xdr:rowOff>178376</xdr:rowOff>
    </xdr:from>
    <xdr:to>
      <xdr:col>6</xdr:col>
      <xdr:colOff>822691</xdr:colOff>
      <xdr:row>7</xdr:row>
      <xdr:rowOff>99776</xdr:rowOff>
    </xdr:to>
    <xdr:grpSp>
      <xdr:nvGrpSpPr>
        <xdr:cNvPr id="54" name="Grupo 53">
          <a:hlinkClick xmlns:r="http://schemas.openxmlformats.org/officeDocument/2006/relationships" r:id="rId11"/>
          <a:extLst>
            <a:ext uri="{FF2B5EF4-FFF2-40B4-BE49-F238E27FC236}">
              <a16:creationId xmlns:a16="http://schemas.microsoft.com/office/drawing/2014/main" id="{00000000-0008-0000-0600-000036000000}"/>
            </a:ext>
            <a:ext uri="{147F2762-F138-4A5C-976F-8EAC2B608ADB}">
              <a16:predDERef xmlns:a16="http://schemas.microsoft.com/office/drawing/2014/main" pred="{00000000-0008-0000-0700-000031000000}"/>
            </a:ext>
          </a:extLst>
        </xdr:cNvPr>
        <xdr:cNvGrpSpPr/>
      </xdr:nvGrpSpPr>
      <xdr:grpSpPr>
        <a:xfrm>
          <a:off x="8289841" y="1130876"/>
          <a:ext cx="1667325" cy="302400"/>
          <a:chOff x="5589555" y="1073022"/>
          <a:chExt cx="1836130" cy="310036"/>
        </a:xfrm>
      </xdr:grpSpPr>
      <xdr:sp macro="" textlink="">
        <xdr:nvSpPr>
          <xdr:cNvPr id="55" name="Rectángulo 54">
            <a:extLst>
              <a:ext uri="{FF2B5EF4-FFF2-40B4-BE49-F238E27FC236}">
                <a16:creationId xmlns:a16="http://schemas.microsoft.com/office/drawing/2014/main" id="{00000000-0008-0000-0600-000037000000}"/>
              </a:ext>
            </a:extLst>
          </xdr:cNvPr>
          <xdr:cNvSpPr>
            <a:spLocks noChangeAspect="1"/>
          </xdr:cNvSpPr>
        </xdr:nvSpPr>
        <xdr:spPr>
          <a:xfrm>
            <a:off x="5589555" y="1073022"/>
            <a:ext cx="1836130" cy="31003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Indicadores</a:t>
            </a:r>
            <a:endParaRPr lang="es-AR" sz="900" b="1">
              <a:latin typeface="Arial" panose="020B0604020202020204" pitchFamily="34" charset="0"/>
              <a:cs typeface="Arial" panose="020B0604020202020204" pitchFamily="34" charset="0"/>
            </a:endParaRPr>
          </a:p>
        </xdr:txBody>
      </xdr:sp>
      <xdr:pic>
        <xdr:nvPicPr>
          <xdr:cNvPr id="56" name="Imagen 55">
            <a:extLst>
              <a:ext uri="{FF2B5EF4-FFF2-40B4-BE49-F238E27FC236}">
                <a16:creationId xmlns:a16="http://schemas.microsoft.com/office/drawing/2014/main" id="{00000000-0008-0000-0600-000038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646709" y="1079524"/>
            <a:ext cx="260368" cy="266590"/>
          </a:xfrm>
          <a:prstGeom prst="rect">
            <a:avLst/>
          </a:prstGeom>
        </xdr:spPr>
      </xdr:pic>
    </xdr:grpSp>
    <xdr:clientData/>
  </xdr:twoCellAnchor>
  <xdr:twoCellAnchor>
    <xdr:from>
      <xdr:col>4</xdr:col>
      <xdr:colOff>535985</xdr:colOff>
      <xdr:row>3</xdr:row>
      <xdr:rowOff>158750</xdr:rowOff>
    </xdr:from>
    <xdr:to>
      <xdr:col>5</xdr:col>
      <xdr:colOff>686110</xdr:colOff>
      <xdr:row>5</xdr:row>
      <xdr:rowOff>80150</xdr:rowOff>
    </xdr:to>
    <xdr:grpSp>
      <xdr:nvGrpSpPr>
        <xdr:cNvPr id="2" name="Grupo 1">
          <a:hlinkClick xmlns:r="http://schemas.openxmlformats.org/officeDocument/2006/relationships" r:id="rId13"/>
          <a:extLst>
            <a:ext uri="{FF2B5EF4-FFF2-40B4-BE49-F238E27FC236}">
              <a16:creationId xmlns:a16="http://schemas.microsoft.com/office/drawing/2014/main" id="{00000000-0008-0000-0600-000002000000}"/>
            </a:ext>
          </a:extLst>
        </xdr:cNvPr>
        <xdr:cNvGrpSpPr/>
      </xdr:nvGrpSpPr>
      <xdr:grpSpPr>
        <a:xfrm>
          <a:off x="6412910" y="730250"/>
          <a:ext cx="1664600" cy="302400"/>
          <a:chOff x="5802369" y="730250"/>
          <a:chExt cx="1739119" cy="302400"/>
        </a:xfrm>
      </xdr:grpSpPr>
      <xdr:sp macro="" textlink="">
        <xdr:nvSpPr>
          <xdr:cNvPr id="52" name="Rectángulo 51">
            <a:extLst>
              <a:ext uri="{FF2B5EF4-FFF2-40B4-BE49-F238E27FC236}">
                <a16:creationId xmlns:a16="http://schemas.microsoft.com/office/drawing/2014/main" id="{00000000-0008-0000-0600-000034000000}"/>
              </a:ext>
            </a:extLst>
          </xdr:cNvPr>
          <xdr:cNvSpPr>
            <a:spLocks noChangeAspect="1"/>
          </xdr:cNvSpPr>
        </xdr:nvSpPr>
        <xdr:spPr>
          <a:xfrm>
            <a:off x="5802369" y="730250"/>
            <a:ext cx="1739119" cy="30240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Libro Diario</a:t>
            </a:r>
            <a:endParaRPr lang="es-AR" sz="900" b="1">
              <a:latin typeface="Arial" panose="020B0604020202020204" pitchFamily="34" charset="0"/>
              <a:cs typeface="Arial" panose="020B0604020202020204" pitchFamily="34" charset="0"/>
            </a:endParaRPr>
          </a:p>
        </xdr:txBody>
      </xdr:sp>
      <xdr:pic>
        <xdr:nvPicPr>
          <xdr:cNvPr id="29" name="12 Imagen" descr="Hoja.PNG">
            <a:extLst>
              <a:ext uri="{FF2B5EF4-FFF2-40B4-BE49-F238E27FC236}">
                <a16:creationId xmlns:a16="http://schemas.microsoft.com/office/drawing/2014/main" id="{00000000-0008-0000-0600-00001D000000}"/>
              </a:ext>
            </a:extLst>
          </xdr:cNvPr>
          <xdr:cNvPicPr>
            <a:picLocks noChangeAspect="1"/>
          </xdr:cNvPicPr>
        </xdr:nvPicPr>
        <xdr:blipFill>
          <a:blip xmlns:r="http://schemas.openxmlformats.org/officeDocument/2006/relationships" r:embed="rId14" cstate="print"/>
          <a:stretch>
            <a:fillRect/>
          </a:stretch>
        </xdr:blipFill>
        <xdr:spPr>
          <a:xfrm>
            <a:off x="5899150" y="762000"/>
            <a:ext cx="230481" cy="238248"/>
          </a:xfrm>
          <a:prstGeom prst="rect">
            <a:avLst/>
          </a:prstGeom>
        </xdr:spPr>
      </xdr:pic>
    </xdr:grpSp>
    <xdr:clientData/>
  </xdr:twoCellAnchor>
  <xdr:twoCellAnchor>
    <xdr:from>
      <xdr:col>5</xdr:col>
      <xdr:colOff>890190</xdr:colOff>
      <xdr:row>3</xdr:row>
      <xdr:rowOff>174100</xdr:rowOff>
    </xdr:from>
    <xdr:to>
      <xdr:col>6</xdr:col>
      <xdr:colOff>814440</xdr:colOff>
      <xdr:row>5</xdr:row>
      <xdr:rowOff>96320</xdr:rowOff>
    </xdr:to>
    <xdr:grpSp>
      <xdr:nvGrpSpPr>
        <xdr:cNvPr id="4" name="Grupo 3">
          <a:hlinkClick xmlns:r="http://schemas.openxmlformats.org/officeDocument/2006/relationships" r:id="rId15"/>
          <a:extLst>
            <a:ext uri="{FF2B5EF4-FFF2-40B4-BE49-F238E27FC236}">
              <a16:creationId xmlns:a16="http://schemas.microsoft.com/office/drawing/2014/main" id="{00000000-0008-0000-0600-000004000000}"/>
            </a:ext>
          </a:extLst>
        </xdr:cNvPr>
        <xdr:cNvGrpSpPr/>
      </xdr:nvGrpSpPr>
      <xdr:grpSpPr>
        <a:xfrm>
          <a:off x="8281590" y="745600"/>
          <a:ext cx="1667325" cy="303220"/>
          <a:chOff x="7741833" y="745600"/>
          <a:chExt cx="1754544" cy="303220"/>
        </a:xfrm>
      </xdr:grpSpPr>
      <xdr:sp macro="" textlink="">
        <xdr:nvSpPr>
          <xdr:cNvPr id="53" name="Rectángulo 52">
            <a:extLst>
              <a:ext uri="{FF2B5EF4-FFF2-40B4-BE49-F238E27FC236}">
                <a16:creationId xmlns:a16="http://schemas.microsoft.com/office/drawing/2014/main" id="{00000000-0008-0000-0600-000035000000}"/>
              </a:ext>
            </a:extLst>
          </xdr:cNvPr>
          <xdr:cNvSpPr/>
        </xdr:nvSpPr>
        <xdr:spPr>
          <a:xfrm>
            <a:off x="7741833" y="745600"/>
            <a:ext cx="1754544"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b="1">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Bal. Comp. Inicial</a:t>
            </a:r>
            <a:endParaRPr lang="es-AR" sz="900" b="1">
              <a:latin typeface="Arial" panose="020B0604020202020204" pitchFamily="34" charset="0"/>
              <a:cs typeface="Arial" panose="020B0604020202020204" pitchFamily="34" charset="0"/>
            </a:endParaRPr>
          </a:p>
        </xdr:txBody>
      </xdr:sp>
      <xdr:pic>
        <xdr:nvPicPr>
          <xdr:cNvPr id="31" name="17 Imagen" descr="Icono 1.PNG">
            <a:extLst>
              <a:ext uri="{FF2B5EF4-FFF2-40B4-BE49-F238E27FC236}">
                <a16:creationId xmlns:a16="http://schemas.microsoft.com/office/drawing/2014/main" id="{00000000-0008-0000-0600-00001F000000}"/>
              </a:ext>
            </a:extLst>
          </xdr:cNvPr>
          <xdr:cNvPicPr>
            <a:picLocks noChangeAspect="1"/>
          </xdr:cNvPicPr>
        </xdr:nvPicPr>
        <xdr:blipFill>
          <a:blip xmlns:r="http://schemas.openxmlformats.org/officeDocument/2006/relationships" r:embed="rId16" cstate="print"/>
          <a:stretch>
            <a:fillRect/>
          </a:stretch>
        </xdr:blipFill>
        <xdr:spPr>
          <a:xfrm>
            <a:off x="7829550" y="774700"/>
            <a:ext cx="198143" cy="245289"/>
          </a:xfrm>
          <a:prstGeom prst="rect">
            <a:avLst/>
          </a:prstGeom>
        </xdr:spPr>
      </xdr:pic>
    </xdr:grpSp>
    <xdr:clientData/>
  </xdr:twoCellAnchor>
  <xdr:twoCellAnchor>
    <xdr:from>
      <xdr:col>0</xdr:col>
      <xdr:colOff>179294</xdr:colOff>
      <xdr:row>0</xdr:row>
      <xdr:rowOff>33619</xdr:rowOff>
    </xdr:from>
    <xdr:to>
      <xdr:col>10</xdr:col>
      <xdr:colOff>190500</xdr:colOff>
      <xdr:row>3</xdr:row>
      <xdr:rowOff>141858</xdr:rowOff>
    </xdr:to>
    <xdr:grpSp>
      <xdr:nvGrpSpPr>
        <xdr:cNvPr id="33" name="Grupo 32">
          <a:extLst>
            <a:ext uri="{FF2B5EF4-FFF2-40B4-BE49-F238E27FC236}">
              <a16:creationId xmlns:a16="http://schemas.microsoft.com/office/drawing/2014/main" id="{00000000-0008-0000-0600-000021000000}"/>
            </a:ext>
          </a:extLst>
        </xdr:cNvPr>
        <xdr:cNvGrpSpPr/>
      </xdr:nvGrpSpPr>
      <xdr:grpSpPr>
        <a:xfrm>
          <a:off x="179294" y="33619"/>
          <a:ext cx="13155706" cy="679739"/>
          <a:chOff x="104775" y="200025"/>
          <a:chExt cx="10477500" cy="914400"/>
        </a:xfrm>
      </xdr:grpSpPr>
      <xdr:sp macro="" textlink="">
        <xdr:nvSpPr>
          <xdr:cNvPr id="34" name="Rectángulo 33">
            <a:extLst>
              <a:ext uri="{FF2B5EF4-FFF2-40B4-BE49-F238E27FC236}">
                <a16:creationId xmlns:a16="http://schemas.microsoft.com/office/drawing/2014/main" id="{00000000-0008-0000-0600-000022000000}"/>
              </a:ext>
              <a:ext uri="{147F2762-F138-4A5C-976F-8EAC2B608ADB}">
                <a16:predDERef xmlns:a16="http://schemas.microsoft.com/office/drawing/2014/main" pred="{00000000-0008-0000-0100-000008000000}"/>
              </a:ext>
            </a:extLst>
          </xdr:cNvPr>
          <xdr:cNvSpPr/>
        </xdr:nvSpPr>
        <xdr:spPr>
          <a:xfrm>
            <a:off x="104775" y="200025"/>
            <a:ext cx="10372725" cy="914400"/>
          </a:xfrm>
          <a:prstGeom prst="rect">
            <a:avLst/>
          </a:prstGeom>
          <a:solidFill>
            <a:srgbClr val="D6E4E6"/>
          </a:solidFill>
          <a:ln>
            <a:solidFill>
              <a:srgbClr val="075D6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sp macro="" textlink="">
        <xdr:nvSpPr>
          <xdr:cNvPr id="35" name="Rectángulo 34">
            <a:extLst>
              <a:ext uri="{FF2B5EF4-FFF2-40B4-BE49-F238E27FC236}">
                <a16:creationId xmlns:a16="http://schemas.microsoft.com/office/drawing/2014/main" id="{00000000-0008-0000-0600-000023000000}"/>
              </a:ext>
              <a:ext uri="{147F2762-F138-4A5C-976F-8EAC2B608ADB}">
                <a16:predDERef xmlns:a16="http://schemas.microsoft.com/office/drawing/2014/main" pred="{00000000-0008-0000-0200-000003000000}"/>
              </a:ext>
            </a:extLst>
          </xdr:cNvPr>
          <xdr:cNvSpPr/>
        </xdr:nvSpPr>
        <xdr:spPr>
          <a:xfrm>
            <a:off x="2667000" y="247650"/>
            <a:ext cx="7915275"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200" b="1">
                <a:solidFill>
                  <a:sysClr val="windowText" lastClr="000000"/>
                </a:solidFill>
              </a:rPr>
              <a:t>Herramienta educativa para la</a:t>
            </a:r>
            <a:r>
              <a:rPr lang="es-AR" sz="1200" b="1" baseline="0">
                <a:solidFill>
                  <a:sysClr val="windowText" lastClr="000000"/>
                </a:solidFill>
              </a:rPr>
              <a:t> gestión contable en</a:t>
            </a:r>
          </a:p>
          <a:p>
            <a:pPr algn="ctr"/>
            <a:r>
              <a:rPr lang="es-AR" sz="1200" b="1" baseline="0">
                <a:solidFill>
                  <a:sysClr val="windowText" lastClr="000000"/>
                </a:solidFill>
              </a:rPr>
              <a:t>asignaturas de "Introducción a la Contabilidad" a nivel de Grado</a:t>
            </a:r>
          </a:p>
          <a:p>
            <a:pPr algn="ctr"/>
            <a:endParaRPr lang="es-AR" sz="1200" b="1" baseline="0">
              <a:solidFill>
                <a:sysClr val="windowText" lastClr="000000"/>
              </a:solidFill>
            </a:endParaRPr>
          </a:p>
        </xdr:txBody>
      </xdr:sp>
      <xdr:sp macro="" textlink="">
        <xdr:nvSpPr>
          <xdr:cNvPr id="36" name="Rectángulo 35">
            <a:extLst>
              <a:ext uri="{FF2B5EF4-FFF2-40B4-BE49-F238E27FC236}">
                <a16:creationId xmlns:a16="http://schemas.microsoft.com/office/drawing/2014/main" id="{00000000-0008-0000-0600-000024000000}"/>
              </a:ext>
              <a:ext uri="{147F2762-F138-4A5C-976F-8EAC2B608ADB}">
                <a16:predDERef xmlns:a16="http://schemas.microsoft.com/office/drawing/2014/main" pred="{00000000-0008-0000-0100-00000E000000}"/>
              </a:ext>
            </a:extLst>
          </xdr:cNvPr>
          <xdr:cNvSpPr/>
        </xdr:nvSpPr>
        <xdr:spPr>
          <a:xfrm>
            <a:off x="4070350" y="771466"/>
            <a:ext cx="5057775" cy="277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050" b="1">
                <a:solidFill>
                  <a:sysClr val="windowText" lastClr="000000"/>
                </a:solidFill>
              </a:rPr>
              <a:t>Aplicación al caso práctico "QUESERÍA LA GANADORA"</a:t>
            </a:r>
            <a:endParaRPr lang="es-AR" sz="1050">
              <a:solidFill>
                <a:sysClr val="windowText" lastClr="000000"/>
              </a:solidFill>
            </a:endParaRPr>
          </a:p>
        </xdr:txBody>
      </xdr:sp>
      <xdr:pic>
        <xdr:nvPicPr>
          <xdr:cNvPr id="57" name="Imagen 56">
            <a:extLst>
              <a:ext uri="{FF2B5EF4-FFF2-40B4-BE49-F238E27FC236}">
                <a16:creationId xmlns:a16="http://schemas.microsoft.com/office/drawing/2014/main" id="{00000000-0008-0000-0600-000039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77800" y="307975"/>
            <a:ext cx="1933305" cy="721591"/>
          </a:xfrm>
          <a:prstGeom prst="rect">
            <a:avLst/>
          </a:prstGeom>
          <a:noFill/>
        </xdr:spPr>
      </xdr:pic>
    </xdr:grpSp>
    <xdr:clientData/>
  </xdr:twoCellAnchor>
  <xdr:twoCellAnchor editAs="oneCell">
    <xdr:from>
      <xdr:col>9</xdr:col>
      <xdr:colOff>425824</xdr:colOff>
      <xdr:row>0</xdr:row>
      <xdr:rowOff>56031</xdr:rowOff>
    </xdr:from>
    <xdr:to>
      <xdr:col>10</xdr:col>
      <xdr:colOff>0</xdr:colOff>
      <xdr:row>3</xdr:row>
      <xdr:rowOff>119125</xdr:rowOff>
    </xdr:to>
    <xdr:pic>
      <xdr:nvPicPr>
        <xdr:cNvPr id="58" name="Imagen 57">
          <a:extLst>
            <a:ext uri="{FF2B5EF4-FFF2-40B4-BE49-F238E27FC236}">
              <a16:creationId xmlns:a16="http://schemas.microsoft.com/office/drawing/2014/main" id="{00000000-0008-0000-0600-00003A000000}"/>
            </a:ext>
          </a:extLst>
        </xdr:cNvPr>
        <xdr:cNvPicPr>
          <a:picLocks noChangeAspect="1"/>
        </xdr:cNvPicPr>
      </xdr:nvPicPr>
      <xdr:blipFill>
        <a:blip xmlns:r="http://schemas.openxmlformats.org/officeDocument/2006/relationships" r:embed="rId18"/>
        <a:stretch>
          <a:fillRect/>
        </a:stretch>
      </xdr:blipFill>
      <xdr:spPr>
        <a:xfrm>
          <a:off x="12494559" y="56031"/>
          <a:ext cx="661147" cy="6345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458356</xdr:colOff>
      <xdr:row>4</xdr:row>
      <xdr:rowOff>115305</xdr:rowOff>
    </xdr:from>
    <xdr:to>
      <xdr:col>2</xdr:col>
      <xdr:colOff>2110981</xdr:colOff>
      <xdr:row>6</xdr:row>
      <xdr:rowOff>54269</xdr:rowOff>
    </xdr:to>
    <xdr:grpSp>
      <xdr:nvGrpSpPr>
        <xdr:cNvPr id="59" name="Grupo 58">
          <a:hlinkClick xmlns:r="http://schemas.openxmlformats.org/officeDocument/2006/relationships" r:id="rId1"/>
          <a:extLst>
            <a:ext uri="{FF2B5EF4-FFF2-40B4-BE49-F238E27FC236}">
              <a16:creationId xmlns:a16="http://schemas.microsoft.com/office/drawing/2014/main" id="{00000000-0008-0000-0700-00003B000000}"/>
            </a:ext>
          </a:extLst>
        </xdr:cNvPr>
        <xdr:cNvGrpSpPr>
          <a:grpSpLocks noChangeAspect="1"/>
        </xdr:cNvGrpSpPr>
      </xdr:nvGrpSpPr>
      <xdr:grpSpPr>
        <a:xfrm>
          <a:off x="3639706" y="877305"/>
          <a:ext cx="1652625" cy="300914"/>
          <a:chOff x="8559800" y="508000"/>
          <a:chExt cx="1809750" cy="298450"/>
        </a:xfrm>
      </xdr:grpSpPr>
      <xdr:sp macro="" textlink="">
        <xdr:nvSpPr>
          <xdr:cNvPr id="60" name="Rectángulo 59">
            <a:extLst>
              <a:ext uri="{FF2B5EF4-FFF2-40B4-BE49-F238E27FC236}">
                <a16:creationId xmlns:a16="http://schemas.microsoft.com/office/drawing/2014/main" id="{00000000-0008-0000-0700-00003C000000}"/>
              </a:ext>
            </a:extLst>
          </xdr:cNvPr>
          <xdr:cNvSpPr/>
        </xdr:nvSpPr>
        <xdr:spPr>
          <a:xfrm>
            <a:off x="8559800" y="50800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Libro Mayor</a:t>
            </a:r>
            <a:endParaRPr lang="es-AR" sz="900" b="1">
              <a:latin typeface="Arial" panose="020B0604020202020204" pitchFamily="34" charset="0"/>
              <a:cs typeface="Arial" panose="020B0604020202020204" pitchFamily="34" charset="0"/>
            </a:endParaRPr>
          </a:p>
        </xdr:txBody>
      </xdr:sp>
      <xdr:pic>
        <xdr:nvPicPr>
          <xdr:cNvPr id="61" name="Imagen 60">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636000" y="539750"/>
            <a:ext cx="222250" cy="222250"/>
          </a:xfrm>
          <a:prstGeom prst="rect">
            <a:avLst/>
          </a:prstGeom>
        </xdr:spPr>
      </xdr:pic>
    </xdr:grpSp>
    <xdr:clientData/>
  </xdr:twoCellAnchor>
  <xdr:twoCellAnchor>
    <xdr:from>
      <xdr:col>1</xdr:col>
      <xdr:colOff>1609725</xdr:colOff>
      <xdr:row>4</xdr:row>
      <xdr:rowOff>114300</xdr:rowOff>
    </xdr:from>
    <xdr:to>
      <xdr:col>2</xdr:col>
      <xdr:colOff>276225</xdr:colOff>
      <xdr:row>6</xdr:row>
      <xdr:rowOff>57150</xdr:rowOff>
    </xdr:to>
    <xdr:grpSp>
      <xdr:nvGrpSpPr>
        <xdr:cNvPr id="62" name="Grupo 61">
          <a:hlinkClick xmlns:r="http://schemas.openxmlformats.org/officeDocument/2006/relationships" r:id="rId3"/>
          <a:extLst>
            <a:ext uri="{FF2B5EF4-FFF2-40B4-BE49-F238E27FC236}">
              <a16:creationId xmlns:a16="http://schemas.microsoft.com/office/drawing/2014/main" id="{00000000-0008-0000-0700-00003E000000}"/>
            </a:ext>
            <a:ext uri="{147F2762-F138-4A5C-976F-8EAC2B608ADB}">
              <a16:predDERef xmlns:a16="http://schemas.microsoft.com/office/drawing/2014/main" pred="{00000000-0008-0000-0300-000016000000}"/>
            </a:ext>
          </a:extLst>
        </xdr:cNvPr>
        <xdr:cNvGrpSpPr/>
      </xdr:nvGrpSpPr>
      <xdr:grpSpPr>
        <a:xfrm>
          <a:off x="1752600" y="876300"/>
          <a:ext cx="1704975" cy="304800"/>
          <a:chOff x="1316186" y="814566"/>
          <a:chExt cx="1714496" cy="304456"/>
        </a:xfrm>
      </xdr:grpSpPr>
      <xdr:sp macro="" textlink="">
        <xdr:nvSpPr>
          <xdr:cNvPr id="63" name="Rectángulo 62">
            <a:extLst>
              <a:ext uri="{FF2B5EF4-FFF2-40B4-BE49-F238E27FC236}">
                <a16:creationId xmlns:a16="http://schemas.microsoft.com/office/drawing/2014/main" id="{00000000-0008-0000-0700-00003F000000}"/>
              </a:ext>
            </a:extLst>
          </xdr:cNvPr>
          <xdr:cNvSpPr/>
        </xdr:nvSpPr>
        <xdr:spPr>
          <a:xfrm>
            <a:off x="1316186" y="814566"/>
            <a:ext cx="1714496" cy="30445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Cuentas Individuales</a:t>
            </a:r>
            <a:endParaRPr lang="es-AR" sz="900" b="1">
              <a:latin typeface="Arial" panose="020B0604020202020204" pitchFamily="34" charset="0"/>
              <a:cs typeface="Arial" panose="020B0604020202020204" pitchFamily="34" charset="0"/>
            </a:endParaRPr>
          </a:p>
        </xdr:txBody>
      </xdr:sp>
      <xdr:pic>
        <xdr:nvPicPr>
          <xdr:cNvPr id="64" name="Imagen 63">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20748" y="859206"/>
            <a:ext cx="215059" cy="233200"/>
          </a:xfrm>
          <a:prstGeom prst="rect">
            <a:avLst/>
          </a:prstGeom>
        </xdr:spPr>
      </xdr:pic>
    </xdr:grpSp>
    <xdr:clientData/>
  </xdr:twoCellAnchor>
  <xdr:twoCellAnchor>
    <xdr:from>
      <xdr:col>1</xdr:col>
      <xdr:colOff>1609725</xdr:colOff>
      <xdr:row>6</xdr:row>
      <xdr:rowOff>142875</xdr:rowOff>
    </xdr:from>
    <xdr:to>
      <xdr:col>2</xdr:col>
      <xdr:colOff>266700</xdr:colOff>
      <xdr:row>8</xdr:row>
      <xdr:rowOff>95250</xdr:rowOff>
    </xdr:to>
    <xdr:grpSp>
      <xdr:nvGrpSpPr>
        <xdr:cNvPr id="65" name="Grupo 64">
          <a:hlinkClick xmlns:r="http://schemas.openxmlformats.org/officeDocument/2006/relationships" r:id="rId5"/>
          <a:extLst>
            <a:ext uri="{FF2B5EF4-FFF2-40B4-BE49-F238E27FC236}">
              <a16:creationId xmlns:a16="http://schemas.microsoft.com/office/drawing/2014/main" id="{00000000-0008-0000-0700-000041000000}"/>
            </a:ext>
            <a:ext uri="{147F2762-F138-4A5C-976F-8EAC2B608ADB}">
              <a16:predDERef xmlns:a16="http://schemas.microsoft.com/office/drawing/2014/main" pred="{00000000-0008-0000-0800-00003E000000}"/>
            </a:ext>
          </a:extLst>
        </xdr:cNvPr>
        <xdr:cNvGrpSpPr/>
      </xdr:nvGrpSpPr>
      <xdr:grpSpPr>
        <a:xfrm>
          <a:off x="1752600" y="1266825"/>
          <a:ext cx="1695450" cy="314325"/>
          <a:chOff x="1323719" y="1207428"/>
          <a:chExt cx="1695417" cy="303220"/>
        </a:xfrm>
      </xdr:grpSpPr>
      <xdr:sp macro="" textlink="">
        <xdr:nvSpPr>
          <xdr:cNvPr id="66" name="Rectángulo 65">
            <a:extLst>
              <a:ext uri="{FF2B5EF4-FFF2-40B4-BE49-F238E27FC236}">
                <a16:creationId xmlns:a16="http://schemas.microsoft.com/office/drawing/2014/main" id="{00000000-0008-0000-0700-000042000000}"/>
              </a:ext>
            </a:extLst>
          </xdr:cNvPr>
          <xdr:cNvSpPr/>
        </xdr:nvSpPr>
        <xdr:spPr>
          <a:xfrm>
            <a:off x="1323719" y="1207428"/>
            <a:ext cx="1695417"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Bce Comp. Trimestral</a:t>
            </a:r>
            <a:endParaRPr lang="es-AR" sz="900" b="1">
              <a:latin typeface="Arial" panose="020B0604020202020204" pitchFamily="34" charset="0"/>
              <a:cs typeface="Arial" panose="020B0604020202020204" pitchFamily="34" charset="0"/>
            </a:endParaRPr>
          </a:p>
        </xdr:txBody>
      </xdr:sp>
      <xdr:pic>
        <xdr:nvPicPr>
          <xdr:cNvPr id="67" name="Imagen 66">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401304" y="1246137"/>
            <a:ext cx="202909" cy="219351"/>
          </a:xfrm>
          <a:prstGeom prst="rect">
            <a:avLst/>
          </a:prstGeom>
        </xdr:spPr>
      </xdr:pic>
    </xdr:grpSp>
    <xdr:clientData/>
  </xdr:twoCellAnchor>
  <xdr:twoCellAnchor>
    <xdr:from>
      <xdr:col>2</xdr:col>
      <xdr:colOff>458356</xdr:colOff>
      <xdr:row>6</xdr:row>
      <xdr:rowOff>157916</xdr:rowOff>
    </xdr:from>
    <xdr:to>
      <xdr:col>2</xdr:col>
      <xdr:colOff>2116496</xdr:colOff>
      <xdr:row>8</xdr:row>
      <xdr:rowOff>107194</xdr:rowOff>
    </xdr:to>
    <xdr:grpSp>
      <xdr:nvGrpSpPr>
        <xdr:cNvPr id="68" name="Grupo 67">
          <a:hlinkClick xmlns:r="http://schemas.openxmlformats.org/officeDocument/2006/relationships" r:id="rId7"/>
          <a:extLst>
            <a:ext uri="{FF2B5EF4-FFF2-40B4-BE49-F238E27FC236}">
              <a16:creationId xmlns:a16="http://schemas.microsoft.com/office/drawing/2014/main" id="{00000000-0008-0000-0700-000044000000}"/>
            </a:ext>
          </a:extLst>
        </xdr:cNvPr>
        <xdr:cNvGrpSpPr>
          <a:grpSpLocks noChangeAspect="1"/>
        </xdr:cNvGrpSpPr>
      </xdr:nvGrpSpPr>
      <xdr:grpSpPr>
        <a:xfrm>
          <a:off x="3639706" y="1281866"/>
          <a:ext cx="1658140" cy="311228"/>
          <a:chOff x="8566150" y="1289050"/>
          <a:chExt cx="1809750" cy="295966"/>
        </a:xfrm>
      </xdr:grpSpPr>
      <xdr:sp macro="" textlink="">
        <xdr:nvSpPr>
          <xdr:cNvPr id="69" name="Rectángulo 68">
            <a:extLst>
              <a:ext uri="{FF2B5EF4-FFF2-40B4-BE49-F238E27FC236}">
                <a16:creationId xmlns:a16="http://schemas.microsoft.com/office/drawing/2014/main" id="{00000000-0008-0000-0700-000045000000}"/>
              </a:ext>
            </a:extLst>
          </xdr:cNvPr>
          <xdr:cNvSpPr/>
        </xdr:nvSpPr>
        <xdr:spPr>
          <a:xfrm>
            <a:off x="8566150" y="1289050"/>
            <a:ext cx="1809750" cy="29596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Balance de Situación</a:t>
            </a:r>
            <a:endParaRPr lang="es-AR" sz="900" b="1">
              <a:latin typeface="Arial" panose="020B0604020202020204" pitchFamily="34" charset="0"/>
              <a:cs typeface="Arial" panose="020B0604020202020204" pitchFamily="34" charset="0"/>
            </a:endParaRPr>
          </a:p>
        </xdr:txBody>
      </xdr:sp>
      <xdr:pic>
        <xdr:nvPicPr>
          <xdr:cNvPr id="70" name="Imagen 69">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629650" y="1314450"/>
            <a:ext cx="240969" cy="260349"/>
          </a:xfrm>
          <a:prstGeom prst="rect">
            <a:avLst/>
          </a:prstGeom>
        </xdr:spPr>
      </xdr:pic>
    </xdr:grpSp>
    <xdr:clientData/>
  </xdr:twoCellAnchor>
  <xdr:twoCellAnchor>
    <xdr:from>
      <xdr:col>2</xdr:col>
      <xdr:colOff>2318955</xdr:colOff>
      <xdr:row>6</xdr:row>
      <xdr:rowOff>157567</xdr:rowOff>
    </xdr:from>
    <xdr:to>
      <xdr:col>3</xdr:col>
      <xdr:colOff>220514</xdr:colOff>
      <xdr:row>8</xdr:row>
      <xdr:rowOff>104588</xdr:rowOff>
    </xdr:to>
    <xdr:grpSp>
      <xdr:nvGrpSpPr>
        <xdr:cNvPr id="71" name="Grupo 70">
          <a:hlinkClick xmlns:r="http://schemas.openxmlformats.org/officeDocument/2006/relationships" r:id="rId9"/>
          <a:extLst>
            <a:ext uri="{FF2B5EF4-FFF2-40B4-BE49-F238E27FC236}">
              <a16:creationId xmlns:a16="http://schemas.microsoft.com/office/drawing/2014/main" id="{00000000-0008-0000-0700-000047000000}"/>
            </a:ext>
          </a:extLst>
        </xdr:cNvPr>
        <xdr:cNvGrpSpPr>
          <a:grpSpLocks noChangeAspect="1"/>
        </xdr:cNvGrpSpPr>
      </xdr:nvGrpSpPr>
      <xdr:grpSpPr>
        <a:xfrm>
          <a:off x="5500305" y="1281517"/>
          <a:ext cx="1549634" cy="308971"/>
          <a:chOff x="8559800" y="1695450"/>
          <a:chExt cx="1809750" cy="298450"/>
        </a:xfrm>
      </xdr:grpSpPr>
      <xdr:sp macro="" textlink="">
        <xdr:nvSpPr>
          <xdr:cNvPr id="72" name="Rectángulo 71">
            <a:extLst>
              <a:ext uri="{FF2B5EF4-FFF2-40B4-BE49-F238E27FC236}">
                <a16:creationId xmlns:a16="http://schemas.microsoft.com/office/drawing/2014/main" id="{00000000-0008-0000-0700-000048000000}"/>
              </a:ext>
            </a:extLst>
          </xdr:cNvPr>
          <xdr:cNvSpPr/>
        </xdr:nvSpPr>
        <xdr:spPr>
          <a:xfrm>
            <a:off x="8559800" y="169545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a:latin typeface="Arial" panose="020B0604020202020204" pitchFamily="34" charset="0"/>
                <a:cs typeface="Arial" panose="020B0604020202020204" pitchFamily="34" charset="0"/>
              </a:rPr>
              <a:t>Cuenta de</a:t>
            </a:r>
            <a:r>
              <a:rPr lang="es-AR" sz="900" b="1" baseline="0">
                <a:latin typeface="Arial" panose="020B0604020202020204" pitchFamily="34" charset="0"/>
                <a:cs typeface="Arial" panose="020B0604020202020204" pitchFamily="34" charset="0"/>
              </a:rPr>
              <a:t> PyG</a:t>
            </a:r>
            <a:endParaRPr lang="es-AR" sz="900" b="1">
              <a:latin typeface="Arial" panose="020B0604020202020204" pitchFamily="34" charset="0"/>
              <a:cs typeface="Arial" panose="020B0604020202020204" pitchFamily="34" charset="0"/>
            </a:endParaRPr>
          </a:p>
        </xdr:txBody>
      </xdr:sp>
      <xdr:pic>
        <xdr:nvPicPr>
          <xdr:cNvPr id="73" name="Imagen 72">
            <a:extLst>
              <a:ext uri="{FF2B5EF4-FFF2-40B4-BE49-F238E27FC236}">
                <a16:creationId xmlns:a16="http://schemas.microsoft.com/office/drawing/2014/main" id="{00000000-0008-0000-0700-000049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48700" y="1714500"/>
            <a:ext cx="226200" cy="226200"/>
          </a:xfrm>
          <a:prstGeom prst="rect">
            <a:avLst/>
          </a:prstGeom>
        </xdr:spPr>
      </xdr:pic>
    </xdr:grpSp>
    <xdr:clientData/>
  </xdr:twoCellAnchor>
  <xdr:twoCellAnchor>
    <xdr:from>
      <xdr:col>3</xdr:col>
      <xdr:colOff>434884</xdr:colOff>
      <xdr:row>6</xdr:row>
      <xdr:rowOff>152976</xdr:rowOff>
    </xdr:from>
    <xdr:to>
      <xdr:col>4</xdr:col>
      <xdr:colOff>1052778</xdr:colOff>
      <xdr:row>8</xdr:row>
      <xdr:rowOff>99776</xdr:rowOff>
    </xdr:to>
    <xdr:grpSp>
      <xdr:nvGrpSpPr>
        <xdr:cNvPr id="76" name="Grupo 75">
          <a:hlinkClick xmlns:r="http://schemas.openxmlformats.org/officeDocument/2006/relationships" r:id="rId11"/>
          <a:extLst>
            <a:ext uri="{FF2B5EF4-FFF2-40B4-BE49-F238E27FC236}">
              <a16:creationId xmlns:a16="http://schemas.microsoft.com/office/drawing/2014/main" id="{00000000-0008-0000-0700-00004C000000}"/>
            </a:ext>
          </a:extLst>
        </xdr:cNvPr>
        <xdr:cNvGrpSpPr/>
      </xdr:nvGrpSpPr>
      <xdr:grpSpPr>
        <a:xfrm>
          <a:off x="7264309" y="1276926"/>
          <a:ext cx="1703744" cy="308750"/>
          <a:chOff x="5589555" y="1073022"/>
          <a:chExt cx="1836130" cy="310036"/>
        </a:xfrm>
      </xdr:grpSpPr>
      <xdr:sp macro="" textlink="">
        <xdr:nvSpPr>
          <xdr:cNvPr id="77" name="Rectángulo 76">
            <a:extLst>
              <a:ext uri="{FF2B5EF4-FFF2-40B4-BE49-F238E27FC236}">
                <a16:creationId xmlns:a16="http://schemas.microsoft.com/office/drawing/2014/main" id="{00000000-0008-0000-0700-00004D000000}"/>
              </a:ext>
            </a:extLst>
          </xdr:cNvPr>
          <xdr:cNvSpPr>
            <a:spLocks noChangeAspect="1"/>
          </xdr:cNvSpPr>
        </xdr:nvSpPr>
        <xdr:spPr>
          <a:xfrm>
            <a:off x="5589555" y="1073022"/>
            <a:ext cx="1836130" cy="31003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Indicadores</a:t>
            </a:r>
            <a:endParaRPr lang="es-AR" sz="900" b="1">
              <a:latin typeface="Arial" panose="020B0604020202020204" pitchFamily="34" charset="0"/>
              <a:cs typeface="Arial" panose="020B0604020202020204" pitchFamily="34" charset="0"/>
            </a:endParaRPr>
          </a:p>
        </xdr:txBody>
      </xdr:sp>
      <xdr:pic>
        <xdr:nvPicPr>
          <xdr:cNvPr id="78" name="Imagen 77">
            <a:extLst>
              <a:ext uri="{FF2B5EF4-FFF2-40B4-BE49-F238E27FC236}">
                <a16:creationId xmlns:a16="http://schemas.microsoft.com/office/drawing/2014/main" id="{00000000-0008-0000-0700-00004E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646709" y="1079524"/>
            <a:ext cx="260368" cy="266590"/>
          </a:xfrm>
          <a:prstGeom prst="rect">
            <a:avLst/>
          </a:prstGeom>
        </xdr:spPr>
      </xdr:pic>
    </xdr:grpSp>
    <xdr:clientData/>
  </xdr:twoCellAnchor>
  <xdr:twoCellAnchor>
    <xdr:from>
      <xdr:col>2</xdr:col>
      <xdr:colOff>2309869</xdr:colOff>
      <xdr:row>4</xdr:row>
      <xdr:rowOff>114300</xdr:rowOff>
    </xdr:from>
    <xdr:to>
      <xdr:col>3</xdr:col>
      <xdr:colOff>226288</xdr:colOff>
      <xdr:row>6</xdr:row>
      <xdr:rowOff>54750</xdr:rowOff>
    </xdr:to>
    <xdr:grpSp>
      <xdr:nvGrpSpPr>
        <xdr:cNvPr id="3" name="Grupo 2">
          <a:hlinkClick xmlns:r="http://schemas.openxmlformats.org/officeDocument/2006/relationships" r:id="rId13"/>
          <a:extLst>
            <a:ext uri="{FF2B5EF4-FFF2-40B4-BE49-F238E27FC236}">
              <a16:creationId xmlns:a16="http://schemas.microsoft.com/office/drawing/2014/main" id="{00000000-0008-0000-0700-000003000000}"/>
            </a:ext>
          </a:extLst>
        </xdr:cNvPr>
        <xdr:cNvGrpSpPr/>
      </xdr:nvGrpSpPr>
      <xdr:grpSpPr>
        <a:xfrm>
          <a:off x="5491219" y="876300"/>
          <a:ext cx="1564494" cy="302400"/>
          <a:chOff x="5643619" y="876300"/>
          <a:chExt cx="1739119" cy="302400"/>
        </a:xfrm>
      </xdr:grpSpPr>
      <xdr:sp macro="" textlink="">
        <xdr:nvSpPr>
          <xdr:cNvPr id="74" name="Rectángulo 73">
            <a:extLst>
              <a:ext uri="{FF2B5EF4-FFF2-40B4-BE49-F238E27FC236}">
                <a16:creationId xmlns:a16="http://schemas.microsoft.com/office/drawing/2014/main" id="{00000000-0008-0000-0700-00004A000000}"/>
              </a:ext>
            </a:extLst>
          </xdr:cNvPr>
          <xdr:cNvSpPr>
            <a:spLocks noChangeAspect="1"/>
          </xdr:cNvSpPr>
        </xdr:nvSpPr>
        <xdr:spPr>
          <a:xfrm>
            <a:off x="5643619" y="876300"/>
            <a:ext cx="1739119" cy="30240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Libro Diario</a:t>
            </a:r>
            <a:endParaRPr lang="es-AR" sz="900" b="1">
              <a:latin typeface="Arial" panose="020B0604020202020204" pitchFamily="34" charset="0"/>
              <a:cs typeface="Arial" panose="020B0604020202020204" pitchFamily="34" charset="0"/>
            </a:endParaRPr>
          </a:p>
        </xdr:txBody>
      </xdr:sp>
      <xdr:pic>
        <xdr:nvPicPr>
          <xdr:cNvPr id="29" name="12 Imagen" descr="Hoja.PNG">
            <a:extLst>
              <a:ext uri="{FF2B5EF4-FFF2-40B4-BE49-F238E27FC236}">
                <a16:creationId xmlns:a16="http://schemas.microsoft.com/office/drawing/2014/main" id="{00000000-0008-0000-0700-00001D000000}"/>
              </a:ext>
            </a:extLst>
          </xdr:cNvPr>
          <xdr:cNvPicPr>
            <a:picLocks noChangeAspect="1"/>
          </xdr:cNvPicPr>
        </xdr:nvPicPr>
        <xdr:blipFill>
          <a:blip xmlns:r="http://schemas.openxmlformats.org/officeDocument/2006/relationships" r:embed="rId14" cstate="print"/>
          <a:stretch>
            <a:fillRect/>
          </a:stretch>
        </xdr:blipFill>
        <xdr:spPr>
          <a:xfrm>
            <a:off x="5734050" y="908050"/>
            <a:ext cx="230481" cy="238248"/>
          </a:xfrm>
          <a:prstGeom prst="rect">
            <a:avLst/>
          </a:prstGeom>
        </xdr:spPr>
      </xdr:pic>
    </xdr:grpSp>
    <xdr:clientData/>
  </xdr:twoCellAnchor>
  <xdr:twoCellAnchor>
    <xdr:from>
      <xdr:col>3</xdr:col>
      <xdr:colOff>426633</xdr:colOff>
      <xdr:row>4</xdr:row>
      <xdr:rowOff>129650</xdr:rowOff>
    </xdr:from>
    <xdr:to>
      <xdr:col>4</xdr:col>
      <xdr:colOff>1044527</xdr:colOff>
      <xdr:row>6</xdr:row>
      <xdr:rowOff>70920</xdr:rowOff>
    </xdr:to>
    <xdr:grpSp>
      <xdr:nvGrpSpPr>
        <xdr:cNvPr id="4" name="Grupo 3">
          <a:hlinkClick xmlns:r="http://schemas.openxmlformats.org/officeDocument/2006/relationships" r:id="rId15"/>
          <a:extLst>
            <a:ext uri="{FF2B5EF4-FFF2-40B4-BE49-F238E27FC236}">
              <a16:creationId xmlns:a16="http://schemas.microsoft.com/office/drawing/2014/main" id="{00000000-0008-0000-0700-000004000000}"/>
            </a:ext>
          </a:extLst>
        </xdr:cNvPr>
        <xdr:cNvGrpSpPr/>
      </xdr:nvGrpSpPr>
      <xdr:grpSpPr>
        <a:xfrm>
          <a:off x="7256058" y="891650"/>
          <a:ext cx="1703744" cy="303220"/>
          <a:chOff x="7583083" y="891650"/>
          <a:chExt cx="1754544" cy="303220"/>
        </a:xfrm>
      </xdr:grpSpPr>
      <xdr:sp macro="" textlink="">
        <xdr:nvSpPr>
          <xdr:cNvPr id="75" name="Rectángulo 74">
            <a:extLst>
              <a:ext uri="{FF2B5EF4-FFF2-40B4-BE49-F238E27FC236}">
                <a16:creationId xmlns:a16="http://schemas.microsoft.com/office/drawing/2014/main" id="{00000000-0008-0000-0700-00004B000000}"/>
              </a:ext>
            </a:extLst>
          </xdr:cNvPr>
          <xdr:cNvSpPr/>
        </xdr:nvSpPr>
        <xdr:spPr>
          <a:xfrm>
            <a:off x="7583083" y="891650"/>
            <a:ext cx="1754544"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b="1">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Bal. Comp. Inicial</a:t>
            </a:r>
            <a:endParaRPr lang="es-AR" sz="900" b="1">
              <a:latin typeface="Arial" panose="020B0604020202020204" pitchFamily="34" charset="0"/>
              <a:cs typeface="Arial" panose="020B0604020202020204" pitchFamily="34" charset="0"/>
            </a:endParaRPr>
          </a:p>
        </xdr:txBody>
      </xdr:sp>
      <xdr:pic>
        <xdr:nvPicPr>
          <xdr:cNvPr id="31" name="17 Imagen" descr="Icono 1.PNG">
            <a:extLst>
              <a:ext uri="{FF2B5EF4-FFF2-40B4-BE49-F238E27FC236}">
                <a16:creationId xmlns:a16="http://schemas.microsoft.com/office/drawing/2014/main" id="{00000000-0008-0000-0700-00001F000000}"/>
              </a:ext>
            </a:extLst>
          </xdr:cNvPr>
          <xdr:cNvPicPr>
            <a:picLocks noChangeAspect="1"/>
          </xdr:cNvPicPr>
        </xdr:nvPicPr>
        <xdr:blipFill>
          <a:blip xmlns:r="http://schemas.openxmlformats.org/officeDocument/2006/relationships" r:embed="rId16" cstate="print"/>
          <a:stretch>
            <a:fillRect/>
          </a:stretch>
        </xdr:blipFill>
        <xdr:spPr>
          <a:xfrm>
            <a:off x="7664450" y="920750"/>
            <a:ext cx="198143" cy="245289"/>
          </a:xfrm>
          <a:prstGeom prst="rect">
            <a:avLst/>
          </a:prstGeom>
        </xdr:spPr>
      </xdr:pic>
    </xdr:grpSp>
    <xdr:clientData/>
  </xdr:twoCellAnchor>
  <xdr:twoCellAnchor>
    <xdr:from>
      <xdr:col>1</xdr:col>
      <xdr:colOff>47625</xdr:colOff>
      <xdr:row>0</xdr:row>
      <xdr:rowOff>95250</xdr:rowOff>
    </xdr:from>
    <xdr:to>
      <xdr:col>7</xdr:col>
      <xdr:colOff>190500</xdr:colOff>
      <xdr:row>4</xdr:row>
      <xdr:rowOff>12989</xdr:rowOff>
    </xdr:to>
    <xdr:grpSp>
      <xdr:nvGrpSpPr>
        <xdr:cNvPr id="32" name="Grupo 31">
          <a:extLst>
            <a:ext uri="{FF2B5EF4-FFF2-40B4-BE49-F238E27FC236}">
              <a16:creationId xmlns:a16="http://schemas.microsoft.com/office/drawing/2014/main" id="{00000000-0008-0000-0700-000020000000}"/>
            </a:ext>
          </a:extLst>
        </xdr:cNvPr>
        <xdr:cNvGrpSpPr/>
      </xdr:nvGrpSpPr>
      <xdr:grpSpPr>
        <a:xfrm>
          <a:off x="190500" y="95250"/>
          <a:ext cx="11268075" cy="679739"/>
          <a:chOff x="104775" y="200025"/>
          <a:chExt cx="10477500" cy="914400"/>
        </a:xfrm>
      </xdr:grpSpPr>
      <xdr:sp macro="" textlink="">
        <xdr:nvSpPr>
          <xdr:cNvPr id="33" name="Rectángulo 32">
            <a:extLst>
              <a:ext uri="{FF2B5EF4-FFF2-40B4-BE49-F238E27FC236}">
                <a16:creationId xmlns:a16="http://schemas.microsoft.com/office/drawing/2014/main" id="{00000000-0008-0000-0700-000021000000}"/>
              </a:ext>
              <a:ext uri="{147F2762-F138-4A5C-976F-8EAC2B608ADB}">
                <a16:predDERef xmlns:a16="http://schemas.microsoft.com/office/drawing/2014/main" pred="{00000000-0008-0000-0100-000008000000}"/>
              </a:ext>
            </a:extLst>
          </xdr:cNvPr>
          <xdr:cNvSpPr/>
        </xdr:nvSpPr>
        <xdr:spPr>
          <a:xfrm>
            <a:off x="104775" y="200025"/>
            <a:ext cx="10372725" cy="914400"/>
          </a:xfrm>
          <a:prstGeom prst="rect">
            <a:avLst/>
          </a:prstGeom>
          <a:solidFill>
            <a:srgbClr val="D6E4E6"/>
          </a:solidFill>
          <a:ln>
            <a:solidFill>
              <a:srgbClr val="075D6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sp macro="" textlink="">
        <xdr:nvSpPr>
          <xdr:cNvPr id="34" name="Rectángulo 33">
            <a:extLst>
              <a:ext uri="{FF2B5EF4-FFF2-40B4-BE49-F238E27FC236}">
                <a16:creationId xmlns:a16="http://schemas.microsoft.com/office/drawing/2014/main" id="{00000000-0008-0000-0700-000022000000}"/>
              </a:ext>
              <a:ext uri="{147F2762-F138-4A5C-976F-8EAC2B608ADB}">
                <a16:predDERef xmlns:a16="http://schemas.microsoft.com/office/drawing/2014/main" pred="{00000000-0008-0000-0200-000003000000}"/>
              </a:ext>
            </a:extLst>
          </xdr:cNvPr>
          <xdr:cNvSpPr/>
        </xdr:nvSpPr>
        <xdr:spPr>
          <a:xfrm>
            <a:off x="2667000" y="247650"/>
            <a:ext cx="7915275"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200" b="1">
                <a:solidFill>
                  <a:sysClr val="windowText" lastClr="000000"/>
                </a:solidFill>
              </a:rPr>
              <a:t>Herramienta educativa para la</a:t>
            </a:r>
            <a:r>
              <a:rPr lang="es-AR" sz="1200" b="1" baseline="0">
                <a:solidFill>
                  <a:sysClr val="windowText" lastClr="000000"/>
                </a:solidFill>
              </a:rPr>
              <a:t> gestión contable en</a:t>
            </a:r>
          </a:p>
          <a:p>
            <a:pPr algn="ctr"/>
            <a:r>
              <a:rPr lang="es-AR" sz="1200" b="1" baseline="0">
                <a:solidFill>
                  <a:sysClr val="windowText" lastClr="000000"/>
                </a:solidFill>
              </a:rPr>
              <a:t>asignaturas de "Introducción a la Contabilidad" a nivel de Grado</a:t>
            </a:r>
          </a:p>
          <a:p>
            <a:pPr algn="ctr"/>
            <a:endParaRPr lang="es-AR" sz="1200" b="1" baseline="0">
              <a:solidFill>
                <a:sysClr val="windowText" lastClr="000000"/>
              </a:solidFill>
            </a:endParaRPr>
          </a:p>
        </xdr:txBody>
      </xdr:sp>
      <xdr:sp macro="" textlink="">
        <xdr:nvSpPr>
          <xdr:cNvPr id="35" name="Rectángulo 34">
            <a:extLst>
              <a:ext uri="{FF2B5EF4-FFF2-40B4-BE49-F238E27FC236}">
                <a16:creationId xmlns:a16="http://schemas.microsoft.com/office/drawing/2014/main" id="{00000000-0008-0000-0700-000023000000}"/>
              </a:ext>
              <a:ext uri="{147F2762-F138-4A5C-976F-8EAC2B608ADB}">
                <a16:predDERef xmlns:a16="http://schemas.microsoft.com/office/drawing/2014/main" pred="{00000000-0008-0000-0100-00000E000000}"/>
              </a:ext>
            </a:extLst>
          </xdr:cNvPr>
          <xdr:cNvSpPr/>
        </xdr:nvSpPr>
        <xdr:spPr>
          <a:xfrm>
            <a:off x="4070350" y="771466"/>
            <a:ext cx="5057775" cy="277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050" b="1">
                <a:solidFill>
                  <a:sysClr val="windowText" lastClr="000000"/>
                </a:solidFill>
              </a:rPr>
              <a:t>Aplicación al caso práctico "QUESERÍA LA GANADORA"</a:t>
            </a:r>
            <a:endParaRPr lang="es-AR" sz="1050">
              <a:solidFill>
                <a:sysClr val="windowText" lastClr="000000"/>
              </a:solidFill>
            </a:endParaRPr>
          </a:p>
        </xdr:txBody>
      </xdr:sp>
      <xdr:pic>
        <xdr:nvPicPr>
          <xdr:cNvPr id="36" name="Imagen 35">
            <a:extLst>
              <a:ext uri="{FF2B5EF4-FFF2-40B4-BE49-F238E27FC236}">
                <a16:creationId xmlns:a16="http://schemas.microsoft.com/office/drawing/2014/main" id="{00000000-0008-0000-0700-000024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77800" y="307975"/>
            <a:ext cx="1933305" cy="721591"/>
          </a:xfrm>
          <a:prstGeom prst="rect">
            <a:avLst/>
          </a:prstGeom>
          <a:noFill/>
        </xdr:spPr>
      </xdr:pic>
    </xdr:grpSp>
    <xdr:clientData/>
  </xdr:twoCellAnchor>
  <xdr:twoCellAnchor editAs="oneCell">
    <xdr:from>
      <xdr:col>6</xdr:col>
      <xdr:colOff>552450</xdr:colOff>
      <xdr:row>0</xdr:row>
      <xdr:rowOff>123825</xdr:rowOff>
    </xdr:from>
    <xdr:to>
      <xdr:col>7</xdr:col>
      <xdr:colOff>0</xdr:colOff>
      <xdr:row>3</xdr:row>
      <xdr:rowOff>174012</xdr:rowOff>
    </xdr:to>
    <xdr:pic>
      <xdr:nvPicPr>
        <xdr:cNvPr id="37" name="Imagen 36">
          <a:extLst>
            <a:ext uri="{FF2B5EF4-FFF2-40B4-BE49-F238E27FC236}">
              <a16:creationId xmlns:a16="http://schemas.microsoft.com/office/drawing/2014/main" id="{00000000-0008-0000-0700-000025000000}"/>
            </a:ext>
          </a:extLst>
        </xdr:cNvPr>
        <xdr:cNvPicPr>
          <a:picLocks noChangeAspect="1"/>
        </xdr:cNvPicPr>
      </xdr:nvPicPr>
      <xdr:blipFill>
        <a:blip xmlns:r="http://schemas.openxmlformats.org/officeDocument/2006/relationships" r:embed="rId18"/>
        <a:stretch>
          <a:fillRect/>
        </a:stretch>
      </xdr:blipFill>
      <xdr:spPr>
        <a:xfrm>
          <a:off x="10620375" y="123825"/>
          <a:ext cx="647700" cy="62168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6</xdr:col>
      <xdr:colOff>571500</xdr:colOff>
      <xdr:row>3</xdr:row>
      <xdr:rowOff>95250</xdr:rowOff>
    </xdr:to>
    <xdr:grpSp>
      <xdr:nvGrpSpPr>
        <xdr:cNvPr id="2" name="Grupo 1">
          <a:extLst>
            <a:ext uri="{FF2B5EF4-FFF2-40B4-BE49-F238E27FC236}">
              <a16:creationId xmlns:a16="http://schemas.microsoft.com/office/drawing/2014/main" id="{00000000-0008-0000-0B00-000002000000}"/>
            </a:ext>
          </a:extLst>
        </xdr:cNvPr>
        <xdr:cNvGrpSpPr/>
      </xdr:nvGrpSpPr>
      <xdr:grpSpPr>
        <a:xfrm>
          <a:off x="1" y="38100"/>
          <a:ext cx="8972549" cy="628650"/>
          <a:chOff x="1" y="38100"/>
          <a:chExt cx="8274048" cy="596901"/>
        </a:xfrm>
      </xdr:grpSpPr>
      <xdr:grpSp>
        <xdr:nvGrpSpPr>
          <xdr:cNvPr id="3" name="Grupo 2">
            <a:extLst>
              <a:ext uri="{FF2B5EF4-FFF2-40B4-BE49-F238E27FC236}">
                <a16:creationId xmlns:a16="http://schemas.microsoft.com/office/drawing/2014/main" id="{00000000-0008-0000-0B00-000003000000}"/>
              </a:ext>
            </a:extLst>
          </xdr:cNvPr>
          <xdr:cNvGrpSpPr/>
        </xdr:nvGrpSpPr>
        <xdr:grpSpPr>
          <a:xfrm>
            <a:off x="1" y="38100"/>
            <a:ext cx="8274048" cy="596901"/>
            <a:chOff x="1" y="43248"/>
            <a:chExt cx="8167264" cy="677548"/>
          </a:xfrm>
        </xdr:grpSpPr>
        <xdr:sp macro="" textlink="">
          <xdr:nvSpPr>
            <xdr:cNvPr id="5" name="Rectángulo 4">
              <a:extLst>
                <a:ext uri="{FF2B5EF4-FFF2-40B4-BE49-F238E27FC236}">
                  <a16:creationId xmlns:a16="http://schemas.microsoft.com/office/drawing/2014/main" id="{00000000-0008-0000-0B00-000005000000}"/>
                </a:ext>
              </a:extLst>
            </xdr:cNvPr>
            <xdr:cNvSpPr/>
          </xdr:nvSpPr>
          <xdr:spPr>
            <a:xfrm>
              <a:off x="37608" y="56805"/>
              <a:ext cx="8129657" cy="639693"/>
            </a:xfrm>
            <a:prstGeom prst="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pic>
          <xdr:nvPicPr>
            <xdr:cNvPr id="6" name="Imagen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43248"/>
              <a:ext cx="1920082" cy="677548"/>
            </a:xfrm>
            <a:prstGeom prst="rect">
              <a:avLst/>
            </a:prstGeom>
            <a:noFill/>
          </xdr:spPr>
        </xdr:pic>
      </xdr:grpSp>
      <xdr:sp macro="" textlink="">
        <xdr:nvSpPr>
          <xdr:cNvPr id="4" name="Rectángulo 3">
            <a:extLst>
              <a:ext uri="{FF2B5EF4-FFF2-40B4-BE49-F238E27FC236}">
                <a16:creationId xmlns:a16="http://schemas.microsoft.com/office/drawing/2014/main" id="{00000000-0008-0000-0B00-000004000000}"/>
              </a:ext>
            </a:extLst>
          </xdr:cNvPr>
          <xdr:cNvSpPr/>
        </xdr:nvSpPr>
        <xdr:spPr>
          <a:xfrm>
            <a:off x="5607050" y="120650"/>
            <a:ext cx="2616200" cy="438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s-AR" sz="1100" b="1">
                <a:solidFill>
                  <a:sysClr val="windowText" lastClr="000000"/>
                </a:solidFill>
              </a:rPr>
              <a:t>Sistemas</a:t>
            </a:r>
            <a:r>
              <a:rPr lang="es-AR" sz="1100" b="1" baseline="0">
                <a:solidFill>
                  <a:sysClr val="windowText" lastClr="000000"/>
                </a:solidFill>
              </a:rPr>
              <a:t> de Información Contable</a:t>
            </a:r>
          </a:p>
          <a:p>
            <a:pPr algn="r"/>
            <a:r>
              <a:rPr lang="es-AR" sz="1100" baseline="0">
                <a:solidFill>
                  <a:sysClr val="windowText" lastClr="000000"/>
                </a:solidFill>
              </a:rPr>
              <a:t>Grado de Relaciones Internacionales</a:t>
            </a:r>
            <a:endParaRPr lang="es-AR" sz="1100">
              <a:solidFill>
                <a:sysClr val="windowText" lastClr="000000"/>
              </a:solidFill>
            </a:endParaRPr>
          </a:p>
        </xdr:txBody>
      </xdr:sp>
    </xdr:grpSp>
    <xdr:clientData/>
  </xdr:twoCellAnchor>
  <xdr:twoCellAnchor editAs="absolute">
    <xdr:from>
      <xdr:col>0</xdr:col>
      <xdr:colOff>3289300</xdr:colOff>
      <xdr:row>5</xdr:row>
      <xdr:rowOff>57150</xdr:rowOff>
    </xdr:from>
    <xdr:to>
      <xdr:col>6</xdr:col>
      <xdr:colOff>606425</xdr:colOff>
      <xdr:row>11</xdr:row>
      <xdr:rowOff>114299</xdr:rowOff>
    </xdr:to>
    <mc:AlternateContent xmlns:mc="http://schemas.openxmlformats.org/markup-compatibility/2006" xmlns:a14="http://schemas.microsoft.com/office/drawing/2010/main">
      <mc:Choice Requires="a14">
        <xdr:graphicFrame macro="">
          <xdr:nvGraphicFramePr>
            <xdr:cNvPr id="7" name="Niveles:2 1">
              <a:extLst>
                <a:ext uri="{FF2B5EF4-FFF2-40B4-BE49-F238E27FC236}">
                  <a16:creationId xmlns:a16="http://schemas.microsoft.com/office/drawing/2014/main" id="{00000000-0008-0000-0B00-000007000000}"/>
                </a:ext>
                <a:ext uri="{147F2762-F138-4A5C-976F-8EAC2B608ADB}">
                  <a16:predDERef xmlns:a16="http://schemas.microsoft.com/office/drawing/2014/main" pred="{00000000-0008-0000-0500-000002000000}"/>
                </a:ext>
              </a:extLst>
            </xdr:cNvPr>
            <xdr:cNvGraphicFramePr/>
          </xdr:nvGraphicFramePr>
          <xdr:xfrm>
            <a:off x="0" y="0"/>
            <a:ext cx="0" cy="0"/>
          </xdr:xfrm>
          <a:graphic>
            <a:graphicData uri="http://schemas.microsoft.com/office/drawing/2010/slicer">
              <sle:slicer xmlns:sle="http://schemas.microsoft.com/office/drawing/2010/slicer" name="Niveles:2 1"/>
            </a:graphicData>
          </a:graphic>
        </xdr:graphicFrame>
      </mc:Choice>
      <mc:Fallback xmlns="">
        <xdr:sp macro="" textlink="">
          <xdr:nvSpPr>
            <xdr:cNvPr id="0" name=""/>
            <xdr:cNvSpPr>
              <a:spLocks noTextEdit="1"/>
            </xdr:cNvSpPr>
          </xdr:nvSpPr>
          <xdr:spPr>
            <a:xfrm>
              <a:off x="3289300" y="1022350"/>
              <a:ext cx="6127750" cy="933449"/>
            </a:xfrm>
            <a:prstGeom prst="rect">
              <a:avLst/>
            </a:prstGeom>
            <a:solidFill>
              <a:prstClr val="white"/>
            </a:solidFill>
            <a:ln w="1">
              <a:solidFill>
                <a:prstClr val="green"/>
              </a:solidFill>
            </a:ln>
          </xdr:spPr>
          <xdr:txBody>
            <a:bodyPr vertOverflow="clip" horzOverflow="clip"/>
            <a:lstStyle/>
            <a:p>
              <a:r>
                <a:rPr lang="es-AR"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fLocksWithSheet="0"/>
  </xdr:twoCellAnchor>
  <xdr:twoCellAnchor editAs="absolute">
    <xdr:from>
      <xdr:col>0</xdr:col>
      <xdr:colOff>117474</xdr:colOff>
      <xdr:row>5</xdr:row>
      <xdr:rowOff>76201</xdr:rowOff>
    </xdr:from>
    <xdr:to>
      <xdr:col>0</xdr:col>
      <xdr:colOff>3155949</xdr:colOff>
      <xdr:row>11</xdr:row>
      <xdr:rowOff>127000</xdr:rowOff>
    </xdr:to>
    <mc:AlternateContent xmlns:mc="http://schemas.openxmlformats.org/markup-compatibility/2006" xmlns:a14="http://schemas.microsoft.com/office/drawing/2010/main">
      <mc:Choice Requires="a14">
        <xdr:graphicFrame macro="">
          <xdr:nvGraphicFramePr>
            <xdr:cNvPr id="8" name="Grupos 1">
              <a:extLst>
                <a:ext uri="{FF2B5EF4-FFF2-40B4-BE49-F238E27FC236}">
                  <a16:creationId xmlns:a16="http://schemas.microsoft.com/office/drawing/2014/main" id="{00000000-0008-0000-0B00-000008000000}"/>
                </a:ext>
                <a:ext uri="{147F2762-F138-4A5C-976F-8EAC2B608ADB}">
                  <a16:predDERef xmlns:a16="http://schemas.microsoft.com/office/drawing/2014/main" pred="{00000000-0008-0000-0600-00000B000000}"/>
                </a:ext>
              </a:extLst>
            </xdr:cNvPr>
            <xdr:cNvGraphicFramePr/>
          </xdr:nvGraphicFramePr>
          <xdr:xfrm>
            <a:off x="0" y="0"/>
            <a:ext cx="0" cy="0"/>
          </xdr:xfrm>
          <a:graphic>
            <a:graphicData uri="http://schemas.microsoft.com/office/drawing/2010/slicer">
              <sle:slicer xmlns:sle="http://schemas.microsoft.com/office/drawing/2010/slicer" name="Grupos 1"/>
            </a:graphicData>
          </a:graphic>
        </xdr:graphicFrame>
      </mc:Choice>
      <mc:Fallback xmlns="">
        <xdr:sp macro="" textlink="">
          <xdr:nvSpPr>
            <xdr:cNvPr id="0" name=""/>
            <xdr:cNvSpPr>
              <a:spLocks noTextEdit="1"/>
            </xdr:cNvSpPr>
          </xdr:nvSpPr>
          <xdr:spPr>
            <a:xfrm>
              <a:off x="117474" y="1041401"/>
              <a:ext cx="3038475" cy="927099"/>
            </a:xfrm>
            <a:prstGeom prst="rect">
              <a:avLst/>
            </a:prstGeom>
            <a:solidFill>
              <a:prstClr val="white"/>
            </a:solidFill>
            <a:ln w="1">
              <a:solidFill>
                <a:prstClr val="green"/>
              </a:solidFill>
            </a:ln>
          </xdr:spPr>
          <xdr:txBody>
            <a:bodyPr vertOverflow="clip" horzOverflow="clip"/>
            <a:lstStyle/>
            <a:p>
              <a:r>
                <a:rPr lang="es-AR"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fLocksWithSheet="0"/>
  </xdr:twoCellAnchor>
</xdr:wsDr>
</file>

<file path=xl/drawings/drawing9.xml><?xml version="1.0" encoding="utf-8"?>
<xdr:wsDr xmlns:xdr="http://schemas.openxmlformats.org/drawingml/2006/spreadsheetDrawing" xmlns:a="http://schemas.openxmlformats.org/drawingml/2006/main">
  <xdr:twoCellAnchor>
    <xdr:from>
      <xdr:col>2</xdr:col>
      <xdr:colOff>1847274</xdr:colOff>
      <xdr:row>4</xdr:row>
      <xdr:rowOff>81823</xdr:rowOff>
    </xdr:from>
    <xdr:to>
      <xdr:col>2</xdr:col>
      <xdr:colOff>3499899</xdr:colOff>
      <xdr:row>6</xdr:row>
      <xdr:rowOff>24828</xdr:rowOff>
    </xdr:to>
    <xdr:grpSp>
      <xdr:nvGrpSpPr>
        <xdr:cNvPr id="44" name="Grupo 43">
          <a:hlinkClick xmlns:r="http://schemas.openxmlformats.org/officeDocument/2006/relationships" r:id="rId1"/>
          <a:extLst>
            <a:ext uri="{FF2B5EF4-FFF2-40B4-BE49-F238E27FC236}">
              <a16:creationId xmlns:a16="http://schemas.microsoft.com/office/drawing/2014/main" id="{00000000-0008-0000-0C00-00002C000000}"/>
            </a:ext>
          </a:extLst>
        </xdr:cNvPr>
        <xdr:cNvGrpSpPr>
          <a:grpSpLocks noChangeAspect="1"/>
        </xdr:cNvGrpSpPr>
      </xdr:nvGrpSpPr>
      <xdr:grpSpPr>
        <a:xfrm>
          <a:off x="2895024" y="805723"/>
          <a:ext cx="1652625" cy="304955"/>
          <a:chOff x="8559800" y="508000"/>
          <a:chExt cx="1809750" cy="298450"/>
        </a:xfrm>
      </xdr:grpSpPr>
      <xdr:sp macro="" textlink="">
        <xdr:nvSpPr>
          <xdr:cNvPr id="45" name="Rectángulo 44">
            <a:extLst>
              <a:ext uri="{FF2B5EF4-FFF2-40B4-BE49-F238E27FC236}">
                <a16:creationId xmlns:a16="http://schemas.microsoft.com/office/drawing/2014/main" id="{00000000-0008-0000-0C00-00002D000000}"/>
              </a:ext>
            </a:extLst>
          </xdr:cNvPr>
          <xdr:cNvSpPr/>
        </xdr:nvSpPr>
        <xdr:spPr>
          <a:xfrm>
            <a:off x="8559800" y="50800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Libro Mayor</a:t>
            </a:r>
            <a:endParaRPr lang="es-AR" sz="900" b="1">
              <a:latin typeface="Arial" panose="020B0604020202020204" pitchFamily="34" charset="0"/>
              <a:cs typeface="Arial" panose="020B0604020202020204" pitchFamily="34" charset="0"/>
            </a:endParaRPr>
          </a:p>
        </xdr:txBody>
      </xdr:sp>
      <xdr:pic>
        <xdr:nvPicPr>
          <xdr:cNvPr id="46" name="Imagen 45">
            <a:extLst>
              <a:ext uri="{FF2B5EF4-FFF2-40B4-BE49-F238E27FC236}">
                <a16:creationId xmlns:a16="http://schemas.microsoft.com/office/drawing/2014/main" id="{00000000-0008-0000-0C00-00002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636000" y="539750"/>
            <a:ext cx="222250" cy="222250"/>
          </a:xfrm>
          <a:prstGeom prst="rect">
            <a:avLst/>
          </a:prstGeom>
        </xdr:spPr>
      </xdr:pic>
    </xdr:grpSp>
    <xdr:clientData/>
  </xdr:twoCellAnchor>
  <xdr:twoCellAnchor>
    <xdr:from>
      <xdr:col>1</xdr:col>
      <xdr:colOff>819150</xdr:colOff>
      <xdr:row>4</xdr:row>
      <xdr:rowOff>85725</xdr:rowOff>
    </xdr:from>
    <xdr:to>
      <xdr:col>2</xdr:col>
      <xdr:colOff>1666875</xdr:colOff>
      <xdr:row>6</xdr:row>
      <xdr:rowOff>28575</xdr:rowOff>
    </xdr:to>
    <xdr:grpSp>
      <xdr:nvGrpSpPr>
        <xdr:cNvPr id="47" name="Grupo 46">
          <a:hlinkClick xmlns:r="http://schemas.openxmlformats.org/officeDocument/2006/relationships" r:id="rId3"/>
          <a:extLst>
            <a:ext uri="{FF2B5EF4-FFF2-40B4-BE49-F238E27FC236}">
              <a16:creationId xmlns:a16="http://schemas.microsoft.com/office/drawing/2014/main" id="{00000000-0008-0000-0C00-00002F000000}"/>
            </a:ext>
            <a:ext uri="{147F2762-F138-4A5C-976F-8EAC2B608ADB}">
              <a16:predDERef xmlns:a16="http://schemas.microsoft.com/office/drawing/2014/main" pred="{00000000-0008-0000-0300-000016000000}"/>
            </a:ext>
          </a:extLst>
        </xdr:cNvPr>
        <xdr:cNvGrpSpPr/>
      </xdr:nvGrpSpPr>
      <xdr:grpSpPr>
        <a:xfrm>
          <a:off x="981075" y="809625"/>
          <a:ext cx="1733550" cy="304800"/>
          <a:chOff x="1316186" y="814566"/>
          <a:chExt cx="1714496" cy="304456"/>
        </a:xfrm>
      </xdr:grpSpPr>
      <xdr:sp macro="" textlink="">
        <xdr:nvSpPr>
          <xdr:cNvPr id="48" name="Rectángulo 47">
            <a:extLst>
              <a:ext uri="{FF2B5EF4-FFF2-40B4-BE49-F238E27FC236}">
                <a16:creationId xmlns:a16="http://schemas.microsoft.com/office/drawing/2014/main" id="{00000000-0008-0000-0C00-000030000000}"/>
              </a:ext>
            </a:extLst>
          </xdr:cNvPr>
          <xdr:cNvSpPr/>
        </xdr:nvSpPr>
        <xdr:spPr>
          <a:xfrm>
            <a:off x="1316186" y="814566"/>
            <a:ext cx="1714496" cy="30445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Cuentas Individuales</a:t>
            </a:r>
            <a:endParaRPr lang="es-AR" sz="900" b="1">
              <a:latin typeface="Arial" panose="020B0604020202020204" pitchFamily="34" charset="0"/>
              <a:cs typeface="Arial" panose="020B0604020202020204" pitchFamily="34" charset="0"/>
            </a:endParaRPr>
          </a:p>
        </xdr:txBody>
      </xdr:sp>
      <xdr:pic>
        <xdr:nvPicPr>
          <xdr:cNvPr id="49" name="Imagen 48">
            <a:extLst>
              <a:ext uri="{FF2B5EF4-FFF2-40B4-BE49-F238E27FC236}">
                <a16:creationId xmlns:a16="http://schemas.microsoft.com/office/drawing/2014/main" id="{00000000-0008-0000-0C00-000031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20748" y="859206"/>
            <a:ext cx="215059" cy="233200"/>
          </a:xfrm>
          <a:prstGeom prst="rect">
            <a:avLst/>
          </a:prstGeom>
        </xdr:spPr>
      </xdr:pic>
    </xdr:grpSp>
    <xdr:clientData/>
  </xdr:twoCellAnchor>
  <xdr:twoCellAnchor>
    <xdr:from>
      <xdr:col>1</xdr:col>
      <xdr:colOff>819150</xdr:colOff>
      <xdr:row>6</xdr:row>
      <xdr:rowOff>114300</xdr:rowOff>
    </xdr:from>
    <xdr:to>
      <xdr:col>2</xdr:col>
      <xdr:colOff>1657350</xdr:colOff>
      <xdr:row>8</xdr:row>
      <xdr:rowOff>66675</xdr:rowOff>
    </xdr:to>
    <xdr:grpSp>
      <xdr:nvGrpSpPr>
        <xdr:cNvPr id="50" name="Grupo 49">
          <a:hlinkClick xmlns:r="http://schemas.openxmlformats.org/officeDocument/2006/relationships" r:id="rId5"/>
          <a:extLst>
            <a:ext uri="{FF2B5EF4-FFF2-40B4-BE49-F238E27FC236}">
              <a16:creationId xmlns:a16="http://schemas.microsoft.com/office/drawing/2014/main" id="{00000000-0008-0000-0C00-000032000000}"/>
            </a:ext>
            <a:ext uri="{147F2762-F138-4A5C-976F-8EAC2B608ADB}">
              <a16:predDERef xmlns:a16="http://schemas.microsoft.com/office/drawing/2014/main" pred="{00000000-0008-0000-1000-00002F000000}"/>
            </a:ext>
          </a:extLst>
        </xdr:cNvPr>
        <xdr:cNvGrpSpPr/>
      </xdr:nvGrpSpPr>
      <xdr:grpSpPr>
        <a:xfrm>
          <a:off x="981075" y="1200150"/>
          <a:ext cx="1724025" cy="314325"/>
          <a:chOff x="1323719" y="1207428"/>
          <a:chExt cx="1695417" cy="303220"/>
        </a:xfrm>
      </xdr:grpSpPr>
      <xdr:sp macro="" textlink="">
        <xdr:nvSpPr>
          <xdr:cNvPr id="51" name="Rectángulo 50">
            <a:extLst>
              <a:ext uri="{FF2B5EF4-FFF2-40B4-BE49-F238E27FC236}">
                <a16:creationId xmlns:a16="http://schemas.microsoft.com/office/drawing/2014/main" id="{00000000-0008-0000-0C00-000033000000}"/>
              </a:ext>
            </a:extLst>
          </xdr:cNvPr>
          <xdr:cNvSpPr/>
        </xdr:nvSpPr>
        <xdr:spPr>
          <a:xfrm>
            <a:off x="1323719" y="1207428"/>
            <a:ext cx="1695417"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Bce Comp. Trimestral</a:t>
            </a:r>
            <a:endParaRPr lang="es-AR" sz="900" b="1">
              <a:latin typeface="Arial" panose="020B0604020202020204" pitchFamily="34" charset="0"/>
              <a:cs typeface="Arial" panose="020B0604020202020204" pitchFamily="34" charset="0"/>
            </a:endParaRPr>
          </a:p>
        </xdr:txBody>
      </xdr:sp>
      <xdr:pic>
        <xdr:nvPicPr>
          <xdr:cNvPr id="52" name="Imagen 51">
            <a:extLst>
              <a:ext uri="{FF2B5EF4-FFF2-40B4-BE49-F238E27FC236}">
                <a16:creationId xmlns:a16="http://schemas.microsoft.com/office/drawing/2014/main" id="{00000000-0008-0000-0C00-000034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401304" y="1246137"/>
            <a:ext cx="202909" cy="219351"/>
          </a:xfrm>
          <a:prstGeom prst="rect">
            <a:avLst/>
          </a:prstGeom>
        </xdr:spPr>
      </xdr:pic>
    </xdr:grpSp>
    <xdr:clientData/>
  </xdr:twoCellAnchor>
  <xdr:twoCellAnchor>
    <xdr:from>
      <xdr:col>2</xdr:col>
      <xdr:colOff>1847274</xdr:colOff>
      <xdr:row>6</xdr:row>
      <xdr:rowOff>128475</xdr:rowOff>
    </xdr:from>
    <xdr:to>
      <xdr:col>2</xdr:col>
      <xdr:colOff>3505414</xdr:colOff>
      <xdr:row>8</xdr:row>
      <xdr:rowOff>75444</xdr:rowOff>
    </xdr:to>
    <xdr:grpSp>
      <xdr:nvGrpSpPr>
        <xdr:cNvPr id="53" name="Grupo 52">
          <a:hlinkClick xmlns:r="http://schemas.openxmlformats.org/officeDocument/2006/relationships" r:id="rId7"/>
          <a:extLst>
            <a:ext uri="{FF2B5EF4-FFF2-40B4-BE49-F238E27FC236}">
              <a16:creationId xmlns:a16="http://schemas.microsoft.com/office/drawing/2014/main" id="{00000000-0008-0000-0C00-000035000000}"/>
            </a:ext>
          </a:extLst>
        </xdr:cNvPr>
        <xdr:cNvGrpSpPr>
          <a:grpSpLocks noChangeAspect="1"/>
        </xdr:cNvGrpSpPr>
      </xdr:nvGrpSpPr>
      <xdr:grpSpPr>
        <a:xfrm>
          <a:off x="2895024" y="1214325"/>
          <a:ext cx="1658140" cy="308919"/>
          <a:chOff x="8566150" y="1289050"/>
          <a:chExt cx="1809750" cy="295966"/>
        </a:xfrm>
      </xdr:grpSpPr>
      <xdr:sp macro="" textlink="">
        <xdr:nvSpPr>
          <xdr:cNvPr id="54" name="Rectángulo 53">
            <a:extLst>
              <a:ext uri="{FF2B5EF4-FFF2-40B4-BE49-F238E27FC236}">
                <a16:creationId xmlns:a16="http://schemas.microsoft.com/office/drawing/2014/main" id="{00000000-0008-0000-0C00-000036000000}"/>
              </a:ext>
            </a:extLst>
          </xdr:cNvPr>
          <xdr:cNvSpPr/>
        </xdr:nvSpPr>
        <xdr:spPr>
          <a:xfrm>
            <a:off x="8566150" y="1289050"/>
            <a:ext cx="1809750" cy="29596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Balance de Situación</a:t>
            </a:r>
            <a:endParaRPr lang="es-AR" sz="900" b="1">
              <a:latin typeface="Arial" panose="020B0604020202020204" pitchFamily="34" charset="0"/>
              <a:cs typeface="Arial" panose="020B0604020202020204" pitchFamily="34" charset="0"/>
            </a:endParaRPr>
          </a:p>
        </xdr:txBody>
      </xdr:sp>
      <xdr:pic>
        <xdr:nvPicPr>
          <xdr:cNvPr id="55" name="Imagen 54">
            <a:extLst>
              <a:ext uri="{FF2B5EF4-FFF2-40B4-BE49-F238E27FC236}">
                <a16:creationId xmlns:a16="http://schemas.microsoft.com/office/drawing/2014/main" id="{00000000-0008-0000-0C00-000037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629650" y="1314450"/>
            <a:ext cx="240969" cy="260349"/>
          </a:xfrm>
          <a:prstGeom prst="rect">
            <a:avLst/>
          </a:prstGeom>
        </xdr:spPr>
      </xdr:pic>
    </xdr:grpSp>
    <xdr:clientData/>
  </xdr:twoCellAnchor>
  <xdr:twoCellAnchor>
    <xdr:from>
      <xdr:col>2</xdr:col>
      <xdr:colOff>3707873</xdr:colOff>
      <xdr:row>6</xdr:row>
      <xdr:rowOff>128126</xdr:rowOff>
    </xdr:from>
    <xdr:to>
      <xdr:col>3</xdr:col>
      <xdr:colOff>75041</xdr:colOff>
      <xdr:row>8</xdr:row>
      <xdr:rowOff>72838</xdr:rowOff>
    </xdr:to>
    <xdr:grpSp>
      <xdr:nvGrpSpPr>
        <xdr:cNvPr id="56" name="Grupo 55">
          <a:hlinkClick xmlns:r="http://schemas.openxmlformats.org/officeDocument/2006/relationships" r:id="rId9"/>
          <a:extLst>
            <a:ext uri="{FF2B5EF4-FFF2-40B4-BE49-F238E27FC236}">
              <a16:creationId xmlns:a16="http://schemas.microsoft.com/office/drawing/2014/main" id="{00000000-0008-0000-0C00-000038000000}"/>
            </a:ext>
          </a:extLst>
        </xdr:cNvPr>
        <xdr:cNvGrpSpPr>
          <a:grpSpLocks noChangeAspect="1"/>
        </xdr:cNvGrpSpPr>
      </xdr:nvGrpSpPr>
      <xdr:grpSpPr>
        <a:xfrm>
          <a:off x="4755623" y="1213976"/>
          <a:ext cx="1482093" cy="306662"/>
          <a:chOff x="8559800" y="1695450"/>
          <a:chExt cx="1809750" cy="298450"/>
        </a:xfrm>
      </xdr:grpSpPr>
      <xdr:sp macro="" textlink="">
        <xdr:nvSpPr>
          <xdr:cNvPr id="57" name="Rectángulo 56">
            <a:extLst>
              <a:ext uri="{FF2B5EF4-FFF2-40B4-BE49-F238E27FC236}">
                <a16:creationId xmlns:a16="http://schemas.microsoft.com/office/drawing/2014/main" id="{00000000-0008-0000-0C00-000039000000}"/>
              </a:ext>
            </a:extLst>
          </xdr:cNvPr>
          <xdr:cNvSpPr/>
        </xdr:nvSpPr>
        <xdr:spPr>
          <a:xfrm>
            <a:off x="8559800" y="1695450"/>
            <a:ext cx="1809750" cy="29845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a:latin typeface="Arial" panose="020B0604020202020204" pitchFamily="34" charset="0"/>
                <a:cs typeface="Arial" panose="020B0604020202020204" pitchFamily="34" charset="0"/>
              </a:rPr>
              <a:t>Cuenta de</a:t>
            </a:r>
            <a:r>
              <a:rPr lang="es-AR" sz="900" b="1" baseline="0">
                <a:latin typeface="Arial" panose="020B0604020202020204" pitchFamily="34" charset="0"/>
                <a:cs typeface="Arial" panose="020B0604020202020204" pitchFamily="34" charset="0"/>
              </a:rPr>
              <a:t> PyG</a:t>
            </a:r>
            <a:endParaRPr lang="es-AR" sz="900" b="1">
              <a:latin typeface="Arial" panose="020B0604020202020204" pitchFamily="34" charset="0"/>
              <a:cs typeface="Arial" panose="020B0604020202020204" pitchFamily="34" charset="0"/>
            </a:endParaRPr>
          </a:p>
        </xdr:txBody>
      </xdr:sp>
      <xdr:pic>
        <xdr:nvPicPr>
          <xdr:cNvPr id="58" name="Imagen 57">
            <a:extLst>
              <a:ext uri="{FF2B5EF4-FFF2-40B4-BE49-F238E27FC236}">
                <a16:creationId xmlns:a16="http://schemas.microsoft.com/office/drawing/2014/main" id="{00000000-0008-0000-0C00-00003A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48700" y="1714500"/>
            <a:ext cx="226200" cy="226200"/>
          </a:xfrm>
          <a:prstGeom prst="rect">
            <a:avLst/>
          </a:prstGeom>
        </xdr:spPr>
      </xdr:pic>
    </xdr:grpSp>
    <xdr:clientData/>
  </xdr:twoCellAnchor>
  <xdr:twoCellAnchor>
    <xdr:from>
      <xdr:col>3</xdr:col>
      <xdr:colOff>289411</xdr:colOff>
      <xdr:row>6</xdr:row>
      <xdr:rowOff>123535</xdr:rowOff>
    </xdr:from>
    <xdr:to>
      <xdr:col>4</xdr:col>
      <xdr:colOff>346773</xdr:colOff>
      <xdr:row>8</xdr:row>
      <xdr:rowOff>68026</xdr:rowOff>
    </xdr:to>
    <xdr:grpSp>
      <xdr:nvGrpSpPr>
        <xdr:cNvPr id="61" name="Grupo 60">
          <a:hlinkClick xmlns:r="http://schemas.openxmlformats.org/officeDocument/2006/relationships" r:id="rId11"/>
          <a:extLst>
            <a:ext uri="{FF2B5EF4-FFF2-40B4-BE49-F238E27FC236}">
              <a16:creationId xmlns:a16="http://schemas.microsoft.com/office/drawing/2014/main" id="{00000000-0008-0000-0C00-00003D000000}"/>
            </a:ext>
          </a:extLst>
        </xdr:cNvPr>
        <xdr:cNvGrpSpPr/>
      </xdr:nvGrpSpPr>
      <xdr:grpSpPr>
        <a:xfrm>
          <a:off x="6452086" y="1209385"/>
          <a:ext cx="1676612" cy="306441"/>
          <a:chOff x="5589555" y="1073022"/>
          <a:chExt cx="1836130" cy="310036"/>
        </a:xfrm>
      </xdr:grpSpPr>
      <xdr:sp macro="" textlink="">
        <xdr:nvSpPr>
          <xdr:cNvPr id="62" name="Rectángulo 61">
            <a:extLst>
              <a:ext uri="{FF2B5EF4-FFF2-40B4-BE49-F238E27FC236}">
                <a16:creationId xmlns:a16="http://schemas.microsoft.com/office/drawing/2014/main" id="{00000000-0008-0000-0C00-00003E000000}"/>
              </a:ext>
            </a:extLst>
          </xdr:cNvPr>
          <xdr:cNvSpPr>
            <a:spLocks noChangeAspect="1"/>
          </xdr:cNvSpPr>
        </xdr:nvSpPr>
        <xdr:spPr>
          <a:xfrm>
            <a:off x="5589555" y="1073022"/>
            <a:ext cx="1836130" cy="310036"/>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900" b="1" baseline="0">
                <a:latin typeface="Arial" panose="020B0604020202020204" pitchFamily="34" charset="0"/>
                <a:cs typeface="Arial" panose="020B0604020202020204" pitchFamily="34" charset="0"/>
              </a:rPr>
              <a:t>Indicadores</a:t>
            </a:r>
            <a:endParaRPr lang="es-AR" sz="900" b="1">
              <a:latin typeface="Arial" panose="020B0604020202020204" pitchFamily="34" charset="0"/>
              <a:cs typeface="Arial" panose="020B0604020202020204" pitchFamily="34" charset="0"/>
            </a:endParaRPr>
          </a:p>
        </xdr:txBody>
      </xdr:sp>
      <xdr:pic>
        <xdr:nvPicPr>
          <xdr:cNvPr id="63" name="Imagen 62">
            <a:extLst>
              <a:ext uri="{FF2B5EF4-FFF2-40B4-BE49-F238E27FC236}">
                <a16:creationId xmlns:a16="http://schemas.microsoft.com/office/drawing/2014/main" id="{00000000-0008-0000-0C00-00003F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646709" y="1079524"/>
            <a:ext cx="260368" cy="266590"/>
          </a:xfrm>
          <a:prstGeom prst="rect">
            <a:avLst/>
          </a:prstGeom>
        </xdr:spPr>
      </xdr:pic>
    </xdr:grpSp>
    <xdr:clientData/>
  </xdr:twoCellAnchor>
  <xdr:twoCellAnchor>
    <xdr:from>
      <xdr:col>2</xdr:col>
      <xdr:colOff>3698787</xdr:colOff>
      <xdr:row>4</xdr:row>
      <xdr:rowOff>80818</xdr:rowOff>
    </xdr:from>
    <xdr:to>
      <xdr:col>3</xdr:col>
      <xdr:colOff>80815</xdr:colOff>
      <xdr:row>6</xdr:row>
      <xdr:rowOff>25309</xdr:rowOff>
    </xdr:to>
    <xdr:grpSp>
      <xdr:nvGrpSpPr>
        <xdr:cNvPr id="2" name="Grupo 1">
          <a:hlinkClick xmlns:r="http://schemas.openxmlformats.org/officeDocument/2006/relationships" r:id="rId13"/>
          <a:extLst>
            <a:ext uri="{FF2B5EF4-FFF2-40B4-BE49-F238E27FC236}">
              <a16:creationId xmlns:a16="http://schemas.microsoft.com/office/drawing/2014/main" id="{00000000-0008-0000-0C00-000002000000}"/>
            </a:ext>
          </a:extLst>
        </xdr:cNvPr>
        <xdr:cNvGrpSpPr/>
      </xdr:nvGrpSpPr>
      <xdr:grpSpPr>
        <a:xfrm>
          <a:off x="4746537" y="804718"/>
          <a:ext cx="1496953" cy="306441"/>
          <a:chOff x="4801378" y="796636"/>
          <a:chExt cx="1739119" cy="302400"/>
        </a:xfrm>
      </xdr:grpSpPr>
      <xdr:sp macro="" textlink="">
        <xdr:nvSpPr>
          <xdr:cNvPr id="59" name="Rectángulo 58">
            <a:extLst>
              <a:ext uri="{FF2B5EF4-FFF2-40B4-BE49-F238E27FC236}">
                <a16:creationId xmlns:a16="http://schemas.microsoft.com/office/drawing/2014/main" id="{00000000-0008-0000-0C00-00003B000000}"/>
              </a:ext>
            </a:extLst>
          </xdr:cNvPr>
          <xdr:cNvSpPr>
            <a:spLocks noChangeAspect="1"/>
          </xdr:cNvSpPr>
        </xdr:nvSpPr>
        <xdr:spPr>
          <a:xfrm>
            <a:off x="4801378" y="796636"/>
            <a:ext cx="1739119" cy="30240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Libro Diario</a:t>
            </a:r>
            <a:endParaRPr lang="es-AR" sz="900" b="1">
              <a:latin typeface="Arial" panose="020B0604020202020204" pitchFamily="34" charset="0"/>
              <a:cs typeface="Arial" panose="020B0604020202020204" pitchFamily="34" charset="0"/>
            </a:endParaRPr>
          </a:p>
        </xdr:txBody>
      </xdr:sp>
      <xdr:pic>
        <xdr:nvPicPr>
          <xdr:cNvPr id="27" name="12 Imagen" descr="Hoja.PNG">
            <a:extLst>
              <a:ext uri="{FF2B5EF4-FFF2-40B4-BE49-F238E27FC236}">
                <a16:creationId xmlns:a16="http://schemas.microsoft.com/office/drawing/2014/main" id="{00000000-0008-0000-0C00-00001B000000}"/>
              </a:ext>
            </a:extLst>
          </xdr:cNvPr>
          <xdr:cNvPicPr>
            <a:picLocks noChangeAspect="1"/>
          </xdr:cNvPicPr>
        </xdr:nvPicPr>
        <xdr:blipFill>
          <a:blip xmlns:r="http://schemas.openxmlformats.org/officeDocument/2006/relationships" r:embed="rId14" cstate="print"/>
          <a:stretch>
            <a:fillRect/>
          </a:stretch>
        </xdr:blipFill>
        <xdr:spPr>
          <a:xfrm>
            <a:off x="4895273" y="837045"/>
            <a:ext cx="230481" cy="238248"/>
          </a:xfrm>
          <a:prstGeom prst="rect">
            <a:avLst/>
          </a:prstGeom>
        </xdr:spPr>
      </xdr:pic>
    </xdr:grpSp>
    <xdr:clientData/>
  </xdr:twoCellAnchor>
  <xdr:twoCellAnchor>
    <xdr:from>
      <xdr:col>3</xdr:col>
      <xdr:colOff>281160</xdr:colOff>
      <xdr:row>4</xdr:row>
      <xdr:rowOff>96168</xdr:rowOff>
    </xdr:from>
    <xdr:to>
      <xdr:col>4</xdr:col>
      <xdr:colOff>338522</xdr:colOff>
      <xdr:row>6</xdr:row>
      <xdr:rowOff>41479</xdr:rowOff>
    </xdr:to>
    <xdr:grpSp>
      <xdr:nvGrpSpPr>
        <xdr:cNvPr id="4" name="Grupo 3">
          <a:hlinkClick xmlns:r="http://schemas.openxmlformats.org/officeDocument/2006/relationships" r:id="rId15"/>
          <a:extLst>
            <a:ext uri="{FF2B5EF4-FFF2-40B4-BE49-F238E27FC236}">
              <a16:creationId xmlns:a16="http://schemas.microsoft.com/office/drawing/2014/main" id="{00000000-0008-0000-0C00-000004000000}"/>
            </a:ext>
          </a:extLst>
        </xdr:cNvPr>
        <xdr:cNvGrpSpPr/>
      </xdr:nvGrpSpPr>
      <xdr:grpSpPr>
        <a:xfrm>
          <a:off x="6443835" y="820068"/>
          <a:ext cx="1676612" cy="307261"/>
          <a:chOff x="6740842" y="811986"/>
          <a:chExt cx="1754544" cy="303220"/>
        </a:xfrm>
      </xdr:grpSpPr>
      <xdr:sp macro="" textlink="">
        <xdr:nvSpPr>
          <xdr:cNvPr id="60" name="Rectángulo 59">
            <a:extLst>
              <a:ext uri="{FF2B5EF4-FFF2-40B4-BE49-F238E27FC236}">
                <a16:creationId xmlns:a16="http://schemas.microsoft.com/office/drawing/2014/main" id="{00000000-0008-0000-0C00-00003C000000}"/>
              </a:ext>
            </a:extLst>
          </xdr:cNvPr>
          <xdr:cNvSpPr/>
        </xdr:nvSpPr>
        <xdr:spPr>
          <a:xfrm>
            <a:off x="6740842" y="811986"/>
            <a:ext cx="1754544" cy="303220"/>
          </a:xfrm>
          <a:prstGeom prst="rect">
            <a:avLst/>
          </a:prstGeom>
          <a:effectLst>
            <a:outerShdw blurRad="50800" dist="38100" dir="8100000" algn="tr"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lang="es-AR" sz="900" b="1">
                <a:latin typeface="Arial" panose="020B0604020202020204" pitchFamily="34" charset="0"/>
                <a:cs typeface="Arial" panose="020B0604020202020204" pitchFamily="34" charset="0"/>
              </a:rPr>
              <a:t>          </a:t>
            </a:r>
            <a:r>
              <a:rPr lang="es-AR" sz="1100" b="1">
                <a:solidFill>
                  <a:schemeClr val="dk1"/>
                </a:solidFill>
                <a:effectLst/>
                <a:latin typeface="+mn-lt"/>
                <a:ea typeface="+mn-ea"/>
                <a:cs typeface="+mn-cs"/>
              </a:rPr>
              <a:t>Bal. Comp. Inicial</a:t>
            </a:r>
            <a:endParaRPr lang="es-AR" sz="900" b="1">
              <a:latin typeface="Arial" panose="020B0604020202020204" pitchFamily="34" charset="0"/>
              <a:cs typeface="Arial" panose="020B0604020202020204" pitchFamily="34" charset="0"/>
            </a:endParaRPr>
          </a:p>
        </xdr:txBody>
      </xdr:sp>
      <xdr:pic>
        <xdr:nvPicPr>
          <xdr:cNvPr id="29" name="17 Imagen" descr="Icono 1.PNG">
            <a:extLst>
              <a:ext uri="{FF2B5EF4-FFF2-40B4-BE49-F238E27FC236}">
                <a16:creationId xmlns:a16="http://schemas.microsoft.com/office/drawing/2014/main" id="{00000000-0008-0000-0C00-00001D000000}"/>
              </a:ext>
            </a:extLst>
          </xdr:cNvPr>
          <xdr:cNvPicPr>
            <a:picLocks noChangeAspect="1"/>
          </xdr:cNvPicPr>
        </xdr:nvPicPr>
        <xdr:blipFill>
          <a:blip xmlns:r="http://schemas.openxmlformats.org/officeDocument/2006/relationships" r:embed="rId16" cstate="print"/>
          <a:stretch>
            <a:fillRect/>
          </a:stretch>
        </xdr:blipFill>
        <xdr:spPr>
          <a:xfrm>
            <a:off x="6829136" y="848591"/>
            <a:ext cx="198143" cy="245289"/>
          </a:xfrm>
          <a:prstGeom prst="rect">
            <a:avLst/>
          </a:prstGeom>
        </xdr:spPr>
      </xdr:pic>
    </xdr:grpSp>
    <xdr:clientData/>
  </xdr:twoCellAnchor>
  <xdr:twoCellAnchor>
    <xdr:from>
      <xdr:col>1</xdr:col>
      <xdr:colOff>25977</xdr:colOff>
      <xdr:row>0</xdr:row>
      <xdr:rowOff>69273</xdr:rowOff>
    </xdr:from>
    <xdr:to>
      <xdr:col>5</xdr:col>
      <xdr:colOff>190500</xdr:colOff>
      <xdr:row>4</xdr:row>
      <xdr:rowOff>21648</xdr:rowOff>
    </xdr:to>
    <xdr:grpSp>
      <xdr:nvGrpSpPr>
        <xdr:cNvPr id="3" name="Grupo 2">
          <a:extLst>
            <a:ext uri="{FF2B5EF4-FFF2-40B4-BE49-F238E27FC236}">
              <a16:creationId xmlns:a16="http://schemas.microsoft.com/office/drawing/2014/main" id="{00000000-0008-0000-0C00-000003000000}"/>
            </a:ext>
          </a:extLst>
        </xdr:cNvPr>
        <xdr:cNvGrpSpPr/>
      </xdr:nvGrpSpPr>
      <xdr:grpSpPr>
        <a:xfrm>
          <a:off x="187902" y="69273"/>
          <a:ext cx="9137073" cy="676275"/>
          <a:chOff x="181841" y="0"/>
          <a:chExt cx="9135341" cy="679739"/>
        </a:xfrm>
      </xdr:grpSpPr>
      <xdr:grpSp>
        <xdr:nvGrpSpPr>
          <xdr:cNvPr id="31" name="Grupo 30">
            <a:extLst>
              <a:ext uri="{FF2B5EF4-FFF2-40B4-BE49-F238E27FC236}">
                <a16:creationId xmlns:a16="http://schemas.microsoft.com/office/drawing/2014/main" id="{00000000-0008-0000-0C00-00001F000000}"/>
              </a:ext>
            </a:extLst>
          </xdr:cNvPr>
          <xdr:cNvGrpSpPr/>
        </xdr:nvGrpSpPr>
        <xdr:grpSpPr>
          <a:xfrm>
            <a:off x="181841" y="0"/>
            <a:ext cx="9135341" cy="679739"/>
            <a:chOff x="104775" y="200025"/>
            <a:chExt cx="10477500" cy="914400"/>
          </a:xfrm>
        </xdr:grpSpPr>
        <xdr:sp macro="" textlink="">
          <xdr:nvSpPr>
            <xdr:cNvPr id="32" name="Rectángulo 31">
              <a:extLst>
                <a:ext uri="{FF2B5EF4-FFF2-40B4-BE49-F238E27FC236}">
                  <a16:creationId xmlns:a16="http://schemas.microsoft.com/office/drawing/2014/main" id="{00000000-0008-0000-0C00-000020000000}"/>
                </a:ext>
                <a:ext uri="{147F2762-F138-4A5C-976F-8EAC2B608ADB}">
                  <a16:predDERef xmlns:a16="http://schemas.microsoft.com/office/drawing/2014/main" pred="{00000000-0008-0000-0100-000008000000}"/>
                </a:ext>
              </a:extLst>
            </xdr:cNvPr>
            <xdr:cNvSpPr/>
          </xdr:nvSpPr>
          <xdr:spPr>
            <a:xfrm>
              <a:off x="104775" y="200025"/>
              <a:ext cx="10372725" cy="914400"/>
            </a:xfrm>
            <a:prstGeom prst="rect">
              <a:avLst/>
            </a:prstGeom>
            <a:solidFill>
              <a:srgbClr val="D6E4E6"/>
            </a:solidFill>
            <a:ln>
              <a:solidFill>
                <a:srgbClr val="075D6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sp macro="" textlink="">
          <xdr:nvSpPr>
            <xdr:cNvPr id="33" name="Rectángulo 32">
              <a:extLst>
                <a:ext uri="{FF2B5EF4-FFF2-40B4-BE49-F238E27FC236}">
                  <a16:creationId xmlns:a16="http://schemas.microsoft.com/office/drawing/2014/main" id="{00000000-0008-0000-0C00-000021000000}"/>
                </a:ext>
                <a:ext uri="{147F2762-F138-4A5C-976F-8EAC2B608ADB}">
                  <a16:predDERef xmlns:a16="http://schemas.microsoft.com/office/drawing/2014/main" pred="{00000000-0008-0000-0200-000003000000}"/>
                </a:ext>
              </a:extLst>
            </xdr:cNvPr>
            <xdr:cNvSpPr/>
          </xdr:nvSpPr>
          <xdr:spPr>
            <a:xfrm>
              <a:off x="2667000" y="247650"/>
              <a:ext cx="7915275"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200" b="1">
                  <a:solidFill>
                    <a:sysClr val="windowText" lastClr="000000"/>
                  </a:solidFill>
                </a:rPr>
                <a:t>Herramienta educativa para la</a:t>
              </a:r>
              <a:r>
                <a:rPr lang="es-AR" sz="1200" b="1" baseline="0">
                  <a:solidFill>
                    <a:sysClr val="windowText" lastClr="000000"/>
                  </a:solidFill>
                </a:rPr>
                <a:t> gestión contable en</a:t>
              </a:r>
            </a:p>
            <a:p>
              <a:pPr algn="ctr"/>
              <a:r>
                <a:rPr lang="es-AR" sz="1200" b="1" baseline="0">
                  <a:solidFill>
                    <a:sysClr val="windowText" lastClr="000000"/>
                  </a:solidFill>
                </a:rPr>
                <a:t>asignaturas de "Introducción a la Contabilidad" a nivel de Grado</a:t>
              </a:r>
            </a:p>
            <a:p>
              <a:pPr algn="ctr"/>
              <a:endParaRPr lang="es-AR" sz="1200" b="1" baseline="0">
                <a:solidFill>
                  <a:sysClr val="windowText" lastClr="000000"/>
                </a:solidFill>
              </a:endParaRPr>
            </a:p>
          </xdr:txBody>
        </xdr:sp>
        <xdr:sp macro="" textlink="">
          <xdr:nvSpPr>
            <xdr:cNvPr id="34" name="Rectángulo 33">
              <a:extLst>
                <a:ext uri="{FF2B5EF4-FFF2-40B4-BE49-F238E27FC236}">
                  <a16:creationId xmlns:a16="http://schemas.microsoft.com/office/drawing/2014/main" id="{00000000-0008-0000-0C00-000022000000}"/>
                </a:ext>
                <a:ext uri="{147F2762-F138-4A5C-976F-8EAC2B608ADB}">
                  <a16:predDERef xmlns:a16="http://schemas.microsoft.com/office/drawing/2014/main" pred="{00000000-0008-0000-0100-00000E000000}"/>
                </a:ext>
              </a:extLst>
            </xdr:cNvPr>
            <xdr:cNvSpPr/>
          </xdr:nvSpPr>
          <xdr:spPr>
            <a:xfrm>
              <a:off x="4070350" y="771466"/>
              <a:ext cx="5057775" cy="277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AR" sz="1050" b="1">
                  <a:solidFill>
                    <a:sysClr val="windowText" lastClr="000000"/>
                  </a:solidFill>
                </a:rPr>
                <a:t>Aplicación al caso práctico "QUESERÍA LA GANADORA"</a:t>
              </a:r>
              <a:endParaRPr lang="es-AR" sz="1050">
                <a:solidFill>
                  <a:sysClr val="windowText" lastClr="000000"/>
                </a:solidFill>
              </a:endParaRPr>
            </a:p>
          </xdr:txBody>
        </xdr:sp>
        <xdr:pic>
          <xdr:nvPicPr>
            <xdr:cNvPr id="35" name="Imagen 34">
              <a:extLst>
                <a:ext uri="{FF2B5EF4-FFF2-40B4-BE49-F238E27FC236}">
                  <a16:creationId xmlns:a16="http://schemas.microsoft.com/office/drawing/2014/main" id="{00000000-0008-0000-0C00-000023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77801" y="307975"/>
              <a:ext cx="2231031" cy="721591"/>
            </a:xfrm>
            <a:prstGeom prst="rect">
              <a:avLst/>
            </a:prstGeom>
            <a:noFill/>
          </xdr:spPr>
        </xdr:pic>
      </xdr:grpSp>
      <xdr:pic>
        <xdr:nvPicPr>
          <xdr:cNvPr id="36" name="Imagen 35">
            <a:extLst>
              <a:ext uri="{FF2B5EF4-FFF2-40B4-BE49-F238E27FC236}">
                <a16:creationId xmlns:a16="http://schemas.microsoft.com/office/drawing/2014/main" id="{00000000-0008-0000-0C00-000024000000}"/>
              </a:ext>
            </a:extLst>
          </xdr:cNvPr>
          <xdr:cNvPicPr>
            <a:picLocks noChangeAspect="1"/>
          </xdr:cNvPicPr>
        </xdr:nvPicPr>
        <xdr:blipFill>
          <a:blip xmlns:r="http://schemas.openxmlformats.org/officeDocument/2006/relationships" r:embed="rId18"/>
          <a:stretch>
            <a:fillRect/>
          </a:stretch>
        </xdr:blipFill>
        <xdr:spPr>
          <a:xfrm>
            <a:off x="8537865" y="43296"/>
            <a:ext cx="623453" cy="598414"/>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Desktop/MASTER%20CONTABILIDAD%20UNICAN/ESTANCIA/PREMIO%20ASEPUC/Tema-5+6+7+8_Queseria_Solucion%20-%20copia%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 de Comprob. Plantilla"/>
      <sheetName val="Notas"/>
      <sheetName val="Q-BC 31.12.2024"/>
      <sheetName val="Q-LD Asientos (2025)"/>
      <sheetName val="Listas"/>
      <sheetName val="Q-LD Tabla"/>
      <sheetName val="Q-LM-Consulta"/>
      <sheetName val="SyS (2)"/>
      <sheetName val="SyS"/>
      <sheetName val="LD-Proceso"/>
      <sheetName val="Q-LD Asientos (2024)"/>
      <sheetName val="Q-LM Cuentas (2024)"/>
      <sheetName val="Q-BC 31.12.2025"/>
      <sheetName val="BS1"/>
      <sheetName val="BS2"/>
      <sheetName val="ESP"/>
      <sheetName val="Q-BS 31.12.2024"/>
      <sheetName val="ER"/>
      <sheetName val="Q-PyG 31.12.2024"/>
      <sheetName val="Ratios"/>
      <sheetName val="dimBalance"/>
      <sheetName val="dimPyG"/>
      <sheetName val="Tema-5+6+7+8_Queseria_Solucio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Excel Services" refreshedDate="45951.637458449077" createdVersion="8" refreshedVersion="8" minRefreshableVersion="3" recordCount="1998" xr:uid="{00000000-000A-0000-FFFF-FFFFC6000000}">
  <cacheSource type="worksheet">
    <worksheetSource name="Table3"/>
  </cacheSource>
  <cacheFields count="28">
    <cacheField name="Nro Asiento" numFmtId="0">
      <sharedItems containsMixedTypes="1" containsNumber="1" containsInteger="1" minValue="0" maxValue="81" count="83">
        <n v="0"/>
        <n v="67"/>
        <n v="68"/>
        <n v="69"/>
        <n v="70"/>
        <n v="71"/>
        <n v="72"/>
        <n v="73"/>
        <n v="74"/>
        <n v="75"/>
        <n v="76"/>
        <n v="77"/>
        <n v="78"/>
        <n v="79"/>
        <n v="80"/>
        <n v="81"/>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e v="#REF!"/>
        <n v="66"/>
      </sharedItems>
    </cacheField>
    <cacheField name="Fecha" numFmtId="14">
      <sharedItems containsDate="1" containsMixedTypes="1" minDate="1899-12-30T00:00:00" maxDate="2026-01-01T00:00:00" count="37">
        <d v="2025-01-01T00:00:00"/>
        <d v="1899-12-30T00:00:00"/>
        <d v="2025-01-10T00:00:00"/>
        <d v="2025-01-15T00:00:00"/>
        <d v="2025-01-20T00:00:00"/>
        <d v="2025-01-25T00:00:00"/>
        <d v="2025-01-31T00:00:00"/>
        <d v="2025-02-15T00:00:00"/>
        <d v="2025-02-20T00:00:00"/>
        <d v="2025-02-25T00:00:00"/>
        <d v="2025-03-01T00:00:00"/>
        <d v="2025-03-10T00:00:00"/>
        <d v="2025-03-11T00:00:00"/>
        <d v="2025-03-27T00:00:00"/>
        <d v="2025-03-31T00:00:00"/>
        <d v="2025-04-09T00:00:00"/>
        <d v="2025-04-19T00:00:00"/>
        <d v="2025-04-20T00:00:00"/>
        <d v="2025-04-30T00:00:00"/>
        <d v="2025-05-05T00:00:00"/>
        <d v="2025-05-07T00:00:00"/>
        <d v="2025-06-21T00:00:00"/>
        <d v="2025-07-01T00:00:00"/>
        <d v="2025-07-15T00:00:00"/>
        <d v="2025-08-01T00:00:00"/>
        <d v="2025-08-15T00:00:00"/>
        <d v="2025-08-31T00:00:00"/>
        <d v="2025-09-15T00:00:00"/>
        <d v="2025-09-21T00:00:00"/>
        <d v="2025-09-30T00:00:00"/>
        <d v="2025-10-01T00:00:00"/>
        <d v="2025-10-31T00:00:00"/>
        <d v="2025-11-30T00:00:00"/>
        <d v="2025-12-20T00:00:00"/>
        <d v="2025-12-27T00:00:00"/>
        <d v="2025-12-31T00:00:00"/>
        <e v="#REF!"/>
      </sharedItems>
    </cacheField>
    <cacheField name="Cuenta" numFmtId="0">
      <sharedItems containsMixedTypes="1" containsNumber="1" containsInteger="1" minValue="0" maxValue="46022" count="87">
        <s v="200 -  Investigación"/>
        <s v="210 -  Terrenos y bienes naturales"/>
        <s v="220 -  Inversiones en terrenos y bienes naturales"/>
        <s v="240 -  Participaciones a largo plazo en partes vinculadas"/>
        <s v="242 -  Créditos a largo plazo a partes vinculadas "/>
        <s v="474 -  Activos por impuesto diferido"/>
        <s v="580 -  Inmovilizado"/>
        <s v="300 -  Mercaderías"/>
        <s v="430 -  Clientes"/>
        <s v="530 -  Participaciones a corto plazo en partes vinculadas"/>
        <s v="532 -  Créditos a corto plazo a partes vinculadas"/>
        <s v="480 -  Gastos anticipados"/>
        <s v="570 -  Caja, euros"/>
        <n v="0"/>
        <s v="100 -  Capital social"/>
        <s v="110 -  Prima de emisión o asunción"/>
        <s v="113 -  Reservas voluntarias"/>
        <s v="108 -  Acciones o participaciones propias en situaciones especiales"/>
        <s v="120 -  Remanente"/>
        <s v="118 -  Aportaciones de socios o propietarios"/>
        <s v="129 -  Resultado del ejercicio"/>
        <s v="557 -  Dividendo activo a cuenta"/>
        <s v="111 -  Otros instrumentos de patrimonio neto"/>
        <s v="140 -  Provisión por retribuciones a largo plazo al personal"/>
        <s v="150 -  Acciones o participaciones a largo plazo contabilizadas como pasivos financieros"/>
        <s v="160 -  Deudas a largo plazo con entidades de crédito vinculadas"/>
        <s v="479 -  Pasivos por diferencias temporarias imponibles"/>
        <s v="181 -  Anticipos recibidos por ventas o prestaciones de servicios a largo plazo"/>
        <s v="585 -  Provisiones"/>
        <s v="499 -  Provisión por operaciones comerciales"/>
        <s v="103  - Socios por desembolsos no exigidos"/>
        <s v="510 -  Deudas a corto plazo con entidades de crédito vinculadas"/>
        <s v="400 -  Proveedores"/>
        <s v="485 -  Ingresos anticipados"/>
        <s v="700 -  Ventas de mercaderías"/>
        <s v="710 -  Variación de existencias de productos en curso"/>
        <s v="730 -  Trabajos realizados para el inmovilizado intangible"/>
        <s v="600 -  Compras de mercaderías"/>
        <s v="740 -  Subvenciones, donaciones y legados a la explotación"/>
        <s v="640 -  Sueldos y salarios"/>
        <s v="620 -  Gastos en investigación y desarrollo del ejercicio"/>
        <s v="680 -  Amortización del inmovilizado intangible"/>
        <s v="746 -  Subvenciones, donaciones y legados de capital transferidas al resultado del ejercicio"/>
        <s v="795 -  Exceso de provisiones"/>
        <s v="670 -  Pérdidas procedentes del inmovilizado intangible"/>
        <s v="678 -  Gastos excepcionales"/>
        <s v="760 -  Ingresos de participaciones en instrumentos de patrimonio, empresas del grupo"/>
        <s v="660 -  Gastos financieros por actualización de provisiones"/>
        <s v="663 -  Pérdidas por valoración de instrumentos financieros por su valor razonable"/>
        <s v="668 -  Diferencias negativas de cambio"/>
        <s v="666 -  Pérdidas en participaciones y valores representativos de deuda"/>
        <s v="630 -  Impuesto sobre beneficios"/>
        <n v="45915" u="1"/>
        <n v="45717" u="1"/>
        <n v="45659" u="1"/>
        <n v="45870" u="1"/>
        <n v="45672" u="1"/>
        <n v="45777" u="1"/>
        <n v="46022" u="1"/>
        <n v="45766" u="1"/>
        <n v="46011" u="1"/>
        <n v="45708" u="1"/>
        <n v="45743" u="1"/>
        <n v="45930" u="1"/>
        <n v="45767" u="1"/>
        <n v="45884" u="1"/>
        <n v="45756" u="1"/>
        <n v="45931" u="1"/>
        <n v="45839" u="1"/>
        <n v="45921" u="1"/>
        <n v="45991" u="1"/>
        <n v="45688" u="1"/>
        <n v="45677" u="1"/>
        <n v="45747" u="1"/>
        <n v="45782" u="1"/>
        <n v="45829" u="1"/>
        <n v="45713" u="1"/>
        <n v="45853" u="1"/>
        <n v="45667" u="1"/>
        <n v="45784" u="1"/>
        <n v="45889" u="1"/>
        <n v="45726" u="1"/>
        <n v="45703" u="1"/>
        <n v="46018" u="1"/>
        <n v="45727" u="1"/>
        <n v="45961" u="1"/>
        <n v="45658" u="1"/>
      </sharedItems>
    </cacheField>
    <cacheField name="Importe" numFmtId="166">
      <sharedItems containsMixedTypes="1" containsNumber="1" containsInteger="1" minValue="0" maxValue="0"/>
    </cacheField>
    <cacheField name="Movimiento" numFmtId="49">
      <sharedItems/>
    </cacheField>
    <cacheField name="Sin cuenta" numFmtId="0">
      <sharedItems count="3">
        <s v="Con Mov."/>
        <s v="Sin Mov."/>
        <e v="#REF!" u="1"/>
      </sharedItems>
    </cacheField>
    <cacheField name="Tipo Movimiento" numFmtId="0">
      <sharedItems count="16">
        <s v="Estructura Balance y PyG"/>
        <s v=""/>
        <s v="Operaciones del Ejercicio"/>
        <s v="Ajuste por Periodificación"/>
        <s v="Ajuste por Reclasificación"/>
        <s v="Regularización de Existencias"/>
        <s v="Corrección Valorativa - Amortización"/>
        <s v="Corrección Valorativa - Deterioro de Valor"/>
        <s v="Provisiones"/>
        <s v="Ajuste a Valor Razonable"/>
        <s v="Asiento de Apertura"/>
        <s v="Determinación de Resultado Contable"/>
        <s v="Impuesto de Sociedades"/>
        <s v="Asiento de Cierre"/>
        <e v="#REF!"/>
        <s v="Apertura de Cuentas" u="1"/>
      </sharedItems>
    </cacheField>
    <cacheField name="Tipo Movimiento2" numFmtId="0">
      <sharedItems count="54">
        <s v="Saldo Inicial"/>
        <s v=""/>
        <e v="#REF!"/>
        <s v="Cierre de cuentas"/>
        <s v="Distribución de Resultados" u="1"/>
        <s v="Venta de Productos Terminados" u="1"/>
        <s v="Devengo Intereses Préstamo" u="1"/>
        <s v="Baja Existencia Inicial" u="1"/>
        <s v="Prima de Seguro" u="1"/>
        <s v="Pago Proveedor" u="1"/>
        <s v="Reversión deterioro inmovilizado material" u="1"/>
        <s v="Operaciones Financieras" u="1"/>
        <s v="Compra Inmovilizado material" u="1"/>
        <s v="Prestación de Servicios" u="1"/>
        <s v="Devolución de Ventas" u="1"/>
        <s v="Cobranza Clientes" u="1"/>
        <s v="Compra de Materias Primas" u="1"/>
        <s v="Cobro crédito por enajenación inmovilizado" u="1"/>
        <s v="Devengo sueldos y cargas sociales" u="1"/>
        <s v="Préstamo" u="1"/>
        <s v="Proveedores" u="1"/>
        <s v="Fianzas recibidas" u="1"/>
        <s v="Cuentas de Gastos" u="1"/>
        <s v="Pago a Proveedor de inmobilizado" u="1"/>
        <s v="Liquidacion IVA" u="1"/>
        <s v="Inversiones inmobiliarias" u="1"/>
        <s v="Impuesto de sociedades" u="1"/>
        <s v="Compra de Mercaderías" u="1"/>
        <s v="Inmovilizado material" u="1"/>
        <s v="Devolución Fianza" u="1"/>
        <s v="Consitución de Fianza" u="1"/>
        <s v="Inmovilizado intangible" u="1"/>
        <s v="Retribuciones al personal" u="1"/>
        <s v="Recuperación Finaza" u="1"/>
        <s v="Pago alquiler local" u="1"/>
        <s v="Pago Hacienda" u="1"/>
        <s v="Anticipos al personal" u="1"/>
        <s v="Pago de Préstamo (principal)" u="1"/>
        <s v="Arrendamiento Local" u="1"/>
        <s v="Venta de Mercaderías" u="1"/>
        <s v="Amortización del ejercicio" u="1"/>
        <s v="Retiro de servicio de inmovilizado" u="1"/>
        <s v="Recuperación Ppal Depósito Plazo Fijo" u="1"/>
        <s v="Impuesto corriente" u="1"/>
        <s v="Renovación Poliza de Seguro" u="1"/>
        <s v="Alta Existencia Final" u="1"/>
        <s v="Pago de Intereses" u="1"/>
        <s v="Cobro de Intereses" u="1"/>
        <s v="Cuentas de Ingresos" u="1"/>
        <s v="Reversión deterioro existencias" u="1"/>
        <s v="Prestación de Servicios Diversos" u="1"/>
        <s v="Arrendamiento" u="1"/>
        <s v="Devoluciones de Compras" u="1"/>
        <s v="Venta de inmovilizado" u="1"/>
      </sharedItems>
    </cacheField>
    <cacheField name="EstructuraBce" numFmtId="0">
      <sharedItems count="3">
        <s v="Excluir"/>
        <s v="Incluir"/>
        <e v="#REF!"/>
      </sharedItems>
    </cacheField>
    <cacheField name="ImporteSig" numFmtId="4">
      <sharedItems containsSemiMixedTypes="0" containsString="0" containsNumber="1" containsInteger="1" minValue="0" maxValue="0"/>
    </cacheField>
    <cacheField name="Debe" numFmtId="166">
      <sharedItems containsMixedTypes="1" containsNumber="1" containsInteger="1" minValue="0" maxValue="0"/>
    </cacheField>
    <cacheField name="Haber" numFmtId="166">
      <sharedItems containsMixedTypes="1" containsNumber="1" containsInteger="1" minValue="0" maxValue="0"/>
    </cacheField>
    <cacheField name="Grupo" numFmtId="0">
      <sharedItems count="9">
        <s v="Grupo 2 - Activo no corriente_x000a_ANC (L/P)"/>
        <s v="Grupo 4 - Acreedores y deudores por operaciones comerciales_x000a_AC (C/P) y PC (C/P)"/>
        <s v="Grupo 5 - Cuentas financieras_x000a_AC (C/P) y PC (L/P)"/>
        <s v="Grupo 3 - Existencias_x000a_AC (C/P)"/>
        <s v=""/>
        <s v="Grupo 1 - _x000a_Financiación básica_x000a_PN y PNC (L/P)"/>
        <s v="Grupo 7 - Ventas e Ingresos"/>
        <s v="Grupo 6 - Compras y Gastos"/>
        <e v="#NAME?" u="1"/>
      </sharedItems>
    </cacheField>
    <cacheField name="BS_Nivel_1" numFmtId="0">
      <sharedItems count="5">
        <s v="ACTIVO"/>
        <s v=""/>
        <s v="PATRIMONIO NETO Y PASIVO"/>
        <s v="PASIVO" u="1"/>
        <e v="#NAME?" u="1"/>
      </sharedItems>
    </cacheField>
    <cacheField name="BS_Nivel_2" numFmtId="0">
      <sharedItems count="7">
        <s v="A) ACTIVO NO CORRIENTE"/>
        <s v="B) ACTIVO CORRIENTE"/>
        <s v=""/>
        <s v="A) PATRIMONIO NETO"/>
        <s v="B) PASIVO NO CORRIENTE"/>
        <s v="C) PASIVO CORRIENTE"/>
        <e v="#NAME?" u="1"/>
      </sharedItems>
    </cacheField>
    <cacheField name="BS_Nivel_3" numFmtId="0">
      <sharedItems count="35">
        <s v="I. Inmovilizado Intangible"/>
        <s v="II. Inmovilizado material"/>
        <s v="III. Inversiones inmobiliarias"/>
        <s v="IV. Inversiones empresas del grupo y asociadas a L/P"/>
        <s v="VI. Activos por impuesto diferido"/>
        <s v="I. Activos no corrientes mantenidos para la venta"/>
        <s v="II. Existencias"/>
        <s v="III. Deudores comerciales y otras cuentas a cobrar"/>
        <s v="IV. Inversiones empresas del grupo y asociadas a corto plazo"/>
        <s v="VI. Periodificaciones a corto plazo."/>
        <s v="VII. Efectivo y otros activos líquidos equivalentes"/>
        <s v=""/>
        <s v="I. Capital"/>
        <s v="II. Prima de emisión"/>
        <s v="III. Reservas"/>
        <s v="IV. Acciones y participaciones en patrimonio propias"/>
        <s v="V. Resultados de ejercicios anteriores"/>
        <s v="VI. Otras aportaciones de socios"/>
        <s v="VII. Resultado del Ejercicio"/>
        <s v="VIII. Dividendo a cuenta"/>
        <s v="IX. Otros instrumentos de patrimonio neto"/>
        <s v="I. Provisiones a largo plazo"/>
        <s v="II. Deudas a largo plazo"/>
        <s v="III. Deudas con empresas del grupo y asociadas a largo plazo"/>
        <s v="IV. Pasivos por impuesto diferido"/>
        <s v="V. Periodificaciones a largo plazo"/>
        <s v="I. Pasivos vinculados con activos no corrientes mantenidos para la venta"/>
        <s v="II. Provisiones a corto plazo"/>
        <s v="III. Deudas a corto plazo"/>
        <s v="IV. Deudas con empresas del grupo y asociados a corto plazo"/>
        <s v="V. Acreedores comerciales y otras cuentas a pagar"/>
        <s v="VI. Periodificaciones a corto plazo"/>
        <e v="#NAME?" u="1"/>
        <s v="V. Inversiones financieras a largo plazo" u="1"/>
        <s v="V. Inversiones financieras a corto plazo" u="1"/>
      </sharedItems>
    </cacheField>
    <cacheField name="BS_Nivel_4" numFmtId="0">
      <sharedItems count="40">
        <s v="1. Inmovilizado intangible"/>
        <s v="1. Inmovilizado material"/>
        <s v="1. Inversiones inmobiliarias"/>
        <s v="1. Inversiones en empresas del grupo y asociadas a L/P"/>
        <s v="1. Activos por Impuesto diferido"/>
        <s v="1. Activos no corrientes mantenidos para la venta"/>
        <s v="1. Existencias"/>
        <s v="1. Clientes por ventas y prestaciones de servicios"/>
        <s v="1. Inversiones en empresas del grupo y asociadas a corto plazo"/>
        <s v="1. Periodificaciones a corto plazo."/>
        <s v="1. Efectivo y otros activos líquidos equivalentes"/>
        <s v=""/>
        <s v="1. Capital Social"/>
        <s v="1. Prima de emisión"/>
        <s v="1. Reservas"/>
        <s v="1. Acciones y participaciones en patrimonio propias"/>
        <s v="1. Resultados de ejercicios anteriores"/>
        <s v="1. Otras aportaciones de socios"/>
        <s v="1. Resultado del ejercicio"/>
        <s v="1. Dividendo a cuenta"/>
        <s v="1. Otros instrumentos de patrimonio neto"/>
        <s v="1. Provisiones a largo plazo"/>
        <s v="3. Otras deudas a largo plazo"/>
        <s v="1. Deudas con empresas del grupo y asociadas a largo plazo"/>
        <s v="1. Pasivos por impuesto diferido"/>
        <s v="1. Periodificaciones a largo plazo"/>
        <s v="1. Pasivos vinculados con activos no corrientes mantenidos para la venta"/>
        <s v="1. Provisiones a corto plazo"/>
        <s v="3. Otras deudas a corto plazo"/>
        <s v="1. Deudas con empresas del grupo y asociados a corto plazo"/>
        <s v="1. Proveedores"/>
        <s v="1. Periodificaciones a corto plazo"/>
        <s v="1. Inversiones financieras a largo plazo" u="1"/>
        <s v="1. Inversiones financieras a corto plazo" u="1"/>
        <s v="3. Otros deudores" u="1"/>
        <s v="2. Otros acreedores" u="1"/>
        <e v="#NAME?" u="1"/>
        <s v="1. Deudas con entidades de crédito a corto plazo" u="1"/>
        <s v="1. Capital escriturado" u="1"/>
        <s v="1. Deudas con entidades de crédito" u="1"/>
      </sharedItems>
    </cacheField>
    <cacheField name="PyG_Nivel_1" numFmtId="0">
      <sharedItems/>
    </cacheField>
    <cacheField name="PyG_Nivel_2" numFmtId="0">
      <sharedItems count="5">
        <s v=""/>
        <s v="A) RESULTADO DE EXPLOTACIÓN"/>
        <s v="B) RESULTADO FINANCIERO"/>
        <s v="C1) IMPUESTOS SOBRE BENEFICIOS"/>
        <e v="#NAME?" u="1"/>
      </sharedItems>
    </cacheField>
    <cacheField name="PyG_Nivel_3" numFmtId="0">
      <sharedItems count="20">
        <s v=""/>
        <s v="01. Importe Neto de la cifra de negocios"/>
        <s v="02. Variación de existencias de productos terminados y en curso de fabricación"/>
        <s v="03. Trabajos realizados por la empresa para su activo"/>
        <s v="04. Aprovisionamientos"/>
        <s v="05. Otros Ingresos de Explotación"/>
        <s v="06. Gastos de Personal"/>
        <s v="07. Otros Gastos de Explotación"/>
        <s v="08. Amortización del Inmovilizado"/>
        <s v="09. Imputación de subvenciones de inmovilizado no financiero y otras"/>
        <s v="10. Exceso de Provisiones"/>
        <s v="11. Deterioro y Resultado por enajenaciones de inmovilizado"/>
        <s v="12 Otros resultados"/>
        <s v="13. Ingresos Financieros"/>
        <s v="14. Gastos Financieros"/>
        <s v="15. Variación de Valor Razonable en Instrumentos financieros"/>
        <s v="16. Diferencias de Cambio"/>
        <s v="17. Deterioro y Rdo por enajenaciones de instrumentos financieros"/>
        <s v="18. Impuesto sobre Beneficio"/>
        <e v="#NAME?" u="1"/>
      </sharedItems>
    </cacheField>
    <cacheField name="Orden Registro" numFmtId="0">
      <sharedItems containsSemiMixedTypes="0" containsString="0" containsNumber="1" containsInteger="1" minValue="1" maxValue="1998"/>
    </cacheField>
    <cacheField name="Niveles:2" numFmtId="0">
      <sharedItems containsMixedTypes="1" containsNumber="1" containsInteger="1" minValue="10" maxValue="79" count="43">
        <n v="20"/>
        <s v="21"/>
        <n v="22"/>
        <n v="24"/>
        <n v="47"/>
        <n v="58"/>
        <s v="30"/>
        <s v="43"/>
        <n v="53"/>
        <s v="48"/>
        <s v="57"/>
        <s v=""/>
        <s v="10"/>
        <n v="11"/>
        <s v="11"/>
        <n v="10"/>
        <s v="12"/>
        <s v="55"/>
        <e v="#REF!"/>
        <n v="15"/>
        <n v="16"/>
        <n v="18"/>
        <s v="58"/>
        <n v="49"/>
        <n v="51"/>
        <s v="40"/>
        <s v="70"/>
        <n v="71"/>
        <n v="73"/>
        <s v="60"/>
        <n v="74"/>
        <s v="64"/>
        <n v="62"/>
        <s v="68"/>
        <s v="79"/>
        <n v="67"/>
        <s v="67"/>
        <n v="76"/>
        <n v="66"/>
        <s v="63"/>
        <n v="79" u="1"/>
        <n v="14" u="1"/>
        <n v="55" u="1"/>
      </sharedItems>
    </cacheField>
    <cacheField name="Niveles:3" numFmtId="0">
      <sharedItems containsMixedTypes="1" containsNumber="1" containsInteger="1" minValue="150" maxValue="760"/>
    </cacheField>
    <cacheField name="Grupos" numFmtId="0">
      <sharedItems count="9">
        <s v="Grupo 2"/>
        <s v="Grupo 4"/>
        <s v="Grupo 5"/>
        <s v="Grupo 3"/>
        <s v="Grupo 1"/>
        <e v="#REF!"/>
        <s v="Grupo 7"/>
        <s v="Grupo 6"/>
        <e v="#NAME?" u="1"/>
      </sharedItems>
    </cacheField>
    <cacheField name="Estruct.BCE" numFmtId="0">
      <sharedItems count="5">
        <s v="ACTIVO"/>
        <s v=""/>
        <s v="PATRIMONIO NETO Y PASIVO"/>
        <s v="PASIVO" u="1"/>
        <e v="#NAME?" u="1"/>
      </sharedItems>
    </cacheField>
    <cacheField name="Saldo Deudor" numFmtId="0" formula="IF(Debe&gt;Haber,Debe-Haber, 0)" databaseField="0"/>
    <cacheField name="Saldo Acreedor" numFmtId="0" formula=" IF(ImporteSig&lt;0,ImporteSig*-1,0)" databaseField="0"/>
    <cacheField name="ImporteSig*-1" numFmtId="0" formula="ImporteSig*-1" databaseField="0"/>
  </cacheFields>
  <extLst>
    <ext xmlns:x14="http://schemas.microsoft.com/office/spreadsheetml/2009/9/main" uri="{725AE2AE-9491-48be-B2B4-4EB974FC3084}">
      <x14:pivotCacheDefinition pivotCacheId="131192191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8">
  <r>
    <x v="0"/>
    <x v="0"/>
    <x v="0"/>
    <n v="0"/>
    <s v="Debe"/>
    <x v="0"/>
    <x v="0"/>
    <x v="0"/>
    <x v="0"/>
    <n v="0"/>
    <n v="0"/>
    <s v=""/>
    <x v="0"/>
    <x v="0"/>
    <x v="0"/>
    <x v="0"/>
    <x v="0"/>
    <s v=""/>
    <x v="0"/>
    <x v="0"/>
    <n v="1"/>
    <x v="0"/>
    <n v="200"/>
    <x v="0"/>
    <x v="0"/>
  </r>
  <r>
    <x v="0"/>
    <x v="0"/>
    <x v="1"/>
    <n v="0"/>
    <s v="Debe"/>
    <x v="0"/>
    <x v="0"/>
    <x v="0"/>
    <x v="0"/>
    <n v="0"/>
    <n v="0"/>
    <s v=""/>
    <x v="0"/>
    <x v="0"/>
    <x v="0"/>
    <x v="1"/>
    <x v="1"/>
    <s v=""/>
    <x v="0"/>
    <x v="0"/>
    <n v="2"/>
    <x v="1"/>
    <s v="210"/>
    <x v="0"/>
    <x v="0"/>
  </r>
  <r>
    <x v="0"/>
    <x v="0"/>
    <x v="2"/>
    <n v="0"/>
    <s v="Debe"/>
    <x v="0"/>
    <x v="0"/>
    <x v="0"/>
    <x v="0"/>
    <n v="0"/>
    <n v="0"/>
    <s v=""/>
    <x v="0"/>
    <x v="0"/>
    <x v="0"/>
    <x v="2"/>
    <x v="2"/>
    <s v=""/>
    <x v="0"/>
    <x v="0"/>
    <n v="3"/>
    <x v="2"/>
    <n v="220"/>
    <x v="0"/>
    <x v="0"/>
  </r>
  <r>
    <x v="0"/>
    <x v="0"/>
    <x v="3"/>
    <n v="0"/>
    <s v="Debe"/>
    <x v="0"/>
    <x v="0"/>
    <x v="0"/>
    <x v="0"/>
    <n v="0"/>
    <n v="0"/>
    <s v=""/>
    <x v="0"/>
    <x v="0"/>
    <x v="0"/>
    <x v="3"/>
    <x v="3"/>
    <s v=""/>
    <x v="0"/>
    <x v="0"/>
    <n v="4"/>
    <x v="3"/>
    <n v="240"/>
    <x v="0"/>
    <x v="0"/>
  </r>
  <r>
    <x v="0"/>
    <x v="0"/>
    <x v="4"/>
    <n v="0"/>
    <s v="Debe"/>
    <x v="0"/>
    <x v="0"/>
    <x v="0"/>
    <x v="0"/>
    <n v="0"/>
    <n v="0"/>
    <s v=""/>
    <x v="0"/>
    <x v="0"/>
    <x v="0"/>
    <x v="3"/>
    <x v="3"/>
    <s v=""/>
    <x v="0"/>
    <x v="0"/>
    <n v="5"/>
    <x v="3"/>
    <n v="242"/>
    <x v="0"/>
    <x v="0"/>
  </r>
  <r>
    <x v="0"/>
    <x v="0"/>
    <x v="5"/>
    <n v="0"/>
    <s v="Debe"/>
    <x v="0"/>
    <x v="0"/>
    <x v="0"/>
    <x v="0"/>
    <n v="0"/>
    <n v="0"/>
    <s v=""/>
    <x v="1"/>
    <x v="0"/>
    <x v="0"/>
    <x v="4"/>
    <x v="4"/>
    <s v=""/>
    <x v="0"/>
    <x v="0"/>
    <n v="6"/>
    <x v="4"/>
    <n v="474"/>
    <x v="1"/>
    <x v="0"/>
  </r>
  <r>
    <x v="0"/>
    <x v="0"/>
    <x v="6"/>
    <n v="0"/>
    <s v="Debe"/>
    <x v="0"/>
    <x v="0"/>
    <x v="0"/>
    <x v="0"/>
    <n v="0"/>
    <n v="0"/>
    <s v=""/>
    <x v="2"/>
    <x v="0"/>
    <x v="1"/>
    <x v="5"/>
    <x v="5"/>
    <s v=""/>
    <x v="0"/>
    <x v="0"/>
    <n v="7"/>
    <x v="5"/>
    <n v="580"/>
    <x v="2"/>
    <x v="0"/>
  </r>
  <r>
    <x v="0"/>
    <x v="0"/>
    <x v="7"/>
    <n v="0"/>
    <s v="Debe"/>
    <x v="0"/>
    <x v="0"/>
    <x v="0"/>
    <x v="0"/>
    <n v="0"/>
    <n v="0"/>
    <s v=""/>
    <x v="3"/>
    <x v="0"/>
    <x v="1"/>
    <x v="6"/>
    <x v="6"/>
    <s v=""/>
    <x v="0"/>
    <x v="0"/>
    <n v="8"/>
    <x v="6"/>
    <s v="300"/>
    <x v="3"/>
    <x v="0"/>
  </r>
  <r>
    <x v="0"/>
    <x v="0"/>
    <x v="8"/>
    <n v="0"/>
    <s v="Debe"/>
    <x v="0"/>
    <x v="0"/>
    <x v="0"/>
    <x v="0"/>
    <n v="0"/>
    <n v="0"/>
    <s v=""/>
    <x v="1"/>
    <x v="0"/>
    <x v="1"/>
    <x v="7"/>
    <x v="7"/>
    <s v=""/>
    <x v="0"/>
    <x v="0"/>
    <n v="9"/>
    <x v="7"/>
    <s v="430"/>
    <x v="1"/>
    <x v="0"/>
  </r>
  <r>
    <x v="0"/>
    <x v="0"/>
    <x v="9"/>
    <n v="0"/>
    <s v="Debe"/>
    <x v="0"/>
    <x v="0"/>
    <x v="0"/>
    <x v="0"/>
    <n v="0"/>
    <n v="0"/>
    <s v=""/>
    <x v="2"/>
    <x v="0"/>
    <x v="1"/>
    <x v="8"/>
    <x v="8"/>
    <s v=""/>
    <x v="0"/>
    <x v="0"/>
    <n v="10"/>
    <x v="8"/>
    <n v="530"/>
    <x v="2"/>
    <x v="0"/>
  </r>
  <r>
    <x v="0"/>
    <x v="0"/>
    <x v="10"/>
    <n v="0"/>
    <s v="Debe"/>
    <x v="0"/>
    <x v="0"/>
    <x v="0"/>
    <x v="0"/>
    <n v="0"/>
    <n v="0"/>
    <s v=""/>
    <x v="2"/>
    <x v="0"/>
    <x v="1"/>
    <x v="8"/>
    <x v="8"/>
    <s v=""/>
    <x v="0"/>
    <x v="0"/>
    <n v="11"/>
    <x v="8"/>
    <n v="532"/>
    <x v="2"/>
    <x v="0"/>
  </r>
  <r>
    <x v="0"/>
    <x v="0"/>
    <x v="11"/>
    <n v="0"/>
    <s v="Debe"/>
    <x v="0"/>
    <x v="0"/>
    <x v="0"/>
    <x v="0"/>
    <n v="0"/>
    <n v="0"/>
    <s v=""/>
    <x v="1"/>
    <x v="0"/>
    <x v="1"/>
    <x v="9"/>
    <x v="9"/>
    <s v=""/>
    <x v="0"/>
    <x v="0"/>
    <n v="12"/>
    <x v="9"/>
    <s v="480"/>
    <x v="1"/>
    <x v="0"/>
  </r>
  <r>
    <x v="0"/>
    <x v="0"/>
    <x v="12"/>
    <n v="0"/>
    <s v="Debe"/>
    <x v="0"/>
    <x v="0"/>
    <x v="0"/>
    <x v="0"/>
    <n v="0"/>
    <n v="0"/>
    <s v=""/>
    <x v="2"/>
    <x v="0"/>
    <x v="1"/>
    <x v="10"/>
    <x v="10"/>
    <s v=""/>
    <x v="0"/>
    <x v="0"/>
    <n v="13"/>
    <x v="10"/>
    <s v="570"/>
    <x v="2"/>
    <x v="0"/>
  </r>
  <r>
    <x v="0"/>
    <x v="0"/>
    <x v="13"/>
    <n v="0"/>
    <s v="Debe"/>
    <x v="1"/>
    <x v="0"/>
    <x v="0"/>
    <x v="0"/>
    <n v="0"/>
    <n v="0"/>
    <s v=""/>
    <x v="4"/>
    <x v="1"/>
    <x v="2"/>
    <x v="11"/>
    <x v="11"/>
    <s v=""/>
    <x v="0"/>
    <x v="0"/>
    <n v="14"/>
    <x v="11"/>
    <s v=""/>
    <x v="4"/>
    <x v="1"/>
  </r>
  <r>
    <x v="0"/>
    <x v="0"/>
    <x v="13"/>
    <n v="0"/>
    <s v="Debe"/>
    <x v="1"/>
    <x v="0"/>
    <x v="0"/>
    <x v="0"/>
    <n v="0"/>
    <n v="0"/>
    <s v=""/>
    <x v="4"/>
    <x v="1"/>
    <x v="2"/>
    <x v="11"/>
    <x v="11"/>
    <s v=""/>
    <x v="0"/>
    <x v="0"/>
    <n v="15"/>
    <x v="11"/>
    <s v=""/>
    <x v="4"/>
    <x v="1"/>
  </r>
  <r>
    <x v="0"/>
    <x v="0"/>
    <x v="13"/>
    <n v="0"/>
    <s v="Debe"/>
    <x v="1"/>
    <x v="0"/>
    <x v="0"/>
    <x v="0"/>
    <n v="0"/>
    <n v="0"/>
    <s v=""/>
    <x v="4"/>
    <x v="1"/>
    <x v="2"/>
    <x v="11"/>
    <x v="11"/>
    <s v=""/>
    <x v="0"/>
    <x v="0"/>
    <n v="16"/>
    <x v="11"/>
    <s v=""/>
    <x v="4"/>
    <x v="1"/>
  </r>
  <r>
    <x v="0"/>
    <x v="0"/>
    <x v="13"/>
    <n v="0"/>
    <s v="Debe"/>
    <x v="1"/>
    <x v="0"/>
    <x v="0"/>
    <x v="0"/>
    <n v="0"/>
    <n v="0"/>
    <s v=""/>
    <x v="4"/>
    <x v="1"/>
    <x v="2"/>
    <x v="11"/>
    <x v="11"/>
    <s v=""/>
    <x v="0"/>
    <x v="0"/>
    <n v="17"/>
    <x v="11"/>
    <s v=""/>
    <x v="4"/>
    <x v="1"/>
  </r>
  <r>
    <x v="0"/>
    <x v="0"/>
    <x v="13"/>
    <n v="0"/>
    <s v="Debe"/>
    <x v="1"/>
    <x v="0"/>
    <x v="0"/>
    <x v="0"/>
    <n v="0"/>
    <n v="0"/>
    <s v=""/>
    <x v="4"/>
    <x v="1"/>
    <x v="2"/>
    <x v="11"/>
    <x v="11"/>
    <s v=""/>
    <x v="0"/>
    <x v="0"/>
    <n v="18"/>
    <x v="11"/>
    <s v=""/>
    <x v="4"/>
    <x v="1"/>
  </r>
  <r>
    <x v="0"/>
    <x v="0"/>
    <x v="13"/>
    <n v="0"/>
    <s v="Debe"/>
    <x v="1"/>
    <x v="0"/>
    <x v="0"/>
    <x v="0"/>
    <n v="0"/>
    <n v="0"/>
    <s v=""/>
    <x v="4"/>
    <x v="1"/>
    <x v="2"/>
    <x v="11"/>
    <x v="11"/>
    <s v=""/>
    <x v="0"/>
    <x v="0"/>
    <n v="19"/>
    <x v="11"/>
    <s v=""/>
    <x v="4"/>
    <x v="1"/>
  </r>
  <r>
    <x v="0"/>
    <x v="0"/>
    <x v="13"/>
    <n v="0"/>
    <s v="Debe"/>
    <x v="1"/>
    <x v="0"/>
    <x v="0"/>
    <x v="0"/>
    <n v="0"/>
    <n v="0"/>
    <s v=""/>
    <x v="4"/>
    <x v="1"/>
    <x v="2"/>
    <x v="11"/>
    <x v="11"/>
    <s v=""/>
    <x v="0"/>
    <x v="0"/>
    <n v="20"/>
    <x v="11"/>
    <s v=""/>
    <x v="4"/>
    <x v="1"/>
  </r>
  <r>
    <x v="0"/>
    <x v="0"/>
    <x v="13"/>
    <n v="0"/>
    <s v="Debe"/>
    <x v="1"/>
    <x v="0"/>
    <x v="0"/>
    <x v="0"/>
    <n v="0"/>
    <n v="0"/>
    <s v=""/>
    <x v="4"/>
    <x v="1"/>
    <x v="2"/>
    <x v="11"/>
    <x v="11"/>
    <s v=""/>
    <x v="0"/>
    <x v="0"/>
    <n v="21"/>
    <x v="11"/>
    <s v=""/>
    <x v="4"/>
    <x v="1"/>
  </r>
  <r>
    <x v="0"/>
    <x v="0"/>
    <x v="13"/>
    <n v="0"/>
    <s v="Debe"/>
    <x v="1"/>
    <x v="0"/>
    <x v="0"/>
    <x v="0"/>
    <n v="0"/>
    <n v="0"/>
    <s v=""/>
    <x v="4"/>
    <x v="1"/>
    <x v="2"/>
    <x v="11"/>
    <x v="11"/>
    <s v=""/>
    <x v="0"/>
    <x v="0"/>
    <n v="22"/>
    <x v="11"/>
    <s v=""/>
    <x v="4"/>
    <x v="1"/>
  </r>
  <r>
    <x v="0"/>
    <x v="0"/>
    <x v="13"/>
    <n v="0"/>
    <s v="Debe"/>
    <x v="1"/>
    <x v="0"/>
    <x v="0"/>
    <x v="0"/>
    <n v="0"/>
    <n v="0"/>
    <s v=""/>
    <x v="4"/>
    <x v="1"/>
    <x v="2"/>
    <x v="11"/>
    <x v="11"/>
    <s v=""/>
    <x v="0"/>
    <x v="0"/>
    <n v="23"/>
    <x v="11"/>
    <s v=""/>
    <x v="4"/>
    <x v="1"/>
  </r>
  <r>
    <x v="0"/>
    <x v="0"/>
    <x v="13"/>
    <n v="0"/>
    <s v="Debe"/>
    <x v="1"/>
    <x v="0"/>
    <x v="0"/>
    <x v="0"/>
    <n v="0"/>
    <n v="0"/>
    <s v=""/>
    <x v="4"/>
    <x v="1"/>
    <x v="2"/>
    <x v="11"/>
    <x v="11"/>
    <s v=""/>
    <x v="0"/>
    <x v="0"/>
    <n v="24"/>
    <x v="11"/>
    <s v=""/>
    <x v="4"/>
    <x v="1"/>
  </r>
  <r>
    <x v="0"/>
    <x v="0"/>
    <x v="13"/>
    <n v="0"/>
    <s v="Debe"/>
    <x v="1"/>
    <x v="0"/>
    <x v="0"/>
    <x v="0"/>
    <n v="0"/>
    <n v="0"/>
    <s v=""/>
    <x v="4"/>
    <x v="1"/>
    <x v="2"/>
    <x v="11"/>
    <x v="11"/>
    <s v=""/>
    <x v="0"/>
    <x v="0"/>
    <n v="25"/>
    <x v="11"/>
    <s v=""/>
    <x v="4"/>
    <x v="1"/>
  </r>
  <r>
    <x v="0"/>
    <x v="0"/>
    <x v="13"/>
    <n v="0"/>
    <s v="Debe"/>
    <x v="1"/>
    <x v="0"/>
    <x v="0"/>
    <x v="0"/>
    <n v="0"/>
    <n v="0"/>
    <s v=""/>
    <x v="4"/>
    <x v="1"/>
    <x v="2"/>
    <x v="11"/>
    <x v="11"/>
    <s v=""/>
    <x v="0"/>
    <x v="0"/>
    <n v="26"/>
    <x v="11"/>
    <s v=""/>
    <x v="4"/>
    <x v="1"/>
  </r>
  <r>
    <x v="0"/>
    <x v="0"/>
    <x v="13"/>
    <n v="0"/>
    <s v="Debe"/>
    <x v="1"/>
    <x v="0"/>
    <x v="0"/>
    <x v="0"/>
    <n v="0"/>
    <n v="0"/>
    <s v=""/>
    <x v="4"/>
    <x v="1"/>
    <x v="2"/>
    <x v="11"/>
    <x v="11"/>
    <s v=""/>
    <x v="0"/>
    <x v="0"/>
    <n v="27"/>
    <x v="11"/>
    <s v=""/>
    <x v="4"/>
    <x v="1"/>
  </r>
  <r>
    <x v="0"/>
    <x v="0"/>
    <x v="13"/>
    <n v="0"/>
    <s v="Debe"/>
    <x v="1"/>
    <x v="0"/>
    <x v="0"/>
    <x v="0"/>
    <n v="0"/>
    <n v="0"/>
    <s v=""/>
    <x v="4"/>
    <x v="1"/>
    <x v="2"/>
    <x v="11"/>
    <x v="11"/>
    <s v=""/>
    <x v="0"/>
    <x v="0"/>
    <n v="28"/>
    <x v="11"/>
    <s v=""/>
    <x v="4"/>
    <x v="1"/>
  </r>
  <r>
    <x v="0"/>
    <x v="0"/>
    <x v="13"/>
    <n v="0"/>
    <s v="Debe"/>
    <x v="1"/>
    <x v="0"/>
    <x v="0"/>
    <x v="0"/>
    <n v="0"/>
    <n v="0"/>
    <s v=""/>
    <x v="4"/>
    <x v="1"/>
    <x v="2"/>
    <x v="11"/>
    <x v="11"/>
    <s v=""/>
    <x v="0"/>
    <x v="0"/>
    <n v="29"/>
    <x v="11"/>
    <s v=""/>
    <x v="4"/>
    <x v="1"/>
  </r>
  <r>
    <x v="0"/>
    <x v="0"/>
    <x v="13"/>
    <n v="0"/>
    <s v="Debe"/>
    <x v="1"/>
    <x v="0"/>
    <x v="0"/>
    <x v="0"/>
    <n v="0"/>
    <n v="0"/>
    <s v=""/>
    <x v="4"/>
    <x v="1"/>
    <x v="2"/>
    <x v="11"/>
    <x v="11"/>
    <s v=""/>
    <x v="0"/>
    <x v="0"/>
    <n v="30"/>
    <x v="11"/>
    <s v=""/>
    <x v="4"/>
    <x v="1"/>
  </r>
  <r>
    <x v="0"/>
    <x v="0"/>
    <x v="13"/>
    <n v="0"/>
    <s v="Debe"/>
    <x v="1"/>
    <x v="0"/>
    <x v="0"/>
    <x v="0"/>
    <n v="0"/>
    <n v="0"/>
    <s v=""/>
    <x v="4"/>
    <x v="1"/>
    <x v="2"/>
    <x v="11"/>
    <x v="11"/>
    <s v=""/>
    <x v="0"/>
    <x v="0"/>
    <n v="31"/>
    <x v="11"/>
    <s v=""/>
    <x v="4"/>
    <x v="1"/>
  </r>
  <r>
    <x v="0"/>
    <x v="0"/>
    <x v="13"/>
    <n v="0"/>
    <s v="Debe"/>
    <x v="1"/>
    <x v="0"/>
    <x v="0"/>
    <x v="0"/>
    <n v="0"/>
    <n v="0"/>
    <s v=""/>
    <x v="4"/>
    <x v="1"/>
    <x v="2"/>
    <x v="11"/>
    <x v="11"/>
    <s v=""/>
    <x v="0"/>
    <x v="0"/>
    <n v="32"/>
    <x v="11"/>
    <s v=""/>
    <x v="4"/>
    <x v="1"/>
  </r>
  <r>
    <x v="0"/>
    <x v="0"/>
    <x v="13"/>
    <n v="0"/>
    <s v="Debe"/>
    <x v="1"/>
    <x v="0"/>
    <x v="0"/>
    <x v="0"/>
    <n v="0"/>
    <n v="0"/>
    <s v=""/>
    <x v="4"/>
    <x v="1"/>
    <x v="2"/>
    <x v="11"/>
    <x v="11"/>
    <s v=""/>
    <x v="0"/>
    <x v="0"/>
    <n v="33"/>
    <x v="11"/>
    <s v=""/>
    <x v="4"/>
    <x v="1"/>
  </r>
  <r>
    <x v="0"/>
    <x v="0"/>
    <x v="13"/>
    <n v="0"/>
    <s v="Debe"/>
    <x v="1"/>
    <x v="0"/>
    <x v="0"/>
    <x v="0"/>
    <n v="0"/>
    <n v="0"/>
    <s v=""/>
    <x v="4"/>
    <x v="1"/>
    <x v="2"/>
    <x v="11"/>
    <x v="11"/>
    <s v=""/>
    <x v="0"/>
    <x v="0"/>
    <n v="34"/>
    <x v="11"/>
    <s v=""/>
    <x v="4"/>
    <x v="1"/>
  </r>
  <r>
    <x v="0"/>
    <x v="0"/>
    <x v="13"/>
    <n v="0"/>
    <s v="Debe"/>
    <x v="1"/>
    <x v="0"/>
    <x v="0"/>
    <x v="0"/>
    <n v="0"/>
    <n v="0"/>
    <s v=""/>
    <x v="4"/>
    <x v="1"/>
    <x v="2"/>
    <x v="11"/>
    <x v="11"/>
    <s v=""/>
    <x v="0"/>
    <x v="0"/>
    <n v="35"/>
    <x v="11"/>
    <s v=""/>
    <x v="4"/>
    <x v="1"/>
  </r>
  <r>
    <x v="0"/>
    <x v="0"/>
    <x v="13"/>
    <n v="0"/>
    <s v="Debe"/>
    <x v="1"/>
    <x v="0"/>
    <x v="0"/>
    <x v="0"/>
    <n v="0"/>
    <n v="0"/>
    <s v=""/>
    <x v="4"/>
    <x v="1"/>
    <x v="2"/>
    <x v="11"/>
    <x v="11"/>
    <s v=""/>
    <x v="0"/>
    <x v="0"/>
    <n v="36"/>
    <x v="11"/>
    <s v=""/>
    <x v="4"/>
    <x v="1"/>
  </r>
  <r>
    <x v="0"/>
    <x v="0"/>
    <x v="13"/>
    <n v="0"/>
    <s v="Debe"/>
    <x v="1"/>
    <x v="0"/>
    <x v="0"/>
    <x v="0"/>
    <n v="0"/>
    <n v="0"/>
    <s v=""/>
    <x v="4"/>
    <x v="1"/>
    <x v="2"/>
    <x v="11"/>
    <x v="11"/>
    <s v=""/>
    <x v="0"/>
    <x v="0"/>
    <n v="37"/>
    <x v="11"/>
    <s v=""/>
    <x v="4"/>
    <x v="1"/>
  </r>
  <r>
    <x v="0"/>
    <x v="0"/>
    <x v="13"/>
    <n v="0"/>
    <s v="Debe"/>
    <x v="1"/>
    <x v="0"/>
    <x v="0"/>
    <x v="0"/>
    <n v="0"/>
    <n v="0"/>
    <s v=""/>
    <x v="4"/>
    <x v="1"/>
    <x v="2"/>
    <x v="11"/>
    <x v="11"/>
    <s v=""/>
    <x v="0"/>
    <x v="0"/>
    <n v="38"/>
    <x v="11"/>
    <s v=""/>
    <x v="4"/>
    <x v="1"/>
  </r>
  <r>
    <x v="0"/>
    <x v="0"/>
    <x v="13"/>
    <n v="0"/>
    <s v="Debe"/>
    <x v="1"/>
    <x v="0"/>
    <x v="0"/>
    <x v="0"/>
    <n v="0"/>
    <n v="0"/>
    <s v=""/>
    <x v="4"/>
    <x v="1"/>
    <x v="2"/>
    <x v="11"/>
    <x v="11"/>
    <s v=""/>
    <x v="0"/>
    <x v="0"/>
    <n v="39"/>
    <x v="11"/>
    <s v=""/>
    <x v="4"/>
    <x v="1"/>
  </r>
  <r>
    <x v="0"/>
    <x v="0"/>
    <x v="13"/>
    <s v="Estructura Balance y PyG"/>
    <s v="Debe"/>
    <x v="1"/>
    <x v="1"/>
    <x v="1"/>
    <x v="1"/>
    <n v="0"/>
    <s v="Estructura Balance y PyG"/>
    <s v=""/>
    <x v="4"/>
    <x v="1"/>
    <x v="2"/>
    <x v="11"/>
    <x v="11"/>
    <s v=""/>
    <x v="0"/>
    <x v="0"/>
    <n v="40"/>
    <x v="11"/>
    <s v=""/>
    <x v="4"/>
    <x v="1"/>
  </r>
  <r>
    <x v="0"/>
    <x v="0"/>
    <x v="13"/>
    <s v="Asiento Cuadrado"/>
    <s v="Debe"/>
    <x v="1"/>
    <x v="1"/>
    <x v="1"/>
    <x v="1"/>
    <n v="0"/>
    <s v="Asiento Cuadrado"/>
    <s v=""/>
    <x v="4"/>
    <x v="1"/>
    <x v="2"/>
    <x v="11"/>
    <x v="11"/>
    <s v=""/>
    <x v="0"/>
    <x v="0"/>
    <n v="41"/>
    <x v="11"/>
    <s v=""/>
    <x v="4"/>
    <x v="1"/>
  </r>
  <r>
    <x v="0"/>
    <x v="0"/>
    <x v="13"/>
    <n v="0"/>
    <s v="Debe"/>
    <x v="1"/>
    <x v="1"/>
    <x v="1"/>
    <x v="1"/>
    <n v="0"/>
    <n v="0"/>
    <s v=""/>
    <x v="4"/>
    <x v="1"/>
    <x v="2"/>
    <x v="11"/>
    <x v="11"/>
    <s v=""/>
    <x v="0"/>
    <x v="0"/>
    <n v="42"/>
    <x v="11"/>
    <s v=""/>
    <x v="4"/>
    <x v="1"/>
  </r>
  <r>
    <x v="0"/>
    <x v="0"/>
    <x v="13"/>
    <n v="0"/>
    <s v="Debe"/>
    <x v="1"/>
    <x v="1"/>
    <x v="1"/>
    <x v="1"/>
    <n v="0"/>
    <n v="0"/>
    <s v=""/>
    <x v="4"/>
    <x v="1"/>
    <x v="2"/>
    <x v="11"/>
    <x v="11"/>
    <s v=""/>
    <x v="0"/>
    <x v="0"/>
    <n v="43"/>
    <x v="11"/>
    <s v=""/>
    <x v="4"/>
    <x v="1"/>
  </r>
  <r>
    <x v="0"/>
    <x v="0"/>
    <x v="13"/>
    <s v="DEBE"/>
    <s v="Debe"/>
    <x v="1"/>
    <x v="1"/>
    <x v="1"/>
    <x v="1"/>
    <n v="0"/>
    <s v="DEBE"/>
    <s v=""/>
    <x v="4"/>
    <x v="1"/>
    <x v="2"/>
    <x v="11"/>
    <x v="11"/>
    <s v=""/>
    <x v="0"/>
    <x v="0"/>
    <n v="44"/>
    <x v="11"/>
    <s v=""/>
    <x v="4"/>
    <x v="1"/>
  </r>
  <r>
    <x v="0"/>
    <x v="0"/>
    <x v="13"/>
    <n v="0"/>
    <s v="Debe"/>
    <x v="1"/>
    <x v="1"/>
    <x v="1"/>
    <x v="1"/>
    <n v="0"/>
    <n v="0"/>
    <s v=""/>
    <x v="4"/>
    <x v="1"/>
    <x v="2"/>
    <x v="11"/>
    <x v="11"/>
    <s v=""/>
    <x v="0"/>
    <x v="0"/>
    <n v="45"/>
    <x v="11"/>
    <s v=""/>
    <x v="4"/>
    <x v="1"/>
  </r>
  <r>
    <x v="0"/>
    <x v="0"/>
    <x v="13"/>
    <s v="Asiento de Apertura"/>
    <s v="Debe"/>
    <x v="1"/>
    <x v="1"/>
    <x v="1"/>
    <x v="1"/>
    <n v="0"/>
    <s v="Asiento de Apertura"/>
    <s v=""/>
    <x v="4"/>
    <x v="1"/>
    <x v="2"/>
    <x v="11"/>
    <x v="11"/>
    <s v=""/>
    <x v="0"/>
    <x v="0"/>
    <n v="90"/>
    <x v="11"/>
    <s v=""/>
    <x v="4"/>
    <x v="1"/>
  </r>
  <r>
    <x v="0"/>
    <x v="0"/>
    <x v="13"/>
    <s v="Asiento Cuadrado"/>
    <s v="Debe"/>
    <x v="1"/>
    <x v="1"/>
    <x v="1"/>
    <x v="1"/>
    <n v="0"/>
    <s v="Asiento Cuadrado"/>
    <s v=""/>
    <x v="4"/>
    <x v="1"/>
    <x v="2"/>
    <x v="11"/>
    <x v="11"/>
    <s v=""/>
    <x v="0"/>
    <x v="0"/>
    <n v="94"/>
    <x v="11"/>
    <s v=""/>
    <x v="4"/>
    <x v="1"/>
  </r>
  <r>
    <x v="0"/>
    <x v="0"/>
    <x v="13"/>
    <n v="0"/>
    <s v="Debe"/>
    <x v="1"/>
    <x v="1"/>
    <x v="1"/>
    <x v="1"/>
    <n v="0"/>
    <n v="0"/>
    <s v=""/>
    <x v="4"/>
    <x v="1"/>
    <x v="2"/>
    <x v="11"/>
    <x v="11"/>
    <s v=""/>
    <x v="0"/>
    <x v="0"/>
    <n v="95"/>
    <x v="11"/>
    <s v=""/>
    <x v="4"/>
    <x v="1"/>
  </r>
  <r>
    <x v="0"/>
    <x v="0"/>
    <x v="13"/>
    <s v="DEBE"/>
    <s v="Debe"/>
    <x v="1"/>
    <x v="1"/>
    <x v="1"/>
    <x v="1"/>
    <n v="0"/>
    <s v="DEBE"/>
    <s v=""/>
    <x v="4"/>
    <x v="1"/>
    <x v="2"/>
    <x v="11"/>
    <x v="11"/>
    <s v=""/>
    <x v="0"/>
    <x v="0"/>
    <n v="96"/>
    <x v="11"/>
    <s v=""/>
    <x v="4"/>
    <x v="1"/>
  </r>
  <r>
    <x v="0"/>
    <x v="0"/>
    <x v="13"/>
    <n v="0"/>
    <s v="Debe"/>
    <x v="1"/>
    <x v="1"/>
    <x v="1"/>
    <x v="1"/>
    <n v="0"/>
    <n v="0"/>
    <s v=""/>
    <x v="4"/>
    <x v="1"/>
    <x v="2"/>
    <x v="11"/>
    <x v="11"/>
    <s v=""/>
    <x v="0"/>
    <x v="0"/>
    <n v="97"/>
    <x v="11"/>
    <s v=""/>
    <x v="4"/>
    <x v="1"/>
  </r>
  <r>
    <x v="0"/>
    <x v="0"/>
    <x v="13"/>
    <s v="Operaciones del Ejercicio"/>
    <s v="Debe"/>
    <x v="1"/>
    <x v="1"/>
    <x v="1"/>
    <x v="1"/>
    <n v="0"/>
    <s v="Operaciones del Ejercicio"/>
    <s v=""/>
    <x v="4"/>
    <x v="1"/>
    <x v="2"/>
    <x v="11"/>
    <x v="11"/>
    <s v=""/>
    <x v="0"/>
    <x v="0"/>
    <n v="103"/>
    <x v="11"/>
    <s v=""/>
    <x v="4"/>
    <x v="1"/>
  </r>
  <r>
    <x v="0"/>
    <x v="0"/>
    <x v="13"/>
    <s v="Asiento Cuadrado"/>
    <s v="Debe"/>
    <x v="1"/>
    <x v="1"/>
    <x v="1"/>
    <x v="1"/>
    <n v="0"/>
    <s v="Asiento Cuadrado"/>
    <s v=""/>
    <x v="4"/>
    <x v="1"/>
    <x v="2"/>
    <x v="11"/>
    <x v="11"/>
    <s v=""/>
    <x v="0"/>
    <x v="0"/>
    <n v="104"/>
    <x v="11"/>
    <s v=""/>
    <x v="4"/>
    <x v="1"/>
  </r>
  <r>
    <x v="0"/>
    <x v="0"/>
    <x v="13"/>
    <n v="0"/>
    <s v="Debe"/>
    <x v="1"/>
    <x v="1"/>
    <x v="1"/>
    <x v="1"/>
    <n v="0"/>
    <n v="0"/>
    <s v=""/>
    <x v="4"/>
    <x v="1"/>
    <x v="2"/>
    <x v="11"/>
    <x v="11"/>
    <s v=""/>
    <x v="0"/>
    <x v="0"/>
    <n v="105"/>
    <x v="11"/>
    <s v=""/>
    <x v="4"/>
    <x v="1"/>
  </r>
  <r>
    <x v="0"/>
    <x v="0"/>
    <x v="13"/>
    <s v="DEBE"/>
    <s v="Debe"/>
    <x v="1"/>
    <x v="1"/>
    <x v="1"/>
    <x v="1"/>
    <n v="0"/>
    <s v="DEBE"/>
    <s v=""/>
    <x v="4"/>
    <x v="1"/>
    <x v="2"/>
    <x v="11"/>
    <x v="11"/>
    <s v=""/>
    <x v="0"/>
    <x v="0"/>
    <n v="106"/>
    <x v="11"/>
    <s v=""/>
    <x v="4"/>
    <x v="1"/>
  </r>
  <r>
    <x v="0"/>
    <x v="0"/>
    <x v="13"/>
    <n v="0"/>
    <s v="Debe"/>
    <x v="1"/>
    <x v="1"/>
    <x v="1"/>
    <x v="1"/>
    <n v="0"/>
    <n v="0"/>
    <s v=""/>
    <x v="4"/>
    <x v="1"/>
    <x v="2"/>
    <x v="11"/>
    <x v="11"/>
    <s v=""/>
    <x v="0"/>
    <x v="0"/>
    <n v="109"/>
    <x v="11"/>
    <s v=""/>
    <x v="4"/>
    <x v="1"/>
  </r>
  <r>
    <x v="0"/>
    <x v="0"/>
    <x v="13"/>
    <s v="Operaciones del Ejercicio"/>
    <s v="Debe"/>
    <x v="1"/>
    <x v="1"/>
    <x v="1"/>
    <x v="1"/>
    <n v="0"/>
    <s v="Operaciones del Ejercicio"/>
    <s v=""/>
    <x v="4"/>
    <x v="1"/>
    <x v="2"/>
    <x v="11"/>
    <x v="11"/>
    <s v=""/>
    <x v="0"/>
    <x v="0"/>
    <n v="112"/>
    <x v="11"/>
    <s v=""/>
    <x v="4"/>
    <x v="1"/>
  </r>
  <r>
    <x v="0"/>
    <x v="0"/>
    <x v="13"/>
    <s v="Asiento Cuadrado"/>
    <s v="Debe"/>
    <x v="1"/>
    <x v="1"/>
    <x v="1"/>
    <x v="1"/>
    <n v="0"/>
    <s v="Asiento Cuadrado"/>
    <s v=""/>
    <x v="4"/>
    <x v="1"/>
    <x v="2"/>
    <x v="11"/>
    <x v="11"/>
    <s v=""/>
    <x v="0"/>
    <x v="0"/>
    <n v="113"/>
    <x v="11"/>
    <s v=""/>
    <x v="4"/>
    <x v="1"/>
  </r>
  <r>
    <x v="0"/>
    <x v="0"/>
    <x v="13"/>
    <n v="0"/>
    <s v="Debe"/>
    <x v="1"/>
    <x v="1"/>
    <x v="1"/>
    <x v="1"/>
    <n v="0"/>
    <n v="0"/>
    <s v=""/>
    <x v="4"/>
    <x v="1"/>
    <x v="2"/>
    <x v="11"/>
    <x v="11"/>
    <s v=""/>
    <x v="0"/>
    <x v="0"/>
    <n v="116"/>
    <x v="11"/>
    <s v=""/>
    <x v="4"/>
    <x v="1"/>
  </r>
  <r>
    <x v="0"/>
    <x v="0"/>
    <x v="13"/>
    <s v="DEBE"/>
    <s v="Debe"/>
    <x v="1"/>
    <x v="1"/>
    <x v="1"/>
    <x v="1"/>
    <n v="0"/>
    <s v="DEBE"/>
    <s v=""/>
    <x v="4"/>
    <x v="1"/>
    <x v="2"/>
    <x v="11"/>
    <x v="11"/>
    <s v=""/>
    <x v="0"/>
    <x v="0"/>
    <n v="117"/>
    <x v="11"/>
    <s v=""/>
    <x v="4"/>
    <x v="1"/>
  </r>
  <r>
    <x v="0"/>
    <x v="0"/>
    <x v="13"/>
    <n v="0"/>
    <s v="Debe"/>
    <x v="1"/>
    <x v="1"/>
    <x v="1"/>
    <x v="1"/>
    <n v="0"/>
    <n v="0"/>
    <s v=""/>
    <x v="4"/>
    <x v="1"/>
    <x v="2"/>
    <x v="11"/>
    <x v="11"/>
    <s v=""/>
    <x v="0"/>
    <x v="0"/>
    <n v="118"/>
    <x v="11"/>
    <s v=""/>
    <x v="4"/>
    <x v="1"/>
  </r>
  <r>
    <x v="0"/>
    <x v="0"/>
    <x v="13"/>
    <s v="Operaciones del Ejercicio"/>
    <s v="Debe"/>
    <x v="1"/>
    <x v="1"/>
    <x v="1"/>
    <x v="1"/>
    <n v="0"/>
    <s v="Operaciones del Ejercicio"/>
    <s v=""/>
    <x v="4"/>
    <x v="1"/>
    <x v="2"/>
    <x v="11"/>
    <x v="11"/>
    <s v=""/>
    <x v="0"/>
    <x v="0"/>
    <n v="123"/>
    <x v="11"/>
    <s v=""/>
    <x v="4"/>
    <x v="1"/>
  </r>
  <r>
    <x v="0"/>
    <x v="0"/>
    <x v="13"/>
    <s v="Asiento Cuadrado"/>
    <s v="Debe"/>
    <x v="1"/>
    <x v="1"/>
    <x v="1"/>
    <x v="1"/>
    <n v="0"/>
    <s v="Asiento Cuadrado"/>
    <s v=""/>
    <x v="4"/>
    <x v="1"/>
    <x v="2"/>
    <x v="11"/>
    <x v="11"/>
    <s v=""/>
    <x v="0"/>
    <x v="0"/>
    <n v="124"/>
    <x v="11"/>
    <s v=""/>
    <x v="4"/>
    <x v="1"/>
  </r>
  <r>
    <x v="0"/>
    <x v="0"/>
    <x v="13"/>
    <n v="0"/>
    <s v="Debe"/>
    <x v="1"/>
    <x v="1"/>
    <x v="1"/>
    <x v="1"/>
    <n v="0"/>
    <n v="0"/>
    <s v=""/>
    <x v="4"/>
    <x v="1"/>
    <x v="2"/>
    <x v="11"/>
    <x v="11"/>
    <s v=""/>
    <x v="0"/>
    <x v="0"/>
    <n v="125"/>
    <x v="11"/>
    <s v=""/>
    <x v="4"/>
    <x v="1"/>
  </r>
  <r>
    <x v="0"/>
    <x v="0"/>
    <x v="13"/>
    <s v="DEBE"/>
    <s v="Debe"/>
    <x v="1"/>
    <x v="1"/>
    <x v="1"/>
    <x v="1"/>
    <n v="0"/>
    <s v="DEBE"/>
    <s v=""/>
    <x v="4"/>
    <x v="1"/>
    <x v="2"/>
    <x v="11"/>
    <x v="11"/>
    <s v=""/>
    <x v="0"/>
    <x v="0"/>
    <n v="126"/>
    <x v="11"/>
    <s v=""/>
    <x v="4"/>
    <x v="1"/>
  </r>
  <r>
    <x v="0"/>
    <x v="0"/>
    <x v="13"/>
    <n v="0"/>
    <s v="Debe"/>
    <x v="1"/>
    <x v="1"/>
    <x v="1"/>
    <x v="1"/>
    <n v="0"/>
    <n v="0"/>
    <s v=""/>
    <x v="4"/>
    <x v="1"/>
    <x v="2"/>
    <x v="11"/>
    <x v="11"/>
    <s v=""/>
    <x v="0"/>
    <x v="0"/>
    <n v="127"/>
    <x v="11"/>
    <s v=""/>
    <x v="4"/>
    <x v="1"/>
  </r>
  <r>
    <x v="0"/>
    <x v="0"/>
    <x v="13"/>
    <s v="Operaciones del Ejercicio"/>
    <s v="Debe"/>
    <x v="1"/>
    <x v="1"/>
    <x v="1"/>
    <x v="1"/>
    <n v="0"/>
    <s v="Operaciones del Ejercicio"/>
    <s v=""/>
    <x v="4"/>
    <x v="1"/>
    <x v="2"/>
    <x v="11"/>
    <x v="11"/>
    <s v=""/>
    <x v="0"/>
    <x v="0"/>
    <n v="133"/>
    <x v="11"/>
    <s v=""/>
    <x v="4"/>
    <x v="1"/>
  </r>
  <r>
    <x v="0"/>
    <x v="0"/>
    <x v="13"/>
    <s v="Asiento Cuadrado"/>
    <s v="Debe"/>
    <x v="1"/>
    <x v="1"/>
    <x v="1"/>
    <x v="1"/>
    <n v="0"/>
    <s v="Asiento Cuadrado"/>
    <s v=""/>
    <x v="4"/>
    <x v="1"/>
    <x v="2"/>
    <x v="11"/>
    <x v="11"/>
    <s v=""/>
    <x v="0"/>
    <x v="0"/>
    <n v="134"/>
    <x v="11"/>
    <s v=""/>
    <x v="4"/>
    <x v="1"/>
  </r>
  <r>
    <x v="0"/>
    <x v="0"/>
    <x v="13"/>
    <n v="0"/>
    <s v="Debe"/>
    <x v="1"/>
    <x v="1"/>
    <x v="1"/>
    <x v="1"/>
    <n v="0"/>
    <n v="0"/>
    <s v=""/>
    <x v="4"/>
    <x v="1"/>
    <x v="2"/>
    <x v="11"/>
    <x v="11"/>
    <s v=""/>
    <x v="0"/>
    <x v="0"/>
    <n v="137"/>
    <x v="11"/>
    <s v=""/>
    <x v="4"/>
    <x v="1"/>
  </r>
  <r>
    <x v="0"/>
    <x v="0"/>
    <x v="13"/>
    <s v="DEBE"/>
    <s v="Debe"/>
    <x v="1"/>
    <x v="1"/>
    <x v="1"/>
    <x v="1"/>
    <n v="0"/>
    <s v="DEBE"/>
    <s v=""/>
    <x v="4"/>
    <x v="1"/>
    <x v="2"/>
    <x v="11"/>
    <x v="11"/>
    <s v=""/>
    <x v="0"/>
    <x v="0"/>
    <n v="138"/>
    <x v="11"/>
    <s v=""/>
    <x v="4"/>
    <x v="1"/>
  </r>
  <r>
    <x v="0"/>
    <x v="0"/>
    <x v="13"/>
    <n v="0"/>
    <s v="Debe"/>
    <x v="1"/>
    <x v="1"/>
    <x v="1"/>
    <x v="1"/>
    <n v="0"/>
    <n v="0"/>
    <s v=""/>
    <x v="4"/>
    <x v="1"/>
    <x v="2"/>
    <x v="11"/>
    <x v="11"/>
    <s v=""/>
    <x v="0"/>
    <x v="0"/>
    <n v="139"/>
    <x v="11"/>
    <s v=""/>
    <x v="4"/>
    <x v="1"/>
  </r>
  <r>
    <x v="0"/>
    <x v="0"/>
    <x v="13"/>
    <s v="Operaciones del Ejercicio"/>
    <s v="Debe"/>
    <x v="1"/>
    <x v="1"/>
    <x v="1"/>
    <x v="1"/>
    <n v="0"/>
    <s v="Operaciones del Ejercicio"/>
    <s v=""/>
    <x v="4"/>
    <x v="1"/>
    <x v="2"/>
    <x v="11"/>
    <x v="11"/>
    <s v=""/>
    <x v="0"/>
    <x v="0"/>
    <n v="145"/>
    <x v="11"/>
    <s v=""/>
    <x v="4"/>
    <x v="1"/>
  </r>
  <r>
    <x v="0"/>
    <x v="0"/>
    <x v="13"/>
    <s v="Asiento Cuadrado"/>
    <s v="Debe"/>
    <x v="1"/>
    <x v="1"/>
    <x v="1"/>
    <x v="1"/>
    <n v="0"/>
    <s v="Asiento Cuadrado"/>
    <s v=""/>
    <x v="4"/>
    <x v="1"/>
    <x v="2"/>
    <x v="11"/>
    <x v="11"/>
    <s v=""/>
    <x v="0"/>
    <x v="0"/>
    <n v="146"/>
    <x v="11"/>
    <s v=""/>
    <x v="4"/>
    <x v="1"/>
  </r>
  <r>
    <x v="0"/>
    <x v="0"/>
    <x v="13"/>
    <n v="0"/>
    <s v="Debe"/>
    <x v="1"/>
    <x v="1"/>
    <x v="1"/>
    <x v="1"/>
    <n v="0"/>
    <n v="0"/>
    <s v=""/>
    <x v="4"/>
    <x v="1"/>
    <x v="2"/>
    <x v="11"/>
    <x v="11"/>
    <s v=""/>
    <x v="0"/>
    <x v="0"/>
    <n v="147"/>
    <x v="11"/>
    <s v=""/>
    <x v="4"/>
    <x v="1"/>
  </r>
  <r>
    <x v="0"/>
    <x v="0"/>
    <x v="13"/>
    <s v="DEBE"/>
    <s v="Debe"/>
    <x v="1"/>
    <x v="1"/>
    <x v="1"/>
    <x v="1"/>
    <n v="0"/>
    <s v="DEBE"/>
    <s v=""/>
    <x v="4"/>
    <x v="1"/>
    <x v="2"/>
    <x v="11"/>
    <x v="11"/>
    <s v=""/>
    <x v="0"/>
    <x v="0"/>
    <n v="148"/>
    <x v="11"/>
    <s v=""/>
    <x v="4"/>
    <x v="1"/>
  </r>
  <r>
    <x v="0"/>
    <x v="0"/>
    <x v="13"/>
    <n v="0"/>
    <s v="Debe"/>
    <x v="1"/>
    <x v="1"/>
    <x v="1"/>
    <x v="1"/>
    <n v="0"/>
    <n v="0"/>
    <s v=""/>
    <x v="4"/>
    <x v="1"/>
    <x v="2"/>
    <x v="11"/>
    <x v="11"/>
    <s v=""/>
    <x v="0"/>
    <x v="0"/>
    <n v="152"/>
    <x v="11"/>
    <s v=""/>
    <x v="4"/>
    <x v="1"/>
  </r>
  <r>
    <x v="0"/>
    <x v="0"/>
    <x v="13"/>
    <s v="Operaciones del Ejercicio"/>
    <s v="Debe"/>
    <x v="1"/>
    <x v="1"/>
    <x v="1"/>
    <x v="1"/>
    <n v="0"/>
    <s v="Operaciones del Ejercicio"/>
    <s v=""/>
    <x v="4"/>
    <x v="1"/>
    <x v="2"/>
    <x v="11"/>
    <x v="11"/>
    <s v=""/>
    <x v="0"/>
    <x v="0"/>
    <n v="155"/>
    <x v="11"/>
    <s v=""/>
    <x v="4"/>
    <x v="1"/>
  </r>
  <r>
    <x v="0"/>
    <x v="0"/>
    <x v="13"/>
    <s v="Asiento Cuadrado"/>
    <s v="Debe"/>
    <x v="1"/>
    <x v="1"/>
    <x v="1"/>
    <x v="1"/>
    <n v="0"/>
    <s v="Asiento Cuadrado"/>
    <s v=""/>
    <x v="4"/>
    <x v="1"/>
    <x v="2"/>
    <x v="11"/>
    <x v="11"/>
    <s v=""/>
    <x v="0"/>
    <x v="0"/>
    <n v="156"/>
    <x v="11"/>
    <s v=""/>
    <x v="4"/>
    <x v="1"/>
  </r>
  <r>
    <x v="0"/>
    <x v="0"/>
    <x v="13"/>
    <n v="0"/>
    <s v="Debe"/>
    <x v="1"/>
    <x v="1"/>
    <x v="1"/>
    <x v="1"/>
    <n v="0"/>
    <n v="0"/>
    <s v=""/>
    <x v="4"/>
    <x v="1"/>
    <x v="2"/>
    <x v="11"/>
    <x v="11"/>
    <s v=""/>
    <x v="0"/>
    <x v="0"/>
    <n v="159"/>
    <x v="11"/>
    <s v=""/>
    <x v="4"/>
    <x v="1"/>
  </r>
  <r>
    <x v="0"/>
    <x v="0"/>
    <x v="13"/>
    <s v="DEBE"/>
    <s v="Debe"/>
    <x v="1"/>
    <x v="1"/>
    <x v="1"/>
    <x v="1"/>
    <n v="0"/>
    <s v="DEBE"/>
    <s v=""/>
    <x v="4"/>
    <x v="1"/>
    <x v="2"/>
    <x v="11"/>
    <x v="11"/>
    <s v=""/>
    <x v="0"/>
    <x v="0"/>
    <n v="160"/>
    <x v="11"/>
    <s v=""/>
    <x v="4"/>
    <x v="1"/>
  </r>
  <r>
    <x v="0"/>
    <x v="0"/>
    <x v="13"/>
    <n v="0"/>
    <s v="Debe"/>
    <x v="1"/>
    <x v="1"/>
    <x v="1"/>
    <x v="1"/>
    <n v="0"/>
    <n v="0"/>
    <s v=""/>
    <x v="4"/>
    <x v="1"/>
    <x v="2"/>
    <x v="11"/>
    <x v="11"/>
    <s v=""/>
    <x v="0"/>
    <x v="0"/>
    <n v="161"/>
    <x v="11"/>
    <s v=""/>
    <x v="4"/>
    <x v="1"/>
  </r>
  <r>
    <x v="0"/>
    <x v="0"/>
    <x v="13"/>
    <s v="Operaciones del Ejercicio"/>
    <s v="Debe"/>
    <x v="1"/>
    <x v="1"/>
    <x v="1"/>
    <x v="1"/>
    <n v="0"/>
    <s v="Operaciones del Ejercicio"/>
    <s v=""/>
    <x v="4"/>
    <x v="1"/>
    <x v="2"/>
    <x v="11"/>
    <x v="11"/>
    <s v=""/>
    <x v="0"/>
    <x v="0"/>
    <n v="166"/>
    <x v="11"/>
    <s v=""/>
    <x v="4"/>
    <x v="1"/>
  </r>
  <r>
    <x v="0"/>
    <x v="0"/>
    <x v="13"/>
    <s v="Asiento Cuadrado"/>
    <s v="Debe"/>
    <x v="1"/>
    <x v="1"/>
    <x v="1"/>
    <x v="1"/>
    <n v="0"/>
    <s v="Asiento Cuadrado"/>
    <s v=""/>
    <x v="4"/>
    <x v="1"/>
    <x v="2"/>
    <x v="11"/>
    <x v="11"/>
    <s v=""/>
    <x v="0"/>
    <x v="0"/>
    <n v="167"/>
    <x v="11"/>
    <s v=""/>
    <x v="4"/>
    <x v="1"/>
  </r>
  <r>
    <x v="0"/>
    <x v="0"/>
    <x v="13"/>
    <n v="0"/>
    <s v="Debe"/>
    <x v="1"/>
    <x v="1"/>
    <x v="1"/>
    <x v="1"/>
    <n v="0"/>
    <n v="0"/>
    <s v=""/>
    <x v="4"/>
    <x v="1"/>
    <x v="2"/>
    <x v="11"/>
    <x v="11"/>
    <s v=""/>
    <x v="0"/>
    <x v="0"/>
    <n v="168"/>
    <x v="11"/>
    <s v=""/>
    <x v="4"/>
    <x v="1"/>
  </r>
  <r>
    <x v="0"/>
    <x v="0"/>
    <x v="13"/>
    <s v="DEBE"/>
    <s v="Debe"/>
    <x v="1"/>
    <x v="1"/>
    <x v="1"/>
    <x v="1"/>
    <n v="0"/>
    <s v="DEBE"/>
    <s v=""/>
    <x v="4"/>
    <x v="1"/>
    <x v="2"/>
    <x v="11"/>
    <x v="11"/>
    <s v=""/>
    <x v="0"/>
    <x v="0"/>
    <n v="169"/>
    <x v="11"/>
    <s v=""/>
    <x v="4"/>
    <x v="1"/>
  </r>
  <r>
    <x v="0"/>
    <x v="0"/>
    <x v="13"/>
    <n v="0"/>
    <s v="Debe"/>
    <x v="1"/>
    <x v="1"/>
    <x v="1"/>
    <x v="1"/>
    <n v="0"/>
    <n v="0"/>
    <s v=""/>
    <x v="4"/>
    <x v="1"/>
    <x v="2"/>
    <x v="11"/>
    <x v="11"/>
    <s v=""/>
    <x v="0"/>
    <x v="0"/>
    <n v="170"/>
    <x v="11"/>
    <s v=""/>
    <x v="4"/>
    <x v="1"/>
  </r>
  <r>
    <x v="0"/>
    <x v="0"/>
    <x v="13"/>
    <s v="Operaciones del Ejercicio"/>
    <s v="Debe"/>
    <x v="1"/>
    <x v="1"/>
    <x v="1"/>
    <x v="1"/>
    <n v="0"/>
    <s v="Operaciones del Ejercicio"/>
    <s v=""/>
    <x v="4"/>
    <x v="1"/>
    <x v="2"/>
    <x v="11"/>
    <x v="11"/>
    <s v=""/>
    <x v="0"/>
    <x v="0"/>
    <n v="175"/>
    <x v="11"/>
    <s v=""/>
    <x v="4"/>
    <x v="1"/>
  </r>
  <r>
    <x v="0"/>
    <x v="0"/>
    <x v="13"/>
    <s v="Asiento Cuadrado"/>
    <s v="Debe"/>
    <x v="1"/>
    <x v="1"/>
    <x v="1"/>
    <x v="1"/>
    <n v="0"/>
    <s v="Asiento Cuadrado"/>
    <s v=""/>
    <x v="4"/>
    <x v="1"/>
    <x v="2"/>
    <x v="11"/>
    <x v="11"/>
    <s v=""/>
    <x v="0"/>
    <x v="0"/>
    <n v="176"/>
    <x v="11"/>
    <s v=""/>
    <x v="4"/>
    <x v="1"/>
  </r>
  <r>
    <x v="0"/>
    <x v="0"/>
    <x v="13"/>
    <n v="0"/>
    <s v="Debe"/>
    <x v="1"/>
    <x v="1"/>
    <x v="1"/>
    <x v="1"/>
    <n v="0"/>
    <n v="0"/>
    <s v=""/>
    <x v="4"/>
    <x v="1"/>
    <x v="2"/>
    <x v="11"/>
    <x v="11"/>
    <s v=""/>
    <x v="0"/>
    <x v="0"/>
    <n v="177"/>
    <x v="11"/>
    <s v=""/>
    <x v="4"/>
    <x v="1"/>
  </r>
  <r>
    <x v="0"/>
    <x v="0"/>
    <x v="13"/>
    <s v="DEBE"/>
    <s v="Debe"/>
    <x v="1"/>
    <x v="1"/>
    <x v="1"/>
    <x v="1"/>
    <n v="0"/>
    <s v="DEBE"/>
    <s v=""/>
    <x v="4"/>
    <x v="1"/>
    <x v="2"/>
    <x v="11"/>
    <x v="11"/>
    <s v=""/>
    <x v="0"/>
    <x v="0"/>
    <n v="180"/>
    <x v="11"/>
    <s v=""/>
    <x v="4"/>
    <x v="1"/>
  </r>
  <r>
    <x v="0"/>
    <x v="0"/>
    <x v="13"/>
    <n v="0"/>
    <s v="Debe"/>
    <x v="1"/>
    <x v="1"/>
    <x v="1"/>
    <x v="1"/>
    <n v="0"/>
    <n v="0"/>
    <s v=""/>
    <x v="4"/>
    <x v="1"/>
    <x v="2"/>
    <x v="11"/>
    <x v="11"/>
    <s v=""/>
    <x v="0"/>
    <x v="0"/>
    <n v="181"/>
    <x v="11"/>
    <s v=""/>
    <x v="4"/>
    <x v="1"/>
  </r>
  <r>
    <x v="0"/>
    <x v="0"/>
    <x v="13"/>
    <s v="Operaciones del Ejercicio"/>
    <s v="Debe"/>
    <x v="1"/>
    <x v="1"/>
    <x v="1"/>
    <x v="1"/>
    <n v="0"/>
    <s v="Operaciones del Ejercicio"/>
    <s v=""/>
    <x v="4"/>
    <x v="1"/>
    <x v="2"/>
    <x v="11"/>
    <x v="11"/>
    <s v=""/>
    <x v="0"/>
    <x v="0"/>
    <n v="184"/>
    <x v="11"/>
    <s v=""/>
    <x v="4"/>
    <x v="1"/>
  </r>
  <r>
    <x v="0"/>
    <x v="0"/>
    <x v="13"/>
    <s v="Asiento Cuadrado"/>
    <s v="Debe"/>
    <x v="1"/>
    <x v="1"/>
    <x v="1"/>
    <x v="1"/>
    <n v="0"/>
    <s v="Asiento Cuadrado"/>
    <s v=""/>
    <x v="4"/>
    <x v="1"/>
    <x v="2"/>
    <x v="11"/>
    <x v="11"/>
    <s v=""/>
    <x v="0"/>
    <x v="0"/>
    <n v="189"/>
    <x v="11"/>
    <s v=""/>
    <x v="4"/>
    <x v="1"/>
  </r>
  <r>
    <x v="0"/>
    <x v="0"/>
    <x v="13"/>
    <n v="0"/>
    <s v="Debe"/>
    <x v="1"/>
    <x v="1"/>
    <x v="1"/>
    <x v="1"/>
    <n v="0"/>
    <n v="0"/>
    <s v=""/>
    <x v="4"/>
    <x v="1"/>
    <x v="2"/>
    <x v="11"/>
    <x v="11"/>
    <s v=""/>
    <x v="0"/>
    <x v="0"/>
    <n v="190"/>
    <x v="11"/>
    <s v=""/>
    <x v="4"/>
    <x v="1"/>
  </r>
  <r>
    <x v="0"/>
    <x v="0"/>
    <x v="13"/>
    <s v="DEBE"/>
    <s v="Debe"/>
    <x v="1"/>
    <x v="1"/>
    <x v="1"/>
    <x v="1"/>
    <n v="0"/>
    <s v="DEBE"/>
    <s v=""/>
    <x v="4"/>
    <x v="1"/>
    <x v="2"/>
    <x v="11"/>
    <x v="11"/>
    <s v=""/>
    <x v="0"/>
    <x v="0"/>
    <n v="191"/>
    <x v="11"/>
    <s v=""/>
    <x v="4"/>
    <x v="1"/>
  </r>
  <r>
    <x v="0"/>
    <x v="0"/>
    <x v="13"/>
    <n v="0"/>
    <s v="Debe"/>
    <x v="1"/>
    <x v="1"/>
    <x v="1"/>
    <x v="1"/>
    <n v="0"/>
    <n v="0"/>
    <s v=""/>
    <x v="4"/>
    <x v="1"/>
    <x v="2"/>
    <x v="11"/>
    <x v="11"/>
    <s v=""/>
    <x v="0"/>
    <x v="0"/>
    <n v="192"/>
    <x v="11"/>
    <s v=""/>
    <x v="4"/>
    <x v="1"/>
  </r>
  <r>
    <x v="0"/>
    <x v="0"/>
    <x v="13"/>
    <s v="Operaciones del Ejercicio"/>
    <s v="Debe"/>
    <x v="1"/>
    <x v="1"/>
    <x v="1"/>
    <x v="1"/>
    <n v="0"/>
    <s v="Operaciones del Ejercicio"/>
    <s v=""/>
    <x v="4"/>
    <x v="1"/>
    <x v="2"/>
    <x v="11"/>
    <x v="11"/>
    <s v=""/>
    <x v="0"/>
    <x v="0"/>
    <n v="197"/>
    <x v="11"/>
    <s v=""/>
    <x v="4"/>
    <x v="1"/>
  </r>
  <r>
    <x v="0"/>
    <x v="0"/>
    <x v="13"/>
    <s v="Asiento Cuadrado"/>
    <s v="Debe"/>
    <x v="1"/>
    <x v="1"/>
    <x v="1"/>
    <x v="1"/>
    <n v="0"/>
    <s v="Asiento Cuadrado"/>
    <s v=""/>
    <x v="4"/>
    <x v="1"/>
    <x v="2"/>
    <x v="11"/>
    <x v="11"/>
    <s v=""/>
    <x v="0"/>
    <x v="0"/>
    <n v="198"/>
    <x v="11"/>
    <s v=""/>
    <x v="4"/>
    <x v="1"/>
  </r>
  <r>
    <x v="0"/>
    <x v="0"/>
    <x v="13"/>
    <n v="0"/>
    <s v="Debe"/>
    <x v="1"/>
    <x v="1"/>
    <x v="1"/>
    <x v="1"/>
    <n v="0"/>
    <n v="0"/>
    <s v=""/>
    <x v="4"/>
    <x v="1"/>
    <x v="2"/>
    <x v="11"/>
    <x v="11"/>
    <s v=""/>
    <x v="0"/>
    <x v="0"/>
    <n v="199"/>
    <x v="11"/>
    <s v=""/>
    <x v="4"/>
    <x v="1"/>
  </r>
  <r>
    <x v="0"/>
    <x v="0"/>
    <x v="13"/>
    <s v="DEBE"/>
    <s v="Debe"/>
    <x v="1"/>
    <x v="1"/>
    <x v="1"/>
    <x v="1"/>
    <n v="0"/>
    <s v="DEBE"/>
    <s v=""/>
    <x v="4"/>
    <x v="1"/>
    <x v="2"/>
    <x v="11"/>
    <x v="11"/>
    <s v=""/>
    <x v="0"/>
    <x v="0"/>
    <n v="200"/>
    <x v="11"/>
    <s v=""/>
    <x v="4"/>
    <x v="1"/>
  </r>
  <r>
    <x v="0"/>
    <x v="0"/>
    <x v="13"/>
    <n v="0"/>
    <s v="Debe"/>
    <x v="1"/>
    <x v="1"/>
    <x v="1"/>
    <x v="1"/>
    <n v="0"/>
    <n v="0"/>
    <s v=""/>
    <x v="4"/>
    <x v="1"/>
    <x v="2"/>
    <x v="11"/>
    <x v="11"/>
    <s v=""/>
    <x v="0"/>
    <x v="0"/>
    <n v="203"/>
    <x v="11"/>
    <s v=""/>
    <x v="4"/>
    <x v="1"/>
  </r>
  <r>
    <x v="0"/>
    <x v="0"/>
    <x v="13"/>
    <s v="Operaciones del Ejercicio"/>
    <s v="Debe"/>
    <x v="1"/>
    <x v="1"/>
    <x v="1"/>
    <x v="1"/>
    <n v="0"/>
    <s v="Operaciones del Ejercicio"/>
    <s v=""/>
    <x v="4"/>
    <x v="1"/>
    <x v="2"/>
    <x v="11"/>
    <x v="11"/>
    <s v=""/>
    <x v="0"/>
    <x v="0"/>
    <n v="206"/>
    <x v="11"/>
    <s v=""/>
    <x v="4"/>
    <x v="1"/>
  </r>
  <r>
    <x v="0"/>
    <x v="0"/>
    <x v="13"/>
    <s v="Asiento Cuadrado"/>
    <s v="Debe"/>
    <x v="1"/>
    <x v="1"/>
    <x v="1"/>
    <x v="1"/>
    <n v="0"/>
    <s v="Asiento Cuadrado"/>
    <s v=""/>
    <x v="4"/>
    <x v="1"/>
    <x v="2"/>
    <x v="11"/>
    <x v="11"/>
    <s v=""/>
    <x v="0"/>
    <x v="0"/>
    <n v="207"/>
    <x v="11"/>
    <s v=""/>
    <x v="4"/>
    <x v="1"/>
  </r>
  <r>
    <x v="0"/>
    <x v="0"/>
    <x v="13"/>
    <n v="0"/>
    <s v="Debe"/>
    <x v="1"/>
    <x v="1"/>
    <x v="1"/>
    <x v="1"/>
    <n v="0"/>
    <n v="0"/>
    <s v=""/>
    <x v="4"/>
    <x v="1"/>
    <x v="2"/>
    <x v="11"/>
    <x v="11"/>
    <s v=""/>
    <x v="0"/>
    <x v="0"/>
    <n v="210"/>
    <x v="11"/>
    <s v=""/>
    <x v="4"/>
    <x v="1"/>
  </r>
  <r>
    <x v="0"/>
    <x v="0"/>
    <x v="13"/>
    <s v="DEBE"/>
    <s v="Debe"/>
    <x v="1"/>
    <x v="1"/>
    <x v="1"/>
    <x v="1"/>
    <n v="0"/>
    <s v="DEBE"/>
    <s v=""/>
    <x v="4"/>
    <x v="1"/>
    <x v="2"/>
    <x v="11"/>
    <x v="11"/>
    <s v=""/>
    <x v="0"/>
    <x v="0"/>
    <n v="211"/>
    <x v="11"/>
    <s v=""/>
    <x v="4"/>
    <x v="1"/>
  </r>
  <r>
    <x v="0"/>
    <x v="0"/>
    <x v="13"/>
    <n v="0"/>
    <s v="Debe"/>
    <x v="1"/>
    <x v="1"/>
    <x v="1"/>
    <x v="1"/>
    <n v="0"/>
    <n v="0"/>
    <s v=""/>
    <x v="4"/>
    <x v="1"/>
    <x v="2"/>
    <x v="11"/>
    <x v="11"/>
    <s v=""/>
    <x v="0"/>
    <x v="0"/>
    <n v="212"/>
    <x v="11"/>
    <s v=""/>
    <x v="4"/>
    <x v="1"/>
  </r>
  <r>
    <x v="0"/>
    <x v="0"/>
    <x v="13"/>
    <s v="Operaciones del Ejercicio"/>
    <s v="Debe"/>
    <x v="1"/>
    <x v="1"/>
    <x v="1"/>
    <x v="1"/>
    <n v="0"/>
    <s v="Operaciones del Ejercicio"/>
    <s v=""/>
    <x v="4"/>
    <x v="1"/>
    <x v="2"/>
    <x v="11"/>
    <x v="11"/>
    <s v=""/>
    <x v="0"/>
    <x v="0"/>
    <n v="218"/>
    <x v="11"/>
    <s v=""/>
    <x v="4"/>
    <x v="1"/>
  </r>
  <r>
    <x v="0"/>
    <x v="0"/>
    <x v="13"/>
    <s v="Asiento Cuadrado"/>
    <s v="Debe"/>
    <x v="1"/>
    <x v="1"/>
    <x v="1"/>
    <x v="1"/>
    <n v="0"/>
    <s v="Asiento Cuadrado"/>
    <s v=""/>
    <x v="4"/>
    <x v="1"/>
    <x v="2"/>
    <x v="11"/>
    <x v="11"/>
    <s v=""/>
    <x v="0"/>
    <x v="0"/>
    <n v="219"/>
    <x v="11"/>
    <s v=""/>
    <x v="4"/>
    <x v="1"/>
  </r>
  <r>
    <x v="0"/>
    <x v="0"/>
    <x v="13"/>
    <n v="0"/>
    <s v="Debe"/>
    <x v="1"/>
    <x v="1"/>
    <x v="1"/>
    <x v="1"/>
    <n v="0"/>
    <n v="0"/>
    <s v=""/>
    <x v="4"/>
    <x v="1"/>
    <x v="2"/>
    <x v="11"/>
    <x v="11"/>
    <s v=""/>
    <x v="0"/>
    <x v="0"/>
    <n v="220"/>
    <x v="11"/>
    <s v=""/>
    <x v="4"/>
    <x v="1"/>
  </r>
  <r>
    <x v="0"/>
    <x v="0"/>
    <x v="13"/>
    <s v="DEBE"/>
    <s v="Debe"/>
    <x v="1"/>
    <x v="1"/>
    <x v="1"/>
    <x v="1"/>
    <n v="0"/>
    <s v="DEBE"/>
    <s v=""/>
    <x v="4"/>
    <x v="1"/>
    <x v="2"/>
    <x v="11"/>
    <x v="11"/>
    <s v=""/>
    <x v="0"/>
    <x v="0"/>
    <n v="221"/>
    <x v="11"/>
    <s v=""/>
    <x v="4"/>
    <x v="1"/>
  </r>
  <r>
    <x v="0"/>
    <x v="0"/>
    <x v="13"/>
    <n v="0"/>
    <s v="Debe"/>
    <x v="1"/>
    <x v="1"/>
    <x v="1"/>
    <x v="1"/>
    <n v="0"/>
    <n v="0"/>
    <s v=""/>
    <x v="4"/>
    <x v="1"/>
    <x v="2"/>
    <x v="11"/>
    <x v="11"/>
    <s v=""/>
    <x v="0"/>
    <x v="0"/>
    <n v="224"/>
    <x v="11"/>
    <s v=""/>
    <x v="4"/>
    <x v="1"/>
  </r>
  <r>
    <x v="0"/>
    <x v="0"/>
    <x v="13"/>
    <s v="Operaciones del Ejercicio"/>
    <s v="Debe"/>
    <x v="1"/>
    <x v="1"/>
    <x v="1"/>
    <x v="1"/>
    <n v="0"/>
    <s v="Operaciones del Ejercicio"/>
    <s v=""/>
    <x v="4"/>
    <x v="1"/>
    <x v="2"/>
    <x v="11"/>
    <x v="11"/>
    <s v=""/>
    <x v="0"/>
    <x v="0"/>
    <n v="227"/>
    <x v="11"/>
    <s v=""/>
    <x v="4"/>
    <x v="1"/>
  </r>
  <r>
    <x v="0"/>
    <x v="0"/>
    <x v="13"/>
    <s v="Asiento Cuadrado"/>
    <s v="Debe"/>
    <x v="1"/>
    <x v="1"/>
    <x v="1"/>
    <x v="1"/>
    <n v="0"/>
    <s v="Asiento Cuadrado"/>
    <s v=""/>
    <x v="4"/>
    <x v="1"/>
    <x v="2"/>
    <x v="11"/>
    <x v="11"/>
    <s v=""/>
    <x v="0"/>
    <x v="0"/>
    <n v="228"/>
    <x v="11"/>
    <s v=""/>
    <x v="4"/>
    <x v="1"/>
  </r>
  <r>
    <x v="0"/>
    <x v="0"/>
    <x v="13"/>
    <n v="0"/>
    <s v="Debe"/>
    <x v="1"/>
    <x v="1"/>
    <x v="1"/>
    <x v="1"/>
    <n v="0"/>
    <n v="0"/>
    <s v=""/>
    <x v="4"/>
    <x v="1"/>
    <x v="2"/>
    <x v="11"/>
    <x v="11"/>
    <s v=""/>
    <x v="0"/>
    <x v="0"/>
    <n v="231"/>
    <x v="11"/>
    <s v=""/>
    <x v="4"/>
    <x v="1"/>
  </r>
  <r>
    <x v="0"/>
    <x v="0"/>
    <x v="13"/>
    <s v="DEBE"/>
    <s v="Debe"/>
    <x v="1"/>
    <x v="1"/>
    <x v="1"/>
    <x v="1"/>
    <n v="0"/>
    <s v="DEBE"/>
    <s v=""/>
    <x v="4"/>
    <x v="1"/>
    <x v="2"/>
    <x v="11"/>
    <x v="11"/>
    <s v=""/>
    <x v="0"/>
    <x v="0"/>
    <n v="232"/>
    <x v="11"/>
    <s v=""/>
    <x v="4"/>
    <x v="1"/>
  </r>
  <r>
    <x v="0"/>
    <x v="0"/>
    <x v="13"/>
    <n v="0"/>
    <s v="Debe"/>
    <x v="1"/>
    <x v="1"/>
    <x v="1"/>
    <x v="1"/>
    <n v="0"/>
    <n v="0"/>
    <s v=""/>
    <x v="4"/>
    <x v="1"/>
    <x v="2"/>
    <x v="11"/>
    <x v="11"/>
    <s v=""/>
    <x v="0"/>
    <x v="0"/>
    <n v="233"/>
    <x v="11"/>
    <s v=""/>
    <x v="4"/>
    <x v="1"/>
  </r>
  <r>
    <x v="0"/>
    <x v="0"/>
    <x v="13"/>
    <s v="Operaciones del Ejercicio"/>
    <s v="Debe"/>
    <x v="1"/>
    <x v="1"/>
    <x v="1"/>
    <x v="1"/>
    <n v="0"/>
    <s v="Operaciones del Ejercicio"/>
    <s v=""/>
    <x v="4"/>
    <x v="1"/>
    <x v="2"/>
    <x v="11"/>
    <x v="11"/>
    <s v=""/>
    <x v="0"/>
    <x v="0"/>
    <n v="238"/>
    <x v="11"/>
    <s v=""/>
    <x v="4"/>
    <x v="1"/>
  </r>
  <r>
    <x v="0"/>
    <x v="0"/>
    <x v="13"/>
    <s v="Asiento Cuadrado"/>
    <s v="Debe"/>
    <x v="1"/>
    <x v="1"/>
    <x v="1"/>
    <x v="1"/>
    <n v="0"/>
    <s v="Asiento Cuadrado"/>
    <s v=""/>
    <x v="4"/>
    <x v="1"/>
    <x v="2"/>
    <x v="11"/>
    <x v="11"/>
    <s v=""/>
    <x v="0"/>
    <x v="0"/>
    <n v="239"/>
    <x v="11"/>
    <s v=""/>
    <x v="4"/>
    <x v="1"/>
  </r>
  <r>
    <x v="0"/>
    <x v="0"/>
    <x v="13"/>
    <n v="0"/>
    <s v="Debe"/>
    <x v="1"/>
    <x v="1"/>
    <x v="1"/>
    <x v="1"/>
    <n v="0"/>
    <n v="0"/>
    <s v=""/>
    <x v="4"/>
    <x v="1"/>
    <x v="2"/>
    <x v="11"/>
    <x v="11"/>
    <s v=""/>
    <x v="0"/>
    <x v="0"/>
    <n v="240"/>
    <x v="11"/>
    <s v=""/>
    <x v="4"/>
    <x v="1"/>
  </r>
  <r>
    <x v="0"/>
    <x v="0"/>
    <x v="13"/>
    <s v="DEBE"/>
    <s v="Debe"/>
    <x v="1"/>
    <x v="1"/>
    <x v="1"/>
    <x v="1"/>
    <n v="0"/>
    <s v="DEBE"/>
    <s v=""/>
    <x v="4"/>
    <x v="1"/>
    <x v="2"/>
    <x v="11"/>
    <x v="11"/>
    <s v=""/>
    <x v="0"/>
    <x v="0"/>
    <n v="241"/>
    <x v="11"/>
    <s v=""/>
    <x v="4"/>
    <x v="1"/>
  </r>
  <r>
    <x v="0"/>
    <x v="0"/>
    <x v="13"/>
    <n v="0"/>
    <s v="Debe"/>
    <x v="1"/>
    <x v="1"/>
    <x v="1"/>
    <x v="1"/>
    <n v="0"/>
    <n v="0"/>
    <s v=""/>
    <x v="4"/>
    <x v="1"/>
    <x v="2"/>
    <x v="11"/>
    <x v="11"/>
    <s v=""/>
    <x v="0"/>
    <x v="0"/>
    <n v="242"/>
    <x v="11"/>
    <s v=""/>
    <x v="4"/>
    <x v="1"/>
  </r>
  <r>
    <x v="0"/>
    <x v="0"/>
    <x v="13"/>
    <s v="Operaciones del Ejercicio"/>
    <s v="Debe"/>
    <x v="1"/>
    <x v="1"/>
    <x v="1"/>
    <x v="1"/>
    <n v="0"/>
    <s v="Operaciones del Ejercicio"/>
    <s v=""/>
    <x v="4"/>
    <x v="1"/>
    <x v="2"/>
    <x v="11"/>
    <x v="11"/>
    <s v=""/>
    <x v="0"/>
    <x v="0"/>
    <n v="247"/>
    <x v="11"/>
    <s v=""/>
    <x v="4"/>
    <x v="1"/>
  </r>
  <r>
    <x v="0"/>
    <x v="0"/>
    <x v="13"/>
    <s v="Asiento Cuadrado"/>
    <s v="Debe"/>
    <x v="1"/>
    <x v="1"/>
    <x v="1"/>
    <x v="1"/>
    <n v="0"/>
    <s v="Asiento Cuadrado"/>
    <s v=""/>
    <x v="4"/>
    <x v="1"/>
    <x v="2"/>
    <x v="11"/>
    <x v="11"/>
    <s v=""/>
    <x v="0"/>
    <x v="0"/>
    <n v="248"/>
    <x v="11"/>
    <s v=""/>
    <x v="4"/>
    <x v="1"/>
  </r>
  <r>
    <x v="0"/>
    <x v="0"/>
    <x v="13"/>
    <n v="0"/>
    <s v="Debe"/>
    <x v="1"/>
    <x v="1"/>
    <x v="1"/>
    <x v="1"/>
    <n v="0"/>
    <n v="0"/>
    <s v=""/>
    <x v="4"/>
    <x v="1"/>
    <x v="2"/>
    <x v="11"/>
    <x v="11"/>
    <s v=""/>
    <x v="0"/>
    <x v="0"/>
    <n v="249"/>
    <x v="11"/>
    <s v=""/>
    <x v="4"/>
    <x v="1"/>
  </r>
  <r>
    <x v="0"/>
    <x v="0"/>
    <x v="13"/>
    <s v="DEBE"/>
    <s v="Debe"/>
    <x v="1"/>
    <x v="1"/>
    <x v="1"/>
    <x v="1"/>
    <n v="0"/>
    <s v="DEBE"/>
    <s v=""/>
    <x v="4"/>
    <x v="1"/>
    <x v="2"/>
    <x v="11"/>
    <x v="11"/>
    <s v=""/>
    <x v="0"/>
    <x v="0"/>
    <n v="252"/>
    <x v="11"/>
    <s v=""/>
    <x v="4"/>
    <x v="1"/>
  </r>
  <r>
    <x v="0"/>
    <x v="0"/>
    <x v="13"/>
    <n v="0"/>
    <s v="Debe"/>
    <x v="1"/>
    <x v="1"/>
    <x v="1"/>
    <x v="1"/>
    <n v="0"/>
    <n v="0"/>
    <s v=""/>
    <x v="4"/>
    <x v="1"/>
    <x v="2"/>
    <x v="11"/>
    <x v="11"/>
    <s v=""/>
    <x v="0"/>
    <x v="0"/>
    <n v="253"/>
    <x v="11"/>
    <s v=""/>
    <x v="4"/>
    <x v="1"/>
  </r>
  <r>
    <x v="0"/>
    <x v="0"/>
    <x v="13"/>
    <s v="Operaciones del Ejercicio"/>
    <s v="Debe"/>
    <x v="1"/>
    <x v="1"/>
    <x v="1"/>
    <x v="1"/>
    <n v="0"/>
    <s v="Operaciones del Ejercicio"/>
    <s v=""/>
    <x v="4"/>
    <x v="1"/>
    <x v="2"/>
    <x v="11"/>
    <x v="11"/>
    <s v=""/>
    <x v="0"/>
    <x v="0"/>
    <n v="256"/>
    <x v="11"/>
    <s v=""/>
    <x v="4"/>
    <x v="1"/>
  </r>
  <r>
    <x v="0"/>
    <x v="0"/>
    <x v="13"/>
    <s v="Asiento Cuadrado"/>
    <s v="Debe"/>
    <x v="1"/>
    <x v="1"/>
    <x v="1"/>
    <x v="1"/>
    <n v="0"/>
    <s v="Asiento Cuadrado"/>
    <s v=""/>
    <x v="4"/>
    <x v="1"/>
    <x v="2"/>
    <x v="11"/>
    <x v="11"/>
    <s v=""/>
    <x v="0"/>
    <x v="0"/>
    <n v="259"/>
    <x v="11"/>
    <s v=""/>
    <x v="4"/>
    <x v="1"/>
  </r>
  <r>
    <x v="0"/>
    <x v="0"/>
    <x v="13"/>
    <n v="0"/>
    <s v="Debe"/>
    <x v="1"/>
    <x v="1"/>
    <x v="1"/>
    <x v="1"/>
    <n v="0"/>
    <n v="0"/>
    <s v=""/>
    <x v="4"/>
    <x v="1"/>
    <x v="2"/>
    <x v="11"/>
    <x v="11"/>
    <s v=""/>
    <x v="0"/>
    <x v="0"/>
    <n v="260"/>
    <x v="11"/>
    <s v=""/>
    <x v="4"/>
    <x v="1"/>
  </r>
  <r>
    <x v="0"/>
    <x v="0"/>
    <x v="13"/>
    <s v="DEBE"/>
    <s v="Debe"/>
    <x v="1"/>
    <x v="1"/>
    <x v="1"/>
    <x v="1"/>
    <n v="0"/>
    <s v="DEBE"/>
    <s v=""/>
    <x v="4"/>
    <x v="1"/>
    <x v="2"/>
    <x v="11"/>
    <x v="11"/>
    <s v=""/>
    <x v="0"/>
    <x v="0"/>
    <n v="261"/>
    <x v="11"/>
    <s v=""/>
    <x v="4"/>
    <x v="1"/>
  </r>
  <r>
    <x v="0"/>
    <x v="0"/>
    <x v="13"/>
    <n v="0"/>
    <s v="Debe"/>
    <x v="1"/>
    <x v="1"/>
    <x v="1"/>
    <x v="1"/>
    <n v="0"/>
    <n v="0"/>
    <s v=""/>
    <x v="4"/>
    <x v="1"/>
    <x v="2"/>
    <x v="11"/>
    <x v="11"/>
    <s v=""/>
    <x v="0"/>
    <x v="0"/>
    <n v="262"/>
    <x v="11"/>
    <s v=""/>
    <x v="4"/>
    <x v="1"/>
  </r>
  <r>
    <x v="0"/>
    <x v="0"/>
    <x v="13"/>
    <s v="Operaciones del Ejercicio"/>
    <s v="Debe"/>
    <x v="1"/>
    <x v="1"/>
    <x v="1"/>
    <x v="1"/>
    <n v="0"/>
    <s v="Operaciones del Ejercicio"/>
    <s v=""/>
    <x v="4"/>
    <x v="1"/>
    <x v="2"/>
    <x v="11"/>
    <x v="11"/>
    <s v=""/>
    <x v="0"/>
    <x v="0"/>
    <n v="269"/>
    <x v="11"/>
    <s v=""/>
    <x v="4"/>
    <x v="1"/>
  </r>
  <r>
    <x v="0"/>
    <x v="0"/>
    <x v="13"/>
    <s v="Asiento Cuadrado"/>
    <s v="Debe"/>
    <x v="1"/>
    <x v="1"/>
    <x v="1"/>
    <x v="1"/>
    <n v="0"/>
    <s v="Asiento Cuadrado"/>
    <s v=""/>
    <x v="4"/>
    <x v="1"/>
    <x v="2"/>
    <x v="11"/>
    <x v="11"/>
    <s v=""/>
    <x v="0"/>
    <x v="0"/>
    <n v="270"/>
    <x v="11"/>
    <s v=""/>
    <x v="4"/>
    <x v="1"/>
  </r>
  <r>
    <x v="0"/>
    <x v="0"/>
    <x v="13"/>
    <n v="0"/>
    <s v="Debe"/>
    <x v="1"/>
    <x v="1"/>
    <x v="1"/>
    <x v="1"/>
    <n v="0"/>
    <n v="0"/>
    <s v=""/>
    <x v="4"/>
    <x v="1"/>
    <x v="2"/>
    <x v="11"/>
    <x v="11"/>
    <s v=""/>
    <x v="0"/>
    <x v="0"/>
    <n v="273"/>
    <x v="11"/>
    <s v=""/>
    <x v="4"/>
    <x v="1"/>
  </r>
  <r>
    <x v="0"/>
    <x v="0"/>
    <x v="13"/>
    <s v="DEBE"/>
    <s v="Debe"/>
    <x v="1"/>
    <x v="1"/>
    <x v="1"/>
    <x v="1"/>
    <n v="0"/>
    <s v="DEBE"/>
    <s v=""/>
    <x v="4"/>
    <x v="1"/>
    <x v="2"/>
    <x v="11"/>
    <x v="11"/>
    <s v=""/>
    <x v="0"/>
    <x v="0"/>
    <n v="274"/>
    <x v="11"/>
    <s v=""/>
    <x v="4"/>
    <x v="1"/>
  </r>
  <r>
    <x v="0"/>
    <x v="0"/>
    <x v="13"/>
    <n v="0"/>
    <s v="Debe"/>
    <x v="1"/>
    <x v="1"/>
    <x v="1"/>
    <x v="1"/>
    <n v="0"/>
    <n v="0"/>
    <s v=""/>
    <x v="4"/>
    <x v="1"/>
    <x v="2"/>
    <x v="11"/>
    <x v="11"/>
    <s v=""/>
    <x v="0"/>
    <x v="0"/>
    <n v="275"/>
    <x v="11"/>
    <s v=""/>
    <x v="4"/>
    <x v="1"/>
  </r>
  <r>
    <x v="0"/>
    <x v="0"/>
    <x v="13"/>
    <s v="Operaciones del Ejercicio"/>
    <s v="Debe"/>
    <x v="1"/>
    <x v="1"/>
    <x v="1"/>
    <x v="1"/>
    <n v="0"/>
    <s v="Operaciones del Ejercicio"/>
    <s v=""/>
    <x v="4"/>
    <x v="1"/>
    <x v="2"/>
    <x v="11"/>
    <x v="11"/>
    <s v=""/>
    <x v="0"/>
    <x v="0"/>
    <n v="280"/>
    <x v="11"/>
    <s v=""/>
    <x v="4"/>
    <x v="1"/>
  </r>
  <r>
    <x v="0"/>
    <x v="0"/>
    <x v="13"/>
    <s v="Asiento Cuadrado"/>
    <s v="Debe"/>
    <x v="1"/>
    <x v="1"/>
    <x v="1"/>
    <x v="1"/>
    <n v="0"/>
    <s v="Asiento Cuadrado"/>
    <s v=""/>
    <x v="4"/>
    <x v="1"/>
    <x v="2"/>
    <x v="11"/>
    <x v="11"/>
    <s v=""/>
    <x v="0"/>
    <x v="0"/>
    <n v="281"/>
    <x v="11"/>
    <s v=""/>
    <x v="4"/>
    <x v="1"/>
  </r>
  <r>
    <x v="0"/>
    <x v="0"/>
    <x v="13"/>
    <n v="0"/>
    <s v="Debe"/>
    <x v="1"/>
    <x v="1"/>
    <x v="1"/>
    <x v="1"/>
    <n v="0"/>
    <n v="0"/>
    <s v=""/>
    <x v="4"/>
    <x v="1"/>
    <x v="2"/>
    <x v="11"/>
    <x v="11"/>
    <s v=""/>
    <x v="0"/>
    <x v="0"/>
    <n v="282"/>
    <x v="11"/>
    <s v=""/>
    <x v="4"/>
    <x v="1"/>
  </r>
  <r>
    <x v="0"/>
    <x v="0"/>
    <x v="13"/>
    <s v="DEBE"/>
    <s v="Debe"/>
    <x v="1"/>
    <x v="1"/>
    <x v="1"/>
    <x v="1"/>
    <n v="0"/>
    <s v="DEBE"/>
    <s v=""/>
    <x v="4"/>
    <x v="1"/>
    <x v="2"/>
    <x v="11"/>
    <x v="11"/>
    <s v=""/>
    <x v="0"/>
    <x v="0"/>
    <n v="283"/>
    <x v="11"/>
    <s v=""/>
    <x v="4"/>
    <x v="1"/>
  </r>
  <r>
    <x v="0"/>
    <x v="0"/>
    <x v="13"/>
    <n v="0"/>
    <s v="Debe"/>
    <x v="1"/>
    <x v="1"/>
    <x v="1"/>
    <x v="1"/>
    <n v="0"/>
    <n v="0"/>
    <s v=""/>
    <x v="4"/>
    <x v="1"/>
    <x v="2"/>
    <x v="11"/>
    <x v="11"/>
    <s v=""/>
    <x v="0"/>
    <x v="0"/>
    <n v="284"/>
    <x v="11"/>
    <s v=""/>
    <x v="4"/>
    <x v="1"/>
  </r>
  <r>
    <x v="0"/>
    <x v="0"/>
    <x v="13"/>
    <s v="Operaciones del Ejercicio"/>
    <s v="Debe"/>
    <x v="1"/>
    <x v="1"/>
    <x v="1"/>
    <x v="1"/>
    <n v="0"/>
    <s v="Operaciones del Ejercicio"/>
    <s v=""/>
    <x v="4"/>
    <x v="1"/>
    <x v="2"/>
    <x v="11"/>
    <x v="11"/>
    <s v=""/>
    <x v="0"/>
    <x v="0"/>
    <n v="289"/>
    <x v="11"/>
    <s v=""/>
    <x v="4"/>
    <x v="1"/>
  </r>
  <r>
    <x v="0"/>
    <x v="0"/>
    <x v="13"/>
    <s v="Asiento Cuadrado"/>
    <s v="Debe"/>
    <x v="1"/>
    <x v="1"/>
    <x v="1"/>
    <x v="1"/>
    <n v="0"/>
    <s v="Asiento Cuadrado"/>
    <s v=""/>
    <x v="4"/>
    <x v="1"/>
    <x v="2"/>
    <x v="11"/>
    <x v="11"/>
    <s v=""/>
    <x v="0"/>
    <x v="0"/>
    <n v="290"/>
    <x v="11"/>
    <s v=""/>
    <x v="4"/>
    <x v="1"/>
  </r>
  <r>
    <x v="0"/>
    <x v="0"/>
    <x v="13"/>
    <n v="0"/>
    <s v="Debe"/>
    <x v="1"/>
    <x v="1"/>
    <x v="1"/>
    <x v="1"/>
    <n v="0"/>
    <n v="0"/>
    <s v=""/>
    <x v="4"/>
    <x v="1"/>
    <x v="2"/>
    <x v="11"/>
    <x v="11"/>
    <s v=""/>
    <x v="0"/>
    <x v="0"/>
    <n v="291"/>
    <x v="11"/>
    <s v=""/>
    <x v="4"/>
    <x v="1"/>
  </r>
  <r>
    <x v="0"/>
    <x v="0"/>
    <x v="13"/>
    <s v="DEBE"/>
    <s v="Debe"/>
    <x v="1"/>
    <x v="1"/>
    <x v="1"/>
    <x v="1"/>
    <n v="0"/>
    <s v="DEBE"/>
    <s v=""/>
    <x v="4"/>
    <x v="1"/>
    <x v="2"/>
    <x v="11"/>
    <x v="11"/>
    <s v=""/>
    <x v="0"/>
    <x v="0"/>
    <n v="294"/>
    <x v="11"/>
    <s v=""/>
    <x v="4"/>
    <x v="1"/>
  </r>
  <r>
    <x v="0"/>
    <x v="0"/>
    <x v="13"/>
    <n v="0"/>
    <s v="Debe"/>
    <x v="1"/>
    <x v="1"/>
    <x v="1"/>
    <x v="1"/>
    <n v="0"/>
    <n v="0"/>
    <s v=""/>
    <x v="4"/>
    <x v="1"/>
    <x v="2"/>
    <x v="11"/>
    <x v="11"/>
    <s v=""/>
    <x v="0"/>
    <x v="0"/>
    <n v="295"/>
    <x v="11"/>
    <s v=""/>
    <x v="4"/>
    <x v="1"/>
  </r>
  <r>
    <x v="0"/>
    <x v="0"/>
    <x v="13"/>
    <s v="Operaciones del Ejercicio"/>
    <s v="Debe"/>
    <x v="1"/>
    <x v="1"/>
    <x v="1"/>
    <x v="1"/>
    <n v="0"/>
    <s v="Operaciones del Ejercicio"/>
    <s v=""/>
    <x v="4"/>
    <x v="1"/>
    <x v="2"/>
    <x v="11"/>
    <x v="11"/>
    <s v=""/>
    <x v="0"/>
    <x v="0"/>
    <n v="298"/>
    <x v="11"/>
    <s v=""/>
    <x v="4"/>
    <x v="1"/>
  </r>
  <r>
    <x v="0"/>
    <x v="0"/>
    <x v="13"/>
    <s v="Asiento Cuadrado"/>
    <s v="Debe"/>
    <x v="1"/>
    <x v="1"/>
    <x v="1"/>
    <x v="1"/>
    <n v="0"/>
    <s v="Asiento Cuadrado"/>
    <s v=""/>
    <x v="4"/>
    <x v="1"/>
    <x v="2"/>
    <x v="11"/>
    <x v="11"/>
    <s v=""/>
    <x v="0"/>
    <x v="0"/>
    <n v="301"/>
    <x v="11"/>
    <s v=""/>
    <x v="4"/>
    <x v="1"/>
  </r>
  <r>
    <x v="0"/>
    <x v="0"/>
    <x v="13"/>
    <n v="0"/>
    <s v="Debe"/>
    <x v="1"/>
    <x v="1"/>
    <x v="1"/>
    <x v="1"/>
    <n v="0"/>
    <n v="0"/>
    <s v=""/>
    <x v="4"/>
    <x v="1"/>
    <x v="2"/>
    <x v="11"/>
    <x v="11"/>
    <s v=""/>
    <x v="0"/>
    <x v="0"/>
    <n v="302"/>
    <x v="11"/>
    <s v=""/>
    <x v="4"/>
    <x v="1"/>
  </r>
  <r>
    <x v="0"/>
    <x v="0"/>
    <x v="13"/>
    <s v="DEBE"/>
    <s v="Debe"/>
    <x v="1"/>
    <x v="1"/>
    <x v="1"/>
    <x v="1"/>
    <n v="0"/>
    <s v="DEBE"/>
    <s v=""/>
    <x v="4"/>
    <x v="1"/>
    <x v="2"/>
    <x v="11"/>
    <x v="11"/>
    <s v=""/>
    <x v="0"/>
    <x v="0"/>
    <n v="303"/>
    <x v="11"/>
    <s v=""/>
    <x v="4"/>
    <x v="1"/>
  </r>
  <r>
    <x v="0"/>
    <x v="0"/>
    <x v="13"/>
    <n v="0"/>
    <s v="Debe"/>
    <x v="1"/>
    <x v="1"/>
    <x v="1"/>
    <x v="1"/>
    <n v="0"/>
    <n v="0"/>
    <s v=""/>
    <x v="4"/>
    <x v="1"/>
    <x v="2"/>
    <x v="11"/>
    <x v="11"/>
    <s v=""/>
    <x v="0"/>
    <x v="0"/>
    <n v="304"/>
    <x v="11"/>
    <s v=""/>
    <x v="4"/>
    <x v="1"/>
  </r>
  <r>
    <x v="0"/>
    <x v="0"/>
    <x v="13"/>
    <s v="Operaciones del Ejercicio"/>
    <s v="Debe"/>
    <x v="1"/>
    <x v="1"/>
    <x v="1"/>
    <x v="1"/>
    <n v="0"/>
    <s v="Operaciones del Ejercicio"/>
    <s v=""/>
    <x v="4"/>
    <x v="1"/>
    <x v="2"/>
    <x v="11"/>
    <x v="11"/>
    <s v=""/>
    <x v="0"/>
    <x v="0"/>
    <n v="309"/>
    <x v="11"/>
    <s v=""/>
    <x v="4"/>
    <x v="1"/>
  </r>
  <r>
    <x v="0"/>
    <x v="0"/>
    <x v="13"/>
    <s v="Asiento Cuadrado"/>
    <s v="Debe"/>
    <x v="1"/>
    <x v="1"/>
    <x v="1"/>
    <x v="1"/>
    <n v="0"/>
    <s v="Asiento Cuadrado"/>
    <s v=""/>
    <x v="4"/>
    <x v="1"/>
    <x v="2"/>
    <x v="11"/>
    <x v="11"/>
    <s v=""/>
    <x v="0"/>
    <x v="0"/>
    <n v="310"/>
    <x v="11"/>
    <s v=""/>
    <x v="4"/>
    <x v="1"/>
  </r>
  <r>
    <x v="0"/>
    <x v="0"/>
    <x v="13"/>
    <n v="0"/>
    <s v="Debe"/>
    <x v="1"/>
    <x v="1"/>
    <x v="1"/>
    <x v="1"/>
    <n v="0"/>
    <n v="0"/>
    <s v=""/>
    <x v="4"/>
    <x v="1"/>
    <x v="2"/>
    <x v="11"/>
    <x v="11"/>
    <s v=""/>
    <x v="0"/>
    <x v="0"/>
    <n v="311"/>
    <x v="11"/>
    <s v=""/>
    <x v="4"/>
    <x v="1"/>
  </r>
  <r>
    <x v="0"/>
    <x v="0"/>
    <x v="13"/>
    <s v="DEBE"/>
    <s v="Debe"/>
    <x v="1"/>
    <x v="1"/>
    <x v="1"/>
    <x v="1"/>
    <n v="0"/>
    <s v="DEBE"/>
    <s v=""/>
    <x v="4"/>
    <x v="1"/>
    <x v="2"/>
    <x v="11"/>
    <x v="11"/>
    <s v=""/>
    <x v="0"/>
    <x v="0"/>
    <n v="312"/>
    <x v="11"/>
    <s v=""/>
    <x v="4"/>
    <x v="1"/>
  </r>
  <r>
    <x v="0"/>
    <x v="0"/>
    <x v="13"/>
    <n v="0"/>
    <s v="Debe"/>
    <x v="1"/>
    <x v="1"/>
    <x v="1"/>
    <x v="1"/>
    <n v="0"/>
    <n v="0"/>
    <s v=""/>
    <x v="4"/>
    <x v="1"/>
    <x v="2"/>
    <x v="11"/>
    <x v="11"/>
    <s v=""/>
    <x v="0"/>
    <x v="0"/>
    <n v="315"/>
    <x v="11"/>
    <s v=""/>
    <x v="4"/>
    <x v="1"/>
  </r>
  <r>
    <x v="0"/>
    <x v="0"/>
    <x v="13"/>
    <s v="Operaciones del Ejercicio"/>
    <s v="Debe"/>
    <x v="1"/>
    <x v="1"/>
    <x v="1"/>
    <x v="1"/>
    <n v="0"/>
    <s v="Operaciones del Ejercicio"/>
    <s v=""/>
    <x v="4"/>
    <x v="1"/>
    <x v="2"/>
    <x v="11"/>
    <x v="11"/>
    <s v=""/>
    <x v="0"/>
    <x v="0"/>
    <n v="318"/>
    <x v="11"/>
    <s v=""/>
    <x v="4"/>
    <x v="1"/>
  </r>
  <r>
    <x v="0"/>
    <x v="0"/>
    <x v="13"/>
    <s v="Asiento Cuadrado"/>
    <s v="Debe"/>
    <x v="1"/>
    <x v="1"/>
    <x v="1"/>
    <x v="1"/>
    <n v="0"/>
    <s v="Asiento Cuadrado"/>
    <s v=""/>
    <x v="4"/>
    <x v="1"/>
    <x v="2"/>
    <x v="11"/>
    <x v="11"/>
    <s v=""/>
    <x v="0"/>
    <x v="0"/>
    <n v="319"/>
    <x v="11"/>
    <s v=""/>
    <x v="4"/>
    <x v="1"/>
  </r>
  <r>
    <x v="0"/>
    <x v="0"/>
    <x v="13"/>
    <n v="0"/>
    <s v="Debe"/>
    <x v="1"/>
    <x v="1"/>
    <x v="1"/>
    <x v="1"/>
    <n v="0"/>
    <n v="0"/>
    <s v=""/>
    <x v="4"/>
    <x v="1"/>
    <x v="2"/>
    <x v="11"/>
    <x v="11"/>
    <s v=""/>
    <x v="0"/>
    <x v="0"/>
    <n v="323"/>
    <x v="11"/>
    <s v=""/>
    <x v="4"/>
    <x v="1"/>
  </r>
  <r>
    <x v="0"/>
    <x v="0"/>
    <x v="13"/>
    <s v="DEBE"/>
    <s v="Debe"/>
    <x v="1"/>
    <x v="1"/>
    <x v="1"/>
    <x v="1"/>
    <n v="0"/>
    <s v="DEBE"/>
    <s v=""/>
    <x v="4"/>
    <x v="1"/>
    <x v="2"/>
    <x v="11"/>
    <x v="11"/>
    <s v=""/>
    <x v="0"/>
    <x v="0"/>
    <n v="324"/>
    <x v="11"/>
    <s v=""/>
    <x v="4"/>
    <x v="1"/>
  </r>
  <r>
    <x v="0"/>
    <x v="0"/>
    <x v="13"/>
    <n v="0"/>
    <s v="Debe"/>
    <x v="1"/>
    <x v="1"/>
    <x v="1"/>
    <x v="1"/>
    <n v="0"/>
    <n v="0"/>
    <s v=""/>
    <x v="4"/>
    <x v="1"/>
    <x v="2"/>
    <x v="11"/>
    <x v="11"/>
    <s v=""/>
    <x v="0"/>
    <x v="0"/>
    <n v="325"/>
    <x v="11"/>
    <s v=""/>
    <x v="4"/>
    <x v="1"/>
  </r>
  <r>
    <x v="0"/>
    <x v="0"/>
    <x v="13"/>
    <s v="Operaciones del Ejercicio"/>
    <s v="Debe"/>
    <x v="1"/>
    <x v="1"/>
    <x v="1"/>
    <x v="1"/>
    <n v="0"/>
    <s v="Operaciones del Ejercicio"/>
    <s v=""/>
    <x v="4"/>
    <x v="1"/>
    <x v="2"/>
    <x v="11"/>
    <x v="11"/>
    <s v=""/>
    <x v="0"/>
    <x v="0"/>
    <n v="330"/>
    <x v="11"/>
    <s v=""/>
    <x v="4"/>
    <x v="1"/>
  </r>
  <r>
    <x v="0"/>
    <x v="0"/>
    <x v="13"/>
    <s v="Asiento Cuadrado"/>
    <s v="Debe"/>
    <x v="1"/>
    <x v="1"/>
    <x v="1"/>
    <x v="1"/>
    <n v="0"/>
    <s v="Asiento Cuadrado"/>
    <s v=""/>
    <x v="4"/>
    <x v="1"/>
    <x v="2"/>
    <x v="11"/>
    <x v="11"/>
    <s v=""/>
    <x v="0"/>
    <x v="0"/>
    <n v="331"/>
    <x v="11"/>
    <s v=""/>
    <x v="4"/>
    <x v="1"/>
  </r>
  <r>
    <x v="0"/>
    <x v="0"/>
    <x v="13"/>
    <n v="0"/>
    <s v="Debe"/>
    <x v="1"/>
    <x v="1"/>
    <x v="1"/>
    <x v="1"/>
    <n v="0"/>
    <n v="0"/>
    <s v=""/>
    <x v="4"/>
    <x v="1"/>
    <x v="2"/>
    <x v="11"/>
    <x v="11"/>
    <s v=""/>
    <x v="0"/>
    <x v="0"/>
    <n v="332"/>
    <x v="11"/>
    <s v=""/>
    <x v="4"/>
    <x v="1"/>
  </r>
  <r>
    <x v="0"/>
    <x v="0"/>
    <x v="13"/>
    <s v="DEBE"/>
    <s v="Debe"/>
    <x v="1"/>
    <x v="1"/>
    <x v="1"/>
    <x v="1"/>
    <n v="0"/>
    <s v="DEBE"/>
    <s v=""/>
    <x v="4"/>
    <x v="1"/>
    <x v="2"/>
    <x v="11"/>
    <x v="11"/>
    <s v=""/>
    <x v="0"/>
    <x v="0"/>
    <n v="333"/>
    <x v="11"/>
    <s v=""/>
    <x v="4"/>
    <x v="1"/>
  </r>
  <r>
    <x v="0"/>
    <x v="0"/>
    <x v="13"/>
    <n v="0"/>
    <s v="Debe"/>
    <x v="1"/>
    <x v="1"/>
    <x v="1"/>
    <x v="1"/>
    <n v="0"/>
    <n v="0"/>
    <s v=""/>
    <x v="4"/>
    <x v="1"/>
    <x v="2"/>
    <x v="11"/>
    <x v="11"/>
    <s v=""/>
    <x v="0"/>
    <x v="0"/>
    <n v="334"/>
    <x v="11"/>
    <s v=""/>
    <x v="4"/>
    <x v="1"/>
  </r>
  <r>
    <x v="0"/>
    <x v="0"/>
    <x v="13"/>
    <s v="Operaciones del Ejercicio"/>
    <s v="Debe"/>
    <x v="1"/>
    <x v="1"/>
    <x v="1"/>
    <x v="1"/>
    <n v="0"/>
    <s v="Operaciones del Ejercicio"/>
    <s v=""/>
    <x v="4"/>
    <x v="1"/>
    <x v="2"/>
    <x v="11"/>
    <x v="11"/>
    <s v=""/>
    <x v="0"/>
    <x v="0"/>
    <n v="339"/>
    <x v="11"/>
    <s v=""/>
    <x v="4"/>
    <x v="1"/>
  </r>
  <r>
    <x v="0"/>
    <x v="0"/>
    <x v="13"/>
    <s v="Asiento Cuadrado"/>
    <s v="Debe"/>
    <x v="1"/>
    <x v="1"/>
    <x v="1"/>
    <x v="1"/>
    <n v="0"/>
    <s v="Asiento Cuadrado"/>
    <s v=""/>
    <x v="4"/>
    <x v="1"/>
    <x v="2"/>
    <x v="11"/>
    <x v="11"/>
    <s v=""/>
    <x v="0"/>
    <x v="0"/>
    <n v="340"/>
    <x v="11"/>
    <s v=""/>
    <x v="4"/>
    <x v="1"/>
  </r>
  <r>
    <x v="0"/>
    <x v="0"/>
    <x v="13"/>
    <n v="0"/>
    <s v="Debe"/>
    <x v="1"/>
    <x v="1"/>
    <x v="1"/>
    <x v="1"/>
    <n v="0"/>
    <n v="0"/>
    <s v=""/>
    <x v="4"/>
    <x v="1"/>
    <x v="2"/>
    <x v="11"/>
    <x v="11"/>
    <s v=""/>
    <x v="0"/>
    <x v="0"/>
    <n v="341"/>
    <x v="11"/>
    <s v=""/>
    <x v="4"/>
    <x v="1"/>
  </r>
  <r>
    <x v="0"/>
    <x v="0"/>
    <x v="13"/>
    <s v="DEBE"/>
    <s v="Debe"/>
    <x v="1"/>
    <x v="1"/>
    <x v="1"/>
    <x v="1"/>
    <n v="0"/>
    <s v="DEBE"/>
    <s v=""/>
    <x v="4"/>
    <x v="1"/>
    <x v="2"/>
    <x v="11"/>
    <x v="11"/>
    <s v=""/>
    <x v="0"/>
    <x v="0"/>
    <n v="345"/>
    <x v="11"/>
    <s v=""/>
    <x v="4"/>
    <x v="1"/>
  </r>
  <r>
    <x v="0"/>
    <x v="0"/>
    <x v="13"/>
    <n v="0"/>
    <s v="Debe"/>
    <x v="1"/>
    <x v="1"/>
    <x v="1"/>
    <x v="1"/>
    <n v="0"/>
    <n v="0"/>
    <s v=""/>
    <x v="4"/>
    <x v="1"/>
    <x v="2"/>
    <x v="11"/>
    <x v="11"/>
    <s v=""/>
    <x v="0"/>
    <x v="0"/>
    <n v="346"/>
    <x v="11"/>
    <s v=""/>
    <x v="4"/>
    <x v="1"/>
  </r>
  <r>
    <x v="0"/>
    <x v="0"/>
    <x v="13"/>
    <s v="Operaciones del Ejercicio"/>
    <s v="Debe"/>
    <x v="1"/>
    <x v="1"/>
    <x v="1"/>
    <x v="1"/>
    <n v="0"/>
    <s v="Operaciones del Ejercicio"/>
    <s v=""/>
    <x v="4"/>
    <x v="1"/>
    <x v="2"/>
    <x v="11"/>
    <x v="11"/>
    <s v=""/>
    <x v="0"/>
    <x v="0"/>
    <n v="349"/>
    <x v="11"/>
    <s v=""/>
    <x v="4"/>
    <x v="1"/>
  </r>
  <r>
    <x v="0"/>
    <x v="0"/>
    <x v="13"/>
    <s v="Asiento Cuadrado"/>
    <s v="Debe"/>
    <x v="1"/>
    <x v="1"/>
    <x v="1"/>
    <x v="1"/>
    <n v="0"/>
    <s v="Asiento Cuadrado"/>
    <s v=""/>
    <x v="4"/>
    <x v="1"/>
    <x v="2"/>
    <x v="11"/>
    <x v="11"/>
    <s v=""/>
    <x v="0"/>
    <x v="0"/>
    <n v="352"/>
    <x v="11"/>
    <s v=""/>
    <x v="4"/>
    <x v="1"/>
  </r>
  <r>
    <x v="0"/>
    <x v="0"/>
    <x v="13"/>
    <n v="0"/>
    <s v="Debe"/>
    <x v="1"/>
    <x v="1"/>
    <x v="1"/>
    <x v="1"/>
    <n v="0"/>
    <n v="0"/>
    <s v=""/>
    <x v="4"/>
    <x v="1"/>
    <x v="2"/>
    <x v="11"/>
    <x v="11"/>
    <s v=""/>
    <x v="0"/>
    <x v="0"/>
    <n v="353"/>
    <x v="11"/>
    <s v=""/>
    <x v="4"/>
    <x v="1"/>
  </r>
  <r>
    <x v="0"/>
    <x v="0"/>
    <x v="13"/>
    <s v="DEBE"/>
    <s v="Debe"/>
    <x v="1"/>
    <x v="1"/>
    <x v="1"/>
    <x v="1"/>
    <n v="0"/>
    <s v="DEBE"/>
    <s v=""/>
    <x v="4"/>
    <x v="1"/>
    <x v="2"/>
    <x v="11"/>
    <x v="11"/>
    <s v=""/>
    <x v="0"/>
    <x v="0"/>
    <n v="354"/>
    <x v="11"/>
    <s v=""/>
    <x v="4"/>
    <x v="1"/>
  </r>
  <r>
    <x v="0"/>
    <x v="0"/>
    <x v="13"/>
    <n v="0"/>
    <s v="Debe"/>
    <x v="1"/>
    <x v="1"/>
    <x v="1"/>
    <x v="1"/>
    <n v="0"/>
    <n v="0"/>
    <s v=""/>
    <x v="4"/>
    <x v="1"/>
    <x v="2"/>
    <x v="11"/>
    <x v="11"/>
    <s v=""/>
    <x v="0"/>
    <x v="0"/>
    <n v="355"/>
    <x v="11"/>
    <s v=""/>
    <x v="4"/>
    <x v="1"/>
  </r>
  <r>
    <x v="0"/>
    <x v="0"/>
    <x v="13"/>
    <s v="Operaciones del Ejercicio"/>
    <s v="Debe"/>
    <x v="1"/>
    <x v="1"/>
    <x v="1"/>
    <x v="1"/>
    <n v="0"/>
    <s v="Operaciones del Ejercicio"/>
    <s v=""/>
    <x v="4"/>
    <x v="1"/>
    <x v="2"/>
    <x v="11"/>
    <x v="11"/>
    <s v=""/>
    <x v="0"/>
    <x v="0"/>
    <n v="363"/>
    <x v="11"/>
    <s v=""/>
    <x v="4"/>
    <x v="1"/>
  </r>
  <r>
    <x v="0"/>
    <x v="0"/>
    <x v="13"/>
    <s v="Asiento Cuadrado"/>
    <s v="Debe"/>
    <x v="1"/>
    <x v="1"/>
    <x v="1"/>
    <x v="1"/>
    <n v="0"/>
    <s v="Asiento Cuadrado"/>
    <s v=""/>
    <x v="4"/>
    <x v="1"/>
    <x v="2"/>
    <x v="11"/>
    <x v="11"/>
    <s v=""/>
    <x v="0"/>
    <x v="0"/>
    <n v="364"/>
    <x v="11"/>
    <s v=""/>
    <x v="4"/>
    <x v="1"/>
  </r>
  <r>
    <x v="0"/>
    <x v="0"/>
    <x v="13"/>
    <n v="0"/>
    <s v="Debe"/>
    <x v="1"/>
    <x v="1"/>
    <x v="1"/>
    <x v="1"/>
    <n v="0"/>
    <n v="0"/>
    <s v=""/>
    <x v="4"/>
    <x v="1"/>
    <x v="2"/>
    <x v="11"/>
    <x v="11"/>
    <s v=""/>
    <x v="0"/>
    <x v="0"/>
    <n v="365"/>
    <x v="11"/>
    <s v=""/>
    <x v="4"/>
    <x v="1"/>
  </r>
  <r>
    <x v="0"/>
    <x v="0"/>
    <x v="13"/>
    <s v="DEBE"/>
    <s v="Debe"/>
    <x v="1"/>
    <x v="1"/>
    <x v="1"/>
    <x v="1"/>
    <n v="0"/>
    <s v="DEBE"/>
    <s v=""/>
    <x v="4"/>
    <x v="1"/>
    <x v="2"/>
    <x v="11"/>
    <x v="11"/>
    <s v=""/>
    <x v="0"/>
    <x v="0"/>
    <n v="366"/>
    <x v="11"/>
    <s v=""/>
    <x v="4"/>
    <x v="1"/>
  </r>
  <r>
    <x v="0"/>
    <x v="0"/>
    <x v="13"/>
    <n v="0"/>
    <s v="Debe"/>
    <x v="1"/>
    <x v="1"/>
    <x v="1"/>
    <x v="1"/>
    <n v="0"/>
    <n v="0"/>
    <s v=""/>
    <x v="4"/>
    <x v="1"/>
    <x v="2"/>
    <x v="11"/>
    <x v="11"/>
    <s v=""/>
    <x v="0"/>
    <x v="0"/>
    <n v="369"/>
    <x v="11"/>
    <s v=""/>
    <x v="4"/>
    <x v="1"/>
  </r>
  <r>
    <x v="0"/>
    <x v="0"/>
    <x v="13"/>
    <s v="Operaciones del Ejercicio"/>
    <s v="Debe"/>
    <x v="1"/>
    <x v="1"/>
    <x v="1"/>
    <x v="1"/>
    <n v="0"/>
    <s v="Operaciones del Ejercicio"/>
    <s v=""/>
    <x v="4"/>
    <x v="1"/>
    <x v="2"/>
    <x v="11"/>
    <x v="11"/>
    <s v=""/>
    <x v="0"/>
    <x v="0"/>
    <n v="372"/>
    <x v="11"/>
    <s v=""/>
    <x v="4"/>
    <x v="1"/>
  </r>
  <r>
    <x v="0"/>
    <x v="0"/>
    <x v="13"/>
    <s v="Asiento Cuadrado"/>
    <s v="Debe"/>
    <x v="1"/>
    <x v="1"/>
    <x v="1"/>
    <x v="1"/>
    <n v="0"/>
    <s v="Asiento Cuadrado"/>
    <s v=""/>
    <x v="4"/>
    <x v="1"/>
    <x v="2"/>
    <x v="11"/>
    <x v="11"/>
    <s v=""/>
    <x v="0"/>
    <x v="0"/>
    <n v="373"/>
    <x v="11"/>
    <s v=""/>
    <x v="4"/>
    <x v="1"/>
  </r>
  <r>
    <x v="0"/>
    <x v="0"/>
    <x v="13"/>
    <n v="0"/>
    <s v="Debe"/>
    <x v="1"/>
    <x v="1"/>
    <x v="1"/>
    <x v="1"/>
    <n v="0"/>
    <n v="0"/>
    <s v=""/>
    <x v="4"/>
    <x v="1"/>
    <x v="2"/>
    <x v="11"/>
    <x v="11"/>
    <s v=""/>
    <x v="0"/>
    <x v="0"/>
    <n v="376"/>
    <x v="11"/>
    <s v=""/>
    <x v="4"/>
    <x v="1"/>
  </r>
  <r>
    <x v="0"/>
    <x v="0"/>
    <x v="13"/>
    <s v="DEBE"/>
    <s v="Debe"/>
    <x v="1"/>
    <x v="1"/>
    <x v="1"/>
    <x v="1"/>
    <n v="0"/>
    <s v="DEBE"/>
    <s v=""/>
    <x v="4"/>
    <x v="1"/>
    <x v="2"/>
    <x v="11"/>
    <x v="11"/>
    <s v=""/>
    <x v="0"/>
    <x v="0"/>
    <n v="377"/>
    <x v="11"/>
    <s v=""/>
    <x v="4"/>
    <x v="1"/>
  </r>
  <r>
    <x v="0"/>
    <x v="0"/>
    <x v="13"/>
    <n v="0"/>
    <s v="Debe"/>
    <x v="1"/>
    <x v="1"/>
    <x v="1"/>
    <x v="1"/>
    <n v="0"/>
    <n v="0"/>
    <s v=""/>
    <x v="4"/>
    <x v="1"/>
    <x v="2"/>
    <x v="11"/>
    <x v="11"/>
    <s v=""/>
    <x v="0"/>
    <x v="0"/>
    <n v="378"/>
    <x v="11"/>
    <s v=""/>
    <x v="4"/>
    <x v="1"/>
  </r>
  <r>
    <x v="0"/>
    <x v="0"/>
    <x v="13"/>
    <s v="Operaciones del Ejercicio"/>
    <s v="Debe"/>
    <x v="1"/>
    <x v="1"/>
    <x v="1"/>
    <x v="1"/>
    <n v="0"/>
    <s v="Operaciones del Ejercicio"/>
    <s v=""/>
    <x v="4"/>
    <x v="1"/>
    <x v="2"/>
    <x v="11"/>
    <x v="11"/>
    <s v=""/>
    <x v="0"/>
    <x v="0"/>
    <n v="383"/>
    <x v="11"/>
    <s v=""/>
    <x v="4"/>
    <x v="1"/>
  </r>
  <r>
    <x v="0"/>
    <x v="0"/>
    <x v="13"/>
    <s v="Asiento Cuadrado"/>
    <s v="Debe"/>
    <x v="1"/>
    <x v="1"/>
    <x v="1"/>
    <x v="1"/>
    <n v="0"/>
    <s v="Asiento Cuadrado"/>
    <s v=""/>
    <x v="4"/>
    <x v="1"/>
    <x v="2"/>
    <x v="11"/>
    <x v="11"/>
    <s v=""/>
    <x v="0"/>
    <x v="0"/>
    <n v="384"/>
    <x v="11"/>
    <s v=""/>
    <x v="4"/>
    <x v="1"/>
  </r>
  <r>
    <x v="0"/>
    <x v="0"/>
    <x v="13"/>
    <n v="0"/>
    <s v="Debe"/>
    <x v="1"/>
    <x v="1"/>
    <x v="1"/>
    <x v="1"/>
    <n v="0"/>
    <n v="0"/>
    <s v=""/>
    <x v="4"/>
    <x v="1"/>
    <x v="2"/>
    <x v="11"/>
    <x v="11"/>
    <s v=""/>
    <x v="0"/>
    <x v="0"/>
    <n v="385"/>
    <x v="11"/>
    <s v=""/>
    <x v="4"/>
    <x v="1"/>
  </r>
  <r>
    <x v="0"/>
    <x v="0"/>
    <x v="13"/>
    <s v="DEBE"/>
    <s v="Debe"/>
    <x v="1"/>
    <x v="1"/>
    <x v="1"/>
    <x v="1"/>
    <n v="0"/>
    <s v="DEBE"/>
    <s v=""/>
    <x v="4"/>
    <x v="1"/>
    <x v="2"/>
    <x v="11"/>
    <x v="11"/>
    <s v=""/>
    <x v="0"/>
    <x v="0"/>
    <n v="386"/>
    <x v="11"/>
    <s v=""/>
    <x v="4"/>
    <x v="1"/>
  </r>
  <r>
    <x v="0"/>
    <x v="0"/>
    <x v="13"/>
    <n v="0"/>
    <s v="Debe"/>
    <x v="1"/>
    <x v="1"/>
    <x v="1"/>
    <x v="1"/>
    <n v="0"/>
    <n v="0"/>
    <s v=""/>
    <x v="4"/>
    <x v="1"/>
    <x v="2"/>
    <x v="11"/>
    <x v="11"/>
    <s v=""/>
    <x v="0"/>
    <x v="0"/>
    <n v="387"/>
    <x v="11"/>
    <s v=""/>
    <x v="4"/>
    <x v="1"/>
  </r>
  <r>
    <x v="0"/>
    <x v="0"/>
    <x v="13"/>
    <s v="Operaciones del Ejercicio"/>
    <s v="Debe"/>
    <x v="1"/>
    <x v="1"/>
    <x v="1"/>
    <x v="1"/>
    <n v="0"/>
    <s v="Operaciones del Ejercicio"/>
    <s v=""/>
    <x v="4"/>
    <x v="1"/>
    <x v="2"/>
    <x v="11"/>
    <x v="11"/>
    <s v=""/>
    <x v="0"/>
    <x v="0"/>
    <n v="392"/>
    <x v="11"/>
    <s v=""/>
    <x v="4"/>
    <x v="1"/>
  </r>
  <r>
    <x v="0"/>
    <x v="0"/>
    <x v="13"/>
    <s v="Asiento Cuadrado"/>
    <s v="Debe"/>
    <x v="1"/>
    <x v="1"/>
    <x v="1"/>
    <x v="1"/>
    <n v="0"/>
    <s v="Asiento Cuadrado"/>
    <s v=""/>
    <x v="4"/>
    <x v="1"/>
    <x v="2"/>
    <x v="11"/>
    <x v="11"/>
    <s v=""/>
    <x v="0"/>
    <x v="0"/>
    <n v="393"/>
    <x v="11"/>
    <s v=""/>
    <x v="4"/>
    <x v="1"/>
  </r>
  <r>
    <x v="0"/>
    <x v="0"/>
    <x v="13"/>
    <n v="0"/>
    <s v="Debe"/>
    <x v="1"/>
    <x v="1"/>
    <x v="1"/>
    <x v="1"/>
    <n v="0"/>
    <n v="0"/>
    <s v=""/>
    <x v="4"/>
    <x v="1"/>
    <x v="2"/>
    <x v="11"/>
    <x v="11"/>
    <s v=""/>
    <x v="0"/>
    <x v="0"/>
    <n v="394"/>
    <x v="11"/>
    <s v=""/>
    <x v="4"/>
    <x v="1"/>
  </r>
  <r>
    <x v="0"/>
    <x v="0"/>
    <x v="13"/>
    <s v="DEBE"/>
    <s v="Debe"/>
    <x v="1"/>
    <x v="1"/>
    <x v="1"/>
    <x v="1"/>
    <n v="0"/>
    <s v="DEBE"/>
    <s v=""/>
    <x v="4"/>
    <x v="1"/>
    <x v="2"/>
    <x v="11"/>
    <x v="11"/>
    <s v=""/>
    <x v="0"/>
    <x v="0"/>
    <n v="397"/>
    <x v="11"/>
    <s v=""/>
    <x v="4"/>
    <x v="1"/>
  </r>
  <r>
    <x v="0"/>
    <x v="0"/>
    <x v="13"/>
    <n v="0"/>
    <s v="Debe"/>
    <x v="1"/>
    <x v="1"/>
    <x v="1"/>
    <x v="1"/>
    <n v="0"/>
    <n v="0"/>
    <s v=""/>
    <x v="4"/>
    <x v="1"/>
    <x v="2"/>
    <x v="11"/>
    <x v="11"/>
    <s v=""/>
    <x v="0"/>
    <x v="0"/>
    <n v="398"/>
    <x v="11"/>
    <s v=""/>
    <x v="4"/>
    <x v="1"/>
  </r>
  <r>
    <x v="0"/>
    <x v="0"/>
    <x v="13"/>
    <s v="Operaciones del Ejercicio"/>
    <s v="Debe"/>
    <x v="1"/>
    <x v="1"/>
    <x v="1"/>
    <x v="1"/>
    <n v="0"/>
    <s v="Operaciones del Ejercicio"/>
    <s v=""/>
    <x v="4"/>
    <x v="1"/>
    <x v="2"/>
    <x v="11"/>
    <x v="11"/>
    <s v=""/>
    <x v="0"/>
    <x v="0"/>
    <n v="401"/>
    <x v="11"/>
    <s v=""/>
    <x v="4"/>
    <x v="1"/>
  </r>
  <r>
    <x v="0"/>
    <x v="0"/>
    <x v="13"/>
    <s v="Asiento Cuadrado"/>
    <s v="Debe"/>
    <x v="1"/>
    <x v="1"/>
    <x v="1"/>
    <x v="1"/>
    <n v="0"/>
    <s v="Asiento Cuadrado"/>
    <s v=""/>
    <x v="4"/>
    <x v="1"/>
    <x v="2"/>
    <x v="11"/>
    <x v="11"/>
    <s v=""/>
    <x v="0"/>
    <x v="0"/>
    <n v="404"/>
    <x v="11"/>
    <s v=""/>
    <x v="4"/>
    <x v="1"/>
  </r>
  <r>
    <x v="0"/>
    <x v="0"/>
    <x v="13"/>
    <n v="0"/>
    <s v="Debe"/>
    <x v="1"/>
    <x v="1"/>
    <x v="1"/>
    <x v="1"/>
    <n v="0"/>
    <n v="0"/>
    <s v=""/>
    <x v="4"/>
    <x v="1"/>
    <x v="2"/>
    <x v="11"/>
    <x v="11"/>
    <s v=""/>
    <x v="0"/>
    <x v="0"/>
    <n v="405"/>
    <x v="11"/>
    <s v=""/>
    <x v="4"/>
    <x v="1"/>
  </r>
  <r>
    <x v="0"/>
    <x v="0"/>
    <x v="13"/>
    <s v="DEBE"/>
    <s v="Debe"/>
    <x v="1"/>
    <x v="1"/>
    <x v="1"/>
    <x v="1"/>
    <n v="0"/>
    <s v="DEBE"/>
    <s v=""/>
    <x v="4"/>
    <x v="1"/>
    <x v="2"/>
    <x v="11"/>
    <x v="11"/>
    <s v=""/>
    <x v="0"/>
    <x v="0"/>
    <n v="406"/>
    <x v="11"/>
    <s v=""/>
    <x v="4"/>
    <x v="1"/>
  </r>
  <r>
    <x v="0"/>
    <x v="0"/>
    <x v="13"/>
    <n v="0"/>
    <s v="Debe"/>
    <x v="1"/>
    <x v="1"/>
    <x v="1"/>
    <x v="1"/>
    <n v="0"/>
    <n v="0"/>
    <s v=""/>
    <x v="4"/>
    <x v="1"/>
    <x v="2"/>
    <x v="11"/>
    <x v="11"/>
    <s v=""/>
    <x v="0"/>
    <x v="0"/>
    <n v="407"/>
    <x v="11"/>
    <s v=""/>
    <x v="4"/>
    <x v="1"/>
  </r>
  <r>
    <x v="0"/>
    <x v="0"/>
    <x v="13"/>
    <s v="Operaciones del Ejercicio"/>
    <s v="Debe"/>
    <x v="1"/>
    <x v="1"/>
    <x v="1"/>
    <x v="1"/>
    <n v="0"/>
    <s v="Operaciones del Ejercicio"/>
    <s v=""/>
    <x v="4"/>
    <x v="1"/>
    <x v="2"/>
    <x v="11"/>
    <x v="11"/>
    <s v=""/>
    <x v="0"/>
    <x v="0"/>
    <n v="412"/>
    <x v="11"/>
    <s v=""/>
    <x v="4"/>
    <x v="1"/>
  </r>
  <r>
    <x v="0"/>
    <x v="0"/>
    <x v="13"/>
    <s v="Asiento Cuadrado"/>
    <s v="Debe"/>
    <x v="1"/>
    <x v="1"/>
    <x v="1"/>
    <x v="1"/>
    <n v="0"/>
    <s v="Asiento Cuadrado"/>
    <s v=""/>
    <x v="4"/>
    <x v="1"/>
    <x v="2"/>
    <x v="11"/>
    <x v="11"/>
    <s v=""/>
    <x v="0"/>
    <x v="0"/>
    <n v="413"/>
    <x v="11"/>
    <s v=""/>
    <x v="4"/>
    <x v="1"/>
  </r>
  <r>
    <x v="0"/>
    <x v="0"/>
    <x v="13"/>
    <n v="0"/>
    <s v="Debe"/>
    <x v="1"/>
    <x v="1"/>
    <x v="1"/>
    <x v="1"/>
    <n v="0"/>
    <n v="0"/>
    <s v=""/>
    <x v="4"/>
    <x v="1"/>
    <x v="2"/>
    <x v="11"/>
    <x v="11"/>
    <s v=""/>
    <x v="0"/>
    <x v="0"/>
    <n v="414"/>
    <x v="11"/>
    <s v=""/>
    <x v="4"/>
    <x v="1"/>
  </r>
  <r>
    <x v="0"/>
    <x v="0"/>
    <x v="13"/>
    <s v="DEBE"/>
    <s v="Debe"/>
    <x v="1"/>
    <x v="1"/>
    <x v="1"/>
    <x v="1"/>
    <n v="0"/>
    <s v="DEBE"/>
    <s v=""/>
    <x v="4"/>
    <x v="1"/>
    <x v="2"/>
    <x v="11"/>
    <x v="11"/>
    <s v=""/>
    <x v="0"/>
    <x v="0"/>
    <n v="415"/>
    <x v="11"/>
    <s v=""/>
    <x v="4"/>
    <x v="1"/>
  </r>
  <r>
    <x v="0"/>
    <x v="0"/>
    <x v="13"/>
    <n v="0"/>
    <s v="Debe"/>
    <x v="1"/>
    <x v="1"/>
    <x v="1"/>
    <x v="1"/>
    <n v="0"/>
    <n v="0"/>
    <s v=""/>
    <x v="4"/>
    <x v="1"/>
    <x v="2"/>
    <x v="11"/>
    <x v="11"/>
    <s v=""/>
    <x v="0"/>
    <x v="0"/>
    <n v="418"/>
    <x v="11"/>
    <s v=""/>
    <x v="4"/>
    <x v="1"/>
  </r>
  <r>
    <x v="0"/>
    <x v="0"/>
    <x v="13"/>
    <s v="Operaciones del Ejercicio"/>
    <s v="Debe"/>
    <x v="1"/>
    <x v="1"/>
    <x v="1"/>
    <x v="1"/>
    <n v="0"/>
    <s v="Operaciones del Ejercicio"/>
    <s v=""/>
    <x v="4"/>
    <x v="1"/>
    <x v="2"/>
    <x v="11"/>
    <x v="11"/>
    <s v=""/>
    <x v="0"/>
    <x v="0"/>
    <n v="421"/>
    <x v="11"/>
    <s v=""/>
    <x v="4"/>
    <x v="1"/>
  </r>
  <r>
    <x v="0"/>
    <x v="0"/>
    <x v="13"/>
    <s v="Asiento Cuadrado"/>
    <s v="Debe"/>
    <x v="1"/>
    <x v="1"/>
    <x v="1"/>
    <x v="1"/>
    <n v="0"/>
    <s v="Asiento Cuadrado"/>
    <s v=""/>
    <x v="4"/>
    <x v="1"/>
    <x v="2"/>
    <x v="11"/>
    <x v="11"/>
    <s v=""/>
    <x v="0"/>
    <x v="0"/>
    <n v="422"/>
    <x v="11"/>
    <s v=""/>
    <x v="4"/>
    <x v="1"/>
  </r>
  <r>
    <x v="0"/>
    <x v="0"/>
    <x v="13"/>
    <n v="0"/>
    <s v="Debe"/>
    <x v="1"/>
    <x v="1"/>
    <x v="1"/>
    <x v="1"/>
    <n v="0"/>
    <n v="0"/>
    <s v=""/>
    <x v="4"/>
    <x v="1"/>
    <x v="2"/>
    <x v="11"/>
    <x v="11"/>
    <s v=""/>
    <x v="0"/>
    <x v="0"/>
    <n v="425"/>
    <x v="11"/>
    <s v=""/>
    <x v="4"/>
    <x v="1"/>
  </r>
  <r>
    <x v="0"/>
    <x v="0"/>
    <x v="13"/>
    <s v="DEBE"/>
    <s v="Debe"/>
    <x v="1"/>
    <x v="1"/>
    <x v="1"/>
    <x v="1"/>
    <n v="0"/>
    <s v="DEBE"/>
    <s v=""/>
    <x v="4"/>
    <x v="1"/>
    <x v="2"/>
    <x v="11"/>
    <x v="11"/>
    <s v=""/>
    <x v="0"/>
    <x v="0"/>
    <n v="426"/>
    <x v="11"/>
    <s v=""/>
    <x v="4"/>
    <x v="1"/>
  </r>
  <r>
    <x v="0"/>
    <x v="0"/>
    <x v="13"/>
    <n v="0"/>
    <s v="Debe"/>
    <x v="1"/>
    <x v="1"/>
    <x v="1"/>
    <x v="1"/>
    <n v="0"/>
    <n v="0"/>
    <s v=""/>
    <x v="4"/>
    <x v="1"/>
    <x v="2"/>
    <x v="11"/>
    <x v="11"/>
    <s v=""/>
    <x v="0"/>
    <x v="0"/>
    <n v="427"/>
    <x v="11"/>
    <s v=""/>
    <x v="4"/>
    <x v="1"/>
  </r>
  <r>
    <x v="0"/>
    <x v="0"/>
    <x v="13"/>
    <s v="Operaciones del Ejercicio"/>
    <s v="Debe"/>
    <x v="1"/>
    <x v="1"/>
    <x v="1"/>
    <x v="1"/>
    <n v="0"/>
    <s v="Operaciones del Ejercicio"/>
    <s v=""/>
    <x v="4"/>
    <x v="1"/>
    <x v="2"/>
    <x v="11"/>
    <x v="11"/>
    <s v=""/>
    <x v="0"/>
    <x v="0"/>
    <n v="432"/>
    <x v="11"/>
    <s v=""/>
    <x v="4"/>
    <x v="1"/>
  </r>
  <r>
    <x v="0"/>
    <x v="0"/>
    <x v="13"/>
    <s v="Asiento Cuadrado"/>
    <s v="Debe"/>
    <x v="1"/>
    <x v="1"/>
    <x v="1"/>
    <x v="1"/>
    <n v="0"/>
    <s v="Asiento Cuadrado"/>
    <s v=""/>
    <x v="4"/>
    <x v="1"/>
    <x v="2"/>
    <x v="11"/>
    <x v="11"/>
    <s v=""/>
    <x v="0"/>
    <x v="0"/>
    <n v="433"/>
    <x v="11"/>
    <s v=""/>
    <x v="4"/>
    <x v="1"/>
  </r>
  <r>
    <x v="0"/>
    <x v="0"/>
    <x v="13"/>
    <n v="0"/>
    <s v="Debe"/>
    <x v="1"/>
    <x v="1"/>
    <x v="1"/>
    <x v="1"/>
    <n v="0"/>
    <n v="0"/>
    <s v=""/>
    <x v="4"/>
    <x v="1"/>
    <x v="2"/>
    <x v="11"/>
    <x v="11"/>
    <s v=""/>
    <x v="0"/>
    <x v="0"/>
    <n v="434"/>
    <x v="11"/>
    <s v=""/>
    <x v="4"/>
    <x v="1"/>
  </r>
  <r>
    <x v="0"/>
    <x v="0"/>
    <x v="13"/>
    <s v="DEBE"/>
    <s v="Debe"/>
    <x v="1"/>
    <x v="1"/>
    <x v="1"/>
    <x v="1"/>
    <n v="0"/>
    <s v="DEBE"/>
    <s v=""/>
    <x v="4"/>
    <x v="1"/>
    <x v="2"/>
    <x v="11"/>
    <x v="11"/>
    <s v=""/>
    <x v="0"/>
    <x v="0"/>
    <n v="435"/>
    <x v="11"/>
    <s v=""/>
    <x v="4"/>
    <x v="1"/>
  </r>
  <r>
    <x v="0"/>
    <x v="0"/>
    <x v="13"/>
    <n v="0"/>
    <s v="Debe"/>
    <x v="1"/>
    <x v="1"/>
    <x v="1"/>
    <x v="1"/>
    <n v="0"/>
    <n v="0"/>
    <s v=""/>
    <x v="4"/>
    <x v="1"/>
    <x v="2"/>
    <x v="11"/>
    <x v="11"/>
    <s v=""/>
    <x v="0"/>
    <x v="0"/>
    <n v="436"/>
    <x v="11"/>
    <s v=""/>
    <x v="4"/>
    <x v="1"/>
  </r>
  <r>
    <x v="0"/>
    <x v="0"/>
    <x v="13"/>
    <s v="Operaciones del Ejercicio"/>
    <s v="Debe"/>
    <x v="1"/>
    <x v="1"/>
    <x v="1"/>
    <x v="1"/>
    <n v="0"/>
    <s v="Operaciones del Ejercicio"/>
    <s v=""/>
    <x v="4"/>
    <x v="1"/>
    <x v="2"/>
    <x v="11"/>
    <x v="11"/>
    <s v=""/>
    <x v="0"/>
    <x v="0"/>
    <n v="441"/>
    <x v="11"/>
    <s v=""/>
    <x v="4"/>
    <x v="1"/>
  </r>
  <r>
    <x v="0"/>
    <x v="0"/>
    <x v="13"/>
    <s v="Asiento Cuadrado"/>
    <s v="Debe"/>
    <x v="1"/>
    <x v="1"/>
    <x v="1"/>
    <x v="1"/>
    <n v="0"/>
    <s v="Asiento Cuadrado"/>
    <s v=""/>
    <x v="4"/>
    <x v="1"/>
    <x v="2"/>
    <x v="11"/>
    <x v="11"/>
    <s v=""/>
    <x v="0"/>
    <x v="0"/>
    <n v="442"/>
    <x v="11"/>
    <s v=""/>
    <x v="4"/>
    <x v="1"/>
  </r>
  <r>
    <x v="0"/>
    <x v="0"/>
    <x v="13"/>
    <n v="0"/>
    <s v="Debe"/>
    <x v="1"/>
    <x v="1"/>
    <x v="1"/>
    <x v="1"/>
    <n v="0"/>
    <n v="0"/>
    <s v=""/>
    <x v="4"/>
    <x v="1"/>
    <x v="2"/>
    <x v="11"/>
    <x v="11"/>
    <s v=""/>
    <x v="0"/>
    <x v="0"/>
    <n v="443"/>
    <x v="11"/>
    <s v=""/>
    <x v="4"/>
    <x v="1"/>
  </r>
  <r>
    <x v="0"/>
    <x v="0"/>
    <x v="13"/>
    <s v="DEBE"/>
    <s v="Debe"/>
    <x v="1"/>
    <x v="1"/>
    <x v="1"/>
    <x v="1"/>
    <n v="0"/>
    <s v="DEBE"/>
    <s v=""/>
    <x v="4"/>
    <x v="1"/>
    <x v="2"/>
    <x v="11"/>
    <x v="11"/>
    <s v=""/>
    <x v="0"/>
    <x v="0"/>
    <n v="446"/>
    <x v="11"/>
    <s v=""/>
    <x v="4"/>
    <x v="1"/>
  </r>
  <r>
    <x v="0"/>
    <x v="0"/>
    <x v="13"/>
    <n v="0"/>
    <s v="Debe"/>
    <x v="1"/>
    <x v="1"/>
    <x v="1"/>
    <x v="1"/>
    <n v="0"/>
    <n v="0"/>
    <s v=""/>
    <x v="4"/>
    <x v="1"/>
    <x v="2"/>
    <x v="11"/>
    <x v="11"/>
    <s v=""/>
    <x v="0"/>
    <x v="0"/>
    <n v="447"/>
    <x v="11"/>
    <s v=""/>
    <x v="4"/>
    <x v="1"/>
  </r>
  <r>
    <x v="0"/>
    <x v="0"/>
    <x v="13"/>
    <s v="Operaciones del Ejercicio"/>
    <s v="Debe"/>
    <x v="1"/>
    <x v="1"/>
    <x v="1"/>
    <x v="1"/>
    <n v="0"/>
    <s v="Operaciones del Ejercicio"/>
    <s v=""/>
    <x v="4"/>
    <x v="1"/>
    <x v="2"/>
    <x v="11"/>
    <x v="11"/>
    <s v=""/>
    <x v="0"/>
    <x v="0"/>
    <n v="450"/>
    <x v="11"/>
    <s v=""/>
    <x v="4"/>
    <x v="1"/>
  </r>
  <r>
    <x v="0"/>
    <x v="0"/>
    <x v="13"/>
    <s v="Asiento Cuadrado"/>
    <s v="Debe"/>
    <x v="1"/>
    <x v="1"/>
    <x v="1"/>
    <x v="1"/>
    <n v="0"/>
    <s v="Asiento Cuadrado"/>
    <s v=""/>
    <x v="4"/>
    <x v="1"/>
    <x v="2"/>
    <x v="11"/>
    <x v="11"/>
    <s v=""/>
    <x v="0"/>
    <x v="0"/>
    <n v="453"/>
    <x v="11"/>
    <s v=""/>
    <x v="4"/>
    <x v="1"/>
  </r>
  <r>
    <x v="0"/>
    <x v="0"/>
    <x v="13"/>
    <n v="0"/>
    <s v="Debe"/>
    <x v="1"/>
    <x v="1"/>
    <x v="1"/>
    <x v="1"/>
    <n v="0"/>
    <n v="0"/>
    <s v=""/>
    <x v="4"/>
    <x v="1"/>
    <x v="2"/>
    <x v="11"/>
    <x v="11"/>
    <s v=""/>
    <x v="0"/>
    <x v="0"/>
    <n v="454"/>
    <x v="11"/>
    <s v=""/>
    <x v="4"/>
    <x v="1"/>
  </r>
  <r>
    <x v="0"/>
    <x v="0"/>
    <x v="13"/>
    <s v="DEBE"/>
    <s v="Debe"/>
    <x v="1"/>
    <x v="1"/>
    <x v="1"/>
    <x v="1"/>
    <n v="0"/>
    <s v="DEBE"/>
    <s v=""/>
    <x v="4"/>
    <x v="1"/>
    <x v="2"/>
    <x v="11"/>
    <x v="11"/>
    <s v=""/>
    <x v="0"/>
    <x v="0"/>
    <n v="455"/>
    <x v="11"/>
    <s v=""/>
    <x v="4"/>
    <x v="1"/>
  </r>
  <r>
    <x v="0"/>
    <x v="0"/>
    <x v="13"/>
    <n v="0"/>
    <s v="Debe"/>
    <x v="1"/>
    <x v="1"/>
    <x v="1"/>
    <x v="1"/>
    <n v="0"/>
    <n v="0"/>
    <s v=""/>
    <x v="4"/>
    <x v="1"/>
    <x v="2"/>
    <x v="11"/>
    <x v="11"/>
    <s v=""/>
    <x v="0"/>
    <x v="0"/>
    <n v="456"/>
    <x v="11"/>
    <s v=""/>
    <x v="4"/>
    <x v="1"/>
  </r>
  <r>
    <x v="0"/>
    <x v="0"/>
    <x v="13"/>
    <s v="Operaciones del Ejercicio"/>
    <s v="Debe"/>
    <x v="1"/>
    <x v="1"/>
    <x v="1"/>
    <x v="1"/>
    <n v="0"/>
    <s v="Operaciones del Ejercicio"/>
    <s v=""/>
    <x v="4"/>
    <x v="1"/>
    <x v="2"/>
    <x v="11"/>
    <x v="11"/>
    <s v=""/>
    <x v="0"/>
    <x v="0"/>
    <n v="462"/>
    <x v="11"/>
    <s v=""/>
    <x v="4"/>
    <x v="1"/>
  </r>
  <r>
    <x v="0"/>
    <x v="0"/>
    <x v="13"/>
    <s v="Asiento Cuadrado"/>
    <s v="Debe"/>
    <x v="1"/>
    <x v="1"/>
    <x v="1"/>
    <x v="1"/>
    <n v="0"/>
    <s v="Asiento Cuadrado"/>
    <s v=""/>
    <x v="4"/>
    <x v="1"/>
    <x v="2"/>
    <x v="11"/>
    <x v="11"/>
    <s v=""/>
    <x v="0"/>
    <x v="0"/>
    <n v="463"/>
    <x v="11"/>
    <s v=""/>
    <x v="4"/>
    <x v="1"/>
  </r>
  <r>
    <x v="0"/>
    <x v="0"/>
    <x v="13"/>
    <n v="0"/>
    <s v="Debe"/>
    <x v="1"/>
    <x v="1"/>
    <x v="1"/>
    <x v="1"/>
    <n v="0"/>
    <n v="0"/>
    <s v=""/>
    <x v="4"/>
    <x v="1"/>
    <x v="2"/>
    <x v="11"/>
    <x v="11"/>
    <s v=""/>
    <x v="0"/>
    <x v="0"/>
    <n v="464"/>
    <x v="11"/>
    <s v=""/>
    <x v="4"/>
    <x v="1"/>
  </r>
  <r>
    <x v="0"/>
    <x v="0"/>
    <x v="13"/>
    <s v="DEBE"/>
    <s v="Debe"/>
    <x v="1"/>
    <x v="1"/>
    <x v="1"/>
    <x v="1"/>
    <n v="0"/>
    <s v="DEBE"/>
    <s v=""/>
    <x v="4"/>
    <x v="1"/>
    <x v="2"/>
    <x v="11"/>
    <x v="11"/>
    <s v=""/>
    <x v="0"/>
    <x v="0"/>
    <n v="467"/>
    <x v="11"/>
    <s v=""/>
    <x v="4"/>
    <x v="1"/>
  </r>
  <r>
    <x v="0"/>
    <x v="0"/>
    <x v="13"/>
    <n v="0"/>
    <s v="Debe"/>
    <x v="1"/>
    <x v="1"/>
    <x v="1"/>
    <x v="1"/>
    <n v="0"/>
    <n v="0"/>
    <s v=""/>
    <x v="4"/>
    <x v="1"/>
    <x v="2"/>
    <x v="11"/>
    <x v="11"/>
    <s v=""/>
    <x v="0"/>
    <x v="0"/>
    <n v="468"/>
    <x v="11"/>
    <s v=""/>
    <x v="4"/>
    <x v="1"/>
  </r>
  <r>
    <x v="0"/>
    <x v="0"/>
    <x v="13"/>
    <s v="Operaciones del Ejercicio"/>
    <s v="Debe"/>
    <x v="1"/>
    <x v="1"/>
    <x v="1"/>
    <x v="1"/>
    <n v="0"/>
    <s v="Operaciones del Ejercicio"/>
    <s v=""/>
    <x v="4"/>
    <x v="1"/>
    <x v="2"/>
    <x v="11"/>
    <x v="11"/>
    <s v=""/>
    <x v="0"/>
    <x v="0"/>
    <n v="471"/>
    <x v="11"/>
    <s v=""/>
    <x v="4"/>
    <x v="1"/>
  </r>
  <r>
    <x v="0"/>
    <x v="0"/>
    <x v="13"/>
    <s v="Asiento Cuadrado"/>
    <s v="Debe"/>
    <x v="1"/>
    <x v="1"/>
    <x v="1"/>
    <x v="1"/>
    <n v="0"/>
    <s v="Asiento Cuadrado"/>
    <s v=""/>
    <x v="4"/>
    <x v="1"/>
    <x v="2"/>
    <x v="11"/>
    <x v="11"/>
    <s v=""/>
    <x v="0"/>
    <x v="0"/>
    <n v="474"/>
    <x v="11"/>
    <s v=""/>
    <x v="4"/>
    <x v="1"/>
  </r>
  <r>
    <x v="0"/>
    <x v="0"/>
    <x v="13"/>
    <n v="0"/>
    <s v="Debe"/>
    <x v="1"/>
    <x v="1"/>
    <x v="1"/>
    <x v="1"/>
    <n v="0"/>
    <n v="0"/>
    <s v=""/>
    <x v="4"/>
    <x v="1"/>
    <x v="2"/>
    <x v="11"/>
    <x v="11"/>
    <s v=""/>
    <x v="0"/>
    <x v="0"/>
    <n v="475"/>
    <x v="11"/>
    <s v=""/>
    <x v="4"/>
    <x v="1"/>
  </r>
  <r>
    <x v="0"/>
    <x v="0"/>
    <x v="13"/>
    <s v="DEBE"/>
    <s v="Debe"/>
    <x v="1"/>
    <x v="1"/>
    <x v="1"/>
    <x v="1"/>
    <n v="0"/>
    <s v="DEBE"/>
    <s v=""/>
    <x v="4"/>
    <x v="1"/>
    <x v="2"/>
    <x v="11"/>
    <x v="11"/>
    <s v=""/>
    <x v="0"/>
    <x v="0"/>
    <n v="476"/>
    <x v="11"/>
    <s v=""/>
    <x v="4"/>
    <x v="1"/>
  </r>
  <r>
    <x v="0"/>
    <x v="0"/>
    <x v="13"/>
    <n v="0"/>
    <s v="Debe"/>
    <x v="1"/>
    <x v="1"/>
    <x v="1"/>
    <x v="1"/>
    <n v="0"/>
    <n v="0"/>
    <s v=""/>
    <x v="4"/>
    <x v="1"/>
    <x v="2"/>
    <x v="11"/>
    <x v="11"/>
    <s v=""/>
    <x v="0"/>
    <x v="0"/>
    <n v="477"/>
    <x v="11"/>
    <s v=""/>
    <x v="4"/>
    <x v="1"/>
  </r>
  <r>
    <x v="0"/>
    <x v="0"/>
    <x v="13"/>
    <s v="Operaciones del Ejercicio"/>
    <s v="Debe"/>
    <x v="1"/>
    <x v="1"/>
    <x v="1"/>
    <x v="1"/>
    <n v="0"/>
    <s v="Operaciones del Ejercicio"/>
    <s v=""/>
    <x v="4"/>
    <x v="1"/>
    <x v="2"/>
    <x v="11"/>
    <x v="11"/>
    <s v=""/>
    <x v="0"/>
    <x v="0"/>
    <n v="482"/>
    <x v="11"/>
    <s v=""/>
    <x v="4"/>
    <x v="1"/>
  </r>
  <r>
    <x v="0"/>
    <x v="0"/>
    <x v="13"/>
    <s v="Asiento Cuadrado"/>
    <s v="Debe"/>
    <x v="1"/>
    <x v="1"/>
    <x v="1"/>
    <x v="1"/>
    <n v="0"/>
    <s v="Asiento Cuadrado"/>
    <s v=""/>
    <x v="4"/>
    <x v="1"/>
    <x v="2"/>
    <x v="11"/>
    <x v="11"/>
    <s v=""/>
    <x v="0"/>
    <x v="0"/>
    <n v="483"/>
    <x v="11"/>
    <s v=""/>
    <x v="4"/>
    <x v="1"/>
  </r>
  <r>
    <x v="0"/>
    <x v="0"/>
    <x v="13"/>
    <n v="0"/>
    <s v="Debe"/>
    <x v="1"/>
    <x v="1"/>
    <x v="1"/>
    <x v="1"/>
    <n v="0"/>
    <n v="0"/>
    <s v=""/>
    <x v="4"/>
    <x v="1"/>
    <x v="2"/>
    <x v="11"/>
    <x v="11"/>
    <s v=""/>
    <x v="0"/>
    <x v="0"/>
    <n v="484"/>
    <x v="11"/>
    <s v=""/>
    <x v="4"/>
    <x v="1"/>
  </r>
  <r>
    <x v="0"/>
    <x v="0"/>
    <x v="13"/>
    <s v="DEBE"/>
    <s v="Debe"/>
    <x v="1"/>
    <x v="1"/>
    <x v="1"/>
    <x v="1"/>
    <n v="0"/>
    <s v="DEBE"/>
    <s v=""/>
    <x v="4"/>
    <x v="1"/>
    <x v="2"/>
    <x v="11"/>
    <x v="11"/>
    <s v=""/>
    <x v="0"/>
    <x v="0"/>
    <n v="485"/>
    <x v="11"/>
    <s v=""/>
    <x v="4"/>
    <x v="1"/>
  </r>
  <r>
    <x v="0"/>
    <x v="0"/>
    <x v="13"/>
    <n v="0"/>
    <s v="Debe"/>
    <x v="1"/>
    <x v="1"/>
    <x v="1"/>
    <x v="1"/>
    <n v="0"/>
    <n v="0"/>
    <s v=""/>
    <x v="4"/>
    <x v="1"/>
    <x v="2"/>
    <x v="11"/>
    <x v="11"/>
    <s v=""/>
    <x v="0"/>
    <x v="0"/>
    <n v="488"/>
    <x v="11"/>
    <s v=""/>
    <x v="4"/>
    <x v="1"/>
  </r>
  <r>
    <x v="0"/>
    <x v="0"/>
    <x v="13"/>
    <s v="Operaciones del Ejercicio"/>
    <s v="Debe"/>
    <x v="1"/>
    <x v="1"/>
    <x v="1"/>
    <x v="1"/>
    <n v="0"/>
    <s v="Operaciones del Ejercicio"/>
    <s v=""/>
    <x v="4"/>
    <x v="1"/>
    <x v="2"/>
    <x v="11"/>
    <x v="11"/>
    <s v=""/>
    <x v="0"/>
    <x v="0"/>
    <n v="492"/>
    <x v="11"/>
    <s v=""/>
    <x v="4"/>
    <x v="1"/>
  </r>
  <r>
    <x v="0"/>
    <x v="0"/>
    <x v="13"/>
    <s v="Asiento Cuadrado"/>
    <s v="Debe"/>
    <x v="1"/>
    <x v="1"/>
    <x v="1"/>
    <x v="1"/>
    <n v="0"/>
    <s v="Asiento Cuadrado"/>
    <s v=""/>
    <x v="4"/>
    <x v="1"/>
    <x v="2"/>
    <x v="11"/>
    <x v="11"/>
    <s v=""/>
    <x v="0"/>
    <x v="0"/>
    <n v="495"/>
    <x v="11"/>
    <s v=""/>
    <x v="4"/>
    <x v="1"/>
  </r>
  <r>
    <x v="0"/>
    <x v="0"/>
    <x v="13"/>
    <n v="0"/>
    <s v="Debe"/>
    <x v="1"/>
    <x v="1"/>
    <x v="1"/>
    <x v="1"/>
    <n v="0"/>
    <n v="0"/>
    <s v=""/>
    <x v="4"/>
    <x v="1"/>
    <x v="2"/>
    <x v="11"/>
    <x v="11"/>
    <s v=""/>
    <x v="0"/>
    <x v="0"/>
    <n v="496"/>
    <x v="11"/>
    <s v=""/>
    <x v="4"/>
    <x v="1"/>
  </r>
  <r>
    <x v="0"/>
    <x v="0"/>
    <x v="13"/>
    <s v="DEBE"/>
    <s v="Debe"/>
    <x v="1"/>
    <x v="1"/>
    <x v="1"/>
    <x v="1"/>
    <n v="0"/>
    <s v="DEBE"/>
    <s v=""/>
    <x v="4"/>
    <x v="1"/>
    <x v="2"/>
    <x v="11"/>
    <x v="11"/>
    <s v=""/>
    <x v="0"/>
    <x v="0"/>
    <n v="497"/>
    <x v="11"/>
    <s v=""/>
    <x v="4"/>
    <x v="1"/>
  </r>
  <r>
    <x v="0"/>
    <x v="0"/>
    <x v="13"/>
    <n v="0"/>
    <s v="Debe"/>
    <x v="1"/>
    <x v="1"/>
    <x v="1"/>
    <x v="1"/>
    <n v="0"/>
    <n v="0"/>
    <s v=""/>
    <x v="4"/>
    <x v="1"/>
    <x v="2"/>
    <x v="11"/>
    <x v="11"/>
    <s v=""/>
    <x v="0"/>
    <x v="0"/>
    <n v="498"/>
    <x v="11"/>
    <s v=""/>
    <x v="4"/>
    <x v="1"/>
  </r>
  <r>
    <x v="0"/>
    <x v="0"/>
    <x v="13"/>
    <s v="Operaciones del Ejercicio"/>
    <s v="Debe"/>
    <x v="1"/>
    <x v="1"/>
    <x v="1"/>
    <x v="1"/>
    <n v="0"/>
    <s v="Operaciones del Ejercicio"/>
    <s v=""/>
    <x v="4"/>
    <x v="1"/>
    <x v="2"/>
    <x v="11"/>
    <x v="11"/>
    <s v=""/>
    <x v="0"/>
    <x v="0"/>
    <n v="517"/>
    <x v="11"/>
    <s v=""/>
    <x v="4"/>
    <x v="1"/>
  </r>
  <r>
    <x v="0"/>
    <x v="0"/>
    <x v="13"/>
    <s v="Asiento Cuadrado"/>
    <s v="Debe"/>
    <x v="1"/>
    <x v="1"/>
    <x v="1"/>
    <x v="1"/>
    <n v="0"/>
    <s v="Asiento Cuadrado"/>
    <s v=""/>
    <x v="4"/>
    <x v="1"/>
    <x v="2"/>
    <x v="11"/>
    <x v="11"/>
    <s v=""/>
    <x v="0"/>
    <x v="0"/>
    <n v="518"/>
    <x v="11"/>
    <s v=""/>
    <x v="4"/>
    <x v="1"/>
  </r>
  <r>
    <x v="0"/>
    <x v="0"/>
    <x v="13"/>
    <n v="0"/>
    <s v="Debe"/>
    <x v="1"/>
    <x v="1"/>
    <x v="1"/>
    <x v="1"/>
    <n v="0"/>
    <n v="0"/>
    <s v=""/>
    <x v="4"/>
    <x v="1"/>
    <x v="2"/>
    <x v="11"/>
    <x v="11"/>
    <s v=""/>
    <x v="0"/>
    <x v="0"/>
    <n v="519"/>
    <x v="11"/>
    <s v=""/>
    <x v="4"/>
    <x v="1"/>
  </r>
  <r>
    <x v="0"/>
    <x v="0"/>
    <x v="13"/>
    <s v="DEBE"/>
    <s v="Debe"/>
    <x v="1"/>
    <x v="1"/>
    <x v="1"/>
    <x v="1"/>
    <n v="0"/>
    <s v="DEBE"/>
    <s v=""/>
    <x v="4"/>
    <x v="1"/>
    <x v="2"/>
    <x v="11"/>
    <x v="11"/>
    <s v=""/>
    <x v="0"/>
    <x v="0"/>
    <n v="520"/>
    <x v="11"/>
    <s v=""/>
    <x v="4"/>
    <x v="1"/>
  </r>
  <r>
    <x v="0"/>
    <x v="0"/>
    <x v="13"/>
    <n v="0"/>
    <s v="Debe"/>
    <x v="1"/>
    <x v="1"/>
    <x v="1"/>
    <x v="1"/>
    <n v="0"/>
    <n v="0"/>
    <s v=""/>
    <x v="4"/>
    <x v="1"/>
    <x v="2"/>
    <x v="11"/>
    <x v="11"/>
    <s v=""/>
    <x v="0"/>
    <x v="0"/>
    <n v="533"/>
    <x v="11"/>
    <s v=""/>
    <x v="4"/>
    <x v="1"/>
  </r>
  <r>
    <x v="0"/>
    <x v="0"/>
    <x v="13"/>
    <s v="Operaciones del Ejercicio"/>
    <s v="Debe"/>
    <x v="1"/>
    <x v="1"/>
    <x v="1"/>
    <x v="1"/>
    <n v="0"/>
    <s v="Operaciones del Ejercicio"/>
    <s v=""/>
    <x v="4"/>
    <x v="1"/>
    <x v="2"/>
    <x v="11"/>
    <x v="11"/>
    <s v=""/>
    <x v="0"/>
    <x v="0"/>
    <n v="541"/>
    <x v="11"/>
    <s v=""/>
    <x v="4"/>
    <x v="1"/>
  </r>
  <r>
    <x v="0"/>
    <x v="0"/>
    <x v="13"/>
    <s v="Asiento Cuadrado"/>
    <s v="Debe"/>
    <x v="1"/>
    <x v="1"/>
    <x v="1"/>
    <x v="1"/>
    <n v="0"/>
    <s v="Asiento Cuadrado"/>
    <s v=""/>
    <x v="4"/>
    <x v="1"/>
    <x v="2"/>
    <x v="11"/>
    <x v="11"/>
    <s v=""/>
    <x v="0"/>
    <x v="0"/>
    <n v="542"/>
    <x v="11"/>
    <s v=""/>
    <x v="4"/>
    <x v="1"/>
  </r>
  <r>
    <x v="0"/>
    <x v="0"/>
    <x v="13"/>
    <n v="0"/>
    <s v="Debe"/>
    <x v="1"/>
    <x v="1"/>
    <x v="1"/>
    <x v="1"/>
    <n v="0"/>
    <n v="0"/>
    <s v=""/>
    <x v="4"/>
    <x v="1"/>
    <x v="2"/>
    <x v="11"/>
    <x v="11"/>
    <s v=""/>
    <x v="0"/>
    <x v="0"/>
    <n v="543"/>
    <x v="11"/>
    <s v=""/>
    <x v="4"/>
    <x v="1"/>
  </r>
  <r>
    <x v="0"/>
    <x v="0"/>
    <x v="13"/>
    <s v="DEBE"/>
    <s v="Debe"/>
    <x v="1"/>
    <x v="1"/>
    <x v="1"/>
    <x v="1"/>
    <n v="0"/>
    <s v="DEBE"/>
    <s v=""/>
    <x v="4"/>
    <x v="1"/>
    <x v="2"/>
    <x v="11"/>
    <x v="11"/>
    <s v=""/>
    <x v="0"/>
    <x v="0"/>
    <n v="544"/>
    <x v="11"/>
    <s v=""/>
    <x v="4"/>
    <x v="1"/>
  </r>
  <r>
    <x v="0"/>
    <x v="0"/>
    <x v="13"/>
    <n v="0"/>
    <s v="Debe"/>
    <x v="1"/>
    <x v="1"/>
    <x v="1"/>
    <x v="1"/>
    <n v="0"/>
    <n v="0"/>
    <s v=""/>
    <x v="4"/>
    <x v="1"/>
    <x v="2"/>
    <x v="11"/>
    <x v="11"/>
    <s v=""/>
    <x v="0"/>
    <x v="0"/>
    <n v="547"/>
    <x v="11"/>
    <s v=""/>
    <x v="4"/>
    <x v="1"/>
  </r>
  <r>
    <x v="0"/>
    <x v="0"/>
    <x v="13"/>
    <s v="Operaciones del Ejercicio"/>
    <s v="Debe"/>
    <x v="1"/>
    <x v="1"/>
    <x v="1"/>
    <x v="1"/>
    <n v="0"/>
    <s v="Operaciones del Ejercicio"/>
    <s v=""/>
    <x v="4"/>
    <x v="1"/>
    <x v="2"/>
    <x v="11"/>
    <x v="11"/>
    <s v=""/>
    <x v="0"/>
    <x v="0"/>
    <n v="550"/>
    <x v="11"/>
    <s v=""/>
    <x v="4"/>
    <x v="1"/>
  </r>
  <r>
    <x v="0"/>
    <x v="0"/>
    <x v="13"/>
    <s v="Asiento Cuadrado"/>
    <s v="Debe"/>
    <x v="1"/>
    <x v="1"/>
    <x v="1"/>
    <x v="1"/>
    <n v="0"/>
    <s v="Asiento Cuadrado"/>
    <s v=""/>
    <x v="4"/>
    <x v="1"/>
    <x v="2"/>
    <x v="11"/>
    <x v="11"/>
    <s v=""/>
    <x v="0"/>
    <x v="0"/>
    <n v="551"/>
    <x v="11"/>
    <s v=""/>
    <x v="4"/>
    <x v="1"/>
  </r>
  <r>
    <x v="0"/>
    <x v="0"/>
    <x v="13"/>
    <n v="0"/>
    <s v="Debe"/>
    <x v="1"/>
    <x v="1"/>
    <x v="1"/>
    <x v="1"/>
    <n v="0"/>
    <n v="0"/>
    <s v=""/>
    <x v="4"/>
    <x v="1"/>
    <x v="2"/>
    <x v="11"/>
    <x v="11"/>
    <s v=""/>
    <x v="0"/>
    <x v="0"/>
    <n v="575"/>
    <x v="11"/>
    <s v=""/>
    <x v="4"/>
    <x v="1"/>
  </r>
  <r>
    <x v="0"/>
    <x v="0"/>
    <x v="13"/>
    <s v="DEBE"/>
    <s v="Debe"/>
    <x v="1"/>
    <x v="1"/>
    <x v="1"/>
    <x v="1"/>
    <n v="0"/>
    <s v="DEBE"/>
    <s v=""/>
    <x v="4"/>
    <x v="1"/>
    <x v="2"/>
    <x v="11"/>
    <x v="11"/>
    <s v=""/>
    <x v="0"/>
    <x v="0"/>
    <n v="576"/>
    <x v="11"/>
    <s v=""/>
    <x v="4"/>
    <x v="1"/>
  </r>
  <r>
    <x v="0"/>
    <x v="0"/>
    <x v="13"/>
    <n v="0"/>
    <s v="Debe"/>
    <x v="1"/>
    <x v="1"/>
    <x v="1"/>
    <x v="1"/>
    <n v="0"/>
    <n v="0"/>
    <s v=""/>
    <x v="4"/>
    <x v="1"/>
    <x v="2"/>
    <x v="11"/>
    <x v="11"/>
    <s v=""/>
    <x v="0"/>
    <x v="0"/>
    <n v="577"/>
    <x v="11"/>
    <s v=""/>
    <x v="4"/>
    <x v="1"/>
  </r>
  <r>
    <x v="0"/>
    <x v="0"/>
    <x v="13"/>
    <s v="Ajuste por Periodificación"/>
    <s v="Debe"/>
    <x v="1"/>
    <x v="1"/>
    <x v="1"/>
    <x v="1"/>
    <n v="0"/>
    <s v="Ajuste por Periodificación"/>
    <s v=""/>
    <x v="4"/>
    <x v="1"/>
    <x v="2"/>
    <x v="11"/>
    <x v="11"/>
    <s v=""/>
    <x v="0"/>
    <x v="0"/>
    <n v="580"/>
    <x v="11"/>
    <s v=""/>
    <x v="4"/>
    <x v="1"/>
  </r>
  <r>
    <x v="0"/>
    <x v="0"/>
    <x v="13"/>
    <s v="Asiento Cuadrado"/>
    <s v="Debe"/>
    <x v="1"/>
    <x v="1"/>
    <x v="1"/>
    <x v="1"/>
    <n v="0"/>
    <s v="Asiento Cuadrado"/>
    <s v=""/>
    <x v="4"/>
    <x v="1"/>
    <x v="2"/>
    <x v="11"/>
    <x v="11"/>
    <s v=""/>
    <x v="0"/>
    <x v="0"/>
    <n v="581"/>
    <x v="11"/>
    <s v=""/>
    <x v="4"/>
    <x v="1"/>
  </r>
  <r>
    <x v="0"/>
    <x v="0"/>
    <x v="13"/>
    <n v="0"/>
    <s v="Debe"/>
    <x v="1"/>
    <x v="1"/>
    <x v="1"/>
    <x v="1"/>
    <n v="0"/>
    <n v="0"/>
    <s v=""/>
    <x v="4"/>
    <x v="1"/>
    <x v="2"/>
    <x v="11"/>
    <x v="11"/>
    <s v=""/>
    <x v="0"/>
    <x v="0"/>
    <n v="582"/>
    <x v="11"/>
    <s v=""/>
    <x v="4"/>
    <x v="1"/>
  </r>
  <r>
    <x v="0"/>
    <x v="0"/>
    <x v="13"/>
    <s v="DEBE"/>
    <s v="Debe"/>
    <x v="1"/>
    <x v="1"/>
    <x v="1"/>
    <x v="1"/>
    <n v="0"/>
    <s v="DEBE"/>
    <s v=""/>
    <x v="4"/>
    <x v="1"/>
    <x v="2"/>
    <x v="11"/>
    <x v="11"/>
    <s v=""/>
    <x v="0"/>
    <x v="0"/>
    <n v="583"/>
    <x v="11"/>
    <s v=""/>
    <x v="4"/>
    <x v="1"/>
  </r>
  <r>
    <x v="0"/>
    <x v="0"/>
    <x v="13"/>
    <n v="0"/>
    <s v="Debe"/>
    <x v="1"/>
    <x v="1"/>
    <x v="1"/>
    <x v="1"/>
    <n v="0"/>
    <n v="0"/>
    <s v=""/>
    <x v="4"/>
    <x v="1"/>
    <x v="2"/>
    <x v="11"/>
    <x v="11"/>
    <s v=""/>
    <x v="0"/>
    <x v="0"/>
    <n v="584"/>
    <x v="11"/>
    <s v=""/>
    <x v="4"/>
    <x v="1"/>
  </r>
  <r>
    <x v="0"/>
    <x v="0"/>
    <x v="13"/>
    <s v="Ajuste por Periodificación"/>
    <s v="Debe"/>
    <x v="1"/>
    <x v="1"/>
    <x v="1"/>
    <x v="1"/>
    <n v="0"/>
    <s v="Ajuste por Periodificación"/>
    <s v=""/>
    <x v="4"/>
    <x v="1"/>
    <x v="2"/>
    <x v="11"/>
    <x v="11"/>
    <s v=""/>
    <x v="0"/>
    <x v="0"/>
    <n v="587"/>
    <x v="11"/>
    <s v=""/>
    <x v="4"/>
    <x v="1"/>
  </r>
  <r>
    <x v="0"/>
    <x v="0"/>
    <x v="13"/>
    <s v="Asiento Cuadrado"/>
    <s v="Debe"/>
    <x v="1"/>
    <x v="1"/>
    <x v="1"/>
    <x v="1"/>
    <n v="0"/>
    <s v="Asiento Cuadrado"/>
    <s v=""/>
    <x v="4"/>
    <x v="1"/>
    <x v="2"/>
    <x v="11"/>
    <x v="11"/>
    <s v=""/>
    <x v="0"/>
    <x v="0"/>
    <n v="588"/>
    <x v="11"/>
    <s v=""/>
    <x v="4"/>
    <x v="1"/>
  </r>
  <r>
    <x v="0"/>
    <x v="0"/>
    <x v="13"/>
    <n v="0"/>
    <s v="Debe"/>
    <x v="1"/>
    <x v="1"/>
    <x v="1"/>
    <x v="1"/>
    <n v="0"/>
    <n v="0"/>
    <s v=""/>
    <x v="4"/>
    <x v="1"/>
    <x v="2"/>
    <x v="11"/>
    <x v="11"/>
    <s v=""/>
    <x v="0"/>
    <x v="0"/>
    <n v="589"/>
    <x v="11"/>
    <s v=""/>
    <x v="4"/>
    <x v="1"/>
  </r>
  <r>
    <x v="0"/>
    <x v="0"/>
    <x v="13"/>
    <s v="DEBE"/>
    <s v="Debe"/>
    <x v="1"/>
    <x v="1"/>
    <x v="1"/>
    <x v="1"/>
    <n v="0"/>
    <s v="DEBE"/>
    <s v=""/>
    <x v="4"/>
    <x v="1"/>
    <x v="2"/>
    <x v="11"/>
    <x v="11"/>
    <s v=""/>
    <x v="0"/>
    <x v="0"/>
    <n v="590"/>
    <x v="11"/>
    <s v=""/>
    <x v="4"/>
    <x v="1"/>
  </r>
  <r>
    <x v="0"/>
    <x v="0"/>
    <x v="13"/>
    <n v="0"/>
    <s v="Debe"/>
    <x v="1"/>
    <x v="1"/>
    <x v="1"/>
    <x v="1"/>
    <n v="0"/>
    <n v="0"/>
    <s v=""/>
    <x v="4"/>
    <x v="1"/>
    <x v="2"/>
    <x v="11"/>
    <x v="11"/>
    <s v=""/>
    <x v="0"/>
    <x v="0"/>
    <n v="591"/>
    <x v="11"/>
    <s v=""/>
    <x v="4"/>
    <x v="1"/>
  </r>
  <r>
    <x v="0"/>
    <x v="0"/>
    <x v="13"/>
    <s v="Ajuste por Periodificación"/>
    <s v="Debe"/>
    <x v="1"/>
    <x v="1"/>
    <x v="1"/>
    <x v="1"/>
    <n v="0"/>
    <s v="Ajuste por Periodificación"/>
    <s v=""/>
    <x v="4"/>
    <x v="1"/>
    <x v="2"/>
    <x v="11"/>
    <x v="11"/>
    <s v=""/>
    <x v="0"/>
    <x v="0"/>
    <n v="594"/>
    <x v="11"/>
    <s v=""/>
    <x v="4"/>
    <x v="1"/>
  </r>
  <r>
    <x v="0"/>
    <x v="0"/>
    <x v="13"/>
    <s v="Asiento Cuadrado"/>
    <s v="Debe"/>
    <x v="1"/>
    <x v="1"/>
    <x v="1"/>
    <x v="1"/>
    <n v="0"/>
    <s v="Asiento Cuadrado"/>
    <s v=""/>
    <x v="4"/>
    <x v="1"/>
    <x v="2"/>
    <x v="11"/>
    <x v="11"/>
    <s v=""/>
    <x v="0"/>
    <x v="0"/>
    <n v="595"/>
    <x v="11"/>
    <s v=""/>
    <x v="4"/>
    <x v="1"/>
  </r>
  <r>
    <x v="0"/>
    <x v="0"/>
    <x v="13"/>
    <n v="0"/>
    <s v="Debe"/>
    <x v="1"/>
    <x v="1"/>
    <x v="1"/>
    <x v="1"/>
    <n v="0"/>
    <n v="0"/>
    <s v=""/>
    <x v="4"/>
    <x v="1"/>
    <x v="2"/>
    <x v="11"/>
    <x v="11"/>
    <s v=""/>
    <x v="0"/>
    <x v="0"/>
    <n v="596"/>
    <x v="11"/>
    <s v=""/>
    <x v="4"/>
    <x v="1"/>
  </r>
  <r>
    <x v="0"/>
    <x v="0"/>
    <x v="13"/>
    <s v="DEBE"/>
    <s v="Debe"/>
    <x v="1"/>
    <x v="1"/>
    <x v="1"/>
    <x v="1"/>
    <n v="0"/>
    <s v="DEBE"/>
    <s v=""/>
    <x v="4"/>
    <x v="1"/>
    <x v="2"/>
    <x v="11"/>
    <x v="11"/>
    <s v=""/>
    <x v="0"/>
    <x v="0"/>
    <n v="597"/>
    <x v="11"/>
    <s v=""/>
    <x v="4"/>
    <x v="1"/>
  </r>
  <r>
    <x v="0"/>
    <x v="0"/>
    <x v="13"/>
    <n v="0"/>
    <s v="Debe"/>
    <x v="1"/>
    <x v="1"/>
    <x v="1"/>
    <x v="1"/>
    <n v="0"/>
    <n v="0"/>
    <s v=""/>
    <x v="4"/>
    <x v="1"/>
    <x v="2"/>
    <x v="11"/>
    <x v="11"/>
    <s v=""/>
    <x v="0"/>
    <x v="0"/>
    <n v="598"/>
    <x v="11"/>
    <s v=""/>
    <x v="4"/>
    <x v="1"/>
  </r>
  <r>
    <x v="0"/>
    <x v="0"/>
    <x v="13"/>
    <s v="Ajuste por Reclasificación"/>
    <s v="Debe"/>
    <x v="1"/>
    <x v="1"/>
    <x v="1"/>
    <x v="1"/>
    <n v="0"/>
    <s v="Ajuste por Reclasificación"/>
    <s v=""/>
    <x v="4"/>
    <x v="1"/>
    <x v="2"/>
    <x v="11"/>
    <x v="11"/>
    <s v=""/>
    <x v="0"/>
    <x v="0"/>
    <n v="601"/>
    <x v="11"/>
    <s v=""/>
    <x v="4"/>
    <x v="1"/>
  </r>
  <r>
    <x v="0"/>
    <x v="0"/>
    <x v="13"/>
    <s v="Asiento Cuadrado"/>
    <s v="Debe"/>
    <x v="1"/>
    <x v="1"/>
    <x v="1"/>
    <x v="1"/>
    <n v="0"/>
    <s v="Asiento Cuadrado"/>
    <s v=""/>
    <x v="4"/>
    <x v="1"/>
    <x v="2"/>
    <x v="11"/>
    <x v="11"/>
    <s v=""/>
    <x v="0"/>
    <x v="0"/>
    <n v="602"/>
    <x v="11"/>
    <s v=""/>
    <x v="4"/>
    <x v="1"/>
  </r>
  <r>
    <x v="0"/>
    <x v="0"/>
    <x v="13"/>
    <n v="0"/>
    <s v="Debe"/>
    <x v="1"/>
    <x v="1"/>
    <x v="1"/>
    <x v="1"/>
    <n v="0"/>
    <n v="0"/>
    <s v=""/>
    <x v="4"/>
    <x v="1"/>
    <x v="2"/>
    <x v="11"/>
    <x v="11"/>
    <s v=""/>
    <x v="0"/>
    <x v="0"/>
    <n v="603"/>
    <x v="11"/>
    <s v=""/>
    <x v="4"/>
    <x v="1"/>
  </r>
  <r>
    <x v="0"/>
    <x v="0"/>
    <x v="13"/>
    <s v="DEBE"/>
    <s v="Debe"/>
    <x v="1"/>
    <x v="1"/>
    <x v="1"/>
    <x v="1"/>
    <n v="0"/>
    <s v="DEBE"/>
    <s v=""/>
    <x v="4"/>
    <x v="1"/>
    <x v="2"/>
    <x v="11"/>
    <x v="11"/>
    <s v=""/>
    <x v="0"/>
    <x v="0"/>
    <n v="604"/>
    <x v="11"/>
    <s v=""/>
    <x v="4"/>
    <x v="1"/>
  </r>
  <r>
    <x v="0"/>
    <x v="0"/>
    <x v="13"/>
    <n v="0"/>
    <s v="Debe"/>
    <x v="1"/>
    <x v="1"/>
    <x v="1"/>
    <x v="1"/>
    <n v="0"/>
    <n v="0"/>
    <s v=""/>
    <x v="4"/>
    <x v="1"/>
    <x v="2"/>
    <x v="11"/>
    <x v="11"/>
    <s v=""/>
    <x v="0"/>
    <x v="0"/>
    <n v="605"/>
    <x v="11"/>
    <s v=""/>
    <x v="4"/>
    <x v="1"/>
  </r>
  <r>
    <x v="0"/>
    <x v="0"/>
    <x v="13"/>
    <s v="Ajuste por Reclasificación"/>
    <s v="Debe"/>
    <x v="1"/>
    <x v="1"/>
    <x v="1"/>
    <x v="1"/>
    <n v="0"/>
    <s v="Ajuste por Reclasificación"/>
    <s v=""/>
    <x v="4"/>
    <x v="1"/>
    <x v="2"/>
    <x v="11"/>
    <x v="11"/>
    <s v=""/>
    <x v="0"/>
    <x v="0"/>
    <n v="608"/>
    <x v="11"/>
    <s v=""/>
    <x v="4"/>
    <x v="1"/>
  </r>
  <r>
    <x v="0"/>
    <x v="0"/>
    <x v="13"/>
    <s v="Asiento Cuadrado"/>
    <s v="Debe"/>
    <x v="1"/>
    <x v="1"/>
    <x v="1"/>
    <x v="1"/>
    <n v="0"/>
    <s v="Asiento Cuadrado"/>
    <s v=""/>
    <x v="4"/>
    <x v="1"/>
    <x v="2"/>
    <x v="11"/>
    <x v="11"/>
    <s v=""/>
    <x v="0"/>
    <x v="0"/>
    <n v="609"/>
    <x v="11"/>
    <s v=""/>
    <x v="4"/>
    <x v="1"/>
  </r>
  <r>
    <x v="0"/>
    <x v="0"/>
    <x v="13"/>
    <n v="0"/>
    <s v="Debe"/>
    <x v="1"/>
    <x v="1"/>
    <x v="1"/>
    <x v="1"/>
    <n v="0"/>
    <n v="0"/>
    <s v=""/>
    <x v="4"/>
    <x v="1"/>
    <x v="2"/>
    <x v="11"/>
    <x v="11"/>
    <s v=""/>
    <x v="0"/>
    <x v="0"/>
    <n v="610"/>
    <x v="11"/>
    <s v=""/>
    <x v="4"/>
    <x v="1"/>
  </r>
  <r>
    <x v="0"/>
    <x v="0"/>
    <x v="13"/>
    <s v="DEBE"/>
    <s v="Debe"/>
    <x v="1"/>
    <x v="1"/>
    <x v="1"/>
    <x v="1"/>
    <n v="0"/>
    <s v="DEBE"/>
    <s v=""/>
    <x v="4"/>
    <x v="1"/>
    <x v="2"/>
    <x v="11"/>
    <x v="11"/>
    <s v=""/>
    <x v="0"/>
    <x v="0"/>
    <n v="611"/>
    <x v="11"/>
    <s v=""/>
    <x v="4"/>
    <x v="1"/>
  </r>
  <r>
    <x v="0"/>
    <x v="0"/>
    <x v="13"/>
    <n v="0"/>
    <s v="Debe"/>
    <x v="1"/>
    <x v="1"/>
    <x v="1"/>
    <x v="1"/>
    <n v="0"/>
    <n v="0"/>
    <s v=""/>
    <x v="4"/>
    <x v="1"/>
    <x v="2"/>
    <x v="11"/>
    <x v="11"/>
    <s v=""/>
    <x v="0"/>
    <x v="0"/>
    <n v="612"/>
    <x v="11"/>
    <s v=""/>
    <x v="4"/>
    <x v="1"/>
  </r>
  <r>
    <x v="0"/>
    <x v="0"/>
    <x v="13"/>
    <s v="Corrección Valorativa - Amortización"/>
    <s v="Debe"/>
    <x v="1"/>
    <x v="1"/>
    <x v="1"/>
    <x v="1"/>
    <n v="0"/>
    <s v="Corrección Valorativa - Amortización"/>
    <s v=""/>
    <x v="4"/>
    <x v="1"/>
    <x v="2"/>
    <x v="11"/>
    <x v="11"/>
    <s v=""/>
    <x v="0"/>
    <x v="0"/>
    <n v="615"/>
    <x v="11"/>
    <s v=""/>
    <x v="4"/>
    <x v="1"/>
  </r>
  <r>
    <x v="0"/>
    <x v="0"/>
    <x v="13"/>
    <s v="Asiento Cuadrado"/>
    <s v="Debe"/>
    <x v="1"/>
    <x v="1"/>
    <x v="1"/>
    <x v="1"/>
    <n v="0"/>
    <s v="Asiento Cuadrado"/>
    <s v=""/>
    <x v="4"/>
    <x v="1"/>
    <x v="2"/>
    <x v="11"/>
    <x v="11"/>
    <s v=""/>
    <x v="0"/>
    <x v="0"/>
    <n v="616"/>
    <x v="11"/>
    <s v=""/>
    <x v="4"/>
    <x v="1"/>
  </r>
  <r>
    <x v="0"/>
    <x v="0"/>
    <x v="13"/>
    <n v="0"/>
    <s v="Debe"/>
    <x v="1"/>
    <x v="1"/>
    <x v="1"/>
    <x v="1"/>
    <n v="0"/>
    <n v="0"/>
    <s v=""/>
    <x v="4"/>
    <x v="1"/>
    <x v="2"/>
    <x v="11"/>
    <x v="11"/>
    <s v=""/>
    <x v="0"/>
    <x v="0"/>
    <n v="617"/>
    <x v="11"/>
    <s v=""/>
    <x v="4"/>
    <x v="1"/>
  </r>
  <r>
    <x v="0"/>
    <x v="0"/>
    <x v="13"/>
    <s v="DEBE"/>
    <s v="Debe"/>
    <x v="1"/>
    <x v="1"/>
    <x v="1"/>
    <x v="1"/>
    <n v="0"/>
    <s v="DEBE"/>
    <s v=""/>
    <x v="4"/>
    <x v="1"/>
    <x v="2"/>
    <x v="11"/>
    <x v="11"/>
    <s v=""/>
    <x v="0"/>
    <x v="0"/>
    <n v="618"/>
    <x v="11"/>
    <s v=""/>
    <x v="4"/>
    <x v="1"/>
  </r>
  <r>
    <x v="0"/>
    <x v="0"/>
    <x v="13"/>
    <n v="0"/>
    <s v="Debe"/>
    <x v="1"/>
    <x v="1"/>
    <x v="1"/>
    <x v="1"/>
    <n v="0"/>
    <n v="0"/>
    <s v=""/>
    <x v="4"/>
    <x v="1"/>
    <x v="2"/>
    <x v="11"/>
    <x v="11"/>
    <s v=""/>
    <x v="0"/>
    <x v="0"/>
    <n v="619"/>
    <x v="11"/>
    <s v=""/>
    <x v="4"/>
    <x v="1"/>
  </r>
  <r>
    <x v="0"/>
    <x v="0"/>
    <x v="13"/>
    <s v="Corrección Valorativa - Amortización"/>
    <s v="Debe"/>
    <x v="1"/>
    <x v="1"/>
    <x v="1"/>
    <x v="1"/>
    <n v="0"/>
    <s v="Corrección Valorativa - Amortización"/>
    <s v=""/>
    <x v="4"/>
    <x v="1"/>
    <x v="2"/>
    <x v="11"/>
    <x v="11"/>
    <s v=""/>
    <x v="0"/>
    <x v="0"/>
    <n v="622"/>
    <x v="11"/>
    <s v=""/>
    <x v="4"/>
    <x v="1"/>
  </r>
  <r>
    <x v="0"/>
    <x v="0"/>
    <x v="13"/>
    <s v="Asiento Cuadrado"/>
    <s v="Debe"/>
    <x v="1"/>
    <x v="1"/>
    <x v="1"/>
    <x v="1"/>
    <n v="0"/>
    <s v="Asiento Cuadrado"/>
    <s v=""/>
    <x v="4"/>
    <x v="1"/>
    <x v="2"/>
    <x v="11"/>
    <x v="11"/>
    <s v=""/>
    <x v="0"/>
    <x v="0"/>
    <n v="623"/>
    <x v="11"/>
    <s v=""/>
    <x v="4"/>
    <x v="1"/>
  </r>
  <r>
    <x v="0"/>
    <x v="0"/>
    <x v="13"/>
    <n v="0"/>
    <s v="Debe"/>
    <x v="1"/>
    <x v="1"/>
    <x v="1"/>
    <x v="1"/>
    <n v="0"/>
    <n v="0"/>
    <s v=""/>
    <x v="4"/>
    <x v="1"/>
    <x v="2"/>
    <x v="11"/>
    <x v="11"/>
    <s v=""/>
    <x v="0"/>
    <x v="0"/>
    <n v="624"/>
    <x v="11"/>
    <s v=""/>
    <x v="4"/>
    <x v="1"/>
  </r>
  <r>
    <x v="0"/>
    <x v="0"/>
    <x v="13"/>
    <s v="DEBE"/>
    <s v="Debe"/>
    <x v="1"/>
    <x v="1"/>
    <x v="1"/>
    <x v="1"/>
    <n v="0"/>
    <s v="DEBE"/>
    <s v=""/>
    <x v="4"/>
    <x v="1"/>
    <x v="2"/>
    <x v="11"/>
    <x v="11"/>
    <s v=""/>
    <x v="0"/>
    <x v="0"/>
    <n v="625"/>
    <x v="11"/>
    <s v=""/>
    <x v="4"/>
    <x v="1"/>
  </r>
  <r>
    <x v="0"/>
    <x v="0"/>
    <x v="13"/>
    <n v="0"/>
    <s v="Debe"/>
    <x v="1"/>
    <x v="1"/>
    <x v="1"/>
    <x v="1"/>
    <n v="0"/>
    <n v="0"/>
    <s v=""/>
    <x v="4"/>
    <x v="1"/>
    <x v="2"/>
    <x v="11"/>
    <x v="11"/>
    <s v=""/>
    <x v="0"/>
    <x v="0"/>
    <n v="626"/>
    <x v="11"/>
    <s v=""/>
    <x v="4"/>
    <x v="1"/>
  </r>
  <r>
    <x v="0"/>
    <x v="0"/>
    <x v="13"/>
    <s v="Corrección Valorativa - Amortización"/>
    <s v="Debe"/>
    <x v="1"/>
    <x v="1"/>
    <x v="1"/>
    <x v="1"/>
    <n v="0"/>
    <s v="Corrección Valorativa - Amortización"/>
    <s v=""/>
    <x v="4"/>
    <x v="1"/>
    <x v="2"/>
    <x v="11"/>
    <x v="11"/>
    <s v=""/>
    <x v="0"/>
    <x v="0"/>
    <n v="629"/>
    <x v="11"/>
    <s v=""/>
    <x v="4"/>
    <x v="1"/>
  </r>
  <r>
    <x v="0"/>
    <x v="0"/>
    <x v="13"/>
    <s v="Asiento Cuadrado"/>
    <s v="Debe"/>
    <x v="1"/>
    <x v="1"/>
    <x v="1"/>
    <x v="1"/>
    <n v="0"/>
    <s v="Asiento Cuadrado"/>
    <s v=""/>
    <x v="4"/>
    <x v="1"/>
    <x v="2"/>
    <x v="11"/>
    <x v="11"/>
    <s v=""/>
    <x v="0"/>
    <x v="0"/>
    <n v="630"/>
    <x v="11"/>
    <s v=""/>
    <x v="4"/>
    <x v="1"/>
  </r>
  <r>
    <x v="0"/>
    <x v="0"/>
    <x v="13"/>
    <n v="0"/>
    <s v="Debe"/>
    <x v="1"/>
    <x v="1"/>
    <x v="1"/>
    <x v="1"/>
    <n v="0"/>
    <n v="0"/>
    <s v=""/>
    <x v="4"/>
    <x v="1"/>
    <x v="2"/>
    <x v="11"/>
    <x v="11"/>
    <s v=""/>
    <x v="0"/>
    <x v="0"/>
    <n v="631"/>
    <x v="11"/>
    <s v=""/>
    <x v="4"/>
    <x v="1"/>
  </r>
  <r>
    <x v="0"/>
    <x v="0"/>
    <x v="13"/>
    <s v="DEBE"/>
    <s v="Debe"/>
    <x v="1"/>
    <x v="1"/>
    <x v="1"/>
    <x v="1"/>
    <n v="0"/>
    <s v="DEBE"/>
    <s v=""/>
    <x v="4"/>
    <x v="1"/>
    <x v="2"/>
    <x v="11"/>
    <x v="11"/>
    <s v=""/>
    <x v="0"/>
    <x v="0"/>
    <n v="632"/>
    <x v="11"/>
    <s v=""/>
    <x v="4"/>
    <x v="1"/>
  </r>
  <r>
    <x v="0"/>
    <x v="0"/>
    <x v="13"/>
    <n v="0"/>
    <s v="Debe"/>
    <x v="1"/>
    <x v="1"/>
    <x v="1"/>
    <x v="1"/>
    <n v="0"/>
    <n v="0"/>
    <s v=""/>
    <x v="4"/>
    <x v="1"/>
    <x v="2"/>
    <x v="11"/>
    <x v="11"/>
    <s v=""/>
    <x v="0"/>
    <x v="0"/>
    <n v="633"/>
    <x v="11"/>
    <s v=""/>
    <x v="4"/>
    <x v="1"/>
  </r>
  <r>
    <x v="0"/>
    <x v="0"/>
    <x v="13"/>
    <s v="Corrección Valorativa - Deterioro de Valor"/>
    <s v="Debe"/>
    <x v="1"/>
    <x v="1"/>
    <x v="1"/>
    <x v="1"/>
    <n v="0"/>
    <s v="Corrección Valorativa - Deterioro de Valor"/>
    <s v=""/>
    <x v="4"/>
    <x v="1"/>
    <x v="2"/>
    <x v="11"/>
    <x v="11"/>
    <s v=""/>
    <x v="0"/>
    <x v="0"/>
    <n v="636"/>
    <x v="11"/>
    <s v=""/>
    <x v="4"/>
    <x v="1"/>
  </r>
  <r>
    <x v="0"/>
    <x v="0"/>
    <x v="13"/>
    <s v="Asiento Cuadrado"/>
    <s v="Debe"/>
    <x v="1"/>
    <x v="1"/>
    <x v="1"/>
    <x v="1"/>
    <n v="0"/>
    <s v="Asiento Cuadrado"/>
    <s v=""/>
    <x v="4"/>
    <x v="1"/>
    <x v="2"/>
    <x v="11"/>
    <x v="11"/>
    <s v=""/>
    <x v="0"/>
    <x v="0"/>
    <n v="637"/>
    <x v="11"/>
    <s v=""/>
    <x v="4"/>
    <x v="1"/>
  </r>
  <r>
    <x v="0"/>
    <x v="0"/>
    <x v="13"/>
    <n v="0"/>
    <s v="Debe"/>
    <x v="1"/>
    <x v="1"/>
    <x v="1"/>
    <x v="1"/>
    <n v="0"/>
    <n v="0"/>
    <s v=""/>
    <x v="4"/>
    <x v="1"/>
    <x v="2"/>
    <x v="11"/>
    <x v="11"/>
    <s v=""/>
    <x v="0"/>
    <x v="0"/>
    <n v="638"/>
    <x v="11"/>
    <s v=""/>
    <x v="4"/>
    <x v="1"/>
  </r>
  <r>
    <x v="0"/>
    <x v="0"/>
    <x v="13"/>
    <s v="DEBE"/>
    <s v="Debe"/>
    <x v="1"/>
    <x v="1"/>
    <x v="1"/>
    <x v="1"/>
    <n v="0"/>
    <s v="DEBE"/>
    <s v=""/>
    <x v="4"/>
    <x v="1"/>
    <x v="2"/>
    <x v="11"/>
    <x v="11"/>
    <s v=""/>
    <x v="0"/>
    <x v="0"/>
    <n v="639"/>
    <x v="11"/>
    <s v=""/>
    <x v="4"/>
    <x v="1"/>
  </r>
  <r>
    <x v="0"/>
    <x v="0"/>
    <x v="13"/>
    <n v="0"/>
    <s v="Debe"/>
    <x v="1"/>
    <x v="1"/>
    <x v="1"/>
    <x v="1"/>
    <n v="0"/>
    <n v="0"/>
    <s v=""/>
    <x v="4"/>
    <x v="1"/>
    <x v="2"/>
    <x v="11"/>
    <x v="11"/>
    <s v=""/>
    <x v="0"/>
    <x v="0"/>
    <n v="640"/>
    <x v="11"/>
    <s v=""/>
    <x v="4"/>
    <x v="1"/>
  </r>
  <r>
    <x v="0"/>
    <x v="0"/>
    <x v="13"/>
    <s v="Corrección Valorativa - Deterioro de Valor"/>
    <s v="Debe"/>
    <x v="1"/>
    <x v="1"/>
    <x v="1"/>
    <x v="1"/>
    <n v="0"/>
    <s v="Corrección Valorativa - Deterioro de Valor"/>
    <s v=""/>
    <x v="4"/>
    <x v="1"/>
    <x v="2"/>
    <x v="11"/>
    <x v="11"/>
    <s v=""/>
    <x v="0"/>
    <x v="0"/>
    <n v="643"/>
    <x v="11"/>
    <s v=""/>
    <x v="4"/>
    <x v="1"/>
  </r>
  <r>
    <x v="0"/>
    <x v="0"/>
    <x v="13"/>
    <s v="Asiento Cuadrado"/>
    <s v="Debe"/>
    <x v="1"/>
    <x v="1"/>
    <x v="1"/>
    <x v="1"/>
    <n v="0"/>
    <s v="Asiento Cuadrado"/>
    <s v=""/>
    <x v="4"/>
    <x v="1"/>
    <x v="2"/>
    <x v="11"/>
    <x v="11"/>
    <s v=""/>
    <x v="0"/>
    <x v="0"/>
    <n v="644"/>
    <x v="11"/>
    <s v=""/>
    <x v="4"/>
    <x v="1"/>
  </r>
  <r>
    <x v="0"/>
    <x v="0"/>
    <x v="13"/>
    <n v="0"/>
    <s v="Debe"/>
    <x v="1"/>
    <x v="1"/>
    <x v="1"/>
    <x v="1"/>
    <n v="0"/>
    <n v="0"/>
    <s v=""/>
    <x v="4"/>
    <x v="1"/>
    <x v="2"/>
    <x v="11"/>
    <x v="11"/>
    <s v=""/>
    <x v="0"/>
    <x v="0"/>
    <n v="645"/>
    <x v="11"/>
    <s v=""/>
    <x v="4"/>
    <x v="1"/>
  </r>
  <r>
    <x v="0"/>
    <x v="0"/>
    <x v="13"/>
    <s v="DEBE"/>
    <s v="Debe"/>
    <x v="1"/>
    <x v="1"/>
    <x v="1"/>
    <x v="1"/>
    <n v="0"/>
    <s v="DEBE"/>
    <s v=""/>
    <x v="4"/>
    <x v="1"/>
    <x v="2"/>
    <x v="11"/>
    <x v="11"/>
    <s v=""/>
    <x v="0"/>
    <x v="0"/>
    <n v="646"/>
    <x v="11"/>
    <s v=""/>
    <x v="4"/>
    <x v="1"/>
  </r>
  <r>
    <x v="0"/>
    <x v="0"/>
    <x v="13"/>
    <n v="0"/>
    <s v="Debe"/>
    <x v="1"/>
    <x v="1"/>
    <x v="1"/>
    <x v="1"/>
    <n v="0"/>
    <n v="0"/>
    <s v=""/>
    <x v="4"/>
    <x v="1"/>
    <x v="2"/>
    <x v="11"/>
    <x v="11"/>
    <s v=""/>
    <x v="0"/>
    <x v="0"/>
    <n v="647"/>
    <x v="11"/>
    <s v=""/>
    <x v="4"/>
    <x v="1"/>
  </r>
  <r>
    <x v="0"/>
    <x v="0"/>
    <x v="13"/>
    <s v="Corrección Valorativa - Deterioro de Valor"/>
    <s v="Debe"/>
    <x v="1"/>
    <x v="1"/>
    <x v="1"/>
    <x v="1"/>
    <n v="0"/>
    <s v="Corrección Valorativa - Deterioro de Valor"/>
    <s v=""/>
    <x v="4"/>
    <x v="1"/>
    <x v="2"/>
    <x v="11"/>
    <x v="11"/>
    <s v=""/>
    <x v="0"/>
    <x v="0"/>
    <n v="650"/>
    <x v="11"/>
    <s v=""/>
    <x v="4"/>
    <x v="1"/>
  </r>
  <r>
    <x v="0"/>
    <x v="0"/>
    <x v="13"/>
    <s v="Asiento Cuadrado"/>
    <s v="Debe"/>
    <x v="1"/>
    <x v="1"/>
    <x v="1"/>
    <x v="1"/>
    <n v="0"/>
    <s v="Asiento Cuadrado"/>
    <s v=""/>
    <x v="4"/>
    <x v="1"/>
    <x v="2"/>
    <x v="11"/>
    <x v="11"/>
    <s v=""/>
    <x v="0"/>
    <x v="0"/>
    <n v="651"/>
    <x v="11"/>
    <s v=""/>
    <x v="4"/>
    <x v="1"/>
  </r>
  <r>
    <x v="0"/>
    <x v="0"/>
    <x v="13"/>
    <n v="0"/>
    <s v="Debe"/>
    <x v="1"/>
    <x v="1"/>
    <x v="1"/>
    <x v="1"/>
    <n v="0"/>
    <n v="0"/>
    <s v=""/>
    <x v="4"/>
    <x v="1"/>
    <x v="2"/>
    <x v="11"/>
    <x v="11"/>
    <s v=""/>
    <x v="0"/>
    <x v="0"/>
    <n v="652"/>
    <x v="11"/>
    <s v=""/>
    <x v="4"/>
    <x v="1"/>
  </r>
  <r>
    <x v="0"/>
    <x v="0"/>
    <x v="13"/>
    <s v="DEBE"/>
    <s v="Debe"/>
    <x v="1"/>
    <x v="1"/>
    <x v="1"/>
    <x v="1"/>
    <n v="0"/>
    <s v="DEBE"/>
    <s v=""/>
    <x v="4"/>
    <x v="1"/>
    <x v="2"/>
    <x v="11"/>
    <x v="11"/>
    <s v=""/>
    <x v="0"/>
    <x v="0"/>
    <n v="653"/>
    <x v="11"/>
    <s v=""/>
    <x v="4"/>
    <x v="1"/>
  </r>
  <r>
    <x v="0"/>
    <x v="0"/>
    <x v="13"/>
    <n v="0"/>
    <s v="Debe"/>
    <x v="1"/>
    <x v="1"/>
    <x v="1"/>
    <x v="1"/>
    <n v="0"/>
    <n v="0"/>
    <s v=""/>
    <x v="4"/>
    <x v="1"/>
    <x v="2"/>
    <x v="11"/>
    <x v="11"/>
    <s v=""/>
    <x v="0"/>
    <x v="0"/>
    <n v="654"/>
    <x v="11"/>
    <s v=""/>
    <x v="4"/>
    <x v="1"/>
  </r>
  <r>
    <x v="0"/>
    <x v="0"/>
    <x v="13"/>
    <s v="Regularización de Existencias"/>
    <s v="Debe"/>
    <x v="1"/>
    <x v="1"/>
    <x v="1"/>
    <x v="1"/>
    <n v="0"/>
    <s v="Regularización de Existencias"/>
    <s v=""/>
    <x v="4"/>
    <x v="1"/>
    <x v="2"/>
    <x v="11"/>
    <x v="11"/>
    <s v=""/>
    <x v="0"/>
    <x v="0"/>
    <n v="657"/>
    <x v="11"/>
    <s v=""/>
    <x v="4"/>
    <x v="1"/>
  </r>
  <r>
    <x v="0"/>
    <x v="0"/>
    <x v="13"/>
    <s v="Asiento Cuadrado"/>
    <s v="Debe"/>
    <x v="1"/>
    <x v="1"/>
    <x v="1"/>
    <x v="1"/>
    <n v="0"/>
    <s v="Asiento Cuadrado"/>
    <s v=""/>
    <x v="4"/>
    <x v="1"/>
    <x v="2"/>
    <x v="11"/>
    <x v="11"/>
    <s v=""/>
    <x v="0"/>
    <x v="0"/>
    <n v="658"/>
    <x v="11"/>
    <s v=""/>
    <x v="4"/>
    <x v="1"/>
  </r>
  <r>
    <x v="0"/>
    <x v="0"/>
    <x v="13"/>
    <n v="0"/>
    <s v="Debe"/>
    <x v="1"/>
    <x v="1"/>
    <x v="1"/>
    <x v="1"/>
    <n v="0"/>
    <n v="0"/>
    <s v=""/>
    <x v="4"/>
    <x v="1"/>
    <x v="2"/>
    <x v="11"/>
    <x v="11"/>
    <s v=""/>
    <x v="0"/>
    <x v="0"/>
    <n v="659"/>
    <x v="11"/>
    <s v=""/>
    <x v="4"/>
    <x v="1"/>
  </r>
  <r>
    <x v="0"/>
    <x v="0"/>
    <x v="13"/>
    <s v="DEBE"/>
    <s v="Debe"/>
    <x v="1"/>
    <x v="1"/>
    <x v="1"/>
    <x v="1"/>
    <n v="0"/>
    <s v="DEBE"/>
    <s v=""/>
    <x v="4"/>
    <x v="1"/>
    <x v="2"/>
    <x v="11"/>
    <x v="11"/>
    <s v=""/>
    <x v="0"/>
    <x v="0"/>
    <n v="660"/>
    <x v="11"/>
    <s v=""/>
    <x v="4"/>
    <x v="1"/>
  </r>
  <r>
    <x v="0"/>
    <x v="0"/>
    <x v="13"/>
    <n v="0"/>
    <s v="Debe"/>
    <x v="1"/>
    <x v="1"/>
    <x v="1"/>
    <x v="1"/>
    <n v="0"/>
    <n v="0"/>
    <s v=""/>
    <x v="4"/>
    <x v="1"/>
    <x v="2"/>
    <x v="11"/>
    <x v="11"/>
    <s v=""/>
    <x v="0"/>
    <x v="0"/>
    <n v="661"/>
    <x v="11"/>
    <s v=""/>
    <x v="4"/>
    <x v="1"/>
  </r>
  <r>
    <x v="0"/>
    <x v="0"/>
    <x v="13"/>
    <s v="Regularización de Existencias"/>
    <s v="Debe"/>
    <x v="1"/>
    <x v="1"/>
    <x v="1"/>
    <x v="1"/>
    <n v="0"/>
    <s v="Regularización de Existencias"/>
    <s v=""/>
    <x v="4"/>
    <x v="1"/>
    <x v="2"/>
    <x v="11"/>
    <x v="11"/>
    <s v=""/>
    <x v="0"/>
    <x v="0"/>
    <n v="664"/>
    <x v="11"/>
    <s v=""/>
    <x v="4"/>
    <x v="1"/>
  </r>
  <r>
    <x v="0"/>
    <x v="0"/>
    <x v="13"/>
    <s v="Asiento Cuadrado"/>
    <s v="Debe"/>
    <x v="1"/>
    <x v="1"/>
    <x v="1"/>
    <x v="1"/>
    <n v="0"/>
    <s v="Asiento Cuadrado"/>
    <s v=""/>
    <x v="4"/>
    <x v="1"/>
    <x v="2"/>
    <x v="11"/>
    <x v="11"/>
    <s v=""/>
    <x v="0"/>
    <x v="0"/>
    <n v="665"/>
    <x v="11"/>
    <s v=""/>
    <x v="4"/>
    <x v="1"/>
  </r>
  <r>
    <x v="0"/>
    <x v="0"/>
    <x v="13"/>
    <n v="0"/>
    <s v="Debe"/>
    <x v="1"/>
    <x v="1"/>
    <x v="1"/>
    <x v="1"/>
    <n v="0"/>
    <n v="0"/>
    <s v=""/>
    <x v="4"/>
    <x v="1"/>
    <x v="2"/>
    <x v="11"/>
    <x v="11"/>
    <s v=""/>
    <x v="0"/>
    <x v="0"/>
    <n v="666"/>
    <x v="11"/>
    <s v=""/>
    <x v="4"/>
    <x v="1"/>
  </r>
  <r>
    <x v="0"/>
    <x v="0"/>
    <x v="13"/>
    <s v="DEBE"/>
    <s v="Debe"/>
    <x v="1"/>
    <x v="1"/>
    <x v="1"/>
    <x v="1"/>
    <n v="0"/>
    <s v="DEBE"/>
    <s v=""/>
    <x v="4"/>
    <x v="1"/>
    <x v="2"/>
    <x v="11"/>
    <x v="11"/>
    <s v=""/>
    <x v="0"/>
    <x v="0"/>
    <n v="667"/>
    <x v="11"/>
    <s v=""/>
    <x v="4"/>
    <x v="1"/>
  </r>
  <r>
    <x v="0"/>
    <x v="0"/>
    <x v="13"/>
    <n v="0"/>
    <s v="Debe"/>
    <x v="1"/>
    <x v="1"/>
    <x v="1"/>
    <x v="1"/>
    <n v="0"/>
    <n v="0"/>
    <s v=""/>
    <x v="4"/>
    <x v="1"/>
    <x v="2"/>
    <x v="11"/>
    <x v="11"/>
    <s v=""/>
    <x v="0"/>
    <x v="0"/>
    <n v="668"/>
    <x v="11"/>
    <s v=""/>
    <x v="4"/>
    <x v="1"/>
  </r>
  <r>
    <x v="0"/>
    <x v="0"/>
    <x v="13"/>
    <s v="Regularización de Existencias"/>
    <s v="Debe"/>
    <x v="1"/>
    <x v="1"/>
    <x v="1"/>
    <x v="1"/>
    <n v="0"/>
    <s v="Regularización de Existencias"/>
    <s v=""/>
    <x v="4"/>
    <x v="1"/>
    <x v="2"/>
    <x v="11"/>
    <x v="11"/>
    <s v=""/>
    <x v="0"/>
    <x v="0"/>
    <n v="671"/>
    <x v="11"/>
    <s v=""/>
    <x v="4"/>
    <x v="1"/>
  </r>
  <r>
    <x v="0"/>
    <x v="0"/>
    <x v="13"/>
    <s v="Asiento Cuadrado"/>
    <s v="Debe"/>
    <x v="1"/>
    <x v="1"/>
    <x v="1"/>
    <x v="1"/>
    <n v="0"/>
    <s v="Asiento Cuadrado"/>
    <s v=""/>
    <x v="4"/>
    <x v="1"/>
    <x v="2"/>
    <x v="11"/>
    <x v="11"/>
    <s v=""/>
    <x v="0"/>
    <x v="0"/>
    <n v="672"/>
    <x v="11"/>
    <s v=""/>
    <x v="4"/>
    <x v="1"/>
  </r>
  <r>
    <x v="0"/>
    <x v="0"/>
    <x v="13"/>
    <n v="0"/>
    <s v="Debe"/>
    <x v="1"/>
    <x v="1"/>
    <x v="1"/>
    <x v="1"/>
    <n v="0"/>
    <n v="0"/>
    <s v=""/>
    <x v="4"/>
    <x v="1"/>
    <x v="2"/>
    <x v="11"/>
    <x v="11"/>
    <s v=""/>
    <x v="0"/>
    <x v="0"/>
    <n v="673"/>
    <x v="11"/>
    <s v=""/>
    <x v="4"/>
    <x v="1"/>
  </r>
  <r>
    <x v="0"/>
    <x v="0"/>
    <x v="13"/>
    <s v="DEBE"/>
    <s v="Debe"/>
    <x v="1"/>
    <x v="1"/>
    <x v="1"/>
    <x v="1"/>
    <n v="0"/>
    <s v="DEBE"/>
    <s v=""/>
    <x v="4"/>
    <x v="1"/>
    <x v="2"/>
    <x v="11"/>
    <x v="11"/>
    <s v=""/>
    <x v="0"/>
    <x v="0"/>
    <n v="674"/>
    <x v="11"/>
    <s v=""/>
    <x v="4"/>
    <x v="1"/>
  </r>
  <r>
    <x v="0"/>
    <x v="0"/>
    <x v="13"/>
    <n v="0"/>
    <s v="Debe"/>
    <x v="1"/>
    <x v="1"/>
    <x v="1"/>
    <x v="1"/>
    <n v="0"/>
    <n v="0"/>
    <s v=""/>
    <x v="4"/>
    <x v="1"/>
    <x v="2"/>
    <x v="11"/>
    <x v="11"/>
    <s v=""/>
    <x v="0"/>
    <x v="0"/>
    <n v="675"/>
    <x v="11"/>
    <s v=""/>
    <x v="4"/>
    <x v="1"/>
  </r>
  <r>
    <x v="0"/>
    <x v="0"/>
    <x v="13"/>
    <s v="Regularización de Existencias"/>
    <s v="Debe"/>
    <x v="1"/>
    <x v="1"/>
    <x v="1"/>
    <x v="1"/>
    <n v="0"/>
    <s v="Regularización de Existencias"/>
    <s v=""/>
    <x v="4"/>
    <x v="1"/>
    <x v="2"/>
    <x v="11"/>
    <x v="11"/>
    <s v=""/>
    <x v="0"/>
    <x v="0"/>
    <n v="678"/>
    <x v="11"/>
    <s v=""/>
    <x v="4"/>
    <x v="1"/>
  </r>
  <r>
    <x v="0"/>
    <x v="0"/>
    <x v="13"/>
    <s v="Asiento Cuadrado"/>
    <s v="Debe"/>
    <x v="1"/>
    <x v="1"/>
    <x v="1"/>
    <x v="1"/>
    <n v="0"/>
    <s v="Asiento Cuadrado"/>
    <s v=""/>
    <x v="4"/>
    <x v="1"/>
    <x v="2"/>
    <x v="11"/>
    <x v="11"/>
    <s v=""/>
    <x v="0"/>
    <x v="0"/>
    <n v="679"/>
    <x v="11"/>
    <s v=""/>
    <x v="4"/>
    <x v="1"/>
  </r>
  <r>
    <x v="0"/>
    <x v="0"/>
    <x v="13"/>
    <n v="0"/>
    <s v="Debe"/>
    <x v="1"/>
    <x v="1"/>
    <x v="1"/>
    <x v="1"/>
    <n v="0"/>
    <n v="0"/>
    <s v=""/>
    <x v="4"/>
    <x v="1"/>
    <x v="2"/>
    <x v="11"/>
    <x v="11"/>
    <s v=""/>
    <x v="0"/>
    <x v="0"/>
    <n v="680"/>
    <x v="11"/>
    <s v=""/>
    <x v="4"/>
    <x v="1"/>
  </r>
  <r>
    <x v="0"/>
    <x v="0"/>
    <x v="13"/>
    <s v="DEBE"/>
    <s v="Debe"/>
    <x v="1"/>
    <x v="1"/>
    <x v="1"/>
    <x v="1"/>
    <n v="0"/>
    <s v="DEBE"/>
    <s v=""/>
    <x v="4"/>
    <x v="1"/>
    <x v="2"/>
    <x v="11"/>
    <x v="11"/>
    <s v=""/>
    <x v="0"/>
    <x v="0"/>
    <n v="681"/>
    <x v="11"/>
    <s v=""/>
    <x v="4"/>
    <x v="1"/>
  </r>
  <r>
    <x v="0"/>
    <x v="0"/>
    <x v="13"/>
    <n v="0"/>
    <s v="Debe"/>
    <x v="1"/>
    <x v="1"/>
    <x v="1"/>
    <x v="1"/>
    <n v="0"/>
    <n v="0"/>
    <s v=""/>
    <x v="4"/>
    <x v="1"/>
    <x v="2"/>
    <x v="11"/>
    <x v="11"/>
    <s v=""/>
    <x v="0"/>
    <x v="0"/>
    <n v="682"/>
    <x v="11"/>
    <s v=""/>
    <x v="4"/>
    <x v="1"/>
  </r>
  <r>
    <x v="0"/>
    <x v="0"/>
    <x v="13"/>
    <s v="Regularización de Existencias"/>
    <s v="Debe"/>
    <x v="1"/>
    <x v="1"/>
    <x v="1"/>
    <x v="1"/>
    <n v="0"/>
    <s v="Regularización de Existencias"/>
    <s v=""/>
    <x v="4"/>
    <x v="1"/>
    <x v="2"/>
    <x v="11"/>
    <x v="11"/>
    <s v=""/>
    <x v="0"/>
    <x v="0"/>
    <n v="685"/>
    <x v="11"/>
    <s v=""/>
    <x v="4"/>
    <x v="1"/>
  </r>
  <r>
    <x v="0"/>
    <x v="0"/>
    <x v="13"/>
    <s v="Asiento Cuadrado"/>
    <s v="Debe"/>
    <x v="1"/>
    <x v="1"/>
    <x v="1"/>
    <x v="1"/>
    <n v="0"/>
    <s v="Asiento Cuadrado"/>
    <s v=""/>
    <x v="4"/>
    <x v="1"/>
    <x v="2"/>
    <x v="11"/>
    <x v="11"/>
    <s v=""/>
    <x v="0"/>
    <x v="0"/>
    <n v="686"/>
    <x v="11"/>
    <s v=""/>
    <x v="4"/>
    <x v="1"/>
  </r>
  <r>
    <x v="0"/>
    <x v="0"/>
    <x v="13"/>
    <n v="0"/>
    <s v="Debe"/>
    <x v="1"/>
    <x v="1"/>
    <x v="1"/>
    <x v="1"/>
    <n v="0"/>
    <n v="0"/>
    <s v=""/>
    <x v="4"/>
    <x v="1"/>
    <x v="2"/>
    <x v="11"/>
    <x v="11"/>
    <s v=""/>
    <x v="0"/>
    <x v="0"/>
    <n v="687"/>
    <x v="11"/>
    <s v=""/>
    <x v="4"/>
    <x v="1"/>
  </r>
  <r>
    <x v="0"/>
    <x v="0"/>
    <x v="13"/>
    <s v="DEBE"/>
    <s v="Debe"/>
    <x v="1"/>
    <x v="1"/>
    <x v="1"/>
    <x v="1"/>
    <n v="0"/>
    <s v="DEBE"/>
    <s v=""/>
    <x v="4"/>
    <x v="1"/>
    <x v="2"/>
    <x v="11"/>
    <x v="11"/>
    <s v=""/>
    <x v="0"/>
    <x v="0"/>
    <n v="688"/>
    <x v="11"/>
    <s v=""/>
    <x v="4"/>
    <x v="1"/>
  </r>
  <r>
    <x v="0"/>
    <x v="0"/>
    <x v="13"/>
    <n v="0"/>
    <s v="Debe"/>
    <x v="1"/>
    <x v="1"/>
    <x v="1"/>
    <x v="1"/>
    <n v="0"/>
    <n v="0"/>
    <s v=""/>
    <x v="4"/>
    <x v="1"/>
    <x v="2"/>
    <x v="11"/>
    <x v="11"/>
    <s v=""/>
    <x v="0"/>
    <x v="0"/>
    <n v="689"/>
    <x v="11"/>
    <s v=""/>
    <x v="4"/>
    <x v="1"/>
  </r>
  <r>
    <x v="0"/>
    <x v="0"/>
    <x v="13"/>
    <s v="Regularización de Existencias"/>
    <s v="Debe"/>
    <x v="1"/>
    <x v="1"/>
    <x v="1"/>
    <x v="1"/>
    <n v="0"/>
    <s v="Regularización de Existencias"/>
    <s v=""/>
    <x v="4"/>
    <x v="1"/>
    <x v="2"/>
    <x v="11"/>
    <x v="11"/>
    <s v=""/>
    <x v="0"/>
    <x v="0"/>
    <n v="692"/>
    <x v="11"/>
    <s v=""/>
    <x v="4"/>
    <x v="1"/>
  </r>
  <r>
    <x v="0"/>
    <x v="0"/>
    <x v="13"/>
    <s v="Asiento Cuadrado"/>
    <s v="Debe"/>
    <x v="1"/>
    <x v="1"/>
    <x v="1"/>
    <x v="1"/>
    <n v="0"/>
    <s v="Asiento Cuadrado"/>
    <s v=""/>
    <x v="4"/>
    <x v="1"/>
    <x v="2"/>
    <x v="11"/>
    <x v="11"/>
    <s v=""/>
    <x v="0"/>
    <x v="0"/>
    <n v="693"/>
    <x v="11"/>
    <s v=""/>
    <x v="4"/>
    <x v="1"/>
  </r>
  <r>
    <x v="0"/>
    <x v="0"/>
    <x v="13"/>
    <n v="0"/>
    <s v="Debe"/>
    <x v="1"/>
    <x v="1"/>
    <x v="1"/>
    <x v="1"/>
    <n v="0"/>
    <n v="0"/>
    <s v=""/>
    <x v="4"/>
    <x v="1"/>
    <x v="2"/>
    <x v="11"/>
    <x v="11"/>
    <s v=""/>
    <x v="0"/>
    <x v="0"/>
    <n v="694"/>
    <x v="11"/>
    <s v=""/>
    <x v="4"/>
    <x v="1"/>
  </r>
  <r>
    <x v="0"/>
    <x v="0"/>
    <x v="13"/>
    <s v="DEBE"/>
    <s v="Debe"/>
    <x v="1"/>
    <x v="1"/>
    <x v="1"/>
    <x v="1"/>
    <n v="0"/>
    <s v="DEBE"/>
    <s v=""/>
    <x v="4"/>
    <x v="1"/>
    <x v="2"/>
    <x v="11"/>
    <x v="11"/>
    <s v=""/>
    <x v="0"/>
    <x v="0"/>
    <n v="695"/>
    <x v="11"/>
    <s v=""/>
    <x v="4"/>
    <x v="1"/>
  </r>
  <r>
    <x v="0"/>
    <x v="0"/>
    <x v="13"/>
    <n v="0"/>
    <s v="Debe"/>
    <x v="1"/>
    <x v="1"/>
    <x v="1"/>
    <x v="1"/>
    <n v="0"/>
    <n v="0"/>
    <s v=""/>
    <x v="4"/>
    <x v="1"/>
    <x v="2"/>
    <x v="11"/>
    <x v="11"/>
    <s v=""/>
    <x v="0"/>
    <x v="0"/>
    <n v="696"/>
    <x v="11"/>
    <s v=""/>
    <x v="4"/>
    <x v="1"/>
  </r>
  <r>
    <x v="0"/>
    <x v="0"/>
    <x v="13"/>
    <s v="Provisiones"/>
    <s v="Debe"/>
    <x v="1"/>
    <x v="1"/>
    <x v="1"/>
    <x v="1"/>
    <n v="0"/>
    <s v="Provisiones"/>
    <s v=""/>
    <x v="4"/>
    <x v="1"/>
    <x v="2"/>
    <x v="11"/>
    <x v="11"/>
    <s v=""/>
    <x v="0"/>
    <x v="0"/>
    <n v="699"/>
    <x v="11"/>
    <s v=""/>
    <x v="4"/>
    <x v="1"/>
  </r>
  <r>
    <x v="0"/>
    <x v="0"/>
    <x v="13"/>
    <s v="Asiento Cuadrado"/>
    <s v="Debe"/>
    <x v="1"/>
    <x v="1"/>
    <x v="1"/>
    <x v="1"/>
    <n v="0"/>
    <s v="Asiento Cuadrado"/>
    <s v=""/>
    <x v="4"/>
    <x v="1"/>
    <x v="2"/>
    <x v="11"/>
    <x v="11"/>
    <s v=""/>
    <x v="0"/>
    <x v="0"/>
    <n v="700"/>
    <x v="11"/>
    <s v=""/>
    <x v="4"/>
    <x v="1"/>
  </r>
  <r>
    <x v="0"/>
    <x v="0"/>
    <x v="13"/>
    <n v="0"/>
    <s v="Debe"/>
    <x v="1"/>
    <x v="1"/>
    <x v="1"/>
    <x v="1"/>
    <n v="0"/>
    <n v="0"/>
    <s v=""/>
    <x v="4"/>
    <x v="1"/>
    <x v="2"/>
    <x v="11"/>
    <x v="11"/>
    <s v=""/>
    <x v="0"/>
    <x v="0"/>
    <n v="701"/>
    <x v="11"/>
    <s v=""/>
    <x v="4"/>
    <x v="1"/>
  </r>
  <r>
    <x v="0"/>
    <x v="0"/>
    <x v="13"/>
    <s v="DEBE"/>
    <s v="Debe"/>
    <x v="1"/>
    <x v="1"/>
    <x v="1"/>
    <x v="1"/>
    <n v="0"/>
    <s v="DEBE"/>
    <s v=""/>
    <x v="4"/>
    <x v="1"/>
    <x v="2"/>
    <x v="11"/>
    <x v="11"/>
    <s v=""/>
    <x v="0"/>
    <x v="0"/>
    <n v="702"/>
    <x v="11"/>
    <s v=""/>
    <x v="4"/>
    <x v="1"/>
  </r>
  <r>
    <x v="0"/>
    <x v="0"/>
    <x v="13"/>
    <n v="0"/>
    <s v="Debe"/>
    <x v="1"/>
    <x v="1"/>
    <x v="1"/>
    <x v="1"/>
    <n v="0"/>
    <n v="0"/>
    <s v=""/>
    <x v="4"/>
    <x v="1"/>
    <x v="2"/>
    <x v="11"/>
    <x v="11"/>
    <s v=""/>
    <x v="0"/>
    <x v="0"/>
    <n v="703"/>
    <x v="11"/>
    <s v=""/>
    <x v="4"/>
    <x v="1"/>
  </r>
  <r>
    <x v="0"/>
    <x v="0"/>
    <x v="13"/>
    <s v="Determinación de Resultado Contable"/>
    <s v="Debe"/>
    <x v="1"/>
    <x v="1"/>
    <x v="1"/>
    <x v="1"/>
    <n v="0"/>
    <s v="Determinación de Resultado Contable"/>
    <s v=""/>
    <x v="4"/>
    <x v="1"/>
    <x v="2"/>
    <x v="11"/>
    <x v="11"/>
    <s v=""/>
    <x v="0"/>
    <x v="0"/>
    <n v="720"/>
    <x v="11"/>
    <s v=""/>
    <x v="4"/>
    <x v="1"/>
  </r>
  <r>
    <x v="0"/>
    <x v="0"/>
    <x v="13"/>
    <s v="Asiento Cuadrado"/>
    <s v="Debe"/>
    <x v="1"/>
    <x v="1"/>
    <x v="1"/>
    <x v="1"/>
    <n v="0"/>
    <s v="Asiento Cuadrado"/>
    <s v=""/>
    <x v="4"/>
    <x v="1"/>
    <x v="2"/>
    <x v="11"/>
    <x v="11"/>
    <s v=""/>
    <x v="0"/>
    <x v="0"/>
    <n v="721"/>
    <x v="11"/>
    <s v=""/>
    <x v="4"/>
    <x v="1"/>
  </r>
  <r>
    <x v="0"/>
    <x v="0"/>
    <x v="13"/>
    <n v="0"/>
    <s v="Debe"/>
    <x v="1"/>
    <x v="1"/>
    <x v="1"/>
    <x v="1"/>
    <n v="0"/>
    <n v="0"/>
    <s v=""/>
    <x v="4"/>
    <x v="1"/>
    <x v="2"/>
    <x v="11"/>
    <x v="11"/>
    <s v=""/>
    <x v="0"/>
    <x v="0"/>
    <n v="722"/>
    <x v="11"/>
    <s v=""/>
    <x v="4"/>
    <x v="1"/>
  </r>
  <r>
    <x v="0"/>
    <x v="0"/>
    <x v="13"/>
    <s v="DEBE"/>
    <s v="Debe"/>
    <x v="1"/>
    <x v="1"/>
    <x v="1"/>
    <x v="1"/>
    <n v="0"/>
    <s v="DEBE"/>
    <s v=""/>
    <x v="4"/>
    <x v="1"/>
    <x v="2"/>
    <x v="11"/>
    <x v="11"/>
    <s v=""/>
    <x v="0"/>
    <x v="0"/>
    <n v="723"/>
    <x v="11"/>
    <s v=""/>
    <x v="4"/>
    <x v="1"/>
  </r>
  <r>
    <x v="0"/>
    <x v="0"/>
    <x v="13"/>
    <n v="0"/>
    <s v="Debe"/>
    <x v="1"/>
    <x v="1"/>
    <x v="1"/>
    <x v="1"/>
    <n v="0"/>
    <n v="0"/>
    <s v=""/>
    <x v="4"/>
    <x v="1"/>
    <x v="2"/>
    <x v="11"/>
    <x v="11"/>
    <s v=""/>
    <x v="0"/>
    <x v="0"/>
    <n v="724"/>
    <x v="11"/>
    <s v=""/>
    <x v="4"/>
    <x v="1"/>
  </r>
  <r>
    <x v="0"/>
    <x v="0"/>
    <x v="13"/>
    <s v="Determinación de Resultado Contable"/>
    <s v="Debe"/>
    <x v="1"/>
    <x v="1"/>
    <x v="1"/>
    <x v="1"/>
    <n v="0"/>
    <s v="Determinación de Resultado Contable"/>
    <s v=""/>
    <x v="4"/>
    <x v="1"/>
    <x v="2"/>
    <x v="11"/>
    <x v="11"/>
    <s v=""/>
    <x v="0"/>
    <x v="0"/>
    <n v="737"/>
    <x v="11"/>
    <s v=""/>
    <x v="4"/>
    <x v="1"/>
  </r>
  <r>
    <x v="0"/>
    <x v="0"/>
    <x v="13"/>
    <s v="Asiento Cuadrado"/>
    <s v="Debe"/>
    <x v="1"/>
    <x v="1"/>
    <x v="1"/>
    <x v="1"/>
    <n v="0"/>
    <s v="Asiento Cuadrado"/>
    <s v=""/>
    <x v="4"/>
    <x v="1"/>
    <x v="2"/>
    <x v="11"/>
    <x v="11"/>
    <s v=""/>
    <x v="0"/>
    <x v="0"/>
    <n v="738"/>
    <x v="11"/>
    <s v=""/>
    <x v="4"/>
    <x v="1"/>
  </r>
  <r>
    <x v="0"/>
    <x v="0"/>
    <x v="13"/>
    <n v="0"/>
    <s v="Debe"/>
    <x v="1"/>
    <x v="1"/>
    <x v="1"/>
    <x v="1"/>
    <n v="0"/>
    <n v="0"/>
    <s v=""/>
    <x v="4"/>
    <x v="1"/>
    <x v="2"/>
    <x v="11"/>
    <x v="11"/>
    <s v=""/>
    <x v="0"/>
    <x v="0"/>
    <n v="739"/>
    <x v="11"/>
    <s v=""/>
    <x v="4"/>
    <x v="1"/>
  </r>
  <r>
    <x v="0"/>
    <x v="0"/>
    <x v="13"/>
    <s v="DEBE"/>
    <s v="Debe"/>
    <x v="1"/>
    <x v="1"/>
    <x v="1"/>
    <x v="1"/>
    <n v="0"/>
    <s v="DEBE"/>
    <s v=""/>
    <x v="4"/>
    <x v="1"/>
    <x v="2"/>
    <x v="11"/>
    <x v="11"/>
    <s v=""/>
    <x v="0"/>
    <x v="0"/>
    <n v="740"/>
    <x v="11"/>
    <s v=""/>
    <x v="4"/>
    <x v="1"/>
  </r>
  <r>
    <x v="0"/>
    <x v="0"/>
    <x v="13"/>
    <n v="0"/>
    <s v="Debe"/>
    <x v="1"/>
    <x v="1"/>
    <x v="1"/>
    <x v="1"/>
    <n v="0"/>
    <n v="0"/>
    <s v=""/>
    <x v="4"/>
    <x v="1"/>
    <x v="2"/>
    <x v="11"/>
    <x v="11"/>
    <s v=""/>
    <x v="0"/>
    <x v="0"/>
    <n v="741"/>
    <x v="11"/>
    <s v=""/>
    <x v="4"/>
    <x v="1"/>
  </r>
  <r>
    <x v="0"/>
    <x v="0"/>
    <x v="13"/>
    <s v="Impuesto de Sociedades"/>
    <s v="Debe"/>
    <x v="1"/>
    <x v="1"/>
    <x v="1"/>
    <x v="1"/>
    <n v="0"/>
    <s v="Impuesto de Sociedades"/>
    <s v=""/>
    <x v="4"/>
    <x v="1"/>
    <x v="2"/>
    <x v="11"/>
    <x v="11"/>
    <s v=""/>
    <x v="0"/>
    <x v="0"/>
    <n v="744"/>
    <x v="11"/>
    <s v=""/>
    <x v="4"/>
    <x v="1"/>
  </r>
  <r>
    <x v="0"/>
    <x v="0"/>
    <x v="13"/>
    <s v="Asiento Cuadrado"/>
    <s v="Debe"/>
    <x v="1"/>
    <x v="1"/>
    <x v="1"/>
    <x v="1"/>
    <n v="0"/>
    <s v="Asiento Cuadrado"/>
    <s v=""/>
    <x v="4"/>
    <x v="1"/>
    <x v="2"/>
    <x v="11"/>
    <x v="11"/>
    <s v=""/>
    <x v="0"/>
    <x v="0"/>
    <n v="745"/>
    <x v="11"/>
    <s v=""/>
    <x v="4"/>
    <x v="1"/>
  </r>
  <r>
    <x v="0"/>
    <x v="0"/>
    <x v="13"/>
    <n v="0"/>
    <s v="Debe"/>
    <x v="1"/>
    <x v="1"/>
    <x v="1"/>
    <x v="1"/>
    <n v="0"/>
    <n v="0"/>
    <s v=""/>
    <x v="4"/>
    <x v="1"/>
    <x v="2"/>
    <x v="11"/>
    <x v="11"/>
    <s v=""/>
    <x v="0"/>
    <x v="0"/>
    <n v="746"/>
    <x v="11"/>
    <s v=""/>
    <x v="4"/>
    <x v="1"/>
  </r>
  <r>
    <x v="0"/>
    <x v="0"/>
    <x v="13"/>
    <s v="DEBE"/>
    <s v="Debe"/>
    <x v="1"/>
    <x v="1"/>
    <x v="1"/>
    <x v="1"/>
    <n v="0"/>
    <s v="DEBE"/>
    <s v=""/>
    <x v="4"/>
    <x v="1"/>
    <x v="2"/>
    <x v="11"/>
    <x v="11"/>
    <s v=""/>
    <x v="0"/>
    <x v="0"/>
    <n v="747"/>
    <x v="11"/>
    <s v=""/>
    <x v="4"/>
    <x v="1"/>
  </r>
  <r>
    <x v="0"/>
    <x v="0"/>
    <x v="13"/>
    <n v="0"/>
    <s v="Debe"/>
    <x v="1"/>
    <x v="1"/>
    <x v="1"/>
    <x v="1"/>
    <n v="0"/>
    <n v="0"/>
    <s v=""/>
    <x v="4"/>
    <x v="1"/>
    <x v="2"/>
    <x v="11"/>
    <x v="11"/>
    <s v=""/>
    <x v="0"/>
    <x v="0"/>
    <n v="748"/>
    <x v="11"/>
    <s v=""/>
    <x v="4"/>
    <x v="1"/>
  </r>
  <r>
    <x v="0"/>
    <x v="0"/>
    <x v="13"/>
    <s v="Determinación de Resultado Contable"/>
    <s v="Debe"/>
    <x v="1"/>
    <x v="1"/>
    <x v="1"/>
    <x v="1"/>
    <n v="0"/>
    <s v="Determinación de Resultado Contable"/>
    <s v=""/>
    <x v="4"/>
    <x v="1"/>
    <x v="2"/>
    <x v="11"/>
    <x v="11"/>
    <s v=""/>
    <x v="0"/>
    <x v="0"/>
    <n v="751"/>
    <x v="11"/>
    <s v=""/>
    <x v="4"/>
    <x v="1"/>
  </r>
  <r>
    <x v="0"/>
    <x v="0"/>
    <x v="13"/>
    <s v="Asiento Cuadrado"/>
    <s v="Debe"/>
    <x v="1"/>
    <x v="1"/>
    <x v="1"/>
    <x v="1"/>
    <n v="0"/>
    <s v="Asiento Cuadrado"/>
    <s v=""/>
    <x v="4"/>
    <x v="1"/>
    <x v="2"/>
    <x v="11"/>
    <x v="11"/>
    <s v=""/>
    <x v="0"/>
    <x v="0"/>
    <n v="752"/>
    <x v="11"/>
    <s v=""/>
    <x v="4"/>
    <x v="1"/>
  </r>
  <r>
    <x v="0"/>
    <x v="0"/>
    <x v="13"/>
    <n v="0"/>
    <s v="Debe"/>
    <x v="1"/>
    <x v="1"/>
    <x v="1"/>
    <x v="1"/>
    <n v="0"/>
    <n v="0"/>
    <s v=""/>
    <x v="4"/>
    <x v="1"/>
    <x v="2"/>
    <x v="11"/>
    <x v="11"/>
    <s v=""/>
    <x v="0"/>
    <x v="0"/>
    <n v="753"/>
    <x v="11"/>
    <s v=""/>
    <x v="4"/>
    <x v="1"/>
  </r>
  <r>
    <x v="0"/>
    <x v="0"/>
    <x v="13"/>
    <s v="DEBE"/>
    <s v="Debe"/>
    <x v="1"/>
    <x v="1"/>
    <x v="1"/>
    <x v="1"/>
    <n v="0"/>
    <s v="DEBE"/>
    <s v=""/>
    <x v="4"/>
    <x v="1"/>
    <x v="2"/>
    <x v="11"/>
    <x v="11"/>
    <s v=""/>
    <x v="0"/>
    <x v="0"/>
    <n v="754"/>
    <x v="11"/>
    <s v=""/>
    <x v="4"/>
    <x v="1"/>
  </r>
  <r>
    <x v="0"/>
    <x v="0"/>
    <x v="13"/>
    <n v="0"/>
    <s v="Debe"/>
    <x v="1"/>
    <x v="1"/>
    <x v="1"/>
    <x v="1"/>
    <n v="0"/>
    <n v="0"/>
    <s v=""/>
    <x v="4"/>
    <x v="1"/>
    <x v="2"/>
    <x v="11"/>
    <x v="11"/>
    <s v=""/>
    <x v="0"/>
    <x v="0"/>
    <n v="755"/>
    <x v="11"/>
    <s v=""/>
    <x v="4"/>
    <x v="1"/>
  </r>
  <r>
    <x v="0"/>
    <x v="0"/>
    <x v="13"/>
    <s v="Asiento de Cierre"/>
    <s v="Debe"/>
    <x v="1"/>
    <x v="1"/>
    <x v="1"/>
    <x v="1"/>
    <n v="0"/>
    <s v="Asiento de Cierre"/>
    <s v=""/>
    <x v="4"/>
    <x v="1"/>
    <x v="2"/>
    <x v="11"/>
    <x v="11"/>
    <s v=""/>
    <x v="0"/>
    <x v="0"/>
    <n v="779"/>
    <x v="11"/>
    <s v=""/>
    <x v="4"/>
    <x v="1"/>
  </r>
  <r>
    <x v="0"/>
    <x v="0"/>
    <x v="13"/>
    <s v="Asiento Cuadrado"/>
    <s v="Debe"/>
    <x v="1"/>
    <x v="1"/>
    <x v="1"/>
    <x v="1"/>
    <n v="0"/>
    <s v="Asiento Cuadrado"/>
    <s v=""/>
    <x v="4"/>
    <x v="1"/>
    <x v="2"/>
    <x v="11"/>
    <x v="11"/>
    <s v=""/>
    <x v="0"/>
    <x v="0"/>
    <n v="780"/>
    <x v="11"/>
    <s v=""/>
    <x v="4"/>
    <x v="1"/>
  </r>
  <r>
    <x v="0"/>
    <x v="0"/>
    <x v="13"/>
    <n v="0"/>
    <s v="Debe"/>
    <x v="1"/>
    <x v="1"/>
    <x v="1"/>
    <x v="1"/>
    <n v="0"/>
    <n v="0"/>
    <s v=""/>
    <x v="4"/>
    <x v="1"/>
    <x v="2"/>
    <x v="11"/>
    <x v="11"/>
    <s v=""/>
    <x v="0"/>
    <x v="0"/>
    <n v="781"/>
    <x v="11"/>
    <s v=""/>
    <x v="4"/>
    <x v="1"/>
  </r>
  <r>
    <x v="0"/>
    <x v="0"/>
    <x v="13"/>
    <s v="DEBE"/>
    <s v="Debe"/>
    <x v="1"/>
    <x v="1"/>
    <x v="1"/>
    <x v="1"/>
    <n v="0"/>
    <s v="DEBE"/>
    <s v=""/>
    <x v="4"/>
    <x v="1"/>
    <x v="2"/>
    <x v="11"/>
    <x v="11"/>
    <s v=""/>
    <x v="0"/>
    <x v="0"/>
    <n v="782"/>
    <x v="11"/>
    <s v=""/>
    <x v="4"/>
    <x v="1"/>
  </r>
  <r>
    <x v="0"/>
    <x v="0"/>
    <x v="13"/>
    <n v="0"/>
    <s v="Debe"/>
    <x v="1"/>
    <x v="1"/>
    <x v="1"/>
    <x v="1"/>
    <n v="0"/>
    <n v="0"/>
    <s v=""/>
    <x v="4"/>
    <x v="1"/>
    <x v="2"/>
    <x v="11"/>
    <x v="11"/>
    <s v=""/>
    <x v="0"/>
    <x v="0"/>
    <n v="783"/>
    <x v="11"/>
    <s v=""/>
    <x v="4"/>
    <x v="1"/>
  </r>
  <r>
    <x v="1"/>
    <x v="1"/>
    <x v="13"/>
    <n v="0"/>
    <s v="Debe"/>
    <x v="1"/>
    <x v="2"/>
    <x v="1"/>
    <x v="1"/>
    <n v="0"/>
    <n v="0"/>
    <s v=""/>
    <x v="4"/>
    <x v="1"/>
    <x v="2"/>
    <x v="11"/>
    <x v="11"/>
    <s v=""/>
    <x v="0"/>
    <x v="0"/>
    <n v="784"/>
    <x v="11"/>
    <s v=""/>
    <x v="4"/>
    <x v="1"/>
  </r>
  <r>
    <x v="1"/>
    <x v="1"/>
    <x v="13"/>
    <n v="0"/>
    <s v="Debe"/>
    <x v="1"/>
    <x v="2"/>
    <x v="1"/>
    <x v="1"/>
    <n v="0"/>
    <n v="0"/>
    <s v=""/>
    <x v="4"/>
    <x v="1"/>
    <x v="2"/>
    <x v="11"/>
    <x v="11"/>
    <s v=""/>
    <x v="0"/>
    <x v="0"/>
    <n v="785"/>
    <x v="11"/>
    <s v=""/>
    <x v="4"/>
    <x v="1"/>
  </r>
  <r>
    <x v="0"/>
    <x v="0"/>
    <x v="13"/>
    <s v="Operaciones del Ejercicio"/>
    <s v="Debe"/>
    <x v="1"/>
    <x v="1"/>
    <x v="1"/>
    <x v="1"/>
    <n v="0"/>
    <s v="Operaciones del Ejercicio"/>
    <s v=""/>
    <x v="4"/>
    <x v="1"/>
    <x v="2"/>
    <x v="11"/>
    <x v="11"/>
    <s v=""/>
    <x v="0"/>
    <x v="0"/>
    <n v="786"/>
    <x v="11"/>
    <s v=""/>
    <x v="4"/>
    <x v="1"/>
  </r>
  <r>
    <x v="0"/>
    <x v="0"/>
    <x v="13"/>
    <s v="Asiento Cuadrado"/>
    <s v="Debe"/>
    <x v="1"/>
    <x v="1"/>
    <x v="1"/>
    <x v="1"/>
    <n v="0"/>
    <s v="Asiento Cuadrado"/>
    <s v=""/>
    <x v="4"/>
    <x v="1"/>
    <x v="2"/>
    <x v="11"/>
    <x v="11"/>
    <s v=""/>
    <x v="0"/>
    <x v="0"/>
    <n v="787"/>
    <x v="11"/>
    <s v=""/>
    <x v="4"/>
    <x v="1"/>
  </r>
  <r>
    <x v="0"/>
    <x v="0"/>
    <x v="13"/>
    <n v="0"/>
    <s v="Debe"/>
    <x v="1"/>
    <x v="1"/>
    <x v="1"/>
    <x v="1"/>
    <n v="0"/>
    <n v="0"/>
    <s v=""/>
    <x v="4"/>
    <x v="1"/>
    <x v="2"/>
    <x v="11"/>
    <x v="11"/>
    <s v=""/>
    <x v="0"/>
    <x v="0"/>
    <n v="788"/>
    <x v="11"/>
    <s v=""/>
    <x v="4"/>
    <x v="1"/>
  </r>
  <r>
    <x v="0"/>
    <x v="0"/>
    <x v="13"/>
    <s v="DEBE"/>
    <s v="Debe"/>
    <x v="1"/>
    <x v="1"/>
    <x v="1"/>
    <x v="1"/>
    <n v="0"/>
    <s v="DEBE"/>
    <s v=""/>
    <x v="4"/>
    <x v="1"/>
    <x v="2"/>
    <x v="11"/>
    <x v="11"/>
    <s v=""/>
    <x v="0"/>
    <x v="0"/>
    <n v="789"/>
    <x v="11"/>
    <s v=""/>
    <x v="4"/>
    <x v="1"/>
  </r>
  <r>
    <x v="0"/>
    <x v="0"/>
    <x v="13"/>
    <n v="0"/>
    <s v="Debe"/>
    <x v="1"/>
    <x v="1"/>
    <x v="1"/>
    <x v="1"/>
    <n v="0"/>
    <n v="0"/>
    <s v=""/>
    <x v="4"/>
    <x v="1"/>
    <x v="2"/>
    <x v="11"/>
    <x v="11"/>
    <s v=""/>
    <x v="0"/>
    <x v="0"/>
    <n v="790"/>
    <x v="11"/>
    <s v=""/>
    <x v="4"/>
    <x v="1"/>
  </r>
  <r>
    <x v="2"/>
    <x v="1"/>
    <x v="13"/>
    <n v="0"/>
    <s v="Debe"/>
    <x v="1"/>
    <x v="3"/>
    <x v="1"/>
    <x v="1"/>
    <n v="0"/>
    <n v="0"/>
    <s v=""/>
    <x v="4"/>
    <x v="1"/>
    <x v="2"/>
    <x v="11"/>
    <x v="11"/>
    <s v=""/>
    <x v="0"/>
    <x v="0"/>
    <n v="791"/>
    <x v="11"/>
    <s v=""/>
    <x v="4"/>
    <x v="1"/>
  </r>
  <r>
    <x v="2"/>
    <x v="1"/>
    <x v="13"/>
    <n v="0"/>
    <s v="Debe"/>
    <x v="1"/>
    <x v="3"/>
    <x v="1"/>
    <x v="1"/>
    <n v="0"/>
    <n v="0"/>
    <s v=""/>
    <x v="4"/>
    <x v="1"/>
    <x v="2"/>
    <x v="11"/>
    <x v="11"/>
    <s v=""/>
    <x v="0"/>
    <x v="0"/>
    <n v="792"/>
    <x v="11"/>
    <s v=""/>
    <x v="4"/>
    <x v="1"/>
  </r>
  <r>
    <x v="0"/>
    <x v="0"/>
    <x v="13"/>
    <s v="Ajuste por Periodificación"/>
    <s v="Debe"/>
    <x v="1"/>
    <x v="1"/>
    <x v="1"/>
    <x v="1"/>
    <n v="0"/>
    <s v="Ajuste por Periodificación"/>
    <s v=""/>
    <x v="4"/>
    <x v="1"/>
    <x v="2"/>
    <x v="11"/>
    <x v="11"/>
    <s v=""/>
    <x v="0"/>
    <x v="0"/>
    <n v="793"/>
    <x v="11"/>
    <s v=""/>
    <x v="4"/>
    <x v="1"/>
  </r>
  <r>
    <x v="0"/>
    <x v="0"/>
    <x v="13"/>
    <s v="Asiento Cuadrado"/>
    <s v="Debe"/>
    <x v="1"/>
    <x v="1"/>
    <x v="1"/>
    <x v="1"/>
    <n v="0"/>
    <s v="Asiento Cuadrado"/>
    <s v=""/>
    <x v="4"/>
    <x v="1"/>
    <x v="2"/>
    <x v="11"/>
    <x v="11"/>
    <s v=""/>
    <x v="0"/>
    <x v="0"/>
    <n v="794"/>
    <x v="11"/>
    <s v=""/>
    <x v="4"/>
    <x v="1"/>
  </r>
  <r>
    <x v="0"/>
    <x v="0"/>
    <x v="13"/>
    <n v="0"/>
    <s v="Debe"/>
    <x v="1"/>
    <x v="1"/>
    <x v="1"/>
    <x v="1"/>
    <n v="0"/>
    <n v="0"/>
    <s v=""/>
    <x v="4"/>
    <x v="1"/>
    <x v="2"/>
    <x v="11"/>
    <x v="11"/>
    <s v=""/>
    <x v="0"/>
    <x v="0"/>
    <n v="795"/>
    <x v="11"/>
    <s v=""/>
    <x v="4"/>
    <x v="1"/>
  </r>
  <r>
    <x v="0"/>
    <x v="0"/>
    <x v="13"/>
    <s v="DEBE"/>
    <s v="Debe"/>
    <x v="1"/>
    <x v="1"/>
    <x v="1"/>
    <x v="1"/>
    <n v="0"/>
    <s v="DEBE"/>
    <s v=""/>
    <x v="4"/>
    <x v="1"/>
    <x v="2"/>
    <x v="11"/>
    <x v="11"/>
    <s v=""/>
    <x v="0"/>
    <x v="0"/>
    <n v="796"/>
    <x v="11"/>
    <s v=""/>
    <x v="4"/>
    <x v="1"/>
  </r>
  <r>
    <x v="0"/>
    <x v="0"/>
    <x v="13"/>
    <n v="0"/>
    <s v="Debe"/>
    <x v="1"/>
    <x v="1"/>
    <x v="1"/>
    <x v="1"/>
    <n v="0"/>
    <n v="0"/>
    <s v=""/>
    <x v="4"/>
    <x v="1"/>
    <x v="2"/>
    <x v="11"/>
    <x v="11"/>
    <s v=""/>
    <x v="0"/>
    <x v="0"/>
    <n v="797"/>
    <x v="11"/>
    <s v=""/>
    <x v="4"/>
    <x v="1"/>
  </r>
  <r>
    <x v="3"/>
    <x v="1"/>
    <x v="13"/>
    <n v="0"/>
    <s v="Debe"/>
    <x v="1"/>
    <x v="4"/>
    <x v="1"/>
    <x v="1"/>
    <n v="0"/>
    <n v="0"/>
    <s v=""/>
    <x v="4"/>
    <x v="1"/>
    <x v="2"/>
    <x v="11"/>
    <x v="11"/>
    <s v=""/>
    <x v="0"/>
    <x v="0"/>
    <n v="798"/>
    <x v="11"/>
    <s v=""/>
    <x v="4"/>
    <x v="1"/>
  </r>
  <r>
    <x v="3"/>
    <x v="1"/>
    <x v="13"/>
    <n v="0"/>
    <s v="Debe"/>
    <x v="1"/>
    <x v="4"/>
    <x v="1"/>
    <x v="1"/>
    <n v="0"/>
    <n v="0"/>
    <s v=""/>
    <x v="4"/>
    <x v="1"/>
    <x v="2"/>
    <x v="11"/>
    <x v="11"/>
    <s v=""/>
    <x v="0"/>
    <x v="0"/>
    <n v="799"/>
    <x v="11"/>
    <s v=""/>
    <x v="4"/>
    <x v="1"/>
  </r>
  <r>
    <x v="0"/>
    <x v="0"/>
    <x v="13"/>
    <s v="Ajuste por Reclasificación"/>
    <s v="Debe"/>
    <x v="1"/>
    <x v="1"/>
    <x v="1"/>
    <x v="1"/>
    <n v="0"/>
    <s v="Ajuste por Reclasificación"/>
    <s v=""/>
    <x v="4"/>
    <x v="1"/>
    <x v="2"/>
    <x v="11"/>
    <x v="11"/>
    <s v=""/>
    <x v="0"/>
    <x v="0"/>
    <n v="800"/>
    <x v="11"/>
    <s v=""/>
    <x v="4"/>
    <x v="1"/>
  </r>
  <r>
    <x v="0"/>
    <x v="0"/>
    <x v="13"/>
    <s v="Asiento Cuadrado"/>
    <s v="Debe"/>
    <x v="1"/>
    <x v="1"/>
    <x v="1"/>
    <x v="1"/>
    <n v="0"/>
    <s v="Asiento Cuadrado"/>
    <s v=""/>
    <x v="4"/>
    <x v="1"/>
    <x v="2"/>
    <x v="11"/>
    <x v="11"/>
    <s v=""/>
    <x v="0"/>
    <x v="0"/>
    <n v="801"/>
    <x v="11"/>
    <s v=""/>
    <x v="4"/>
    <x v="1"/>
  </r>
  <r>
    <x v="0"/>
    <x v="0"/>
    <x v="13"/>
    <n v="0"/>
    <s v="Debe"/>
    <x v="1"/>
    <x v="1"/>
    <x v="1"/>
    <x v="1"/>
    <n v="0"/>
    <n v="0"/>
    <s v=""/>
    <x v="4"/>
    <x v="1"/>
    <x v="2"/>
    <x v="11"/>
    <x v="11"/>
    <s v=""/>
    <x v="0"/>
    <x v="0"/>
    <n v="802"/>
    <x v="11"/>
    <s v=""/>
    <x v="4"/>
    <x v="1"/>
  </r>
  <r>
    <x v="0"/>
    <x v="0"/>
    <x v="13"/>
    <s v="DEBE"/>
    <s v="Debe"/>
    <x v="1"/>
    <x v="1"/>
    <x v="1"/>
    <x v="1"/>
    <n v="0"/>
    <s v="DEBE"/>
    <s v=""/>
    <x v="4"/>
    <x v="1"/>
    <x v="2"/>
    <x v="11"/>
    <x v="11"/>
    <s v=""/>
    <x v="0"/>
    <x v="0"/>
    <n v="803"/>
    <x v="11"/>
    <s v=""/>
    <x v="4"/>
    <x v="1"/>
  </r>
  <r>
    <x v="0"/>
    <x v="0"/>
    <x v="13"/>
    <n v="0"/>
    <s v="Debe"/>
    <x v="1"/>
    <x v="1"/>
    <x v="1"/>
    <x v="1"/>
    <n v="0"/>
    <n v="0"/>
    <s v=""/>
    <x v="4"/>
    <x v="1"/>
    <x v="2"/>
    <x v="11"/>
    <x v="11"/>
    <s v=""/>
    <x v="0"/>
    <x v="0"/>
    <n v="804"/>
    <x v="11"/>
    <s v=""/>
    <x v="4"/>
    <x v="1"/>
  </r>
  <r>
    <x v="4"/>
    <x v="1"/>
    <x v="13"/>
    <n v="0"/>
    <s v="Debe"/>
    <x v="1"/>
    <x v="5"/>
    <x v="1"/>
    <x v="1"/>
    <n v="0"/>
    <n v="0"/>
    <s v=""/>
    <x v="4"/>
    <x v="1"/>
    <x v="2"/>
    <x v="11"/>
    <x v="11"/>
    <s v=""/>
    <x v="0"/>
    <x v="0"/>
    <n v="805"/>
    <x v="11"/>
    <s v=""/>
    <x v="4"/>
    <x v="1"/>
  </r>
  <r>
    <x v="4"/>
    <x v="1"/>
    <x v="13"/>
    <n v="0"/>
    <s v="Debe"/>
    <x v="1"/>
    <x v="5"/>
    <x v="1"/>
    <x v="1"/>
    <n v="0"/>
    <n v="0"/>
    <s v=""/>
    <x v="4"/>
    <x v="1"/>
    <x v="2"/>
    <x v="11"/>
    <x v="11"/>
    <s v=""/>
    <x v="0"/>
    <x v="0"/>
    <n v="806"/>
    <x v="11"/>
    <s v=""/>
    <x v="4"/>
    <x v="1"/>
  </r>
  <r>
    <x v="0"/>
    <x v="0"/>
    <x v="13"/>
    <s v="Regularización de Existencias"/>
    <s v="Debe"/>
    <x v="1"/>
    <x v="1"/>
    <x v="1"/>
    <x v="1"/>
    <n v="0"/>
    <s v="Regularización de Existencias"/>
    <s v=""/>
    <x v="4"/>
    <x v="1"/>
    <x v="2"/>
    <x v="11"/>
    <x v="11"/>
    <s v=""/>
    <x v="0"/>
    <x v="0"/>
    <n v="807"/>
    <x v="11"/>
    <s v=""/>
    <x v="4"/>
    <x v="1"/>
  </r>
  <r>
    <x v="0"/>
    <x v="0"/>
    <x v="13"/>
    <s v="Asiento Cuadrado"/>
    <s v="Debe"/>
    <x v="1"/>
    <x v="1"/>
    <x v="1"/>
    <x v="1"/>
    <n v="0"/>
    <s v="Asiento Cuadrado"/>
    <s v=""/>
    <x v="4"/>
    <x v="1"/>
    <x v="2"/>
    <x v="11"/>
    <x v="11"/>
    <s v=""/>
    <x v="0"/>
    <x v="0"/>
    <n v="808"/>
    <x v="11"/>
    <s v=""/>
    <x v="4"/>
    <x v="1"/>
  </r>
  <r>
    <x v="0"/>
    <x v="0"/>
    <x v="13"/>
    <n v="0"/>
    <s v="Debe"/>
    <x v="1"/>
    <x v="1"/>
    <x v="1"/>
    <x v="1"/>
    <n v="0"/>
    <n v="0"/>
    <s v=""/>
    <x v="4"/>
    <x v="1"/>
    <x v="2"/>
    <x v="11"/>
    <x v="11"/>
    <s v=""/>
    <x v="0"/>
    <x v="0"/>
    <n v="809"/>
    <x v="11"/>
    <s v=""/>
    <x v="4"/>
    <x v="1"/>
  </r>
  <r>
    <x v="0"/>
    <x v="0"/>
    <x v="13"/>
    <s v="DEBE"/>
    <s v="Debe"/>
    <x v="1"/>
    <x v="1"/>
    <x v="1"/>
    <x v="1"/>
    <n v="0"/>
    <s v="DEBE"/>
    <s v=""/>
    <x v="4"/>
    <x v="1"/>
    <x v="2"/>
    <x v="11"/>
    <x v="11"/>
    <s v=""/>
    <x v="0"/>
    <x v="0"/>
    <n v="810"/>
    <x v="11"/>
    <s v=""/>
    <x v="4"/>
    <x v="1"/>
  </r>
  <r>
    <x v="0"/>
    <x v="0"/>
    <x v="13"/>
    <n v="0"/>
    <s v="Debe"/>
    <x v="1"/>
    <x v="1"/>
    <x v="1"/>
    <x v="1"/>
    <n v="0"/>
    <n v="0"/>
    <s v=""/>
    <x v="4"/>
    <x v="1"/>
    <x v="2"/>
    <x v="11"/>
    <x v="11"/>
    <s v=""/>
    <x v="0"/>
    <x v="0"/>
    <n v="811"/>
    <x v="11"/>
    <s v=""/>
    <x v="4"/>
    <x v="1"/>
  </r>
  <r>
    <x v="5"/>
    <x v="1"/>
    <x v="13"/>
    <n v="0"/>
    <s v="Debe"/>
    <x v="1"/>
    <x v="6"/>
    <x v="1"/>
    <x v="1"/>
    <n v="0"/>
    <n v="0"/>
    <s v=""/>
    <x v="4"/>
    <x v="1"/>
    <x v="2"/>
    <x v="11"/>
    <x v="11"/>
    <s v=""/>
    <x v="0"/>
    <x v="0"/>
    <n v="812"/>
    <x v="11"/>
    <s v=""/>
    <x v="4"/>
    <x v="1"/>
  </r>
  <r>
    <x v="5"/>
    <x v="1"/>
    <x v="13"/>
    <n v="0"/>
    <s v="Debe"/>
    <x v="1"/>
    <x v="6"/>
    <x v="1"/>
    <x v="1"/>
    <n v="0"/>
    <n v="0"/>
    <s v=""/>
    <x v="4"/>
    <x v="1"/>
    <x v="2"/>
    <x v="11"/>
    <x v="11"/>
    <s v=""/>
    <x v="0"/>
    <x v="0"/>
    <n v="813"/>
    <x v="11"/>
    <s v=""/>
    <x v="4"/>
    <x v="1"/>
  </r>
  <r>
    <x v="0"/>
    <x v="0"/>
    <x v="13"/>
    <s v="Corrección Valorativa - Amortización"/>
    <s v="Debe"/>
    <x v="1"/>
    <x v="1"/>
    <x v="1"/>
    <x v="1"/>
    <n v="0"/>
    <s v="Corrección Valorativa - Amortización"/>
    <s v=""/>
    <x v="4"/>
    <x v="1"/>
    <x v="2"/>
    <x v="11"/>
    <x v="11"/>
    <s v=""/>
    <x v="0"/>
    <x v="0"/>
    <n v="814"/>
    <x v="11"/>
    <s v=""/>
    <x v="4"/>
    <x v="1"/>
  </r>
  <r>
    <x v="0"/>
    <x v="0"/>
    <x v="13"/>
    <s v="Asiento Cuadrado"/>
    <s v="Debe"/>
    <x v="1"/>
    <x v="1"/>
    <x v="1"/>
    <x v="1"/>
    <n v="0"/>
    <s v="Asiento Cuadrado"/>
    <s v=""/>
    <x v="4"/>
    <x v="1"/>
    <x v="2"/>
    <x v="11"/>
    <x v="11"/>
    <s v=""/>
    <x v="0"/>
    <x v="0"/>
    <n v="815"/>
    <x v="11"/>
    <s v=""/>
    <x v="4"/>
    <x v="1"/>
  </r>
  <r>
    <x v="0"/>
    <x v="0"/>
    <x v="13"/>
    <n v="0"/>
    <s v="Debe"/>
    <x v="1"/>
    <x v="1"/>
    <x v="1"/>
    <x v="1"/>
    <n v="0"/>
    <n v="0"/>
    <s v=""/>
    <x v="4"/>
    <x v="1"/>
    <x v="2"/>
    <x v="11"/>
    <x v="11"/>
    <s v=""/>
    <x v="0"/>
    <x v="0"/>
    <n v="816"/>
    <x v="11"/>
    <s v=""/>
    <x v="4"/>
    <x v="1"/>
  </r>
  <r>
    <x v="0"/>
    <x v="0"/>
    <x v="13"/>
    <s v="DEBE"/>
    <s v="Debe"/>
    <x v="1"/>
    <x v="1"/>
    <x v="1"/>
    <x v="1"/>
    <n v="0"/>
    <s v="DEBE"/>
    <s v=""/>
    <x v="4"/>
    <x v="1"/>
    <x v="2"/>
    <x v="11"/>
    <x v="11"/>
    <s v=""/>
    <x v="0"/>
    <x v="0"/>
    <n v="817"/>
    <x v="11"/>
    <s v=""/>
    <x v="4"/>
    <x v="1"/>
  </r>
  <r>
    <x v="0"/>
    <x v="0"/>
    <x v="13"/>
    <n v="0"/>
    <s v="Debe"/>
    <x v="1"/>
    <x v="1"/>
    <x v="1"/>
    <x v="1"/>
    <n v="0"/>
    <n v="0"/>
    <s v=""/>
    <x v="4"/>
    <x v="1"/>
    <x v="2"/>
    <x v="11"/>
    <x v="11"/>
    <s v=""/>
    <x v="0"/>
    <x v="0"/>
    <n v="818"/>
    <x v="11"/>
    <s v=""/>
    <x v="4"/>
    <x v="1"/>
  </r>
  <r>
    <x v="6"/>
    <x v="1"/>
    <x v="13"/>
    <n v="0"/>
    <s v="Debe"/>
    <x v="1"/>
    <x v="7"/>
    <x v="1"/>
    <x v="1"/>
    <n v="0"/>
    <n v="0"/>
    <s v=""/>
    <x v="4"/>
    <x v="1"/>
    <x v="2"/>
    <x v="11"/>
    <x v="11"/>
    <s v=""/>
    <x v="0"/>
    <x v="0"/>
    <n v="819"/>
    <x v="11"/>
    <s v=""/>
    <x v="4"/>
    <x v="1"/>
  </r>
  <r>
    <x v="6"/>
    <x v="1"/>
    <x v="13"/>
    <n v="0"/>
    <s v="Debe"/>
    <x v="1"/>
    <x v="7"/>
    <x v="1"/>
    <x v="1"/>
    <n v="0"/>
    <n v="0"/>
    <s v=""/>
    <x v="4"/>
    <x v="1"/>
    <x v="2"/>
    <x v="11"/>
    <x v="11"/>
    <s v=""/>
    <x v="0"/>
    <x v="0"/>
    <n v="820"/>
    <x v="11"/>
    <s v=""/>
    <x v="4"/>
    <x v="1"/>
  </r>
  <r>
    <x v="0"/>
    <x v="0"/>
    <x v="13"/>
    <s v="Corrección Valorativa - Deterioro de Valor"/>
    <s v="Debe"/>
    <x v="1"/>
    <x v="1"/>
    <x v="1"/>
    <x v="1"/>
    <n v="0"/>
    <s v="Corrección Valorativa - Deterioro de Valor"/>
    <s v=""/>
    <x v="4"/>
    <x v="1"/>
    <x v="2"/>
    <x v="11"/>
    <x v="11"/>
    <s v=""/>
    <x v="0"/>
    <x v="0"/>
    <n v="821"/>
    <x v="11"/>
    <s v=""/>
    <x v="4"/>
    <x v="1"/>
  </r>
  <r>
    <x v="0"/>
    <x v="0"/>
    <x v="13"/>
    <s v="Asiento Cuadrado"/>
    <s v="Debe"/>
    <x v="1"/>
    <x v="1"/>
    <x v="1"/>
    <x v="1"/>
    <n v="0"/>
    <s v="Asiento Cuadrado"/>
    <s v=""/>
    <x v="4"/>
    <x v="1"/>
    <x v="2"/>
    <x v="11"/>
    <x v="11"/>
    <s v=""/>
    <x v="0"/>
    <x v="0"/>
    <n v="822"/>
    <x v="11"/>
    <s v=""/>
    <x v="4"/>
    <x v="1"/>
  </r>
  <r>
    <x v="0"/>
    <x v="0"/>
    <x v="13"/>
    <n v="0"/>
    <s v="Debe"/>
    <x v="1"/>
    <x v="1"/>
    <x v="1"/>
    <x v="1"/>
    <n v="0"/>
    <n v="0"/>
    <s v=""/>
    <x v="4"/>
    <x v="1"/>
    <x v="2"/>
    <x v="11"/>
    <x v="11"/>
    <s v=""/>
    <x v="0"/>
    <x v="0"/>
    <n v="823"/>
    <x v="11"/>
    <s v=""/>
    <x v="4"/>
    <x v="1"/>
  </r>
  <r>
    <x v="0"/>
    <x v="0"/>
    <x v="13"/>
    <s v="DEBE"/>
    <s v="Debe"/>
    <x v="1"/>
    <x v="1"/>
    <x v="1"/>
    <x v="1"/>
    <n v="0"/>
    <s v="DEBE"/>
    <s v=""/>
    <x v="4"/>
    <x v="1"/>
    <x v="2"/>
    <x v="11"/>
    <x v="11"/>
    <s v=""/>
    <x v="0"/>
    <x v="0"/>
    <n v="824"/>
    <x v="11"/>
    <s v=""/>
    <x v="4"/>
    <x v="1"/>
  </r>
  <r>
    <x v="0"/>
    <x v="0"/>
    <x v="13"/>
    <n v="0"/>
    <s v="Debe"/>
    <x v="1"/>
    <x v="1"/>
    <x v="1"/>
    <x v="1"/>
    <n v="0"/>
    <n v="0"/>
    <s v=""/>
    <x v="4"/>
    <x v="1"/>
    <x v="2"/>
    <x v="11"/>
    <x v="11"/>
    <s v=""/>
    <x v="0"/>
    <x v="0"/>
    <n v="825"/>
    <x v="11"/>
    <s v=""/>
    <x v="4"/>
    <x v="1"/>
  </r>
  <r>
    <x v="7"/>
    <x v="1"/>
    <x v="13"/>
    <n v="0"/>
    <s v="Debe"/>
    <x v="1"/>
    <x v="8"/>
    <x v="1"/>
    <x v="1"/>
    <n v="0"/>
    <n v="0"/>
    <s v=""/>
    <x v="4"/>
    <x v="1"/>
    <x v="2"/>
    <x v="11"/>
    <x v="11"/>
    <s v=""/>
    <x v="0"/>
    <x v="0"/>
    <n v="826"/>
    <x v="11"/>
    <s v=""/>
    <x v="4"/>
    <x v="1"/>
  </r>
  <r>
    <x v="7"/>
    <x v="1"/>
    <x v="13"/>
    <n v="0"/>
    <s v="Debe"/>
    <x v="1"/>
    <x v="8"/>
    <x v="1"/>
    <x v="1"/>
    <n v="0"/>
    <n v="0"/>
    <s v=""/>
    <x v="4"/>
    <x v="1"/>
    <x v="2"/>
    <x v="11"/>
    <x v="11"/>
    <s v=""/>
    <x v="0"/>
    <x v="0"/>
    <n v="827"/>
    <x v="11"/>
    <s v=""/>
    <x v="4"/>
    <x v="1"/>
  </r>
  <r>
    <x v="0"/>
    <x v="0"/>
    <x v="13"/>
    <s v="Provisiones"/>
    <s v="Debe"/>
    <x v="1"/>
    <x v="1"/>
    <x v="1"/>
    <x v="1"/>
    <n v="0"/>
    <s v="Provisiones"/>
    <s v=""/>
    <x v="4"/>
    <x v="1"/>
    <x v="2"/>
    <x v="11"/>
    <x v="11"/>
    <s v=""/>
    <x v="0"/>
    <x v="0"/>
    <n v="828"/>
    <x v="11"/>
    <s v=""/>
    <x v="4"/>
    <x v="1"/>
  </r>
  <r>
    <x v="0"/>
    <x v="0"/>
    <x v="13"/>
    <s v="Asiento Cuadrado"/>
    <s v="Debe"/>
    <x v="1"/>
    <x v="1"/>
    <x v="1"/>
    <x v="1"/>
    <n v="0"/>
    <s v="Asiento Cuadrado"/>
    <s v=""/>
    <x v="4"/>
    <x v="1"/>
    <x v="2"/>
    <x v="11"/>
    <x v="11"/>
    <s v=""/>
    <x v="0"/>
    <x v="0"/>
    <n v="829"/>
    <x v="11"/>
    <s v=""/>
    <x v="4"/>
    <x v="1"/>
  </r>
  <r>
    <x v="0"/>
    <x v="0"/>
    <x v="13"/>
    <n v="0"/>
    <s v="Debe"/>
    <x v="1"/>
    <x v="1"/>
    <x v="1"/>
    <x v="1"/>
    <n v="0"/>
    <n v="0"/>
    <s v=""/>
    <x v="4"/>
    <x v="1"/>
    <x v="2"/>
    <x v="11"/>
    <x v="11"/>
    <s v=""/>
    <x v="0"/>
    <x v="0"/>
    <n v="830"/>
    <x v="11"/>
    <s v=""/>
    <x v="4"/>
    <x v="1"/>
  </r>
  <r>
    <x v="0"/>
    <x v="0"/>
    <x v="13"/>
    <s v="DEBE"/>
    <s v="Debe"/>
    <x v="1"/>
    <x v="1"/>
    <x v="1"/>
    <x v="1"/>
    <n v="0"/>
    <s v="DEBE"/>
    <s v=""/>
    <x v="4"/>
    <x v="1"/>
    <x v="2"/>
    <x v="11"/>
    <x v="11"/>
    <s v=""/>
    <x v="0"/>
    <x v="0"/>
    <n v="831"/>
    <x v="11"/>
    <s v=""/>
    <x v="4"/>
    <x v="1"/>
  </r>
  <r>
    <x v="0"/>
    <x v="0"/>
    <x v="13"/>
    <n v="0"/>
    <s v="Debe"/>
    <x v="1"/>
    <x v="1"/>
    <x v="1"/>
    <x v="1"/>
    <n v="0"/>
    <n v="0"/>
    <s v=""/>
    <x v="4"/>
    <x v="1"/>
    <x v="2"/>
    <x v="11"/>
    <x v="11"/>
    <s v=""/>
    <x v="0"/>
    <x v="0"/>
    <n v="832"/>
    <x v="11"/>
    <s v=""/>
    <x v="4"/>
    <x v="1"/>
  </r>
  <r>
    <x v="8"/>
    <x v="1"/>
    <x v="13"/>
    <n v="0"/>
    <s v="Debe"/>
    <x v="1"/>
    <x v="9"/>
    <x v="1"/>
    <x v="1"/>
    <n v="0"/>
    <n v="0"/>
    <s v=""/>
    <x v="4"/>
    <x v="1"/>
    <x v="2"/>
    <x v="11"/>
    <x v="11"/>
    <s v=""/>
    <x v="0"/>
    <x v="0"/>
    <n v="833"/>
    <x v="11"/>
    <s v=""/>
    <x v="4"/>
    <x v="1"/>
  </r>
  <r>
    <x v="8"/>
    <x v="1"/>
    <x v="13"/>
    <n v="0"/>
    <s v="Debe"/>
    <x v="1"/>
    <x v="9"/>
    <x v="1"/>
    <x v="1"/>
    <n v="0"/>
    <n v="0"/>
    <s v=""/>
    <x v="4"/>
    <x v="1"/>
    <x v="2"/>
    <x v="11"/>
    <x v="11"/>
    <s v=""/>
    <x v="0"/>
    <x v="0"/>
    <n v="834"/>
    <x v="11"/>
    <s v=""/>
    <x v="4"/>
    <x v="1"/>
  </r>
  <r>
    <x v="0"/>
    <x v="0"/>
    <x v="13"/>
    <s v="Ajuste a Valor Razonable"/>
    <s v="Debe"/>
    <x v="1"/>
    <x v="1"/>
    <x v="1"/>
    <x v="1"/>
    <n v="0"/>
    <s v="Ajuste a Valor Razonable"/>
    <s v=""/>
    <x v="4"/>
    <x v="1"/>
    <x v="2"/>
    <x v="11"/>
    <x v="11"/>
    <s v=""/>
    <x v="0"/>
    <x v="0"/>
    <n v="835"/>
    <x v="11"/>
    <s v=""/>
    <x v="4"/>
    <x v="1"/>
  </r>
  <r>
    <x v="0"/>
    <x v="0"/>
    <x v="13"/>
    <s v="Asiento Cuadrado"/>
    <s v="Debe"/>
    <x v="1"/>
    <x v="1"/>
    <x v="1"/>
    <x v="1"/>
    <n v="0"/>
    <s v="Asiento Cuadrado"/>
    <s v=""/>
    <x v="4"/>
    <x v="1"/>
    <x v="2"/>
    <x v="11"/>
    <x v="11"/>
    <s v=""/>
    <x v="0"/>
    <x v="0"/>
    <n v="836"/>
    <x v="11"/>
    <s v=""/>
    <x v="4"/>
    <x v="1"/>
  </r>
  <r>
    <x v="0"/>
    <x v="0"/>
    <x v="13"/>
    <n v="0"/>
    <s v="Debe"/>
    <x v="1"/>
    <x v="1"/>
    <x v="1"/>
    <x v="1"/>
    <n v="0"/>
    <n v="0"/>
    <s v=""/>
    <x v="4"/>
    <x v="1"/>
    <x v="2"/>
    <x v="11"/>
    <x v="11"/>
    <s v=""/>
    <x v="0"/>
    <x v="0"/>
    <n v="837"/>
    <x v="11"/>
    <s v=""/>
    <x v="4"/>
    <x v="1"/>
  </r>
  <r>
    <x v="0"/>
    <x v="0"/>
    <x v="13"/>
    <s v="DEBE"/>
    <s v="Debe"/>
    <x v="1"/>
    <x v="1"/>
    <x v="1"/>
    <x v="1"/>
    <n v="0"/>
    <s v="DEBE"/>
    <s v=""/>
    <x v="4"/>
    <x v="1"/>
    <x v="2"/>
    <x v="11"/>
    <x v="11"/>
    <s v=""/>
    <x v="0"/>
    <x v="0"/>
    <n v="838"/>
    <x v="11"/>
    <s v=""/>
    <x v="4"/>
    <x v="1"/>
  </r>
  <r>
    <x v="0"/>
    <x v="0"/>
    <x v="13"/>
    <n v="0"/>
    <s v="Debe"/>
    <x v="1"/>
    <x v="1"/>
    <x v="1"/>
    <x v="1"/>
    <n v="0"/>
    <n v="0"/>
    <s v=""/>
    <x v="4"/>
    <x v="1"/>
    <x v="2"/>
    <x v="11"/>
    <x v="11"/>
    <s v=""/>
    <x v="0"/>
    <x v="0"/>
    <n v="839"/>
    <x v="11"/>
    <s v=""/>
    <x v="4"/>
    <x v="1"/>
  </r>
  <r>
    <x v="9"/>
    <x v="1"/>
    <x v="13"/>
    <n v="0"/>
    <s v="Debe"/>
    <x v="1"/>
    <x v="10"/>
    <x v="1"/>
    <x v="1"/>
    <n v="0"/>
    <n v="0"/>
    <s v=""/>
    <x v="4"/>
    <x v="1"/>
    <x v="2"/>
    <x v="11"/>
    <x v="11"/>
    <s v=""/>
    <x v="0"/>
    <x v="0"/>
    <n v="840"/>
    <x v="11"/>
    <s v=""/>
    <x v="4"/>
    <x v="1"/>
  </r>
  <r>
    <x v="9"/>
    <x v="1"/>
    <x v="13"/>
    <n v="0"/>
    <s v="Debe"/>
    <x v="1"/>
    <x v="10"/>
    <x v="1"/>
    <x v="1"/>
    <n v="0"/>
    <n v="0"/>
    <s v=""/>
    <x v="4"/>
    <x v="1"/>
    <x v="2"/>
    <x v="11"/>
    <x v="11"/>
    <s v=""/>
    <x v="0"/>
    <x v="0"/>
    <n v="841"/>
    <x v="11"/>
    <s v=""/>
    <x v="4"/>
    <x v="1"/>
  </r>
  <r>
    <x v="0"/>
    <x v="0"/>
    <x v="13"/>
    <s v="Asiento de Apertura"/>
    <s v="Debe"/>
    <x v="1"/>
    <x v="1"/>
    <x v="1"/>
    <x v="1"/>
    <n v="0"/>
    <s v="Asiento de Apertura"/>
    <s v=""/>
    <x v="4"/>
    <x v="1"/>
    <x v="2"/>
    <x v="11"/>
    <x v="11"/>
    <s v=""/>
    <x v="0"/>
    <x v="0"/>
    <n v="842"/>
    <x v="11"/>
    <s v=""/>
    <x v="4"/>
    <x v="1"/>
  </r>
  <r>
    <x v="0"/>
    <x v="0"/>
    <x v="13"/>
    <s v="Asiento Cuadrado"/>
    <s v="Debe"/>
    <x v="1"/>
    <x v="1"/>
    <x v="1"/>
    <x v="1"/>
    <n v="0"/>
    <s v="Asiento Cuadrado"/>
    <s v=""/>
    <x v="4"/>
    <x v="1"/>
    <x v="2"/>
    <x v="11"/>
    <x v="11"/>
    <s v=""/>
    <x v="0"/>
    <x v="0"/>
    <n v="843"/>
    <x v="11"/>
    <s v=""/>
    <x v="4"/>
    <x v="1"/>
  </r>
  <r>
    <x v="0"/>
    <x v="0"/>
    <x v="13"/>
    <n v="0"/>
    <s v="Debe"/>
    <x v="1"/>
    <x v="1"/>
    <x v="1"/>
    <x v="1"/>
    <n v="0"/>
    <n v="0"/>
    <s v=""/>
    <x v="4"/>
    <x v="1"/>
    <x v="2"/>
    <x v="11"/>
    <x v="11"/>
    <s v=""/>
    <x v="0"/>
    <x v="0"/>
    <n v="844"/>
    <x v="11"/>
    <s v=""/>
    <x v="4"/>
    <x v="1"/>
  </r>
  <r>
    <x v="0"/>
    <x v="0"/>
    <x v="13"/>
    <s v="DEBE"/>
    <s v="Debe"/>
    <x v="1"/>
    <x v="1"/>
    <x v="1"/>
    <x v="1"/>
    <n v="0"/>
    <s v="DEBE"/>
    <s v=""/>
    <x v="4"/>
    <x v="1"/>
    <x v="2"/>
    <x v="11"/>
    <x v="11"/>
    <s v=""/>
    <x v="0"/>
    <x v="0"/>
    <n v="845"/>
    <x v="11"/>
    <s v=""/>
    <x v="4"/>
    <x v="1"/>
  </r>
  <r>
    <x v="0"/>
    <x v="0"/>
    <x v="13"/>
    <n v="0"/>
    <s v="Debe"/>
    <x v="1"/>
    <x v="1"/>
    <x v="1"/>
    <x v="1"/>
    <n v="0"/>
    <n v="0"/>
    <s v=""/>
    <x v="4"/>
    <x v="1"/>
    <x v="2"/>
    <x v="11"/>
    <x v="11"/>
    <s v=""/>
    <x v="0"/>
    <x v="0"/>
    <n v="846"/>
    <x v="11"/>
    <s v=""/>
    <x v="4"/>
    <x v="1"/>
  </r>
  <r>
    <x v="10"/>
    <x v="1"/>
    <x v="13"/>
    <n v="0"/>
    <s v="Debe"/>
    <x v="1"/>
    <x v="11"/>
    <x v="1"/>
    <x v="1"/>
    <n v="0"/>
    <n v="0"/>
    <s v=""/>
    <x v="4"/>
    <x v="1"/>
    <x v="2"/>
    <x v="11"/>
    <x v="11"/>
    <s v=""/>
    <x v="0"/>
    <x v="0"/>
    <n v="847"/>
    <x v="11"/>
    <s v=""/>
    <x v="4"/>
    <x v="1"/>
  </r>
  <r>
    <x v="10"/>
    <x v="1"/>
    <x v="13"/>
    <n v="0"/>
    <s v="Debe"/>
    <x v="1"/>
    <x v="11"/>
    <x v="1"/>
    <x v="1"/>
    <n v="0"/>
    <n v="0"/>
    <s v=""/>
    <x v="4"/>
    <x v="1"/>
    <x v="2"/>
    <x v="11"/>
    <x v="11"/>
    <s v=""/>
    <x v="0"/>
    <x v="0"/>
    <n v="848"/>
    <x v="11"/>
    <s v=""/>
    <x v="4"/>
    <x v="1"/>
  </r>
  <r>
    <x v="0"/>
    <x v="0"/>
    <x v="13"/>
    <s v="Determinación de Resultado Contable"/>
    <s v="Debe"/>
    <x v="1"/>
    <x v="1"/>
    <x v="1"/>
    <x v="1"/>
    <n v="0"/>
    <s v="Determinación de Resultado Contable"/>
    <s v=""/>
    <x v="4"/>
    <x v="1"/>
    <x v="2"/>
    <x v="11"/>
    <x v="11"/>
    <s v=""/>
    <x v="0"/>
    <x v="0"/>
    <n v="849"/>
    <x v="11"/>
    <s v=""/>
    <x v="4"/>
    <x v="1"/>
  </r>
  <r>
    <x v="0"/>
    <x v="0"/>
    <x v="13"/>
    <s v="Asiento Cuadrado"/>
    <s v="Debe"/>
    <x v="1"/>
    <x v="1"/>
    <x v="1"/>
    <x v="1"/>
    <n v="0"/>
    <s v="Asiento Cuadrado"/>
    <s v=""/>
    <x v="4"/>
    <x v="1"/>
    <x v="2"/>
    <x v="11"/>
    <x v="11"/>
    <s v=""/>
    <x v="0"/>
    <x v="0"/>
    <n v="850"/>
    <x v="11"/>
    <s v=""/>
    <x v="4"/>
    <x v="1"/>
  </r>
  <r>
    <x v="0"/>
    <x v="0"/>
    <x v="13"/>
    <n v="0"/>
    <s v="Debe"/>
    <x v="1"/>
    <x v="1"/>
    <x v="1"/>
    <x v="1"/>
    <n v="0"/>
    <n v="0"/>
    <s v=""/>
    <x v="4"/>
    <x v="1"/>
    <x v="2"/>
    <x v="11"/>
    <x v="11"/>
    <s v=""/>
    <x v="0"/>
    <x v="0"/>
    <n v="851"/>
    <x v="11"/>
    <s v=""/>
    <x v="4"/>
    <x v="1"/>
  </r>
  <r>
    <x v="0"/>
    <x v="0"/>
    <x v="13"/>
    <s v="DEBE"/>
    <s v="Debe"/>
    <x v="1"/>
    <x v="1"/>
    <x v="1"/>
    <x v="1"/>
    <n v="0"/>
    <s v="DEBE"/>
    <s v=""/>
    <x v="4"/>
    <x v="1"/>
    <x v="2"/>
    <x v="11"/>
    <x v="11"/>
    <s v=""/>
    <x v="0"/>
    <x v="0"/>
    <n v="852"/>
    <x v="11"/>
    <s v=""/>
    <x v="4"/>
    <x v="1"/>
  </r>
  <r>
    <x v="0"/>
    <x v="0"/>
    <x v="13"/>
    <n v="0"/>
    <s v="Debe"/>
    <x v="1"/>
    <x v="1"/>
    <x v="1"/>
    <x v="1"/>
    <n v="0"/>
    <n v="0"/>
    <s v=""/>
    <x v="4"/>
    <x v="1"/>
    <x v="2"/>
    <x v="11"/>
    <x v="11"/>
    <s v=""/>
    <x v="0"/>
    <x v="0"/>
    <n v="853"/>
    <x v="11"/>
    <s v=""/>
    <x v="4"/>
    <x v="1"/>
  </r>
  <r>
    <x v="11"/>
    <x v="1"/>
    <x v="13"/>
    <n v="0"/>
    <s v="Debe"/>
    <x v="1"/>
    <x v="12"/>
    <x v="1"/>
    <x v="1"/>
    <n v="0"/>
    <n v="0"/>
    <s v=""/>
    <x v="4"/>
    <x v="1"/>
    <x v="2"/>
    <x v="11"/>
    <x v="11"/>
    <s v=""/>
    <x v="0"/>
    <x v="0"/>
    <n v="854"/>
    <x v="11"/>
    <s v=""/>
    <x v="4"/>
    <x v="1"/>
  </r>
  <r>
    <x v="11"/>
    <x v="1"/>
    <x v="13"/>
    <n v="0"/>
    <s v="Debe"/>
    <x v="1"/>
    <x v="12"/>
    <x v="1"/>
    <x v="1"/>
    <n v="0"/>
    <n v="0"/>
    <s v=""/>
    <x v="4"/>
    <x v="1"/>
    <x v="2"/>
    <x v="11"/>
    <x v="11"/>
    <s v=""/>
    <x v="0"/>
    <x v="0"/>
    <n v="855"/>
    <x v="11"/>
    <s v=""/>
    <x v="4"/>
    <x v="1"/>
  </r>
  <r>
    <x v="0"/>
    <x v="0"/>
    <x v="13"/>
    <s v="Impuesto de Sociedades"/>
    <s v="Debe"/>
    <x v="1"/>
    <x v="1"/>
    <x v="1"/>
    <x v="1"/>
    <n v="0"/>
    <s v="Impuesto de Sociedades"/>
    <s v=""/>
    <x v="4"/>
    <x v="1"/>
    <x v="2"/>
    <x v="11"/>
    <x v="11"/>
    <s v=""/>
    <x v="0"/>
    <x v="0"/>
    <n v="856"/>
    <x v="11"/>
    <s v=""/>
    <x v="4"/>
    <x v="1"/>
  </r>
  <r>
    <x v="0"/>
    <x v="0"/>
    <x v="13"/>
    <s v="Asiento Cuadrado"/>
    <s v="Debe"/>
    <x v="1"/>
    <x v="1"/>
    <x v="1"/>
    <x v="1"/>
    <n v="0"/>
    <s v="Asiento Cuadrado"/>
    <s v=""/>
    <x v="4"/>
    <x v="1"/>
    <x v="2"/>
    <x v="11"/>
    <x v="11"/>
    <s v=""/>
    <x v="0"/>
    <x v="0"/>
    <n v="857"/>
    <x v="11"/>
    <s v=""/>
    <x v="4"/>
    <x v="1"/>
  </r>
  <r>
    <x v="0"/>
    <x v="0"/>
    <x v="13"/>
    <n v="0"/>
    <s v="Debe"/>
    <x v="1"/>
    <x v="1"/>
    <x v="1"/>
    <x v="1"/>
    <n v="0"/>
    <n v="0"/>
    <s v=""/>
    <x v="4"/>
    <x v="1"/>
    <x v="2"/>
    <x v="11"/>
    <x v="11"/>
    <s v=""/>
    <x v="0"/>
    <x v="0"/>
    <n v="858"/>
    <x v="11"/>
    <s v=""/>
    <x v="4"/>
    <x v="1"/>
  </r>
  <r>
    <x v="0"/>
    <x v="0"/>
    <x v="13"/>
    <s v="DEBE"/>
    <s v="Debe"/>
    <x v="1"/>
    <x v="1"/>
    <x v="1"/>
    <x v="1"/>
    <n v="0"/>
    <s v="DEBE"/>
    <s v=""/>
    <x v="4"/>
    <x v="1"/>
    <x v="2"/>
    <x v="11"/>
    <x v="11"/>
    <s v=""/>
    <x v="0"/>
    <x v="0"/>
    <n v="859"/>
    <x v="11"/>
    <s v=""/>
    <x v="4"/>
    <x v="1"/>
  </r>
  <r>
    <x v="0"/>
    <x v="0"/>
    <x v="13"/>
    <n v="0"/>
    <s v="Debe"/>
    <x v="1"/>
    <x v="1"/>
    <x v="1"/>
    <x v="1"/>
    <n v="0"/>
    <n v="0"/>
    <s v=""/>
    <x v="4"/>
    <x v="1"/>
    <x v="2"/>
    <x v="11"/>
    <x v="11"/>
    <s v=""/>
    <x v="0"/>
    <x v="0"/>
    <n v="860"/>
    <x v="11"/>
    <s v=""/>
    <x v="4"/>
    <x v="1"/>
  </r>
  <r>
    <x v="12"/>
    <x v="1"/>
    <x v="13"/>
    <n v="0"/>
    <s v="Debe"/>
    <x v="1"/>
    <x v="13"/>
    <x v="1"/>
    <x v="1"/>
    <n v="0"/>
    <n v="0"/>
    <s v=""/>
    <x v="4"/>
    <x v="1"/>
    <x v="2"/>
    <x v="11"/>
    <x v="11"/>
    <s v=""/>
    <x v="0"/>
    <x v="0"/>
    <n v="861"/>
    <x v="11"/>
    <s v=""/>
    <x v="4"/>
    <x v="1"/>
  </r>
  <r>
    <x v="12"/>
    <x v="1"/>
    <x v="13"/>
    <n v="0"/>
    <s v="Debe"/>
    <x v="1"/>
    <x v="13"/>
    <x v="1"/>
    <x v="1"/>
    <n v="0"/>
    <n v="0"/>
    <s v=""/>
    <x v="4"/>
    <x v="1"/>
    <x v="2"/>
    <x v="11"/>
    <x v="11"/>
    <s v=""/>
    <x v="0"/>
    <x v="0"/>
    <n v="862"/>
    <x v="11"/>
    <s v=""/>
    <x v="4"/>
    <x v="1"/>
  </r>
  <r>
    <x v="0"/>
    <x v="0"/>
    <x v="13"/>
    <s v="Asiento de Cierre"/>
    <s v="Debe"/>
    <x v="1"/>
    <x v="1"/>
    <x v="1"/>
    <x v="1"/>
    <n v="0"/>
    <s v="Asiento de Cierre"/>
    <s v=""/>
    <x v="4"/>
    <x v="1"/>
    <x v="2"/>
    <x v="11"/>
    <x v="11"/>
    <s v=""/>
    <x v="0"/>
    <x v="0"/>
    <n v="863"/>
    <x v="11"/>
    <s v=""/>
    <x v="4"/>
    <x v="1"/>
  </r>
  <r>
    <x v="0"/>
    <x v="0"/>
    <x v="13"/>
    <s v="Asiento Cuadrado"/>
    <s v="Debe"/>
    <x v="1"/>
    <x v="1"/>
    <x v="1"/>
    <x v="1"/>
    <n v="0"/>
    <s v="Asiento Cuadrado"/>
    <s v=""/>
    <x v="4"/>
    <x v="1"/>
    <x v="2"/>
    <x v="11"/>
    <x v="11"/>
    <s v=""/>
    <x v="0"/>
    <x v="0"/>
    <n v="864"/>
    <x v="11"/>
    <s v=""/>
    <x v="4"/>
    <x v="1"/>
  </r>
  <r>
    <x v="0"/>
    <x v="0"/>
    <x v="13"/>
    <n v="0"/>
    <s v="Debe"/>
    <x v="1"/>
    <x v="1"/>
    <x v="1"/>
    <x v="1"/>
    <n v="0"/>
    <n v="0"/>
    <s v=""/>
    <x v="4"/>
    <x v="1"/>
    <x v="2"/>
    <x v="11"/>
    <x v="11"/>
    <s v=""/>
    <x v="0"/>
    <x v="0"/>
    <n v="865"/>
    <x v="11"/>
    <s v=""/>
    <x v="4"/>
    <x v="1"/>
  </r>
  <r>
    <x v="0"/>
    <x v="0"/>
    <x v="13"/>
    <s v="DEBE"/>
    <s v="Debe"/>
    <x v="1"/>
    <x v="1"/>
    <x v="1"/>
    <x v="1"/>
    <n v="0"/>
    <s v="DEBE"/>
    <s v=""/>
    <x v="4"/>
    <x v="1"/>
    <x v="2"/>
    <x v="11"/>
    <x v="11"/>
    <s v=""/>
    <x v="0"/>
    <x v="0"/>
    <n v="866"/>
    <x v="11"/>
    <s v=""/>
    <x v="4"/>
    <x v="1"/>
  </r>
  <r>
    <x v="0"/>
    <x v="0"/>
    <x v="13"/>
    <n v="0"/>
    <s v="Debe"/>
    <x v="1"/>
    <x v="1"/>
    <x v="1"/>
    <x v="1"/>
    <n v="0"/>
    <n v="0"/>
    <s v=""/>
    <x v="4"/>
    <x v="1"/>
    <x v="2"/>
    <x v="11"/>
    <x v="11"/>
    <s v=""/>
    <x v="0"/>
    <x v="0"/>
    <n v="867"/>
    <x v="11"/>
    <s v=""/>
    <x v="4"/>
    <x v="1"/>
  </r>
  <r>
    <x v="13"/>
    <x v="1"/>
    <x v="13"/>
    <n v="0"/>
    <s v="Debe"/>
    <x v="1"/>
    <x v="1"/>
    <x v="1"/>
    <x v="1"/>
    <n v="0"/>
    <n v="0"/>
    <s v=""/>
    <x v="4"/>
    <x v="1"/>
    <x v="2"/>
    <x v="11"/>
    <x v="11"/>
    <s v=""/>
    <x v="0"/>
    <x v="0"/>
    <n v="868"/>
    <x v="11"/>
    <s v=""/>
    <x v="4"/>
    <x v="1"/>
  </r>
  <r>
    <x v="13"/>
    <x v="1"/>
    <x v="13"/>
    <n v="0"/>
    <s v="Debe"/>
    <x v="1"/>
    <x v="1"/>
    <x v="1"/>
    <x v="1"/>
    <n v="0"/>
    <n v="0"/>
    <s v=""/>
    <x v="4"/>
    <x v="1"/>
    <x v="2"/>
    <x v="11"/>
    <x v="11"/>
    <s v=""/>
    <x v="0"/>
    <x v="0"/>
    <n v="869"/>
    <x v="11"/>
    <s v=""/>
    <x v="4"/>
    <x v="1"/>
  </r>
  <r>
    <x v="0"/>
    <x v="0"/>
    <x v="13"/>
    <n v="0"/>
    <s v="Debe"/>
    <x v="1"/>
    <x v="1"/>
    <x v="1"/>
    <x v="1"/>
    <n v="0"/>
    <n v="0"/>
    <s v=""/>
    <x v="4"/>
    <x v="1"/>
    <x v="2"/>
    <x v="11"/>
    <x v="11"/>
    <s v=""/>
    <x v="0"/>
    <x v="0"/>
    <n v="870"/>
    <x v="11"/>
    <s v=""/>
    <x v="4"/>
    <x v="1"/>
  </r>
  <r>
    <x v="0"/>
    <x v="0"/>
    <x v="13"/>
    <s v="Asiento Cuadrado"/>
    <s v="Debe"/>
    <x v="1"/>
    <x v="1"/>
    <x v="1"/>
    <x v="1"/>
    <n v="0"/>
    <s v="Asiento Cuadrado"/>
    <s v=""/>
    <x v="4"/>
    <x v="1"/>
    <x v="2"/>
    <x v="11"/>
    <x v="11"/>
    <s v=""/>
    <x v="0"/>
    <x v="0"/>
    <n v="871"/>
    <x v="11"/>
    <s v=""/>
    <x v="4"/>
    <x v="1"/>
  </r>
  <r>
    <x v="0"/>
    <x v="0"/>
    <x v="13"/>
    <n v="0"/>
    <s v="Debe"/>
    <x v="1"/>
    <x v="1"/>
    <x v="1"/>
    <x v="1"/>
    <n v="0"/>
    <n v="0"/>
    <s v=""/>
    <x v="4"/>
    <x v="1"/>
    <x v="2"/>
    <x v="11"/>
    <x v="11"/>
    <s v=""/>
    <x v="0"/>
    <x v="0"/>
    <n v="872"/>
    <x v="11"/>
    <s v=""/>
    <x v="4"/>
    <x v="1"/>
  </r>
  <r>
    <x v="0"/>
    <x v="0"/>
    <x v="13"/>
    <s v="DEBE"/>
    <s v="Debe"/>
    <x v="1"/>
    <x v="1"/>
    <x v="1"/>
    <x v="1"/>
    <n v="0"/>
    <s v="DEBE"/>
    <s v=""/>
    <x v="4"/>
    <x v="1"/>
    <x v="2"/>
    <x v="11"/>
    <x v="11"/>
    <s v=""/>
    <x v="0"/>
    <x v="0"/>
    <n v="873"/>
    <x v="11"/>
    <s v=""/>
    <x v="4"/>
    <x v="1"/>
  </r>
  <r>
    <x v="0"/>
    <x v="0"/>
    <x v="13"/>
    <n v="0"/>
    <s v="Debe"/>
    <x v="1"/>
    <x v="1"/>
    <x v="1"/>
    <x v="1"/>
    <n v="0"/>
    <n v="0"/>
    <s v=""/>
    <x v="4"/>
    <x v="1"/>
    <x v="2"/>
    <x v="11"/>
    <x v="11"/>
    <s v=""/>
    <x v="0"/>
    <x v="0"/>
    <n v="874"/>
    <x v="11"/>
    <s v=""/>
    <x v="4"/>
    <x v="1"/>
  </r>
  <r>
    <x v="14"/>
    <x v="1"/>
    <x v="13"/>
    <n v="0"/>
    <s v="Debe"/>
    <x v="1"/>
    <x v="1"/>
    <x v="1"/>
    <x v="1"/>
    <n v="0"/>
    <n v="0"/>
    <s v=""/>
    <x v="4"/>
    <x v="1"/>
    <x v="2"/>
    <x v="11"/>
    <x v="11"/>
    <s v=""/>
    <x v="0"/>
    <x v="0"/>
    <n v="875"/>
    <x v="11"/>
    <s v=""/>
    <x v="4"/>
    <x v="1"/>
  </r>
  <r>
    <x v="14"/>
    <x v="1"/>
    <x v="13"/>
    <n v="0"/>
    <s v="Debe"/>
    <x v="1"/>
    <x v="1"/>
    <x v="1"/>
    <x v="1"/>
    <n v="0"/>
    <n v="0"/>
    <s v=""/>
    <x v="4"/>
    <x v="1"/>
    <x v="2"/>
    <x v="11"/>
    <x v="11"/>
    <s v=""/>
    <x v="0"/>
    <x v="0"/>
    <n v="876"/>
    <x v="11"/>
    <s v=""/>
    <x v="4"/>
    <x v="1"/>
  </r>
  <r>
    <x v="0"/>
    <x v="0"/>
    <x v="13"/>
    <n v="0"/>
    <s v="Debe"/>
    <x v="1"/>
    <x v="1"/>
    <x v="1"/>
    <x v="1"/>
    <n v="0"/>
    <n v="0"/>
    <s v=""/>
    <x v="4"/>
    <x v="1"/>
    <x v="2"/>
    <x v="11"/>
    <x v="11"/>
    <s v=""/>
    <x v="0"/>
    <x v="0"/>
    <n v="877"/>
    <x v="11"/>
    <s v=""/>
    <x v="4"/>
    <x v="1"/>
  </r>
  <r>
    <x v="0"/>
    <x v="0"/>
    <x v="13"/>
    <s v="Asiento Cuadrado"/>
    <s v="Debe"/>
    <x v="1"/>
    <x v="1"/>
    <x v="1"/>
    <x v="1"/>
    <n v="0"/>
    <s v="Asiento Cuadrado"/>
    <s v=""/>
    <x v="4"/>
    <x v="1"/>
    <x v="2"/>
    <x v="11"/>
    <x v="11"/>
    <s v=""/>
    <x v="0"/>
    <x v="0"/>
    <n v="878"/>
    <x v="11"/>
    <s v=""/>
    <x v="4"/>
    <x v="1"/>
  </r>
  <r>
    <x v="0"/>
    <x v="0"/>
    <x v="13"/>
    <n v="0"/>
    <s v="Debe"/>
    <x v="1"/>
    <x v="1"/>
    <x v="1"/>
    <x v="1"/>
    <n v="0"/>
    <n v="0"/>
    <s v=""/>
    <x v="4"/>
    <x v="1"/>
    <x v="2"/>
    <x v="11"/>
    <x v="11"/>
    <s v=""/>
    <x v="0"/>
    <x v="0"/>
    <n v="879"/>
    <x v="11"/>
    <s v=""/>
    <x v="4"/>
    <x v="1"/>
  </r>
  <r>
    <x v="0"/>
    <x v="0"/>
    <x v="13"/>
    <s v="DEBE"/>
    <s v="Debe"/>
    <x v="1"/>
    <x v="1"/>
    <x v="1"/>
    <x v="1"/>
    <n v="0"/>
    <s v="DEBE"/>
    <s v=""/>
    <x v="4"/>
    <x v="1"/>
    <x v="2"/>
    <x v="11"/>
    <x v="11"/>
    <s v=""/>
    <x v="0"/>
    <x v="0"/>
    <n v="880"/>
    <x v="11"/>
    <s v=""/>
    <x v="4"/>
    <x v="1"/>
  </r>
  <r>
    <x v="0"/>
    <x v="0"/>
    <x v="13"/>
    <n v="0"/>
    <s v="Debe"/>
    <x v="1"/>
    <x v="1"/>
    <x v="1"/>
    <x v="1"/>
    <n v="0"/>
    <n v="0"/>
    <s v=""/>
    <x v="4"/>
    <x v="1"/>
    <x v="2"/>
    <x v="11"/>
    <x v="11"/>
    <s v=""/>
    <x v="0"/>
    <x v="0"/>
    <n v="881"/>
    <x v="11"/>
    <s v=""/>
    <x v="4"/>
    <x v="1"/>
  </r>
  <r>
    <x v="15"/>
    <x v="1"/>
    <x v="13"/>
    <n v="0"/>
    <s v="Debe"/>
    <x v="1"/>
    <x v="1"/>
    <x v="1"/>
    <x v="1"/>
    <n v="0"/>
    <n v="0"/>
    <s v=""/>
    <x v="4"/>
    <x v="1"/>
    <x v="2"/>
    <x v="11"/>
    <x v="11"/>
    <s v=""/>
    <x v="0"/>
    <x v="0"/>
    <n v="882"/>
    <x v="11"/>
    <s v=""/>
    <x v="4"/>
    <x v="1"/>
  </r>
  <r>
    <x v="15"/>
    <x v="1"/>
    <x v="13"/>
    <n v="0"/>
    <s v="Debe"/>
    <x v="1"/>
    <x v="1"/>
    <x v="1"/>
    <x v="1"/>
    <n v="0"/>
    <n v="0"/>
    <s v=""/>
    <x v="4"/>
    <x v="1"/>
    <x v="2"/>
    <x v="11"/>
    <x v="11"/>
    <s v=""/>
    <x v="0"/>
    <x v="0"/>
    <n v="883"/>
    <x v="11"/>
    <s v=""/>
    <x v="4"/>
    <x v="1"/>
  </r>
  <r>
    <x v="0"/>
    <x v="0"/>
    <x v="13"/>
    <n v="0"/>
    <s v="Debe"/>
    <x v="1"/>
    <x v="1"/>
    <x v="1"/>
    <x v="1"/>
    <n v="0"/>
    <n v="0"/>
    <s v=""/>
    <x v="4"/>
    <x v="1"/>
    <x v="2"/>
    <x v="11"/>
    <x v="11"/>
    <s v=""/>
    <x v="0"/>
    <x v="0"/>
    <n v="884"/>
    <x v="11"/>
    <s v=""/>
    <x v="4"/>
    <x v="1"/>
  </r>
  <r>
    <x v="0"/>
    <x v="0"/>
    <x v="13"/>
    <s v="Asiento Cuadrado"/>
    <s v="Debe"/>
    <x v="1"/>
    <x v="1"/>
    <x v="1"/>
    <x v="1"/>
    <n v="0"/>
    <s v="Asiento Cuadrado"/>
    <s v=""/>
    <x v="4"/>
    <x v="1"/>
    <x v="2"/>
    <x v="11"/>
    <x v="11"/>
    <s v=""/>
    <x v="0"/>
    <x v="0"/>
    <n v="885"/>
    <x v="11"/>
    <s v=""/>
    <x v="4"/>
    <x v="1"/>
  </r>
  <r>
    <x v="0"/>
    <x v="0"/>
    <x v="13"/>
    <n v="0"/>
    <s v="Debe"/>
    <x v="1"/>
    <x v="1"/>
    <x v="1"/>
    <x v="1"/>
    <n v="0"/>
    <n v="0"/>
    <s v=""/>
    <x v="4"/>
    <x v="1"/>
    <x v="2"/>
    <x v="11"/>
    <x v="11"/>
    <s v=""/>
    <x v="0"/>
    <x v="0"/>
    <n v="886"/>
    <x v="11"/>
    <s v=""/>
    <x v="4"/>
    <x v="1"/>
  </r>
  <r>
    <x v="0"/>
    <x v="0"/>
    <x v="13"/>
    <n v="0"/>
    <s v="Debe"/>
    <x v="1"/>
    <x v="1"/>
    <x v="1"/>
    <x v="1"/>
    <n v="0"/>
    <n v="0"/>
    <s v=""/>
    <x v="4"/>
    <x v="1"/>
    <x v="2"/>
    <x v="11"/>
    <x v="11"/>
    <s v=""/>
    <x v="0"/>
    <x v="0"/>
    <n v="887"/>
    <x v="11"/>
    <s v=""/>
    <x v="4"/>
    <x v="1"/>
  </r>
  <r>
    <x v="0"/>
    <x v="0"/>
    <x v="13"/>
    <n v="0"/>
    <s v="Debe"/>
    <x v="1"/>
    <x v="1"/>
    <x v="1"/>
    <x v="1"/>
    <n v="0"/>
    <n v="0"/>
    <s v=""/>
    <x v="4"/>
    <x v="1"/>
    <x v="2"/>
    <x v="11"/>
    <x v="11"/>
    <s v=""/>
    <x v="0"/>
    <x v="0"/>
    <n v="888"/>
    <x v="11"/>
    <s v=""/>
    <x v="4"/>
    <x v="1"/>
  </r>
  <r>
    <x v="0"/>
    <x v="0"/>
    <x v="13"/>
    <n v="0"/>
    <s v="Debe"/>
    <x v="1"/>
    <x v="1"/>
    <x v="1"/>
    <x v="1"/>
    <n v="0"/>
    <n v="0"/>
    <s v=""/>
    <x v="4"/>
    <x v="1"/>
    <x v="2"/>
    <x v="11"/>
    <x v="11"/>
    <s v=""/>
    <x v="0"/>
    <x v="0"/>
    <n v="889"/>
    <x v="11"/>
    <s v=""/>
    <x v="4"/>
    <x v="1"/>
  </r>
  <r>
    <x v="0"/>
    <x v="0"/>
    <x v="13"/>
    <n v="0"/>
    <s v="Debe"/>
    <x v="1"/>
    <x v="1"/>
    <x v="1"/>
    <x v="1"/>
    <n v="0"/>
    <n v="0"/>
    <s v=""/>
    <x v="4"/>
    <x v="1"/>
    <x v="2"/>
    <x v="11"/>
    <x v="11"/>
    <s v=""/>
    <x v="0"/>
    <x v="0"/>
    <n v="890"/>
    <x v="11"/>
    <s v=""/>
    <x v="4"/>
    <x v="1"/>
  </r>
  <r>
    <x v="0"/>
    <x v="0"/>
    <x v="13"/>
    <n v="0"/>
    <s v="Debe"/>
    <x v="1"/>
    <x v="1"/>
    <x v="1"/>
    <x v="1"/>
    <n v="0"/>
    <n v="0"/>
    <s v=""/>
    <x v="4"/>
    <x v="1"/>
    <x v="2"/>
    <x v="11"/>
    <x v="11"/>
    <s v=""/>
    <x v="0"/>
    <x v="0"/>
    <n v="891"/>
    <x v="11"/>
    <s v=""/>
    <x v="4"/>
    <x v="1"/>
  </r>
  <r>
    <x v="0"/>
    <x v="0"/>
    <x v="13"/>
    <n v="0"/>
    <s v="Debe"/>
    <x v="1"/>
    <x v="1"/>
    <x v="1"/>
    <x v="1"/>
    <n v="0"/>
    <n v="0"/>
    <s v=""/>
    <x v="4"/>
    <x v="1"/>
    <x v="2"/>
    <x v="11"/>
    <x v="11"/>
    <s v=""/>
    <x v="0"/>
    <x v="0"/>
    <n v="892"/>
    <x v="11"/>
    <s v=""/>
    <x v="4"/>
    <x v="1"/>
  </r>
  <r>
    <x v="0"/>
    <x v="0"/>
    <x v="13"/>
    <n v="0"/>
    <s v="Debe"/>
    <x v="1"/>
    <x v="1"/>
    <x v="1"/>
    <x v="1"/>
    <n v="0"/>
    <n v="0"/>
    <s v=""/>
    <x v="4"/>
    <x v="1"/>
    <x v="2"/>
    <x v="11"/>
    <x v="11"/>
    <s v=""/>
    <x v="0"/>
    <x v="0"/>
    <n v="893"/>
    <x v="11"/>
    <s v=""/>
    <x v="4"/>
    <x v="1"/>
  </r>
  <r>
    <x v="0"/>
    <x v="0"/>
    <x v="13"/>
    <n v="0"/>
    <s v="Debe"/>
    <x v="1"/>
    <x v="1"/>
    <x v="1"/>
    <x v="1"/>
    <n v="0"/>
    <n v="0"/>
    <s v=""/>
    <x v="4"/>
    <x v="1"/>
    <x v="2"/>
    <x v="11"/>
    <x v="11"/>
    <s v=""/>
    <x v="0"/>
    <x v="0"/>
    <n v="894"/>
    <x v="11"/>
    <s v=""/>
    <x v="4"/>
    <x v="1"/>
  </r>
  <r>
    <x v="0"/>
    <x v="0"/>
    <x v="13"/>
    <n v="0"/>
    <s v="Debe"/>
    <x v="1"/>
    <x v="1"/>
    <x v="1"/>
    <x v="1"/>
    <n v="0"/>
    <n v="0"/>
    <s v=""/>
    <x v="4"/>
    <x v="1"/>
    <x v="2"/>
    <x v="11"/>
    <x v="11"/>
    <s v=""/>
    <x v="0"/>
    <x v="0"/>
    <n v="895"/>
    <x v="11"/>
    <s v=""/>
    <x v="4"/>
    <x v="1"/>
  </r>
  <r>
    <x v="0"/>
    <x v="0"/>
    <x v="13"/>
    <n v="0"/>
    <s v="Debe"/>
    <x v="1"/>
    <x v="1"/>
    <x v="1"/>
    <x v="1"/>
    <n v="0"/>
    <n v="0"/>
    <s v=""/>
    <x v="4"/>
    <x v="1"/>
    <x v="2"/>
    <x v="11"/>
    <x v="11"/>
    <s v=""/>
    <x v="0"/>
    <x v="0"/>
    <n v="896"/>
    <x v="11"/>
    <s v=""/>
    <x v="4"/>
    <x v="1"/>
  </r>
  <r>
    <x v="0"/>
    <x v="0"/>
    <x v="13"/>
    <n v="0"/>
    <s v="Debe"/>
    <x v="1"/>
    <x v="1"/>
    <x v="1"/>
    <x v="1"/>
    <n v="0"/>
    <n v="0"/>
    <s v=""/>
    <x v="4"/>
    <x v="1"/>
    <x v="2"/>
    <x v="11"/>
    <x v="11"/>
    <s v=""/>
    <x v="0"/>
    <x v="0"/>
    <n v="897"/>
    <x v="11"/>
    <s v=""/>
    <x v="4"/>
    <x v="1"/>
  </r>
  <r>
    <x v="0"/>
    <x v="0"/>
    <x v="13"/>
    <n v="0"/>
    <s v="Debe"/>
    <x v="1"/>
    <x v="1"/>
    <x v="1"/>
    <x v="1"/>
    <n v="0"/>
    <n v="0"/>
    <s v=""/>
    <x v="4"/>
    <x v="1"/>
    <x v="2"/>
    <x v="11"/>
    <x v="11"/>
    <s v=""/>
    <x v="0"/>
    <x v="0"/>
    <n v="898"/>
    <x v="11"/>
    <s v=""/>
    <x v="4"/>
    <x v="1"/>
  </r>
  <r>
    <x v="0"/>
    <x v="0"/>
    <x v="13"/>
    <n v="0"/>
    <s v="Debe"/>
    <x v="1"/>
    <x v="1"/>
    <x v="1"/>
    <x v="1"/>
    <n v="0"/>
    <n v="0"/>
    <s v=""/>
    <x v="4"/>
    <x v="1"/>
    <x v="2"/>
    <x v="11"/>
    <x v="11"/>
    <s v=""/>
    <x v="0"/>
    <x v="0"/>
    <n v="899"/>
    <x v="11"/>
    <s v=""/>
    <x v="4"/>
    <x v="1"/>
  </r>
  <r>
    <x v="0"/>
    <x v="0"/>
    <x v="13"/>
    <n v="0"/>
    <s v="Debe"/>
    <x v="1"/>
    <x v="1"/>
    <x v="1"/>
    <x v="1"/>
    <n v="0"/>
    <n v="0"/>
    <s v=""/>
    <x v="4"/>
    <x v="1"/>
    <x v="2"/>
    <x v="11"/>
    <x v="11"/>
    <s v=""/>
    <x v="0"/>
    <x v="0"/>
    <n v="900"/>
    <x v="11"/>
    <s v=""/>
    <x v="4"/>
    <x v="1"/>
  </r>
  <r>
    <x v="0"/>
    <x v="0"/>
    <x v="13"/>
    <n v="0"/>
    <s v="Debe"/>
    <x v="1"/>
    <x v="1"/>
    <x v="1"/>
    <x v="1"/>
    <n v="0"/>
    <n v="0"/>
    <s v=""/>
    <x v="4"/>
    <x v="1"/>
    <x v="2"/>
    <x v="11"/>
    <x v="11"/>
    <s v=""/>
    <x v="0"/>
    <x v="0"/>
    <n v="901"/>
    <x v="11"/>
    <s v=""/>
    <x v="4"/>
    <x v="1"/>
  </r>
  <r>
    <x v="0"/>
    <x v="0"/>
    <x v="13"/>
    <n v="0"/>
    <s v="Debe"/>
    <x v="1"/>
    <x v="1"/>
    <x v="1"/>
    <x v="1"/>
    <n v="0"/>
    <n v="0"/>
    <s v=""/>
    <x v="4"/>
    <x v="1"/>
    <x v="2"/>
    <x v="11"/>
    <x v="11"/>
    <s v=""/>
    <x v="0"/>
    <x v="0"/>
    <n v="902"/>
    <x v="11"/>
    <s v=""/>
    <x v="4"/>
    <x v="1"/>
  </r>
  <r>
    <x v="0"/>
    <x v="0"/>
    <x v="13"/>
    <n v="0"/>
    <s v="Debe"/>
    <x v="1"/>
    <x v="1"/>
    <x v="1"/>
    <x v="1"/>
    <n v="0"/>
    <n v="0"/>
    <s v=""/>
    <x v="4"/>
    <x v="1"/>
    <x v="2"/>
    <x v="11"/>
    <x v="11"/>
    <s v=""/>
    <x v="0"/>
    <x v="0"/>
    <n v="903"/>
    <x v="11"/>
    <s v=""/>
    <x v="4"/>
    <x v="1"/>
  </r>
  <r>
    <x v="0"/>
    <x v="0"/>
    <x v="13"/>
    <n v="0"/>
    <s v="Debe"/>
    <x v="1"/>
    <x v="1"/>
    <x v="1"/>
    <x v="1"/>
    <n v="0"/>
    <n v="0"/>
    <s v=""/>
    <x v="4"/>
    <x v="1"/>
    <x v="2"/>
    <x v="11"/>
    <x v="11"/>
    <s v=""/>
    <x v="0"/>
    <x v="0"/>
    <n v="904"/>
    <x v="11"/>
    <s v=""/>
    <x v="4"/>
    <x v="1"/>
  </r>
  <r>
    <x v="0"/>
    <x v="0"/>
    <x v="13"/>
    <n v="0"/>
    <s v="Debe"/>
    <x v="1"/>
    <x v="1"/>
    <x v="1"/>
    <x v="1"/>
    <n v="0"/>
    <n v="0"/>
    <s v=""/>
    <x v="4"/>
    <x v="1"/>
    <x v="2"/>
    <x v="11"/>
    <x v="11"/>
    <s v=""/>
    <x v="0"/>
    <x v="0"/>
    <n v="905"/>
    <x v="11"/>
    <s v=""/>
    <x v="4"/>
    <x v="1"/>
  </r>
  <r>
    <x v="0"/>
    <x v="0"/>
    <x v="13"/>
    <n v="0"/>
    <s v="Debe"/>
    <x v="1"/>
    <x v="1"/>
    <x v="1"/>
    <x v="1"/>
    <n v="0"/>
    <n v="0"/>
    <s v=""/>
    <x v="4"/>
    <x v="1"/>
    <x v="2"/>
    <x v="11"/>
    <x v="11"/>
    <s v=""/>
    <x v="0"/>
    <x v="0"/>
    <n v="906"/>
    <x v="11"/>
    <s v=""/>
    <x v="4"/>
    <x v="1"/>
  </r>
  <r>
    <x v="0"/>
    <x v="0"/>
    <x v="13"/>
    <n v="0"/>
    <s v="Debe"/>
    <x v="1"/>
    <x v="1"/>
    <x v="1"/>
    <x v="1"/>
    <n v="0"/>
    <n v="0"/>
    <s v=""/>
    <x v="4"/>
    <x v="1"/>
    <x v="2"/>
    <x v="11"/>
    <x v="11"/>
    <s v=""/>
    <x v="0"/>
    <x v="0"/>
    <n v="907"/>
    <x v="11"/>
    <s v=""/>
    <x v="4"/>
    <x v="1"/>
  </r>
  <r>
    <x v="0"/>
    <x v="0"/>
    <x v="13"/>
    <n v="0"/>
    <s v="Debe"/>
    <x v="1"/>
    <x v="1"/>
    <x v="1"/>
    <x v="1"/>
    <n v="0"/>
    <n v="0"/>
    <s v=""/>
    <x v="4"/>
    <x v="1"/>
    <x v="2"/>
    <x v="11"/>
    <x v="11"/>
    <s v=""/>
    <x v="0"/>
    <x v="0"/>
    <n v="908"/>
    <x v="11"/>
    <s v=""/>
    <x v="4"/>
    <x v="1"/>
  </r>
  <r>
    <x v="0"/>
    <x v="0"/>
    <x v="13"/>
    <n v="0"/>
    <s v="Debe"/>
    <x v="1"/>
    <x v="1"/>
    <x v="1"/>
    <x v="1"/>
    <n v="0"/>
    <n v="0"/>
    <s v=""/>
    <x v="4"/>
    <x v="1"/>
    <x v="2"/>
    <x v="11"/>
    <x v="11"/>
    <s v=""/>
    <x v="0"/>
    <x v="0"/>
    <n v="909"/>
    <x v="11"/>
    <s v=""/>
    <x v="4"/>
    <x v="1"/>
  </r>
  <r>
    <x v="0"/>
    <x v="0"/>
    <x v="13"/>
    <n v="0"/>
    <s v="Debe"/>
    <x v="1"/>
    <x v="1"/>
    <x v="1"/>
    <x v="1"/>
    <n v="0"/>
    <n v="0"/>
    <s v=""/>
    <x v="4"/>
    <x v="1"/>
    <x v="2"/>
    <x v="11"/>
    <x v="11"/>
    <s v=""/>
    <x v="0"/>
    <x v="0"/>
    <n v="910"/>
    <x v="11"/>
    <s v=""/>
    <x v="4"/>
    <x v="1"/>
  </r>
  <r>
    <x v="0"/>
    <x v="0"/>
    <x v="13"/>
    <n v="0"/>
    <s v="Debe"/>
    <x v="1"/>
    <x v="1"/>
    <x v="1"/>
    <x v="1"/>
    <n v="0"/>
    <n v="0"/>
    <s v=""/>
    <x v="4"/>
    <x v="1"/>
    <x v="2"/>
    <x v="11"/>
    <x v="11"/>
    <s v=""/>
    <x v="0"/>
    <x v="0"/>
    <n v="911"/>
    <x v="11"/>
    <s v=""/>
    <x v="4"/>
    <x v="1"/>
  </r>
  <r>
    <x v="0"/>
    <x v="0"/>
    <x v="13"/>
    <n v="0"/>
    <s v="Debe"/>
    <x v="1"/>
    <x v="1"/>
    <x v="1"/>
    <x v="1"/>
    <n v="0"/>
    <n v="0"/>
    <s v=""/>
    <x v="4"/>
    <x v="1"/>
    <x v="2"/>
    <x v="11"/>
    <x v="11"/>
    <s v=""/>
    <x v="0"/>
    <x v="0"/>
    <n v="912"/>
    <x v="11"/>
    <s v=""/>
    <x v="4"/>
    <x v="1"/>
  </r>
  <r>
    <x v="0"/>
    <x v="0"/>
    <x v="13"/>
    <n v="0"/>
    <s v="Debe"/>
    <x v="1"/>
    <x v="1"/>
    <x v="1"/>
    <x v="1"/>
    <n v="0"/>
    <n v="0"/>
    <s v=""/>
    <x v="4"/>
    <x v="1"/>
    <x v="2"/>
    <x v="11"/>
    <x v="11"/>
    <s v=""/>
    <x v="0"/>
    <x v="0"/>
    <n v="913"/>
    <x v="11"/>
    <s v=""/>
    <x v="4"/>
    <x v="1"/>
  </r>
  <r>
    <x v="0"/>
    <x v="0"/>
    <x v="13"/>
    <n v="0"/>
    <s v="Debe"/>
    <x v="1"/>
    <x v="1"/>
    <x v="1"/>
    <x v="1"/>
    <n v="0"/>
    <n v="0"/>
    <s v=""/>
    <x v="4"/>
    <x v="1"/>
    <x v="2"/>
    <x v="11"/>
    <x v="11"/>
    <s v=""/>
    <x v="0"/>
    <x v="0"/>
    <n v="914"/>
    <x v="11"/>
    <s v=""/>
    <x v="4"/>
    <x v="1"/>
  </r>
  <r>
    <x v="0"/>
    <x v="0"/>
    <x v="13"/>
    <n v="0"/>
    <s v="Debe"/>
    <x v="1"/>
    <x v="1"/>
    <x v="1"/>
    <x v="1"/>
    <n v="0"/>
    <n v="0"/>
    <s v=""/>
    <x v="4"/>
    <x v="1"/>
    <x v="2"/>
    <x v="11"/>
    <x v="11"/>
    <s v=""/>
    <x v="0"/>
    <x v="0"/>
    <n v="915"/>
    <x v="11"/>
    <s v=""/>
    <x v="4"/>
    <x v="1"/>
  </r>
  <r>
    <x v="0"/>
    <x v="0"/>
    <x v="13"/>
    <n v="0"/>
    <s v="Debe"/>
    <x v="1"/>
    <x v="1"/>
    <x v="1"/>
    <x v="1"/>
    <n v="0"/>
    <n v="0"/>
    <s v=""/>
    <x v="4"/>
    <x v="1"/>
    <x v="2"/>
    <x v="11"/>
    <x v="11"/>
    <s v=""/>
    <x v="0"/>
    <x v="0"/>
    <n v="916"/>
    <x v="11"/>
    <s v=""/>
    <x v="4"/>
    <x v="1"/>
  </r>
  <r>
    <x v="0"/>
    <x v="0"/>
    <x v="13"/>
    <n v="0"/>
    <s v="Debe"/>
    <x v="1"/>
    <x v="1"/>
    <x v="1"/>
    <x v="1"/>
    <n v="0"/>
    <n v="0"/>
    <s v=""/>
    <x v="4"/>
    <x v="1"/>
    <x v="2"/>
    <x v="11"/>
    <x v="11"/>
    <s v=""/>
    <x v="0"/>
    <x v="0"/>
    <n v="917"/>
    <x v="11"/>
    <s v=""/>
    <x v="4"/>
    <x v="1"/>
  </r>
  <r>
    <x v="0"/>
    <x v="0"/>
    <x v="13"/>
    <n v="0"/>
    <s v="Debe"/>
    <x v="1"/>
    <x v="1"/>
    <x v="1"/>
    <x v="1"/>
    <n v="0"/>
    <n v="0"/>
    <s v=""/>
    <x v="4"/>
    <x v="1"/>
    <x v="2"/>
    <x v="11"/>
    <x v="11"/>
    <s v=""/>
    <x v="0"/>
    <x v="0"/>
    <n v="918"/>
    <x v="11"/>
    <s v=""/>
    <x v="4"/>
    <x v="1"/>
  </r>
  <r>
    <x v="0"/>
    <x v="0"/>
    <x v="13"/>
    <n v="0"/>
    <s v="Debe"/>
    <x v="1"/>
    <x v="1"/>
    <x v="1"/>
    <x v="1"/>
    <n v="0"/>
    <n v="0"/>
    <s v=""/>
    <x v="4"/>
    <x v="1"/>
    <x v="2"/>
    <x v="11"/>
    <x v="11"/>
    <s v=""/>
    <x v="0"/>
    <x v="0"/>
    <n v="919"/>
    <x v="11"/>
    <s v=""/>
    <x v="4"/>
    <x v="1"/>
  </r>
  <r>
    <x v="0"/>
    <x v="0"/>
    <x v="13"/>
    <n v="0"/>
    <s v="Debe"/>
    <x v="1"/>
    <x v="1"/>
    <x v="1"/>
    <x v="1"/>
    <n v="0"/>
    <n v="0"/>
    <s v=""/>
    <x v="4"/>
    <x v="1"/>
    <x v="2"/>
    <x v="11"/>
    <x v="11"/>
    <s v=""/>
    <x v="0"/>
    <x v="0"/>
    <n v="920"/>
    <x v="11"/>
    <s v=""/>
    <x v="4"/>
    <x v="1"/>
  </r>
  <r>
    <x v="0"/>
    <x v="0"/>
    <x v="13"/>
    <n v="0"/>
    <s v="Debe"/>
    <x v="1"/>
    <x v="1"/>
    <x v="1"/>
    <x v="1"/>
    <n v="0"/>
    <n v="0"/>
    <s v=""/>
    <x v="4"/>
    <x v="1"/>
    <x v="2"/>
    <x v="11"/>
    <x v="11"/>
    <s v=""/>
    <x v="0"/>
    <x v="0"/>
    <n v="921"/>
    <x v="11"/>
    <s v=""/>
    <x v="4"/>
    <x v="1"/>
  </r>
  <r>
    <x v="0"/>
    <x v="0"/>
    <x v="13"/>
    <n v="0"/>
    <s v="Debe"/>
    <x v="1"/>
    <x v="1"/>
    <x v="1"/>
    <x v="1"/>
    <n v="0"/>
    <n v="0"/>
    <s v=""/>
    <x v="4"/>
    <x v="1"/>
    <x v="2"/>
    <x v="11"/>
    <x v="11"/>
    <s v=""/>
    <x v="0"/>
    <x v="0"/>
    <n v="922"/>
    <x v="11"/>
    <s v=""/>
    <x v="4"/>
    <x v="1"/>
  </r>
  <r>
    <x v="0"/>
    <x v="0"/>
    <x v="13"/>
    <n v="0"/>
    <s v="Debe"/>
    <x v="1"/>
    <x v="1"/>
    <x v="1"/>
    <x v="1"/>
    <n v="0"/>
    <n v="0"/>
    <s v=""/>
    <x v="4"/>
    <x v="1"/>
    <x v="2"/>
    <x v="11"/>
    <x v="11"/>
    <s v=""/>
    <x v="0"/>
    <x v="0"/>
    <n v="923"/>
    <x v="11"/>
    <s v=""/>
    <x v="4"/>
    <x v="1"/>
  </r>
  <r>
    <x v="0"/>
    <x v="0"/>
    <x v="13"/>
    <n v="0"/>
    <s v="Debe"/>
    <x v="1"/>
    <x v="1"/>
    <x v="1"/>
    <x v="1"/>
    <n v="0"/>
    <n v="0"/>
    <s v=""/>
    <x v="4"/>
    <x v="1"/>
    <x v="2"/>
    <x v="11"/>
    <x v="11"/>
    <s v=""/>
    <x v="0"/>
    <x v="0"/>
    <n v="924"/>
    <x v="11"/>
    <s v=""/>
    <x v="4"/>
    <x v="1"/>
  </r>
  <r>
    <x v="0"/>
    <x v="0"/>
    <x v="13"/>
    <n v="0"/>
    <s v="Debe"/>
    <x v="1"/>
    <x v="1"/>
    <x v="1"/>
    <x v="1"/>
    <n v="0"/>
    <n v="0"/>
    <s v=""/>
    <x v="4"/>
    <x v="1"/>
    <x v="2"/>
    <x v="11"/>
    <x v="11"/>
    <s v=""/>
    <x v="0"/>
    <x v="0"/>
    <n v="925"/>
    <x v="11"/>
    <s v=""/>
    <x v="4"/>
    <x v="1"/>
  </r>
  <r>
    <x v="0"/>
    <x v="0"/>
    <x v="13"/>
    <n v="0"/>
    <s v="Debe"/>
    <x v="1"/>
    <x v="1"/>
    <x v="1"/>
    <x v="1"/>
    <n v="0"/>
    <n v="0"/>
    <s v=""/>
    <x v="4"/>
    <x v="1"/>
    <x v="2"/>
    <x v="11"/>
    <x v="11"/>
    <s v=""/>
    <x v="0"/>
    <x v="0"/>
    <n v="926"/>
    <x v="11"/>
    <s v=""/>
    <x v="4"/>
    <x v="1"/>
  </r>
  <r>
    <x v="0"/>
    <x v="0"/>
    <x v="13"/>
    <n v="0"/>
    <s v="Debe"/>
    <x v="1"/>
    <x v="1"/>
    <x v="1"/>
    <x v="1"/>
    <n v="0"/>
    <n v="0"/>
    <s v=""/>
    <x v="4"/>
    <x v="1"/>
    <x v="2"/>
    <x v="11"/>
    <x v="11"/>
    <s v=""/>
    <x v="0"/>
    <x v="0"/>
    <n v="927"/>
    <x v="11"/>
    <s v=""/>
    <x v="4"/>
    <x v="1"/>
  </r>
  <r>
    <x v="0"/>
    <x v="0"/>
    <x v="13"/>
    <n v="0"/>
    <s v="Debe"/>
    <x v="1"/>
    <x v="1"/>
    <x v="1"/>
    <x v="1"/>
    <n v="0"/>
    <n v="0"/>
    <s v=""/>
    <x v="4"/>
    <x v="1"/>
    <x v="2"/>
    <x v="11"/>
    <x v="11"/>
    <s v=""/>
    <x v="0"/>
    <x v="0"/>
    <n v="928"/>
    <x v="11"/>
    <s v=""/>
    <x v="4"/>
    <x v="1"/>
  </r>
  <r>
    <x v="0"/>
    <x v="0"/>
    <x v="13"/>
    <n v="0"/>
    <s v="Debe"/>
    <x v="1"/>
    <x v="1"/>
    <x v="1"/>
    <x v="1"/>
    <n v="0"/>
    <n v="0"/>
    <s v=""/>
    <x v="4"/>
    <x v="1"/>
    <x v="2"/>
    <x v="11"/>
    <x v="11"/>
    <s v=""/>
    <x v="0"/>
    <x v="0"/>
    <n v="929"/>
    <x v="11"/>
    <s v=""/>
    <x v="4"/>
    <x v="1"/>
  </r>
  <r>
    <x v="0"/>
    <x v="0"/>
    <x v="13"/>
    <n v="0"/>
    <s v="Debe"/>
    <x v="1"/>
    <x v="1"/>
    <x v="1"/>
    <x v="1"/>
    <n v="0"/>
    <n v="0"/>
    <s v=""/>
    <x v="4"/>
    <x v="1"/>
    <x v="2"/>
    <x v="11"/>
    <x v="11"/>
    <s v=""/>
    <x v="0"/>
    <x v="0"/>
    <n v="930"/>
    <x v="11"/>
    <s v=""/>
    <x v="4"/>
    <x v="1"/>
  </r>
  <r>
    <x v="0"/>
    <x v="0"/>
    <x v="13"/>
    <n v="0"/>
    <s v="Debe"/>
    <x v="1"/>
    <x v="1"/>
    <x v="1"/>
    <x v="1"/>
    <n v="0"/>
    <n v="0"/>
    <s v=""/>
    <x v="4"/>
    <x v="1"/>
    <x v="2"/>
    <x v="11"/>
    <x v="11"/>
    <s v=""/>
    <x v="0"/>
    <x v="0"/>
    <n v="931"/>
    <x v="11"/>
    <s v=""/>
    <x v="4"/>
    <x v="1"/>
  </r>
  <r>
    <x v="0"/>
    <x v="0"/>
    <x v="13"/>
    <n v="0"/>
    <s v="Debe"/>
    <x v="1"/>
    <x v="1"/>
    <x v="1"/>
    <x v="1"/>
    <n v="0"/>
    <n v="0"/>
    <s v=""/>
    <x v="4"/>
    <x v="1"/>
    <x v="2"/>
    <x v="11"/>
    <x v="11"/>
    <s v=""/>
    <x v="0"/>
    <x v="0"/>
    <n v="932"/>
    <x v="11"/>
    <s v=""/>
    <x v="4"/>
    <x v="1"/>
  </r>
  <r>
    <x v="0"/>
    <x v="0"/>
    <x v="13"/>
    <n v="0"/>
    <s v="Debe"/>
    <x v="1"/>
    <x v="1"/>
    <x v="1"/>
    <x v="1"/>
    <n v="0"/>
    <n v="0"/>
    <s v=""/>
    <x v="4"/>
    <x v="1"/>
    <x v="2"/>
    <x v="11"/>
    <x v="11"/>
    <s v=""/>
    <x v="0"/>
    <x v="0"/>
    <n v="933"/>
    <x v="11"/>
    <s v=""/>
    <x v="4"/>
    <x v="1"/>
  </r>
  <r>
    <x v="0"/>
    <x v="0"/>
    <x v="13"/>
    <n v="0"/>
    <s v="Debe"/>
    <x v="1"/>
    <x v="1"/>
    <x v="1"/>
    <x v="1"/>
    <n v="0"/>
    <n v="0"/>
    <s v=""/>
    <x v="4"/>
    <x v="1"/>
    <x v="2"/>
    <x v="11"/>
    <x v="11"/>
    <s v=""/>
    <x v="0"/>
    <x v="0"/>
    <n v="934"/>
    <x v="11"/>
    <s v=""/>
    <x v="4"/>
    <x v="1"/>
  </r>
  <r>
    <x v="0"/>
    <x v="0"/>
    <x v="13"/>
    <n v="0"/>
    <s v="Debe"/>
    <x v="1"/>
    <x v="1"/>
    <x v="1"/>
    <x v="1"/>
    <n v="0"/>
    <n v="0"/>
    <s v=""/>
    <x v="4"/>
    <x v="1"/>
    <x v="2"/>
    <x v="11"/>
    <x v="11"/>
    <s v=""/>
    <x v="0"/>
    <x v="0"/>
    <n v="935"/>
    <x v="11"/>
    <s v=""/>
    <x v="4"/>
    <x v="1"/>
  </r>
  <r>
    <x v="0"/>
    <x v="0"/>
    <x v="13"/>
    <n v="0"/>
    <s v="Debe"/>
    <x v="1"/>
    <x v="1"/>
    <x v="1"/>
    <x v="1"/>
    <n v="0"/>
    <n v="0"/>
    <s v=""/>
    <x v="4"/>
    <x v="1"/>
    <x v="2"/>
    <x v="11"/>
    <x v="11"/>
    <s v=""/>
    <x v="0"/>
    <x v="0"/>
    <n v="936"/>
    <x v="11"/>
    <s v=""/>
    <x v="4"/>
    <x v="1"/>
  </r>
  <r>
    <x v="0"/>
    <x v="0"/>
    <x v="13"/>
    <n v="0"/>
    <s v="Debe"/>
    <x v="1"/>
    <x v="1"/>
    <x v="1"/>
    <x v="1"/>
    <n v="0"/>
    <n v="0"/>
    <s v=""/>
    <x v="4"/>
    <x v="1"/>
    <x v="2"/>
    <x v="11"/>
    <x v="11"/>
    <s v=""/>
    <x v="0"/>
    <x v="0"/>
    <n v="937"/>
    <x v="11"/>
    <s v=""/>
    <x v="4"/>
    <x v="1"/>
  </r>
  <r>
    <x v="0"/>
    <x v="0"/>
    <x v="13"/>
    <n v="0"/>
    <s v="Debe"/>
    <x v="1"/>
    <x v="1"/>
    <x v="1"/>
    <x v="1"/>
    <n v="0"/>
    <n v="0"/>
    <s v=""/>
    <x v="4"/>
    <x v="1"/>
    <x v="2"/>
    <x v="11"/>
    <x v="11"/>
    <s v=""/>
    <x v="0"/>
    <x v="0"/>
    <n v="938"/>
    <x v="11"/>
    <s v=""/>
    <x v="4"/>
    <x v="1"/>
  </r>
  <r>
    <x v="0"/>
    <x v="0"/>
    <x v="13"/>
    <n v="0"/>
    <s v="Debe"/>
    <x v="1"/>
    <x v="1"/>
    <x v="1"/>
    <x v="1"/>
    <n v="0"/>
    <n v="0"/>
    <s v=""/>
    <x v="4"/>
    <x v="1"/>
    <x v="2"/>
    <x v="11"/>
    <x v="11"/>
    <s v=""/>
    <x v="0"/>
    <x v="0"/>
    <n v="939"/>
    <x v="11"/>
    <s v=""/>
    <x v="4"/>
    <x v="1"/>
  </r>
  <r>
    <x v="0"/>
    <x v="0"/>
    <x v="13"/>
    <n v="0"/>
    <s v="Debe"/>
    <x v="1"/>
    <x v="1"/>
    <x v="1"/>
    <x v="1"/>
    <n v="0"/>
    <n v="0"/>
    <s v=""/>
    <x v="4"/>
    <x v="1"/>
    <x v="2"/>
    <x v="11"/>
    <x v="11"/>
    <s v=""/>
    <x v="0"/>
    <x v="0"/>
    <n v="940"/>
    <x v="11"/>
    <s v=""/>
    <x v="4"/>
    <x v="1"/>
  </r>
  <r>
    <x v="0"/>
    <x v="0"/>
    <x v="13"/>
    <n v="0"/>
    <s v="Debe"/>
    <x v="1"/>
    <x v="1"/>
    <x v="1"/>
    <x v="1"/>
    <n v="0"/>
    <n v="0"/>
    <s v=""/>
    <x v="4"/>
    <x v="1"/>
    <x v="2"/>
    <x v="11"/>
    <x v="11"/>
    <s v=""/>
    <x v="0"/>
    <x v="0"/>
    <n v="941"/>
    <x v="11"/>
    <s v=""/>
    <x v="4"/>
    <x v="1"/>
  </r>
  <r>
    <x v="0"/>
    <x v="0"/>
    <x v="13"/>
    <n v="0"/>
    <s v="Debe"/>
    <x v="1"/>
    <x v="1"/>
    <x v="1"/>
    <x v="1"/>
    <n v="0"/>
    <n v="0"/>
    <s v=""/>
    <x v="4"/>
    <x v="1"/>
    <x v="2"/>
    <x v="11"/>
    <x v="11"/>
    <s v=""/>
    <x v="0"/>
    <x v="0"/>
    <n v="942"/>
    <x v="11"/>
    <s v=""/>
    <x v="4"/>
    <x v="1"/>
  </r>
  <r>
    <x v="0"/>
    <x v="0"/>
    <x v="13"/>
    <n v="0"/>
    <s v="Debe"/>
    <x v="1"/>
    <x v="1"/>
    <x v="1"/>
    <x v="1"/>
    <n v="0"/>
    <n v="0"/>
    <s v=""/>
    <x v="4"/>
    <x v="1"/>
    <x v="2"/>
    <x v="11"/>
    <x v="11"/>
    <s v=""/>
    <x v="0"/>
    <x v="0"/>
    <n v="943"/>
    <x v="11"/>
    <s v=""/>
    <x v="4"/>
    <x v="1"/>
  </r>
  <r>
    <x v="0"/>
    <x v="0"/>
    <x v="13"/>
    <n v="0"/>
    <s v="Debe"/>
    <x v="1"/>
    <x v="1"/>
    <x v="1"/>
    <x v="1"/>
    <n v="0"/>
    <n v="0"/>
    <s v=""/>
    <x v="4"/>
    <x v="1"/>
    <x v="2"/>
    <x v="11"/>
    <x v="11"/>
    <s v=""/>
    <x v="0"/>
    <x v="0"/>
    <n v="944"/>
    <x v="11"/>
    <s v=""/>
    <x v="4"/>
    <x v="1"/>
  </r>
  <r>
    <x v="0"/>
    <x v="0"/>
    <x v="13"/>
    <n v="0"/>
    <s v="Debe"/>
    <x v="1"/>
    <x v="1"/>
    <x v="1"/>
    <x v="1"/>
    <n v="0"/>
    <n v="0"/>
    <s v=""/>
    <x v="4"/>
    <x v="1"/>
    <x v="2"/>
    <x v="11"/>
    <x v="11"/>
    <s v=""/>
    <x v="0"/>
    <x v="0"/>
    <n v="945"/>
    <x v="11"/>
    <s v=""/>
    <x v="4"/>
    <x v="1"/>
  </r>
  <r>
    <x v="0"/>
    <x v="0"/>
    <x v="13"/>
    <n v="0"/>
    <s v="Debe"/>
    <x v="1"/>
    <x v="1"/>
    <x v="1"/>
    <x v="1"/>
    <n v="0"/>
    <n v="0"/>
    <s v=""/>
    <x v="4"/>
    <x v="1"/>
    <x v="2"/>
    <x v="11"/>
    <x v="11"/>
    <s v=""/>
    <x v="0"/>
    <x v="0"/>
    <n v="946"/>
    <x v="11"/>
    <s v=""/>
    <x v="4"/>
    <x v="1"/>
  </r>
  <r>
    <x v="0"/>
    <x v="0"/>
    <x v="13"/>
    <n v="0"/>
    <s v="Debe"/>
    <x v="1"/>
    <x v="1"/>
    <x v="1"/>
    <x v="1"/>
    <n v="0"/>
    <n v="0"/>
    <s v=""/>
    <x v="4"/>
    <x v="1"/>
    <x v="2"/>
    <x v="11"/>
    <x v="11"/>
    <s v=""/>
    <x v="0"/>
    <x v="0"/>
    <n v="947"/>
    <x v="11"/>
    <s v=""/>
    <x v="4"/>
    <x v="1"/>
  </r>
  <r>
    <x v="0"/>
    <x v="0"/>
    <x v="13"/>
    <n v="0"/>
    <s v="Debe"/>
    <x v="1"/>
    <x v="1"/>
    <x v="1"/>
    <x v="1"/>
    <n v="0"/>
    <n v="0"/>
    <s v=""/>
    <x v="4"/>
    <x v="1"/>
    <x v="2"/>
    <x v="11"/>
    <x v="11"/>
    <s v=""/>
    <x v="0"/>
    <x v="0"/>
    <n v="948"/>
    <x v="11"/>
    <s v=""/>
    <x v="4"/>
    <x v="1"/>
  </r>
  <r>
    <x v="0"/>
    <x v="0"/>
    <x v="13"/>
    <n v="0"/>
    <s v="Debe"/>
    <x v="1"/>
    <x v="1"/>
    <x v="1"/>
    <x v="1"/>
    <n v="0"/>
    <n v="0"/>
    <s v=""/>
    <x v="4"/>
    <x v="1"/>
    <x v="2"/>
    <x v="11"/>
    <x v="11"/>
    <s v=""/>
    <x v="0"/>
    <x v="0"/>
    <n v="949"/>
    <x v="11"/>
    <s v=""/>
    <x v="4"/>
    <x v="1"/>
  </r>
  <r>
    <x v="0"/>
    <x v="0"/>
    <x v="13"/>
    <n v="0"/>
    <s v="Debe"/>
    <x v="1"/>
    <x v="1"/>
    <x v="1"/>
    <x v="1"/>
    <n v="0"/>
    <n v="0"/>
    <s v=""/>
    <x v="4"/>
    <x v="1"/>
    <x v="2"/>
    <x v="11"/>
    <x v="11"/>
    <s v=""/>
    <x v="0"/>
    <x v="0"/>
    <n v="950"/>
    <x v="11"/>
    <s v=""/>
    <x v="4"/>
    <x v="1"/>
  </r>
  <r>
    <x v="0"/>
    <x v="0"/>
    <x v="13"/>
    <n v="0"/>
    <s v="Debe"/>
    <x v="1"/>
    <x v="1"/>
    <x v="1"/>
    <x v="1"/>
    <n v="0"/>
    <n v="0"/>
    <s v=""/>
    <x v="4"/>
    <x v="1"/>
    <x v="2"/>
    <x v="11"/>
    <x v="11"/>
    <s v=""/>
    <x v="0"/>
    <x v="0"/>
    <n v="951"/>
    <x v="11"/>
    <s v=""/>
    <x v="4"/>
    <x v="1"/>
  </r>
  <r>
    <x v="0"/>
    <x v="0"/>
    <x v="13"/>
    <n v="0"/>
    <s v="Debe"/>
    <x v="1"/>
    <x v="1"/>
    <x v="1"/>
    <x v="1"/>
    <n v="0"/>
    <n v="0"/>
    <s v=""/>
    <x v="4"/>
    <x v="1"/>
    <x v="2"/>
    <x v="11"/>
    <x v="11"/>
    <s v=""/>
    <x v="0"/>
    <x v="0"/>
    <n v="952"/>
    <x v="11"/>
    <s v=""/>
    <x v="4"/>
    <x v="1"/>
  </r>
  <r>
    <x v="0"/>
    <x v="0"/>
    <x v="13"/>
    <n v="0"/>
    <s v="Debe"/>
    <x v="1"/>
    <x v="1"/>
    <x v="1"/>
    <x v="1"/>
    <n v="0"/>
    <n v="0"/>
    <s v=""/>
    <x v="4"/>
    <x v="1"/>
    <x v="2"/>
    <x v="11"/>
    <x v="11"/>
    <s v=""/>
    <x v="0"/>
    <x v="0"/>
    <n v="953"/>
    <x v="11"/>
    <s v=""/>
    <x v="4"/>
    <x v="1"/>
  </r>
  <r>
    <x v="0"/>
    <x v="0"/>
    <x v="13"/>
    <n v="0"/>
    <s v="Debe"/>
    <x v="1"/>
    <x v="1"/>
    <x v="1"/>
    <x v="1"/>
    <n v="0"/>
    <n v="0"/>
    <s v=""/>
    <x v="4"/>
    <x v="1"/>
    <x v="2"/>
    <x v="11"/>
    <x v="11"/>
    <s v=""/>
    <x v="0"/>
    <x v="0"/>
    <n v="954"/>
    <x v="11"/>
    <s v=""/>
    <x v="4"/>
    <x v="1"/>
  </r>
  <r>
    <x v="0"/>
    <x v="0"/>
    <x v="13"/>
    <n v="0"/>
    <s v="Debe"/>
    <x v="1"/>
    <x v="1"/>
    <x v="1"/>
    <x v="1"/>
    <n v="0"/>
    <n v="0"/>
    <s v=""/>
    <x v="4"/>
    <x v="1"/>
    <x v="2"/>
    <x v="11"/>
    <x v="11"/>
    <s v=""/>
    <x v="0"/>
    <x v="0"/>
    <n v="955"/>
    <x v="11"/>
    <s v=""/>
    <x v="4"/>
    <x v="1"/>
  </r>
  <r>
    <x v="0"/>
    <x v="0"/>
    <x v="13"/>
    <n v="0"/>
    <s v="Debe"/>
    <x v="1"/>
    <x v="1"/>
    <x v="1"/>
    <x v="1"/>
    <n v="0"/>
    <n v="0"/>
    <s v=""/>
    <x v="4"/>
    <x v="1"/>
    <x v="2"/>
    <x v="11"/>
    <x v="11"/>
    <s v=""/>
    <x v="0"/>
    <x v="0"/>
    <n v="956"/>
    <x v="11"/>
    <s v=""/>
    <x v="4"/>
    <x v="1"/>
  </r>
  <r>
    <x v="0"/>
    <x v="0"/>
    <x v="13"/>
    <n v="0"/>
    <s v="Debe"/>
    <x v="1"/>
    <x v="1"/>
    <x v="1"/>
    <x v="1"/>
    <n v="0"/>
    <n v="0"/>
    <s v=""/>
    <x v="4"/>
    <x v="1"/>
    <x v="2"/>
    <x v="11"/>
    <x v="11"/>
    <s v=""/>
    <x v="0"/>
    <x v="0"/>
    <n v="957"/>
    <x v="11"/>
    <s v=""/>
    <x v="4"/>
    <x v="1"/>
  </r>
  <r>
    <x v="0"/>
    <x v="0"/>
    <x v="13"/>
    <n v="0"/>
    <s v="Debe"/>
    <x v="1"/>
    <x v="1"/>
    <x v="1"/>
    <x v="1"/>
    <n v="0"/>
    <n v="0"/>
    <s v=""/>
    <x v="4"/>
    <x v="1"/>
    <x v="2"/>
    <x v="11"/>
    <x v="11"/>
    <s v=""/>
    <x v="0"/>
    <x v="0"/>
    <n v="958"/>
    <x v="11"/>
    <s v=""/>
    <x v="4"/>
    <x v="1"/>
  </r>
  <r>
    <x v="0"/>
    <x v="0"/>
    <x v="13"/>
    <n v="0"/>
    <s v="Debe"/>
    <x v="1"/>
    <x v="1"/>
    <x v="1"/>
    <x v="1"/>
    <n v="0"/>
    <n v="0"/>
    <s v=""/>
    <x v="4"/>
    <x v="1"/>
    <x v="2"/>
    <x v="11"/>
    <x v="11"/>
    <s v=""/>
    <x v="0"/>
    <x v="0"/>
    <n v="959"/>
    <x v="11"/>
    <s v=""/>
    <x v="4"/>
    <x v="1"/>
  </r>
  <r>
    <x v="0"/>
    <x v="0"/>
    <x v="13"/>
    <n v="0"/>
    <s v="Debe"/>
    <x v="1"/>
    <x v="1"/>
    <x v="1"/>
    <x v="1"/>
    <n v="0"/>
    <n v="0"/>
    <s v=""/>
    <x v="4"/>
    <x v="1"/>
    <x v="2"/>
    <x v="11"/>
    <x v="11"/>
    <s v=""/>
    <x v="0"/>
    <x v="0"/>
    <n v="960"/>
    <x v="11"/>
    <s v=""/>
    <x v="4"/>
    <x v="1"/>
  </r>
  <r>
    <x v="0"/>
    <x v="0"/>
    <x v="13"/>
    <n v="0"/>
    <s v="Debe"/>
    <x v="1"/>
    <x v="1"/>
    <x v="1"/>
    <x v="1"/>
    <n v="0"/>
    <n v="0"/>
    <s v=""/>
    <x v="4"/>
    <x v="1"/>
    <x v="2"/>
    <x v="11"/>
    <x v="11"/>
    <s v=""/>
    <x v="0"/>
    <x v="0"/>
    <n v="961"/>
    <x v="11"/>
    <s v=""/>
    <x v="4"/>
    <x v="1"/>
  </r>
  <r>
    <x v="0"/>
    <x v="0"/>
    <x v="13"/>
    <n v="0"/>
    <s v="Debe"/>
    <x v="1"/>
    <x v="1"/>
    <x v="1"/>
    <x v="1"/>
    <n v="0"/>
    <n v="0"/>
    <s v=""/>
    <x v="4"/>
    <x v="1"/>
    <x v="2"/>
    <x v="11"/>
    <x v="11"/>
    <s v=""/>
    <x v="0"/>
    <x v="0"/>
    <n v="962"/>
    <x v="11"/>
    <s v=""/>
    <x v="4"/>
    <x v="1"/>
  </r>
  <r>
    <x v="0"/>
    <x v="0"/>
    <x v="13"/>
    <n v="0"/>
    <s v="Debe"/>
    <x v="1"/>
    <x v="1"/>
    <x v="1"/>
    <x v="1"/>
    <n v="0"/>
    <n v="0"/>
    <s v=""/>
    <x v="4"/>
    <x v="1"/>
    <x v="2"/>
    <x v="11"/>
    <x v="11"/>
    <s v=""/>
    <x v="0"/>
    <x v="0"/>
    <n v="963"/>
    <x v="11"/>
    <s v=""/>
    <x v="4"/>
    <x v="1"/>
  </r>
  <r>
    <x v="0"/>
    <x v="0"/>
    <x v="13"/>
    <n v="0"/>
    <s v="Debe"/>
    <x v="1"/>
    <x v="1"/>
    <x v="1"/>
    <x v="1"/>
    <n v="0"/>
    <n v="0"/>
    <s v=""/>
    <x v="4"/>
    <x v="1"/>
    <x v="2"/>
    <x v="11"/>
    <x v="11"/>
    <s v=""/>
    <x v="0"/>
    <x v="0"/>
    <n v="964"/>
    <x v="11"/>
    <s v=""/>
    <x v="4"/>
    <x v="1"/>
  </r>
  <r>
    <x v="0"/>
    <x v="0"/>
    <x v="13"/>
    <n v="0"/>
    <s v="Debe"/>
    <x v="1"/>
    <x v="1"/>
    <x v="1"/>
    <x v="1"/>
    <n v="0"/>
    <n v="0"/>
    <s v=""/>
    <x v="4"/>
    <x v="1"/>
    <x v="2"/>
    <x v="11"/>
    <x v="11"/>
    <s v=""/>
    <x v="0"/>
    <x v="0"/>
    <n v="965"/>
    <x v="11"/>
    <s v=""/>
    <x v="4"/>
    <x v="1"/>
  </r>
  <r>
    <x v="0"/>
    <x v="0"/>
    <x v="13"/>
    <n v="0"/>
    <s v="Debe"/>
    <x v="1"/>
    <x v="1"/>
    <x v="1"/>
    <x v="1"/>
    <n v="0"/>
    <n v="0"/>
    <s v=""/>
    <x v="4"/>
    <x v="1"/>
    <x v="2"/>
    <x v="11"/>
    <x v="11"/>
    <s v=""/>
    <x v="0"/>
    <x v="0"/>
    <n v="966"/>
    <x v="11"/>
    <s v=""/>
    <x v="4"/>
    <x v="1"/>
  </r>
  <r>
    <x v="0"/>
    <x v="0"/>
    <x v="13"/>
    <n v="0"/>
    <s v="Debe"/>
    <x v="1"/>
    <x v="1"/>
    <x v="1"/>
    <x v="1"/>
    <n v="0"/>
    <n v="0"/>
    <s v=""/>
    <x v="4"/>
    <x v="1"/>
    <x v="2"/>
    <x v="11"/>
    <x v="11"/>
    <s v=""/>
    <x v="0"/>
    <x v="0"/>
    <n v="967"/>
    <x v="11"/>
    <s v=""/>
    <x v="4"/>
    <x v="1"/>
  </r>
  <r>
    <x v="0"/>
    <x v="0"/>
    <x v="13"/>
    <n v="0"/>
    <s v="Debe"/>
    <x v="1"/>
    <x v="1"/>
    <x v="1"/>
    <x v="1"/>
    <n v="0"/>
    <n v="0"/>
    <s v=""/>
    <x v="4"/>
    <x v="1"/>
    <x v="2"/>
    <x v="11"/>
    <x v="11"/>
    <s v=""/>
    <x v="0"/>
    <x v="0"/>
    <n v="968"/>
    <x v="11"/>
    <s v=""/>
    <x v="4"/>
    <x v="1"/>
  </r>
  <r>
    <x v="0"/>
    <x v="0"/>
    <x v="13"/>
    <n v="0"/>
    <s v="Debe"/>
    <x v="1"/>
    <x v="1"/>
    <x v="1"/>
    <x v="1"/>
    <n v="0"/>
    <n v="0"/>
    <s v=""/>
    <x v="4"/>
    <x v="1"/>
    <x v="2"/>
    <x v="11"/>
    <x v="11"/>
    <s v=""/>
    <x v="0"/>
    <x v="0"/>
    <n v="969"/>
    <x v="11"/>
    <s v=""/>
    <x v="4"/>
    <x v="1"/>
  </r>
  <r>
    <x v="0"/>
    <x v="0"/>
    <x v="13"/>
    <n v="0"/>
    <s v="Debe"/>
    <x v="1"/>
    <x v="1"/>
    <x v="1"/>
    <x v="1"/>
    <n v="0"/>
    <n v="0"/>
    <s v=""/>
    <x v="4"/>
    <x v="1"/>
    <x v="2"/>
    <x v="11"/>
    <x v="11"/>
    <s v=""/>
    <x v="0"/>
    <x v="0"/>
    <n v="970"/>
    <x v="11"/>
    <s v=""/>
    <x v="4"/>
    <x v="1"/>
  </r>
  <r>
    <x v="0"/>
    <x v="0"/>
    <x v="13"/>
    <n v="0"/>
    <s v="Debe"/>
    <x v="1"/>
    <x v="1"/>
    <x v="1"/>
    <x v="1"/>
    <n v="0"/>
    <n v="0"/>
    <s v=""/>
    <x v="4"/>
    <x v="1"/>
    <x v="2"/>
    <x v="11"/>
    <x v="11"/>
    <s v=""/>
    <x v="0"/>
    <x v="0"/>
    <n v="971"/>
    <x v="11"/>
    <s v=""/>
    <x v="4"/>
    <x v="1"/>
  </r>
  <r>
    <x v="0"/>
    <x v="0"/>
    <x v="13"/>
    <n v="0"/>
    <s v="Debe"/>
    <x v="1"/>
    <x v="1"/>
    <x v="1"/>
    <x v="1"/>
    <n v="0"/>
    <n v="0"/>
    <s v=""/>
    <x v="4"/>
    <x v="1"/>
    <x v="2"/>
    <x v="11"/>
    <x v="11"/>
    <s v=""/>
    <x v="0"/>
    <x v="0"/>
    <n v="972"/>
    <x v="11"/>
    <s v=""/>
    <x v="4"/>
    <x v="1"/>
  </r>
  <r>
    <x v="0"/>
    <x v="0"/>
    <x v="13"/>
    <n v="0"/>
    <s v="Debe"/>
    <x v="1"/>
    <x v="1"/>
    <x v="1"/>
    <x v="1"/>
    <n v="0"/>
    <n v="0"/>
    <s v=""/>
    <x v="4"/>
    <x v="1"/>
    <x v="2"/>
    <x v="11"/>
    <x v="11"/>
    <s v=""/>
    <x v="0"/>
    <x v="0"/>
    <n v="973"/>
    <x v="11"/>
    <s v=""/>
    <x v="4"/>
    <x v="1"/>
  </r>
  <r>
    <x v="0"/>
    <x v="0"/>
    <x v="13"/>
    <n v="0"/>
    <s v="Debe"/>
    <x v="1"/>
    <x v="1"/>
    <x v="1"/>
    <x v="1"/>
    <n v="0"/>
    <n v="0"/>
    <s v=""/>
    <x v="4"/>
    <x v="1"/>
    <x v="2"/>
    <x v="11"/>
    <x v="11"/>
    <s v=""/>
    <x v="0"/>
    <x v="0"/>
    <n v="974"/>
    <x v="11"/>
    <s v=""/>
    <x v="4"/>
    <x v="1"/>
  </r>
  <r>
    <x v="0"/>
    <x v="0"/>
    <x v="13"/>
    <n v="0"/>
    <s v="Debe"/>
    <x v="1"/>
    <x v="1"/>
    <x v="1"/>
    <x v="1"/>
    <n v="0"/>
    <n v="0"/>
    <s v=""/>
    <x v="4"/>
    <x v="1"/>
    <x v="2"/>
    <x v="11"/>
    <x v="11"/>
    <s v=""/>
    <x v="0"/>
    <x v="0"/>
    <n v="975"/>
    <x v="11"/>
    <s v=""/>
    <x v="4"/>
    <x v="1"/>
  </r>
  <r>
    <x v="0"/>
    <x v="0"/>
    <x v="13"/>
    <n v="0"/>
    <s v="Debe"/>
    <x v="1"/>
    <x v="1"/>
    <x v="1"/>
    <x v="1"/>
    <n v="0"/>
    <n v="0"/>
    <s v=""/>
    <x v="4"/>
    <x v="1"/>
    <x v="2"/>
    <x v="11"/>
    <x v="11"/>
    <s v=""/>
    <x v="0"/>
    <x v="0"/>
    <n v="976"/>
    <x v="11"/>
    <s v=""/>
    <x v="4"/>
    <x v="1"/>
  </r>
  <r>
    <x v="0"/>
    <x v="0"/>
    <x v="13"/>
    <n v="0"/>
    <s v="Debe"/>
    <x v="1"/>
    <x v="1"/>
    <x v="1"/>
    <x v="1"/>
    <n v="0"/>
    <n v="0"/>
    <s v=""/>
    <x v="4"/>
    <x v="1"/>
    <x v="2"/>
    <x v="11"/>
    <x v="11"/>
    <s v=""/>
    <x v="0"/>
    <x v="0"/>
    <n v="977"/>
    <x v="11"/>
    <s v=""/>
    <x v="4"/>
    <x v="1"/>
  </r>
  <r>
    <x v="0"/>
    <x v="0"/>
    <x v="13"/>
    <n v="0"/>
    <s v="Debe"/>
    <x v="1"/>
    <x v="1"/>
    <x v="1"/>
    <x v="1"/>
    <n v="0"/>
    <n v="0"/>
    <s v=""/>
    <x v="4"/>
    <x v="1"/>
    <x v="2"/>
    <x v="11"/>
    <x v="11"/>
    <s v=""/>
    <x v="0"/>
    <x v="0"/>
    <n v="978"/>
    <x v="11"/>
    <s v=""/>
    <x v="4"/>
    <x v="1"/>
  </r>
  <r>
    <x v="0"/>
    <x v="0"/>
    <x v="13"/>
    <n v="0"/>
    <s v="Debe"/>
    <x v="1"/>
    <x v="1"/>
    <x v="1"/>
    <x v="1"/>
    <n v="0"/>
    <n v="0"/>
    <s v=""/>
    <x v="4"/>
    <x v="1"/>
    <x v="2"/>
    <x v="11"/>
    <x v="11"/>
    <s v=""/>
    <x v="0"/>
    <x v="0"/>
    <n v="979"/>
    <x v="11"/>
    <s v=""/>
    <x v="4"/>
    <x v="1"/>
  </r>
  <r>
    <x v="0"/>
    <x v="0"/>
    <x v="13"/>
    <n v="0"/>
    <s v="Debe"/>
    <x v="1"/>
    <x v="1"/>
    <x v="1"/>
    <x v="1"/>
    <n v="0"/>
    <n v="0"/>
    <s v=""/>
    <x v="4"/>
    <x v="1"/>
    <x v="2"/>
    <x v="11"/>
    <x v="11"/>
    <s v=""/>
    <x v="0"/>
    <x v="0"/>
    <n v="980"/>
    <x v="11"/>
    <s v=""/>
    <x v="4"/>
    <x v="1"/>
  </r>
  <r>
    <x v="0"/>
    <x v="0"/>
    <x v="13"/>
    <n v="0"/>
    <s v="Debe"/>
    <x v="1"/>
    <x v="1"/>
    <x v="1"/>
    <x v="1"/>
    <n v="0"/>
    <n v="0"/>
    <s v=""/>
    <x v="4"/>
    <x v="1"/>
    <x v="2"/>
    <x v="11"/>
    <x v="11"/>
    <s v=""/>
    <x v="0"/>
    <x v="0"/>
    <n v="981"/>
    <x v="11"/>
    <s v=""/>
    <x v="4"/>
    <x v="1"/>
  </r>
  <r>
    <x v="0"/>
    <x v="0"/>
    <x v="13"/>
    <n v="0"/>
    <s v="Debe"/>
    <x v="1"/>
    <x v="1"/>
    <x v="1"/>
    <x v="1"/>
    <n v="0"/>
    <n v="0"/>
    <s v=""/>
    <x v="4"/>
    <x v="1"/>
    <x v="2"/>
    <x v="11"/>
    <x v="11"/>
    <s v=""/>
    <x v="0"/>
    <x v="0"/>
    <n v="982"/>
    <x v="11"/>
    <s v=""/>
    <x v="4"/>
    <x v="1"/>
  </r>
  <r>
    <x v="0"/>
    <x v="0"/>
    <x v="13"/>
    <n v="0"/>
    <s v="Debe"/>
    <x v="1"/>
    <x v="1"/>
    <x v="1"/>
    <x v="1"/>
    <n v="0"/>
    <n v="0"/>
    <s v=""/>
    <x v="4"/>
    <x v="1"/>
    <x v="2"/>
    <x v="11"/>
    <x v="11"/>
    <s v=""/>
    <x v="0"/>
    <x v="0"/>
    <n v="983"/>
    <x v="11"/>
    <s v=""/>
    <x v="4"/>
    <x v="1"/>
  </r>
  <r>
    <x v="0"/>
    <x v="0"/>
    <x v="13"/>
    <n v="0"/>
    <s v="Debe"/>
    <x v="1"/>
    <x v="1"/>
    <x v="1"/>
    <x v="1"/>
    <n v="0"/>
    <n v="0"/>
    <s v=""/>
    <x v="4"/>
    <x v="1"/>
    <x v="2"/>
    <x v="11"/>
    <x v="11"/>
    <s v=""/>
    <x v="0"/>
    <x v="0"/>
    <n v="984"/>
    <x v="11"/>
    <s v=""/>
    <x v="4"/>
    <x v="1"/>
  </r>
  <r>
    <x v="0"/>
    <x v="0"/>
    <x v="13"/>
    <n v="0"/>
    <s v="Debe"/>
    <x v="1"/>
    <x v="1"/>
    <x v="1"/>
    <x v="1"/>
    <n v="0"/>
    <n v="0"/>
    <s v=""/>
    <x v="4"/>
    <x v="1"/>
    <x v="2"/>
    <x v="11"/>
    <x v="11"/>
    <s v=""/>
    <x v="0"/>
    <x v="0"/>
    <n v="985"/>
    <x v="11"/>
    <s v=""/>
    <x v="4"/>
    <x v="1"/>
  </r>
  <r>
    <x v="0"/>
    <x v="0"/>
    <x v="13"/>
    <n v="0"/>
    <s v="Debe"/>
    <x v="1"/>
    <x v="1"/>
    <x v="1"/>
    <x v="1"/>
    <n v="0"/>
    <n v="0"/>
    <s v=""/>
    <x v="4"/>
    <x v="1"/>
    <x v="2"/>
    <x v="11"/>
    <x v="11"/>
    <s v=""/>
    <x v="0"/>
    <x v="0"/>
    <n v="986"/>
    <x v="11"/>
    <s v=""/>
    <x v="4"/>
    <x v="1"/>
  </r>
  <r>
    <x v="0"/>
    <x v="0"/>
    <x v="13"/>
    <n v="0"/>
    <s v="Debe"/>
    <x v="1"/>
    <x v="1"/>
    <x v="1"/>
    <x v="1"/>
    <n v="0"/>
    <n v="0"/>
    <s v=""/>
    <x v="4"/>
    <x v="1"/>
    <x v="2"/>
    <x v="11"/>
    <x v="11"/>
    <s v=""/>
    <x v="0"/>
    <x v="0"/>
    <n v="987"/>
    <x v="11"/>
    <s v=""/>
    <x v="4"/>
    <x v="1"/>
  </r>
  <r>
    <x v="0"/>
    <x v="0"/>
    <x v="13"/>
    <n v="0"/>
    <s v="Debe"/>
    <x v="1"/>
    <x v="1"/>
    <x v="1"/>
    <x v="1"/>
    <n v="0"/>
    <n v="0"/>
    <s v=""/>
    <x v="4"/>
    <x v="1"/>
    <x v="2"/>
    <x v="11"/>
    <x v="11"/>
    <s v=""/>
    <x v="0"/>
    <x v="0"/>
    <n v="988"/>
    <x v="11"/>
    <s v=""/>
    <x v="4"/>
    <x v="1"/>
  </r>
  <r>
    <x v="0"/>
    <x v="0"/>
    <x v="13"/>
    <n v="0"/>
    <s v="Debe"/>
    <x v="1"/>
    <x v="1"/>
    <x v="1"/>
    <x v="1"/>
    <n v="0"/>
    <n v="0"/>
    <s v=""/>
    <x v="4"/>
    <x v="1"/>
    <x v="2"/>
    <x v="11"/>
    <x v="11"/>
    <s v=""/>
    <x v="0"/>
    <x v="0"/>
    <n v="989"/>
    <x v="11"/>
    <s v=""/>
    <x v="4"/>
    <x v="1"/>
  </r>
  <r>
    <x v="0"/>
    <x v="0"/>
    <x v="13"/>
    <n v="0"/>
    <s v="Debe"/>
    <x v="1"/>
    <x v="1"/>
    <x v="1"/>
    <x v="1"/>
    <n v="0"/>
    <n v="0"/>
    <s v=""/>
    <x v="4"/>
    <x v="1"/>
    <x v="2"/>
    <x v="11"/>
    <x v="11"/>
    <s v=""/>
    <x v="0"/>
    <x v="0"/>
    <n v="990"/>
    <x v="11"/>
    <s v=""/>
    <x v="4"/>
    <x v="1"/>
  </r>
  <r>
    <x v="0"/>
    <x v="0"/>
    <x v="13"/>
    <n v="0"/>
    <s v="Debe"/>
    <x v="1"/>
    <x v="1"/>
    <x v="1"/>
    <x v="1"/>
    <n v="0"/>
    <n v="0"/>
    <s v=""/>
    <x v="4"/>
    <x v="1"/>
    <x v="2"/>
    <x v="11"/>
    <x v="11"/>
    <s v=""/>
    <x v="0"/>
    <x v="0"/>
    <n v="991"/>
    <x v="11"/>
    <s v=""/>
    <x v="4"/>
    <x v="1"/>
  </r>
  <r>
    <x v="0"/>
    <x v="0"/>
    <x v="13"/>
    <n v="0"/>
    <s v="Debe"/>
    <x v="1"/>
    <x v="1"/>
    <x v="1"/>
    <x v="1"/>
    <n v="0"/>
    <n v="0"/>
    <s v=""/>
    <x v="4"/>
    <x v="1"/>
    <x v="2"/>
    <x v="11"/>
    <x v="11"/>
    <s v=""/>
    <x v="0"/>
    <x v="0"/>
    <n v="992"/>
    <x v="11"/>
    <s v=""/>
    <x v="4"/>
    <x v="1"/>
  </r>
  <r>
    <x v="0"/>
    <x v="0"/>
    <x v="13"/>
    <n v="0"/>
    <s v="Debe"/>
    <x v="1"/>
    <x v="1"/>
    <x v="1"/>
    <x v="1"/>
    <n v="0"/>
    <n v="0"/>
    <s v=""/>
    <x v="4"/>
    <x v="1"/>
    <x v="2"/>
    <x v="11"/>
    <x v="11"/>
    <s v=""/>
    <x v="0"/>
    <x v="0"/>
    <n v="993"/>
    <x v="11"/>
    <s v=""/>
    <x v="4"/>
    <x v="1"/>
  </r>
  <r>
    <x v="0"/>
    <x v="0"/>
    <x v="13"/>
    <n v="0"/>
    <s v="Debe"/>
    <x v="1"/>
    <x v="1"/>
    <x v="1"/>
    <x v="1"/>
    <n v="0"/>
    <n v="0"/>
    <s v=""/>
    <x v="4"/>
    <x v="1"/>
    <x v="2"/>
    <x v="11"/>
    <x v="11"/>
    <s v=""/>
    <x v="0"/>
    <x v="0"/>
    <n v="994"/>
    <x v="11"/>
    <s v=""/>
    <x v="4"/>
    <x v="1"/>
  </r>
  <r>
    <x v="0"/>
    <x v="0"/>
    <x v="13"/>
    <n v="0"/>
    <s v="Debe"/>
    <x v="1"/>
    <x v="1"/>
    <x v="1"/>
    <x v="1"/>
    <n v="0"/>
    <n v="0"/>
    <s v=""/>
    <x v="4"/>
    <x v="1"/>
    <x v="2"/>
    <x v="11"/>
    <x v="11"/>
    <s v=""/>
    <x v="0"/>
    <x v="0"/>
    <n v="995"/>
    <x v="11"/>
    <s v=""/>
    <x v="4"/>
    <x v="1"/>
  </r>
  <r>
    <x v="0"/>
    <x v="0"/>
    <x v="13"/>
    <n v="0"/>
    <s v="Debe"/>
    <x v="1"/>
    <x v="1"/>
    <x v="1"/>
    <x v="1"/>
    <n v="0"/>
    <n v="0"/>
    <s v=""/>
    <x v="4"/>
    <x v="1"/>
    <x v="2"/>
    <x v="11"/>
    <x v="11"/>
    <s v=""/>
    <x v="0"/>
    <x v="0"/>
    <n v="996"/>
    <x v="11"/>
    <s v=""/>
    <x v="4"/>
    <x v="1"/>
  </r>
  <r>
    <x v="0"/>
    <x v="0"/>
    <x v="13"/>
    <n v="0"/>
    <s v="Debe"/>
    <x v="1"/>
    <x v="1"/>
    <x v="1"/>
    <x v="1"/>
    <n v="0"/>
    <n v="0"/>
    <s v=""/>
    <x v="4"/>
    <x v="1"/>
    <x v="2"/>
    <x v="11"/>
    <x v="11"/>
    <s v=""/>
    <x v="0"/>
    <x v="0"/>
    <n v="997"/>
    <x v="11"/>
    <s v=""/>
    <x v="4"/>
    <x v="1"/>
  </r>
  <r>
    <x v="0"/>
    <x v="0"/>
    <x v="13"/>
    <n v="0"/>
    <s v="Debe"/>
    <x v="1"/>
    <x v="1"/>
    <x v="1"/>
    <x v="1"/>
    <n v="0"/>
    <n v="0"/>
    <s v=""/>
    <x v="4"/>
    <x v="1"/>
    <x v="2"/>
    <x v="11"/>
    <x v="11"/>
    <s v=""/>
    <x v="0"/>
    <x v="0"/>
    <n v="998"/>
    <x v="11"/>
    <s v=""/>
    <x v="4"/>
    <x v="1"/>
  </r>
  <r>
    <x v="0"/>
    <x v="0"/>
    <x v="13"/>
    <n v="0"/>
    <s v="Debe"/>
    <x v="1"/>
    <x v="1"/>
    <x v="1"/>
    <x v="1"/>
    <n v="0"/>
    <n v="0"/>
    <s v=""/>
    <x v="4"/>
    <x v="1"/>
    <x v="2"/>
    <x v="11"/>
    <x v="11"/>
    <s v=""/>
    <x v="0"/>
    <x v="0"/>
    <n v="999"/>
    <x v="11"/>
    <s v=""/>
    <x v="4"/>
    <x v="1"/>
  </r>
  <r>
    <x v="0"/>
    <x v="0"/>
    <x v="13"/>
    <n v="0"/>
    <s v="Debe"/>
    <x v="1"/>
    <x v="1"/>
    <x v="1"/>
    <x v="1"/>
    <n v="0"/>
    <n v="0"/>
    <s v=""/>
    <x v="4"/>
    <x v="1"/>
    <x v="2"/>
    <x v="11"/>
    <x v="11"/>
    <s v=""/>
    <x v="0"/>
    <x v="0"/>
    <n v="1000"/>
    <x v="11"/>
    <s v=""/>
    <x v="4"/>
    <x v="1"/>
  </r>
  <r>
    <x v="0"/>
    <x v="0"/>
    <x v="13"/>
    <n v="0"/>
    <s v="Debe"/>
    <x v="1"/>
    <x v="1"/>
    <x v="1"/>
    <x v="1"/>
    <n v="0"/>
    <n v="0"/>
    <s v=""/>
    <x v="4"/>
    <x v="1"/>
    <x v="2"/>
    <x v="11"/>
    <x v="11"/>
    <s v=""/>
    <x v="0"/>
    <x v="0"/>
    <n v="1001"/>
    <x v="11"/>
    <s v=""/>
    <x v="4"/>
    <x v="1"/>
  </r>
  <r>
    <x v="0"/>
    <x v="0"/>
    <x v="13"/>
    <n v="0"/>
    <s v="Debe"/>
    <x v="1"/>
    <x v="1"/>
    <x v="1"/>
    <x v="1"/>
    <n v="0"/>
    <n v="0"/>
    <s v=""/>
    <x v="4"/>
    <x v="1"/>
    <x v="2"/>
    <x v="11"/>
    <x v="11"/>
    <s v=""/>
    <x v="0"/>
    <x v="0"/>
    <n v="1002"/>
    <x v="11"/>
    <s v=""/>
    <x v="4"/>
    <x v="1"/>
  </r>
  <r>
    <x v="0"/>
    <x v="0"/>
    <x v="13"/>
    <n v="0"/>
    <s v="Debe"/>
    <x v="1"/>
    <x v="1"/>
    <x v="1"/>
    <x v="1"/>
    <n v="0"/>
    <n v="0"/>
    <s v=""/>
    <x v="4"/>
    <x v="1"/>
    <x v="2"/>
    <x v="11"/>
    <x v="11"/>
    <s v=""/>
    <x v="0"/>
    <x v="0"/>
    <n v="1003"/>
    <x v="11"/>
    <s v=""/>
    <x v="4"/>
    <x v="1"/>
  </r>
  <r>
    <x v="0"/>
    <x v="0"/>
    <x v="13"/>
    <n v="0"/>
    <s v="Debe"/>
    <x v="1"/>
    <x v="1"/>
    <x v="1"/>
    <x v="1"/>
    <n v="0"/>
    <n v="0"/>
    <s v=""/>
    <x v="4"/>
    <x v="1"/>
    <x v="2"/>
    <x v="11"/>
    <x v="11"/>
    <s v=""/>
    <x v="0"/>
    <x v="0"/>
    <n v="1004"/>
    <x v="11"/>
    <s v=""/>
    <x v="4"/>
    <x v="1"/>
  </r>
  <r>
    <x v="0"/>
    <x v="0"/>
    <x v="13"/>
    <n v="0"/>
    <s v="Debe"/>
    <x v="1"/>
    <x v="1"/>
    <x v="1"/>
    <x v="1"/>
    <n v="0"/>
    <n v="0"/>
    <s v=""/>
    <x v="4"/>
    <x v="1"/>
    <x v="2"/>
    <x v="11"/>
    <x v="11"/>
    <s v=""/>
    <x v="0"/>
    <x v="0"/>
    <n v="1005"/>
    <x v="11"/>
    <s v=""/>
    <x v="4"/>
    <x v="1"/>
  </r>
  <r>
    <x v="0"/>
    <x v="0"/>
    <x v="13"/>
    <n v="0"/>
    <s v="Debe"/>
    <x v="1"/>
    <x v="1"/>
    <x v="1"/>
    <x v="1"/>
    <n v="0"/>
    <n v="0"/>
    <s v=""/>
    <x v="4"/>
    <x v="1"/>
    <x v="2"/>
    <x v="11"/>
    <x v="11"/>
    <s v=""/>
    <x v="0"/>
    <x v="0"/>
    <n v="1006"/>
    <x v="11"/>
    <s v=""/>
    <x v="4"/>
    <x v="1"/>
  </r>
  <r>
    <x v="0"/>
    <x v="0"/>
    <x v="13"/>
    <n v="0"/>
    <s v="Debe"/>
    <x v="1"/>
    <x v="1"/>
    <x v="1"/>
    <x v="1"/>
    <n v="0"/>
    <n v="0"/>
    <s v=""/>
    <x v="4"/>
    <x v="1"/>
    <x v="2"/>
    <x v="11"/>
    <x v="11"/>
    <s v=""/>
    <x v="0"/>
    <x v="0"/>
    <n v="1007"/>
    <x v="11"/>
    <s v=""/>
    <x v="4"/>
    <x v="1"/>
  </r>
  <r>
    <x v="0"/>
    <x v="0"/>
    <x v="13"/>
    <n v="0"/>
    <s v="Debe"/>
    <x v="1"/>
    <x v="1"/>
    <x v="1"/>
    <x v="1"/>
    <n v="0"/>
    <n v="0"/>
    <s v=""/>
    <x v="4"/>
    <x v="1"/>
    <x v="2"/>
    <x v="11"/>
    <x v="11"/>
    <s v=""/>
    <x v="0"/>
    <x v="0"/>
    <n v="1008"/>
    <x v="11"/>
    <s v=""/>
    <x v="4"/>
    <x v="1"/>
  </r>
  <r>
    <x v="0"/>
    <x v="0"/>
    <x v="13"/>
    <n v="0"/>
    <s v="Debe"/>
    <x v="1"/>
    <x v="1"/>
    <x v="1"/>
    <x v="1"/>
    <n v="0"/>
    <n v="0"/>
    <s v=""/>
    <x v="4"/>
    <x v="1"/>
    <x v="2"/>
    <x v="11"/>
    <x v="11"/>
    <s v=""/>
    <x v="0"/>
    <x v="0"/>
    <n v="1009"/>
    <x v="11"/>
    <s v=""/>
    <x v="4"/>
    <x v="1"/>
  </r>
  <r>
    <x v="0"/>
    <x v="0"/>
    <x v="13"/>
    <n v="0"/>
    <s v="Debe"/>
    <x v="1"/>
    <x v="1"/>
    <x v="1"/>
    <x v="1"/>
    <n v="0"/>
    <n v="0"/>
    <s v=""/>
    <x v="4"/>
    <x v="1"/>
    <x v="2"/>
    <x v="11"/>
    <x v="11"/>
    <s v=""/>
    <x v="0"/>
    <x v="0"/>
    <n v="1010"/>
    <x v="11"/>
    <s v=""/>
    <x v="4"/>
    <x v="1"/>
  </r>
  <r>
    <x v="0"/>
    <x v="0"/>
    <x v="13"/>
    <n v="0"/>
    <s v="Debe"/>
    <x v="1"/>
    <x v="1"/>
    <x v="1"/>
    <x v="1"/>
    <n v="0"/>
    <n v="0"/>
    <s v=""/>
    <x v="4"/>
    <x v="1"/>
    <x v="2"/>
    <x v="11"/>
    <x v="11"/>
    <s v=""/>
    <x v="0"/>
    <x v="0"/>
    <n v="1011"/>
    <x v="11"/>
    <s v=""/>
    <x v="4"/>
    <x v="1"/>
  </r>
  <r>
    <x v="0"/>
    <x v="0"/>
    <x v="13"/>
    <n v="0"/>
    <s v="Debe"/>
    <x v="1"/>
    <x v="1"/>
    <x v="1"/>
    <x v="1"/>
    <n v="0"/>
    <n v="0"/>
    <s v=""/>
    <x v="4"/>
    <x v="1"/>
    <x v="2"/>
    <x v="11"/>
    <x v="11"/>
    <s v=""/>
    <x v="0"/>
    <x v="0"/>
    <n v="1012"/>
    <x v="11"/>
    <s v=""/>
    <x v="4"/>
    <x v="1"/>
  </r>
  <r>
    <x v="0"/>
    <x v="0"/>
    <x v="13"/>
    <n v="0"/>
    <s v="Debe"/>
    <x v="1"/>
    <x v="1"/>
    <x v="1"/>
    <x v="1"/>
    <n v="0"/>
    <n v="0"/>
    <s v=""/>
    <x v="4"/>
    <x v="1"/>
    <x v="2"/>
    <x v="11"/>
    <x v="11"/>
    <s v=""/>
    <x v="0"/>
    <x v="0"/>
    <n v="1013"/>
    <x v="11"/>
    <s v=""/>
    <x v="4"/>
    <x v="1"/>
  </r>
  <r>
    <x v="0"/>
    <x v="0"/>
    <x v="13"/>
    <n v="0"/>
    <s v="Debe"/>
    <x v="1"/>
    <x v="1"/>
    <x v="1"/>
    <x v="1"/>
    <n v="0"/>
    <n v="0"/>
    <s v=""/>
    <x v="4"/>
    <x v="1"/>
    <x v="2"/>
    <x v="11"/>
    <x v="11"/>
    <s v=""/>
    <x v="0"/>
    <x v="0"/>
    <n v="1014"/>
    <x v="11"/>
    <s v=""/>
    <x v="4"/>
    <x v="1"/>
  </r>
  <r>
    <x v="0"/>
    <x v="0"/>
    <x v="13"/>
    <n v="0"/>
    <s v="Debe"/>
    <x v="1"/>
    <x v="1"/>
    <x v="1"/>
    <x v="1"/>
    <n v="0"/>
    <n v="0"/>
    <s v=""/>
    <x v="4"/>
    <x v="1"/>
    <x v="2"/>
    <x v="11"/>
    <x v="11"/>
    <s v=""/>
    <x v="0"/>
    <x v="0"/>
    <n v="1015"/>
    <x v="11"/>
    <s v=""/>
    <x v="4"/>
    <x v="1"/>
  </r>
  <r>
    <x v="0"/>
    <x v="0"/>
    <x v="13"/>
    <n v="0"/>
    <s v="Debe"/>
    <x v="1"/>
    <x v="1"/>
    <x v="1"/>
    <x v="1"/>
    <n v="0"/>
    <n v="0"/>
    <s v=""/>
    <x v="4"/>
    <x v="1"/>
    <x v="2"/>
    <x v="11"/>
    <x v="11"/>
    <s v=""/>
    <x v="0"/>
    <x v="0"/>
    <n v="1016"/>
    <x v="11"/>
    <s v=""/>
    <x v="4"/>
    <x v="1"/>
  </r>
  <r>
    <x v="0"/>
    <x v="0"/>
    <x v="13"/>
    <n v="0"/>
    <s v="Debe"/>
    <x v="1"/>
    <x v="1"/>
    <x v="1"/>
    <x v="1"/>
    <n v="0"/>
    <n v="0"/>
    <s v=""/>
    <x v="4"/>
    <x v="1"/>
    <x v="2"/>
    <x v="11"/>
    <x v="11"/>
    <s v=""/>
    <x v="0"/>
    <x v="0"/>
    <n v="1017"/>
    <x v="11"/>
    <s v=""/>
    <x v="4"/>
    <x v="1"/>
  </r>
  <r>
    <x v="0"/>
    <x v="0"/>
    <x v="13"/>
    <n v="0"/>
    <s v="Debe"/>
    <x v="1"/>
    <x v="1"/>
    <x v="1"/>
    <x v="1"/>
    <n v="0"/>
    <n v="0"/>
    <s v=""/>
    <x v="4"/>
    <x v="1"/>
    <x v="2"/>
    <x v="11"/>
    <x v="11"/>
    <s v=""/>
    <x v="0"/>
    <x v="0"/>
    <n v="1018"/>
    <x v="11"/>
    <s v=""/>
    <x v="4"/>
    <x v="1"/>
  </r>
  <r>
    <x v="0"/>
    <x v="0"/>
    <x v="13"/>
    <n v="0"/>
    <s v="Debe"/>
    <x v="1"/>
    <x v="1"/>
    <x v="1"/>
    <x v="1"/>
    <n v="0"/>
    <n v="0"/>
    <s v=""/>
    <x v="4"/>
    <x v="1"/>
    <x v="2"/>
    <x v="11"/>
    <x v="11"/>
    <s v=""/>
    <x v="0"/>
    <x v="0"/>
    <n v="1019"/>
    <x v="11"/>
    <s v=""/>
    <x v="4"/>
    <x v="1"/>
  </r>
  <r>
    <x v="0"/>
    <x v="0"/>
    <x v="13"/>
    <n v="0"/>
    <s v="Debe"/>
    <x v="1"/>
    <x v="1"/>
    <x v="1"/>
    <x v="1"/>
    <n v="0"/>
    <n v="0"/>
    <s v=""/>
    <x v="4"/>
    <x v="1"/>
    <x v="2"/>
    <x v="11"/>
    <x v="11"/>
    <s v=""/>
    <x v="0"/>
    <x v="0"/>
    <n v="1020"/>
    <x v="11"/>
    <s v=""/>
    <x v="4"/>
    <x v="1"/>
  </r>
  <r>
    <x v="0"/>
    <x v="0"/>
    <x v="13"/>
    <n v="0"/>
    <s v="Debe"/>
    <x v="1"/>
    <x v="1"/>
    <x v="1"/>
    <x v="1"/>
    <n v="0"/>
    <n v="0"/>
    <s v=""/>
    <x v="4"/>
    <x v="1"/>
    <x v="2"/>
    <x v="11"/>
    <x v="11"/>
    <s v=""/>
    <x v="0"/>
    <x v="0"/>
    <n v="1021"/>
    <x v="11"/>
    <s v=""/>
    <x v="4"/>
    <x v="1"/>
  </r>
  <r>
    <x v="0"/>
    <x v="0"/>
    <x v="13"/>
    <n v="0"/>
    <s v="Debe"/>
    <x v="1"/>
    <x v="1"/>
    <x v="1"/>
    <x v="1"/>
    <n v="0"/>
    <n v="0"/>
    <s v=""/>
    <x v="4"/>
    <x v="1"/>
    <x v="2"/>
    <x v="11"/>
    <x v="11"/>
    <s v=""/>
    <x v="0"/>
    <x v="0"/>
    <n v="1022"/>
    <x v="11"/>
    <s v=""/>
    <x v="4"/>
    <x v="1"/>
  </r>
  <r>
    <x v="0"/>
    <x v="0"/>
    <x v="13"/>
    <n v="0"/>
    <s v="Debe"/>
    <x v="1"/>
    <x v="1"/>
    <x v="1"/>
    <x v="1"/>
    <n v="0"/>
    <n v="0"/>
    <s v=""/>
    <x v="4"/>
    <x v="1"/>
    <x v="2"/>
    <x v="11"/>
    <x v="11"/>
    <s v=""/>
    <x v="0"/>
    <x v="0"/>
    <n v="1023"/>
    <x v="11"/>
    <s v=""/>
    <x v="4"/>
    <x v="1"/>
  </r>
  <r>
    <x v="0"/>
    <x v="0"/>
    <x v="13"/>
    <n v="0"/>
    <s v="Debe"/>
    <x v="1"/>
    <x v="1"/>
    <x v="1"/>
    <x v="1"/>
    <n v="0"/>
    <n v="0"/>
    <s v=""/>
    <x v="4"/>
    <x v="1"/>
    <x v="2"/>
    <x v="11"/>
    <x v="11"/>
    <s v=""/>
    <x v="0"/>
    <x v="0"/>
    <n v="1024"/>
    <x v="11"/>
    <s v=""/>
    <x v="4"/>
    <x v="1"/>
  </r>
  <r>
    <x v="0"/>
    <x v="0"/>
    <x v="13"/>
    <n v="0"/>
    <s v="Debe"/>
    <x v="1"/>
    <x v="1"/>
    <x v="1"/>
    <x v="1"/>
    <n v="0"/>
    <n v="0"/>
    <s v=""/>
    <x v="4"/>
    <x v="1"/>
    <x v="2"/>
    <x v="11"/>
    <x v="11"/>
    <s v=""/>
    <x v="0"/>
    <x v="0"/>
    <n v="1025"/>
    <x v="11"/>
    <s v=""/>
    <x v="4"/>
    <x v="1"/>
  </r>
  <r>
    <x v="0"/>
    <x v="0"/>
    <x v="13"/>
    <n v="0"/>
    <s v="Debe"/>
    <x v="1"/>
    <x v="1"/>
    <x v="1"/>
    <x v="1"/>
    <n v="0"/>
    <n v="0"/>
    <s v=""/>
    <x v="4"/>
    <x v="1"/>
    <x v="2"/>
    <x v="11"/>
    <x v="11"/>
    <s v=""/>
    <x v="0"/>
    <x v="0"/>
    <n v="1026"/>
    <x v="11"/>
    <s v=""/>
    <x v="4"/>
    <x v="1"/>
  </r>
  <r>
    <x v="0"/>
    <x v="0"/>
    <x v="13"/>
    <n v="0"/>
    <s v="Debe"/>
    <x v="1"/>
    <x v="1"/>
    <x v="1"/>
    <x v="1"/>
    <n v="0"/>
    <n v="0"/>
    <s v=""/>
    <x v="4"/>
    <x v="1"/>
    <x v="2"/>
    <x v="11"/>
    <x v="11"/>
    <s v=""/>
    <x v="0"/>
    <x v="0"/>
    <n v="1027"/>
    <x v="11"/>
    <s v=""/>
    <x v="4"/>
    <x v="1"/>
  </r>
  <r>
    <x v="0"/>
    <x v="0"/>
    <x v="13"/>
    <n v="0"/>
    <s v="Debe"/>
    <x v="1"/>
    <x v="1"/>
    <x v="1"/>
    <x v="1"/>
    <n v="0"/>
    <n v="0"/>
    <s v=""/>
    <x v="4"/>
    <x v="1"/>
    <x v="2"/>
    <x v="11"/>
    <x v="11"/>
    <s v=""/>
    <x v="0"/>
    <x v="0"/>
    <n v="1028"/>
    <x v="11"/>
    <s v=""/>
    <x v="4"/>
    <x v="1"/>
  </r>
  <r>
    <x v="0"/>
    <x v="0"/>
    <x v="13"/>
    <n v="0"/>
    <s v="Debe"/>
    <x v="1"/>
    <x v="1"/>
    <x v="1"/>
    <x v="1"/>
    <n v="0"/>
    <n v="0"/>
    <s v=""/>
    <x v="4"/>
    <x v="1"/>
    <x v="2"/>
    <x v="11"/>
    <x v="11"/>
    <s v=""/>
    <x v="0"/>
    <x v="0"/>
    <n v="1029"/>
    <x v="11"/>
    <s v=""/>
    <x v="4"/>
    <x v="1"/>
  </r>
  <r>
    <x v="0"/>
    <x v="0"/>
    <x v="13"/>
    <n v="0"/>
    <s v="Debe"/>
    <x v="1"/>
    <x v="1"/>
    <x v="1"/>
    <x v="1"/>
    <n v="0"/>
    <n v="0"/>
    <s v=""/>
    <x v="4"/>
    <x v="1"/>
    <x v="2"/>
    <x v="11"/>
    <x v="11"/>
    <s v=""/>
    <x v="0"/>
    <x v="0"/>
    <n v="1030"/>
    <x v="11"/>
    <s v=""/>
    <x v="4"/>
    <x v="1"/>
  </r>
  <r>
    <x v="0"/>
    <x v="0"/>
    <x v="13"/>
    <n v="0"/>
    <s v="Debe"/>
    <x v="1"/>
    <x v="1"/>
    <x v="1"/>
    <x v="1"/>
    <n v="0"/>
    <n v="0"/>
    <s v=""/>
    <x v="4"/>
    <x v="1"/>
    <x v="2"/>
    <x v="11"/>
    <x v="11"/>
    <s v=""/>
    <x v="0"/>
    <x v="0"/>
    <n v="1031"/>
    <x v="11"/>
    <s v=""/>
    <x v="4"/>
    <x v="1"/>
  </r>
  <r>
    <x v="0"/>
    <x v="0"/>
    <x v="13"/>
    <n v="0"/>
    <s v="Debe"/>
    <x v="1"/>
    <x v="1"/>
    <x v="1"/>
    <x v="1"/>
    <n v="0"/>
    <n v="0"/>
    <s v=""/>
    <x v="4"/>
    <x v="1"/>
    <x v="2"/>
    <x v="11"/>
    <x v="11"/>
    <s v=""/>
    <x v="0"/>
    <x v="0"/>
    <n v="1032"/>
    <x v="11"/>
    <s v=""/>
    <x v="4"/>
    <x v="1"/>
  </r>
  <r>
    <x v="0"/>
    <x v="0"/>
    <x v="13"/>
    <n v="0"/>
    <s v="Debe"/>
    <x v="1"/>
    <x v="1"/>
    <x v="1"/>
    <x v="1"/>
    <n v="0"/>
    <n v="0"/>
    <s v=""/>
    <x v="4"/>
    <x v="1"/>
    <x v="2"/>
    <x v="11"/>
    <x v="11"/>
    <s v=""/>
    <x v="0"/>
    <x v="0"/>
    <n v="1033"/>
    <x v="11"/>
    <s v=""/>
    <x v="4"/>
    <x v="1"/>
  </r>
  <r>
    <x v="0"/>
    <x v="0"/>
    <x v="13"/>
    <n v="0"/>
    <s v="Debe"/>
    <x v="1"/>
    <x v="1"/>
    <x v="1"/>
    <x v="1"/>
    <n v="0"/>
    <n v="0"/>
    <s v=""/>
    <x v="4"/>
    <x v="1"/>
    <x v="2"/>
    <x v="11"/>
    <x v="11"/>
    <s v=""/>
    <x v="0"/>
    <x v="0"/>
    <n v="1034"/>
    <x v="11"/>
    <s v=""/>
    <x v="4"/>
    <x v="1"/>
  </r>
  <r>
    <x v="0"/>
    <x v="0"/>
    <x v="13"/>
    <n v="0"/>
    <s v="Debe"/>
    <x v="1"/>
    <x v="1"/>
    <x v="1"/>
    <x v="1"/>
    <n v="0"/>
    <n v="0"/>
    <s v=""/>
    <x v="4"/>
    <x v="1"/>
    <x v="2"/>
    <x v="11"/>
    <x v="11"/>
    <s v=""/>
    <x v="0"/>
    <x v="0"/>
    <n v="1035"/>
    <x v="11"/>
    <s v=""/>
    <x v="4"/>
    <x v="1"/>
  </r>
  <r>
    <x v="0"/>
    <x v="0"/>
    <x v="13"/>
    <n v="0"/>
    <s v="Debe"/>
    <x v="1"/>
    <x v="1"/>
    <x v="1"/>
    <x v="1"/>
    <n v="0"/>
    <n v="0"/>
    <s v=""/>
    <x v="4"/>
    <x v="1"/>
    <x v="2"/>
    <x v="11"/>
    <x v="11"/>
    <s v=""/>
    <x v="0"/>
    <x v="0"/>
    <n v="1036"/>
    <x v="11"/>
    <s v=""/>
    <x v="4"/>
    <x v="1"/>
  </r>
  <r>
    <x v="0"/>
    <x v="0"/>
    <x v="13"/>
    <n v="0"/>
    <s v="Debe"/>
    <x v="1"/>
    <x v="1"/>
    <x v="1"/>
    <x v="1"/>
    <n v="0"/>
    <n v="0"/>
    <s v=""/>
    <x v="4"/>
    <x v="1"/>
    <x v="2"/>
    <x v="11"/>
    <x v="11"/>
    <s v=""/>
    <x v="0"/>
    <x v="0"/>
    <n v="1037"/>
    <x v="11"/>
    <s v=""/>
    <x v="4"/>
    <x v="1"/>
  </r>
  <r>
    <x v="0"/>
    <x v="0"/>
    <x v="13"/>
    <n v="0"/>
    <s v="Debe"/>
    <x v="1"/>
    <x v="1"/>
    <x v="1"/>
    <x v="1"/>
    <n v="0"/>
    <n v="0"/>
    <s v=""/>
    <x v="4"/>
    <x v="1"/>
    <x v="2"/>
    <x v="11"/>
    <x v="11"/>
    <s v=""/>
    <x v="0"/>
    <x v="0"/>
    <n v="1038"/>
    <x v="11"/>
    <s v=""/>
    <x v="4"/>
    <x v="1"/>
  </r>
  <r>
    <x v="0"/>
    <x v="0"/>
    <x v="13"/>
    <n v="0"/>
    <s v="Debe"/>
    <x v="1"/>
    <x v="1"/>
    <x v="1"/>
    <x v="1"/>
    <n v="0"/>
    <n v="0"/>
    <s v=""/>
    <x v="4"/>
    <x v="1"/>
    <x v="2"/>
    <x v="11"/>
    <x v="11"/>
    <s v=""/>
    <x v="0"/>
    <x v="0"/>
    <n v="1039"/>
    <x v="11"/>
    <s v=""/>
    <x v="4"/>
    <x v="1"/>
  </r>
  <r>
    <x v="0"/>
    <x v="0"/>
    <x v="13"/>
    <n v="0"/>
    <s v="Debe"/>
    <x v="1"/>
    <x v="1"/>
    <x v="1"/>
    <x v="1"/>
    <n v="0"/>
    <n v="0"/>
    <s v=""/>
    <x v="4"/>
    <x v="1"/>
    <x v="2"/>
    <x v="11"/>
    <x v="11"/>
    <s v=""/>
    <x v="0"/>
    <x v="0"/>
    <n v="1040"/>
    <x v="11"/>
    <s v=""/>
    <x v="4"/>
    <x v="1"/>
  </r>
  <r>
    <x v="0"/>
    <x v="0"/>
    <x v="13"/>
    <n v="0"/>
    <s v="Debe"/>
    <x v="1"/>
    <x v="1"/>
    <x v="1"/>
    <x v="1"/>
    <n v="0"/>
    <n v="0"/>
    <s v=""/>
    <x v="4"/>
    <x v="1"/>
    <x v="2"/>
    <x v="11"/>
    <x v="11"/>
    <s v=""/>
    <x v="0"/>
    <x v="0"/>
    <n v="1041"/>
    <x v="11"/>
    <s v=""/>
    <x v="4"/>
    <x v="1"/>
  </r>
  <r>
    <x v="0"/>
    <x v="0"/>
    <x v="13"/>
    <n v="0"/>
    <s v="Debe"/>
    <x v="1"/>
    <x v="1"/>
    <x v="1"/>
    <x v="1"/>
    <n v="0"/>
    <n v="0"/>
    <s v=""/>
    <x v="4"/>
    <x v="1"/>
    <x v="2"/>
    <x v="11"/>
    <x v="11"/>
    <s v=""/>
    <x v="0"/>
    <x v="0"/>
    <n v="1042"/>
    <x v="11"/>
    <s v=""/>
    <x v="4"/>
    <x v="1"/>
  </r>
  <r>
    <x v="0"/>
    <x v="0"/>
    <x v="13"/>
    <n v="0"/>
    <s v="Debe"/>
    <x v="1"/>
    <x v="1"/>
    <x v="1"/>
    <x v="1"/>
    <n v="0"/>
    <n v="0"/>
    <s v=""/>
    <x v="4"/>
    <x v="1"/>
    <x v="2"/>
    <x v="11"/>
    <x v="11"/>
    <s v=""/>
    <x v="0"/>
    <x v="0"/>
    <n v="1043"/>
    <x v="11"/>
    <s v=""/>
    <x v="4"/>
    <x v="1"/>
  </r>
  <r>
    <x v="0"/>
    <x v="0"/>
    <x v="13"/>
    <n v="0"/>
    <s v="Debe"/>
    <x v="1"/>
    <x v="1"/>
    <x v="1"/>
    <x v="1"/>
    <n v="0"/>
    <n v="0"/>
    <s v=""/>
    <x v="4"/>
    <x v="1"/>
    <x v="2"/>
    <x v="11"/>
    <x v="11"/>
    <s v=""/>
    <x v="0"/>
    <x v="0"/>
    <n v="1063"/>
    <x v="11"/>
    <s v=""/>
    <x v="4"/>
    <x v="1"/>
  </r>
  <r>
    <x v="0"/>
    <x v="0"/>
    <x v="13"/>
    <n v="0"/>
    <s v="Debe"/>
    <x v="1"/>
    <x v="1"/>
    <x v="1"/>
    <x v="1"/>
    <n v="0"/>
    <n v="0"/>
    <s v=""/>
    <x v="4"/>
    <x v="1"/>
    <x v="2"/>
    <x v="11"/>
    <x v="11"/>
    <s v=""/>
    <x v="0"/>
    <x v="0"/>
    <n v="1064"/>
    <x v="11"/>
    <s v=""/>
    <x v="4"/>
    <x v="1"/>
  </r>
  <r>
    <x v="0"/>
    <x v="0"/>
    <x v="13"/>
    <n v="0"/>
    <s v="Debe"/>
    <x v="1"/>
    <x v="1"/>
    <x v="1"/>
    <x v="1"/>
    <n v="0"/>
    <n v="0"/>
    <s v=""/>
    <x v="4"/>
    <x v="1"/>
    <x v="2"/>
    <x v="11"/>
    <x v="11"/>
    <s v=""/>
    <x v="0"/>
    <x v="0"/>
    <n v="1065"/>
    <x v="11"/>
    <s v=""/>
    <x v="4"/>
    <x v="1"/>
  </r>
  <r>
    <x v="0"/>
    <x v="0"/>
    <x v="13"/>
    <n v="0"/>
    <s v="Debe"/>
    <x v="1"/>
    <x v="1"/>
    <x v="1"/>
    <x v="1"/>
    <n v="0"/>
    <n v="0"/>
    <s v=""/>
    <x v="4"/>
    <x v="1"/>
    <x v="2"/>
    <x v="11"/>
    <x v="11"/>
    <s v=""/>
    <x v="0"/>
    <x v="0"/>
    <n v="1066"/>
    <x v="11"/>
    <s v=""/>
    <x v="4"/>
    <x v="1"/>
  </r>
  <r>
    <x v="0"/>
    <x v="0"/>
    <x v="13"/>
    <n v="0"/>
    <s v="Debe"/>
    <x v="1"/>
    <x v="1"/>
    <x v="1"/>
    <x v="1"/>
    <n v="0"/>
    <n v="0"/>
    <s v=""/>
    <x v="4"/>
    <x v="1"/>
    <x v="2"/>
    <x v="11"/>
    <x v="11"/>
    <s v=""/>
    <x v="0"/>
    <x v="0"/>
    <n v="1067"/>
    <x v="11"/>
    <s v=""/>
    <x v="4"/>
    <x v="1"/>
  </r>
  <r>
    <x v="0"/>
    <x v="0"/>
    <x v="13"/>
    <n v="0"/>
    <s v="Debe"/>
    <x v="1"/>
    <x v="1"/>
    <x v="1"/>
    <x v="1"/>
    <n v="0"/>
    <n v="0"/>
    <s v=""/>
    <x v="4"/>
    <x v="1"/>
    <x v="2"/>
    <x v="11"/>
    <x v="11"/>
    <s v=""/>
    <x v="0"/>
    <x v="0"/>
    <n v="1070"/>
    <x v="11"/>
    <s v=""/>
    <x v="4"/>
    <x v="1"/>
  </r>
  <r>
    <x v="0"/>
    <x v="0"/>
    <x v="13"/>
    <n v="0"/>
    <s v="Debe"/>
    <x v="1"/>
    <x v="1"/>
    <x v="1"/>
    <x v="1"/>
    <n v="0"/>
    <n v="0"/>
    <s v=""/>
    <x v="4"/>
    <x v="1"/>
    <x v="2"/>
    <x v="11"/>
    <x v="11"/>
    <s v=""/>
    <x v="0"/>
    <x v="0"/>
    <n v="1071"/>
    <x v="11"/>
    <s v=""/>
    <x v="4"/>
    <x v="1"/>
  </r>
  <r>
    <x v="0"/>
    <x v="0"/>
    <x v="13"/>
    <n v="0"/>
    <s v="Debe"/>
    <x v="1"/>
    <x v="1"/>
    <x v="1"/>
    <x v="1"/>
    <n v="0"/>
    <n v="0"/>
    <s v=""/>
    <x v="4"/>
    <x v="1"/>
    <x v="2"/>
    <x v="11"/>
    <x v="11"/>
    <s v=""/>
    <x v="0"/>
    <x v="0"/>
    <n v="1072"/>
    <x v="11"/>
    <s v=""/>
    <x v="4"/>
    <x v="1"/>
  </r>
  <r>
    <x v="0"/>
    <x v="0"/>
    <x v="13"/>
    <n v="0"/>
    <s v="Debe"/>
    <x v="1"/>
    <x v="1"/>
    <x v="1"/>
    <x v="1"/>
    <n v="0"/>
    <n v="0"/>
    <s v=""/>
    <x v="4"/>
    <x v="1"/>
    <x v="2"/>
    <x v="11"/>
    <x v="11"/>
    <s v=""/>
    <x v="0"/>
    <x v="0"/>
    <n v="1073"/>
    <x v="11"/>
    <s v=""/>
    <x v="4"/>
    <x v="1"/>
  </r>
  <r>
    <x v="0"/>
    <x v="0"/>
    <x v="13"/>
    <n v="0"/>
    <s v="Debe"/>
    <x v="1"/>
    <x v="1"/>
    <x v="1"/>
    <x v="1"/>
    <n v="0"/>
    <n v="0"/>
    <s v=""/>
    <x v="4"/>
    <x v="1"/>
    <x v="2"/>
    <x v="11"/>
    <x v="11"/>
    <s v=""/>
    <x v="0"/>
    <x v="0"/>
    <n v="1074"/>
    <x v="11"/>
    <s v=""/>
    <x v="4"/>
    <x v="1"/>
  </r>
  <r>
    <x v="0"/>
    <x v="0"/>
    <x v="13"/>
    <n v="0"/>
    <s v="Debe"/>
    <x v="1"/>
    <x v="1"/>
    <x v="1"/>
    <x v="1"/>
    <n v="0"/>
    <n v="0"/>
    <s v=""/>
    <x v="4"/>
    <x v="1"/>
    <x v="2"/>
    <x v="11"/>
    <x v="11"/>
    <s v=""/>
    <x v="0"/>
    <x v="0"/>
    <n v="1077"/>
    <x v="11"/>
    <s v=""/>
    <x v="4"/>
    <x v="1"/>
  </r>
  <r>
    <x v="0"/>
    <x v="0"/>
    <x v="13"/>
    <n v="0"/>
    <s v="Debe"/>
    <x v="1"/>
    <x v="1"/>
    <x v="1"/>
    <x v="1"/>
    <n v="0"/>
    <n v="0"/>
    <s v=""/>
    <x v="4"/>
    <x v="1"/>
    <x v="2"/>
    <x v="11"/>
    <x v="11"/>
    <s v=""/>
    <x v="0"/>
    <x v="0"/>
    <n v="1078"/>
    <x v="11"/>
    <s v=""/>
    <x v="4"/>
    <x v="1"/>
  </r>
  <r>
    <x v="0"/>
    <x v="0"/>
    <x v="13"/>
    <n v="0"/>
    <s v="Debe"/>
    <x v="1"/>
    <x v="1"/>
    <x v="1"/>
    <x v="1"/>
    <n v="0"/>
    <n v="0"/>
    <s v=""/>
    <x v="4"/>
    <x v="1"/>
    <x v="2"/>
    <x v="11"/>
    <x v="11"/>
    <s v=""/>
    <x v="0"/>
    <x v="0"/>
    <n v="1079"/>
    <x v="11"/>
    <s v=""/>
    <x v="4"/>
    <x v="1"/>
  </r>
  <r>
    <x v="0"/>
    <x v="0"/>
    <x v="13"/>
    <n v="0"/>
    <s v="Debe"/>
    <x v="1"/>
    <x v="1"/>
    <x v="1"/>
    <x v="1"/>
    <n v="0"/>
    <n v="0"/>
    <s v=""/>
    <x v="4"/>
    <x v="1"/>
    <x v="2"/>
    <x v="11"/>
    <x v="11"/>
    <s v=""/>
    <x v="0"/>
    <x v="0"/>
    <n v="1080"/>
    <x v="11"/>
    <s v=""/>
    <x v="4"/>
    <x v="1"/>
  </r>
  <r>
    <x v="0"/>
    <x v="0"/>
    <x v="13"/>
    <n v="0"/>
    <s v="Debe"/>
    <x v="1"/>
    <x v="1"/>
    <x v="1"/>
    <x v="1"/>
    <n v="0"/>
    <n v="0"/>
    <s v=""/>
    <x v="4"/>
    <x v="1"/>
    <x v="2"/>
    <x v="11"/>
    <x v="11"/>
    <s v=""/>
    <x v="0"/>
    <x v="0"/>
    <n v="1081"/>
    <x v="11"/>
    <s v=""/>
    <x v="4"/>
    <x v="1"/>
  </r>
  <r>
    <x v="0"/>
    <x v="0"/>
    <x v="13"/>
    <n v="0"/>
    <s v="Debe"/>
    <x v="1"/>
    <x v="1"/>
    <x v="1"/>
    <x v="1"/>
    <n v="0"/>
    <n v="0"/>
    <s v=""/>
    <x v="4"/>
    <x v="1"/>
    <x v="2"/>
    <x v="11"/>
    <x v="11"/>
    <s v=""/>
    <x v="0"/>
    <x v="0"/>
    <n v="1084"/>
    <x v="11"/>
    <s v=""/>
    <x v="4"/>
    <x v="1"/>
  </r>
  <r>
    <x v="0"/>
    <x v="0"/>
    <x v="13"/>
    <n v="0"/>
    <s v="Debe"/>
    <x v="1"/>
    <x v="1"/>
    <x v="1"/>
    <x v="1"/>
    <n v="0"/>
    <n v="0"/>
    <s v=""/>
    <x v="4"/>
    <x v="1"/>
    <x v="2"/>
    <x v="11"/>
    <x v="11"/>
    <s v=""/>
    <x v="0"/>
    <x v="0"/>
    <n v="1085"/>
    <x v="11"/>
    <s v=""/>
    <x v="4"/>
    <x v="1"/>
  </r>
  <r>
    <x v="0"/>
    <x v="0"/>
    <x v="13"/>
    <n v="0"/>
    <s v="Debe"/>
    <x v="1"/>
    <x v="1"/>
    <x v="1"/>
    <x v="1"/>
    <n v="0"/>
    <n v="0"/>
    <s v=""/>
    <x v="4"/>
    <x v="1"/>
    <x v="2"/>
    <x v="11"/>
    <x v="11"/>
    <s v=""/>
    <x v="0"/>
    <x v="0"/>
    <n v="1086"/>
    <x v="11"/>
    <s v=""/>
    <x v="4"/>
    <x v="1"/>
  </r>
  <r>
    <x v="0"/>
    <x v="0"/>
    <x v="13"/>
    <n v="0"/>
    <s v="Debe"/>
    <x v="1"/>
    <x v="1"/>
    <x v="1"/>
    <x v="1"/>
    <n v="0"/>
    <n v="0"/>
    <s v=""/>
    <x v="4"/>
    <x v="1"/>
    <x v="2"/>
    <x v="11"/>
    <x v="11"/>
    <s v=""/>
    <x v="0"/>
    <x v="0"/>
    <n v="1087"/>
    <x v="11"/>
    <s v=""/>
    <x v="4"/>
    <x v="1"/>
  </r>
  <r>
    <x v="0"/>
    <x v="0"/>
    <x v="13"/>
    <n v="0"/>
    <s v="Debe"/>
    <x v="1"/>
    <x v="1"/>
    <x v="1"/>
    <x v="1"/>
    <n v="0"/>
    <n v="0"/>
    <s v=""/>
    <x v="4"/>
    <x v="1"/>
    <x v="2"/>
    <x v="11"/>
    <x v="11"/>
    <s v=""/>
    <x v="0"/>
    <x v="0"/>
    <n v="1088"/>
    <x v="11"/>
    <s v=""/>
    <x v="4"/>
    <x v="1"/>
  </r>
  <r>
    <x v="0"/>
    <x v="0"/>
    <x v="13"/>
    <n v="0"/>
    <s v="Debe"/>
    <x v="1"/>
    <x v="1"/>
    <x v="1"/>
    <x v="1"/>
    <n v="0"/>
    <n v="0"/>
    <s v=""/>
    <x v="4"/>
    <x v="1"/>
    <x v="2"/>
    <x v="11"/>
    <x v="11"/>
    <s v=""/>
    <x v="0"/>
    <x v="0"/>
    <n v="1092"/>
    <x v="11"/>
    <s v=""/>
    <x v="4"/>
    <x v="1"/>
  </r>
  <r>
    <x v="0"/>
    <x v="0"/>
    <x v="13"/>
    <n v="0"/>
    <s v="Debe"/>
    <x v="1"/>
    <x v="1"/>
    <x v="1"/>
    <x v="1"/>
    <n v="0"/>
    <n v="0"/>
    <s v=""/>
    <x v="4"/>
    <x v="1"/>
    <x v="2"/>
    <x v="11"/>
    <x v="11"/>
    <s v=""/>
    <x v="0"/>
    <x v="0"/>
    <n v="1093"/>
    <x v="11"/>
    <s v=""/>
    <x v="4"/>
    <x v="1"/>
  </r>
  <r>
    <x v="0"/>
    <x v="0"/>
    <x v="13"/>
    <n v="0"/>
    <s v="Debe"/>
    <x v="1"/>
    <x v="1"/>
    <x v="1"/>
    <x v="1"/>
    <n v="0"/>
    <n v="0"/>
    <s v=""/>
    <x v="4"/>
    <x v="1"/>
    <x v="2"/>
    <x v="11"/>
    <x v="11"/>
    <s v=""/>
    <x v="0"/>
    <x v="0"/>
    <n v="1094"/>
    <x v="11"/>
    <s v=""/>
    <x v="4"/>
    <x v="1"/>
  </r>
  <r>
    <x v="0"/>
    <x v="0"/>
    <x v="13"/>
    <n v="0"/>
    <s v="Debe"/>
    <x v="1"/>
    <x v="1"/>
    <x v="1"/>
    <x v="1"/>
    <n v="0"/>
    <n v="0"/>
    <s v=""/>
    <x v="4"/>
    <x v="1"/>
    <x v="2"/>
    <x v="11"/>
    <x v="11"/>
    <s v=""/>
    <x v="0"/>
    <x v="0"/>
    <n v="1095"/>
    <x v="11"/>
    <s v=""/>
    <x v="4"/>
    <x v="1"/>
  </r>
  <r>
    <x v="0"/>
    <x v="0"/>
    <x v="13"/>
    <n v="0"/>
    <s v="Debe"/>
    <x v="1"/>
    <x v="1"/>
    <x v="1"/>
    <x v="1"/>
    <n v="0"/>
    <n v="0"/>
    <s v=""/>
    <x v="4"/>
    <x v="1"/>
    <x v="2"/>
    <x v="11"/>
    <x v="11"/>
    <s v=""/>
    <x v="0"/>
    <x v="0"/>
    <n v="1096"/>
    <x v="11"/>
    <s v=""/>
    <x v="4"/>
    <x v="1"/>
  </r>
  <r>
    <x v="0"/>
    <x v="0"/>
    <x v="13"/>
    <n v="0"/>
    <s v="Debe"/>
    <x v="1"/>
    <x v="1"/>
    <x v="1"/>
    <x v="1"/>
    <n v="0"/>
    <n v="0"/>
    <s v=""/>
    <x v="4"/>
    <x v="1"/>
    <x v="2"/>
    <x v="11"/>
    <x v="11"/>
    <s v=""/>
    <x v="0"/>
    <x v="0"/>
    <n v="1100"/>
    <x v="11"/>
    <s v=""/>
    <x v="4"/>
    <x v="1"/>
  </r>
  <r>
    <x v="0"/>
    <x v="0"/>
    <x v="13"/>
    <n v="0"/>
    <s v="Debe"/>
    <x v="1"/>
    <x v="1"/>
    <x v="1"/>
    <x v="1"/>
    <n v="0"/>
    <n v="0"/>
    <s v=""/>
    <x v="4"/>
    <x v="1"/>
    <x v="2"/>
    <x v="11"/>
    <x v="11"/>
    <s v=""/>
    <x v="0"/>
    <x v="0"/>
    <n v="1101"/>
    <x v="11"/>
    <s v=""/>
    <x v="4"/>
    <x v="1"/>
  </r>
  <r>
    <x v="0"/>
    <x v="0"/>
    <x v="13"/>
    <n v="0"/>
    <s v="Debe"/>
    <x v="1"/>
    <x v="1"/>
    <x v="1"/>
    <x v="1"/>
    <n v="0"/>
    <n v="0"/>
    <s v=""/>
    <x v="4"/>
    <x v="1"/>
    <x v="2"/>
    <x v="11"/>
    <x v="11"/>
    <s v=""/>
    <x v="0"/>
    <x v="0"/>
    <n v="1102"/>
    <x v="11"/>
    <s v=""/>
    <x v="4"/>
    <x v="1"/>
  </r>
  <r>
    <x v="0"/>
    <x v="0"/>
    <x v="13"/>
    <n v="0"/>
    <s v="Debe"/>
    <x v="1"/>
    <x v="1"/>
    <x v="1"/>
    <x v="1"/>
    <n v="0"/>
    <n v="0"/>
    <s v=""/>
    <x v="4"/>
    <x v="1"/>
    <x v="2"/>
    <x v="11"/>
    <x v="11"/>
    <s v=""/>
    <x v="0"/>
    <x v="0"/>
    <n v="1103"/>
    <x v="11"/>
    <s v=""/>
    <x v="4"/>
    <x v="1"/>
  </r>
  <r>
    <x v="0"/>
    <x v="0"/>
    <x v="13"/>
    <n v="0"/>
    <s v="Debe"/>
    <x v="1"/>
    <x v="1"/>
    <x v="1"/>
    <x v="1"/>
    <n v="0"/>
    <n v="0"/>
    <s v=""/>
    <x v="4"/>
    <x v="1"/>
    <x v="2"/>
    <x v="11"/>
    <x v="11"/>
    <s v=""/>
    <x v="0"/>
    <x v="0"/>
    <n v="1104"/>
    <x v="11"/>
    <s v=""/>
    <x v="4"/>
    <x v="1"/>
  </r>
  <r>
    <x v="0"/>
    <x v="0"/>
    <x v="13"/>
    <n v="0"/>
    <s v="Debe"/>
    <x v="1"/>
    <x v="1"/>
    <x v="1"/>
    <x v="1"/>
    <n v="0"/>
    <n v="0"/>
    <s v=""/>
    <x v="4"/>
    <x v="1"/>
    <x v="2"/>
    <x v="11"/>
    <x v="11"/>
    <s v=""/>
    <x v="0"/>
    <x v="0"/>
    <n v="1107"/>
    <x v="11"/>
    <s v=""/>
    <x v="4"/>
    <x v="1"/>
  </r>
  <r>
    <x v="0"/>
    <x v="0"/>
    <x v="13"/>
    <n v="0"/>
    <s v="Debe"/>
    <x v="1"/>
    <x v="1"/>
    <x v="1"/>
    <x v="1"/>
    <n v="0"/>
    <n v="0"/>
    <s v=""/>
    <x v="4"/>
    <x v="1"/>
    <x v="2"/>
    <x v="11"/>
    <x v="11"/>
    <s v=""/>
    <x v="0"/>
    <x v="0"/>
    <n v="1108"/>
    <x v="11"/>
    <s v=""/>
    <x v="4"/>
    <x v="1"/>
  </r>
  <r>
    <x v="0"/>
    <x v="0"/>
    <x v="13"/>
    <n v="0"/>
    <s v="Debe"/>
    <x v="1"/>
    <x v="1"/>
    <x v="1"/>
    <x v="1"/>
    <n v="0"/>
    <n v="0"/>
    <s v=""/>
    <x v="4"/>
    <x v="1"/>
    <x v="2"/>
    <x v="11"/>
    <x v="11"/>
    <s v=""/>
    <x v="0"/>
    <x v="0"/>
    <n v="1109"/>
    <x v="11"/>
    <s v=""/>
    <x v="4"/>
    <x v="1"/>
  </r>
  <r>
    <x v="0"/>
    <x v="0"/>
    <x v="13"/>
    <n v="0"/>
    <s v="Debe"/>
    <x v="1"/>
    <x v="1"/>
    <x v="1"/>
    <x v="1"/>
    <n v="0"/>
    <n v="0"/>
    <s v=""/>
    <x v="4"/>
    <x v="1"/>
    <x v="2"/>
    <x v="11"/>
    <x v="11"/>
    <s v=""/>
    <x v="0"/>
    <x v="0"/>
    <n v="1110"/>
    <x v="11"/>
    <s v=""/>
    <x v="4"/>
    <x v="1"/>
  </r>
  <r>
    <x v="0"/>
    <x v="0"/>
    <x v="13"/>
    <n v="0"/>
    <s v="Debe"/>
    <x v="1"/>
    <x v="1"/>
    <x v="1"/>
    <x v="1"/>
    <n v="0"/>
    <n v="0"/>
    <s v=""/>
    <x v="4"/>
    <x v="1"/>
    <x v="2"/>
    <x v="11"/>
    <x v="11"/>
    <s v=""/>
    <x v="0"/>
    <x v="0"/>
    <n v="1111"/>
    <x v="11"/>
    <s v=""/>
    <x v="4"/>
    <x v="1"/>
  </r>
  <r>
    <x v="0"/>
    <x v="0"/>
    <x v="13"/>
    <n v="0"/>
    <s v="Debe"/>
    <x v="1"/>
    <x v="1"/>
    <x v="1"/>
    <x v="1"/>
    <n v="0"/>
    <n v="0"/>
    <s v=""/>
    <x v="4"/>
    <x v="1"/>
    <x v="2"/>
    <x v="11"/>
    <x v="11"/>
    <s v=""/>
    <x v="0"/>
    <x v="0"/>
    <n v="1114"/>
    <x v="11"/>
    <s v=""/>
    <x v="4"/>
    <x v="1"/>
  </r>
  <r>
    <x v="0"/>
    <x v="0"/>
    <x v="13"/>
    <n v="0"/>
    <s v="Debe"/>
    <x v="1"/>
    <x v="1"/>
    <x v="1"/>
    <x v="1"/>
    <n v="0"/>
    <n v="0"/>
    <s v=""/>
    <x v="4"/>
    <x v="1"/>
    <x v="2"/>
    <x v="11"/>
    <x v="11"/>
    <s v=""/>
    <x v="0"/>
    <x v="0"/>
    <n v="1115"/>
    <x v="11"/>
    <s v=""/>
    <x v="4"/>
    <x v="1"/>
  </r>
  <r>
    <x v="0"/>
    <x v="0"/>
    <x v="13"/>
    <n v="0"/>
    <s v="Debe"/>
    <x v="1"/>
    <x v="1"/>
    <x v="1"/>
    <x v="1"/>
    <n v="0"/>
    <n v="0"/>
    <s v=""/>
    <x v="4"/>
    <x v="1"/>
    <x v="2"/>
    <x v="11"/>
    <x v="11"/>
    <s v=""/>
    <x v="0"/>
    <x v="0"/>
    <n v="1116"/>
    <x v="11"/>
    <s v=""/>
    <x v="4"/>
    <x v="1"/>
  </r>
  <r>
    <x v="0"/>
    <x v="0"/>
    <x v="13"/>
    <n v="0"/>
    <s v="Debe"/>
    <x v="1"/>
    <x v="1"/>
    <x v="1"/>
    <x v="1"/>
    <n v="0"/>
    <n v="0"/>
    <s v=""/>
    <x v="4"/>
    <x v="1"/>
    <x v="2"/>
    <x v="11"/>
    <x v="11"/>
    <s v=""/>
    <x v="0"/>
    <x v="0"/>
    <n v="1117"/>
    <x v="11"/>
    <s v=""/>
    <x v="4"/>
    <x v="1"/>
  </r>
  <r>
    <x v="0"/>
    <x v="0"/>
    <x v="13"/>
    <n v="0"/>
    <s v="Debe"/>
    <x v="1"/>
    <x v="1"/>
    <x v="1"/>
    <x v="1"/>
    <n v="0"/>
    <n v="0"/>
    <s v=""/>
    <x v="4"/>
    <x v="1"/>
    <x v="2"/>
    <x v="11"/>
    <x v="11"/>
    <s v=""/>
    <x v="0"/>
    <x v="0"/>
    <n v="1118"/>
    <x v="11"/>
    <s v=""/>
    <x v="4"/>
    <x v="1"/>
  </r>
  <r>
    <x v="0"/>
    <x v="0"/>
    <x v="13"/>
    <n v="0"/>
    <s v="Debe"/>
    <x v="1"/>
    <x v="1"/>
    <x v="1"/>
    <x v="1"/>
    <n v="0"/>
    <n v="0"/>
    <s v=""/>
    <x v="4"/>
    <x v="1"/>
    <x v="2"/>
    <x v="11"/>
    <x v="11"/>
    <s v=""/>
    <x v="0"/>
    <x v="0"/>
    <n v="1121"/>
    <x v="11"/>
    <s v=""/>
    <x v="4"/>
    <x v="1"/>
  </r>
  <r>
    <x v="0"/>
    <x v="0"/>
    <x v="13"/>
    <n v="0"/>
    <s v="Debe"/>
    <x v="1"/>
    <x v="1"/>
    <x v="1"/>
    <x v="1"/>
    <n v="0"/>
    <n v="0"/>
    <s v=""/>
    <x v="4"/>
    <x v="1"/>
    <x v="2"/>
    <x v="11"/>
    <x v="11"/>
    <s v=""/>
    <x v="0"/>
    <x v="0"/>
    <n v="1122"/>
    <x v="11"/>
    <s v=""/>
    <x v="4"/>
    <x v="1"/>
  </r>
  <r>
    <x v="0"/>
    <x v="0"/>
    <x v="13"/>
    <n v="0"/>
    <s v="Debe"/>
    <x v="1"/>
    <x v="1"/>
    <x v="1"/>
    <x v="1"/>
    <n v="0"/>
    <n v="0"/>
    <s v=""/>
    <x v="4"/>
    <x v="1"/>
    <x v="2"/>
    <x v="11"/>
    <x v="11"/>
    <s v=""/>
    <x v="0"/>
    <x v="0"/>
    <n v="1123"/>
    <x v="11"/>
    <s v=""/>
    <x v="4"/>
    <x v="1"/>
  </r>
  <r>
    <x v="0"/>
    <x v="0"/>
    <x v="13"/>
    <n v="0"/>
    <s v="Debe"/>
    <x v="1"/>
    <x v="1"/>
    <x v="1"/>
    <x v="1"/>
    <n v="0"/>
    <n v="0"/>
    <s v=""/>
    <x v="4"/>
    <x v="1"/>
    <x v="2"/>
    <x v="11"/>
    <x v="11"/>
    <s v=""/>
    <x v="0"/>
    <x v="0"/>
    <n v="1124"/>
    <x v="11"/>
    <s v=""/>
    <x v="4"/>
    <x v="1"/>
  </r>
  <r>
    <x v="0"/>
    <x v="0"/>
    <x v="13"/>
    <n v="0"/>
    <s v="Debe"/>
    <x v="1"/>
    <x v="1"/>
    <x v="1"/>
    <x v="1"/>
    <n v="0"/>
    <n v="0"/>
    <s v=""/>
    <x v="4"/>
    <x v="1"/>
    <x v="2"/>
    <x v="11"/>
    <x v="11"/>
    <s v=""/>
    <x v="0"/>
    <x v="0"/>
    <n v="1125"/>
    <x v="11"/>
    <s v=""/>
    <x v="4"/>
    <x v="1"/>
  </r>
  <r>
    <x v="0"/>
    <x v="0"/>
    <x v="13"/>
    <n v="0"/>
    <s v="Debe"/>
    <x v="1"/>
    <x v="1"/>
    <x v="1"/>
    <x v="1"/>
    <n v="0"/>
    <n v="0"/>
    <s v=""/>
    <x v="4"/>
    <x v="1"/>
    <x v="2"/>
    <x v="11"/>
    <x v="11"/>
    <s v=""/>
    <x v="0"/>
    <x v="0"/>
    <n v="1128"/>
    <x v="11"/>
    <s v=""/>
    <x v="4"/>
    <x v="1"/>
  </r>
  <r>
    <x v="0"/>
    <x v="0"/>
    <x v="13"/>
    <n v="0"/>
    <s v="Debe"/>
    <x v="1"/>
    <x v="1"/>
    <x v="1"/>
    <x v="1"/>
    <n v="0"/>
    <n v="0"/>
    <s v=""/>
    <x v="4"/>
    <x v="1"/>
    <x v="2"/>
    <x v="11"/>
    <x v="11"/>
    <s v=""/>
    <x v="0"/>
    <x v="0"/>
    <n v="1129"/>
    <x v="11"/>
    <s v=""/>
    <x v="4"/>
    <x v="1"/>
  </r>
  <r>
    <x v="0"/>
    <x v="0"/>
    <x v="13"/>
    <n v="0"/>
    <s v="Debe"/>
    <x v="1"/>
    <x v="1"/>
    <x v="1"/>
    <x v="1"/>
    <n v="0"/>
    <n v="0"/>
    <s v=""/>
    <x v="4"/>
    <x v="1"/>
    <x v="2"/>
    <x v="11"/>
    <x v="11"/>
    <s v=""/>
    <x v="0"/>
    <x v="0"/>
    <n v="1130"/>
    <x v="11"/>
    <s v=""/>
    <x v="4"/>
    <x v="1"/>
  </r>
  <r>
    <x v="0"/>
    <x v="0"/>
    <x v="13"/>
    <n v="0"/>
    <s v="Debe"/>
    <x v="1"/>
    <x v="1"/>
    <x v="1"/>
    <x v="1"/>
    <n v="0"/>
    <n v="0"/>
    <s v=""/>
    <x v="4"/>
    <x v="1"/>
    <x v="2"/>
    <x v="11"/>
    <x v="11"/>
    <s v=""/>
    <x v="0"/>
    <x v="0"/>
    <n v="1131"/>
    <x v="11"/>
    <s v=""/>
    <x v="4"/>
    <x v="1"/>
  </r>
  <r>
    <x v="0"/>
    <x v="0"/>
    <x v="13"/>
    <n v="0"/>
    <s v="Debe"/>
    <x v="1"/>
    <x v="1"/>
    <x v="1"/>
    <x v="1"/>
    <n v="0"/>
    <n v="0"/>
    <s v=""/>
    <x v="4"/>
    <x v="1"/>
    <x v="2"/>
    <x v="11"/>
    <x v="11"/>
    <s v=""/>
    <x v="0"/>
    <x v="0"/>
    <n v="1132"/>
    <x v="11"/>
    <s v=""/>
    <x v="4"/>
    <x v="1"/>
  </r>
  <r>
    <x v="0"/>
    <x v="0"/>
    <x v="13"/>
    <n v="0"/>
    <s v="Debe"/>
    <x v="1"/>
    <x v="1"/>
    <x v="1"/>
    <x v="1"/>
    <n v="0"/>
    <n v="0"/>
    <s v=""/>
    <x v="4"/>
    <x v="1"/>
    <x v="2"/>
    <x v="11"/>
    <x v="11"/>
    <s v=""/>
    <x v="0"/>
    <x v="0"/>
    <n v="1135"/>
    <x v="11"/>
    <s v=""/>
    <x v="4"/>
    <x v="1"/>
  </r>
  <r>
    <x v="0"/>
    <x v="0"/>
    <x v="13"/>
    <n v="0"/>
    <s v="Debe"/>
    <x v="1"/>
    <x v="1"/>
    <x v="1"/>
    <x v="1"/>
    <n v="0"/>
    <n v="0"/>
    <s v=""/>
    <x v="4"/>
    <x v="1"/>
    <x v="2"/>
    <x v="11"/>
    <x v="11"/>
    <s v=""/>
    <x v="0"/>
    <x v="0"/>
    <n v="1136"/>
    <x v="11"/>
    <s v=""/>
    <x v="4"/>
    <x v="1"/>
  </r>
  <r>
    <x v="0"/>
    <x v="0"/>
    <x v="13"/>
    <n v="0"/>
    <s v="Debe"/>
    <x v="1"/>
    <x v="1"/>
    <x v="1"/>
    <x v="1"/>
    <n v="0"/>
    <n v="0"/>
    <s v=""/>
    <x v="4"/>
    <x v="1"/>
    <x v="2"/>
    <x v="11"/>
    <x v="11"/>
    <s v=""/>
    <x v="0"/>
    <x v="0"/>
    <n v="1137"/>
    <x v="11"/>
    <s v=""/>
    <x v="4"/>
    <x v="1"/>
  </r>
  <r>
    <x v="0"/>
    <x v="0"/>
    <x v="13"/>
    <n v="0"/>
    <s v="Debe"/>
    <x v="1"/>
    <x v="1"/>
    <x v="1"/>
    <x v="1"/>
    <n v="0"/>
    <n v="0"/>
    <s v=""/>
    <x v="4"/>
    <x v="1"/>
    <x v="2"/>
    <x v="11"/>
    <x v="11"/>
    <s v=""/>
    <x v="0"/>
    <x v="0"/>
    <n v="1138"/>
    <x v="11"/>
    <s v=""/>
    <x v="4"/>
    <x v="1"/>
  </r>
  <r>
    <x v="0"/>
    <x v="0"/>
    <x v="13"/>
    <n v="0"/>
    <s v="Debe"/>
    <x v="1"/>
    <x v="1"/>
    <x v="1"/>
    <x v="1"/>
    <n v="0"/>
    <n v="0"/>
    <s v=""/>
    <x v="4"/>
    <x v="1"/>
    <x v="2"/>
    <x v="11"/>
    <x v="11"/>
    <s v=""/>
    <x v="0"/>
    <x v="0"/>
    <n v="1139"/>
    <x v="11"/>
    <s v=""/>
    <x v="4"/>
    <x v="1"/>
  </r>
  <r>
    <x v="0"/>
    <x v="0"/>
    <x v="13"/>
    <n v="0"/>
    <s v="Debe"/>
    <x v="1"/>
    <x v="1"/>
    <x v="1"/>
    <x v="1"/>
    <n v="0"/>
    <n v="0"/>
    <s v=""/>
    <x v="4"/>
    <x v="1"/>
    <x v="2"/>
    <x v="11"/>
    <x v="11"/>
    <s v=""/>
    <x v="0"/>
    <x v="0"/>
    <n v="1142"/>
    <x v="11"/>
    <s v=""/>
    <x v="4"/>
    <x v="1"/>
  </r>
  <r>
    <x v="0"/>
    <x v="0"/>
    <x v="13"/>
    <n v="0"/>
    <s v="Debe"/>
    <x v="1"/>
    <x v="1"/>
    <x v="1"/>
    <x v="1"/>
    <n v="0"/>
    <n v="0"/>
    <s v=""/>
    <x v="4"/>
    <x v="1"/>
    <x v="2"/>
    <x v="11"/>
    <x v="11"/>
    <s v=""/>
    <x v="0"/>
    <x v="0"/>
    <n v="1143"/>
    <x v="11"/>
    <s v=""/>
    <x v="4"/>
    <x v="1"/>
  </r>
  <r>
    <x v="0"/>
    <x v="0"/>
    <x v="13"/>
    <n v="0"/>
    <s v="Debe"/>
    <x v="1"/>
    <x v="1"/>
    <x v="1"/>
    <x v="1"/>
    <n v="0"/>
    <n v="0"/>
    <s v=""/>
    <x v="4"/>
    <x v="1"/>
    <x v="2"/>
    <x v="11"/>
    <x v="11"/>
    <s v=""/>
    <x v="0"/>
    <x v="0"/>
    <n v="1144"/>
    <x v="11"/>
    <s v=""/>
    <x v="4"/>
    <x v="1"/>
  </r>
  <r>
    <x v="0"/>
    <x v="0"/>
    <x v="13"/>
    <n v="0"/>
    <s v="Debe"/>
    <x v="1"/>
    <x v="1"/>
    <x v="1"/>
    <x v="1"/>
    <n v="0"/>
    <n v="0"/>
    <s v=""/>
    <x v="4"/>
    <x v="1"/>
    <x v="2"/>
    <x v="11"/>
    <x v="11"/>
    <s v=""/>
    <x v="0"/>
    <x v="0"/>
    <n v="1145"/>
    <x v="11"/>
    <s v=""/>
    <x v="4"/>
    <x v="1"/>
  </r>
  <r>
    <x v="0"/>
    <x v="0"/>
    <x v="13"/>
    <n v="0"/>
    <s v="Debe"/>
    <x v="1"/>
    <x v="1"/>
    <x v="1"/>
    <x v="1"/>
    <n v="0"/>
    <n v="0"/>
    <s v=""/>
    <x v="4"/>
    <x v="1"/>
    <x v="2"/>
    <x v="11"/>
    <x v="11"/>
    <s v=""/>
    <x v="0"/>
    <x v="0"/>
    <n v="1146"/>
    <x v="11"/>
    <s v=""/>
    <x v="4"/>
    <x v="1"/>
  </r>
  <r>
    <x v="0"/>
    <x v="0"/>
    <x v="13"/>
    <n v="0"/>
    <s v="Debe"/>
    <x v="1"/>
    <x v="1"/>
    <x v="1"/>
    <x v="1"/>
    <n v="0"/>
    <n v="0"/>
    <s v=""/>
    <x v="4"/>
    <x v="1"/>
    <x v="2"/>
    <x v="11"/>
    <x v="11"/>
    <s v=""/>
    <x v="0"/>
    <x v="0"/>
    <n v="1150"/>
    <x v="11"/>
    <s v=""/>
    <x v="4"/>
    <x v="1"/>
  </r>
  <r>
    <x v="0"/>
    <x v="0"/>
    <x v="13"/>
    <n v="0"/>
    <s v="Debe"/>
    <x v="1"/>
    <x v="1"/>
    <x v="1"/>
    <x v="1"/>
    <n v="0"/>
    <n v="0"/>
    <s v=""/>
    <x v="4"/>
    <x v="1"/>
    <x v="2"/>
    <x v="11"/>
    <x v="11"/>
    <s v=""/>
    <x v="0"/>
    <x v="0"/>
    <n v="1151"/>
    <x v="11"/>
    <s v=""/>
    <x v="4"/>
    <x v="1"/>
  </r>
  <r>
    <x v="0"/>
    <x v="0"/>
    <x v="13"/>
    <n v="0"/>
    <s v="Debe"/>
    <x v="1"/>
    <x v="1"/>
    <x v="1"/>
    <x v="1"/>
    <n v="0"/>
    <n v="0"/>
    <s v=""/>
    <x v="4"/>
    <x v="1"/>
    <x v="2"/>
    <x v="11"/>
    <x v="11"/>
    <s v=""/>
    <x v="0"/>
    <x v="0"/>
    <n v="1152"/>
    <x v="11"/>
    <s v=""/>
    <x v="4"/>
    <x v="1"/>
  </r>
  <r>
    <x v="0"/>
    <x v="0"/>
    <x v="13"/>
    <n v="0"/>
    <s v="Debe"/>
    <x v="1"/>
    <x v="1"/>
    <x v="1"/>
    <x v="1"/>
    <n v="0"/>
    <n v="0"/>
    <s v=""/>
    <x v="4"/>
    <x v="1"/>
    <x v="2"/>
    <x v="11"/>
    <x v="11"/>
    <s v=""/>
    <x v="0"/>
    <x v="0"/>
    <n v="1153"/>
    <x v="11"/>
    <s v=""/>
    <x v="4"/>
    <x v="1"/>
  </r>
  <r>
    <x v="0"/>
    <x v="0"/>
    <x v="13"/>
    <n v="0"/>
    <s v="Debe"/>
    <x v="1"/>
    <x v="1"/>
    <x v="1"/>
    <x v="1"/>
    <n v="0"/>
    <n v="0"/>
    <s v=""/>
    <x v="4"/>
    <x v="1"/>
    <x v="2"/>
    <x v="11"/>
    <x v="11"/>
    <s v=""/>
    <x v="0"/>
    <x v="0"/>
    <n v="1154"/>
    <x v="11"/>
    <s v=""/>
    <x v="4"/>
    <x v="1"/>
  </r>
  <r>
    <x v="0"/>
    <x v="0"/>
    <x v="13"/>
    <n v="0"/>
    <s v="Debe"/>
    <x v="1"/>
    <x v="1"/>
    <x v="1"/>
    <x v="1"/>
    <n v="0"/>
    <n v="0"/>
    <s v=""/>
    <x v="4"/>
    <x v="1"/>
    <x v="2"/>
    <x v="11"/>
    <x v="11"/>
    <s v=""/>
    <x v="0"/>
    <x v="0"/>
    <n v="1157"/>
    <x v="11"/>
    <s v=""/>
    <x v="4"/>
    <x v="1"/>
  </r>
  <r>
    <x v="0"/>
    <x v="0"/>
    <x v="13"/>
    <n v="0"/>
    <s v="Debe"/>
    <x v="1"/>
    <x v="1"/>
    <x v="1"/>
    <x v="1"/>
    <n v="0"/>
    <n v="0"/>
    <s v=""/>
    <x v="4"/>
    <x v="1"/>
    <x v="2"/>
    <x v="11"/>
    <x v="11"/>
    <s v=""/>
    <x v="0"/>
    <x v="0"/>
    <n v="1158"/>
    <x v="11"/>
    <s v=""/>
    <x v="4"/>
    <x v="1"/>
  </r>
  <r>
    <x v="0"/>
    <x v="0"/>
    <x v="13"/>
    <n v="0"/>
    <s v="Debe"/>
    <x v="1"/>
    <x v="1"/>
    <x v="1"/>
    <x v="1"/>
    <n v="0"/>
    <n v="0"/>
    <s v=""/>
    <x v="4"/>
    <x v="1"/>
    <x v="2"/>
    <x v="11"/>
    <x v="11"/>
    <s v=""/>
    <x v="0"/>
    <x v="0"/>
    <n v="1159"/>
    <x v="11"/>
    <s v=""/>
    <x v="4"/>
    <x v="1"/>
  </r>
  <r>
    <x v="0"/>
    <x v="0"/>
    <x v="13"/>
    <n v="0"/>
    <s v="Debe"/>
    <x v="1"/>
    <x v="1"/>
    <x v="1"/>
    <x v="1"/>
    <n v="0"/>
    <n v="0"/>
    <s v=""/>
    <x v="4"/>
    <x v="1"/>
    <x v="2"/>
    <x v="11"/>
    <x v="11"/>
    <s v=""/>
    <x v="0"/>
    <x v="0"/>
    <n v="1160"/>
    <x v="11"/>
    <s v=""/>
    <x v="4"/>
    <x v="1"/>
  </r>
  <r>
    <x v="0"/>
    <x v="0"/>
    <x v="13"/>
    <n v="0"/>
    <s v="Debe"/>
    <x v="1"/>
    <x v="1"/>
    <x v="1"/>
    <x v="1"/>
    <n v="0"/>
    <n v="0"/>
    <s v=""/>
    <x v="4"/>
    <x v="1"/>
    <x v="2"/>
    <x v="11"/>
    <x v="11"/>
    <s v=""/>
    <x v="0"/>
    <x v="0"/>
    <n v="1161"/>
    <x v="11"/>
    <s v=""/>
    <x v="4"/>
    <x v="1"/>
  </r>
  <r>
    <x v="0"/>
    <x v="0"/>
    <x v="13"/>
    <n v="0"/>
    <s v="Debe"/>
    <x v="1"/>
    <x v="1"/>
    <x v="1"/>
    <x v="1"/>
    <n v="0"/>
    <n v="0"/>
    <s v=""/>
    <x v="4"/>
    <x v="1"/>
    <x v="2"/>
    <x v="11"/>
    <x v="11"/>
    <s v=""/>
    <x v="0"/>
    <x v="0"/>
    <n v="1164"/>
    <x v="11"/>
    <s v=""/>
    <x v="4"/>
    <x v="1"/>
  </r>
  <r>
    <x v="0"/>
    <x v="0"/>
    <x v="13"/>
    <n v="0"/>
    <s v="Debe"/>
    <x v="1"/>
    <x v="1"/>
    <x v="1"/>
    <x v="1"/>
    <n v="0"/>
    <n v="0"/>
    <s v=""/>
    <x v="4"/>
    <x v="1"/>
    <x v="2"/>
    <x v="11"/>
    <x v="11"/>
    <s v=""/>
    <x v="0"/>
    <x v="0"/>
    <n v="1165"/>
    <x v="11"/>
    <s v=""/>
    <x v="4"/>
    <x v="1"/>
  </r>
  <r>
    <x v="0"/>
    <x v="0"/>
    <x v="13"/>
    <n v="0"/>
    <s v="Debe"/>
    <x v="1"/>
    <x v="1"/>
    <x v="1"/>
    <x v="1"/>
    <n v="0"/>
    <n v="0"/>
    <s v=""/>
    <x v="4"/>
    <x v="1"/>
    <x v="2"/>
    <x v="11"/>
    <x v="11"/>
    <s v=""/>
    <x v="0"/>
    <x v="0"/>
    <n v="1166"/>
    <x v="11"/>
    <s v=""/>
    <x v="4"/>
    <x v="1"/>
  </r>
  <r>
    <x v="0"/>
    <x v="0"/>
    <x v="13"/>
    <n v="0"/>
    <s v="Debe"/>
    <x v="1"/>
    <x v="1"/>
    <x v="1"/>
    <x v="1"/>
    <n v="0"/>
    <n v="0"/>
    <s v=""/>
    <x v="4"/>
    <x v="1"/>
    <x v="2"/>
    <x v="11"/>
    <x v="11"/>
    <s v=""/>
    <x v="0"/>
    <x v="0"/>
    <n v="1167"/>
    <x v="11"/>
    <s v=""/>
    <x v="4"/>
    <x v="1"/>
  </r>
  <r>
    <x v="0"/>
    <x v="0"/>
    <x v="13"/>
    <n v="0"/>
    <s v="Debe"/>
    <x v="1"/>
    <x v="1"/>
    <x v="1"/>
    <x v="1"/>
    <n v="0"/>
    <n v="0"/>
    <s v=""/>
    <x v="4"/>
    <x v="1"/>
    <x v="2"/>
    <x v="11"/>
    <x v="11"/>
    <s v=""/>
    <x v="0"/>
    <x v="0"/>
    <n v="1168"/>
    <x v="11"/>
    <s v=""/>
    <x v="4"/>
    <x v="1"/>
  </r>
  <r>
    <x v="0"/>
    <x v="0"/>
    <x v="13"/>
    <n v="0"/>
    <s v="Debe"/>
    <x v="1"/>
    <x v="1"/>
    <x v="1"/>
    <x v="1"/>
    <n v="0"/>
    <n v="0"/>
    <s v=""/>
    <x v="4"/>
    <x v="1"/>
    <x v="2"/>
    <x v="11"/>
    <x v="11"/>
    <s v=""/>
    <x v="0"/>
    <x v="0"/>
    <n v="1171"/>
    <x v="11"/>
    <s v=""/>
    <x v="4"/>
    <x v="1"/>
  </r>
  <r>
    <x v="0"/>
    <x v="0"/>
    <x v="13"/>
    <n v="0"/>
    <s v="Debe"/>
    <x v="1"/>
    <x v="1"/>
    <x v="1"/>
    <x v="1"/>
    <n v="0"/>
    <n v="0"/>
    <s v=""/>
    <x v="4"/>
    <x v="1"/>
    <x v="2"/>
    <x v="11"/>
    <x v="11"/>
    <s v=""/>
    <x v="0"/>
    <x v="0"/>
    <n v="1172"/>
    <x v="11"/>
    <s v=""/>
    <x v="4"/>
    <x v="1"/>
  </r>
  <r>
    <x v="0"/>
    <x v="0"/>
    <x v="13"/>
    <n v="0"/>
    <s v="Debe"/>
    <x v="1"/>
    <x v="1"/>
    <x v="1"/>
    <x v="1"/>
    <n v="0"/>
    <n v="0"/>
    <s v=""/>
    <x v="4"/>
    <x v="1"/>
    <x v="2"/>
    <x v="11"/>
    <x v="11"/>
    <s v=""/>
    <x v="0"/>
    <x v="0"/>
    <n v="1173"/>
    <x v="11"/>
    <s v=""/>
    <x v="4"/>
    <x v="1"/>
  </r>
  <r>
    <x v="0"/>
    <x v="0"/>
    <x v="13"/>
    <n v="0"/>
    <s v="Debe"/>
    <x v="1"/>
    <x v="1"/>
    <x v="1"/>
    <x v="1"/>
    <n v="0"/>
    <n v="0"/>
    <s v=""/>
    <x v="4"/>
    <x v="1"/>
    <x v="2"/>
    <x v="11"/>
    <x v="11"/>
    <s v=""/>
    <x v="0"/>
    <x v="0"/>
    <n v="1174"/>
    <x v="11"/>
    <s v=""/>
    <x v="4"/>
    <x v="1"/>
  </r>
  <r>
    <x v="0"/>
    <x v="0"/>
    <x v="13"/>
    <n v="0"/>
    <s v="Debe"/>
    <x v="1"/>
    <x v="1"/>
    <x v="1"/>
    <x v="1"/>
    <n v="0"/>
    <n v="0"/>
    <s v=""/>
    <x v="4"/>
    <x v="1"/>
    <x v="2"/>
    <x v="11"/>
    <x v="11"/>
    <s v=""/>
    <x v="0"/>
    <x v="0"/>
    <n v="1175"/>
    <x v="11"/>
    <s v=""/>
    <x v="4"/>
    <x v="1"/>
  </r>
  <r>
    <x v="0"/>
    <x v="0"/>
    <x v="13"/>
    <n v="0"/>
    <s v="Debe"/>
    <x v="1"/>
    <x v="1"/>
    <x v="1"/>
    <x v="1"/>
    <n v="0"/>
    <n v="0"/>
    <s v=""/>
    <x v="4"/>
    <x v="1"/>
    <x v="2"/>
    <x v="11"/>
    <x v="11"/>
    <s v=""/>
    <x v="0"/>
    <x v="0"/>
    <n v="1178"/>
    <x v="11"/>
    <s v=""/>
    <x v="4"/>
    <x v="1"/>
  </r>
  <r>
    <x v="0"/>
    <x v="0"/>
    <x v="13"/>
    <n v="0"/>
    <s v="Debe"/>
    <x v="1"/>
    <x v="1"/>
    <x v="1"/>
    <x v="1"/>
    <n v="0"/>
    <n v="0"/>
    <s v=""/>
    <x v="4"/>
    <x v="1"/>
    <x v="2"/>
    <x v="11"/>
    <x v="11"/>
    <s v=""/>
    <x v="0"/>
    <x v="0"/>
    <n v="1179"/>
    <x v="11"/>
    <s v=""/>
    <x v="4"/>
    <x v="1"/>
  </r>
  <r>
    <x v="0"/>
    <x v="0"/>
    <x v="13"/>
    <n v="0"/>
    <s v="Debe"/>
    <x v="1"/>
    <x v="1"/>
    <x v="1"/>
    <x v="1"/>
    <n v="0"/>
    <n v="0"/>
    <s v=""/>
    <x v="4"/>
    <x v="1"/>
    <x v="2"/>
    <x v="11"/>
    <x v="11"/>
    <s v=""/>
    <x v="0"/>
    <x v="0"/>
    <n v="1180"/>
    <x v="11"/>
    <s v=""/>
    <x v="4"/>
    <x v="1"/>
  </r>
  <r>
    <x v="0"/>
    <x v="0"/>
    <x v="13"/>
    <n v="0"/>
    <s v="Debe"/>
    <x v="1"/>
    <x v="1"/>
    <x v="1"/>
    <x v="1"/>
    <n v="0"/>
    <n v="0"/>
    <s v=""/>
    <x v="4"/>
    <x v="1"/>
    <x v="2"/>
    <x v="11"/>
    <x v="11"/>
    <s v=""/>
    <x v="0"/>
    <x v="0"/>
    <n v="1181"/>
    <x v="11"/>
    <s v=""/>
    <x v="4"/>
    <x v="1"/>
  </r>
  <r>
    <x v="0"/>
    <x v="0"/>
    <x v="13"/>
    <n v="0"/>
    <s v="Debe"/>
    <x v="1"/>
    <x v="1"/>
    <x v="1"/>
    <x v="1"/>
    <n v="0"/>
    <n v="0"/>
    <s v=""/>
    <x v="4"/>
    <x v="1"/>
    <x v="2"/>
    <x v="11"/>
    <x v="11"/>
    <s v=""/>
    <x v="0"/>
    <x v="0"/>
    <n v="1182"/>
    <x v="11"/>
    <s v=""/>
    <x v="4"/>
    <x v="1"/>
  </r>
  <r>
    <x v="0"/>
    <x v="0"/>
    <x v="13"/>
    <n v="0"/>
    <s v="Debe"/>
    <x v="1"/>
    <x v="1"/>
    <x v="1"/>
    <x v="1"/>
    <n v="0"/>
    <n v="0"/>
    <s v=""/>
    <x v="4"/>
    <x v="1"/>
    <x v="2"/>
    <x v="11"/>
    <x v="11"/>
    <s v=""/>
    <x v="0"/>
    <x v="0"/>
    <n v="1187"/>
    <x v="11"/>
    <s v=""/>
    <x v="4"/>
    <x v="1"/>
  </r>
  <r>
    <x v="0"/>
    <x v="0"/>
    <x v="13"/>
    <n v="0"/>
    <s v="Debe"/>
    <x v="1"/>
    <x v="1"/>
    <x v="1"/>
    <x v="1"/>
    <n v="0"/>
    <n v="0"/>
    <s v=""/>
    <x v="4"/>
    <x v="1"/>
    <x v="2"/>
    <x v="11"/>
    <x v="11"/>
    <s v=""/>
    <x v="0"/>
    <x v="0"/>
    <n v="1188"/>
    <x v="11"/>
    <s v=""/>
    <x v="4"/>
    <x v="1"/>
  </r>
  <r>
    <x v="0"/>
    <x v="0"/>
    <x v="13"/>
    <n v="0"/>
    <s v="Debe"/>
    <x v="1"/>
    <x v="1"/>
    <x v="1"/>
    <x v="1"/>
    <n v="0"/>
    <n v="0"/>
    <s v=""/>
    <x v="4"/>
    <x v="1"/>
    <x v="2"/>
    <x v="11"/>
    <x v="11"/>
    <s v=""/>
    <x v="0"/>
    <x v="0"/>
    <n v="1189"/>
    <x v="11"/>
    <s v=""/>
    <x v="4"/>
    <x v="1"/>
  </r>
  <r>
    <x v="0"/>
    <x v="0"/>
    <x v="13"/>
    <n v="0"/>
    <s v="Debe"/>
    <x v="1"/>
    <x v="1"/>
    <x v="1"/>
    <x v="1"/>
    <n v="0"/>
    <n v="0"/>
    <s v=""/>
    <x v="4"/>
    <x v="1"/>
    <x v="2"/>
    <x v="11"/>
    <x v="11"/>
    <s v=""/>
    <x v="0"/>
    <x v="0"/>
    <n v="1190"/>
    <x v="11"/>
    <s v=""/>
    <x v="4"/>
    <x v="1"/>
  </r>
  <r>
    <x v="0"/>
    <x v="0"/>
    <x v="13"/>
    <n v="0"/>
    <s v="Debe"/>
    <x v="1"/>
    <x v="1"/>
    <x v="1"/>
    <x v="1"/>
    <n v="0"/>
    <n v="0"/>
    <s v=""/>
    <x v="4"/>
    <x v="1"/>
    <x v="2"/>
    <x v="11"/>
    <x v="11"/>
    <s v=""/>
    <x v="0"/>
    <x v="0"/>
    <n v="1191"/>
    <x v="11"/>
    <s v=""/>
    <x v="4"/>
    <x v="1"/>
  </r>
  <r>
    <x v="0"/>
    <x v="0"/>
    <x v="13"/>
    <n v="0"/>
    <s v="Debe"/>
    <x v="1"/>
    <x v="1"/>
    <x v="1"/>
    <x v="1"/>
    <n v="0"/>
    <n v="0"/>
    <s v=""/>
    <x v="4"/>
    <x v="1"/>
    <x v="2"/>
    <x v="11"/>
    <x v="11"/>
    <s v=""/>
    <x v="0"/>
    <x v="0"/>
    <n v="1194"/>
    <x v="11"/>
    <s v=""/>
    <x v="4"/>
    <x v="1"/>
  </r>
  <r>
    <x v="0"/>
    <x v="0"/>
    <x v="13"/>
    <n v="0"/>
    <s v="Debe"/>
    <x v="1"/>
    <x v="1"/>
    <x v="1"/>
    <x v="1"/>
    <n v="0"/>
    <n v="0"/>
    <s v=""/>
    <x v="4"/>
    <x v="1"/>
    <x v="2"/>
    <x v="11"/>
    <x v="11"/>
    <s v=""/>
    <x v="0"/>
    <x v="0"/>
    <n v="1195"/>
    <x v="11"/>
    <s v=""/>
    <x v="4"/>
    <x v="1"/>
  </r>
  <r>
    <x v="0"/>
    <x v="0"/>
    <x v="13"/>
    <n v="0"/>
    <s v="Debe"/>
    <x v="1"/>
    <x v="1"/>
    <x v="1"/>
    <x v="1"/>
    <n v="0"/>
    <n v="0"/>
    <s v=""/>
    <x v="4"/>
    <x v="1"/>
    <x v="2"/>
    <x v="11"/>
    <x v="11"/>
    <s v=""/>
    <x v="0"/>
    <x v="0"/>
    <n v="1196"/>
    <x v="11"/>
    <s v=""/>
    <x v="4"/>
    <x v="1"/>
  </r>
  <r>
    <x v="0"/>
    <x v="0"/>
    <x v="13"/>
    <n v="0"/>
    <s v="Debe"/>
    <x v="1"/>
    <x v="1"/>
    <x v="1"/>
    <x v="1"/>
    <n v="0"/>
    <n v="0"/>
    <s v=""/>
    <x v="4"/>
    <x v="1"/>
    <x v="2"/>
    <x v="11"/>
    <x v="11"/>
    <s v=""/>
    <x v="0"/>
    <x v="0"/>
    <n v="1197"/>
    <x v="11"/>
    <s v=""/>
    <x v="4"/>
    <x v="1"/>
  </r>
  <r>
    <x v="0"/>
    <x v="0"/>
    <x v="13"/>
    <n v="0"/>
    <s v="Debe"/>
    <x v="1"/>
    <x v="1"/>
    <x v="1"/>
    <x v="1"/>
    <n v="0"/>
    <n v="0"/>
    <s v=""/>
    <x v="4"/>
    <x v="1"/>
    <x v="2"/>
    <x v="11"/>
    <x v="11"/>
    <s v=""/>
    <x v="0"/>
    <x v="0"/>
    <n v="1198"/>
    <x v="11"/>
    <s v=""/>
    <x v="4"/>
    <x v="1"/>
  </r>
  <r>
    <x v="0"/>
    <x v="0"/>
    <x v="13"/>
    <n v="0"/>
    <s v="Debe"/>
    <x v="1"/>
    <x v="1"/>
    <x v="1"/>
    <x v="1"/>
    <n v="0"/>
    <n v="0"/>
    <s v=""/>
    <x v="4"/>
    <x v="1"/>
    <x v="2"/>
    <x v="11"/>
    <x v="11"/>
    <s v=""/>
    <x v="0"/>
    <x v="0"/>
    <n v="1201"/>
    <x v="11"/>
    <s v=""/>
    <x v="4"/>
    <x v="1"/>
  </r>
  <r>
    <x v="0"/>
    <x v="0"/>
    <x v="13"/>
    <n v="0"/>
    <s v="Debe"/>
    <x v="1"/>
    <x v="1"/>
    <x v="1"/>
    <x v="1"/>
    <n v="0"/>
    <n v="0"/>
    <s v=""/>
    <x v="4"/>
    <x v="1"/>
    <x v="2"/>
    <x v="11"/>
    <x v="11"/>
    <s v=""/>
    <x v="0"/>
    <x v="0"/>
    <n v="1202"/>
    <x v="11"/>
    <s v=""/>
    <x v="4"/>
    <x v="1"/>
  </r>
  <r>
    <x v="0"/>
    <x v="0"/>
    <x v="13"/>
    <n v="0"/>
    <s v="Debe"/>
    <x v="1"/>
    <x v="1"/>
    <x v="1"/>
    <x v="1"/>
    <n v="0"/>
    <n v="0"/>
    <s v=""/>
    <x v="4"/>
    <x v="1"/>
    <x v="2"/>
    <x v="11"/>
    <x v="11"/>
    <s v=""/>
    <x v="0"/>
    <x v="0"/>
    <n v="1203"/>
    <x v="11"/>
    <s v=""/>
    <x v="4"/>
    <x v="1"/>
  </r>
  <r>
    <x v="0"/>
    <x v="0"/>
    <x v="13"/>
    <n v="0"/>
    <s v="Debe"/>
    <x v="1"/>
    <x v="1"/>
    <x v="1"/>
    <x v="1"/>
    <n v="0"/>
    <n v="0"/>
    <s v=""/>
    <x v="4"/>
    <x v="1"/>
    <x v="2"/>
    <x v="11"/>
    <x v="11"/>
    <s v=""/>
    <x v="0"/>
    <x v="0"/>
    <n v="1204"/>
    <x v="11"/>
    <s v=""/>
    <x v="4"/>
    <x v="1"/>
  </r>
  <r>
    <x v="0"/>
    <x v="0"/>
    <x v="13"/>
    <n v="0"/>
    <s v="Debe"/>
    <x v="1"/>
    <x v="1"/>
    <x v="1"/>
    <x v="1"/>
    <n v="0"/>
    <n v="0"/>
    <s v=""/>
    <x v="4"/>
    <x v="1"/>
    <x v="2"/>
    <x v="11"/>
    <x v="11"/>
    <s v=""/>
    <x v="0"/>
    <x v="0"/>
    <n v="1205"/>
    <x v="11"/>
    <s v=""/>
    <x v="4"/>
    <x v="1"/>
  </r>
  <r>
    <x v="0"/>
    <x v="0"/>
    <x v="13"/>
    <n v="0"/>
    <s v="Debe"/>
    <x v="1"/>
    <x v="1"/>
    <x v="1"/>
    <x v="1"/>
    <n v="0"/>
    <n v="0"/>
    <s v=""/>
    <x v="4"/>
    <x v="1"/>
    <x v="2"/>
    <x v="11"/>
    <x v="11"/>
    <s v=""/>
    <x v="0"/>
    <x v="0"/>
    <n v="1208"/>
    <x v="11"/>
    <s v=""/>
    <x v="4"/>
    <x v="1"/>
  </r>
  <r>
    <x v="0"/>
    <x v="0"/>
    <x v="13"/>
    <n v="0"/>
    <s v="Debe"/>
    <x v="1"/>
    <x v="1"/>
    <x v="1"/>
    <x v="1"/>
    <n v="0"/>
    <n v="0"/>
    <s v=""/>
    <x v="4"/>
    <x v="1"/>
    <x v="2"/>
    <x v="11"/>
    <x v="11"/>
    <s v=""/>
    <x v="0"/>
    <x v="0"/>
    <n v="1209"/>
    <x v="11"/>
    <s v=""/>
    <x v="4"/>
    <x v="1"/>
  </r>
  <r>
    <x v="0"/>
    <x v="0"/>
    <x v="13"/>
    <n v="0"/>
    <s v="Debe"/>
    <x v="1"/>
    <x v="1"/>
    <x v="1"/>
    <x v="1"/>
    <n v="0"/>
    <n v="0"/>
    <s v=""/>
    <x v="4"/>
    <x v="1"/>
    <x v="2"/>
    <x v="11"/>
    <x v="11"/>
    <s v=""/>
    <x v="0"/>
    <x v="0"/>
    <n v="1210"/>
    <x v="11"/>
    <s v=""/>
    <x v="4"/>
    <x v="1"/>
  </r>
  <r>
    <x v="0"/>
    <x v="0"/>
    <x v="13"/>
    <n v="0"/>
    <s v="Debe"/>
    <x v="1"/>
    <x v="1"/>
    <x v="1"/>
    <x v="1"/>
    <n v="0"/>
    <n v="0"/>
    <s v=""/>
    <x v="4"/>
    <x v="1"/>
    <x v="2"/>
    <x v="11"/>
    <x v="11"/>
    <s v=""/>
    <x v="0"/>
    <x v="0"/>
    <n v="1211"/>
    <x v="11"/>
    <s v=""/>
    <x v="4"/>
    <x v="1"/>
  </r>
  <r>
    <x v="0"/>
    <x v="0"/>
    <x v="13"/>
    <n v="0"/>
    <s v="Debe"/>
    <x v="1"/>
    <x v="1"/>
    <x v="1"/>
    <x v="1"/>
    <n v="0"/>
    <n v="0"/>
    <s v=""/>
    <x v="4"/>
    <x v="1"/>
    <x v="2"/>
    <x v="11"/>
    <x v="11"/>
    <s v=""/>
    <x v="0"/>
    <x v="0"/>
    <n v="1212"/>
    <x v="11"/>
    <s v=""/>
    <x v="4"/>
    <x v="1"/>
  </r>
  <r>
    <x v="0"/>
    <x v="0"/>
    <x v="13"/>
    <n v="0"/>
    <s v="Debe"/>
    <x v="1"/>
    <x v="1"/>
    <x v="1"/>
    <x v="1"/>
    <n v="0"/>
    <n v="0"/>
    <s v=""/>
    <x v="4"/>
    <x v="1"/>
    <x v="2"/>
    <x v="11"/>
    <x v="11"/>
    <s v=""/>
    <x v="0"/>
    <x v="0"/>
    <n v="1215"/>
    <x v="11"/>
    <s v=""/>
    <x v="4"/>
    <x v="1"/>
  </r>
  <r>
    <x v="0"/>
    <x v="0"/>
    <x v="13"/>
    <n v="0"/>
    <s v="Debe"/>
    <x v="1"/>
    <x v="1"/>
    <x v="1"/>
    <x v="1"/>
    <n v="0"/>
    <n v="0"/>
    <s v=""/>
    <x v="4"/>
    <x v="1"/>
    <x v="2"/>
    <x v="11"/>
    <x v="11"/>
    <s v=""/>
    <x v="0"/>
    <x v="0"/>
    <n v="1216"/>
    <x v="11"/>
    <s v=""/>
    <x v="4"/>
    <x v="1"/>
  </r>
  <r>
    <x v="0"/>
    <x v="0"/>
    <x v="13"/>
    <n v="0"/>
    <s v="Debe"/>
    <x v="1"/>
    <x v="1"/>
    <x v="1"/>
    <x v="1"/>
    <n v="0"/>
    <n v="0"/>
    <s v=""/>
    <x v="4"/>
    <x v="1"/>
    <x v="2"/>
    <x v="11"/>
    <x v="11"/>
    <s v=""/>
    <x v="0"/>
    <x v="0"/>
    <n v="1217"/>
    <x v="11"/>
    <s v=""/>
    <x v="4"/>
    <x v="1"/>
  </r>
  <r>
    <x v="0"/>
    <x v="0"/>
    <x v="13"/>
    <n v="0"/>
    <s v="Debe"/>
    <x v="1"/>
    <x v="1"/>
    <x v="1"/>
    <x v="1"/>
    <n v="0"/>
    <n v="0"/>
    <s v=""/>
    <x v="4"/>
    <x v="1"/>
    <x v="2"/>
    <x v="11"/>
    <x v="11"/>
    <s v=""/>
    <x v="0"/>
    <x v="0"/>
    <n v="1218"/>
    <x v="11"/>
    <s v=""/>
    <x v="4"/>
    <x v="1"/>
  </r>
  <r>
    <x v="0"/>
    <x v="0"/>
    <x v="13"/>
    <n v="0"/>
    <s v="Debe"/>
    <x v="1"/>
    <x v="1"/>
    <x v="1"/>
    <x v="1"/>
    <n v="0"/>
    <n v="0"/>
    <s v=""/>
    <x v="4"/>
    <x v="1"/>
    <x v="2"/>
    <x v="11"/>
    <x v="11"/>
    <s v=""/>
    <x v="0"/>
    <x v="0"/>
    <n v="1219"/>
    <x v="11"/>
    <s v=""/>
    <x v="4"/>
    <x v="1"/>
  </r>
  <r>
    <x v="0"/>
    <x v="0"/>
    <x v="13"/>
    <n v="0"/>
    <s v="Debe"/>
    <x v="1"/>
    <x v="1"/>
    <x v="1"/>
    <x v="1"/>
    <n v="0"/>
    <n v="0"/>
    <s v=""/>
    <x v="4"/>
    <x v="1"/>
    <x v="2"/>
    <x v="11"/>
    <x v="11"/>
    <s v=""/>
    <x v="0"/>
    <x v="0"/>
    <n v="1222"/>
    <x v="11"/>
    <s v=""/>
    <x v="4"/>
    <x v="1"/>
  </r>
  <r>
    <x v="0"/>
    <x v="0"/>
    <x v="13"/>
    <n v="0"/>
    <s v="Debe"/>
    <x v="1"/>
    <x v="1"/>
    <x v="1"/>
    <x v="1"/>
    <n v="0"/>
    <n v="0"/>
    <s v=""/>
    <x v="4"/>
    <x v="1"/>
    <x v="2"/>
    <x v="11"/>
    <x v="11"/>
    <s v=""/>
    <x v="0"/>
    <x v="0"/>
    <n v="1223"/>
    <x v="11"/>
    <s v=""/>
    <x v="4"/>
    <x v="1"/>
  </r>
  <r>
    <x v="0"/>
    <x v="0"/>
    <x v="13"/>
    <n v="0"/>
    <s v="Debe"/>
    <x v="1"/>
    <x v="1"/>
    <x v="1"/>
    <x v="1"/>
    <n v="0"/>
    <n v="0"/>
    <s v=""/>
    <x v="4"/>
    <x v="1"/>
    <x v="2"/>
    <x v="11"/>
    <x v="11"/>
    <s v=""/>
    <x v="0"/>
    <x v="0"/>
    <n v="1224"/>
    <x v="11"/>
    <s v=""/>
    <x v="4"/>
    <x v="1"/>
  </r>
  <r>
    <x v="0"/>
    <x v="0"/>
    <x v="13"/>
    <n v="0"/>
    <s v="Debe"/>
    <x v="1"/>
    <x v="1"/>
    <x v="1"/>
    <x v="1"/>
    <n v="0"/>
    <n v="0"/>
    <s v=""/>
    <x v="4"/>
    <x v="1"/>
    <x v="2"/>
    <x v="11"/>
    <x v="11"/>
    <s v=""/>
    <x v="0"/>
    <x v="0"/>
    <n v="1225"/>
    <x v="11"/>
    <s v=""/>
    <x v="4"/>
    <x v="1"/>
  </r>
  <r>
    <x v="0"/>
    <x v="0"/>
    <x v="13"/>
    <n v="0"/>
    <s v="Debe"/>
    <x v="1"/>
    <x v="1"/>
    <x v="1"/>
    <x v="1"/>
    <n v="0"/>
    <n v="0"/>
    <s v=""/>
    <x v="4"/>
    <x v="1"/>
    <x v="2"/>
    <x v="11"/>
    <x v="11"/>
    <s v=""/>
    <x v="0"/>
    <x v="0"/>
    <n v="1226"/>
    <x v="11"/>
    <s v=""/>
    <x v="4"/>
    <x v="1"/>
  </r>
  <r>
    <x v="0"/>
    <x v="0"/>
    <x v="13"/>
    <n v="0"/>
    <s v="Debe"/>
    <x v="1"/>
    <x v="1"/>
    <x v="1"/>
    <x v="1"/>
    <n v="0"/>
    <n v="0"/>
    <s v=""/>
    <x v="4"/>
    <x v="1"/>
    <x v="2"/>
    <x v="11"/>
    <x v="11"/>
    <s v=""/>
    <x v="0"/>
    <x v="0"/>
    <n v="1229"/>
    <x v="11"/>
    <s v=""/>
    <x v="4"/>
    <x v="1"/>
  </r>
  <r>
    <x v="0"/>
    <x v="0"/>
    <x v="13"/>
    <n v="0"/>
    <s v="Debe"/>
    <x v="1"/>
    <x v="1"/>
    <x v="1"/>
    <x v="1"/>
    <n v="0"/>
    <n v="0"/>
    <s v=""/>
    <x v="4"/>
    <x v="1"/>
    <x v="2"/>
    <x v="11"/>
    <x v="11"/>
    <s v=""/>
    <x v="0"/>
    <x v="0"/>
    <n v="1230"/>
    <x v="11"/>
    <s v=""/>
    <x v="4"/>
    <x v="1"/>
  </r>
  <r>
    <x v="0"/>
    <x v="0"/>
    <x v="13"/>
    <n v="0"/>
    <s v="Debe"/>
    <x v="1"/>
    <x v="1"/>
    <x v="1"/>
    <x v="1"/>
    <n v="0"/>
    <n v="0"/>
    <s v=""/>
    <x v="4"/>
    <x v="1"/>
    <x v="2"/>
    <x v="11"/>
    <x v="11"/>
    <s v=""/>
    <x v="0"/>
    <x v="0"/>
    <n v="1231"/>
    <x v="11"/>
    <s v=""/>
    <x v="4"/>
    <x v="1"/>
  </r>
  <r>
    <x v="0"/>
    <x v="0"/>
    <x v="13"/>
    <n v="0"/>
    <s v="Debe"/>
    <x v="1"/>
    <x v="1"/>
    <x v="1"/>
    <x v="1"/>
    <n v="0"/>
    <n v="0"/>
    <s v=""/>
    <x v="4"/>
    <x v="1"/>
    <x v="2"/>
    <x v="11"/>
    <x v="11"/>
    <s v=""/>
    <x v="0"/>
    <x v="0"/>
    <n v="1232"/>
    <x v="11"/>
    <s v=""/>
    <x v="4"/>
    <x v="1"/>
  </r>
  <r>
    <x v="0"/>
    <x v="0"/>
    <x v="13"/>
    <n v="0"/>
    <s v="Debe"/>
    <x v="1"/>
    <x v="1"/>
    <x v="1"/>
    <x v="1"/>
    <n v="0"/>
    <n v="0"/>
    <s v=""/>
    <x v="4"/>
    <x v="1"/>
    <x v="2"/>
    <x v="11"/>
    <x v="11"/>
    <s v=""/>
    <x v="0"/>
    <x v="0"/>
    <n v="1233"/>
    <x v="11"/>
    <s v=""/>
    <x v="4"/>
    <x v="1"/>
  </r>
  <r>
    <x v="0"/>
    <x v="0"/>
    <x v="13"/>
    <n v="0"/>
    <s v="Debe"/>
    <x v="1"/>
    <x v="1"/>
    <x v="1"/>
    <x v="1"/>
    <n v="0"/>
    <n v="0"/>
    <s v=""/>
    <x v="4"/>
    <x v="1"/>
    <x v="2"/>
    <x v="11"/>
    <x v="11"/>
    <s v=""/>
    <x v="0"/>
    <x v="0"/>
    <n v="1236"/>
    <x v="11"/>
    <s v=""/>
    <x v="4"/>
    <x v="1"/>
  </r>
  <r>
    <x v="0"/>
    <x v="0"/>
    <x v="13"/>
    <n v="0"/>
    <s v="Debe"/>
    <x v="1"/>
    <x v="1"/>
    <x v="1"/>
    <x v="1"/>
    <n v="0"/>
    <n v="0"/>
    <s v=""/>
    <x v="4"/>
    <x v="1"/>
    <x v="2"/>
    <x v="11"/>
    <x v="11"/>
    <s v=""/>
    <x v="0"/>
    <x v="0"/>
    <n v="1237"/>
    <x v="11"/>
    <s v=""/>
    <x v="4"/>
    <x v="1"/>
  </r>
  <r>
    <x v="0"/>
    <x v="0"/>
    <x v="13"/>
    <n v="0"/>
    <s v="Debe"/>
    <x v="1"/>
    <x v="1"/>
    <x v="1"/>
    <x v="1"/>
    <n v="0"/>
    <n v="0"/>
    <s v=""/>
    <x v="4"/>
    <x v="1"/>
    <x v="2"/>
    <x v="11"/>
    <x v="11"/>
    <s v=""/>
    <x v="0"/>
    <x v="0"/>
    <n v="1238"/>
    <x v="11"/>
    <s v=""/>
    <x v="4"/>
    <x v="1"/>
  </r>
  <r>
    <x v="0"/>
    <x v="0"/>
    <x v="13"/>
    <n v="0"/>
    <s v="Debe"/>
    <x v="1"/>
    <x v="1"/>
    <x v="1"/>
    <x v="1"/>
    <n v="0"/>
    <n v="0"/>
    <s v=""/>
    <x v="4"/>
    <x v="1"/>
    <x v="2"/>
    <x v="11"/>
    <x v="11"/>
    <s v=""/>
    <x v="0"/>
    <x v="0"/>
    <n v="1239"/>
    <x v="11"/>
    <s v=""/>
    <x v="4"/>
    <x v="1"/>
  </r>
  <r>
    <x v="0"/>
    <x v="0"/>
    <x v="13"/>
    <n v="0"/>
    <s v="Debe"/>
    <x v="1"/>
    <x v="1"/>
    <x v="1"/>
    <x v="1"/>
    <n v="0"/>
    <n v="0"/>
    <s v=""/>
    <x v="4"/>
    <x v="1"/>
    <x v="2"/>
    <x v="11"/>
    <x v="11"/>
    <s v=""/>
    <x v="0"/>
    <x v="0"/>
    <n v="1240"/>
    <x v="11"/>
    <s v=""/>
    <x v="4"/>
    <x v="1"/>
  </r>
  <r>
    <x v="0"/>
    <x v="0"/>
    <x v="13"/>
    <n v="0"/>
    <s v="Debe"/>
    <x v="1"/>
    <x v="1"/>
    <x v="1"/>
    <x v="1"/>
    <n v="0"/>
    <n v="0"/>
    <s v=""/>
    <x v="4"/>
    <x v="1"/>
    <x v="2"/>
    <x v="11"/>
    <x v="11"/>
    <s v=""/>
    <x v="0"/>
    <x v="0"/>
    <n v="1243"/>
    <x v="11"/>
    <s v=""/>
    <x v="4"/>
    <x v="1"/>
  </r>
  <r>
    <x v="0"/>
    <x v="0"/>
    <x v="13"/>
    <n v="0"/>
    <s v="Debe"/>
    <x v="1"/>
    <x v="1"/>
    <x v="1"/>
    <x v="1"/>
    <n v="0"/>
    <n v="0"/>
    <s v=""/>
    <x v="4"/>
    <x v="1"/>
    <x v="2"/>
    <x v="11"/>
    <x v="11"/>
    <s v=""/>
    <x v="0"/>
    <x v="0"/>
    <n v="1244"/>
    <x v="11"/>
    <s v=""/>
    <x v="4"/>
    <x v="1"/>
  </r>
  <r>
    <x v="0"/>
    <x v="0"/>
    <x v="13"/>
    <n v="0"/>
    <s v="Debe"/>
    <x v="1"/>
    <x v="1"/>
    <x v="1"/>
    <x v="1"/>
    <n v="0"/>
    <n v="0"/>
    <s v=""/>
    <x v="4"/>
    <x v="1"/>
    <x v="2"/>
    <x v="11"/>
    <x v="11"/>
    <s v=""/>
    <x v="0"/>
    <x v="0"/>
    <n v="1245"/>
    <x v="11"/>
    <s v=""/>
    <x v="4"/>
    <x v="1"/>
  </r>
  <r>
    <x v="0"/>
    <x v="0"/>
    <x v="13"/>
    <n v="0"/>
    <s v="Debe"/>
    <x v="1"/>
    <x v="1"/>
    <x v="1"/>
    <x v="1"/>
    <n v="0"/>
    <n v="0"/>
    <s v=""/>
    <x v="4"/>
    <x v="1"/>
    <x v="2"/>
    <x v="11"/>
    <x v="11"/>
    <s v=""/>
    <x v="0"/>
    <x v="0"/>
    <n v="1246"/>
    <x v="11"/>
    <s v=""/>
    <x v="4"/>
    <x v="1"/>
  </r>
  <r>
    <x v="0"/>
    <x v="0"/>
    <x v="13"/>
    <n v="0"/>
    <s v="Debe"/>
    <x v="1"/>
    <x v="1"/>
    <x v="1"/>
    <x v="1"/>
    <n v="0"/>
    <n v="0"/>
    <s v=""/>
    <x v="4"/>
    <x v="1"/>
    <x v="2"/>
    <x v="11"/>
    <x v="11"/>
    <s v=""/>
    <x v="0"/>
    <x v="0"/>
    <n v="1247"/>
    <x v="11"/>
    <s v=""/>
    <x v="4"/>
    <x v="1"/>
  </r>
  <r>
    <x v="0"/>
    <x v="0"/>
    <x v="13"/>
    <n v="0"/>
    <s v="Debe"/>
    <x v="1"/>
    <x v="1"/>
    <x v="1"/>
    <x v="1"/>
    <n v="0"/>
    <n v="0"/>
    <s v=""/>
    <x v="4"/>
    <x v="1"/>
    <x v="2"/>
    <x v="11"/>
    <x v="11"/>
    <s v=""/>
    <x v="0"/>
    <x v="0"/>
    <n v="1250"/>
    <x v="11"/>
    <s v=""/>
    <x v="4"/>
    <x v="1"/>
  </r>
  <r>
    <x v="0"/>
    <x v="0"/>
    <x v="13"/>
    <n v="0"/>
    <s v="Debe"/>
    <x v="1"/>
    <x v="1"/>
    <x v="1"/>
    <x v="1"/>
    <n v="0"/>
    <n v="0"/>
    <s v=""/>
    <x v="4"/>
    <x v="1"/>
    <x v="2"/>
    <x v="11"/>
    <x v="11"/>
    <s v=""/>
    <x v="0"/>
    <x v="0"/>
    <n v="1251"/>
    <x v="11"/>
    <s v=""/>
    <x v="4"/>
    <x v="1"/>
  </r>
  <r>
    <x v="0"/>
    <x v="0"/>
    <x v="13"/>
    <n v="0"/>
    <s v="Debe"/>
    <x v="1"/>
    <x v="1"/>
    <x v="1"/>
    <x v="1"/>
    <n v="0"/>
    <n v="0"/>
    <s v=""/>
    <x v="4"/>
    <x v="1"/>
    <x v="2"/>
    <x v="11"/>
    <x v="11"/>
    <s v=""/>
    <x v="0"/>
    <x v="0"/>
    <n v="1252"/>
    <x v="11"/>
    <s v=""/>
    <x v="4"/>
    <x v="1"/>
  </r>
  <r>
    <x v="0"/>
    <x v="0"/>
    <x v="13"/>
    <n v="0"/>
    <s v="Debe"/>
    <x v="1"/>
    <x v="1"/>
    <x v="1"/>
    <x v="1"/>
    <n v="0"/>
    <n v="0"/>
    <s v=""/>
    <x v="4"/>
    <x v="1"/>
    <x v="2"/>
    <x v="11"/>
    <x v="11"/>
    <s v=""/>
    <x v="0"/>
    <x v="0"/>
    <n v="1253"/>
    <x v="11"/>
    <s v=""/>
    <x v="4"/>
    <x v="1"/>
  </r>
  <r>
    <x v="0"/>
    <x v="0"/>
    <x v="13"/>
    <n v="0"/>
    <s v="Debe"/>
    <x v="1"/>
    <x v="1"/>
    <x v="1"/>
    <x v="1"/>
    <n v="0"/>
    <n v="0"/>
    <s v=""/>
    <x v="4"/>
    <x v="1"/>
    <x v="2"/>
    <x v="11"/>
    <x v="11"/>
    <s v=""/>
    <x v="0"/>
    <x v="0"/>
    <n v="1254"/>
    <x v="11"/>
    <s v=""/>
    <x v="4"/>
    <x v="1"/>
  </r>
  <r>
    <x v="0"/>
    <x v="0"/>
    <x v="13"/>
    <n v="0"/>
    <s v="Debe"/>
    <x v="1"/>
    <x v="1"/>
    <x v="1"/>
    <x v="1"/>
    <n v="0"/>
    <n v="0"/>
    <s v=""/>
    <x v="4"/>
    <x v="1"/>
    <x v="2"/>
    <x v="11"/>
    <x v="11"/>
    <s v=""/>
    <x v="0"/>
    <x v="0"/>
    <n v="1257"/>
    <x v="11"/>
    <s v=""/>
    <x v="4"/>
    <x v="1"/>
  </r>
  <r>
    <x v="0"/>
    <x v="0"/>
    <x v="13"/>
    <n v="0"/>
    <s v="Debe"/>
    <x v="1"/>
    <x v="1"/>
    <x v="1"/>
    <x v="1"/>
    <n v="0"/>
    <n v="0"/>
    <s v=""/>
    <x v="4"/>
    <x v="1"/>
    <x v="2"/>
    <x v="11"/>
    <x v="11"/>
    <s v=""/>
    <x v="0"/>
    <x v="0"/>
    <n v="1258"/>
    <x v="11"/>
    <s v=""/>
    <x v="4"/>
    <x v="1"/>
  </r>
  <r>
    <x v="0"/>
    <x v="0"/>
    <x v="13"/>
    <n v="0"/>
    <s v="Debe"/>
    <x v="1"/>
    <x v="1"/>
    <x v="1"/>
    <x v="1"/>
    <n v="0"/>
    <n v="0"/>
    <s v=""/>
    <x v="4"/>
    <x v="1"/>
    <x v="2"/>
    <x v="11"/>
    <x v="11"/>
    <s v=""/>
    <x v="0"/>
    <x v="0"/>
    <n v="1259"/>
    <x v="11"/>
    <s v=""/>
    <x v="4"/>
    <x v="1"/>
  </r>
  <r>
    <x v="0"/>
    <x v="0"/>
    <x v="13"/>
    <n v="0"/>
    <s v="Debe"/>
    <x v="1"/>
    <x v="1"/>
    <x v="1"/>
    <x v="1"/>
    <n v="0"/>
    <n v="0"/>
    <s v=""/>
    <x v="4"/>
    <x v="1"/>
    <x v="2"/>
    <x v="11"/>
    <x v="11"/>
    <s v=""/>
    <x v="0"/>
    <x v="0"/>
    <n v="1260"/>
    <x v="11"/>
    <s v=""/>
    <x v="4"/>
    <x v="1"/>
  </r>
  <r>
    <x v="0"/>
    <x v="0"/>
    <x v="13"/>
    <n v="0"/>
    <s v="Debe"/>
    <x v="1"/>
    <x v="1"/>
    <x v="1"/>
    <x v="1"/>
    <n v="0"/>
    <n v="0"/>
    <s v=""/>
    <x v="4"/>
    <x v="1"/>
    <x v="2"/>
    <x v="11"/>
    <x v="11"/>
    <s v=""/>
    <x v="0"/>
    <x v="0"/>
    <n v="1261"/>
    <x v="11"/>
    <s v=""/>
    <x v="4"/>
    <x v="1"/>
  </r>
  <r>
    <x v="0"/>
    <x v="0"/>
    <x v="13"/>
    <n v="0"/>
    <s v="Debe"/>
    <x v="1"/>
    <x v="1"/>
    <x v="1"/>
    <x v="1"/>
    <n v="0"/>
    <n v="0"/>
    <s v=""/>
    <x v="4"/>
    <x v="1"/>
    <x v="2"/>
    <x v="11"/>
    <x v="11"/>
    <s v=""/>
    <x v="0"/>
    <x v="0"/>
    <n v="1264"/>
    <x v="11"/>
    <s v=""/>
    <x v="4"/>
    <x v="1"/>
  </r>
  <r>
    <x v="0"/>
    <x v="0"/>
    <x v="13"/>
    <n v="0"/>
    <s v="Debe"/>
    <x v="1"/>
    <x v="1"/>
    <x v="1"/>
    <x v="1"/>
    <n v="0"/>
    <n v="0"/>
    <s v=""/>
    <x v="4"/>
    <x v="1"/>
    <x v="2"/>
    <x v="11"/>
    <x v="11"/>
    <s v=""/>
    <x v="0"/>
    <x v="0"/>
    <n v="1265"/>
    <x v="11"/>
    <s v=""/>
    <x v="4"/>
    <x v="1"/>
  </r>
  <r>
    <x v="0"/>
    <x v="0"/>
    <x v="13"/>
    <n v="0"/>
    <s v="Debe"/>
    <x v="1"/>
    <x v="1"/>
    <x v="1"/>
    <x v="1"/>
    <n v="0"/>
    <n v="0"/>
    <s v=""/>
    <x v="4"/>
    <x v="1"/>
    <x v="2"/>
    <x v="11"/>
    <x v="11"/>
    <s v=""/>
    <x v="0"/>
    <x v="0"/>
    <n v="1266"/>
    <x v="11"/>
    <s v=""/>
    <x v="4"/>
    <x v="1"/>
  </r>
  <r>
    <x v="0"/>
    <x v="0"/>
    <x v="13"/>
    <n v="0"/>
    <s v="Debe"/>
    <x v="1"/>
    <x v="1"/>
    <x v="1"/>
    <x v="1"/>
    <n v="0"/>
    <n v="0"/>
    <s v=""/>
    <x v="4"/>
    <x v="1"/>
    <x v="2"/>
    <x v="11"/>
    <x v="11"/>
    <s v=""/>
    <x v="0"/>
    <x v="0"/>
    <n v="1267"/>
    <x v="11"/>
    <s v=""/>
    <x v="4"/>
    <x v="1"/>
  </r>
  <r>
    <x v="0"/>
    <x v="0"/>
    <x v="13"/>
    <n v="0"/>
    <s v="Debe"/>
    <x v="1"/>
    <x v="1"/>
    <x v="1"/>
    <x v="1"/>
    <n v="0"/>
    <n v="0"/>
    <s v=""/>
    <x v="4"/>
    <x v="1"/>
    <x v="2"/>
    <x v="11"/>
    <x v="11"/>
    <s v=""/>
    <x v="0"/>
    <x v="0"/>
    <n v="1268"/>
    <x v="11"/>
    <s v=""/>
    <x v="4"/>
    <x v="1"/>
  </r>
  <r>
    <x v="0"/>
    <x v="0"/>
    <x v="13"/>
    <n v="0"/>
    <s v="Debe"/>
    <x v="1"/>
    <x v="1"/>
    <x v="1"/>
    <x v="1"/>
    <n v="0"/>
    <n v="0"/>
    <s v=""/>
    <x v="4"/>
    <x v="1"/>
    <x v="2"/>
    <x v="11"/>
    <x v="11"/>
    <s v=""/>
    <x v="0"/>
    <x v="0"/>
    <n v="1271"/>
    <x v="11"/>
    <s v=""/>
    <x v="4"/>
    <x v="1"/>
  </r>
  <r>
    <x v="0"/>
    <x v="0"/>
    <x v="13"/>
    <n v="0"/>
    <s v="Debe"/>
    <x v="1"/>
    <x v="1"/>
    <x v="1"/>
    <x v="1"/>
    <n v="0"/>
    <n v="0"/>
    <s v=""/>
    <x v="4"/>
    <x v="1"/>
    <x v="2"/>
    <x v="11"/>
    <x v="11"/>
    <s v=""/>
    <x v="0"/>
    <x v="0"/>
    <n v="1272"/>
    <x v="11"/>
    <s v=""/>
    <x v="4"/>
    <x v="1"/>
  </r>
  <r>
    <x v="0"/>
    <x v="0"/>
    <x v="13"/>
    <n v="0"/>
    <s v="Debe"/>
    <x v="1"/>
    <x v="1"/>
    <x v="1"/>
    <x v="1"/>
    <n v="0"/>
    <n v="0"/>
    <s v=""/>
    <x v="4"/>
    <x v="1"/>
    <x v="2"/>
    <x v="11"/>
    <x v="11"/>
    <s v=""/>
    <x v="0"/>
    <x v="0"/>
    <n v="1273"/>
    <x v="11"/>
    <s v=""/>
    <x v="4"/>
    <x v="1"/>
  </r>
  <r>
    <x v="0"/>
    <x v="0"/>
    <x v="13"/>
    <n v="0"/>
    <s v="Debe"/>
    <x v="1"/>
    <x v="1"/>
    <x v="1"/>
    <x v="1"/>
    <n v="0"/>
    <n v="0"/>
    <s v=""/>
    <x v="4"/>
    <x v="1"/>
    <x v="2"/>
    <x v="11"/>
    <x v="11"/>
    <s v=""/>
    <x v="0"/>
    <x v="0"/>
    <n v="1274"/>
    <x v="11"/>
    <s v=""/>
    <x v="4"/>
    <x v="1"/>
  </r>
  <r>
    <x v="0"/>
    <x v="0"/>
    <x v="13"/>
    <n v="0"/>
    <s v="Debe"/>
    <x v="1"/>
    <x v="1"/>
    <x v="1"/>
    <x v="1"/>
    <n v="0"/>
    <n v="0"/>
    <s v=""/>
    <x v="4"/>
    <x v="1"/>
    <x v="2"/>
    <x v="11"/>
    <x v="11"/>
    <s v=""/>
    <x v="0"/>
    <x v="0"/>
    <n v="1275"/>
    <x v="11"/>
    <s v=""/>
    <x v="4"/>
    <x v="1"/>
  </r>
  <r>
    <x v="0"/>
    <x v="0"/>
    <x v="13"/>
    <n v="0"/>
    <s v="Debe"/>
    <x v="1"/>
    <x v="1"/>
    <x v="1"/>
    <x v="1"/>
    <n v="0"/>
    <n v="0"/>
    <s v=""/>
    <x v="4"/>
    <x v="1"/>
    <x v="2"/>
    <x v="11"/>
    <x v="11"/>
    <s v=""/>
    <x v="0"/>
    <x v="0"/>
    <n v="1278"/>
    <x v="11"/>
    <s v=""/>
    <x v="4"/>
    <x v="1"/>
  </r>
  <r>
    <x v="0"/>
    <x v="0"/>
    <x v="13"/>
    <n v="0"/>
    <s v="Debe"/>
    <x v="1"/>
    <x v="1"/>
    <x v="1"/>
    <x v="1"/>
    <n v="0"/>
    <n v="0"/>
    <s v=""/>
    <x v="4"/>
    <x v="1"/>
    <x v="2"/>
    <x v="11"/>
    <x v="11"/>
    <s v=""/>
    <x v="0"/>
    <x v="0"/>
    <n v="1279"/>
    <x v="11"/>
    <s v=""/>
    <x v="4"/>
    <x v="1"/>
  </r>
  <r>
    <x v="0"/>
    <x v="0"/>
    <x v="13"/>
    <n v="0"/>
    <s v="Debe"/>
    <x v="1"/>
    <x v="1"/>
    <x v="1"/>
    <x v="1"/>
    <n v="0"/>
    <n v="0"/>
    <s v=""/>
    <x v="4"/>
    <x v="1"/>
    <x v="2"/>
    <x v="11"/>
    <x v="11"/>
    <s v=""/>
    <x v="0"/>
    <x v="0"/>
    <n v="1280"/>
    <x v="11"/>
    <s v=""/>
    <x v="4"/>
    <x v="1"/>
  </r>
  <r>
    <x v="0"/>
    <x v="0"/>
    <x v="13"/>
    <n v="0"/>
    <s v="Debe"/>
    <x v="1"/>
    <x v="1"/>
    <x v="1"/>
    <x v="1"/>
    <n v="0"/>
    <n v="0"/>
    <s v=""/>
    <x v="4"/>
    <x v="1"/>
    <x v="2"/>
    <x v="11"/>
    <x v="11"/>
    <s v=""/>
    <x v="0"/>
    <x v="0"/>
    <n v="1281"/>
    <x v="11"/>
    <s v=""/>
    <x v="4"/>
    <x v="1"/>
  </r>
  <r>
    <x v="0"/>
    <x v="0"/>
    <x v="13"/>
    <n v="0"/>
    <s v="Debe"/>
    <x v="1"/>
    <x v="1"/>
    <x v="1"/>
    <x v="1"/>
    <n v="0"/>
    <n v="0"/>
    <s v=""/>
    <x v="4"/>
    <x v="1"/>
    <x v="2"/>
    <x v="11"/>
    <x v="11"/>
    <s v=""/>
    <x v="0"/>
    <x v="0"/>
    <n v="1282"/>
    <x v="11"/>
    <s v=""/>
    <x v="4"/>
    <x v="1"/>
  </r>
  <r>
    <x v="0"/>
    <x v="0"/>
    <x v="13"/>
    <n v="0"/>
    <s v="Debe"/>
    <x v="1"/>
    <x v="1"/>
    <x v="1"/>
    <x v="1"/>
    <n v="0"/>
    <n v="0"/>
    <s v=""/>
    <x v="4"/>
    <x v="1"/>
    <x v="2"/>
    <x v="11"/>
    <x v="11"/>
    <s v=""/>
    <x v="0"/>
    <x v="0"/>
    <n v="1285"/>
    <x v="11"/>
    <s v=""/>
    <x v="4"/>
    <x v="1"/>
  </r>
  <r>
    <x v="0"/>
    <x v="0"/>
    <x v="13"/>
    <n v="0"/>
    <s v="Debe"/>
    <x v="1"/>
    <x v="1"/>
    <x v="1"/>
    <x v="1"/>
    <n v="0"/>
    <n v="0"/>
    <s v=""/>
    <x v="4"/>
    <x v="1"/>
    <x v="2"/>
    <x v="11"/>
    <x v="11"/>
    <s v=""/>
    <x v="0"/>
    <x v="0"/>
    <n v="1286"/>
    <x v="11"/>
    <s v=""/>
    <x v="4"/>
    <x v="1"/>
  </r>
  <r>
    <x v="0"/>
    <x v="0"/>
    <x v="13"/>
    <n v="0"/>
    <s v="Debe"/>
    <x v="1"/>
    <x v="1"/>
    <x v="1"/>
    <x v="1"/>
    <n v="0"/>
    <n v="0"/>
    <s v=""/>
    <x v="4"/>
    <x v="1"/>
    <x v="2"/>
    <x v="11"/>
    <x v="11"/>
    <s v=""/>
    <x v="0"/>
    <x v="0"/>
    <n v="1287"/>
    <x v="11"/>
    <s v=""/>
    <x v="4"/>
    <x v="1"/>
  </r>
  <r>
    <x v="0"/>
    <x v="0"/>
    <x v="13"/>
    <n v="0"/>
    <s v="Debe"/>
    <x v="1"/>
    <x v="1"/>
    <x v="1"/>
    <x v="1"/>
    <n v="0"/>
    <n v="0"/>
    <s v=""/>
    <x v="4"/>
    <x v="1"/>
    <x v="2"/>
    <x v="11"/>
    <x v="11"/>
    <s v=""/>
    <x v="0"/>
    <x v="0"/>
    <n v="1288"/>
    <x v="11"/>
    <s v=""/>
    <x v="4"/>
    <x v="1"/>
  </r>
  <r>
    <x v="0"/>
    <x v="0"/>
    <x v="14"/>
    <n v="0"/>
    <s v="Haber"/>
    <x v="0"/>
    <x v="0"/>
    <x v="0"/>
    <x v="0"/>
    <n v="0"/>
    <s v=""/>
    <n v="0"/>
    <x v="5"/>
    <x v="2"/>
    <x v="3"/>
    <x v="12"/>
    <x v="12"/>
    <s v=""/>
    <x v="0"/>
    <x v="0"/>
    <n v="1289"/>
    <x v="12"/>
    <s v="100"/>
    <x v="4"/>
    <x v="2"/>
  </r>
  <r>
    <x v="0"/>
    <x v="0"/>
    <x v="15"/>
    <n v="0"/>
    <s v="Haber"/>
    <x v="0"/>
    <x v="0"/>
    <x v="0"/>
    <x v="0"/>
    <n v="0"/>
    <s v=""/>
    <n v="0"/>
    <x v="5"/>
    <x v="2"/>
    <x v="3"/>
    <x v="13"/>
    <x v="13"/>
    <s v=""/>
    <x v="0"/>
    <x v="0"/>
    <n v="1292"/>
    <x v="13"/>
    <s v="110"/>
    <x v="4"/>
    <x v="2"/>
  </r>
  <r>
    <x v="0"/>
    <x v="0"/>
    <x v="16"/>
    <n v="0"/>
    <s v="Haber"/>
    <x v="0"/>
    <x v="0"/>
    <x v="0"/>
    <x v="0"/>
    <n v="0"/>
    <s v=""/>
    <n v="0"/>
    <x v="5"/>
    <x v="2"/>
    <x v="3"/>
    <x v="14"/>
    <x v="14"/>
    <s v=""/>
    <x v="0"/>
    <x v="0"/>
    <n v="1293"/>
    <x v="14"/>
    <s v="113"/>
    <x v="4"/>
    <x v="2"/>
  </r>
  <r>
    <x v="0"/>
    <x v="0"/>
    <x v="17"/>
    <n v="0"/>
    <s v="Haber"/>
    <x v="0"/>
    <x v="0"/>
    <x v="0"/>
    <x v="0"/>
    <n v="0"/>
    <s v=""/>
    <n v="0"/>
    <x v="5"/>
    <x v="2"/>
    <x v="3"/>
    <x v="15"/>
    <x v="15"/>
    <s v=""/>
    <x v="0"/>
    <x v="0"/>
    <n v="1294"/>
    <x v="15"/>
    <s v="108"/>
    <x v="4"/>
    <x v="2"/>
  </r>
  <r>
    <x v="0"/>
    <x v="0"/>
    <x v="18"/>
    <n v="0"/>
    <s v="Haber"/>
    <x v="0"/>
    <x v="0"/>
    <x v="0"/>
    <x v="0"/>
    <n v="0"/>
    <s v=""/>
    <n v="0"/>
    <x v="5"/>
    <x v="2"/>
    <x v="3"/>
    <x v="16"/>
    <x v="16"/>
    <s v=""/>
    <x v="0"/>
    <x v="0"/>
    <n v="1295"/>
    <x v="16"/>
    <s v="120"/>
    <x v="4"/>
    <x v="2"/>
  </r>
  <r>
    <x v="0"/>
    <x v="0"/>
    <x v="19"/>
    <n v="0"/>
    <s v="Haber"/>
    <x v="0"/>
    <x v="0"/>
    <x v="0"/>
    <x v="0"/>
    <n v="0"/>
    <s v=""/>
    <n v="0"/>
    <x v="5"/>
    <x v="2"/>
    <x v="3"/>
    <x v="17"/>
    <x v="17"/>
    <s v=""/>
    <x v="0"/>
    <x v="0"/>
    <n v="1296"/>
    <x v="13"/>
    <s v="118"/>
    <x v="4"/>
    <x v="2"/>
  </r>
  <r>
    <x v="0"/>
    <x v="0"/>
    <x v="20"/>
    <n v="0"/>
    <s v="Haber"/>
    <x v="0"/>
    <x v="0"/>
    <x v="0"/>
    <x v="0"/>
    <n v="0"/>
    <s v=""/>
    <n v="0"/>
    <x v="5"/>
    <x v="2"/>
    <x v="3"/>
    <x v="18"/>
    <x v="18"/>
    <s v=""/>
    <x v="0"/>
    <x v="0"/>
    <n v="1299"/>
    <x v="16"/>
    <s v="129"/>
    <x v="4"/>
    <x v="2"/>
  </r>
  <r>
    <x v="0"/>
    <x v="0"/>
    <x v="21"/>
    <n v="0"/>
    <s v="Haber"/>
    <x v="0"/>
    <x v="0"/>
    <x v="0"/>
    <x v="0"/>
    <n v="0"/>
    <s v=""/>
    <n v="0"/>
    <x v="2"/>
    <x v="2"/>
    <x v="3"/>
    <x v="19"/>
    <x v="19"/>
    <s v=""/>
    <x v="0"/>
    <x v="0"/>
    <n v="1300"/>
    <x v="17"/>
    <s v="557"/>
    <x v="2"/>
    <x v="2"/>
  </r>
  <r>
    <x v="0"/>
    <x v="0"/>
    <x v="22"/>
    <n v="0"/>
    <s v="Haber"/>
    <x v="0"/>
    <x v="0"/>
    <x v="0"/>
    <x v="0"/>
    <n v="0"/>
    <s v=""/>
    <n v="0"/>
    <x v="5"/>
    <x v="2"/>
    <x v="3"/>
    <x v="20"/>
    <x v="20"/>
    <s v=""/>
    <x v="0"/>
    <x v="0"/>
    <n v="1301"/>
    <x v="13"/>
    <s v="111"/>
    <x v="4"/>
    <x v="2"/>
  </r>
  <r>
    <x v="0"/>
    <x v="0"/>
    <x v="23"/>
    <n v="0"/>
    <s v="Haber"/>
    <x v="0"/>
    <x v="0"/>
    <x v="0"/>
    <x v="0"/>
    <n v="0"/>
    <s v=""/>
    <n v="0"/>
    <x v="5"/>
    <x v="2"/>
    <x v="4"/>
    <x v="21"/>
    <x v="21"/>
    <s v=""/>
    <x v="0"/>
    <x v="0"/>
    <n v="1302"/>
    <x v="18"/>
    <e v="#REF!"/>
    <x v="5"/>
    <x v="2"/>
  </r>
  <r>
    <x v="0"/>
    <x v="0"/>
    <x v="24"/>
    <n v="0"/>
    <s v="Haber"/>
    <x v="0"/>
    <x v="0"/>
    <x v="0"/>
    <x v="0"/>
    <n v="0"/>
    <s v=""/>
    <n v="0"/>
    <x v="5"/>
    <x v="2"/>
    <x v="4"/>
    <x v="22"/>
    <x v="22"/>
    <s v=""/>
    <x v="0"/>
    <x v="0"/>
    <n v="1303"/>
    <x v="19"/>
    <n v="150"/>
    <x v="4"/>
    <x v="2"/>
  </r>
  <r>
    <x v="0"/>
    <x v="0"/>
    <x v="25"/>
    <n v="0"/>
    <s v="Haber"/>
    <x v="0"/>
    <x v="0"/>
    <x v="0"/>
    <x v="0"/>
    <n v="0"/>
    <s v=""/>
    <n v="0"/>
    <x v="5"/>
    <x v="2"/>
    <x v="4"/>
    <x v="23"/>
    <x v="23"/>
    <s v=""/>
    <x v="0"/>
    <x v="0"/>
    <n v="1306"/>
    <x v="20"/>
    <n v="160"/>
    <x v="4"/>
    <x v="2"/>
  </r>
  <r>
    <x v="0"/>
    <x v="0"/>
    <x v="26"/>
    <n v="0"/>
    <s v="Haber"/>
    <x v="0"/>
    <x v="0"/>
    <x v="0"/>
    <x v="0"/>
    <n v="0"/>
    <s v=""/>
    <n v="0"/>
    <x v="1"/>
    <x v="2"/>
    <x v="4"/>
    <x v="24"/>
    <x v="24"/>
    <s v=""/>
    <x v="0"/>
    <x v="0"/>
    <n v="1307"/>
    <x v="4"/>
    <n v="479"/>
    <x v="1"/>
    <x v="2"/>
  </r>
  <r>
    <x v="0"/>
    <x v="0"/>
    <x v="27"/>
    <n v="0"/>
    <s v="Haber"/>
    <x v="0"/>
    <x v="0"/>
    <x v="0"/>
    <x v="0"/>
    <n v="0"/>
    <s v=""/>
    <n v="0"/>
    <x v="5"/>
    <x v="2"/>
    <x v="4"/>
    <x v="25"/>
    <x v="25"/>
    <s v=""/>
    <x v="0"/>
    <x v="0"/>
    <n v="1308"/>
    <x v="21"/>
    <n v="181"/>
    <x v="4"/>
    <x v="2"/>
  </r>
  <r>
    <x v="0"/>
    <x v="0"/>
    <x v="28"/>
    <n v="0"/>
    <s v="Haber"/>
    <x v="0"/>
    <x v="0"/>
    <x v="0"/>
    <x v="0"/>
    <n v="0"/>
    <s v=""/>
    <n v="0"/>
    <x v="2"/>
    <x v="2"/>
    <x v="5"/>
    <x v="26"/>
    <x v="26"/>
    <s v=""/>
    <x v="0"/>
    <x v="0"/>
    <n v="1309"/>
    <x v="22"/>
    <s v="585"/>
    <x v="2"/>
    <x v="2"/>
  </r>
  <r>
    <x v="0"/>
    <x v="0"/>
    <x v="29"/>
    <n v="0"/>
    <s v="Haber"/>
    <x v="0"/>
    <x v="0"/>
    <x v="0"/>
    <x v="0"/>
    <n v="0"/>
    <s v=""/>
    <n v="0"/>
    <x v="1"/>
    <x v="2"/>
    <x v="5"/>
    <x v="27"/>
    <x v="27"/>
    <s v=""/>
    <x v="0"/>
    <x v="0"/>
    <n v="1310"/>
    <x v="23"/>
    <n v="499"/>
    <x v="1"/>
    <x v="2"/>
  </r>
  <r>
    <x v="0"/>
    <x v="0"/>
    <x v="30"/>
    <n v="0"/>
    <s v="Haber"/>
    <x v="0"/>
    <x v="0"/>
    <x v="0"/>
    <x v="0"/>
    <n v="0"/>
    <s v=""/>
    <n v="0"/>
    <x v="5"/>
    <x v="2"/>
    <x v="5"/>
    <x v="28"/>
    <x v="28"/>
    <s v=""/>
    <x v="0"/>
    <x v="0"/>
    <n v="1313"/>
    <x v="15"/>
    <s v="103"/>
    <x v="4"/>
    <x v="2"/>
  </r>
  <r>
    <x v="0"/>
    <x v="0"/>
    <x v="31"/>
    <n v="0"/>
    <s v="Haber"/>
    <x v="0"/>
    <x v="0"/>
    <x v="0"/>
    <x v="0"/>
    <n v="0"/>
    <s v=""/>
    <n v="0"/>
    <x v="2"/>
    <x v="2"/>
    <x v="5"/>
    <x v="29"/>
    <x v="29"/>
    <s v=""/>
    <x v="0"/>
    <x v="0"/>
    <n v="1314"/>
    <x v="24"/>
    <n v="510"/>
    <x v="2"/>
    <x v="2"/>
  </r>
  <r>
    <x v="0"/>
    <x v="0"/>
    <x v="32"/>
    <n v="0"/>
    <s v="Haber"/>
    <x v="0"/>
    <x v="0"/>
    <x v="0"/>
    <x v="0"/>
    <n v="0"/>
    <s v=""/>
    <n v="0"/>
    <x v="1"/>
    <x v="2"/>
    <x v="5"/>
    <x v="30"/>
    <x v="30"/>
    <s v=""/>
    <x v="0"/>
    <x v="0"/>
    <n v="1315"/>
    <x v="25"/>
    <s v="400"/>
    <x v="1"/>
    <x v="2"/>
  </r>
  <r>
    <x v="0"/>
    <x v="0"/>
    <x v="13"/>
    <n v="0"/>
    <s v="Haber"/>
    <x v="1"/>
    <x v="0"/>
    <x v="0"/>
    <x v="0"/>
    <n v="0"/>
    <s v=""/>
    <n v="0"/>
    <x v="4"/>
    <x v="1"/>
    <x v="2"/>
    <x v="11"/>
    <x v="11"/>
    <s v=""/>
    <x v="0"/>
    <x v="0"/>
    <n v="1316"/>
    <x v="11"/>
    <s v=""/>
    <x v="4"/>
    <x v="1"/>
  </r>
  <r>
    <x v="0"/>
    <x v="0"/>
    <x v="33"/>
    <n v="0"/>
    <s v="Haber"/>
    <x v="0"/>
    <x v="0"/>
    <x v="0"/>
    <x v="0"/>
    <n v="0"/>
    <s v=""/>
    <n v="0"/>
    <x v="1"/>
    <x v="2"/>
    <x v="5"/>
    <x v="31"/>
    <x v="31"/>
    <s v=""/>
    <x v="0"/>
    <x v="0"/>
    <n v="1317"/>
    <x v="9"/>
    <s v="485"/>
    <x v="1"/>
    <x v="2"/>
  </r>
  <r>
    <x v="0"/>
    <x v="0"/>
    <x v="34"/>
    <n v="0"/>
    <s v="Haber"/>
    <x v="0"/>
    <x v="0"/>
    <x v="0"/>
    <x v="0"/>
    <n v="0"/>
    <s v=""/>
    <n v="0"/>
    <x v="6"/>
    <x v="2"/>
    <x v="3"/>
    <x v="18"/>
    <x v="18"/>
    <s v="C) RESULTADO ANTES DE IMPUESTOS"/>
    <x v="1"/>
    <x v="1"/>
    <n v="1321"/>
    <x v="26"/>
    <s v="700"/>
    <x v="6"/>
    <x v="2"/>
  </r>
  <r>
    <x v="0"/>
    <x v="0"/>
    <x v="35"/>
    <n v="0"/>
    <s v="Haber"/>
    <x v="0"/>
    <x v="0"/>
    <x v="0"/>
    <x v="0"/>
    <n v="0"/>
    <s v=""/>
    <n v="0"/>
    <x v="6"/>
    <x v="2"/>
    <x v="3"/>
    <x v="18"/>
    <x v="18"/>
    <s v="C) RESULTADO ANTES DE IMPUESTOS"/>
    <x v="1"/>
    <x v="2"/>
    <n v="1322"/>
    <x v="27"/>
    <n v="710"/>
    <x v="6"/>
    <x v="2"/>
  </r>
  <r>
    <x v="0"/>
    <x v="0"/>
    <x v="36"/>
    <n v="0"/>
    <s v="Haber"/>
    <x v="0"/>
    <x v="0"/>
    <x v="0"/>
    <x v="0"/>
    <n v="0"/>
    <s v=""/>
    <n v="0"/>
    <x v="6"/>
    <x v="2"/>
    <x v="3"/>
    <x v="18"/>
    <x v="18"/>
    <s v="C) RESULTADO ANTES DE IMPUESTOS"/>
    <x v="1"/>
    <x v="3"/>
    <n v="1323"/>
    <x v="28"/>
    <n v="730"/>
    <x v="6"/>
    <x v="2"/>
  </r>
  <r>
    <x v="0"/>
    <x v="0"/>
    <x v="37"/>
    <n v="0"/>
    <s v="Haber"/>
    <x v="0"/>
    <x v="0"/>
    <x v="0"/>
    <x v="0"/>
    <n v="0"/>
    <s v=""/>
    <n v="0"/>
    <x v="7"/>
    <x v="2"/>
    <x v="3"/>
    <x v="18"/>
    <x v="18"/>
    <s v="C) RESULTADO ANTES DE IMPUESTOS"/>
    <x v="1"/>
    <x v="4"/>
    <n v="1324"/>
    <x v="29"/>
    <s v="600"/>
    <x v="7"/>
    <x v="2"/>
  </r>
  <r>
    <x v="0"/>
    <x v="0"/>
    <x v="38"/>
    <n v="0"/>
    <s v="Haber"/>
    <x v="0"/>
    <x v="0"/>
    <x v="0"/>
    <x v="0"/>
    <n v="0"/>
    <s v=""/>
    <n v="0"/>
    <x v="6"/>
    <x v="2"/>
    <x v="3"/>
    <x v="18"/>
    <x v="18"/>
    <s v="C) RESULTADO ANTES DE IMPUESTOS"/>
    <x v="1"/>
    <x v="5"/>
    <n v="1325"/>
    <x v="30"/>
    <n v="740"/>
    <x v="6"/>
    <x v="2"/>
  </r>
  <r>
    <x v="0"/>
    <x v="0"/>
    <x v="39"/>
    <n v="0"/>
    <s v="Haber"/>
    <x v="0"/>
    <x v="0"/>
    <x v="0"/>
    <x v="0"/>
    <n v="0"/>
    <s v=""/>
    <n v="0"/>
    <x v="7"/>
    <x v="2"/>
    <x v="3"/>
    <x v="18"/>
    <x v="18"/>
    <s v="C) RESULTADO ANTES DE IMPUESTOS"/>
    <x v="1"/>
    <x v="6"/>
    <n v="1328"/>
    <x v="31"/>
    <s v="640"/>
    <x v="7"/>
    <x v="2"/>
  </r>
  <r>
    <x v="0"/>
    <x v="0"/>
    <x v="40"/>
    <n v="0"/>
    <s v="Haber"/>
    <x v="0"/>
    <x v="0"/>
    <x v="0"/>
    <x v="0"/>
    <n v="0"/>
    <s v=""/>
    <n v="0"/>
    <x v="7"/>
    <x v="2"/>
    <x v="3"/>
    <x v="18"/>
    <x v="18"/>
    <s v="C) RESULTADO ANTES DE IMPUESTOS"/>
    <x v="1"/>
    <x v="7"/>
    <n v="1329"/>
    <x v="32"/>
    <n v="620"/>
    <x v="7"/>
    <x v="2"/>
  </r>
  <r>
    <x v="0"/>
    <x v="0"/>
    <x v="41"/>
    <n v="0"/>
    <s v="Haber"/>
    <x v="0"/>
    <x v="0"/>
    <x v="0"/>
    <x v="0"/>
    <n v="0"/>
    <s v=""/>
    <n v="0"/>
    <x v="7"/>
    <x v="2"/>
    <x v="3"/>
    <x v="18"/>
    <x v="18"/>
    <s v="C) RESULTADO ANTES DE IMPUESTOS"/>
    <x v="1"/>
    <x v="8"/>
    <n v="1330"/>
    <x v="33"/>
    <s v="680"/>
    <x v="7"/>
    <x v="2"/>
  </r>
  <r>
    <x v="0"/>
    <x v="0"/>
    <x v="42"/>
    <n v="0"/>
    <s v="Haber"/>
    <x v="0"/>
    <x v="0"/>
    <x v="0"/>
    <x v="0"/>
    <n v="0"/>
    <s v=""/>
    <n v="0"/>
    <x v="6"/>
    <x v="2"/>
    <x v="3"/>
    <x v="18"/>
    <x v="18"/>
    <s v="C) RESULTADO ANTES DE IMPUESTOS"/>
    <x v="1"/>
    <x v="9"/>
    <n v="1331"/>
    <x v="30"/>
    <n v="746"/>
    <x v="6"/>
    <x v="2"/>
  </r>
  <r>
    <x v="0"/>
    <x v="0"/>
    <x v="43"/>
    <n v="0"/>
    <s v="Haber"/>
    <x v="0"/>
    <x v="0"/>
    <x v="0"/>
    <x v="0"/>
    <n v="0"/>
    <s v=""/>
    <n v="0"/>
    <x v="6"/>
    <x v="2"/>
    <x v="3"/>
    <x v="18"/>
    <x v="18"/>
    <s v="C) RESULTADO ANTES DE IMPUESTOS"/>
    <x v="1"/>
    <x v="10"/>
    <n v="1332"/>
    <x v="34"/>
    <s v="795"/>
    <x v="6"/>
    <x v="2"/>
  </r>
  <r>
    <x v="0"/>
    <x v="0"/>
    <x v="44"/>
    <n v="0"/>
    <s v="Haber"/>
    <x v="0"/>
    <x v="0"/>
    <x v="0"/>
    <x v="0"/>
    <n v="0"/>
    <s v=""/>
    <n v="0"/>
    <x v="7"/>
    <x v="2"/>
    <x v="3"/>
    <x v="18"/>
    <x v="18"/>
    <s v="C) RESULTADO ANTES DE IMPUESTOS"/>
    <x v="1"/>
    <x v="11"/>
    <n v="1335"/>
    <x v="35"/>
    <n v="670"/>
    <x v="7"/>
    <x v="2"/>
  </r>
  <r>
    <x v="0"/>
    <x v="0"/>
    <x v="45"/>
    <n v="0"/>
    <s v="Haber"/>
    <x v="0"/>
    <x v="0"/>
    <x v="0"/>
    <x v="0"/>
    <n v="0"/>
    <s v=""/>
    <n v="0"/>
    <x v="7"/>
    <x v="2"/>
    <x v="3"/>
    <x v="18"/>
    <x v="18"/>
    <s v="C) RESULTADO ANTES DE IMPUESTOS"/>
    <x v="1"/>
    <x v="12"/>
    <n v="1336"/>
    <x v="36"/>
    <s v="678"/>
    <x v="7"/>
    <x v="2"/>
  </r>
  <r>
    <x v="0"/>
    <x v="0"/>
    <x v="46"/>
    <n v="0"/>
    <s v="Haber"/>
    <x v="0"/>
    <x v="0"/>
    <x v="0"/>
    <x v="0"/>
    <n v="0"/>
    <s v=""/>
    <n v="0"/>
    <x v="6"/>
    <x v="2"/>
    <x v="3"/>
    <x v="18"/>
    <x v="18"/>
    <s v="C) RESULTADO ANTES DE IMPUESTOS"/>
    <x v="2"/>
    <x v="13"/>
    <n v="1337"/>
    <x v="37"/>
    <n v="760"/>
    <x v="6"/>
    <x v="2"/>
  </r>
  <r>
    <x v="0"/>
    <x v="0"/>
    <x v="47"/>
    <n v="0"/>
    <s v="Haber"/>
    <x v="0"/>
    <x v="0"/>
    <x v="0"/>
    <x v="0"/>
    <n v="0"/>
    <s v=""/>
    <n v="0"/>
    <x v="7"/>
    <x v="2"/>
    <x v="3"/>
    <x v="18"/>
    <x v="18"/>
    <s v="C) RESULTADO ANTES DE IMPUESTOS"/>
    <x v="2"/>
    <x v="14"/>
    <n v="1338"/>
    <x v="38"/>
    <n v="660"/>
    <x v="7"/>
    <x v="2"/>
  </r>
  <r>
    <x v="0"/>
    <x v="0"/>
    <x v="48"/>
    <n v="0"/>
    <s v="Haber"/>
    <x v="0"/>
    <x v="0"/>
    <x v="0"/>
    <x v="0"/>
    <n v="0"/>
    <s v=""/>
    <n v="0"/>
    <x v="7"/>
    <x v="2"/>
    <x v="3"/>
    <x v="18"/>
    <x v="18"/>
    <s v="C) RESULTADO ANTES DE IMPUESTOS"/>
    <x v="2"/>
    <x v="15"/>
    <n v="1339"/>
    <x v="38"/>
    <n v="663"/>
    <x v="7"/>
    <x v="2"/>
  </r>
  <r>
    <x v="0"/>
    <x v="0"/>
    <x v="49"/>
    <n v="0"/>
    <s v="Haber"/>
    <x v="0"/>
    <x v="0"/>
    <x v="0"/>
    <x v="0"/>
    <n v="0"/>
    <s v=""/>
    <n v="0"/>
    <x v="7"/>
    <x v="2"/>
    <x v="3"/>
    <x v="18"/>
    <x v="18"/>
    <s v="C) RESULTADO ANTES DE IMPUESTOS"/>
    <x v="2"/>
    <x v="16"/>
    <n v="1343"/>
    <x v="38"/>
    <n v="668"/>
    <x v="7"/>
    <x v="2"/>
  </r>
  <r>
    <x v="0"/>
    <x v="0"/>
    <x v="50"/>
    <n v="0"/>
    <s v="Haber"/>
    <x v="0"/>
    <x v="0"/>
    <x v="0"/>
    <x v="0"/>
    <n v="0"/>
    <s v=""/>
    <n v="0"/>
    <x v="7"/>
    <x v="2"/>
    <x v="3"/>
    <x v="18"/>
    <x v="18"/>
    <s v="C) RESULTADO ANTES DE IMPUESTOS"/>
    <x v="2"/>
    <x v="17"/>
    <n v="1344"/>
    <x v="38"/>
    <n v="666"/>
    <x v="7"/>
    <x v="2"/>
  </r>
  <r>
    <x v="0"/>
    <x v="0"/>
    <x v="51"/>
    <n v="0"/>
    <s v="Haber"/>
    <x v="0"/>
    <x v="0"/>
    <x v="0"/>
    <x v="0"/>
    <n v="0"/>
    <s v=""/>
    <n v="0"/>
    <x v="7"/>
    <x v="2"/>
    <x v="3"/>
    <x v="18"/>
    <x v="18"/>
    <s v="C1_) IMPUESTOS SOBRE BENEFICIOS"/>
    <x v="3"/>
    <x v="18"/>
    <n v="1345"/>
    <x v="39"/>
    <s v="630"/>
    <x v="7"/>
    <x v="2"/>
  </r>
  <r>
    <x v="0"/>
    <x v="0"/>
    <x v="13"/>
    <n v="0"/>
    <s v="Haber"/>
    <x v="1"/>
    <x v="1"/>
    <x v="1"/>
    <x v="1"/>
    <n v="0"/>
    <s v=""/>
    <n v="0"/>
    <x v="4"/>
    <x v="1"/>
    <x v="2"/>
    <x v="11"/>
    <x v="11"/>
    <s v=""/>
    <x v="0"/>
    <x v="0"/>
    <n v="1346"/>
    <x v="11"/>
    <s v=""/>
    <x v="4"/>
    <x v="1"/>
  </r>
  <r>
    <x v="0"/>
    <x v="0"/>
    <x v="13"/>
    <n v="0"/>
    <s v="Haber"/>
    <x v="1"/>
    <x v="1"/>
    <x v="1"/>
    <x v="1"/>
    <n v="0"/>
    <s v=""/>
    <n v="0"/>
    <x v="4"/>
    <x v="1"/>
    <x v="2"/>
    <x v="11"/>
    <x v="11"/>
    <s v=""/>
    <x v="0"/>
    <x v="0"/>
    <n v="1347"/>
    <x v="11"/>
    <s v=""/>
    <x v="4"/>
    <x v="1"/>
  </r>
  <r>
    <x v="0"/>
    <x v="0"/>
    <x v="13"/>
    <n v="0"/>
    <s v="Haber"/>
    <x v="1"/>
    <x v="1"/>
    <x v="1"/>
    <x v="1"/>
    <n v="0"/>
    <s v=""/>
    <n v="0"/>
    <x v="4"/>
    <x v="1"/>
    <x v="2"/>
    <x v="11"/>
    <x v="11"/>
    <s v=""/>
    <x v="0"/>
    <x v="0"/>
    <n v="1350"/>
    <x v="11"/>
    <s v=""/>
    <x v="4"/>
    <x v="1"/>
  </r>
  <r>
    <x v="0"/>
    <x v="0"/>
    <x v="13"/>
    <n v="0"/>
    <s v="Haber"/>
    <x v="1"/>
    <x v="1"/>
    <x v="1"/>
    <x v="1"/>
    <n v="0"/>
    <s v=""/>
    <n v="0"/>
    <x v="4"/>
    <x v="1"/>
    <x v="2"/>
    <x v="11"/>
    <x v="11"/>
    <s v=""/>
    <x v="0"/>
    <x v="0"/>
    <n v="1351"/>
    <x v="11"/>
    <s v=""/>
    <x v="4"/>
    <x v="1"/>
  </r>
  <r>
    <x v="0"/>
    <x v="0"/>
    <x v="13"/>
    <s v="HABER"/>
    <s v="Haber"/>
    <x v="1"/>
    <x v="1"/>
    <x v="1"/>
    <x v="1"/>
    <n v="0"/>
    <s v=""/>
    <s v="HABER"/>
    <x v="4"/>
    <x v="1"/>
    <x v="2"/>
    <x v="11"/>
    <x v="11"/>
    <s v=""/>
    <x v="0"/>
    <x v="0"/>
    <n v="1352"/>
    <x v="11"/>
    <s v=""/>
    <x v="4"/>
    <x v="1"/>
  </r>
  <r>
    <x v="0"/>
    <x v="0"/>
    <x v="13"/>
    <n v="0"/>
    <s v="Haber"/>
    <x v="1"/>
    <x v="1"/>
    <x v="1"/>
    <x v="1"/>
    <n v="0"/>
    <s v=""/>
    <n v="0"/>
    <x v="4"/>
    <x v="1"/>
    <x v="2"/>
    <x v="11"/>
    <x v="11"/>
    <s v=""/>
    <x v="0"/>
    <x v="0"/>
    <n v="1353"/>
    <x v="11"/>
    <s v=""/>
    <x v="4"/>
    <x v="1"/>
  </r>
  <r>
    <x v="0"/>
    <x v="0"/>
    <x v="13"/>
    <n v="0"/>
    <s v="Haber"/>
    <x v="1"/>
    <x v="1"/>
    <x v="1"/>
    <x v="1"/>
    <n v="0"/>
    <s v=""/>
    <n v="0"/>
    <x v="4"/>
    <x v="1"/>
    <x v="2"/>
    <x v="11"/>
    <x v="11"/>
    <s v=""/>
    <x v="0"/>
    <x v="0"/>
    <n v="1384"/>
    <x v="11"/>
    <s v=""/>
    <x v="4"/>
    <x v="1"/>
  </r>
  <r>
    <x v="0"/>
    <x v="0"/>
    <x v="13"/>
    <n v="0"/>
    <s v="Haber"/>
    <x v="1"/>
    <x v="1"/>
    <x v="1"/>
    <x v="1"/>
    <n v="0"/>
    <s v=""/>
    <n v="0"/>
    <x v="4"/>
    <x v="1"/>
    <x v="2"/>
    <x v="11"/>
    <x v="11"/>
    <s v=""/>
    <x v="0"/>
    <x v="0"/>
    <n v="1385"/>
    <x v="11"/>
    <s v=""/>
    <x v="4"/>
    <x v="1"/>
  </r>
  <r>
    <x v="0"/>
    <x v="0"/>
    <x v="13"/>
    <n v="0"/>
    <s v="Haber"/>
    <x v="1"/>
    <x v="1"/>
    <x v="1"/>
    <x v="1"/>
    <n v="0"/>
    <s v=""/>
    <n v="0"/>
    <x v="4"/>
    <x v="1"/>
    <x v="2"/>
    <x v="11"/>
    <x v="11"/>
    <s v=""/>
    <x v="0"/>
    <x v="0"/>
    <n v="1388"/>
    <x v="11"/>
    <s v=""/>
    <x v="4"/>
    <x v="1"/>
  </r>
  <r>
    <x v="0"/>
    <x v="0"/>
    <x v="13"/>
    <s v="HABER"/>
    <s v="Haber"/>
    <x v="1"/>
    <x v="1"/>
    <x v="1"/>
    <x v="1"/>
    <n v="0"/>
    <s v=""/>
    <s v="HABER"/>
    <x v="4"/>
    <x v="1"/>
    <x v="2"/>
    <x v="11"/>
    <x v="11"/>
    <s v=""/>
    <x v="0"/>
    <x v="0"/>
    <n v="1389"/>
    <x v="11"/>
    <s v=""/>
    <x v="4"/>
    <x v="1"/>
  </r>
  <r>
    <x v="0"/>
    <x v="0"/>
    <x v="13"/>
    <n v="0"/>
    <s v="Haber"/>
    <x v="1"/>
    <x v="1"/>
    <x v="1"/>
    <x v="1"/>
    <n v="0"/>
    <s v=""/>
    <n v="0"/>
    <x v="4"/>
    <x v="1"/>
    <x v="2"/>
    <x v="11"/>
    <x v="11"/>
    <s v=""/>
    <x v="0"/>
    <x v="0"/>
    <n v="1390"/>
    <x v="11"/>
    <s v=""/>
    <x v="4"/>
    <x v="1"/>
  </r>
  <r>
    <x v="0"/>
    <x v="0"/>
    <x v="13"/>
    <n v="0"/>
    <s v="Haber"/>
    <x v="1"/>
    <x v="1"/>
    <x v="1"/>
    <x v="1"/>
    <n v="0"/>
    <s v=""/>
    <n v="0"/>
    <x v="4"/>
    <x v="1"/>
    <x v="2"/>
    <x v="11"/>
    <x v="11"/>
    <s v=""/>
    <x v="0"/>
    <x v="0"/>
    <n v="1395"/>
    <x v="11"/>
    <s v=""/>
    <x v="4"/>
    <x v="1"/>
  </r>
  <r>
    <x v="0"/>
    <x v="0"/>
    <x v="13"/>
    <n v="0"/>
    <s v="Haber"/>
    <x v="1"/>
    <x v="1"/>
    <x v="1"/>
    <x v="1"/>
    <n v="0"/>
    <s v=""/>
    <n v="0"/>
    <x v="4"/>
    <x v="1"/>
    <x v="2"/>
    <x v="11"/>
    <x v="11"/>
    <s v=""/>
    <x v="0"/>
    <x v="0"/>
    <n v="1396"/>
    <x v="11"/>
    <s v=""/>
    <x v="4"/>
    <x v="1"/>
  </r>
  <r>
    <x v="0"/>
    <x v="0"/>
    <x v="13"/>
    <n v="0"/>
    <s v="Haber"/>
    <x v="1"/>
    <x v="1"/>
    <x v="1"/>
    <x v="1"/>
    <n v="0"/>
    <s v=""/>
    <n v="0"/>
    <x v="4"/>
    <x v="1"/>
    <x v="2"/>
    <x v="11"/>
    <x v="11"/>
    <s v=""/>
    <x v="0"/>
    <x v="0"/>
    <n v="1397"/>
    <x v="11"/>
    <s v=""/>
    <x v="4"/>
    <x v="1"/>
  </r>
  <r>
    <x v="0"/>
    <x v="0"/>
    <x v="13"/>
    <s v="HABER"/>
    <s v="Haber"/>
    <x v="1"/>
    <x v="1"/>
    <x v="1"/>
    <x v="1"/>
    <n v="0"/>
    <s v=""/>
    <s v="HABER"/>
    <x v="4"/>
    <x v="1"/>
    <x v="2"/>
    <x v="11"/>
    <x v="11"/>
    <s v=""/>
    <x v="0"/>
    <x v="0"/>
    <n v="1398"/>
    <x v="11"/>
    <s v=""/>
    <x v="4"/>
    <x v="1"/>
  </r>
  <r>
    <x v="0"/>
    <x v="0"/>
    <x v="13"/>
    <n v="0"/>
    <s v="Haber"/>
    <x v="1"/>
    <x v="1"/>
    <x v="1"/>
    <x v="1"/>
    <n v="0"/>
    <s v=""/>
    <n v="0"/>
    <x v="4"/>
    <x v="1"/>
    <x v="2"/>
    <x v="11"/>
    <x v="11"/>
    <s v=""/>
    <x v="0"/>
    <x v="0"/>
    <n v="1399"/>
    <x v="11"/>
    <s v=""/>
    <x v="4"/>
    <x v="1"/>
  </r>
  <r>
    <x v="0"/>
    <x v="0"/>
    <x v="13"/>
    <n v="0"/>
    <s v="Haber"/>
    <x v="1"/>
    <x v="1"/>
    <x v="1"/>
    <x v="1"/>
    <n v="0"/>
    <s v=""/>
    <n v="0"/>
    <x v="4"/>
    <x v="1"/>
    <x v="2"/>
    <x v="11"/>
    <x v="11"/>
    <s v=""/>
    <x v="0"/>
    <x v="0"/>
    <n v="1404"/>
    <x v="11"/>
    <s v=""/>
    <x v="4"/>
    <x v="1"/>
  </r>
  <r>
    <x v="0"/>
    <x v="0"/>
    <x v="13"/>
    <n v="0"/>
    <s v="Haber"/>
    <x v="1"/>
    <x v="1"/>
    <x v="1"/>
    <x v="1"/>
    <n v="0"/>
    <s v=""/>
    <n v="0"/>
    <x v="4"/>
    <x v="1"/>
    <x v="2"/>
    <x v="11"/>
    <x v="11"/>
    <s v=""/>
    <x v="0"/>
    <x v="0"/>
    <n v="1405"/>
    <x v="11"/>
    <s v=""/>
    <x v="4"/>
    <x v="1"/>
  </r>
  <r>
    <x v="0"/>
    <x v="0"/>
    <x v="13"/>
    <n v="0"/>
    <s v="Haber"/>
    <x v="1"/>
    <x v="1"/>
    <x v="1"/>
    <x v="1"/>
    <n v="0"/>
    <s v=""/>
    <n v="0"/>
    <x v="4"/>
    <x v="1"/>
    <x v="2"/>
    <x v="11"/>
    <x v="11"/>
    <s v=""/>
    <x v="0"/>
    <x v="0"/>
    <n v="1406"/>
    <x v="11"/>
    <s v=""/>
    <x v="4"/>
    <x v="1"/>
  </r>
  <r>
    <x v="0"/>
    <x v="0"/>
    <x v="13"/>
    <s v="HABER"/>
    <s v="Haber"/>
    <x v="1"/>
    <x v="1"/>
    <x v="1"/>
    <x v="1"/>
    <n v="0"/>
    <s v=""/>
    <s v="HABER"/>
    <x v="4"/>
    <x v="1"/>
    <x v="2"/>
    <x v="11"/>
    <x v="11"/>
    <s v=""/>
    <x v="0"/>
    <x v="0"/>
    <n v="1409"/>
    <x v="11"/>
    <s v=""/>
    <x v="4"/>
    <x v="1"/>
  </r>
  <r>
    <x v="0"/>
    <x v="0"/>
    <x v="13"/>
    <n v="0"/>
    <s v="Haber"/>
    <x v="1"/>
    <x v="1"/>
    <x v="1"/>
    <x v="1"/>
    <n v="0"/>
    <s v=""/>
    <n v="0"/>
    <x v="4"/>
    <x v="1"/>
    <x v="2"/>
    <x v="11"/>
    <x v="11"/>
    <s v=""/>
    <x v="0"/>
    <x v="0"/>
    <n v="1410"/>
    <x v="11"/>
    <s v=""/>
    <x v="4"/>
    <x v="1"/>
  </r>
  <r>
    <x v="0"/>
    <x v="0"/>
    <x v="13"/>
    <n v="0"/>
    <s v="Haber"/>
    <x v="1"/>
    <x v="1"/>
    <x v="1"/>
    <x v="1"/>
    <n v="0"/>
    <s v=""/>
    <n v="0"/>
    <x v="4"/>
    <x v="1"/>
    <x v="2"/>
    <x v="11"/>
    <x v="11"/>
    <s v=""/>
    <x v="0"/>
    <x v="0"/>
    <n v="1413"/>
    <x v="11"/>
    <s v=""/>
    <x v="4"/>
    <x v="1"/>
  </r>
  <r>
    <x v="0"/>
    <x v="0"/>
    <x v="13"/>
    <n v="0"/>
    <s v="Haber"/>
    <x v="1"/>
    <x v="1"/>
    <x v="1"/>
    <x v="1"/>
    <n v="0"/>
    <s v=""/>
    <n v="0"/>
    <x v="4"/>
    <x v="1"/>
    <x v="2"/>
    <x v="11"/>
    <x v="11"/>
    <s v=""/>
    <x v="0"/>
    <x v="0"/>
    <n v="1416"/>
    <x v="11"/>
    <s v=""/>
    <x v="4"/>
    <x v="1"/>
  </r>
  <r>
    <x v="0"/>
    <x v="0"/>
    <x v="13"/>
    <n v="0"/>
    <s v="Haber"/>
    <x v="1"/>
    <x v="1"/>
    <x v="1"/>
    <x v="1"/>
    <n v="0"/>
    <s v=""/>
    <n v="0"/>
    <x v="4"/>
    <x v="1"/>
    <x v="2"/>
    <x v="11"/>
    <x v="11"/>
    <s v=""/>
    <x v="0"/>
    <x v="0"/>
    <n v="1417"/>
    <x v="11"/>
    <s v=""/>
    <x v="4"/>
    <x v="1"/>
  </r>
  <r>
    <x v="0"/>
    <x v="0"/>
    <x v="13"/>
    <s v="HABER"/>
    <s v="Haber"/>
    <x v="1"/>
    <x v="1"/>
    <x v="1"/>
    <x v="1"/>
    <n v="0"/>
    <s v=""/>
    <s v="HABER"/>
    <x v="4"/>
    <x v="1"/>
    <x v="2"/>
    <x v="11"/>
    <x v="11"/>
    <s v=""/>
    <x v="0"/>
    <x v="0"/>
    <n v="1418"/>
    <x v="11"/>
    <s v=""/>
    <x v="4"/>
    <x v="1"/>
  </r>
  <r>
    <x v="0"/>
    <x v="0"/>
    <x v="13"/>
    <n v="0"/>
    <s v="Haber"/>
    <x v="1"/>
    <x v="1"/>
    <x v="1"/>
    <x v="1"/>
    <n v="0"/>
    <s v=""/>
    <n v="0"/>
    <x v="4"/>
    <x v="1"/>
    <x v="2"/>
    <x v="11"/>
    <x v="11"/>
    <s v=""/>
    <x v="0"/>
    <x v="0"/>
    <n v="1419"/>
    <x v="11"/>
    <s v=""/>
    <x v="4"/>
    <x v="1"/>
  </r>
  <r>
    <x v="0"/>
    <x v="0"/>
    <x v="13"/>
    <n v="0"/>
    <s v="Haber"/>
    <x v="1"/>
    <x v="1"/>
    <x v="1"/>
    <x v="1"/>
    <n v="0"/>
    <s v=""/>
    <n v="0"/>
    <x v="4"/>
    <x v="1"/>
    <x v="2"/>
    <x v="11"/>
    <x v="11"/>
    <s v=""/>
    <x v="0"/>
    <x v="0"/>
    <n v="1425"/>
    <x v="11"/>
    <s v=""/>
    <x v="4"/>
    <x v="1"/>
  </r>
  <r>
    <x v="0"/>
    <x v="0"/>
    <x v="13"/>
    <n v="0"/>
    <s v="Haber"/>
    <x v="1"/>
    <x v="1"/>
    <x v="1"/>
    <x v="1"/>
    <n v="0"/>
    <s v=""/>
    <n v="0"/>
    <x v="4"/>
    <x v="1"/>
    <x v="2"/>
    <x v="11"/>
    <x v="11"/>
    <s v=""/>
    <x v="0"/>
    <x v="0"/>
    <n v="1426"/>
    <x v="11"/>
    <s v=""/>
    <x v="4"/>
    <x v="1"/>
  </r>
  <r>
    <x v="0"/>
    <x v="0"/>
    <x v="13"/>
    <n v="0"/>
    <s v="Haber"/>
    <x v="1"/>
    <x v="1"/>
    <x v="1"/>
    <x v="1"/>
    <n v="0"/>
    <s v=""/>
    <n v="0"/>
    <x v="4"/>
    <x v="1"/>
    <x v="2"/>
    <x v="11"/>
    <x v="11"/>
    <s v=""/>
    <x v="0"/>
    <x v="0"/>
    <n v="1427"/>
    <x v="11"/>
    <s v=""/>
    <x v="4"/>
    <x v="1"/>
  </r>
  <r>
    <x v="0"/>
    <x v="0"/>
    <x v="13"/>
    <s v="HABER"/>
    <s v="Haber"/>
    <x v="1"/>
    <x v="1"/>
    <x v="1"/>
    <x v="1"/>
    <n v="0"/>
    <s v=""/>
    <s v="HABER"/>
    <x v="4"/>
    <x v="1"/>
    <x v="2"/>
    <x v="11"/>
    <x v="11"/>
    <s v=""/>
    <x v="0"/>
    <x v="0"/>
    <n v="1430"/>
    <x v="11"/>
    <s v=""/>
    <x v="4"/>
    <x v="1"/>
  </r>
  <r>
    <x v="0"/>
    <x v="0"/>
    <x v="13"/>
    <n v="0"/>
    <s v="Haber"/>
    <x v="1"/>
    <x v="1"/>
    <x v="1"/>
    <x v="1"/>
    <n v="0"/>
    <s v=""/>
    <n v="0"/>
    <x v="4"/>
    <x v="1"/>
    <x v="2"/>
    <x v="11"/>
    <x v="11"/>
    <s v=""/>
    <x v="0"/>
    <x v="0"/>
    <n v="1431"/>
    <x v="11"/>
    <s v=""/>
    <x v="4"/>
    <x v="1"/>
  </r>
  <r>
    <x v="0"/>
    <x v="0"/>
    <x v="13"/>
    <n v="0"/>
    <s v="Haber"/>
    <x v="1"/>
    <x v="1"/>
    <x v="1"/>
    <x v="1"/>
    <n v="0"/>
    <s v=""/>
    <n v="0"/>
    <x v="4"/>
    <x v="1"/>
    <x v="2"/>
    <x v="11"/>
    <x v="11"/>
    <s v=""/>
    <x v="0"/>
    <x v="0"/>
    <n v="1437"/>
    <x v="11"/>
    <s v=""/>
    <x v="4"/>
    <x v="1"/>
  </r>
  <r>
    <x v="0"/>
    <x v="0"/>
    <x v="13"/>
    <n v="0"/>
    <s v="Haber"/>
    <x v="1"/>
    <x v="1"/>
    <x v="1"/>
    <x v="1"/>
    <n v="0"/>
    <s v=""/>
    <n v="0"/>
    <x v="4"/>
    <x v="1"/>
    <x v="2"/>
    <x v="11"/>
    <x v="11"/>
    <s v=""/>
    <x v="0"/>
    <x v="0"/>
    <n v="1438"/>
    <x v="11"/>
    <s v=""/>
    <x v="4"/>
    <x v="1"/>
  </r>
  <r>
    <x v="0"/>
    <x v="0"/>
    <x v="13"/>
    <n v="0"/>
    <s v="Haber"/>
    <x v="1"/>
    <x v="1"/>
    <x v="1"/>
    <x v="1"/>
    <n v="0"/>
    <s v=""/>
    <n v="0"/>
    <x v="4"/>
    <x v="1"/>
    <x v="2"/>
    <x v="11"/>
    <x v="11"/>
    <s v=""/>
    <x v="0"/>
    <x v="0"/>
    <n v="1439"/>
    <x v="11"/>
    <s v=""/>
    <x v="4"/>
    <x v="1"/>
  </r>
  <r>
    <x v="0"/>
    <x v="0"/>
    <x v="13"/>
    <s v="HABER"/>
    <s v="Haber"/>
    <x v="1"/>
    <x v="1"/>
    <x v="1"/>
    <x v="1"/>
    <n v="0"/>
    <s v=""/>
    <s v="HABER"/>
    <x v="4"/>
    <x v="1"/>
    <x v="2"/>
    <x v="11"/>
    <x v="11"/>
    <s v=""/>
    <x v="0"/>
    <x v="0"/>
    <n v="1440"/>
    <x v="11"/>
    <s v=""/>
    <x v="4"/>
    <x v="1"/>
  </r>
  <r>
    <x v="0"/>
    <x v="0"/>
    <x v="13"/>
    <n v="0"/>
    <s v="Haber"/>
    <x v="1"/>
    <x v="1"/>
    <x v="1"/>
    <x v="1"/>
    <n v="0"/>
    <s v=""/>
    <n v="0"/>
    <x v="4"/>
    <x v="1"/>
    <x v="2"/>
    <x v="11"/>
    <x v="11"/>
    <s v=""/>
    <x v="0"/>
    <x v="0"/>
    <n v="1441"/>
    <x v="11"/>
    <s v=""/>
    <x v="4"/>
    <x v="1"/>
  </r>
  <r>
    <x v="0"/>
    <x v="0"/>
    <x v="13"/>
    <n v="0"/>
    <s v="Haber"/>
    <x v="1"/>
    <x v="1"/>
    <x v="1"/>
    <x v="1"/>
    <n v="0"/>
    <s v=""/>
    <n v="0"/>
    <x v="4"/>
    <x v="1"/>
    <x v="2"/>
    <x v="11"/>
    <x v="11"/>
    <s v=""/>
    <x v="0"/>
    <x v="0"/>
    <n v="1446"/>
    <x v="11"/>
    <s v=""/>
    <x v="4"/>
    <x v="1"/>
  </r>
  <r>
    <x v="0"/>
    <x v="0"/>
    <x v="13"/>
    <n v="0"/>
    <s v="Haber"/>
    <x v="1"/>
    <x v="1"/>
    <x v="1"/>
    <x v="1"/>
    <n v="0"/>
    <s v=""/>
    <n v="0"/>
    <x v="4"/>
    <x v="1"/>
    <x v="2"/>
    <x v="11"/>
    <x v="11"/>
    <s v=""/>
    <x v="0"/>
    <x v="0"/>
    <n v="1447"/>
    <x v="11"/>
    <s v=""/>
    <x v="4"/>
    <x v="1"/>
  </r>
  <r>
    <x v="0"/>
    <x v="0"/>
    <x v="13"/>
    <n v="0"/>
    <s v="Haber"/>
    <x v="1"/>
    <x v="1"/>
    <x v="1"/>
    <x v="1"/>
    <n v="0"/>
    <s v=""/>
    <n v="0"/>
    <x v="4"/>
    <x v="1"/>
    <x v="2"/>
    <x v="11"/>
    <x v="11"/>
    <s v=""/>
    <x v="0"/>
    <x v="0"/>
    <n v="1448"/>
    <x v="11"/>
    <s v=""/>
    <x v="4"/>
    <x v="1"/>
  </r>
  <r>
    <x v="0"/>
    <x v="0"/>
    <x v="13"/>
    <s v="HABER"/>
    <s v="Haber"/>
    <x v="1"/>
    <x v="1"/>
    <x v="1"/>
    <x v="1"/>
    <n v="0"/>
    <s v=""/>
    <s v="HABER"/>
    <x v="4"/>
    <x v="1"/>
    <x v="2"/>
    <x v="11"/>
    <x v="11"/>
    <s v=""/>
    <x v="0"/>
    <x v="0"/>
    <n v="1451"/>
    <x v="11"/>
    <s v=""/>
    <x v="4"/>
    <x v="1"/>
  </r>
  <r>
    <x v="0"/>
    <x v="0"/>
    <x v="13"/>
    <n v="0"/>
    <s v="Haber"/>
    <x v="1"/>
    <x v="1"/>
    <x v="1"/>
    <x v="1"/>
    <n v="0"/>
    <s v=""/>
    <n v="0"/>
    <x v="4"/>
    <x v="1"/>
    <x v="2"/>
    <x v="11"/>
    <x v="11"/>
    <s v=""/>
    <x v="0"/>
    <x v="0"/>
    <n v="1452"/>
    <x v="11"/>
    <s v=""/>
    <x v="4"/>
    <x v="1"/>
  </r>
  <r>
    <x v="0"/>
    <x v="0"/>
    <x v="13"/>
    <n v="0"/>
    <s v="Haber"/>
    <x v="1"/>
    <x v="1"/>
    <x v="1"/>
    <x v="1"/>
    <n v="0"/>
    <s v=""/>
    <n v="0"/>
    <x v="4"/>
    <x v="1"/>
    <x v="2"/>
    <x v="11"/>
    <x v="11"/>
    <s v=""/>
    <x v="0"/>
    <x v="0"/>
    <n v="1455"/>
    <x v="11"/>
    <s v=""/>
    <x v="4"/>
    <x v="1"/>
  </r>
  <r>
    <x v="0"/>
    <x v="0"/>
    <x v="13"/>
    <n v="0"/>
    <s v="Haber"/>
    <x v="1"/>
    <x v="1"/>
    <x v="1"/>
    <x v="1"/>
    <n v="0"/>
    <s v=""/>
    <n v="0"/>
    <x v="4"/>
    <x v="1"/>
    <x v="2"/>
    <x v="11"/>
    <x v="11"/>
    <s v=""/>
    <x v="0"/>
    <x v="0"/>
    <n v="1458"/>
    <x v="11"/>
    <s v=""/>
    <x v="4"/>
    <x v="1"/>
  </r>
  <r>
    <x v="0"/>
    <x v="0"/>
    <x v="13"/>
    <n v="0"/>
    <s v="Haber"/>
    <x v="1"/>
    <x v="1"/>
    <x v="1"/>
    <x v="1"/>
    <n v="0"/>
    <s v=""/>
    <n v="0"/>
    <x v="4"/>
    <x v="1"/>
    <x v="2"/>
    <x v="11"/>
    <x v="11"/>
    <s v=""/>
    <x v="0"/>
    <x v="0"/>
    <n v="1459"/>
    <x v="11"/>
    <s v=""/>
    <x v="4"/>
    <x v="1"/>
  </r>
  <r>
    <x v="0"/>
    <x v="0"/>
    <x v="13"/>
    <s v="HABER"/>
    <s v="Haber"/>
    <x v="1"/>
    <x v="1"/>
    <x v="1"/>
    <x v="1"/>
    <n v="0"/>
    <s v=""/>
    <s v="HABER"/>
    <x v="4"/>
    <x v="1"/>
    <x v="2"/>
    <x v="11"/>
    <x v="11"/>
    <s v=""/>
    <x v="0"/>
    <x v="0"/>
    <n v="1460"/>
    <x v="11"/>
    <s v=""/>
    <x v="4"/>
    <x v="1"/>
  </r>
  <r>
    <x v="0"/>
    <x v="0"/>
    <x v="13"/>
    <n v="0"/>
    <s v="Haber"/>
    <x v="1"/>
    <x v="1"/>
    <x v="1"/>
    <x v="1"/>
    <n v="0"/>
    <s v=""/>
    <n v="0"/>
    <x v="4"/>
    <x v="1"/>
    <x v="2"/>
    <x v="11"/>
    <x v="11"/>
    <s v=""/>
    <x v="0"/>
    <x v="0"/>
    <n v="1461"/>
    <x v="11"/>
    <s v=""/>
    <x v="4"/>
    <x v="1"/>
  </r>
  <r>
    <x v="0"/>
    <x v="0"/>
    <x v="13"/>
    <n v="0"/>
    <s v="Haber"/>
    <x v="1"/>
    <x v="1"/>
    <x v="1"/>
    <x v="1"/>
    <n v="0"/>
    <s v=""/>
    <n v="0"/>
    <x v="4"/>
    <x v="1"/>
    <x v="2"/>
    <x v="11"/>
    <x v="11"/>
    <s v=""/>
    <x v="0"/>
    <x v="0"/>
    <n v="1466"/>
    <x v="11"/>
    <s v=""/>
    <x v="4"/>
    <x v="1"/>
  </r>
  <r>
    <x v="0"/>
    <x v="0"/>
    <x v="13"/>
    <n v="0"/>
    <s v="Haber"/>
    <x v="1"/>
    <x v="1"/>
    <x v="1"/>
    <x v="1"/>
    <n v="0"/>
    <s v=""/>
    <n v="0"/>
    <x v="4"/>
    <x v="1"/>
    <x v="2"/>
    <x v="11"/>
    <x v="11"/>
    <s v=""/>
    <x v="0"/>
    <x v="0"/>
    <n v="1467"/>
    <x v="11"/>
    <s v=""/>
    <x v="4"/>
    <x v="1"/>
  </r>
  <r>
    <x v="0"/>
    <x v="0"/>
    <x v="13"/>
    <n v="0"/>
    <s v="Haber"/>
    <x v="1"/>
    <x v="1"/>
    <x v="1"/>
    <x v="1"/>
    <n v="0"/>
    <s v=""/>
    <n v="0"/>
    <x v="4"/>
    <x v="1"/>
    <x v="2"/>
    <x v="11"/>
    <x v="11"/>
    <s v=""/>
    <x v="0"/>
    <x v="0"/>
    <n v="1468"/>
    <x v="11"/>
    <s v=""/>
    <x v="4"/>
    <x v="1"/>
  </r>
  <r>
    <x v="0"/>
    <x v="0"/>
    <x v="13"/>
    <s v="HABER"/>
    <s v="Haber"/>
    <x v="1"/>
    <x v="1"/>
    <x v="1"/>
    <x v="1"/>
    <n v="0"/>
    <s v=""/>
    <s v="HABER"/>
    <x v="4"/>
    <x v="1"/>
    <x v="2"/>
    <x v="11"/>
    <x v="11"/>
    <s v=""/>
    <x v="0"/>
    <x v="0"/>
    <n v="1469"/>
    <x v="11"/>
    <s v=""/>
    <x v="4"/>
    <x v="1"/>
  </r>
  <r>
    <x v="0"/>
    <x v="0"/>
    <x v="13"/>
    <n v="0"/>
    <s v="Haber"/>
    <x v="1"/>
    <x v="1"/>
    <x v="1"/>
    <x v="1"/>
    <n v="0"/>
    <s v=""/>
    <n v="0"/>
    <x v="4"/>
    <x v="1"/>
    <x v="2"/>
    <x v="11"/>
    <x v="11"/>
    <s v=""/>
    <x v="0"/>
    <x v="0"/>
    <n v="1472"/>
    <x v="11"/>
    <s v=""/>
    <x v="4"/>
    <x v="1"/>
  </r>
  <r>
    <x v="0"/>
    <x v="0"/>
    <x v="13"/>
    <n v="0"/>
    <s v="Haber"/>
    <x v="1"/>
    <x v="1"/>
    <x v="1"/>
    <x v="1"/>
    <n v="0"/>
    <s v=""/>
    <n v="0"/>
    <x v="4"/>
    <x v="1"/>
    <x v="2"/>
    <x v="11"/>
    <x v="11"/>
    <s v=""/>
    <x v="0"/>
    <x v="0"/>
    <n v="1475"/>
    <x v="11"/>
    <s v=""/>
    <x v="4"/>
    <x v="1"/>
  </r>
  <r>
    <x v="0"/>
    <x v="0"/>
    <x v="13"/>
    <n v="0"/>
    <s v="Haber"/>
    <x v="1"/>
    <x v="1"/>
    <x v="1"/>
    <x v="1"/>
    <n v="0"/>
    <s v=""/>
    <n v="0"/>
    <x v="4"/>
    <x v="1"/>
    <x v="2"/>
    <x v="11"/>
    <x v="11"/>
    <s v=""/>
    <x v="0"/>
    <x v="0"/>
    <n v="1476"/>
    <x v="11"/>
    <s v=""/>
    <x v="4"/>
    <x v="1"/>
  </r>
  <r>
    <x v="0"/>
    <x v="0"/>
    <x v="13"/>
    <n v="0"/>
    <s v="Haber"/>
    <x v="1"/>
    <x v="1"/>
    <x v="1"/>
    <x v="1"/>
    <n v="0"/>
    <s v=""/>
    <n v="0"/>
    <x v="4"/>
    <x v="1"/>
    <x v="2"/>
    <x v="11"/>
    <x v="11"/>
    <s v=""/>
    <x v="0"/>
    <x v="0"/>
    <n v="1479"/>
    <x v="11"/>
    <s v=""/>
    <x v="4"/>
    <x v="1"/>
  </r>
  <r>
    <x v="0"/>
    <x v="0"/>
    <x v="13"/>
    <s v="HABER"/>
    <s v="Haber"/>
    <x v="1"/>
    <x v="1"/>
    <x v="1"/>
    <x v="1"/>
    <n v="0"/>
    <s v=""/>
    <s v="HABER"/>
    <x v="4"/>
    <x v="1"/>
    <x v="2"/>
    <x v="11"/>
    <x v="11"/>
    <s v=""/>
    <x v="0"/>
    <x v="0"/>
    <n v="1480"/>
    <x v="11"/>
    <s v=""/>
    <x v="4"/>
    <x v="1"/>
  </r>
  <r>
    <x v="0"/>
    <x v="0"/>
    <x v="13"/>
    <n v="0"/>
    <s v="Haber"/>
    <x v="1"/>
    <x v="1"/>
    <x v="1"/>
    <x v="1"/>
    <n v="0"/>
    <s v=""/>
    <n v="0"/>
    <x v="4"/>
    <x v="1"/>
    <x v="2"/>
    <x v="11"/>
    <x v="11"/>
    <s v=""/>
    <x v="0"/>
    <x v="0"/>
    <n v="1481"/>
    <x v="11"/>
    <s v=""/>
    <x v="4"/>
    <x v="1"/>
  </r>
  <r>
    <x v="0"/>
    <x v="0"/>
    <x v="13"/>
    <n v="0"/>
    <s v="Haber"/>
    <x v="1"/>
    <x v="1"/>
    <x v="1"/>
    <x v="1"/>
    <n v="0"/>
    <s v=""/>
    <n v="0"/>
    <x v="4"/>
    <x v="1"/>
    <x v="2"/>
    <x v="11"/>
    <x v="11"/>
    <s v=""/>
    <x v="0"/>
    <x v="0"/>
    <n v="1486"/>
    <x v="11"/>
    <s v=""/>
    <x v="4"/>
    <x v="1"/>
  </r>
  <r>
    <x v="0"/>
    <x v="0"/>
    <x v="13"/>
    <n v="0"/>
    <s v="Haber"/>
    <x v="1"/>
    <x v="1"/>
    <x v="1"/>
    <x v="1"/>
    <n v="0"/>
    <s v=""/>
    <n v="0"/>
    <x v="4"/>
    <x v="1"/>
    <x v="2"/>
    <x v="11"/>
    <x v="11"/>
    <s v=""/>
    <x v="0"/>
    <x v="0"/>
    <n v="1487"/>
    <x v="11"/>
    <s v=""/>
    <x v="4"/>
    <x v="1"/>
  </r>
  <r>
    <x v="0"/>
    <x v="0"/>
    <x v="13"/>
    <n v="0"/>
    <s v="Haber"/>
    <x v="1"/>
    <x v="1"/>
    <x v="1"/>
    <x v="1"/>
    <n v="0"/>
    <s v=""/>
    <n v="0"/>
    <x v="4"/>
    <x v="1"/>
    <x v="2"/>
    <x v="11"/>
    <x v="11"/>
    <s v=""/>
    <x v="0"/>
    <x v="0"/>
    <n v="1488"/>
    <x v="11"/>
    <s v=""/>
    <x v="4"/>
    <x v="1"/>
  </r>
  <r>
    <x v="0"/>
    <x v="0"/>
    <x v="13"/>
    <s v="HABER"/>
    <s v="Haber"/>
    <x v="1"/>
    <x v="1"/>
    <x v="1"/>
    <x v="1"/>
    <n v="0"/>
    <s v=""/>
    <s v="HABER"/>
    <x v="4"/>
    <x v="1"/>
    <x v="2"/>
    <x v="11"/>
    <x v="11"/>
    <s v=""/>
    <x v="0"/>
    <x v="0"/>
    <n v="1489"/>
    <x v="11"/>
    <s v=""/>
    <x v="4"/>
    <x v="1"/>
  </r>
  <r>
    <x v="0"/>
    <x v="0"/>
    <x v="13"/>
    <n v="0"/>
    <s v="Haber"/>
    <x v="1"/>
    <x v="1"/>
    <x v="1"/>
    <x v="1"/>
    <n v="0"/>
    <s v=""/>
    <n v="0"/>
    <x v="4"/>
    <x v="1"/>
    <x v="2"/>
    <x v="11"/>
    <x v="11"/>
    <s v=""/>
    <x v="0"/>
    <x v="0"/>
    <n v="1490"/>
    <x v="11"/>
    <s v=""/>
    <x v="4"/>
    <x v="1"/>
  </r>
  <r>
    <x v="0"/>
    <x v="0"/>
    <x v="13"/>
    <n v="0"/>
    <s v="Haber"/>
    <x v="1"/>
    <x v="1"/>
    <x v="1"/>
    <x v="1"/>
    <n v="0"/>
    <s v=""/>
    <n v="0"/>
    <x v="4"/>
    <x v="1"/>
    <x v="2"/>
    <x v="11"/>
    <x v="11"/>
    <s v=""/>
    <x v="0"/>
    <x v="0"/>
    <n v="1495"/>
    <x v="11"/>
    <s v=""/>
    <x v="4"/>
    <x v="1"/>
  </r>
  <r>
    <x v="0"/>
    <x v="0"/>
    <x v="13"/>
    <n v="0"/>
    <s v="Haber"/>
    <x v="1"/>
    <x v="1"/>
    <x v="1"/>
    <x v="1"/>
    <n v="0"/>
    <s v=""/>
    <n v="0"/>
    <x v="4"/>
    <x v="1"/>
    <x v="2"/>
    <x v="11"/>
    <x v="11"/>
    <s v=""/>
    <x v="0"/>
    <x v="0"/>
    <n v="1496"/>
    <x v="11"/>
    <s v=""/>
    <x v="4"/>
    <x v="1"/>
  </r>
  <r>
    <x v="0"/>
    <x v="0"/>
    <x v="13"/>
    <n v="0"/>
    <s v="Haber"/>
    <x v="1"/>
    <x v="1"/>
    <x v="1"/>
    <x v="1"/>
    <n v="0"/>
    <s v=""/>
    <n v="0"/>
    <x v="4"/>
    <x v="1"/>
    <x v="2"/>
    <x v="11"/>
    <x v="11"/>
    <s v=""/>
    <x v="0"/>
    <x v="0"/>
    <n v="1497"/>
    <x v="11"/>
    <s v=""/>
    <x v="4"/>
    <x v="1"/>
  </r>
  <r>
    <x v="0"/>
    <x v="0"/>
    <x v="13"/>
    <s v="HABER"/>
    <s v="Haber"/>
    <x v="1"/>
    <x v="1"/>
    <x v="1"/>
    <x v="1"/>
    <n v="0"/>
    <s v=""/>
    <s v="HABER"/>
    <x v="4"/>
    <x v="1"/>
    <x v="2"/>
    <x v="11"/>
    <x v="11"/>
    <s v=""/>
    <x v="0"/>
    <x v="0"/>
    <n v="1514"/>
    <x v="11"/>
    <s v=""/>
    <x v="4"/>
    <x v="1"/>
  </r>
  <r>
    <x v="0"/>
    <x v="0"/>
    <x v="13"/>
    <n v="0"/>
    <s v="Haber"/>
    <x v="1"/>
    <x v="1"/>
    <x v="1"/>
    <x v="1"/>
    <n v="0"/>
    <s v=""/>
    <n v="0"/>
    <x v="4"/>
    <x v="1"/>
    <x v="2"/>
    <x v="11"/>
    <x v="11"/>
    <s v=""/>
    <x v="0"/>
    <x v="0"/>
    <n v="1515"/>
    <x v="11"/>
    <s v=""/>
    <x v="4"/>
    <x v="1"/>
  </r>
  <r>
    <x v="0"/>
    <x v="0"/>
    <x v="13"/>
    <n v="0"/>
    <s v="Haber"/>
    <x v="1"/>
    <x v="1"/>
    <x v="1"/>
    <x v="1"/>
    <n v="0"/>
    <s v=""/>
    <n v="0"/>
    <x v="4"/>
    <x v="1"/>
    <x v="2"/>
    <x v="11"/>
    <x v="11"/>
    <s v=""/>
    <x v="0"/>
    <x v="0"/>
    <n v="1531"/>
    <x v="11"/>
    <s v=""/>
    <x v="4"/>
    <x v="1"/>
  </r>
  <r>
    <x v="0"/>
    <x v="0"/>
    <x v="13"/>
    <n v="0"/>
    <s v="Haber"/>
    <x v="1"/>
    <x v="1"/>
    <x v="1"/>
    <x v="1"/>
    <n v="0"/>
    <s v=""/>
    <n v="0"/>
    <x v="4"/>
    <x v="1"/>
    <x v="2"/>
    <x v="11"/>
    <x v="11"/>
    <s v=""/>
    <x v="0"/>
    <x v="0"/>
    <n v="1532"/>
    <x v="11"/>
    <s v=""/>
    <x v="4"/>
    <x v="1"/>
  </r>
  <r>
    <x v="0"/>
    <x v="0"/>
    <x v="13"/>
    <n v="0"/>
    <s v="Haber"/>
    <x v="1"/>
    <x v="1"/>
    <x v="1"/>
    <x v="1"/>
    <n v="0"/>
    <s v=""/>
    <n v="0"/>
    <x v="4"/>
    <x v="1"/>
    <x v="2"/>
    <x v="11"/>
    <x v="11"/>
    <s v=""/>
    <x v="0"/>
    <x v="0"/>
    <n v="1533"/>
    <x v="11"/>
    <s v=""/>
    <x v="4"/>
    <x v="1"/>
  </r>
  <r>
    <x v="0"/>
    <x v="0"/>
    <x v="13"/>
    <s v="HABER"/>
    <s v="Haber"/>
    <x v="1"/>
    <x v="1"/>
    <x v="1"/>
    <x v="1"/>
    <n v="0"/>
    <s v=""/>
    <s v="HABER"/>
    <x v="4"/>
    <x v="1"/>
    <x v="2"/>
    <x v="11"/>
    <x v="11"/>
    <s v=""/>
    <x v="0"/>
    <x v="0"/>
    <n v="1534"/>
    <x v="11"/>
    <s v=""/>
    <x v="4"/>
    <x v="1"/>
  </r>
  <r>
    <x v="0"/>
    <x v="0"/>
    <x v="13"/>
    <n v="0"/>
    <s v="Haber"/>
    <x v="1"/>
    <x v="1"/>
    <x v="1"/>
    <x v="1"/>
    <n v="0"/>
    <s v=""/>
    <n v="0"/>
    <x v="4"/>
    <x v="1"/>
    <x v="2"/>
    <x v="11"/>
    <x v="11"/>
    <s v=""/>
    <x v="0"/>
    <x v="0"/>
    <n v="1535"/>
    <x v="11"/>
    <s v=""/>
    <x v="4"/>
    <x v="1"/>
  </r>
  <r>
    <x v="0"/>
    <x v="0"/>
    <x v="13"/>
    <n v="0"/>
    <s v="Haber"/>
    <x v="1"/>
    <x v="1"/>
    <x v="1"/>
    <x v="1"/>
    <n v="0"/>
    <s v=""/>
    <n v="0"/>
    <x v="4"/>
    <x v="1"/>
    <x v="2"/>
    <x v="11"/>
    <x v="11"/>
    <s v=""/>
    <x v="0"/>
    <x v="0"/>
    <n v="1540"/>
    <x v="11"/>
    <s v=""/>
    <x v="4"/>
    <x v="1"/>
  </r>
  <r>
    <x v="0"/>
    <x v="0"/>
    <x v="13"/>
    <n v="0"/>
    <s v="Haber"/>
    <x v="1"/>
    <x v="1"/>
    <x v="1"/>
    <x v="1"/>
    <n v="0"/>
    <s v=""/>
    <n v="0"/>
    <x v="4"/>
    <x v="1"/>
    <x v="2"/>
    <x v="11"/>
    <x v="11"/>
    <s v=""/>
    <x v="0"/>
    <x v="0"/>
    <n v="1541"/>
    <x v="11"/>
    <s v=""/>
    <x v="4"/>
    <x v="1"/>
  </r>
  <r>
    <x v="0"/>
    <x v="0"/>
    <x v="13"/>
    <n v="0"/>
    <s v="Haber"/>
    <x v="1"/>
    <x v="1"/>
    <x v="1"/>
    <x v="1"/>
    <n v="0"/>
    <s v=""/>
    <n v="0"/>
    <x v="4"/>
    <x v="1"/>
    <x v="2"/>
    <x v="11"/>
    <x v="11"/>
    <s v=""/>
    <x v="0"/>
    <x v="0"/>
    <n v="1542"/>
    <x v="11"/>
    <s v=""/>
    <x v="4"/>
    <x v="1"/>
  </r>
  <r>
    <x v="0"/>
    <x v="0"/>
    <x v="13"/>
    <s v="HABER"/>
    <s v="Haber"/>
    <x v="1"/>
    <x v="1"/>
    <x v="1"/>
    <x v="1"/>
    <n v="0"/>
    <s v=""/>
    <s v="HABER"/>
    <x v="4"/>
    <x v="1"/>
    <x v="2"/>
    <x v="11"/>
    <x v="11"/>
    <s v=""/>
    <x v="0"/>
    <x v="0"/>
    <n v="1545"/>
    <x v="11"/>
    <s v=""/>
    <x v="4"/>
    <x v="1"/>
  </r>
  <r>
    <x v="0"/>
    <x v="0"/>
    <x v="13"/>
    <n v="0"/>
    <s v="Haber"/>
    <x v="1"/>
    <x v="1"/>
    <x v="1"/>
    <x v="1"/>
    <n v="0"/>
    <s v=""/>
    <n v="0"/>
    <x v="4"/>
    <x v="1"/>
    <x v="2"/>
    <x v="11"/>
    <x v="11"/>
    <s v=""/>
    <x v="0"/>
    <x v="0"/>
    <n v="1546"/>
    <x v="11"/>
    <s v=""/>
    <x v="4"/>
    <x v="1"/>
  </r>
  <r>
    <x v="0"/>
    <x v="0"/>
    <x v="13"/>
    <n v="0"/>
    <s v="Haber"/>
    <x v="1"/>
    <x v="1"/>
    <x v="1"/>
    <x v="1"/>
    <n v="0"/>
    <s v=""/>
    <n v="0"/>
    <x v="4"/>
    <x v="1"/>
    <x v="2"/>
    <x v="11"/>
    <x v="11"/>
    <s v=""/>
    <x v="0"/>
    <x v="0"/>
    <n v="1549"/>
    <x v="11"/>
    <s v=""/>
    <x v="4"/>
    <x v="1"/>
  </r>
  <r>
    <x v="0"/>
    <x v="0"/>
    <x v="13"/>
    <n v="0"/>
    <s v="Haber"/>
    <x v="1"/>
    <x v="1"/>
    <x v="1"/>
    <x v="1"/>
    <n v="0"/>
    <s v=""/>
    <n v="0"/>
    <x v="4"/>
    <x v="1"/>
    <x v="2"/>
    <x v="11"/>
    <x v="11"/>
    <s v=""/>
    <x v="0"/>
    <x v="0"/>
    <n v="1573"/>
    <x v="11"/>
    <s v=""/>
    <x v="4"/>
    <x v="1"/>
  </r>
  <r>
    <x v="0"/>
    <x v="0"/>
    <x v="13"/>
    <n v="0"/>
    <s v="Haber"/>
    <x v="1"/>
    <x v="1"/>
    <x v="1"/>
    <x v="1"/>
    <n v="0"/>
    <s v=""/>
    <n v="0"/>
    <x v="4"/>
    <x v="1"/>
    <x v="2"/>
    <x v="11"/>
    <x v="11"/>
    <s v=""/>
    <x v="0"/>
    <x v="0"/>
    <n v="1574"/>
    <x v="11"/>
    <s v=""/>
    <x v="4"/>
    <x v="1"/>
  </r>
  <r>
    <x v="0"/>
    <x v="0"/>
    <x v="13"/>
    <s v="HABER"/>
    <s v="Haber"/>
    <x v="1"/>
    <x v="1"/>
    <x v="1"/>
    <x v="1"/>
    <n v="0"/>
    <s v=""/>
    <s v="HABER"/>
    <x v="4"/>
    <x v="1"/>
    <x v="2"/>
    <x v="11"/>
    <x v="11"/>
    <s v=""/>
    <x v="0"/>
    <x v="0"/>
    <n v="1575"/>
    <x v="11"/>
    <s v=""/>
    <x v="4"/>
    <x v="1"/>
  </r>
  <r>
    <x v="0"/>
    <x v="0"/>
    <x v="13"/>
    <n v="0"/>
    <s v="Haber"/>
    <x v="1"/>
    <x v="1"/>
    <x v="1"/>
    <x v="1"/>
    <n v="0"/>
    <s v=""/>
    <n v="0"/>
    <x v="4"/>
    <x v="1"/>
    <x v="2"/>
    <x v="11"/>
    <x v="11"/>
    <s v=""/>
    <x v="0"/>
    <x v="0"/>
    <n v="1576"/>
    <x v="11"/>
    <s v=""/>
    <x v="4"/>
    <x v="1"/>
  </r>
  <r>
    <x v="0"/>
    <x v="0"/>
    <x v="13"/>
    <n v="0"/>
    <s v="Haber"/>
    <x v="1"/>
    <x v="1"/>
    <x v="1"/>
    <x v="1"/>
    <n v="0"/>
    <s v=""/>
    <n v="0"/>
    <x v="4"/>
    <x v="1"/>
    <x v="2"/>
    <x v="11"/>
    <x v="11"/>
    <s v=""/>
    <x v="0"/>
    <x v="0"/>
    <n v="1579"/>
    <x v="11"/>
    <s v=""/>
    <x v="4"/>
    <x v="1"/>
  </r>
  <r>
    <x v="0"/>
    <x v="0"/>
    <x v="13"/>
    <n v="0"/>
    <s v="Haber"/>
    <x v="1"/>
    <x v="1"/>
    <x v="1"/>
    <x v="1"/>
    <n v="0"/>
    <s v=""/>
    <n v="0"/>
    <x v="4"/>
    <x v="1"/>
    <x v="2"/>
    <x v="11"/>
    <x v="11"/>
    <s v=""/>
    <x v="0"/>
    <x v="0"/>
    <n v="1580"/>
    <x v="11"/>
    <s v=""/>
    <x v="4"/>
    <x v="1"/>
  </r>
  <r>
    <x v="0"/>
    <x v="0"/>
    <x v="13"/>
    <n v="0"/>
    <s v="Haber"/>
    <x v="1"/>
    <x v="1"/>
    <x v="1"/>
    <x v="1"/>
    <n v="0"/>
    <s v=""/>
    <n v="0"/>
    <x v="4"/>
    <x v="1"/>
    <x v="2"/>
    <x v="11"/>
    <x v="11"/>
    <s v=""/>
    <x v="0"/>
    <x v="0"/>
    <n v="1581"/>
    <x v="11"/>
    <s v=""/>
    <x v="4"/>
    <x v="1"/>
  </r>
  <r>
    <x v="0"/>
    <x v="0"/>
    <x v="13"/>
    <s v="HABER"/>
    <s v="Haber"/>
    <x v="1"/>
    <x v="1"/>
    <x v="1"/>
    <x v="1"/>
    <n v="0"/>
    <s v=""/>
    <s v="HABER"/>
    <x v="4"/>
    <x v="1"/>
    <x v="2"/>
    <x v="11"/>
    <x v="11"/>
    <s v=""/>
    <x v="0"/>
    <x v="0"/>
    <n v="1582"/>
    <x v="11"/>
    <s v=""/>
    <x v="4"/>
    <x v="1"/>
  </r>
  <r>
    <x v="0"/>
    <x v="0"/>
    <x v="13"/>
    <n v="0"/>
    <s v="Haber"/>
    <x v="1"/>
    <x v="1"/>
    <x v="1"/>
    <x v="1"/>
    <n v="0"/>
    <s v=""/>
    <n v="0"/>
    <x v="4"/>
    <x v="1"/>
    <x v="2"/>
    <x v="11"/>
    <x v="11"/>
    <s v=""/>
    <x v="0"/>
    <x v="0"/>
    <n v="1583"/>
    <x v="11"/>
    <s v=""/>
    <x v="4"/>
    <x v="1"/>
  </r>
  <r>
    <x v="0"/>
    <x v="0"/>
    <x v="13"/>
    <n v="0"/>
    <s v="Haber"/>
    <x v="1"/>
    <x v="1"/>
    <x v="1"/>
    <x v="1"/>
    <n v="0"/>
    <s v=""/>
    <n v="0"/>
    <x v="4"/>
    <x v="1"/>
    <x v="2"/>
    <x v="11"/>
    <x v="11"/>
    <s v=""/>
    <x v="0"/>
    <x v="0"/>
    <n v="1586"/>
    <x v="11"/>
    <s v=""/>
    <x v="4"/>
    <x v="1"/>
  </r>
  <r>
    <x v="0"/>
    <x v="0"/>
    <x v="13"/>
    <n v="0"/>
    <s v="Haber"/>
    <x v="1"/>
    <x v="1"/>
    <x v="1"/>
    <x v="1"/>
    <n v="0"/>
    <s v=""/>
    <n v="0"/>
    <x v="4"/>
    <x v="1"/>
    <x v="2"/>
    <x v="11"/>
    <x v="11"/>
    <s v=""/>
    <x v="0"/>
    <x v="0"/>
    <n v="1587"/>
    <x v="11"/>
    <s v=""/>
    <x v="4"/>
    <x v="1"/>
  </r>
  <r>
    <x v="0"/>
    <x v="0"/>
    <x v="13"/>
    <n v="0"/>
    <s v="Haber"/>
    <x v="1"/>
    <x v="1"/>
    <x v="1"/>
    <x v="1"/>
    <n v="0"/>
    <s v=""/>
    <n v="0"/>
    <x v="4"/>
    <x v="1"/>
    <x v="2"/>
    <x v="11"/>
    <x v="11"/>
    <s v=""/>
    <x v="0"/>
    <x v="0"/>
    <n v="1588"/>
    <x v="11"/>
    <s v=""/>
    <x v="4"/>
    <x v="1"/>
  </r>
  <r>
    <x v="0"/>
    <x v="0"/>
    <x v="13"/>
    <s v="HABER"/>
    <s v="Haber"/>
    <x v="1"/>
    <x v="1"/>
    <x v="1"/>
    <x v="1"/>
    <n v="0"/>
    <s v=""/>
    <s v="HABER"/>
    <x v="4"/>
    <x v="1"/>
    <x v="2"/>
    <x v="11"/>
    <x v="11"/>
    <s v=""/>
    <x v="0"/>
    <x v="0"/>
    <n v="1589"/>
    <x v="11"/>
    <s v=""/>
    <x v="4"/>
    <x v="1"/>
  </r>
  <r>
    <x v="0"/>
    <x v="0"/>
    <x v="13"/>
    <n v="0"/>
    <s v="Haber"/>
    <x v="1"/>
    <x v="1"/>
    <x v="1"/>
    <x v="1"/>
    <n v="0"/>
    <s v=""/>
    <n v="0"/>
    <x v="4"/>
    <x v="1"/>
    <x v="2"/>
    <x v="11"/>
    <x v="11"/>
    <s v=""/>
    <x v="0"/>
    <x v="0"/>
    <n v="1590"/>
    <x v="11"/>
    <s v=""/>
    <x v="4"/>
    <x v="1"/>
  </r>
  <r>
    <x v="0"/>
    <x v="0"/>
    <x v="13"/>
    <n v="0"/>
    <s v="Haber"/>
    <x v="1"/>
    <x v="1"/>
    <x v="1"/>
    <x v="1"/>
    <n v="0"/>
    <s v=""/>
    <n v="0"/>
    <x v="4"/>
    <x v="1"/>
    <x v="2"/>
    <x v="11"/>
    <x v="11"/>
    <s v=""/>
    <x v="0"/>
    <x v="0"/>
    <n v="1595"/>
    <x v="11"/>
    <s v=""/>
    <x v="4"/>
    <x v="1"/>
  </r>
  <r>
    <x v="0"/>
    <x v="0"/>
    <x v="13"/>
    <n v="0"/>
    <s v="Haber"/>
    <x v="1"/>
    <x v="1"/>
    <x v="1"/>
    <x v="1"/>
    <n v="0"/>
    <s v=""/>
    <n v="0"/>
    <x v="4"/>
    <x v="1"/>
    <x v="2"/>
    <x v="11"/>
    <x v="11"/>
    <s v=""/>
    <x v="0"/>
    <x v="0"/>
    <n v="1596"/>
    <x v="11"/>
    <s v=""/>
    <x v="4"/>
    <x v="1"/>
  </r>
  <r>
    <x v="0"/>
    <x v="0"/>
    <x v="13"/>
    <n v="0"/>
    <s v="Haber"/>
    <x v="1"/>
    <x v="1"/>
    <x v="1"/>
    <x v="1"/>
    <n v="0"/>
    <s v=""/>
    <n v="0"/>
    <x v="4"/>
    <x v="1"/>
    <x v="2"/>
    <x v="11"/>
    <x v="11"/>
    <s v=""/>
    <x v="0"/>
    <x v="0"/>
    <n v="1597"/>
    <x v="11"/>
    <s v=""/>
    <x v="4"/>
    <x v="1"/>
  </r>
  <r>
    <x v="0"/>
    <x v="0"/>
    <x v="13"/>
    <s v="HABER"/>
    <s v="Haber"/>
    <x v="1"/>
    <x v="1"/>
    <x v="1"/>
    <x v="1"/>
    <n v="0"/>
    <s v=""/>
    <s v="HABER"/>
    <x v="4"/>
    <x v="1"/>
    <x v="2"/>
    <x v="11"/>
    <x v="11"/>
    <s v=""/>
    <x v="0"/>
    <x v="0"/>
    <n v="1598"/>
    <x v="11"/>
    <s v=""/>
    <x v="4"/>
    <x v="1"/>
  </r>
  <r>
    <x v="0"/>
    <x v="0"/>
    <x v="13"/>
    <n v="0"/>
    <s v="Haber"/>
    <x v="1"/>
    <x v="1"/>
    <x v="1"/>
    <x v="1"/>
    <n v="0"/>
    <s v=""/>
    <n v="0"/>
    <x v="4"/>
    <x v="1"/>
    <x v="2"/>
    <x v="11"/>
    <x v="11"/>
    <s v=""/>
    <x v="0"/>
    <x v="0"/>
    <n v="1599"/>
    <x v="11"/>
    <s v=""/>
    <x v="4"/>
    <x v="1"/>
  </r>
  <r>
    <x v="0"/>
    <x v="0"/>
    <x v="13"/>
    <n v="0"/>
    <s v="Haber"/>
    <x v="1"/>
    <x v="1"/>
    <x v="1"/>
    <x v="1"/>
    <n v="0"/>
    <s v=""/>
    <n v="0"/>
    <x v="4"/>
    <x v="1"/>
    <x v="2"/>
    <x v="11"/>
    <x v="11"/>
    <s v=""/>
    <x v="0"/>
    <x v="0"/>
    <n v="1602"/>
    <x v="11"/>
    <s v=""/>
    <x v="4"/>
    <x v="1"/>
  </r>
  <r>
    <x v="0"/>
    <x v="0"/>
    <x v="13"/>
    <n v="0"/>
    <s v="Haber"/>
    <x v="1"/>
    <x v="1"/>
    <x v="1"/>
    <x v="1"/>
    <n v="0"/>
    <s v=""/>
    <n v="0"/>
    <x v="4"/>
    <x v="1"/>
    <x v="2"/>
    <x v="11"/>
    <x v="11"/>
    <s v=""/>
    <x v="0"/>
    <x v="0"/>
    <n v="1603"/>
    <x v="11"/>
    <s v=""/>
    <x v="4"/>
    <x v="1"/>
  </r>
  <r>
    <x v="0"/>
    <x v="0"/>
    <x v="13"/>
    <n v="0"/>
    <s v="Haber"/>
    <x v="1"/>
    <x v="1"/>
    <x v="1"/>
    <x v="1"/>
    <n v="0"/>
    <s v=""/>
    <n v="0"/>
    <x v="4"/>
    <x v="1"/>
    <x v="2"/>
    <x v="11"/>
    <x v="11"/>
    <s v=""/>
    <x v="0"/>
    <x v="0"/>
    <n v="1604"/>
    <x v="11"/>
    <s v=""/>
    <x v="4"/>
    <x v="1"/>
  </r>
  <r>
    <x v="0"/>
    <x v="0"/>
    <x v="13"/>
    <s v="HABER"/>
    <s v="Haber"/>
    <x v="1"/>
    <x v="1"/>
    <x v="1"/>
    <x v="1"/>
    <n v="0"/>
    <s v=""/>
    <s v="HABER"/>
    <x v="4"/>
    <x v="1"/>
    <x v="2"/>
    <x v="11"/>
    <x v="11"/>
    <s v=""/>
    <x v="0"/>
    <x v="0"/>
    <n v="1605"/>
    <x v="11"/>
    <s v=""/>
    <x v="4"/>
    <x v="1"/>
  </r>
  <r>
    <x v="0"/>
    <x v="0"/>
    <x v="13"/>
    <n v="0"/>
    <s v="Haber"/>
    <x v="1"/>
    <x v="1"/>
    <x v="1"/>
    <x v="1"/>
    <n v="0"/>
    <s v=""/>
    <n v="0"/>
    <x v="4"/>
    <x v="1"/>
    <x v="2"/>
    <x v="11"/>
    <x v="11"/>
    <s v=""/>
    <x v="0"/>
    <x v="0"/>
    <n v="1606"/>
    <x v="11"/>
    <s v=""/>
    <x v="4"/>
    <x v="1"/>
  </r>
  <r>
    <x v="0"/>
    <x v="0"/>
    <x v="13"/>
    <n v="0"/>
    <s v="Haber"/>
    <x v="1"/>
    <x v="1"/>
    <x v="1"/>
    <x v="1"/>
    <n v="0"/>
    <s v=""/>
    <n v="0"/>
    <x v="4"/>
    <x v="1"/>
    <x v="2"/>
    <x v="11"/>
    <x v="11"/>
    <s v=""/>
    <x v="0"/>
    <x v="0"/>
    <n v="1609"/>
    <x v="11"/>
    <s v=""/>
    <x v="4"/>
    <x v="1"/>
  </r>
  <r>
    <x v="0"/>
    <x v="0"/>
    <x v="13"/>
    <n v="0"/>
    <s v="Haber"/>
    <x v="1"/>
    <x v="1"/>
    <x v="1"/>
    <x v="1"/>
    <n v="0"/>
    <s v=""/>
    <n v="0"/>
    <x v="4"/>
    <x v="1"/>
    <x v="2"/>
    <x v="11"/>
    <x v="11"/>
    <s v=""/>
    <x v="0"/>
    <x v="0"/>
    <n v="1610"/>
    <x v="11"/>
    <s v=""/>
    <x v="4"/>
    <x v="1"/>
  </r>
  <r>
    <x v="0"/>
    <x v="0"/>
    <x v="13"/>
    <n v="0"/>
    <s v="Haber"/>
    <x v="1"/>
    <x v="1"/>
    <x v="1"/>
    <x v="1"/>
    <n v="0"/>
    <s v=""/>
    <n v="0"/>
    <x v="4"/>
    <x v="1"/>
    <x v="2"/>
    <x v="11"/>
    <x v="11"/>
    <s v=""/>
    <x v="0"/>
    <x v="0"/>
    <n v="1611"/>
    <x v="11"/>
    <s v=""/>
    <x v="4"/>
    <x v="1"/>
  </r>
  <r>
    <x v="0"/>
    <x v="0"/>
    <x v="13"/>
    <s v="HABER"/>
    <s v="Haber"/>
    <x v="1"/>
    <x v="1"/>
    <x v="1"/>
    <x v="1"/>
    <n v="0"/>
    <s v=""/>
    <s v="HABER"/>
    <x v="4"/>
    <x v="1"/>
    <x v="2"/>
    <x v="11"/>
    <x v="11"/>
    <s v=""/>
    <x v="0"/>
    <x v="0"/>
    <n v="1612"/>
    <x v="11"/>
    <s v=""/>
    <x v="4"/>
    <x v="1"/>
  </r>
  <r>
    <x v="0"/>
    <x v="0"/>
    <x v="13"/>
    <n v="0"/>
    <s v="Haber"/>
    <x v="1"/>
    <x v="1"/>
    <x v="1"/>
    <x v="1"/>
    <n v="0"/>
    <s v=""/>
    <n v="0"/>
    <x v="4"/>
    <x v="1"/>
    <x v="2"/>
    <x v="11"/>
    <x v="11"/>
    <s v=""/>
    <x v="0"/>
    <x v="0"/>
    <n v="1613"/>
    <x v="11"/>
    <s v=""/>
    <x v="4"/>
    <x v="1"/>
  </r>
  <r>
    <x v="0"/>
    <x v="0"/>
    <x v="13"/>
    <n v="0"/>
    <s v="Haber"/>
    <x v="1"/>
    <x v="1"/>
    <x v="1"/>
    <x v="1"/>
    <n v="0"/>
    <s v=""/>
    <n v="0"/>
    <x v="4"/>
    <x v="1"/>
    <x v="2"/>
    <x v="11"/>
    <x v="11"/>
    <s v=""/>
    <x v="0"/>
    <x v="0"/>
    <n v="1616"/>
    <x v="11"/>
    <s v=""/>
    <x v="4"/>
    <x v="1"/>
  </r>
  <r>
    <x v="0"/>
    <x v="0"/>
    <x v="13"/>
    <n v="0"/>
    <s v="Haber"/>
    <x v="1"/>
    <x v="1"/>
    <x v="1"/>
    <x v="1"/>
    <n v="0"/>
    <s v=""/>
    <n v="0"/>
    <x v="4"/>
    <x v="1"/>
    <x v="2"/>
    <x v="11"/>
    <x v="11"/>
    <s v=""/>
    <x v="0"/>
    <x v="0"/>
    <n v="1617"/>
    <x v="11"/>
    <s v=""/>
    <x v="4"/>
    <x v="1"/>
  </r>
  <r>
    <x v="0"/>
    <x v="0"/>
    <x v="13"/>
    <n v="0"/>
    <s v="Haber"/>
    <x v="1"/>
    <x v="1"/>
    <x v="1"/>
    <x v="1"/>
    <n v="0"/>
    <s v=""/>
    <n v="0"/>
    <x v="4"/>
    <x v="1"/>
    <x v="2"/>
    <x v="11"/>
    <x v="11"/>
    <s v=""/>
    <x v="0"/>
    <x v="0"/>
    <n v="1618"/>
    <x v="11"/>
    <s v=""/>
    <x v="4"/>
    <x v="1"/>
  </r>
  <r>
    <x v="0"/>
    <x v="0"/>
    <x v="13"/>
    <s v="HABER"/>
    <s v="Haber"/>
    <x v="1"/>
    <x v="1"/>
    <x v="1"/>
    <x v="1"/>
    <n v="0"/>
    <s v=""/>
    <s v="HABER"/>
    <x v="4"/>
    <x v="1"/>
    <x v="2"/>
    <x v="11"/>
    <x v="11"/>
    <s v=""/>
    <x v="0"/>
    <x v="0"/>
    <n v="1619"/>
    <x v="11"/>
    <s v=""/>
    <x v="4"/>
    <x v="1"/>
  </r>
  <r>
    <x v="0"/>
    <x v="0"/>
    <x v="13"/>
    <n v="0"/>
    <s v="Haber"/>
    <x v="1"/>
    <x v="1"/>
    <x v="1"/>
    <x v="1"/>
    <n v="0"/>
    <s v=""/>
    <n v="0"/>
    <x v="4"/>
    <x v="1"/>
    <x v="2"/>
    <x v="11"/>
    <x v="11"/>
    <s v=""/>
    <x v="0"/>
    <x v="0"/>
    <n v="1620"/>
    <x v="11"/>
    <s v=""/>
    <x v="4"/>
    <x v="1"/>
  </r>
  <r>
    <x v="0"/>
    <x v="0"/>
    <x v="13"/>
    <n v="0"/>
    <s v="Haber"/>
    <x v="1"/>
    <x v="1"/>
    <x v="1"/>
    <x v="1"/>
    <n v="0"/>
    <s v=""/>
    <n v="0"/>
    <x v="4"/>
    <x v="1"/>
    <x v="2"/>
    <x v="11"/>
    <x v="11"/>
    <s v=""/>
    <x v="0"/>
    <x v="0"/>
    <n v="1623"/>
    <x v="11"/>
    <s v=""/>
    <x v="4"/>
    <x v="1"/>
  </r>
  <r>
    <x v="0"/>
    <x v="0"/>
    <x v="13"/>
    <n v="0"/>
    <s v="Haber"/>
    <x v="1"/>
    <x v="1"/>
    <x v="1"/>
    <x v="1"/>
    <n v="0"/>
    <s v=""/>
    <n v="0"/>
    <x v="4"/>
    <x v="1"/>
    <x v="2"/>
    <x v="11"/>
    <x v="11"/>
    <s v=""/>
    <x v="0"/>
    <x v="0"/>
    <n v="1624"/>
    <x v="11"/>
    <s v=""/>
    <x v="4"/>
    <x v="1"/>
  </r>
  <r>
    <x v="0"/>
    <x v="0"/>
    <x v="13"/>
    <n v="0"/>
    <s v="Haber"/>
    <x v="1"/>
    <x v="1"/>
    <x v="1"/>
    <x v="1"/>
    <n v="0"/>
    <s v=""/>
    <n v="0"/>
    <x v="4"/>
    <x v="1"/>
    <x v="2"/>
    <x v="11"/>
    <x v="11"/>
    <s v=""/>
    <x v="0"/>
    <x v="0"/>
    <n v="1625"/>
    <x v="11"/>
    <s v=""/>
    <x v="4"/>
    <x v="1"/>
  </r>
  <r>
    <x v="0"/>
    <x v="0"/>
    <x v="13"/>
    <s v="HABER"/>
    <s v="Haber"/>
    <x v="1"/>
    <x v="1"/>
    <x v="1"/>
    <x v="1"/>
    <n v="0"/>
    <s v=""/>
    <s v="HABER"/>
    <x v="4"/>
    <x v="1"/>
    <x v="2"/>
    <x v="11"/>
    <x v="11"/>
    <s v=""/>
    <x v="0"/>
    <x v="0"/>
    <n v="1626"/>
    <x v="11"/>
    <s v=""/>
    <x v="4"/>
    <x v="1"/>
  </r>
  <r>
    <x v="0"/>
    <x v="0"/>
    <x v="13"/>
    <n v="0"/>
    <s v="Haber"/>
    <x v="1"/>
    <x v="1"/>
    <x v="1"/>
    <x v="1"/>
    <n v="0"/>
    <s v=""/>
    <n v="0"/>
    <x v="4"/>
    <x v="1"/>
    <x v="2"/>
    <x v="11"/>
    <x v="11"/>
    <s v=""/>
    <x v="0"/>
    <x v="0"/>
    <n v="1627"/>
    <x v="11"/>
    <s v=""/>
    <x v="4"/>
    <x v="1"/>
  </r>
  <r>
    <x v="0"/>
    <x v="0"/>
    <x v="13"/>
    <n v="0"/>
    <s v="Haber"/>
    <x v="1"/>
    <x v="1"/>
    <x v="1"/>
    <x v="1"/>
    <n v="0"/>
    <s v=""/>
    <n v="0"/>
    <x v="4"/>
    <x v="1"/>
    <x v="2"/>
    <x v="11"/>
    <x v="11"/>
    <s v=""/>
    <x v="0"/>
    <x v="0"/>
    <n v="1630"/>
    <x v="11"/>
    <s v=""/>
    <x v="4"/>
    <x v="1"/>
  </r>
  <r>
    <x v="0"/>
    <x v="0"/>
    <x v="13"/>
    <n v="0"/>
    <s v="Haber"/>
    <x v="1"/>
    <x v="1"/>
    <x v="1"/>
    <x v="1"/>
    <n v="0"/>
    <s v=""/>
    <n v="0"/>
    <x v="4"/>
    <x v="1"/>
    <x v="2"/>
    <x v="11"/>
    <x v="11"/>
    <s v=""/>
    <x v="0"/>
    <x v="0"/>
    <n v="1631"/>
    <x v="11"/>
    <s v=""/>
    <x v="4"/>
    <x v="1"/>
  </r>
  <r>
    <x v="0"/>
    <x v="0"/>
    <x v="13"/>
    <n v="0"/>
    <s v="Haber"/>
    <x v="1"/>
    <x v="1"/>
    <x v="1"/>
    <x v="1"/>
    <n v="0"/>
    <s v=""/>
    <n v="0"/>
    <x v="4"/>
    <x v="1"/>
    <x v="2"/>
    <x v="11"/>
    <x v="11"/>
    <s v=""/>
    <x v="0"/>
    <x v="0"/>
    <n v="1632"/>
    <x v="11"/>
    <s v=""/>
    <x v="4"/>
    <x v="1"/>
  </r>
  <r>
    <x v="0"/>
    <x v="0"/>
    <x v="13"/>
    <s v="HABER"/>
    <s v="Haber"/>
    <x v="1"/>
    <x v="1"/>
    <x v="1"/>
    <x v="1"/>
    <n v="0"/>
    <s v=""/>
    <s v="HABER"/>
    <x v="4"/>
    <x v="1"/>
    <x v="2"/>
    <x v="11"/>
    <x v="11"/>
    <s v=""/>
    <x v="0"/>
    <x v="0"/>
    <n v="1633"/>
    <x v="11"/>
    <s v=""/>
    <x v="4"/>
    <x v="1"/>
  </r>
  <r>
    <x v="0"/>
    <x v="0"/>
    <x v="13"/>
    <n v="0"/>
    <s v="Haber"/>
    <x v="1"/>
    <x v="1"/>
    <x v="1"/>
    <x v="1"/>
    <n v="0"/>
    <s v=""/>
    <n v="0"/>
    <x v="4"/>
    <x v="1"/>
    <x v="2"/>
    <x v="11"/>
    <x v="11"/>
    <s v=""/>
    <x v="0"/>
    <x v="0"/>
    <n v="1634"/>
    <x v="11"/>
    <s v=""/>
    <x v="4"/>
    <x v="1"/>
  </r>
  <r>
    <x v="0"/>
    <x v="0"/>
    <x v="13"/>
    <n v="0"/>
    <s v="Haber"/>
    <x v="1"/>
    <x v="1"/>
    <x v="1"/>
    <x v="1"/>
    <n v="0"/>
    <s v=""/>
    <n v="0"/>
    <x v="4"/>
    <x v="1"/>
    <x v="2"/>
    <x v="11"/>
    <x v="11"/>
    <s v=""/>
    <x v="0"/>
    <x v="0"/>
    <n v="1637"/>
    <x v="11"/>
    <s v=""/>
    <x v="4"/>
    <x v="1"/>
  </r>
  <r>
    <x v="0"/>
    <x v="0"/>
    <x v="13"/>
    <n v="0"/>
    <s v="Haber"/>
    <x v="1"/>
    <x v="1"/>
    <x v="1"/>
    <x v="1"/>
    <n v="0"/>
    <s v=""/>
    <n v="0"/>
    <x v="4"/>
    <x v="1"/>
    <x v="2"/>
    <x v="11"/>
    <x v="11"/>
    <s v=""/>
    <x v="0"/>
    <x v="0"/>
    <n v="1638"/>
    <x v="11"/>
    <s v=""/>
    <x v="4"/>
    <x v="1"/>
  </r>
  <r>
    <x v="0"/>
    <x v="0"/>
    <x v="13"/>
    <n v="0"/>
    <s v="Haber"/>
    <x v="1"/>
    <x v="1"/>
    <x v="1"/>
    <x v="1"/>
    <n v="0"/>
    <s v=""/>
    <n v="0"/>
    <x v="4"/>
    <x v="1"/>
    <x v="2"/>
    <x v="11"/>
    <x v="11"/>
    <s v=""/>
    <x v="0"/>
    <x v="0"/>
    <n v="1639"/>
    <x v="11"/>
    <s v=""/>
    <x v="4"/>
    <x v="1"/>
  </r>
  <r>
    <x v="0"/>
    <x v="0"/>
    <x v="13"/>
    <s v="HABER"/>
    <s v="Haber"/>
    <x v="1"/>
    <x v="1"/>
    <x v="1"/>
    <x v="1"/>
    <n v="0"/>
    <s v=""/>
    <s v="HABER"/>
    <x v="4"/>
    <x v="1"/>
    <x v="2"/>
    <x v="11"/>
    <x v="11"/>
    <s v=""/>
    <x v="0"/>
    <x v="0"/>
    <n v="1640"/>
    <x v="11"/>
    <s v=""/>
    <x v="4"/>
    <x v="1"/>
  </r>
  <r>
    <x v="0"/>
    <x v="0"/>
    <x v="13"/>
    <n v="0"/>
    <s v="Haber"/>
    <x v="1"/>
    <x v="1"/>
    <x v="1"/>
    <x v="1"/>
    <n v="0"/>
    <s v=""/>
    <n v="0"/>
    <x v="4"/>
    <x v="1"/>
    <x v="2"/>
    <x v="11"/>
    <x v="11"/>
    <s v=""/>
    <x v="0"/>
    <x v="0"/>
    <n v="1641"/>
    <x v="11"/>
    <s v=""/>
    <x v="4"/>
    <x v="1"/>
  </r>
  <r>
    <x v="0"/>
    <x v="0"/>
    <x v="13"/>
    <n v="0"/>
    <s v="Haber"/>
    <x v="1"/>
    <x v="1"/>
    <x v="1"/>
    <x v="1"/>
    <n v="0"/>
    <s v=""/>
    <n v="0"/>
    <x v="4"/>
    <x v="1"/>
    <x v="2"/>
    <x v="11"/>
    <x v="11"/>
    <s v=""/>
    <x v="0"/>
    <x v="0"/>
    <n v="1644"/>
    <x v="11"/>
    <s v=""/>
    <x v="4"/>
    <x v="1"/>
  </r>
  <r>
    <x v="0"/>
    <x v="0"/>
    <x v="13"/>
    <n v="0"/>
    <s v="Haber"/>
    <x v="1"/>
    <x v="1"/>
    <x v="1"/>
    <x v="1"/>
    <n v="0"/>
    <s v=""/>
    <n v="0"/>
    <x v="4"/>
    <x v="1"/>
    <x v="2"/>
    <x v="11"/>
    <x v="11"/>
    <s v=""/>
    <x v="0"/>
    <x v="0"/>
    <n v="1645"/>
    <x v="11"/>
    <s v=""/>
    <x v="4"/>
    <x v="1"/>
  </r>
  <r>
    <x v="0"/>
    <x v="0"/>
    <x v="13"/>
    <n v="0"/>
    <s v="Haber"/>
    <x v="1"/>
    <x v="1"/>
    <x v="1"/>
    <x v="1"/>
    <n v="0"/>
    <s v=""/>
    <n v="0"/>
    <x v="4"/>
    <x v="1"/>
    <x v="2"/>
    <x v="11"/>
    <x v="11"/>
    <s v=""/>
    <x v="0"/>
    <x v="0"/>
    <n v="1646"/>
    <x v="11"/>
    <s v=""/>
    <x v="4"/>
    <x v="1"/>
  </r>
  <r>
    <x v="0"/>
    <x v="0"/>
    <x v="13"/>
    <s v="HABER"/>
    <s v="Haber"/>
    <x v="1"/>
    <x v="1"/>
    <x v="1"/>
    <x v="1"/>
    <n v="0"/>
    <s v=""/>
    <s v="HABER"/>
    <x v="4"/>
    <x v="1"/>
    <x v="2"/>
    <x v="11"/>
    <x v="11"/>
    <s v=""/>
    <x v="0"/>
    <x v="0"/>
    <n v="1647"/>
    <x v="11"/>
    <s v=""/>
    <x v="4"/>
    <x v="1"/>
  </r>
  <r>
    <x v="0"/>
    <x v="0"/>
    <x v="13"/>
    <n v="0"/>
    <s v="Haber"/>
    <x v="1"/>
    <x v="1"/>
    <x v="1"/>
    <x v="1"/>
    <n v="0"/>
    <s v=""/>
    <n v="0"/>
    <x v="4"/>
    <x v="1"/>
    <x v="2"/>
    <x v="11"/>
    <x v="11"/>
    <s v=""/>
    <x v="0"/>
    <x v="0"/>
    <n v="1648"/>
    <x v="11"/>
    <s v=""/>
    <x v="4"/>
    <x v="1"/>
  </r>
  <r>
    <x v="0"/>
    <x v="0"/>
    <x v="13"/>
    <n v="0"/>
    <s v="Haber"/>
    <x v="1"/>
    <x v="1"/>
    <x v="1"/>
    <x v="1"/>
    <n v="0"/>
    <s v=""/>
    <n v="0"/>
    <x v="4"/>
    <x v="1"/>
    <x v="2"/>
    <x v="11"/>
    <x v="11"/>
    <s v=""/>
    <x v="0"/>
    <x v="0"/>
    <n v="1651"/>
    <x v="11"/>
    <s v=""/>
    <x v="4"/>
    <x v="1"/>
  </r>
  <r>
    <x v="0"/>
    <x v="0"/>
    <x v="13"/>
    <n v="0"/>
    <s v="Haber"/>
    <x v="1"/>
    <x v="1"/>
    <x v="1"/>
    <x v="1"/>
    <n v="0"/>
    <s v=""/>
    <n v="0"/>
    <x v="4"/>
    <x v="1"/>
    <x v="2"/>
    <x v="11"/>
    <x v="11"/>
    <s v=""/>
    <x v="0"/>
    <x v="0"/>
    <n v="1652"/>
    <x v="11"/>
    <s v=""/>
    <x v="4"/>
    <x v="1"/>
  </r>
  <r>
    <x v="0"/>
    <x v="0"/>
    <x v="13"/>
    <n v="0"/>
    <s v="Haber"/>
    <x v="1"/>
    <x v="1"/>
    <x v="1"/>
    <x v="1"/>
    <n v="0"/>
    <s v=""/>
    <n v="0"/>
    <x v="4"/>
    <x v="1"/>
    <x v="2"/>
    <x v="11"/>
    <x v="11"/>
    <s v=""/>
    <x v="0"/>
    <x v="0"/>
    <n v="1653"/>
    <x v="11"/>
    <s v=""/>
    <x v="4"/>
    <x v="1"/>
  </r>
  <r>
    <x v="0"/>
    <x v="0"/>
    <x v="13"/>
    <s v="HABER"/>
    <s v="Haber"/>
    <x v="1"/>
    <x v="1"/>
    <x v="1"/>
    <x v="1"/>
    <n v="0"/>
    <s v=""/>
    <s v="HABER"/>
    <x v="4"/>
    <x v="1"/>
    <x v="2"/>
    <x v="11"/>
    <x v="11"/>
    <s v=""/>
    <x v="0"/>
    <x v="0"/>
    <n v="1654"/>
    <x v="11"/>
    <s v=""/>
    <x v="4"/>
    <x v="1"/>
  </r>
  <r>
    <x v="0"/>
    <x v="0"/>
    <x v="13"/>
    <n v="0"/>
    <s v="Haber"/>
    <x v="1"/>
    <x v="1"/>
    <x v="1"/>
    <x v="1"/>
    <n v="0"/>
    <s v=""/>
    <n v="0"/>
    <x v="4"/>
    <x v="1"/>
    <x v="2"/>
    <x v="11"/>
    <x v="11"/>
    <s v=""/>
    <x v="0"/>
    <x v="0"/>
    <n v="1655"/>
    <x v="11"/>
    <s v=""/>
    <x v="4"/>
    <x v="1"/>
  </r>
  <r>
    <x v="0"/>
    <x v="0"/>
    <x v="13"/>
    <n v="0"/>
    <s v="Haber"/>
    <x v="1"/>
    <x v="1"/>
    <x v="1"/>
    <x v="1"/>
    <n v="0"/>
    <s v=""/>
    <n v="0"/>
    <x v="4"/>
    <x v="1"/>
    <x v="2"/>
    <x v="11"/>
    <x v="11"/>
    <s v=""/>
    <x v="0"/>
    <x v="0"/>
    <n v="1658"/>
    <x v="11"/>
    <s v=""/>
    <x v="4"/>
    <x v="1"/>
  </r>
  <r>
    <x v="0"/>
    <x v="0"/>
    <x v="13"/>
    <n v="0"/>
    <s v="Haber"/>
    <x v="1"/>
    <x v="1"/>
    <x v="1"/>
    <x v="1"/>
    <n v="0"/>
    <s v=""/>
    <n v="0"/>
    <x v="4"/>
    <x v="1"/>
    <x v="2"/>
    <x v="11"/>
    <x v="11"/>
    <s v=""/>
    <x v="0"/>
    <x v="0"/>
    <n v="1659"/>
    <x v="11"/>
    <s v=""/>
    <x v="4"/>
    <x v="1"/>
  </r>
  <r>
    <x v="0"/>
    <x v="0"/>
    <x v="13"/>
    <n v="0"/>
    <s v="Haber"/>
    <x v="1"/>
    <x v="1"/>
    <x v="1"/>
    <x v="1"/>
    <n v="0"/>
    <s v=""/>
    <n v="0"/>
    <x v="4"/>
    <x v="1"/>
    <x v="2"/>
    <x v="11"/>
    <x v="11"/>
    <s v=""/>
    <x v="0"/>
    <x v="0"/>
    <n v="1660"/>
    <x v="11"/>
    <s v=""/>
    <x v="4"/>
    <x v="1"/>
  </r>
  <r>
    <x v="0"/>
    <x v="0"/>
    <x v="13"/>
    <s v="HABER"/>
    <s v="Haber"/>
    <x v="1"/>
    <x v="1"/>
    <x v="1"/>
    <x v="1"/>
    <n v="0"/>
    <s v=""/>
    <s v="HABER"/>
    <x v="4"/>
    <x v="1"/>
    <x v="2"/>
    <x v="11"/>
    <x v="11"/>
    <s v=""/>
    <x v="0"/>
    <x v="0"/>
    <n v="1661"/>
    <x v="11"/>
    <s v=""/>
    <x v="4"/>
    <x v="1"/>
  </r>
  <r>
    <x v="0"/>
    <x v="0"/>
    <x v="13"/>
    <n v="0"/>
    <s v="Haber"/>
    <x v="1"/>
    <x v="1"/>
    <x v="1"/>
    <x v="1"/>
    <n v="0"/>
    <s v=""/>
    <n v="0"/>
    <x v="4"/>
    <x v="1"/>
    <x v="2"/>
    <x v="11"/>
    <x v="11"/>
    <s v=""/>
    <x v="0"/>
    <x v="0"/>
    <n v="1662"/>
    <x v="11"/>
    <s v=""/>
    <x v="4"/>
    <x v="1"/>
  </r>
  <r>
    <x v="0"/>
    <x v="0"/>
    <x v="13"/>
    <n v="0"/>
    <s v="Haber"/>
    <x v="1"/>
    <x v="1"/>
    <x v="1"/>
    <x v="1"/>
    <n v="0"/>
    <s v=""/>
    <n v="0"/>
    <x v="4"/>
    <x v="1"/>
    <x v="2"/>
    <x v="11"/>
    <x v="11"/>
    <s v=""/>
    <x v="0"/>
    <x v="0"/>
    <n v="1665"/>
    <x v="11"/>
    <s v=""/>
    <x v="4"/>
    <x v="1"/>
  </r>
  <r>
    <x v="0"/>
    <x v="0"/>
    <x v="13"/>
    <n v="0"/>
    <s v="Haber"/>
    <x v="1"/>
    <x v="1"/>
    <x v="1"/>
    <x v="1"/>
    <n v="0"/>
    <s v=""/>
    <n v="0"/>
    <x v="4"/>
    <x v="1"/>
    <x v="2"/>
    <x v="11"/>
    <x v="11"/>
    <s v=""/>
    <x v="0"/>
    <x v="0"/>
    <n v="1666"/>
    <x v="11"/>
    <s v=""/>
    <x v="4"/>
    <x v="1"/>
  </r>
  <r>
    <x v="0"/>
    <x v="0"/>
    <x v="13"/>
    <n v="0"/>
    <s v="Haber"/>
    <x v="1"/>
    <x v="1"/>
    <x v="1"/>
    <x v="1"/>
    <n v="0"/>
    <s v=""/>
    <n v="0"/>
    <x v="4"/>
    <x v="1"/>
    <x v="2"/>
    <x v="11"/>
    <x v="11"/>
    <s v=""/>
    <x v="0"/>
    <x v="0"/>
    <n v="1667"/>
    <x v="11"/>
    <s v=""/>
    <x v="4"/>
    <x v="1"/>
  </r>
  <r>
    <x v="0"/>
    <x v="0"/>
    <x v="13"/>
    <s v="HABER"/>
    <s v="Haber"/>
    <x v="1"/>
    <x v="1"/>
    <x v="1"/>
    <x v="1"/>
    <n v="0"/>
    <s v=""/>
    <s v="HABER"/>
    <x v="4"/>
    <x v="1"/>
    <x v="2"/>
    <x v="11"/>
    <x v="11"/>
    <s v=""/>
    <x v="0"/>
    <x v="0"/>
    <n v="1668"/>
    <x v="11"/>
    <s v=""/>
    <x v="4"/>
    <x v="1"/>
  </r>
  <r>
    <x v="0"/>
    <x v="0"/>
    <x v="13"/>
    <n v="0"/>
    <s v="Haber"/>
    <x v="1"/>
    <x v="1"/>
    <x v="1"/>
    <x v="1"/>
    <n v="0"/>
    <s v=""/>
    <n v="0"/>
    <x v="4"/>
    <x v="1"/>
    <x v="2"/>
    <x v="11"/>
    <x v="11"/>
    <s v=""/>
    <x v="0"/>
    <x v="0"/>
    <n v="1669"/>
    <x v="11"/>
    <s v=""/>
    <x v="4"/>
    <x v="1"/>
  </r>
  <r>
    <x v="0"/>
    <x v="0"/>
    <x v="13"/>
    <n v="0"/>
    <s v="Haber"/>
    <x v="1"/>
    <x v="1"/>
    <x v="1"/>
    <x v="1"/>
    <n v="0"/>
    <s v=""/>
    <n v="0"/>
    <x v="4"/>
    <x v="1"/>
    <x v="2"/>
    <x v="11"/>
    <x v="11"/>
    <s v=""/>
    <x v="0"/>
    <x v="0"/>
    <n v="1672"/>
    <x v="11"/>
    <s v=""/>
    <x v="4"/>
    <x v="1"/>
  </r>
  <r>
    <x v="0"/>
    <x v="0"/>
    <x v="13"/>
    <n v="0"/>
    <s v="Haber"/>
    <x v="1"/>
    <x v="1"/>
    <x v="1"/>
    <x v="1"/>
    <n v="0"/>
    <s v=""/>
    <n v="0"/>
    <x v="4"/>
    <x v="1"/>
    <x v="2"/>
    <x v="11"/>
    <x v="11"/>
    <s v=""/>
    <x v="0"/>
    <x v="0"/>
    <n v="1673"/>
    <x v="11"/>
    <s v=""/>
    <x v="4"/>
    <x v="1"/>
  </r>
  <r>
    <x v="0"/>
    <x v="0"/>
    <x v="13"/>
    <n v="0"/>
    <s v="Haber"/>
    <x v="1"/>
    <x v="1"/>
    <x v="1"/>
    <x v="1"/>
    <n v="0"/>
    <s v=""/>
    <n v="0"/>
    <x v="4"/>
    <x v="1"/>
    <x v="2"/>
    <x v="11"/>
    <x v="11"/>
    <s v=""/>
    <x v="0"/>
    <x v="0"/>
    <n v="1674"/>
    <x v="11"/>
    <s v=""/>
    <x v="4"/>
    <x v="1"/>
  </r>
  <r>
    <x v="0"/>
    <x v="0"/>
    <x v="13"/>
    <s v="HABER"/>
    <s v="Haber"/>
    <x v="1"/>
    <x v="1"/>
    <x v="1"/>
    <x v="1"/>
    <n v="0"/>
    <s v=""/>
    <s v="HABER"/>
    <x v="4"/>
    <x v="1"/>
    <x v="2"/>
    <x v="11"/>
    <x v="11"/>
    <s v=""/>
    <x v="0"/>
    <x v="0"/>
    <n v="1675"/>
    <x v="11"/>
    <s v=""/>
    <x v="4"/>
    <x v="1"/>
  </r>
  <r>
    <x v="0"/>
    <x v="0"/>
    <x v="13"/>
    <n v="0"/>
    <s v="Haber"/>
    <x v="1"/>
    <x v="1"/>
    <x v="1"/>
    <x v="1"/>
    <n v="0"/>
    <s v=""/>
    <n v="0"/>
    <x v="4"/>
    <x v="1"/>
    <x v="2"/>
    <x v="11"/>
    <x v="11"/>
    <s v=""/>
    <x v="0"/>
    <x v="0"/>
    <n v="1676"/>
    <x v="11"/>
    <s v=""/>
    <x v="4"/>
    <x v="1"/>
  </r>
  <r>
    <x v="0"/>
    <x v="0"/>
    <x v="13"/>
    <n v="0"/>
    <s v="Haber"/>
    <x v="1"/>
    <x v="1"/>
    <x v="1"/>
    <x v="1"/>
    <n v="0"/>
    <s v=""/>
    <n v="0"/>
    <x v="4"/>
    <x v="1"/>
    <x v="2"/>
    <x v="11"/>
    <x v="11"/>
    <s v=""/>
    <x v="0"/>
    <x v="0"/>
    <n v="1679"/>
    <x v="11"/>
    <s v=""/>
    <x v="4"/>
    <x v="1"/>
  </r>
  <r>
    <x v="0"/>
    <x v="0"/>
    <x v="13"/>
    <n v="0"/>
    <s v="Haber"/>
    <x v="1"/>
    <x v="1"/>
    <x v="1"/>
    <x v="1"/>
    <n v="0"/>
    <s v=""/>
    <n v="0"/>
    <x v="4"/>
    <x v="1"/>
    <x v="2"/>
    <x v="11"/>
    <x v="11"/>
    <s v=""/>
    <x v="0"/>
    <x v="0"/>
    <n v="1680"/>
    <x v="11"/>
    <s v=""/>
    <x v="4"/>
    <x v="1"/>
  </r>
  <r>
    <x v="0"/>
    <x v="0"/>
    <x v="13"/>
    <n v="0"/>
    <s v="Haber"/>
    <x v="1"/>
    <x v="1"/>
    <x v="1"/>
    <x v="1"/>
    <n v="0"/>
    <s v=""/>
    <n v="0"/>
    <x v="4"/>
    <x v="1"/>
    <x v="2"/>
    <x v="11"/>
    <x v="11"/>
    <s v=""/>
    <x v="0"/>
    <x v="0"/>
    <n v="1681"/>
    <x v="11"/>
    <s v=""/>
    <x v="4"/>
    <x v="1"/>
  </r>
  <r>
    <x v="0"/>
    <x v="0"/>
    <x v="13"/>
    <s v="HABER"/>
    <s v="Haber"/>
    <x v="1"/>
    <x v="1"/>
    <x v="1"/>
    <x v="1"/>
    <n v="0"/>
    <s v=""/>
    <s v="HABER"/>
    <x v="4"/>
    <x v="1"/>
    <x v="2"/>
    <x v="11"/>
    <x v="11"/>
    <s v=""/>
    <x v="0"/>
    <x v="0"/>
    <n v="1682"/>
    <x v="11"/>
    <s v=""/>
    <x v="4"/>
    <x v="1"/>
  </r>
  <r>
    <x v="0"/>
    <x v="0"/>
    <x v="13"/>
    <n v="0"/>
    <s v="Haber"/>
    <x v="1"/>
    <x v="1"/>
    <x v="1"/>
    <x v="1"/>
    <n v="0"/>
    <s v=""/>
    <n v="0"/>
    <x v="4"/>
    <x v="1"/>
    <x v="2"/>
    <x v="11"/>
    <x v="11"/>
    <s v=""/>
    <x v="0"/>
    <x v="0"/>
    <n v="1683"/>
    <x v="11"/>
    <s v=""/>
    <x v="4"/>
    <x v="1"/>
  </r>
  <r>
    <x v="0"/>
    <x v="0"/>
    <x v="13"/>
    <n v="0"/>
    <s v="Haber"/>
    <x v="1"/>
    <x v="1"/>
    <x v="1"/>
    <x v="1"/>
    <n v="0"/>
    <s v=""/>
    <n v="0"/>
    <x v="4"/>
    <x v="1"/>
    <x v="2"/>
    <x v="11"/>
    <x v="11"/>
    <s v=""/>
    <x v="0"/>
    <x v="0"/>
    <n v="1686"/>
    <x v="11"/>
    <s v=""/>
    <x v="4"/>
    <x v="1"/>
  </r>
  <r>
    <x v="0"/>
    <x v="0"/>
    <x v="13"/>
    <n v="0"/>
    <s v="Haber"/>
    <x v="1"/>
    <x v="1"/>
    <x v="1"/>
    <x v="1"/>
    <n v="0"/>
    <s v=""/>
    <n v="0"/>
    <x v="4"/>
    <x v="1"/>
    <x v="2"/>
    <x v="11"/>
    <x v="11"/>
    <s v=""/>
    <x v="0"/>
    <x v="0"/>
    <n v="1687"/>
    <x v="11"/>
    <s v=""/>
    <x v="4"/>
    <x v="1"/>
  </r>
  <r>
    <x v="0"/>
    <x v="0"/>
    <x v="13"/>
    <n v="0"/>
    <s v="Haber"/>
    <x v="1"/>
    <x v="1"/>
    <x v="1"/>
    <x v="1"/>
    <n v="0"/>
    <s v=""/>
    <n v="0"/>
    <x v="4"/>
    <x v="1"/>
    <x v="2"/>
    <x v="11"/>
    <x v="11"/>
    <s v=""/>
    <x v="0"/>
    <x v="0"/>
    <n v="1688"/>
    <x v="11"/>
    <s v=""/>
    <x v="4"/>
    <x v="1"/>
  </r>
  <r>
    <x v="0"/>
    <x v="0"/>
    <x v="13"/>
    <s v="HABER"/>
    <s v="Haber"/>
    <x v="1"/>
    <x v="1"/>
    <x v="1"/>
    <x v="1"/>
    <n v="0"/>
    <s v=""/>
    <s v="HABER"/>
    <x v="4"/>
    <x v="1"/>
    <x v="2"/>
    <x v="11"/>
    <x v="11"/>
    <s v=""/>
    <x v="0"/>
    <x v="0"/>
    <n v="1689"/>
    <x v="11"/>
    <s v=""/>
    <x v="4"/>
    <x v="1"/>
  </r>
  <r>
    <x v="0"/>
    <x v="0"/>
    <x v="13"/>
    <n v="0"/>
    <s v="Haber"/>
    <x v="1"/>
    <x v="1"/>
    <x v="1"/>
    <x v="1"/>
    <n v="0"/>
    <s v=""/>
    <n v="0"/>
    <x v="4"/>
    <x v="1"/>
    <x v="2"/>
    <x v="11"/>
    <x v="11"/>
    <s v=""/>
    <x v="0"/>
    <x v="0"/>
    <n v="1690"/>
    <x v="11"/>
    <s v=""/>
    <x v="4"/>
    <x v="1"/>
  </r>
  <r>
    <x v="0"/>
    <x v="0"/>
    <x v="13"/>
    <n v="0"/>
    <s v="Haber"/>
    <x v="1"/>
    <x v="1"/>
    <x v="1"/>
    <x v="1"/>
    <n v="0"/>
    <s v=""/>
    <n v="0"/>
    <x v="4"/>
    <x v="1"/>
    <x v="2"/>
    <x v="11"/>
    <x v="11"/>
    <s v=""/>
    <x v="0"/>
    <x v="0"/>
    <n v="1693"/>
    <x v="11"/>
    <s v=""/>
    <x v="4"/>
    <x v="1"/>
  </r>
  <r>
    <x v="0"/>
    <x v="0"/>
    <x v="13"/>
    <n v="0"/>
    <s v="Haber"/>
    <x v="1"/>
    <x v="1"/>
    <x v="1"/>
    <x v="1"/>
    <n v="0"/>
    <s v=""/>
    <n v="0"/>
    <x v="4"/>
    <x v="1"/>
    <x v="2"/>
    <x v="11"/>
    <x v="11"/>
    <s v=""/>
    <x v="0"/>
    <x v="0"/>
    <n v="1694"/>
    <x v="11"/>
    <s v=""/>
    <x v="4"/>
    <x v="1"/>
  </r>
  <r>
    <x v="0"/>
    <x v="0"/>
    <x v="13"/>
    <n v="0"/>
    <s v="Haber"/>
    <x v="1"/>
    <x v="1"/>
    <x v="1"/>
    <x v="1"/>
    <n v="0"/>
    <s v=""/>
    <n v="0"/>
    <x v="4"/>
    <x v="1"/>
    <x v="2"/>
    <x v="11"/>
    <x v="11"/>
    <s v=""/>
    <x v="0"/>
    <x v="0"/>
    <n v="1695"/>
    <x v="11"/>
    <s v=""/>
    <x v="4"/>
    <x v="1"/>
  </r>
  <r>
    <x v="0"/>
    <x v="0"/>
    <x v="13"/>
    <s v="HABER"/>
    <s v="Haber"/>
    <x v="1"/>
    <x v="1"/>
    <x v="1"/>
    <x v="1"/>
    <n v="0"/>
    <s v=""/>
    <s v="HABER"/>
    <x v="4"/>
    <x v="1"/>
    <x v="2"/>
    <x v="11"/>
    <x v="11"/>
    <s v=""/>
    <x v="0"/>
    <x v="0"/>
    <n v="1696"/>
    <x v="11"/>
    <s v=""/>
    <x v="4"/>
    <x v="1"/>
  </r>
  <r>
    <x v="0"/>
    <x v="0"/>
    <x v="13"/>
    <n v="0"/>
    <s v="Haber"/>
    <x v="1"/>
    <x v="1"/>
    <x v="1"/>
    <x v="1"/>
    <n v="0"/>
    <s v=""/>
    <n v="0"/>
    <x v="4"/>
    <x v="1"/>
    <x v="2"/>
    <x v="11"/>
    <x v="11"/>
    <s v=""/>
    <x v="0"/>
    <x v="0"/>
    <n v="1697"/>
    <x v="11"/>
    <s v=""/>
    <x v="4"/>
    <x v="1"/>
  </r>
  <r>
    <x v="0"/>
    <x v="0"/>
    <x v="13"/>
    <n v="0"/>
    <s v="Haber"/>
    <x v="1"/>
    <x v="1"/>
    <x v="1"/>
    <x v="1"/>
    <n v="0"/>
    <s v=""/>
    <n v="0"/>
    <x v="4"/>
    <x v="1"/>
    <x v="2"/>
    <x v="11"/>
    <x v="11"/>
    <s v=""/>
    <x v="0"/>
    <x v="0"/>
    <n v="1700"/>
    <x v="11"/>
    <s v=""/>
    <x v="4"/>
    <x v="1"/>
  </r>
  <r>
    <x v="0"/>
    <x v="0"/>
    <x v="13"/>
    <n v="0"/>
    <s v="Haber"/>
    <x v="1"/>
    <x v="1"/>
    <x v="1"/>
    <x v="1"/>
    <n v="0"/>
    <s v=""/>
    <n v="0"/>
    <x v="4"/>
    <x v="1"/>
    <x v="2"/>
    <x v="11"/>
    <x v="11"/>
    <s v=""/>
    <x v="0"/>
    <x v="0"/>
    <n v="1701"/>
    <x v="11"/>
    <s v=""/>
    <x v="4"/>
    <x v="1"/>
  </r>
  <r>
    <x v="0"/>
    <x v="0"/>
    <x v="13"/>
    <n v="0"/>
    <s v="Haber"/>
    <x v="1"/>
    <x v="1"/>
    <x v="1"/>
    <x v="1"/>
    <n v="0"/>
    <s v=""/>
    <n v="0"/>
    <x v="4"/>
    <x v="1"/>
    <x v="2"/>
    <x v="11"/>
    <x v="11"/>
    <s v=""/>
    <x v="0"/>
    <x v="0"/>
    <n v="1702"/>
    <x v="11"/>
    <s v=""/>
    <x v="4"/>
    <x v="1"/>
  </r>
  <r>
    <x v="0"/>
    <x v="0"/>
    <x v="13"/>
    <s v="HABER"/>
    <s v="Haber"/>
    <x v="1"/>
    <x v="1"/>
    <x v="1"/>
    <x v="1"/>
    <n v="0"/>
    <s v=""/>
    <s v="HABER"/>
    <x v="4"/>
    <x v="1"/>
    <x v="2"/>
    <x v="11"/>
    <x v="11"/>
    <s v=""/>
    <x v="0"/>
    <x v="0"/>
    <n v="1703"/>
    <x v="11"/>
    <s v=""/>
    <x v="4"/>
    <x v="1"/>
  </r>
  <r>
    <x v="0"/>
    <x v="0"/>
    <x v="13"/>
    <n v="0"/>
    <s v="Haber"/>
    <x v="1"/>
    <x v="1"/>
    <x v="1"/>
    <x v="1"/>
    <n v="0"/>
    <s v=""/>
    <n v="0"/>
    <x v="4"/>
    <x v="1"/>
    <x v="2"/>
    <x v="11"/>
    <x v="11"/>
    <s v=""/>
    <x v="0"/>
    <x v="0"/>
    <n v="1704"/>
    <x v="11"/>
    <s v=""/>
    <x v="4"/>
    <x v="1"/>
  </r>
  <r>
    <x v="0"/>
    <x v="0"/>
    <x v="13"/>
    <n v="0"/>
    <s v="Haber"/>
    <x v="1"/>
    <x v="1"/>
    <x v="1"/>
    <x v="1"/>
    <n v="0"/>
    <s v=""/>
    <n v="0"/>
    <x v="4"/>
    <x v="1"/>
    <x v="2"/>
    <x v="11"/>
    <x v="11"/>
    <s v=""/>
    <x v="0"/>
    <x v="0"/>
    <n v="1707"/>
    <x v="11"/>
    <s v=""/>
    <x v="4"/>
    <x v="1"/>
  </r>
  <r>
    <x v="0"/>
    <x v="0"/>
    <x v="13"/>
    <n v="0"/>
    <s v="Haber"/>
    <x v="1"/>
    <x v="1"/>
    <x v="1"/>
    <x v="1"/>
    <n v="0"/>
    <s v=""/>
    <n v="0"/>
    <x v="4"/>
    <x v="1"/>
    <x v="2"/>
    <x v="11"/>
    <x v="11"/>
    <s v=""/>
    <x v="0"/>
    <x v="0"/>
    <n v="1708"/>
    <x v="11"/>
    <s v=""/>
    <x v="4"/>
    <x v="1"/>
  </r>
  <r>
    <x v="0"/>
    <x v="0"/>
    <x v="13"/>
    <n v="0"/>
    <s v="Haber"/>
    <x v="1"/>
    <x v="1"/>
    <x v="1"/>
    <x v="1"/>
    <n v="0"/>
    <s v=""/>
    <n v="0"/>
    <x v="4"/>
    <x v="1"/>
    <x v="2"/>
    <x v="11"/>
    <x v="11"/>
    <s v=""/>
    <x v="0"/>
    <x v="0"/>
    <n v="1709"/>
    <x v="11"/>
    <s v=""/>
    <x v="4"/>
    <x v="1"/>
  </r>
  <r>
    <x v="0"/>
    <x v="0"/>
    <x v="13"/>
    <s v="HABER"/>
    <s v="Haber"/>
    <x v="1"/>
    <x v="1"/>
    <x v="1"/>
    <x v="1"/>
    <n v="0"/>
    <s v=""/>
    <s v="HABER"/>
    <x v="4"/>
    <x v="1"/>
    <x v="2"/>
    <x v="11"/>
    <x v="11"/>
    <s v=""/>
    <x v="0"/>
    <x v="0"/>
    <n v="1710"/>
    <x v="11"/>
    <s v=""/>
    <x v="4"/>
    <x v="1"/>
  </r>
  <r>
    <x v="0"/>
    <x v="0"/>
    <x v="13"/>
    <n v="0"/>
    <s v="Haber"/>
    <x v="1"/>
    <x v="1"/>
    <x v="1"/>
    <x v="1"/>
    <n v="0"/>
    <s v=""/>
    <n v="0"/>
    <x v="4"/>
    <x v="1"/>
    <x v="2"/>
    <x v="11"/>
    <x v="11"/>
    <s v=""/>
    <x v="0"/>
    <x v="0"/>
    <n v="1711"/>
    <x v="11"/>
    <s v=""/>
    <x v="4"/>
    <x v="1"/>
  </r>
  <r>
    <x v="0"/>
    <x v="0"/>
    <x v="13"/>
    <n v="0"/>
    <s v="Haber"/>
    <x v="1"/>
    <x v="1"/>
    <x v="1"/>
    <x v="1"/>
    <n v="0"/>
    <s v=""/>
    <n v="0"/>
    <x v="4"/>
    <x v="1"/>
    <x v="2"/>
    <x v="11"/>
    <x v="11"/>
    <s v=""/>
    <x v="0"/>
    <x v="0"/>
    <n v="1714"/>
    <x v="11"/>
    <s v=""/>
    <x v="4"/>
    <x v="1"/>
  </r>
  <r>
    <x v="0"/>
    <x v="0"/>
    <x v="13"/>
    <n v="0"/>
    <s v="Haber"/>
    <x v="1"/>
    <x v="1"/>
    <x v="1"/>
    <x v="1"/>
    <n v="0"/>
    <s v=""/>
    <n v="0"/>
    <x v="4"/>
    <x v="1"/>
    <x v="2"/>
    <x v="11"/>
    <x v="11"/>
    <s v=""/>
    <x v="0"/>
    <x v="0"/>
    <n v="1715"/>
    <x v="11"/>
    <s v=""/>
    <x v="4"/>
    <x v="1"/>
  </r>
  <r>
    <x v="0"/>
    <x v="0"/>
    <x v="13"/>
    <n v="0"/>
    <s v="Haber"/>
    <x v="1"/>
    <x v="1"/>
    <x v="1"/>
    <x v="1"/>
    <n v="0"/>
    <s v=""/>
    <n v="0"/>
    <x v="4"/>
    <x v="1"/>
    <x v="2"/>
    <x v="11"/>
    <x v="11"/>
    <s v=""/>
    <x v="0"/>
    <x v="0"/>
    <n v="1716"/>
    <x v="11"/>
    <s v=""/>
    <x v="4"/>
    <x v="1"/>
  </r>
  <r>
    <x v="0"/>
    <x v="0"/>
    <x v="13"/>
    <s v="HABER"/>
    <s v="Haber"/>
    <x v="1"/>
    <x v="1"/>
    <x v="1"/>
    <x v="1"/>
    <n v="0"/>
    <s v=""/>
    <s v="HABER"/>
    <x v="4"/>
    <x v="1"/>
    <x v="2"/>
    <x v="11"/>
    <x v="11"/>
    <s v=""/>
    <x v="0"/>
    <x v="0"/>
    <n v="1717"/>
    <x v="11"/>
    <s v=""/>
    <x v="4"/>
    <x v="1"/>
  </r>
  <r>
    <x v="0"/>
    <x v="0"/>
    <x v="13"/>
    <n v="0"/>
    <s v="Haber"/>
    <x v="1"/>
    <x v="1"/>
    <x v="1"/>
    <x v="1"/>
    <n v="0"/>
    <s v=""/>
    <n v="0"/>
    <x v="4"/>
    <x v="1"/>
    <x v="2"/>
    <x v="11"/>
    <x v="11"/>
    <s v=""/>
    <x v="0"/>
    <x v="0"/>
    <n v="1718"/>
    <x v="11"/>
    <s v=""/>
    <x v="4"/>
    <x v="1"/>
  </r>
  <r>
    <x v="0"/>
    <x v="0"/>
    <x v="13"/>
    <n v="0"/>
    <s v="Haber"/>
    <x v="1"/>
    <x v="1"/>
    <x v="1"/>
    <x v="1"/>
    <n v="0"/>
    <s v=""/>
    <n v="0"/>
    <x v="4"/>
    <x v="1"/>
    <x v="2"/>
    <x v="11"/>
    <x v="11"/>
    <s v=""/>
    <x v="0"/>
    <x v="0"/>
    <n v="1721"/>
    <x v="11"/>
    <s v=""/>
    <x v="4"/>
    <x v="1"/>
  </r>
  <r>
    <x v="0"/>
    <x v="0"/>
    <x v="13"/>
    <n v="0"/>
    <s v="Haber"/>
    <x v="1"/>
    <x v="1"/>
    <x v="1"/>
    <x v="1"/>
    <n v="0"/>
    <s v=""/>
    <n v="0"/>
    <x v="4"/>
    <x v="1"/>
    <x v="2"/>
    <x v="11"/>
    <x v="11"/>
    <s v=""/>
    <x v="0"/>
    <x v="0"/>
    <n v="1722"/>
    <x v="11"/>
    <s v=""/>
    <x v="4"/>
    <x v="1"/>
  </r>
  <r>
    <x v="0"/>
    <x v="0"/>
    <x v="13"/>
    <n v="0"/>
    <s v="Haber"/>
    <x v="1"/>
    <x v="1"/>
    <x v="1"/>
    <x v="1"/>
    <n v="0"/>
    <s v=""/>
    <n v="0"/>
    <x v="4"/>
    <x v="1"/>
    <x v="2"/>
    <x v="11"/>
    <x v="11"/>
    <s v=""/>
    <x v="0"/>
    <x v="0"/>
    <n v="1723"/>
    <x v="11"/>
    <s v=""/>
    <x v="4"/>
    <x v="1"/>
  </r>
  <r>
    <x v="0"/>
    <x v="0"/>
    <x v="13"/>
    <s v="HABER"/>
    <s v="Haber"/>
    <x v="1"/>
    <x v="1"/>
    <x v="1"/>
    <x v="1"/>
    <n v="0"/>
    <s v=""/>
    <s v="HABER"/>
    <x v="4"/>
    <x v="1"/>
    <x v="2"/>
    <x v="11"/>
    <x v="11"/>
    <s v=""/>
    <x v="0"/>
    <x v="0"/>
    <n v="1724"/>
    <x v="11"/>
    <s v=""/>
    <x v="4"/>
    <x v="1"/>
  </r>
  <r>
    <x v="0"/>
    <x v="0"/>
    <x v="13"/>
    <n v="0"/>
    <s v="Haber"/>
    <x v="1"/>
    <x v="1"/>
    <x v="1"/>
    <x v="1"/>
    <n v="0"/>
    <s v=""/>
    <n v="0"/>
    <x v="4"/>
    <x v="1"/>
    <x v="2"/>
    <x v="11"/>
    <x v="11"/>
    <s v=""/>
    <x v="0"/>
    <x v="0"/>
    <n v="1725"/>
    <x v="11"/>
    <s v=""/>
    <x v="4"/>
    <x v="1"/>
  </r>
  <r>
    <x v="0"/>
    <x v="0"/>
    <x v="13"/>
    <n v="0"/>
    <s v="Haber"/>
    <x v="1"/>
    <x v="1"/>
    <x v="1"/>
    <x v="1"/>
    <n v="0"/>
    <s v=""/>
    <n v="0"/>
    <x v="4"/>
    <x v="1"/>
    <x v="2"/>
    <x v="11"/>
    <x v="11"/>
    <s v=""/>
    <x v="0"/>
    <x v="0"/>
    <n v="1729"/>
    <x v="11"/>
    <s v=""/>
    <x v="4"/>
    <x v="1"/>
  </r>
  <r>
    <x v="0"/>
    <x v="0"/>
    <x v="13"/>
    <n v="0"/>
    <s v="Haber"/>
    <x v="1"/>
    <x v="1"/>
    <x v="1"/>
    <x v="1"/>
    <n v="0"/>
    <s v=""/>
    <n v="0"/>
    <x v="4"/>
    <x v="1"/>
    <x v="2"/>
    <x v="11"/>
    <x v="11"/>
    <s v=""/>
    <x v="0"/>
    <x v="0"/>
    <n v="1730"/>
    <x v="11"/>
    <s v=""/>
    <x v="4"/>
    <x v="1"/>
  </r>
  <r>
    <x v="0"/>
    <x v="0"/>
    <x v="13"/>
    <n v="0"/>
    <s v="Haber"/>
    <x v="1"/>
    <x v="1"/>
    <x v="1"/>
    <x v="1"/>
    <n v="0"/>
    <s v=""/>
    <n v="0"/>
    <x v="4"/>
    <x v="1"/>
    <x v="2"/>
    <x v="11"/>
    <x v="11"/>
    <s v=""/>
    <x v="0"/>
    <x v="0"/>
    <n v="1731"/>
    <x v="11"/>
    <s v=""/>
    <x v="4"/>
    <x v="1"/>
  </r>
  <r>
    <x v="0"/>
    <x v="0"/>
    <x v="13"/>
    <s v="HABER"/>
    <s v="Haber"/>
    <x v="1"/>
    <x v="1"/>
    <x v="1"/>
    <x v="1"/>
    <n v="0"/>
    <s v=""/>
    <s v="HABER"/>
    <x v="4"/>
    <x v="1"/>
    <x v="2"/>
    <x v="11"/>
    <x v="11"/>
    <s v=""/>
    <x v="0"/>
    <x v="0"/>
    <n v="1732"/>
    <x v="11"/>
    <s v=""/>
    <x v="4"/>
    <x v="1"/>
  </r>
  <r>
    <x v="0"/>
    <x v="0"/>
    <x v="13"/>
    <n v="0"/>
    <s v="Haber"/>
    <x v="1"/>
    <x v="1"/>
    <x v="1"/>
    <x v="1"/>
    <n v="0"/>
    <s v=""/>
    <n v="0"/>
    <x v="4"/>
    <x v="1"/>
    <x v="2"/>
    <x v="11"/>
    <x v="11"/>
    <s v=""/>
    <x v="0"/>
    <x v="0"/>
    <n v="1733"/>
    <x v="11"/>
    <s v=""/>
    <x v="4"/>
    <x v="1"/>
  </r>
  <r>
    <x v="0"/>
    <x v="0"/>
    <x v="13"/>
    <n v="0"/>
    <s v="Haber"/>
    <x v="1"/>
    <x v="1"/>
    <x v="1"/>
    <x v="1"/>
    <n v="0"/>
    <s v=""/>
    <n v="0"/>
    <x v="4"/>
    <x v="1"/>
    <x v="2"/>
    <x v="11"/>
    <x v="11"/>
    <s v=""/>
    <x v="0"/>
    <x v="0"/>
    <n v="1736"/>
    <x v="11"/>
    <s v=""/>
    <x v="4"/>
    <x v="1"/>
  </r>
  <r>
    <x v="0"/>
    <x v="0"/>
    <x v="13"/>
    <n v="0"/>
    <s v="Haber"/>
    <x v="1"/>
    <x v="1"/>
    <x v="1"/>
    <x v="1"/>
    <n v="0"/>
    <s v=""/>
    <n v="0"/>
    <x v="4"/>
    <x v="1"/>
    <x v="2"/>
    <x v="11"/>
    <x v="11"/>
    <s v=""/>
    <x v="0"/>
    <x v="0"/>
    <n v="1737"/>
    <x v="11"/>
    <s v=""/>
    <x v="4"/>
    <x v="1"/>
  </r>
  <r>
    <x v="0"/>
    <x v="0"/>
    <x v="13"/>
    <n v="0"/>
    <s v="Haber"/>
    <x v="1"/>
    <x v="1"/>
    <x v="1"/>
    <x v="1"/>
    <n v="0"/>
    <s v=""/>
    <n v="0"/>
    <x v="4"/>
    <x v="1"/>
    <x v="2"/>
    <x v="11"/>
    <x v="11"/>
    <s v=""/>
    <x v="0"/>
    <x v="0"/>
    <n v="1738"/>
    <x v="11"/>
    <s v=""/>
    <x v="4"/>
    <x v="1"/>
  </r>
  <r>
    <x v="0"/>
    <x v="0"/>
    <x v="13"/>
    <s v="HABER"/>
    <s v="Haber"/>
    <x v="1"/>
    <x v="1"/>
    <x v="1"/>
    <x v="1"/>
    <n v="0"/>
    <s v=""/>
    <s v="HABER"/>
    <x v="4"/>
    <x v="1"/>
    <x v="2"/>
    <x v="11"/>
    <x v="11"/>
    <s v=""/>
    <x v="0"/>
    <x v="0"/>
    <n v="1739"/>
    <x v="11"/>
    <s v=""/>
    <x v="4"/>
    <x v="1"/>
  </r>
  <r>
    <x v="0"/>
    <x v="0"/>
    <x v="13"/>
    <n v="0"/>
    <s v="Haber"/>
    <x v="1"/>
    <x v="1"/>
    <x v="1"/>
    <x v="1"/>
    <n v="0"/>
    <s v=""/>
    <n v="0"/>
    <x v="4"/>
    <x v="1"/>
    <x v="2"/>
    <x v="11"/>
    <x v="11"/>
    <s v=""/>
    <x v="0"/>
    <x v="0"/>
    <n v="1740"/>
    <x v="11"/>
    <s v=""/>
    <x v="4"/>
    <x v="1"/>
  </r>
  <r>
    <x v="0"/>
    <x v="0"/>
    <x v="13"/>
    <n v="0"/>
    <s v="Haber"/>
    <x v="1"/>
    <x v="1"/>
    <x v="1"/>
    <x v="1"/>
    <n v="0"/>
    <s v=""/>
    <n v="0"/>
    <x v="4"/>
    <x v="1"/>
    <x v="2"/>
    <x v="11"/>
    <x v="11"/>
    <s v=""/>
    <x v="0"/>
    <x v="0"/>
    <n v="1743"/>
    <x v="11"/>
    <s v=""/>
    <x v="4"/>
    <x v="1"/>
  </r>
  <r>
    <x v="0"/>
    <x v="0"/>
    <x v="13"/>
    <n v="0"/>
    <s v="Haber"/>
    <x v="1"/>
    <x v="1"/>
    <x v="1"/>
    <x v="1"/>
    <n v="0"/>
    <s v=""/>
    <n v="0"/>
    <x v="4"/>
    <x v="1"/>
    <x v="2"/>
    <x v="11"/>
    <x v="11"/>
    <s v=""/>
    <x v="0"/>
    <x v="0"/>
    <n v="1744"/>
    <x v="11"/>
    <s v=""/>
    <x v="4"/>
    <x v="1"/>
  </r>
  <r>
    <x v="0"/>
    <x v="0"/>
    <x v="13"/>
    <n v="0"/>
    <s v="Haber"/>
    <x v="1"/>
    <x v="1"/>
    <x v="1"/>
    <x v="1"/>
    <n v="0"/>
    <s v=""/>
    <n v="0"/>
    <x v="4"/>
    <x v="1"/>
    <x v="2"/>
    <x v="11"/>
    <x v="11"/>
    <s v=""/>
    <x v="0"/>
    <x v="0"/>
    <n v="1745"/>
    <x v="11"/>
    <s v=""/>
    <x v="4"/>
    <x v="1"/>
  </r>
  <r>
    <x v="0"/>
    <x v="0"/>
    <x v="13"/>
    <s v="HABER"/>
    <s v="Haber"/>
    <x v="1"/>
    <x v="1"/>
    <x v="1"/>
    <x v="1"/>
    <n v="0"/>
    <s v=""/>
    <s v="HABER"/>
    <x v="4"/>
    <x v="1"/>
    <x v="2"/>
    <x v="11"/>
    <x v="11"/>
    <s v=""/>
    <x v="0"/>
    <x v="0"/>
    <n v="1746"/>
    <x v="11"/>
    <s v=""/>
    <x v="4"/>
    <x v="1"/>
  </r>
  <r>
    <x v="0"/>
    <x v="0"/>
    <x v="13"/>
    <n v="0"/>
    <s v="Haber"/>
    <x v="1"/>
    <x v="1"/>
    <x v="1"/>
    <x v="1"/>
    <n v="0"/>
    <s v=""/>
    <n v="0"/>
    <x v="4"/>
    <x v="1"/>
    <x v="2"/>
    <x v="11"/>
    <x v="11"/>
    <s v=""/>
    <x v="0"/>
    <x v="0"/>
    <n v="1747"/>
    <x v="11"/>
    <s v=""/>
    <x v="4"/>
    <x v="1"/>
  </r>
  <r>
    <x v="0"/>
    <x v="0"/>
    <x v="13"/>
    <n v="0"/>
    <s v="Haber"/>
    <x v="1"/>
    <x v="1"/>
    <x v="1"/>
    <x v="1"/>
    <n v="0"/>
    <s v=""/>
    <n v="0"/>
    <x v="4"/>
    <x v="1"/>
    <x v="2"/>
    <x v="11"/>
    <x v="11"/>
    <s v=""/>
    <x v="0"/>
    <x v="0"/>
    <n v="1751"/>
    <x v="11"/>
    <s v=""/>
    <x v="4"/>
    <x v="1"/>
  </r>
  <r>
    <x v="0"/>
    <x v="0"/>
    <x v="13"/>
    <n v="0"/>
    <s v="Haber"/>
    <x v="1"/>
    <x v="1"/>
    <x v="1"/>
    <x v="1"/>
    <n v="0"/>
    <s v=""/>
    <n v="0"/>
    <x v="4"/>
    <x v="1"/>
    <x v="2"/>
    <x v="11"/>
    <x v="11"/>
    <s v=""/>
    <x v="0"/>
    <x v="0"/>
    <n v="1752"/>
    <x v="11"/>
    <s v=""/>
    <x v="4"/>
    <x v="1"/>
  </r>
  <r>
    <x v="0"/>
    <x v="0"/>
    <x v="13"/>
    <n v="0"/>
    <s v="Haber"/>
    <x v="1"/>
    <x v="1"/>
    <x v="1"/>
    <x v="1"/>
    <n v="0"/>
    <s v=""/>
    <n v="0"/>
    <x v="4"/>
    <x v="1"/>
    <x v="2"/>
    <x v="11"/>
    <x v="11"/>
    <s v=""/>
    <x v="0"/>
    <x v="0"/>
    <n v="1753"/>
    <x v="11"/>
    <s v=""/>
    <x v="4"/>
    <x v="1"/>
  </r>
  <r>
    <x v="0"/>
    <x v="0"/>
    <x v="13"/>
    <s v="HABER"/>
    <s v="Haber"/>
    <x v="1"/>
    <x v="1"/>
    <x v="1"/>
    <x v="1"/>
    <n v="0"/>
    <s v=""/>
    <s v="HABER"/>
    <x v="4"/>
    <x v="1"/>
    <x v="2"/>
    <x v="11"/>
    <x v="11"/>
    <s v=""/>
    <x v="0"/>
    <x v="0"/>
    <n v="1754"/>
    <x v="11"/>
    <s v=""/>
    <x v="4"/>
    <x v="1"/>
  </r>
  <r>
    <x v="0"/>
    <x v="0"/>
    <x v="13"/>
    <n v="0"/>
    <s v="Haber"/>
    <x v="1"/>
    <x v="1"/>
    <x v="1"/>
    <x v="1"/>
    <n v="0"/>
    <s v=""/>
    <n v="0"/>
    <x v="4"/>
    <x v="1"/>
    <x v="2"/>
    <x v="11"/>
    <x v="11"/>
    <s v=""/>
    <x v="0"/>
    <x v="0"/>
    <n v="1755"/>
    <x v="11"/>
    <s v=""/>
    <x v="4"/>
    <x v="1"/>
  </r>
  <r>
    <x v="0"/>
    <x v="0"/>
    <x v="13"/>
    <n v="0"/>
    <s v="Haber"/>
    <x v="1"/>
    <x v="1"/>
    <x v="1"/>
    <x v="1"/>
    <n v="0"/>
    <s v=""/>
    <n v="0"/>
    <x v="4"/>
    <x v="1"/>
    <x v="2"/>
    <x v="11"/>
    <x v="11"/>
    <s v=""/>
    <x v="0"/>
    <x v="0"/>
    <n v="1758"/>
    <x v="11"/>
    <s v=""/>
    <x v="4"/>
    <x v="1"/>
  </r>
  <r>
    <x v="0"/>
    <x v="0"/>
    <x v="13"/>
    <n v="0"/>
    <s v="Haber"/>
    <x v="1"/>
    <x v="1"/>
    <x v="1"/>
    <x v="1"/>
    <n v="0"/>
    <s v=""/>
    <n v="0"/>
    <x v="4"/>
    <x v="1"/>
    <x v="2"/>
    <x v="11"/>
    <x v="11"/>
    <s v=""/>
    <x v="0"/>
    <x v="0"/>
    <n v="1759"/>
    <x v="11"/>
    <s v=""/>
    <x v="4"/>
    <x v="1"/>
  </r>
  <r>
    <x v="0"/>
    <x v="0"/>
    <x v="13"/>
    <n v="0"/>
    <s v="Haber"/>
    <x v="1"/>
    <x v="1"/>
    <x v="1"/>
    <x v="1"/>
    <n v="0"/>
    <s v=""/>
    <n v="0"/>
    <x v="4"/>
    <x v="1"/>
    <x v="2"/>
    <x v="11"/>
    <x v="11"/>
    <s v=""/>
    <x v="0"/>
    <x v="0"/>
    <n v="1760"/>
    <x v="11"/>
    <s v=""/>
    <x v="4"/>
    <x v="1"/>
  </r>
  <r>
    <x v="0"/>
    <x v="0"/>
    <x v="13"/>
    <s v="HABER"/>
    <s v="Haber"/>
    <x v="1"/>
    <x v="1"/>
    <x v="1"/>
    <x v="1"/>
    <n v="0"/>
    <s v=""/>
    <s v="HABER"/>
    <x v="4"/>
    <x v="1"/>
    <x v="2"/>
    <x v="11"/>
    <x v="11"/>
    <s v=""/>
    <x v="0"/>
    <x v="0"/>
    <n v="1761"/>
    <x v="11"/>
    <s v=""/>
    <x v="4"/>
    <x v="1"/>
  </r>
  <r>
    <x v="0"/>
    <x v="0"/>
    <x v="13"/>
    <n v="0"/>
    <s v="Haber"/>
    <x v="1"/>
    <x v="1"/>
    <x v="1"/>
    <x v="1"/>
    <n v="0"/>
    <s v=""/>
    <n v="0"/>
    <x v="4"/>
    <x v="1"/>
    <x v="2"/>
    <x v="11"/>
    <x v="11"/>
    <s v=""/>
    <x v="0"/>
    <x v="0"/>
    <n v="1762"/>
    <x v="11"/>
    <s v=""/>
    <x v="4"/>
    <x v="1"/>
  </r>
  <r>
    <x v="0"/>
    <x v="0"/>
    <x v="13"/>
    <n v="0"/>
    <s v="Haber"/>
    <x v="1"/>
    <x v="1"/>
    <x v="1"/>
    <x v="1"/>
    <n v="0"/>
    <s v=""/>
    <n v="0"/>
    <x v="4"/>
    <x v="1"/>
    <x v="2"/>
    <x v="11"/>
    <x v="11"/>
    <s v=""/>
    <x v="0"/>
    <x v="0"/>
    <n v="1768"/>
    <x v="11"/>
    <s v=""/>
    <x v="4"/>
    <x v="1"/>
  </r>
  <r>
    <x v="0"/>
    <x v="0"/>
    <x v="13"/>
    <n v="0"/>
    <s v="Haber"/>
    <x v="1"/>
    <x v="1"/>
    <x v="1"/>
    <x v="1"/>
    <n v="0"/>
    <s v=""/>
    <n v="0"/>
    <x v="4"/>
    <x v="1"/>
    <x v="2"/>
    <x v="11"/>
    <x v="11"/>
    <s v=""/>
    <x v="0"/>
    <x v="0"/>
    <n v="1769"/>
    <x v="11"/>
    <s v=""/>
    <x v="4"/>
    <x v="1"/>
  </r>
  <r>
    <x v="0"/>
    <x v="0"/>
    <x v="13"/>
    <n v="0"/>
    <s v="Haber"/>
    <x v="1"/>
    <x v="1"/>
    <x v="1"/>
    <x v="1"/>
    <n v="0"/>
    <s v=""/>
    <n v="0"/>
    <x v="4"/>
    <x v="1"/>
    <x v="2"/>
    <x v="11"/>
    <x v="11"/>
    <s v=""/>
    <x v="0"/>
    <x v="0"/>
    <n v="1770"/>
    <x v="11"/>
    <s v=""/>
    <x v="4"/>
    <x v="1"/>
  </r>
  <r>
    <x v="0"/>
    <x v="0"/>
    <x v="13"/>
    <s v="HABER"/>
    <s v="Haber"/>
    <x v="1"/>
    <x v="1"/>
    <x v="1"/>
    <x v="1"/>
    <n v="0"/>
    <s v=""/>
    <s v="HABER"/>
    <x v="4"/>
    <x v="1"/>
    <x v="2"/>
    <x v="11"/>
    <x v="11"/>
    <s v=""/>
    <x v="0"/>
    <x v="0"/>
    <n v="1771"/>
    <x v="11"/>
    <s v=""/>
    <x v="4"/>
    <x v="1"/>
  </r>
  <r>
    <x v="0"/>
    <x v="0"/>
    <x v="13"/>
    <n v="0"/>
    <s v="Haber"/>
    <x v="1"/>
    <x v="1"/>
    <x v="1"/>
    <x v="1"/>
    <n v="0"/>
    <s v=""/>
    <n v="0"/>
    <x v="4"/>
    <x v="1"/>
    <x v="2"/>
    <x v="11"/>
    <x v="11"/>
    <s v=""/>
    <x v="0"/>
    <x v="0"/>
    <n v="1772"/>
    <x v="11"/>
    <s v=""/>
    <x v="4"/>
    <x v="1"/>
  </r>
  <r>
    <x v="0"/>
    <x v="0"/>
    <x v="13"/>
    <n v="0"/>
    <s v="Haber"/>
    <x v="1"/>
    <x v="1"/>
    <x v="1"/>
    <x v="1"/>
    <n v="0"/>
    <s v=""/>
    <n v="0"/>
    <x v="4"/>
    <x v="1"/>
    <x v="2"/>
    <x v="11"/>
    <x v="11"/>
    <s v=""/>
    <x v="0"/>
    <x v="0"/>
    <n v="1775"/>
    <x v="11"/>
    <s v=""/>
    <x v="4"/>
    <x v="1"/>
  </r>
  <r>
    <x v="0"/>
    <x v="0"/>
    <x v="13"/>
    <n v="0"/>
    <s v="Haber"/>
    <x v="1"/>
    <x v="1"/>
    <x v="1"/>
    <x v="1"/>
    <n v="0"/>
    <s v=""/>
    <n v="0"/>
    <x v="4"/>
    <x v="1"/>
    <x v="2"/>
    <x v="11"/>
    <x v="11"/>
    <s v=""/>
    <x v="0"/>
    <x v="0"/>
    <n v="1776"/>
    <x v="11"/>
    <s v=""/>
    <x v="4"/>
    <x v="1"/>
  </r>
  <r>
    <x v="0"/>
    <x v="0"/>
    <x v="13"/>
    <n v="0"/>
    <s v="Haber"/>
    <x v="1"/>
    <x v="1"/>
    <x v="1"/>
    <x v="1"/>
    <n v="0"/>
    <s v=""/>
    <n v="0"/>
    <x v="4"/>
    <x v="1"/>
    <x v="2"/>
    <x v="11"/>
    <x v="11"/>
    <s v=""/>
    <x v="0"/>
    <x v="0"/>
    <n v="1777"/>
    <x v="11"/>
    <s v=""/>
    <x v="4"/>
    <x v="1"/>
  </r>
  <r>
    <x v="0"/>
    <x v="0"/>
    <x v="13"/>
    <s v="HABER"/>
    <s v="Haber"/>
    <x v="1"/>
    <x v="1"/>
    <x v="1"/>
    <x v="1"/>
    <n v="0"/>
    <s v=""/>
    <s v="HABER"/>
    <x v="4"/>
    <x v="1"/>
    <x v="2"/>
    <x v="11"/>
    <x v="11"/>
    <s v=""/>
    <x v="0"/>
    <x v="0"/>
    <n v="1778"/>
    <x v="11"/>
    <s v=""/>
    <x v="4"/>
    <x v="1"/>
  </r>
  <r>
    <x v="0"/>
    <x v="0"/>
    <x v="13"/>
    <n v="0"/>
    <s v="Haber"/>
    <x v="1"/>
    <x v="1"/>
    <x v="1"/>
    <x v="1"/>
    <n v="0"/>
    <s v=""/>
    <n v="0"/>
    <x v="4"/>
    <x v="1"/>
    <x v="2"/>
    <x v="11"/>
    <x v="11"/>
    <s v=""/>
    <x v="0"/>
    <x v="0"/>
    <n v="1779"/>
    <x v="11"/>
    <s v=""/>
    <x v="4"/>
    <x v="1"/>
  </r>
  <r>
    <x v="0"/>
    <x v="0"/>
    <x v="13"/>
    <n v="0"/>
    <s v="Haber"/>
    <x v="1"/>
    <x v="1"/>
    <x v="1"/>
    <x v="1"/>
    <n v="0"/>
    <s v=""/>
    <n v="0"/>
    <x v="4"/>
    <x v="1"/>
    <x v="2"/>
    <x v="11"/>
    <x v="11"/>
    <s v=""/>
    <x v="0"/>
    <x v="0"/>
    <n v="1782"/>
    <x v="11"/>
    <s v=""/>
    <x v="4"/>
    <x v="1"/>
  </r>
  <r>
    <x v="0"/>
    <x v="0"/>
    <x v="13"/>
    <n v="0"/>
    <s v="Haber"/>
    <x v="1"/>
    <x v="1"/>
    <x v="1"/>
    <x v="1"/>
    <n v="0"/>
    <s v=""/>
    <n v="0"/>
    <x v="4"/>
    <x v="1"/>
    <x v="2"/>
    <x v="11"/>
    <x v="11"/>
    <s v=""/>
    <x v="0"/>
    <x v="0"/>
    <n v="1783"/>
    <x v="11"/>
    <s v=""/>
    <x v="4"/>
    <x v="1"/>
  </r>
  <r>
    <x v="0"/>
    <x v="0"/>
    <x v="13"/>
    <n v="0"/>
    <s v="Haber"/>
    <x v="1"/>
    <x v="1"/>
    <x v="1"/>
    <x v="1"/>
    <n v="0"/>
    <s v=""/>
    <n v="0"/>
    <x v="4"/>
    <x v="1"/>
    <x v="2"/>
    <x v="11"/>
    <x v="11"/>
    <s v=""/>
    <x v="0"/>
    <x v="0"/>
    <n v="1784"/>
    <x v="11"/>
    <s v=""/>
    <x v="4"/>
    <x v="1"/>
  </r>
  <r>
    <x v="0"/>
    <x v="0"/>
    <x v="13"/>
    <s v="HABER"/>
    <s v="Haber"/>
    <x v="1"/>
    <x v="1"/>
    <x v="1"/>
    <x v="1"/>
    <n v="0"/>
    <s v=""/>
    <s v="HABER"/>
    <x v="4"/>
    <x v="1"/>
    <x v="2"/>
    <x v="11"/>
    <x v="11"/>
    <s v=""/>
    <x v="0"/>
    <x v="0"/>
    <n v="1785"/>
    <x v="11"/>
    <s v=""/>
    <x v="4"/>
    <x v="1"/>
  </r>
  <r>
    <x v="0"/>
    <x v="0"/>
    <x v="13"/>
    <n v="0"/>
    <s v="Haber"/>
    <x v="1"/>
    <x v="1"/>
    <x v="1"/>
    <x v="1"/>
    <n v="0"/>
    <s v=""/>
    <n v="0"/>
    <x v="4"/>
    <x v="1"/>
    <x v="2"/>
    <x v="11"/>
    <x v="11"/>
    <s v=""/>
    <x v="0"/>
    <x v="0"/>
    <n v="1786"/>
    <x v="11"/>
    <s v=""/>
    <x v="4"/>
    <x v="1"/>
  </r>
  <r>
    <x v="0"/>
    <x v="0"/>
    <x v="13"/>
    <n v="0"/>
    <s v="Haber"/>
    <x v="1"/>
    <x v="1"/>
    <x v="1"/>
    <x v="1"/>
    <n v="0"/>
    <s v=""/>
    <n v="0"/>
    <x v="4"/>
    <x v="1"/>
    <x v="2"/>
    <x v="11"/>
    <x v="11"/>
    <s v=""/>
    <x v="0"/>
    <x v="0"/>
    <n v="1789"/>
    <x v="11"/>
    <s v=""/>
    <x v="4"/>
    <x v="1"/>
  </r>
  <r>
    <x v="0"/>
    <x v="0"/>
    <x v="13"/>
    <n v="0"/>
    <s v="Haber"/>
    <x v="1"/>
    <x v="1"/>
    <x v="1"/>
    <x v="1"/>
    <n v="0"/>
    <s v=""/>
    <n v="0"/>
    <x v="4"/>
    <x v="1"/>
    <x v="2"/>
    <x v="11"/>
    <x v="11"/>
    <s v=""/>
    <x v="0"/>
    <x v="0"/>
    <n v="1790"/>
    <x v="11"/>
    <s v=""/>
    <x v="4"/>
    <x v="1"/>
  </r>
  <r>
    <x v="0"/>
    <x v="0"/>
    <x v="13"/>
    <n v="0"/>
    <s v="Haber"/>
    <x v="1"/>
    <x v="1"/>
    <x v="1"/>
    <x v="1"/>
    <n v="0"/>
    <s v=""/>
    <n v="0"/>
    <x v="4"/>
    <x v="1"/>
    <x v="2"/>
    <x v="11"/>
    <x v="11"/>
    <s v=""/>
    <x v="0"/>
    <x v="0"/>
    <n v="1791"/>
    <x v="11"/>
    <s v=""/>
    <x v="4"/>
    <x v="1"/>
  </r>
  <r>
    <x v="0"/>
    <x v="0"/>
    <x v="13"/>
    <s v="HABER"/>
    <s v="Haber"/>
    <x v="1"/>
    <x v="1"/>
    <x v="1"/>
    <x v="1"/>
    <n v="0"/>
    <s v=""/>
    <s v="HABER"/>
    <x v="4"/>
    <x v="1"/>
    <x v="2"/>
    <x v="11"/>
    <x v="11"/>
    <s v=""/>
    <x v="0"/>
    <x v="0"/>
    <n v="1792"/>
    <x v="11"/>
    <s v=""/>
    <x v="4"/>
    <x v="1"/>
  </r>
  <r>
    <x v="0"/>
    <x v="0"/>
    <x v="13"/>
    <n v="0"/>
    <s v="Haber"/>
    <x v="1"/>
    <x v="1"/>
    <x v="1"/>
    <x v="1"/>
    <n v="0"/>
    <s v=""/>
    <n v="0"/>
    <x v="4"/>
    <x v="1"/>
    <x v="2"/>
    <x v="11"/>
    <x v="11"/>
    <s v=""/>
    <x v="0"/>
    <x v="0"/>
    <n v="1793"/>
    <x v="11"/>
    <s v=""/>
    <x v="4"/>
    <x v="1"/>
  </r>
  <r>
    <x v="0"/>
    <x v="0"/>
    <x v="13"/>
    <n v="0"/>
    <s v="Haber"/>
    <x v="1"/>
    <x v="1"/>
    <x v="1"/>
    <x v="1"/>
    <n v="0"/>
    <s v=""/>
    <n v="0"/>
    <x v="4"/>
    <x v="1"/>
    <x v="2"/>
    <x v="11"/>
    <x v="11"/>
    <s v=""/>
    <x v="0"/>
    <x v="0"/>
    <n v="1796"/>
    <x v="11"/>
    <s v=""/>
    <x v="4"/>
    <x v="1"/>
  </r>
  <r>
    <x v="0"/>
    <x v="0"/>
    <x v="13"/>
    <n v="0"/>
    <s v="Haber"/>
    <x v="1"/>
    <x v="1"/>
    <x v="1"/>
    <x v="1"/>
    <n v="0"/>
    <s v=""/>
    <n v="0"/>
    <x v="4"/>
    <x v="1"/>
    <x v="2"/>
    <x v="11"/>
    <x v="11"/>
    <s v=""/>
    <x v="0"/>
    <x v="0"/>
    <n v="1797"/>
    <x v="11"/>
    <s v=""/>
    <x v="4"/>
    <x v="1"/>
  </r>
  <r>
    <x v="0"/>
    <x v="0"/>
    <x v="13"/>
    <n v="0"/>
    <s v="Haber"/>
    <x v="1"/>
    <x v="1"/>
    <x v="1"/>
    <x v="1"/>
    <n v="0"/>
    <s v=""/>
    <n v="0"/>
    <x v="4"/>
    <x v="1"/>
    <x v="2"/>
    <x v="11"/>
    <x v="11"/>
    <s v=""/>
    <x v="0"/>
    <x v="0"/>
    <n v="1798"/>
    <x v="11"/>
    <s v=""/>
    <x v="4"/>
    <x v="1"/>
  </r>
  <r>
    <x v="0"/>
    <x v="0"/>
    <x v="13"/>
    <s v="HABER"/>
    <s v="Haber"/>
    <x v="1"/>
    <x v="1"/>
    <x v="1"/>
    <x v="1"/>
    <n v="0"/>
    <s v=""/>
    <s v="HABER"/>
    <x v="4"/>
    <x v="1"/>
    <x v="2"/>
    <x v="11"/>
    <x v="11"/>
    <s v=""/>
    <x v="0"/>
    <x v="0"/>
    <n v="1799"/>
    <x v="11"/>
    <s v=""/>
    <x v="4"/>
    <x v="1"/>
  </r>
  <r>
    <x v="0"/>
    <x v="0"/>
    <x v="13"/>
    <n v="0"/>
    <s v="Haber"/>
    <x v="1"/>
    <x v="1"/>
    <x v="1"/>
    <x v="1"/>
    <n v="0"/>
    <s v=""/>
    <n v="0"/>
    <x v="4"/>
    <x v="1"/>
    <x v="2"/>
    <x v="11"/>
    <x v="11"/>
    <s v=""/>
    <x v="0"/>
    <x v="0"/>
    <n v="1800"/>
    <x v="11"/>
    <s v=""/>
    <x v="4"/>
    <x v="1"/>
  </r>
  <r>
    <x v="0"/>
    <x v="0"/>
    <x v="13"/>
    <n v="0"/>
    <s v="Haber"/>
    <x v="1"/>
    <x v="1"/>
    <x v="1"/>
    <x v="1"/>
    <n v="0"/>
    <s v=""/>
    <n v="0"/>
    <x v="4"/>
    <x v="1"/>
    <x v="2"/>
    <x v="11"/>
    <x v="11"/>
    <s v=""/>
    <x v="0"/>
    <x v="0"/>
    <n v="1803"/>
    <x v="11"/>
    <s v=""/>
    <x v="4"/>
    <x v="1"/>
  </r>
  <r>
    <x v="0"/>
    <x v="0"/>
    <x v="13"/>
    <n v="0"/>
    <s v="Haber"/>
    <x v="1"/>
    <x v="1"/>
    <x v="1"/>
    <x v="1"/>
    <n v="0"/>
    <s v=""/>
    <n v="0"/>
    <x v="4"/>
    <x v="1"/>
    <x v="2"/>
    <x v="11"/>
    <x v="11"/>
    <s v=""/>
    <x v="0"/>
    <x v="0"/>
    <n v="1804"/>
    <x v="11"/>
    <s v=""/>
    <x v="4"/>
    <x v="1"/>
  </r>
  <r>
    <x v="0"/>
    <x v="0"/>
    <x v="13"/>
    <n v="0"/>
    <s v="Haber"/>
    <x v="1"/>
    <x v="1"/>
    <x v="1"/>
    <x v="1"/>
    <n v="0"/>
    <s v=""/>
    <n v="0"/>
    <x v="4"/>
    <x v="1"/>
    <x v="2"/>
    <x v="11"/>
    <x v="11"/>
    <s v=""/>
    <x v="0"/>
    <x v="0"/>
    <n v="1805"/>
    <x v="11"/>
    <s v=""/>
    <x v="4"/>
    <x v="1"/>
  </r>
  <r>
    <x v="0"/>
    <x v="0"/>
    <x v="13"/>
    <s v="HABER"/>
    <s v="Haber"/>
    <x v="1"/>
    <x v="1"/>
    <x v="1"/>
    <x v="1"/>
    <n v="0"/>
    <s v=""/>
    <s v="HABER"/>
    <x v="4"/>
    <x v="1"/>
    <x v="2"/>
    <x v="11"/>
    <x v="11"/>
    <s v=""/>
    <x v="0"/>
    <x v="0"/>
    <n v="1806"/>
    <x v="11"/>
    <s v=""/>
    <x v="4"/>
    <x v="1"/>
  </r>
  <r>
    <x v="0"/>
    <x v="0"/>
    <x v="13"/>
    <n v="0"/>
    <s v="Haber"/>
    <x v="1"/>
    <x v="1"/>
    <x v="1"/>
    <x v="1"/>
    <n v="0"/>
    <s v=""/>
    <n v="0"/>
    <x v="4"/>
    <x v="1"/>
    <x v="2"/>
    <x v="11"/>
    <x v="11"/>
    <s v=""/>
    <x v="0"/>
    <x v="0"/>
    <n v="1807"/>
    <x v="11"/>
    <s v=""/>
    <x v="4"/>
    <x v="1"/>
  </r>
  <r>
    <x v="0"/>
    <x v="0"/>
    <x v="13"/>
    <n v="0"/>
    <s v="Haber"/>
    <x v="1"/>
    <x v="1"/>
    <x v="1"/>
    <x v="1"/>
    <n v="0"/>
    <s v=""/>
    <n v="0"/>
    <x v="4"/>
    <x v="1"/>
    <x v="2"/>
    <x v="11"/>
    <x v="11"/>
    <s v=""/>
    <x v="0"/>
    <x v="0"/>
    <n v="1810"/>
    <x v="11"/>
    <s v=""/>
    <x v="4"/>
    <x v="1"/>
  </r>
  <r>
    <x v="0"/>
    <x v="0"/>
    <x v="13"/>
    <n v="0"/>
    <s v="Haber"/>
    <x v="1"/>
    <x v="1"/>
    <x v="1"/>
    <x v="1"/>
    <n v="0"/>
    <s v=""/>
    <n v="0"/>
    <x v="4"/>
    <x v="1"/>
    <x v="2"/>
    <x v="11"/>
    <x v="11"/>
    <s v=""/>
    <x v="0"/>
    <x v="0"/>
    <n v="1811"/>
    <x v="11"/>
    <s v=""/>
    <x v="4"/>
    <x v="1"/>
  </r>
  <r>
    <x v="0"/>
    <x v="0"/>
    <x v="13"/>
    <n v="0"/>
    <s v="Haber"/>
    <x v="1"/>
    <x v="1"/>
    <x v="1"/>
    <x v="1"/>
    <n v="0"/>
    <s v=""/>
    <n v="0"/>
    <x v="4"/>
    <x v="1"/>
    <x v="2"/>
    <x v="11"/>
    <x v="11"/>
    <s v=""/>
    <x v="0"/>
    <x v="0"/>
    <n v="1812"/>
    <x v="11"/>
    <s v=""/>
    <x v="4"/>
    <x v="1"/>
  </r>
  <r>
    <x v="0"/>
    <x v="0"/>
    <x v="13"/>
    <s v="HABER"/>
    <s v="Haber"/>
    <x v="1"/>
    <x v="1"/>
    <x v="1"/>
    <x v="1"/>
    <n v="0"/>
    <s v=""/>
    <s v="HABER"/>
    <x v="4"/>
    <x v="1"/>
    <x v="2"/>
    <x v="11"/>
    <x v="11"/>
    <s v=""/>
    <x v="0"/>
    <x v="0"/>
    <n v="1813"/>
    <x v="11"/>
    <s v=""/>
    <x v="4"/>
    <x v="1"/>
  </r>
  <r>
    <x v="0"/>
    <x v="0"/>
    <x v="13"/>
    <n v="0"/>
    <s v="Haber"/>
    <x v="1"/>
    <x v="1"/>
    <x v="1"/>
    <x v="1"/>
    <n v="0"/>
    <s v=""/>
    <n v="0"/>
    <x v="4"/>
    <x v="1"/>
    <x v="2"/>
    <x v="11"/>
    <x v="11"/>
    <s v=""/>
    <x v="0"/>
    <x v="0"/>
    <n v="1814"/>
    <x v="11"/>
    <s v=""/>
    <x v="4"/>
    <x v="1"/>
  </r>
  <r>
    <x v="0"/>
    <x v="0"/>
    <x v="13"/>
    <n v="0"/>
    <s v="Haber"/>
    <x v="1"/>
    <x v="1"/>
    <x v="1"/>
    <x v="1"/>
    <n v="0"/>
    <s v=""/>
    <n v="0"/>
    <x v="4"/>
    <x v="1"/>
    <x v="2"/>
    <x v="11"/>
    <x v="11"/>
    <s v=""/>
    <x v="0"/>
    <x v="0"/>
    <n v="1817"/>
    <x v="11"/>
    <s v=""/>
    <x v="4"/>
    <x v="1"/>
  </r>
  <r>
    <x v="0"/>
    <x v="0"/>
    <x v="13"/>
    <n v="0"/>
    <s v="Haber"/>
    <x v="1"/>
    <x v="1"/>
    <x v="1"/>
    <x v="1"/>
    <n v="0"/>
    <s v=""/>
    <n v="0"/>
    <x v="4"/>
    <x v="1"/>
    <x v="2"/>
    <x v="11"/>
    <x v="11"/>
    <s v=""/>
    <x v="0"/>
    <x v="0"/>
    <n v="1818"/>
    <x v="11"/>
    <s v=""/>
    <x v="4"/>
    <x v="1"/>
  </r>
  <r>
    <x v="0"/>
    <x v="0"/>
    <x v="13"/>
    <n v="0"/>
    <s v="Haber"/>
    <x v="1"/>
    <x v="1"/>
    <x v="1"/>
    <x v="1"/>
    <n v="0"/>
    <s v=""/>
    <n v="0"/>
    <x v="4"/>
    <x v="1"/>
    <x v="2"/>
    <x v="11"/>
    <x v="11"/>
    <s v=""/>
    <x v="0"/>
    <x v="0"/>
    <n v="1819"/>
    <x v="11"/>
    <s v=""/>
    <x v="4"/>
    <x v="1"/>
  </r>
  <r>
    <x v="0"/>
    <x v="0"/>
    <x v="13"/>
    <s v="HABER"/>
    <s v="Haber"/>
    <x v="1"/>
    <x v="1"/>
    <x v="1"/>
    <x v="1"/>
    <n v="0"/>
    <s v=""/>
    <s v="HABER"/>
    <x v="4"/>
    <x v="1"/>
    <x v="2"/>
    <x v="11"/>
    <x v="11"/>
    <s v=""/>
    <x v="0"/>
    <x v="0"/>
    <n v="1820"/>
    <x v="11"/>
    <s v=""/>
    <x v="4"/>
    <x v="1"/>
  </r>
  <r>
    <x v="0"/>
    <x v="0"/>
    <x v="13"/>
    <n v="0"/>
    <s v="Haber"/>
    <x v="1"/>
    <x v="1"/>
    <x v="1"/>
    <x v="1"/>
    <n v="0"/>
    <s v=""/>
    <n v="0"/>
    <x v="4"/>
    <x v="1"/>
    <x v="2"/>
    <x v="11"/>
    <x v="11"/>
    <s v=""/>
    <x v="0"/>
    <x v="0"/>
    <n v="1821"/>
    <x v="11"/>
    <s v=""/>
    <x v="4"/>
    <x v="1"/>
  </r>
  <r>
    <x v="0"/>
    <x v="0"/>
    <x v="13"/>
    <n v="0"/>
    <s v="Haber"/>
    <x v="1"/>
    <x v="1"/>
    <x v="1"/>
    <x v="1"/>
    <n v="0"/>
    <s v=""/>
    <n v="0"/>
    <x v="4"/>
    <x v="1"/>
    <x v="2"/>
    <x v="11"/>
    <x v="11"/>
    <s v=""/>
    <x v="0"/>
    <x v="0"/>
    <n v="1824"/>
    <x v="11"/>
    <s v=""/>
    <x v="4"/>
    <x v="1"/>
  </r>
  <r>
    <x v="0"/>
    <x v="0"/>
    <x v="13"/>
    <n v="0"/>
    <s v="Haber"/>
    <x v="1"/>
    <x v="1"/>
    <x v="1"/>
    <x v="1"/>
    <n v="0"/>
    <s v=""/>
    <n v="0"/>
    <x v="4"/>
    <x v="1"/>
    <x v="2"/>
    <x v="11"/>
    <x v="11"/>
    <s v=""/>
    <x v="0"/>
    <x v="0"/>
    <n v="1825"/>
    <x v="11"/>
    <s v=""/>
    <x v="4"/>
    <x v="1"/>
  </r>
  <r>
    <x v="0"/>
    <x v="0"/>
    <x v="13"/>
    <n v="0"/>
    <s v="Haber"/>
    <x v="1"/>
    <x v="1"/>
    <x v="1"/>
    <x v="1"/>
    <n v="0"/>
    <s v=""/>
    <n v="0"/>
    <x v="4"/>
    <x v="1"/>
    <x v="2"/>
    <x v="11"/>
    <x v="11"/>
    <s v=""/>
    <x v="0"/>
    <x v="0"/>
    <n v="1826"/>
    <x v="11"/>
    <s v=""/>
    <x v="4"/>
    <x v="1"/>
  </r>
  <r>
    <x v="0"/>
    <x v="0"/>
    <x v="13"/>
    <s v="HABER"/>
    <s v="Haber"/>
    <x v="1"/>
    <x v="1"/>
    <x v="1"/>
    <x v="1"/>
    <n v="0"/>
    <s v=""/>
    <s v="HABER"/>
    <x v="4"/>
    <x v="1"/>
    <x v="2"/>
    <x v="11"/>
    <x v="11"/>
    <s v=""/>
    <x v="0"/>
    <x v="0"/>
    <n v="1827"/>
    <x v="11"/>
    <s v=""/>
    <x v="4"/>
    <x v="1"/>
  </r>
  <r>
    <x v="0"/>
    <x v="0"/>
    <x v="13"/>
    <n v="0"/>
    <s v="Haber"/>
    <x v="1"/>
    <x v="1"/>
    <x v="1"/>
    <x v="1"/>
    <n v="0"/>
    <s v=""/>
    <n v="0"/>
    <x v="4"/>
    <x v="1"/>
    <x v="2"/>
    <x v="11"/>
    <x v="11"/>
    <s v=""/>
    <x v="0"/>
    <x v="0"/>
    <n v="1828"/>
    <x v="11"/>
    <s v=""/>
    <x v="4"/>
    <x v="1"/>
  </r>
  <r>
    <x v="0"/>
    <x v="0"/>
    <x v="13"/>
    <n v="0"/>
    <s v="Haber"/>
    <x v="1"/>
    <x v="1"/>
    <x v="1"/>
    <x v="1"/>
    <n v="0"/>
    <s v=""/>
    <n v="0"/>
    <x v="4"/>
    <x v="1"/>
    <x v="2"/>
    <x v="11"/>
    <x v="11"/>
    <s v=""/>
    <x v="0"/>
    <x v="0"/>
    <n v="1831"/>
    <x v="11"/>
    <s v=""/>
    <x v="4"/>
    <x v="1"/>
  </r>
  <r>
    <x v="0"/>
    <x v="0"/>
    <x v="13"/>
    <n v="0"/>
    <s v="Haber"/>
    <x v="1"/>
    <x v="1"/>
    <x v="1"/>
    <x v="1"/>
    <n v="0"/>
    <s v=""/>
    <n v="0"/>
    <x v="4"/>
    <x v="1"/>
    <x v="2"/>
    <x v="11"/>
    <x v="11"/>
    <s v=""/>
    <x v="0"/>
    <x v="0"/>
    <n v="1832"/>
    <x v="11"/>
    <s v=""/>
    <x v="4"/>
    <x v="1"/>
  </r>
  <r>
    <x v="0"/>
    <x v="0"/>
    <x v="13"/>
    <n v="0"/>
    <s v="Haber"/>
    <x v="1"/>
    <x v="1"/>
    <x v="1"/>
    <x v="1"/>
    <n v="0"/>
    <s v=""/>
    <n v="0"/>
    <x v="4"/>
    <x v="1"/>
    <x v="2"/>
    <x v="11"/>
    <x v="11"/>
    <s v=""/>
    <x v="0"/>
    <x v="0"/>
    <n v="1833"/>
    <x v="11"/>
    <s v=""/>
    <x v="4"/>
    <x v="1"/>
  </r>
  <r>
    <x v="0"/>
    <x v="0"/>
    <x v="13"/>
    <s v="HABER"/>
    <s v="Haber"/>
    <x v="1"/>
    <x v="1"/>
    <x v="1"/>
    <x v="1"/>
    <n v="0"/>
    <s v=""/>
    <s v="HABER"/>
    <x v="4"/>
    <x v="1"/>
    <x v="2"/>
    <x v="11"/>
    <x v="11"/>
    <s v=""/>
    <x v="0"/>
    <x v="0"/>
    <n v="1834"/>
    <x v="11"/>
    <s v=""/>
    <x v="4"/>
    <x v="1"/>
  </r>
  <r>
    <x v="0"/>
    <x v="0"/>
    <x v="13"/>
    <n v="0"/>
    <s v="Haber"/>
    <x v="1"/>
    <x v="1"/>
    <x v="1"/>
    <x v="1"/>
    <n v="0"/>
    <s v=""/>
    <n v="0"/>
    <x v="4"/>
    <x v="1"/>
    <x v="2"/>
    <x v="11"/>
    <x v="11"/>
    <s v=""/>
    <x v="0"/>
    <x v="0"/>
    <n v="1835"/>
    <x v="11"/>
    <s v=""/>
    <x v="4"/>
    <x v="1"/>
  </r>
  <r>
    <x v="0"/>
    <x v="0"/>
    <x v="13"/>
    <n v="0"/>
    <s v="Haber"/>
    <x v="1"/>
    <x v="1"/>
    <x v="1"/>
    <x v="1"/>
    <n v="0"/>
    <s v=""/>
    <n v="0"/>
    <x v="4"/>
    <x v="1"/>
    <x v="2"/>
    <x v="11"/>
    <x v="11"/>
    <s v=""/>
    <x v="0"/>
    <x v="0"/>
    <n v="1838"/>
    <x v="11"/>
    <s v=""/>
    <x v="4"/>
    <x v="1"/>
  </r>
  <r>
    <x v="0"/>
    <x v="0"/>
    <x v="13"/>
    <n v="0"/>
    <s v="Haber"/>
    <x v="1"/>
    <x v="1"/>
    <x v="1"/>
    <x v="1"/>
    <n v="0"/>
    <s v=""/>
    <n v="0"/>
    <x v="4"/>
    <x v="1"/>
    <x v="2"/>
    <x v="11"/>
    <x v="11"/>
    <s v=""/>
    <x v="0"/>
    <x v="0"/>
    <n v="1839"/>
    <x v="11"/>
    <s v=""/>
    <x v="4"/>
    <x v="1"/>
  </r>
  <r>
    <x v="0"/>
    <x v="0"/>
    <x v="13"/>
    <n v="0"/>
    <s v="Haber"/>
    <x v="1"/>
    <x v="1"/>
    <x v="1"/>
    <x v="1"/>
    <n v="0"/>
    <s v=""/>
    <n v="0"/>
    <x v="4"/>
    <x v="1"/>
    <x v="2"/>
    <x v="11"/>
    <x v="11"/>
    <s v=""/>
    <x v="0"/>
    <x v="0"/>
    <n v="1840"/>
    <x v="11"/>
    <s v=""/>
    <x v="4"/>
    <x v="1"/>
  </r>
  <r>
    <x v="0"/>
    <x v="0"/>
    <x v="13"/>
    <s v="HABER"/>
    <s v="Haber"/>
    <x v="1"/>
    <x v="1"/>
    <x v="1"/>
    <x v="1"/>
    <n v="0"/>
    <s v=""/>
    <s v="HABER"/>
    <x v="4"/>
    <x v="1"/>
    <x v="2"/>
    <x v="11"/>
    <x v="11"/>
    <s v=""/>
    <x v="0"/>
    <x v="0"/>
    <n v="1841"/>
    <x v="11"/>
    <s v=""/>
    <x v="4"/>
    <x v="1"/>
  </r>
  <r>
    <x v="0"/>
    <x v="0"/>
    <x v="13"/>
    <n v="0"/>
    <s v="Haber"/>
    <x v="1"/>
    <x v="1"/>
    <x v="1"/>
    <x v="1"/>
    <n v="0"/>
    <s v=""/>
    <n v="0"/>
    <x v="4"/>
    <x v="1"/>
    <x v="2"/>
    <x v="11"/>
    <x v="11"/>
    <s v=""/>
    <x v="0"/>
    <x v="0"/>
    <n v="1842"/>
    <x v="11"/>
    <s v=""/>
    <x v="4"/>
    <x v="1"/>
  </r>
  <r>
    <x v="0"/>
    <x v="0"/>
    <x v="13"/>
    <n v="0"/>
    <s v="Haber"/>
    <x v="1"/>
    <x v="1"/>
    <x v="1"/>
    <x v="1"/>
    <n v="0"/>
    <s v=""/>
    <n v="0"/>
    <x v="4"/>
    <x v="1"/>
    <x v="2"/>
    <x v="11"/>
    <x v="11"/>
    <s v=""/>
    <x v="0"/>
    <x v="0"/>
    <n v="1845"/>
    <x v="11"/>
    <s v=""/>
    <x v="4"/>
    <x v="1"/>
  </r>
  <r>
    <x v="0"/>
    <x v="0"/>
    <x v="13"/>
    <n v="0"/>
    <s v="Haber"/>
    <x v="1"/>
    <x v="1"/>
    <x v="1"/>
    <x v="1"/>
    <n v="0"/>
    <s v=""/>
    <n v="0"/>
    <x v="4"/>
    <x v="1"/>
    <x v="2"/>
    <x v="11"/>
    <x v="11"/>
    <s v=""/>
    <x v="0"/>
    <x v="0"/>
    <n v="1846"/>
    <x v="11"/>
    <s v=""/>
    <x v="4"/>
    <x v="1"/>
  </r>
  <r>
    <x v="0"/>
    <x v="0"/>
    <x v="13"/>
    <n v="0"/>
    <s v="Haber"/>
    <x v="1"/>
    <x v="1"/>
    <x v="1"/>
    <x v="1"/>
    <n v="0"/>
    <s v=""/>
    <n v="0"/>
    <x v="4"/>
    <x v="1"/>
    <x v="2"/>
    <x v="11"/>
    <x v="11"/>
    <s v=""/>
    <x v="0"/>
    <x v="0"/>
    <n v="1847"/>
    <x v="11"/>
    <s v=""/>
    <x v="4"/>
    <x v="1"/>
  </r>
  <r>
    <x v="0"/>
    <x v="0"/>
    <x v="13"/>
    <s v="HABER"/>
    <s v="Haber"/>
    <x v="1"/>
    <x v="1"/>
    <x v="1"/>
    <x v="1"/>
    <n v="0"/>
    <s v=""/>
    <s v="HABER"/>
    <x v="4"/>
    <x v="1"/>
    <x v="2"/>
    <x v="11"/>
    <x v="11"/>
    <s v=""/>
    <x v="0"/>
    <x v="0"/>
    <n v="1848"/>
    <x v="11"/>
    <s v=""/>
    <x v="4"/>
    <x v="1"/>
  </r>
  <r>
    <x v="0"/>
    <x v="0"/>
    <x v="13"/>
    <n v="0"/>
    <s v="Haber"/>
    <x v="1"/>
    <x v="1"/>
    <x v="1"/>
    <x v="1"/>
    <n v="0"/>
    <s v=""/>
    <n v="0"/>
    <x v="4"/>
    <x v="1"/>
    <x v="2"/>
    <x v="11"/>
    <x v="11"/>
    <s v=""/>
    <x v="0"/>
    <x v="0"/>
    <n v="1849"/>
    <x v="11"/>
    <s v=""/>
    <x v="4"/>
    <x v="1"/>
  </r>
  <r>
    <x v="0"/>
    <x v="0"/>
    <x v="13"/>
    <n v="0"/>
    <s v="Haber"/>
    <x v="1"/>
    <x v="1"/>
    <x v="1"/>
    <x v="1"/>
    <n v="0"/>
    <s v=""/>
    <n v="0"/>
    <x v="4"/>
    <x v="1"/>
    <x v="2"/>
    <x v="11"/>
    <x v="11"/>
    <s v=""/>
    <x v="0"/>
    <x v="0"/>
    <n v="1852"/>
    <x v="11"/>
    <s v=""/>
    <x v="4"/>
    <x v="1"/>
  </r>
  <r>
    <x v="0"/>
    <x v="0"/>
    <x v="13"/>
    <n v="0"/>
    <s v="Haber"/>
    <x v="1"/>
    <x v="1"/>
    <x v="1"/>
    <x v="1"/>
    <n v="0"/>
    <s v=""/>
    <n v="0"/>
    <x v="4"/>
    <x v="1"/>
    <x v="2"/>
    <x v="11"/>
    <x v="11"/>
    <s v=""/>
    <x v="0"/>
    <x v="0"/>
    <n v="1853"/>
    <x v="11"/>
    <s v=""/>
    <x v="4"/>
    <x v="1"/>
  </r>
  <r>
    <x v="0"/>
    <x v="0"/>
    <x v="13"/>
    <n v="0"/>
    <s v="Haber"/>
    <x v="1"/>
    <x v="1"/>
    <x v="1"/>
    <x v="1"/>
    <n v="0"/>
    <s v=""/>
    <n v="0"/>
    <x v="4"/>
    <x v="1"/>
    <x v="2"/>
    <x v="11"/>
    <x v="11"/>
    <s v=""/>
    <x v="0"/>
    <x v="0"/>
    <n v="1854"/>
    <x v="11"/>
    <s v=""/>
    <x v="4"/>
    <x v="1"/>
  </r>
  <r>
    <x v="0"/>
    <x v="0"/>
    <x v="13"/>
    <s v="HABER"/>
    <s v="Haber"/>
    <x v="1"/>
    <x v="1"/>
    <x v="1"/>
    <x v="1"/>
    <n v="0"/>
    <s v=""/>
    <s v="HABER"/>
    <x v="4"/>
    <x v="1"/>
    <x v="2"/>
    <x v="11"/>
    <x v="11"/>
    <s v=""/>
    <x v="0"/>
    <x v="0"/>
    <n v="1855"/>
    <x v="11"/>
    <s v=""/>
    <x v="4"/>
    <x v="1"/>
  </r>
  <r>
    <x v="0"/>
    <x v="0"/>
    <x v="13"/>
    <n v="0"/>
    <s v="Haber"/>
    <x v="1"/>
    <x v="1"/>
    <x v="1"/>
    <x v="1"/>
    <n v="0"/>
    <s v=""/>
    <n v="0"/>
    <x v="4"/>
    <x v="1"/>
    <x v="2"/>
    <x v="11"/>
    <x v="11"/>
    <s v=""/>
    <x v="0"/>
    <x v="0"/>
    <n v="1856"/>
    <x v="11"/>
    <s v=""/>
    <x v="4"/>
    <x v="1"/>
  </r>
  <r>
    <x v="0"/>
    <x v="0"/>
    <x v="13"/>
    <n v="0"/>
    <s v="Haber"/>
    <x v="1"/>
    <x v="1"/>
    <x v="1"/>
    <x v="1"/>
    <n v="0"/>
    <s v=""/>
    <n v="0"/>
    <x v="4"/>
    <x v="1"/>
    <x v="2"/>
    <x v="11"/>
    <x v="11"/>
    <s v=""/>
    <x v="0"/>
    <x v="0"/>
    <n v="1859"/>
    <x v="11"/>
    <s v=""/>
    <x v="4"/>
    <x v="1"/>
  </r>
  <r>
    <x v="0"/>
    <x v="0"/>
    <x v="13"/>
    <n v="0"/>
    <s v="Haber"/>
    <x v="1"/>
    <x v="1"/>
    <x v="1"/>
    <x v="1"/>
    <n v="0"/>
    <s v=""/>
    <n v="0"/>
    <x v="4"/>
    <x v="1"/>
    <x v="2"/>
    <x v="11"/>
    <x v="11"/>
    <s v=""/>
    <x v="0"/>
    <x v="0"/>
    <n v="1860"/>
    <x v="11"/>
    <s v=""/>
    <x v="4"/>
    <x v="1"/>
  </r>
  <r>
    <x v="0"/>
    <x v="0"/>
    <x v="13"/>
    <n v="0"/>
    <s v="Haber"/>
    <x v="1"/>
    <x v="1"/>
    <x v="1"/>
    <x v="1"/>
    <n v="0"/>
    <s v=""/>
    <n v="0"/>
    <x v="4"/>
    <x v="1"/>
    <x v="2"/>
    <x v="11"/>
    <x v="11"/>
    <s v=""/>
    <x v="0"/>
    <x v="0"/>
    <n v="1861"/>
    <x v="11"/>
    <s v=""/>
    <x v="4"/>
    <x v="1"/>
  </r>
  <r>
    <x v="0"/>
    <x v="0"/>
    <x v="13"/>
    <s v="HABER"/>
    <s v="Haber"/>
    <x v="1"/>
    <x v="1"/>
    <x v="1"/>
    <x v="1"/>
    <n v="0"/>
    <s v=""/>
    <s v="HABER"/>
    <x v="4"/>
    <x v="1"/>
    <x v="2"/>
    <x v="11"/>
    <x v="11"/>
    <s v=""/>
    <x v="0"/>
    <x v="0"/>
    <n v="1862"/>
    <x v="11"/>
    <s v=""/>
    <x v="4"/>
    <x v="1"/>
  </r>
  <r>
    <x v="0"/>
    <x v="0"/>
    <x v="13"/>
    <n v="0"/>
    <s v="Haber"/>
    <x v="1"/>
    <x v="1"/>
    <x v="1"/>
    <x v="1"/>
    <n v="0"/>
    <s v=""/>
    <n v="0"/>
    <x v="4"/>
    <x v="1"/>
    <x v="2"/>
    <x v="11"/>
    <x v="11"/>
    <s v=""/>
    <x v="0"/>
    <x v="0"/>
    <n v="1863"/>
    <x v="11"/>
    <s v=""/>
    <x v="4"/>
    <x v="1"/>
  </r>
  <r>
    <x v="0"/>
    <x v="0"/>
    <x v="13"/>
    <n v="0"/>
    <s v="Haber"/>
    <x v="1"/>
    <x v="1"/>
    <x v="1"/>
    <x v="1"/>
    <n v="0"/>
    <s v=""/>
    <n v="0"/>
    <x v="4"/>
    <x v="1"/>
    <x v="2"/>
    <x v="11"/>
    <x v="11"/>
    <s v=""/>
    <x v="0"/>
    <x v="0"/>
    <n v="1866"/>
    <x v="11"/>
    <s v=""/>
    <x v="4"/>
    <x v="1"/>
  </r>
  <r>
    <x v="0"/>
    <x v="0"/>
    <x v="13"/>
    <n v="0"/>
    <s v="Haber"/>
    <x v="1"/>
    <x v="1"/>
    <x v="1"/>
    <x v="1"/>
    <n v="0"/>
    <s v=""/>
    <n v="0"/>
    <x v="4"/>
    <x v="1"/>
    <x v="2"/>
    <x v="11"/>
    <x v="11"/>
    <s v=""/>
    <x v="0"/>
    <x v="0"/>
    <n v="1867"/>
    <x v="11"/>
    <s v=""/>
    <x v="4"/>
    <x v="1"/>
  </r>
  <r>
    <x v="0"/>
    <x v="0"/>
    <x v="13"/>
    <n v="0"/>
    <s v="Haber"/>
    <x v="1"/>
    <x v="1"/>
    <x v="1"/>
    <x v="1"/>
    <n v="0"/>
    <s v=""/>
    <n v="0"/>
    <x v="4"/>
    <x v="1"/>
    <x v="2"/>
    <x v="11"/>
    <x v="11"/>
    <s v=""/>
    <x v="0"/>
    <x v="0"/>
    <n v="1868"/>
    <x v="11"/>
    <s v=""/>
    <x v="4"/>
    <x v="1"/>
  </r>
  <r>
    <x v="0"/>
    <x v="0"/>
    <x v="13"/>
    <s v="HABER"/>
    <s v="Haber"/>
    <x v="1"/>
    <x v="1"/>
    <x v="1"/>
    <x v="1"/>
    <n v="0"/>
    <s v=""/>
    <s v="HABER"/>
    <x v="4"/>
    <x v="1"/>
    <x v="2"/>
    <x v="11"/>
    <x v="11"/>
    <s v=""/>
    <x v="0"/>
    <x v="0"/>
    <n v="1869"/>
    <x v="11"/>
    <s v=""/>
    <x v="4"/>
    <x v="1"/>
  </r>
  <r>
    <x v="0"/>
    <x v="0"/>
    <x v="13"/>
    <n v="0"/>
    <s v="Haber"/>
    <x v="1"/>
    <x v="1"/>
    <x v="1"/>
    <x v="1"/>
    <n v="0"/>
    <s v=""/>
    <n v="0"/>
    <x v="4"/>
    <x v="1"/>
    <x v="2"/>
    <x v="11"/>
    <x v="11"/>
    <s v=""/>
    <x v="0"/>
    <x v="0"/>
    <n v="1870"/>
    <x v="11"/>
    <s v=""/>
    <x v="4"/>
    <x v="1"/>
  </r>
  <r>
    <x v="0"/>
    <x v="0"/>
    <x v="13"/>
    <n v="0"/>
    <s v="Haber"/>
    <x v="1"/>
    <x v="1"/>
    <x v="1"/>
    <x v="1"/>
    <n v="0"/>
    <s v=""/>
    <n v="0"/>
    <x v="4"/>
    <x v="1"/>
    <x v="2"/>
    <x v="11"/>
    <x v="11"/>
    <s v=""/>
    <x v="0"/>
    <x v="0"/>
    <n v="1873"/>
    <x v="11"/>
    <s v=""/>
    <x v="4"/>
    <x v="1"/>
  </r>
  <r>
    <x v="0"/>
    <x v="0"/>
    <x v="13"/>
    <n v="0"/>
    <s v="Haber"/>
    <x v="1"/>
    <x v="1"/>
    <x v="1"/>
    <x v="1"/>
    <n v="0"/>
    <s v=""/>
    <n v="0"/>
    <x v="4"/>
    <x v="1"/>
    <x v="2"/>
    <x v="11"/>
    <x v="11"/>
    <s v=""/>
    <x v="0"/>
    <x v="0"/>
    <n v="1874"/>
    <x v="11"/>
    <s v=""/>
    <x v="4"/>
    <x v="1"/>
  </r>
  <r>
    <x v="0"/>
    <x v="0"/>
    <x v="13"/>
    <n v="0"/>
    <s v="Haber"/>
    <x v="1"/>
    <x v="1"/>
    <x v="1"/>
    <x v="1"/>
    <n v="0"/>
    <s v=""/>
    <n v="0"/>
    <x v="4"/>
    <x v="1"/>
    <x v="2"/>
    <x v="11"/>
    <x v="11"/>
    <s v=""/>
    <x v="0"/>
    <x v="0"/>
    <n v="1875"/>
    <x v="11"/>
    <s v=""/>
    <x v="4"/>
    <x v="1"/>
  </r>
  <r>
    <x v="0"/>
    <x v="0"/>
    <x v="13"/>
    <s v="HABER"/>
    <s v="Haber"/>
    <x v="1"/>
    <x v="1"/>
    <x v="1"/>
    <x v="1"/>
    <n v="0"/>
    <s v=""/>
    <s v="HABER"/>
    <x v="4"/>
    <x v="1"/>
    <x v="2"/>
    <x v="11"/>
    <x v="11"/>
    <s v=""/>
    <x v="0"/>
    <x v="0"/>
    <n v="1876"/>
    <x v="11"/>
    <s v=""/>
    <x v="4"/>
    <x v="1"/>
  </r>
  <r>
    <x v="0"/>
    <x v="0"/>
    <x v="13"/>
    <n v="0"/>
    <s v="Haber"/>
    <x v="1"/>
    <x v="1"/>
    <x v="1"/>
    <x v="1"/>
    <n v="0"/>
    <s v=""/>
    <n v="0"/>
    <x v="4"/>
    <x v="1"/>
    <x v="2"/>
    <x v="11"/>
    <x v="11"/>
    <s v=""/>
    <x v="0"/>
    <x v="0"/>
    <n v="1877"/>
    <x v="11"/>
    <s v=""/>
    <x v="4"/>
    <x v="1"/>
  </r>
  <r>
    <x v="0"/>
    <x v="0"/>
    <x v="13"/>
    <n v="0"/>
    <s v="Haber"/>
    <x v="1"/>
    <x v="1"/>
    <x v="1"/>
    <x v="1"/>
    <n v="0"/>
    <s v=""/>
    <n v="0"/>
    <x v="4"/>
    <x v="1"/>
    <x v="2"/>
    <x v="11"/>
    <x v="11"/>
    <s v=""/>
    <x v="0"/>
    <x v="0"/>
    <n v="1880"/>
    <x v="11"/>
    <s v=""/>
    <x v="4"/>
    <x v="1"/>
  </r>
  <r>
    <x v="0"/>
    <x v="0"/>
    <x v="13"/>
    <n v="0"/>
    <s v="Haber"/>
    <x v="1"/>
    <x v="1"/>
    <x v="1"/>
    <x v="1"/>
    <n v="0"/>
    <s v=""/>
    <n v="0"/>
    <x v="4"/>
    <x v="1"/>
    <x v="2"/>
    <x v="11"/>
    <x v="11"/>
    <s v=""/>
    <x v="0"/>
    <x v="0"/>
    <n v="1881"/>
    <x v="11"/>
    <s v=""/>
    <x v="4"/>
    <x v="1"/>
  </r>
  <r>
    <x v="0"/>
    <x v="0"/>
    <x v="13"/>
    <n v="0"/>
    <s v="Haber"/>
    <x v="1"/>
    <x v="1"/>
    <x v="1"/>
    <x v="1"/>
    <n v="0"/>
    <s v=""/>
    <n v="0"/>
    <x v="4"/>
    <x v="1"/>
    <x v="2"/>
    <x v="11"/>
    <x v="11"/>
    <s v=""/>
    <x v="0"/>
    <x v="0"/>
    <n v="1882"/>
    <x v="11"/>
    <s v=""/>
    <x v="4"/>
    <x v="1"/>
  </r>
  <r>
    <x v="0"/>
    <x v="0"/>
    <x v="13"/>
    <s v="HABER"/>
    <s v="Haber"/>
    <x v="1"/>
    <x v="1"/>
    <x v="1"/>
    <x v="1"/>
    <n v="0"/>
    <s v=""/>
    <s v="HABER"/>
    <x v="4"/>
    <x v="1"/>
    <x v="2"/>
    <x v="11"/>
    <x v="11"/>
    <s v=""/>
    <x v="0"/>
    <x v="0"/>
    <n v="1883"/>
    <x v="11"/>
    <s v=""/>
    <x v="4"/>
    <x v="1"/>
  </r>
  <r>
    <x v="0"/>
    <x v="0"/>
    <x v="13"/>
    <n v="0"/>
    <s v="Haber"/>
    <x v="1"/>
    <x v="1"/>
    <x v="1"/>
    <x v="1"/>
    <n v="0"/>
    <s v=""/>
    <n v="0"/>
    <x v="4"/>
    <x v="1"/>
    <x v="2"/>
    <x v="11"/>
    <x v="11"/>
    <s v=""/>
    <x v="0"/>
    <x v="0"/>
    <n v="1884"/>
    <x v="11"/>
    <s v=""/>
    <x v="4"/>
    <x v="1"/>
  </r>
  <r>
    <x v="0"/>
    <x v="0"/>
    <x v="13"/>
    <n v="0"/>
    <s v="Haber"/>
    <x v="1"/>
    <x v="1"/>
    <x v="1"/>
    <x v="1"/>
    <n v="0"/>
    <s v=""/>
    <n v="0"/>
    <x v="4"/>
    <x v="1"/>
    <x v="2"/>
    <x v="11"/>
    <x v="11"/>
    <s v=""/>
    <x v="0"/>
    <x v="0"/>
    <n v="1887"/>
    <x v="11"/>
    <s v=""/>
    <x v="4"/>
    <x v="1"/>
  </r>
  <r>
    <x v="0"/>
    <x v="0"/>
    <x v="13"/>
    <n v="0"/>
    <s v="Haber"/>
    <x v="1"/>
    <x v="1"/>
    <x v="1"/>
    <x v="1"/>
    <n v="0"/>
    <s v=""/>
    <n v="0"/>
    <x v="4"/>
    <x v="1"/>
    <x v="2"/>
    <x v="11"/>
    <x v="11"/>
    <s v=""/>
    <x v="0"/>
    <x v="0"/>
    <n v="1888"/>
    <x v="11"/>
    <s v=""/>
    <x v="4"/>
    <x v="1"/>
  </r>
  <r>
    <x v="0"/>
    <x v="0"/>
    <x v="13"/>
    <n v="0"/>
    <s v="Haber"/>
    <x v="1"/>
    <x v="1"/>
    <x v="1"/>
    <x v="1"/>
    <n v="0"/>
    <s v=""/>
    <n v="0"/>
    <x v="4"/>
    <x v="1"/>
    <x v="2"/>
    <x v="11"/>
    <x v="11"/>
    <s v=""/>
    <x v="0"/>
    <x v="0"/>
    <n v="1889"/>
    <x v="11"/>
    <s v=""/>
    <x v="4"/>
    <x v="1"/>
  </r>
  <r>
    <x v="0"/>
    <x v="0"/>
    <x v="13"/>
    <s v="HABER"/>
    <s v="Haber"/>
    <x v="1"/>
    <x v="1"/>
    <x v="1"/>
    <x v="1"/>
    <n v="0"/>
    <s v=""/>
    <s v="HABER"/>
    <x v="4"/>
    <x v="1"/>
    <x v="2"/>
    <x v="11"/>
    <x v="11"/>
    <s v=""/>
    <x v="0"/>
    <x v="0"/>
    <n v="1890"/>
    <x v="11"/>
    <s v=""/>
    <x v="4"/>
    <x v="1"/>
  </r>
  <r>
    <x v="0"/>
    <x v="0"/>
    <x v="13"/>
    <n v="0"/>
    <s v="Haber"/>
    <x v="1"/>
    <x v="1"/>
    <x v="1"/>
    <x v="1"/>
    <n v="0"/>
    <s v=""/>
    <n v="0"/>
    <x v="4"/>
    <x v="1"/>
    <x v="2"/>
    <x v="11"/>
    <x v="11"/>
    <s v=""/>
    <x v="0"/>
    <x v="0"/>
    <n v="1891"/>
    <x v="11"/>
    <s v=""/>
    <x v="4"/>
    <x v="1"/>
  </r>
  <r>
    <x v="0"/>
    <x v="0"/>
    <x v="13"/>
    <n v="0"/>
    <s v="Haber"/>
    <x v="1"/>
    <x v="1"/>
    <x v="1"/>
    <x v="1"/>
    <n v="0"/>
    <s v=""/>
    <n v="0"/>
    <x v="4"/>
    <x v="1"/>
    <x v="2"/>
    <x v="11"/>
    <x v="11"/>
    <s v=""/>
    <x v="0"/>
    <x v="0"/>
    <n v="1894"/>
    <x v="11"/>
    <s v=""/>
    <x v="4"/>
    <x v="1"/>
  </r>
  <r>
    <x v="0"/>
    <x v="0"/>
    <x v="13"/>
    <n v="0"/>
    <s v="Haber"/>
    <x v="1"/>
    <x v="1"/>
    <x v="1"/>
    <x v="1"/>
    <n v="0"/>
    <s v=""/>
    <n v="0"/>
    <x v="4"/>
    <x v="1"/>
    <x v="2"/>
    <x v="11"/>
    <x v="11"/>
    <s v=""/>
    <x v="0"/>
    <x v="0"/>
    <n v="1895"/>
    <x v="11"/>
    <s v=""/>
    <x v="4"/>
    <x v="1"/>
  </r>
  <r>
    <x v="0"/>
    <x v="0"/>
    <x v="13"/>
    <n v="0"/>
    <s v="Haber"/>
    <x v="1"/>
    <x v="1"/>
    <x v="1"/>
    <x v="1"/>
    <n v="0"/>
    <s v=""/>
    <n v="0"/>
    <x v="4"/>
    <x v="1"/>
    <x v="2"/>
    <x v="11"/>
    <x v="11"/>
    <s v=""/>
    <x v="0"/>
    <x v="0"/>
    <n v="1896"/>
    <x v="11"/>
    <s v=""/>
    <x v="4"/>
    <x v="1"/>
  </r>
  <r>
    <x v="0"/>
    <x v="0"/>
    <x v="13"/>
    <s v="HABER"/>
    <s v="Haber"/>
    <x v="1"/>
    <x v="1"/>
    <x v="1"/>
    <x v="1"/>
    <n v="0"/>
    <s v=""/>
    <s v="HABER"/>
    <x v="4"/>
    <x v="1"/>
    <x v="2"/>
    <x v="11"/>
    <x v="11"/>
    <s v=""/>
    <x v="0"/>
    <x v="0"/>
    <n v="1897"/>
    <x v="11"/>
    <s v=""/>
    <x v="4"/>
    <x v="1"/>
  </r>
  <r>
    <x v="0"/>
    <x v="0"/>
    <x v="13"/>
    <n v="0"/>
    <s v="Haber"/>
    <x v="1"/>
    <x v="1"/>
    <x v="1"/>
    <x v="1"/>
    <n v="0"/>
    <s v=""/>
    <n v="0"/>
    <x v="4"/>
    <x v="1"/>
    <x v="2"/>
    <x v="11"/>
    <x v="11"/>
    <s v=""/>
    <x v="0"/>
    <x v="0"/>
    <n v="1898"/>
    <x v="11"/>
    <s v=""/>
    <x v="4"/>
    <x v="1"/>
  </r>
  <r>
    <x v="0"/>
    <x v="0"/>
    <x v="13"/>
    <n v="0"/>
    <s v="Haber"/>
    <x v="1"/>
    <x v="1"/>
    <x v="1"/>
    <x v="1"/>
    <n v="0"/>
    <s v=""/>
    <n v="0"/>
    <x v="4"/>
    <x v="1"/>
    <x v="2"/>
    <x v="11"/>
    <x v="11"/>
    <s v=""/>
    <x v="0"/>
    <x v="0"/>
    <n v="1901"/>
    <x v="11"/>
    <s v=""/>
    <x v="4"/>
    <x v="1"/>
  </r>
  <r>
    <x v="0"/>
    <x v="0"/>
    <x v="13"/>
    <n v="0"/>
    <s v="Haber"/>
    <x v="1"/>
    <x v="1"/>
    <x v="1"/>
    <x v="1"/>
    <n v="0"/>
    <s v=""/>
    <n v="0"/>
    <x v="4"/>
    <x v="1"/>
    <x v="2"/>
    <x v="11"/>
    <x v="11"/>
    <s v=""/>
    <x v="0"/>
    <x v="0"/>
    <n v="1902"/>
    <x v="11"/>
    <s v=""/>
    <x v="4"/>
    <x v="1"/>
  </r>
  <r>
    <x v="0"/>
    <x v="0"/>
    <x v="13"/>
    <n v="0"/>
    <s v="Haber"/>
    <x v="1"/>
    <x v="1"/>
    <x v="1"/>
    <x v="1"/>
    <n v="0"/>
    <s v=""/>
    <n v="0"/>
    <x v="4"/>
    <x v="1"/>
    <x v="2"/>
    <x v="11"/>
    <x v="11"/>
    <s v=""/>
    <x v="0"/>
    <x v="0"/>
    <n v="1903"/>
    <x v="11"/>
    <s v=""/>
    <x v="4"/>
    <x v="1"/>
  </r>
  <r>
    <x v="0"/>
    <x v="0"/>
    <x v="13"/>
    <s v="HABER"/>
    <s v="Haber"/>
    <x v="1"/>
    <x v="1"/>
    <x v="1"/>
    <x v="1"/>
    <n v="0"/>
    <s v=""/>
    <s v="HABER"/>
    <x v="4"/>
    <x v="1"/>
    <x v="2"/>
    <x v="11"/>
    <x v="11"/>
    <s v=""/>
    <x v="0"/>
    <x v="0"/>
    <n v="1904"/>
    <x v="11"/>
    <s v=""/>
    <x v="4"/>
    <x v="1"/>
  </r>
  <r>
    <x v="0"/>
    <x v="0"/>
    <x v="13"/>
    <n v="0"/>
    <s v="Haber"/>
    <x v="1"/>
    <x v="1"/>
    <x v="1"/>
    <x v="1"/>
    <n v="0"/>
    <s v=""/>
    <n v="0"/>
    <x v="4"/>
    <x v="1"/>
    <x v="2"/>
    <x v="11"/>
    <x v="11"/>
    <s v=""/>
    <x v="0"/>
    <x v="0"/>
    <n v="1905"/>
    <x v="11"/>
    <s v=""/>
    <x v="4"/>
    <x v="1"/>
  </r>
  <r>
    <x v="0"/>
    <x v="0"/>
    <x v="13"/>
    <n v="0"/>
    <s v="Haber"/>
    <x v="1"/>
    <x v="1"/>
    <x v="1"/>
    <x v="1"/>
    <n v="0"/>
    <s v=""/>
    <n v="0"/>
    <x v="4"/>
    <x v="1"/>
    <x v="2"/>
    <x v="11"/>
    <x v="11"/>
    <s v=""/>
    <x v="0"/>
    <x v="0"/>
    <n v="1922"/>
    <x v="11"/>
    <s v=""/>
    <x v="4"/>
    <x v="1"/>
  </r>
  <r>
    <x v="0"/>
    <x v="0"/>
    <x v="13"/>
    <n v="0"/>
    <s v="Haber"/>
    <x v="1"/>
    <x v="1"/>
    <x v="1"/>
    <x v="1"/>
    <n v="0"/>
    <s v=""/>
    <n v="0"/>
    <x v="4"/>
    <x v="1"/>
    <x v="2"/>
    <x v="11"/>
    <x v="11"/>
    <s v=""/>
    <x v="0"/>
    <x v="0"/>
    <n v="1923"/>
    <x v="11"/>
    <s v=""/>
    <x v="4"/>
    <x v="1"/>
  </r>
  <r>
    <x v="0"/>
    <x v="0"/>
    <x v="13"/>
    <n v="0"/>
    <s v="Haber"/>
    <x v="1"/>
    <x v="1"/>
    <x v="1"/>
    <x v="1"/>
    <n v="0"/>
    <s v=""/>
    <n v="0"/>
    <x v="4"/>
    <x v="1"/>
    <x v="2"/>
    <x v="11"/>
    <x v="11"/>
    <s v=""/>
    <x v="0"/>
    <x v="0"/>
    <n v="1924"/>
    <x v="11"/>
    <s v=""/>
    <x v="4"/>
    <x v="1"/>
  </r>
  <r>
    <x v="0"/>
    <x v="0"/>
    <x v="13"/>
    <s v="HABER"/>
    <s v="Haber"/>
    <x v="1"/>
    <x v="1"/>
    <x v="1"/>
    <x v="1"/>
    <n v="0"/>
    <s v=""/>
    <s v="HABER"/>
    <x v="4"/>
    <x v="1"/>
    <x v="2"/>
    <x v="11"/>
    <x v="11"/>
    <s v=""/>
    <x v="0"/>
    <x v="0"/>
    <n v="1925"/>
    <x v="11"/>
    <s v=""/>
    <x v="4"/>
    <x v="1"/>
  </r>
  <r>
    <x v="0"/>
    <x v="0"/>
    <x v="13"/>
    <n v="0"/>
    <s v="Haber"/>
    <x v="1"/>
    <x v="1"/>
    <x v="1"/>
    <x v="1"/>
    <n v="0"/>
    <s v=""/>
    <n v="0"/>
    <x v="4"/>
    <x v="1"/>
    <x v="2"/>
    <x v="11"/>
    <x v="11"/>
    <s v=""/>
    <x v="0"/>
    <x v="0"/>
    <n v="1926"/>
    <x v="11"/>
    <s v=""/>
    <x v="4"/>
    <x v="1"/>
  </r>
  <r>
    <x v="0"/>
    <x v="0"/>
    <x v="13"/>
    <n v="0"/>
    <s v="Haber"/>
    <x v="1"/>
    <x v="1"/>
    <x v="1"/>
    <x v="1"/>
    <n v="0"/>
    <s v=""/>
    <n v="0"/>
    <x v="4"/>
    <x v="1"/>
    <x v="2"/>
    <x v="11"/>
    <x v="11"/>
    <s v=""/>
    <x v="0"/>
    <x v="0"/>
    <n v="1939"/>
    <x v="11"/>
    <s v=""/>
    <x v="4"/>
    <x v="1"/>
  </r>
  <r>
    <x v="0"/>
    <x v="0"/>
    <x v="13"/>
    <n v="0"/>
    <s v="Haber"/>
    <x v="1"/>
    <x v="1"/>
    <x v="1"/>
    <x v="1"/>
    <n v="0"/>
    <s v=""/>
    <n v="0"/>
    <x v="4"/>
    <x v="1"/>
    <x v="2"/>
    <x v="11"/>
    <x v="11"/>
    <s v=""/>
    <x v="0"/>
    <x v="0"/>
    <n v="1940"/>
    <x v="11"/>
    <s v=""/>
    <x v="4"/>
    <x v="1"/>
  </r>
  <r>
    <x v="0"/>
    <x v="0"/>
    <x v="13"/>
    <n v="0"/>
    <s v="Haber"/>
    <x v="1"/>
    <x v="1"/>
    <x v="1"/>
    <x v="1"/>
    <n v="0"/>
    <s v=""/>
    <n v="0"/>
    <x v="4"/>
    <x v="1"/>
    <x v="2"/>
    <x v="11"/>
    <x v="11"/>
    <s v=""/>
    <x v="0"/>
    <x v="0"/>
    <n v="1941"/>
    <x v="11"/>
    <s v=""/>
    <x v="4"/>
    <x v="1"/>
  </r>
  <r>
    <x v="0"/>
    <x v="0"/>
    <x v="13"/>
    <s v="HABER"/>
    <s v="Haber"/>
    <x v="1"/>
    <x v="1"/>
    <x v="1"/>
    <x v="1"/>
    <n v="0"/>
    <s v=""/>
    <s v="HABER"/>
    <x v="4"/>
    <x v="1"/>
    <x v="2"/>
    <x v="11"/>
    <x v="11"/>
    <s v=""/>
    <x v="0"/>
    <x v="0"/>
    <n v="1942"/>
    <x v="11"/>
    <s v=""/>
    <x v="4"/>
    <x v="1"/>
  </r>
  <r>
    <x v="0"/>
    <x v="0"/>
    <x v="13"/>
    <n v="0"/>
    <s v="Haber"/>
    <x v="1"/>
    <x v="1"/>
    <x v="1"/>
    <x v="1"/>
    <n v="0"/>
    <s v=""/>
    <n v="0"/>
    <x v="4"/>
    <x v="1"/>
    <x v="2"/>
    <x v="11"/>
    <x v="11"/>
    <s v=""/>
    <x v="0"/>
    <x v="0"/>
    <n v="1943"/>
    <x v="11"/>
    <s v=""/>
    <x v="4"/>
    <x v="1"/>
  </r>
  <r>
    <x v="0"/>
    <x v="0"/>
    <x v="13"/>
    <n v="0"/>
    <s v="Haber"/>
    <x v="1"/>
    <x v="1"/>
    <x v="1"/>
    <x v="1"/>
    <n v="0"/>
    <s v=""/>
    <n v="0"/>
    <x v="4"/>
    <x v="1"/>
    <x v="2"/>
    <x v="11"/>
    <x v="11"/>
    <s v=""/>
    <x v="0"/>
    <x v="0"/>
    <n v="1946"/>
    <x v="11"/>
    <s v=""/>
    <x v="4"/>
    <x v="1"/>
  </r>
  <r>
    <x v="0"/>
    <x v="0"/>
    <x v="13"/>
    <n v="0"/>
    <s v="Haber"/>
    <x v="1"/>
    <x v="1"/>
    <x v="1"/>
    <x v="1"/>
    <n v="0"/>
    <s v=""/>
    <n v="0"/>
    <x v="4"/>
    <x v="1"/>
    <x v="2"/>
    <x v="11"/>
    <x v="11"/>
    <s v=""/>
    <x v="0"/>
    <x v="0"/>
    <n v="1947"/>
    <x v="11"/>
    <s v=""/>
    <x v="4"/>
    <x v="1"/>
  </r>
  <r>
    <x v="0"/>
    <x v="0"/>
    <x v="13"/>
    <n v="0"/>
    <s v="Haber"/>
    <x v="1"/>
    <x v="1"/>
    <x v="1"/>
    <x v="1"/>
    <n v="0"/>
    <s v=""/>
    <n v="0"/>
    <x v="4"/>
    <x v="1"/>
    <x v="2"/>
    <x v="11"/>
    <x v="11"/>
    <s v=""/>
    <x v="0"/>
    <x v="0"/>
    <n v="1948"/>
    <x v="11"/>
    <s v=""/>
    <x v="4"/>
    <x v="1"/>
  </r>
  <r>
    <x v="0"/>
    <x v="0"/>
    <x v="13"/>
    <s v="HABER"/>
    <s v="Haber"/>
    <x v="1"/>
    <x v="1"/>
    <x v="1"/>
    <x v="1"/>
    <n v="0"/>
    <s v=""/>
    <s v="HABER"/>
    <x v="4"/>
    <x v="1"/>
    <x v="2"/>
    <x v="11"/>
    <x v="11"/>
    <s v=""/>
    <x v="0"/>
    <x v="0"/>
    <n v="1949"/>
    <x v="11"/>
    <s v=""/>
    <x v="4"/>
    <x v="1"/>
  </r>
  <r>
    <x v="0"/>
    <x v="0"/>
    <x v="13"/>
    <n v="0"/>
    <s v="Haber"/>
    <x v="1"/>
    <x v="1"/>
    <x v="1"/>
    <x v="1"/>
    <n v="0"/>
    <s v=""/>
    <n v="0"/>
    <x v="4"/>
    <x v="1"/>
    <x v="2"/>
    <x v="11"/>
    <x v="11"/>
    <s v=""/>
    <x v="0"/>
    <x v="0"/>
    <n v="1950"/>
    <x v="11"/>
    <s v=""/>
    <x v="4"/>
    <x v="1"/>
  </r>
  <r>
    <x v="0"/>
    <x v="0"/>
    <x v="13"/>
    <n v="0"/>
    <s v="Haber"/>
    <x v="1"/>
    <x v="1"/>
    <x v="1"/>
    <x v="1"/>
    <n v="0"/>
    <s v=""/>
    <n v="0"/>
    <x v="4"/>
    <x v="1"/>
    <x v="2"/>
    <x v="11"/>
    <x v="11"/>
    <s v=""/>
    <x v="0"/>
    <x v="0"/>
    <n v="1953"/>
    <x v="11"/>
    <s v=""/>
    <x v="4"/>
    <x v="1"/>
  </r>
  <r>
    <x v="0"/>
    <x v="0"/>
    <x v="13"/>
    <n v="0"/>
    <s v="Haber"/>
    <x v="1"/>
    <x v="1"/>
    <x v="1"/>
    <x v="1"/>
    <n v="0"/>
    <s v=""/>
    <n v="0"/>
    <x v="4"/>
    <x v="1"/>
    <x v="2"/>
    <x v="11"/>
    <x v="11"/>
    <s v=""/>
    <x v="0"/>
    <x v="0"/>
    <n v="1954"/>
    <x v="11"/>
    <s v=""/>
    <x v="4"/>
    <x v="1"/>
  </r>
  <r>
    <x v="0"/>
    <x v="0"/>
    <x v="13"/>
    <n v="0"/>
    <s v="Haber"/>
    <x v="1"/>
    <x v="1"/>
    <x v="1"/>
    <x v="1"/>
    <n v="0"/>
    <s v=""/>
    <n v="0"/>
    <x v="4"/>
    <x v="1"/>
    <x v="2"/>
    <x v="11"/>
    <x v="11"/>
    <s v=""/>
    <x v="0"/>
    <x v="0"/>
    <n v="1955"/>
    <x v="11"/>
    <s v=""/>
    <x v="4"/>
    <x v="1"/>
  </r>
  <r>
    <x v="0"/>
    <x v="0"/>
    <x v="13"/>
    <s v="HABER"/>
    <s v="Haber"/>
    <x v="1"/>
    <x v="1"/>
    <x v="1"/>
    <x v="1"/>
    <n v="0"/>
    <s v=""/>
    <s v="HABER"/>
    <x v="4"/>
    <x v="1"/>
    <x v="2"/>
    <x v="11"/>
    <x v="11"/>
    <s v=""/>
    <x v="0"/>
    <x v="0"/>
    <n v="1956"/>
    <x v="11"/>
    <s v=""/>
    <x v="4"/>
    <x v="1"/>
  </r>
  <r>
    <x v="0"/>
    <x v="0"/>
    <x v="13"/>
    <n v="0"/>
    <s v="Haber"/>
    <x v="1"/>
    <x v="1"/>
    <x v="1"/>
    <x v="1"/>
    <n v="0"/>
    <s v=""/>
    <n v="0"/>
    <x v="4"/>
    <x v="1"/>
    <x v="2"/>
    <x v="11"/>
    <x v="11"/>
    <s v=""/>
    <x v="0"/>
    <x v="0"/>
    <n v="1957"/>
    <x v="11"/>
    <s v=""/>
    <x v="4"/>
    <x v="1"/>
  </r>
  <r>
    <x v="0"/>
    <x v="0"/>
    <x v="13"/>
    <n v="0"/>
    <s v="Haber"/>
    <x v="1"/>
    <x v="1"/>
    <x v="1"/>
    <x v="1"/>
    <n v="0"/>
    <s v=""/>
    <n v="0"/>
    <x v="4"/>
    <x v="1"/>
    <x v="2"/>
    <x v="11"/>
    <x v="11"/>
    <s v=""/>
    <x v="0"/>
    <x v="0"/>
    <n v="1981"/>
    <x v="11"/>
    <s v=""/>
    <x v="4"/>
    <x v="1"/>
  </r>
  <r>
    <x v="0"/>
    <x v="0"/>
    <x v="13"/>
    <n v="0"/>
    <s v="Haber"/>
    <x v="1"/>
    <x v="1"/>
    <x v="1"/>
    <x v="1"/>
    <n v="0"/>
    <s v=""/>
    <n v="0"/>
    <x v="4"/>
    <x v="1"/>
    <x v="2"/>
    <x v="11"/>
    <x v="11"/>
    <s v=""/>
    <x v="0"/>
    <x v="0"/>
    <n v="1982"/>
    <x v="11"/>
    <s v=""/>
    <x v="4"/>
    <x v="1"/>
  </r>
  <r>
    <x v="0"/>
    <x v="0"/>
    <x v="13"/>
    <n v="0"/>
    <s v="Haber"/>
    <x v="1"/>
    <x v="1"/>
    <x v="1"/>
    <x v="1"/>
    <n v="0"/>
    <s v=""/>
    <n v="0"/>
    <x v="4"/>
    <x v="1"/>
    <x v="2"/>
    <x v="11"/>
    <x v="11"/>
    <s v=""/>
    <x v="0"/>
    <x v="0"/>
    <n v="1983"/>
    <x v="11"/>
    <s v=""/>
    <x v="4"/>
    <x v="1"/>
  </r>
  <r>
    <x v="0"/>
    <x v="0"/>
    <x v="13"/>
    <s v="HABER"/>
    <s v="Haber"/>
    <x v="1"/>
    <x v="1"/>
    <x v="1"/>
    <x v="1"/>
    <n v="0"/>
    <s v=""/>
    <s v="HABER"/>
    <x v="4"/>
    <x v="1"/>
    <x v="2"/>
    <x v="11"/>
    <x v="11"/>
    <s v=""/>
    <x v="0"/>
    <x v="0"/>
    <n v="1984"/>
    <x v="11"/>
    <s v=""/>
    <x v="4"/>
    <x v="1"/>
  </r>
  <r>
    <x v="0"/>
    <x v="0"/>
    <x v="13"/>
    <n v="0"/>
    <s v="Haber"/>
    <x v="1"/>
    <x v="1"/>
    <x v="1"/>
    <x v="1"/>
    <n v="0"/>
    <s v=""/>
    <n v="0"/>
    <x v="4"/>
    <x v="1"/>
    <x v="2"/>
    <x v="11"/>
    <x v="11"/>
    <s v=""/>
    <x v="0"/>
    <x v="0"/>
    <n v="1985"/>
    <x v="11"/>
    <s v=""/>
    <x v="4"/>
    <x v="1"/>
  </r>
  <r>
    <x v="1"/>
    <x v="1"/>
    <x v="13"/>
    <n v="0"/>
    <s v="Haber"/>
    <x v="1"/>
    <x v="2"/>
    <x v="1"/>
    <x v="1"/>
    <n v="0"/>
    <s v=""/>
    <n v="0"/>
    <x v="4"/>
    <x v="1"/>
    <x v="2"/>
    <x v="11"/>
    <x v="11"/>
    <s v=""/>
    <x v="0"/>
    <x v="0"/>
    <n v="1986"/>
    <x v="11"/>
    <s v=""/>
    <x v="4"/>
    <x v="1"/>
  </r>
  <r>
    <x v="1"/>
    <x v="1"/>
    <x v="13"/>
    <n v="0"/>
    <s v="Haber"/>
    <x v="1"/>
    <x v="2"/>
    <x v="1"/>
    <x v="1"/>
    <n v="0"/>
    <s v=""/>
    <n v="0"/>
    <x v="4"/>
    <x v="1"/>
    <x v="2"/>
    <x v="11"/>
    <x v="11"/>
    <s v=""/>
    <x v="0"/>
    <x v="0"/>
    <n v="1987"/>
    <x v="11"/>
    <s v=""/>
    <x v="4"/>
    <x v="1"/>
  </r>
  <r>
    <x v="0"/>
    <x v="0"/>
    <x v="13"/>
    <n v="0"/>
    <s v="Haber"/>
    <x v="1"/>
    <x v="1"/>
    <x v="1"/>
    <x v="1"/>
    <n v="0"/>
    <s v=""/>
    <n v="0"/>
    <x v="4"/>
    <x v="1"/>
    <x v="2"/>
    <x v="11"/>
    <x v="11"/>
    <s v=""/>
    <x v="0"/>
    <x v="0"/>
    <n v="1988"/>
    <x v="11"/>
    <s v=""/>
    <x v="4"/>
    <x v="1"/>
  </r>
  <r>
    <x v="0"/>
    <x v="0"/>
    <x v="13"/>
    <n v="0"/>
    <s v="Haber"/>
    <x v="1"/>
    <x v="1"/>
    <x v="1"/>
    <x v="1"/>
    <n v="0"/>
    <s v=""/>
    <n v="0"/>
    <x v="4"/>
    <x v="1"/>
    <x v="2"/>
    <x v="11"/>
    <x v="11"/>
    <s v=""/>
    <x v="0"/>
    <x v="0"/>
    <n v="1989"/>
    <x v="11"/>
    <s v=""/>
    <x v="4"/>
    <x v="1"/>
  </r>
  <r>
    <x v="0"/>
    <x v="0"/>
    <x v="13"/>
    <n v="0"/>
    <s v="Haber"/>
    <x v="1"/>
    <x v="1"/>
    <x v="1"/>
    <x v="1"/>
    <n v="0"/>
    <s v=""/>
    <n v="0"/>
    <x v="4"/>
    <x v="1"/>
    <x v="2"/>
    <x v="11"/>
    <x v="11"/>
    <s v=""/>
    <x v="0"/>
    <x v="0"/>
    <n v="1990"/>
    <x v="11"/>
    <s v=""/>
    <x v="4"/>
    <x v="1"/>
  </r>
  <r>
    <x v="0"/>
    <x v="0"/>
    <x v="13"/>
    <s v="HABER"/>
    <s v="Haber"/>
    <x v="1"/>
    <x v="1"/>
    <x v="1"/>
    <x v="1"/>
    <n v="0"/>
    <s v=""/>
    <s v="HABER"/>
    <x v="4"/>
    <x v="1"/>
    <x v="2"/>
    <x v="11"/>
    <x v="11"/>
    <s v=""/>
    <x v="0"/>
    <x v="0"/>
    <n v="1991"/>
    <x v="11"/>
    <s v=""/>
    <x v="4"/>
    <x v="1"/>
  </r>
  <r>
    <x v="0"/>
    <x v="0"/>
    <x v="13"/>
    <n v="0"/>
    <s v="Haber"/>
    <x v="1"/>
    <x v="1"/>
    <x v="1"/>
    <x v="1"/>
    <n v="0"/>
    <s v=""/>
    <n v="0"/>
    <x v="4"/>
    <x v="1"/>
    <x v="2"/>
    <x v="11"/>
    <x v="11"/>
    <s v=""/>
    <x v="0"/>
    <x v="0"/>
    <n v="1992"/>
    <x v="11"/>
    <s v=""/>
    <x v="4"/>
    <x v="1"/>
  </r>
  <r>
    <x v="2"/>
    <x v="1"/>
    <x v="13"/>
    <n v="0"/>
    <s v="Haber"/>
    <x v="1"/>
    <x v="3"/>
    <x v="1"/>
    <x v="1"/>
    <n v="0"/>
    <s v=""/>
    <n v="0"/>
    <x v="4"/>
    <x v="1"/>
    <x v="2"/>
    <x v="11"/>
    <x v="11"/>
    <s v=""/>
    <x v="0"/>
    <x v="0"/>
    <n v="1993"/>
    <x v="11"/>
    <s v=""/>
    <x v="4"/>
    <x v="1"/>
  </r>
  <r>
    <x v="2"/>
    <x v="1"/>
    <x v="13"/>
    <n v="0"/>
    <s v="Haber"/>
    <x v="1"/>
    <x v="3"/>
    <x v="1"/>
    <x v="1"/>
    <n v="0"/>
    <s v=""/>
    <n v="0"/>
    <x v="4"/>
    <x v="1"/>
    <x v="2"/>
    <x v="11"/>
    <x v="11"/>
    <s v=""/>
    <x v="0"/>
    <x v="0"/>
    <n v="1994"/>
    <x v="11"/>
    <s v=""/>
    <x v="4"/>
    <x v="1"/>
  </r>
  <r>
    <x v="0"/>
    <x v="0"/>
    <x v="13"/>
    <n v="0"/>
    <s v="Haber"/>
    <x v="1"/>
    <x v="1"/>
    <x v="1"/>
    <x v="1"/>
    <n v="0"/>
    <s v=""/>
    <n v="0"/>
    <x v="4"/>
    <x v="1"/>
    <x v="2"/>
    <x v="11"/>
    <x v="11"/>
    <s v=""/>
    <x v="0"/>
    <x v="0"/>
    <n v="1995"/>
    <x v="11"/>
    <s v=""/>
    <x v="4"/>
    <x v="1"/>
  </r>
  <r>
    <x v="0"/>
    <x v="0"/>
    <x v="13"/>
    <n v="0"/>
    <s v="Haber"/>
    <x v="1"/>
    <x v="1"/>
    <x v="1"/>
    <x v="1"/>
    <n v="0"/>
    <s v=""/>
    <n v="0"/>
    <x v="4"/>
    <x v="1"/>
    <x v="2"/>
    <x v="11"/>
    <x v="11"/>
    <s v=""/>
    <x v="0"/>
    <x v="0"/>
    <n v="1996"/>
    <x v="11"/>
    <s v=""/>
    <x v="4"/>
    <x v="1"/>
  </r>
  <r>
    <x v="0"/>
    <x v="0"/>
    <x v="13"/>
    <n v="0"/>
    <s v="Haber"/>
    <x v="1"/>
    <x v="1"/>
    <x v="1"/>
    <x v="1"/>
    <n v="0"/>
    <s v=""/>
    <n v="0"/>
    <x v="4"/>
    <x v="1"/>
    <x v="2"/>
    <x v="11"/>
    <x v="11"/>
    <s v=""/>
    <x v="0"/>
    <x v="0"/>
    <n v="1997"/>
    <x v="11"/>
    <s v=""/>
    <x v="4"/>
    <x v="1"/>
  </r>
  <r>
    <x v="0"/>
    <x v="0"/>
    <x v="13"/>
    <s v="HABER"/>
    <s v="Haber"/>
    <x v="1"/>
    <x v="1"/>
    <x v="1"/>
    <x v="1"/>
    <n v="0"/>
    <s v=""/>
    <s v="HABER"/>
    <x v="4"/>
    <x v="1"/>
    <x v="2"/>
    <x v="11"/>
    <x v="11"/>
    <s v=""/>
    <x v="0"/>
    <x v="0"/>
    <n v="1998"/>
    <x v="11"/>
    <s v=""/>
    <x v="4"/>
    <x v="1"/>
  </r>
  <r>
    <x v="0"/>
    <x v="0"/>
    <x v="13"/>
    <n v="0"/>
    <s v="Haber"/>
    <x v="1"/>
    <x v="1"/>
    <x v="1"/>
    <x v="1"/>
    <n v="0"/>
    <s v=""/>
    <n v="0"/>
    <x v="4"/>
    <x v="1"/>
    <x v="2"/>
    <x v="11"/>
    <x v="11"/>
    <s v=""/>
    <x v="0"/>
    <x v="0"/>
    <n v="46"/>
    <x v="11"/>
    <s v=""/>
    <x v="4"/>
    <x v="1"/>
  </r>
  <r>
    <x v="3"/>
    <x v="1"/>
    <x v="13"/>
    <n v="0"/>
    <s v="Haber"/>
    <x v="1"/>
    <x v="4"/>
    <x v="1"/>
    <x v="1"/>
    <n v="0"/>
    <s v=""/>
    <n v="0"/>
    <x v="4"/>
    <x v="1"/>
    <x v="2"/>
    <x v="11"/>
    <x v="11"/>
    <s v=""/>
    <x v="0"/>
    <x v="0"/>
    <n v="47"/>
    <x v="11"/>
    <s v=""/>
    <x v="4"/>
    <x v="1"/>
  </r>
  <r>
    <x v="3"/>
    <x v="1"/>
    <x v="13"/>
    <n v="0"/>
    <s v="Haber"/>
    <x v="1"/>
    <x v="4"/>
    <x v="1"/>
    <x v="1"/>
    <n v="0"/>
    <s v=""/>
    <n v="0"/>
    <x v="4"/>
    <x v="1"/>
    <x v="2"/>
    <x v="11"/>
    <x v="11"/>
    <s v=""/>
    <x v="0"/>
    <x v="0"/>
    <n v="48"/>
    <x v="11"/>
    <s v=""/>
    <x v="4"/>
    <x v="1"/>
  </r>
  <r>
    <x v="0"/>
    <x v="0"/>
    <x v="13"/>
    <n v="0"/>
    <s v="Haber"/>
    <x v="1"/>
    <x v="1"/>
    <x v="1"/>
    <x v="1"/>
    <n v="0"/>
    <s v=""/>
    <n v="0"/>
    <x v="4"/>
    <x v="1"/>
    <x v="2"/>
    <x v="11"/>
    <x v="11"/>
    <s v=""/>
    <x v="0"/>
    <x v="0"/>
    <n v="49"/>
    <x v="11"/>
    <s v=""/>
    <x v="4"/>
    <x v="1"/>
  </r>
  <r>
    <x v="0"/>
    <x v="0"/>
    <x v="13"/>
    <n v="0"/>
    <s v="Haber"/>
    <x v="1"/>
    <x v="1"/>
    <x v="1"/>
    <x v="1"/>
    <n v="0"/>
    <s v=""/>
    <n v="0"/>
    <x v="4"/>
    <x v="1"/>
    <x v="2"/>
    <x v="11"/>
    <x v="11"/>
    <s v=""/>
    <x v="0"/>
    <x v="0"/>
    <n v="50"/>
    <x v="11"/>
    <s v=""/>
    <x v="4"/>
    <x v="1"/>
  </r>
  <r>
    <x v="0"/>
    <x v="0"/>
    <x v="13"/>
    <n v="0"/>
    <s v="Haber"/>
    <x v="1"/>
    <x v="1"/>
    <x v="1"/>
    <x v="1"/>
    <n v="0"/>
    <s v=""/>
    <n v="0"/>
    <x v="4"/>
    <x v="1"/>
    <x v="2"/>
    <x v="11"/>
    <x v="11"/>
    <s v=""/>
    <x v="0"/>
    <x v="0"/>
    <n v="51"/>
    <x v="11"/>
    <s v=""/>
    <x v="4"/>
    <x v="1"/>
  </r>
  <r>
    <x v="0"/>
    <x v="0"/>
    <x v="13"/>
    <s v="HABER"/>
    <s v="Haber"/>
    <x v="1"/>
    <x v="1"/>
    <x v="1"/>
    <x v="1"/>
    <n v="0"/>
    <s v=""/>
    <s v="HABER"/>
    <x v="4"/>
    <x v="1"/>
    <x v="2"/>
    <x v="11"/>
    <x v="11"/>
    <s v=""/>
    <x v="0"/>
    <x v="0"/>
    <n v="52"/>
    <x v="11"/>
    <s v=""/>
    <x v="4"/>
    <x v="1"/>
  </r>
  <r>
    <x v="0"/>
    <x v="0"/>
    <x v="13"/>
    <n v="0"/>
    <s v="Haber"/>
    <x v="1"/>
    <x v="1"/>
    <x v="1"/>
    <x v="1"/>
    <n v="0"/>
    <s v=""/>
    <n v="0"/>
    <x v="4"/>
    <x v="1"/>
    <x v="2"/>
    <x v="11"/>
    <x v="11"/>
    <s v=""/>
    <x v="0"/>
    <x v="0"/>
    <n v="53"/>
    <x v="11"/>
    <s v=""/>
    <x v="4"/>
    <x v="1"/>
  </r>
  <r>
    <x v="4"/>
    <x v="1"/>
    <x v="13"/>
    <n v="0"/>
    <s v="Haber"/>
    <x v="1"/>
    <x v="5"/>
    <x v="1"/>
    <x v="1"/>
    <n v="0"/>
    <s v=""/>
    <n v="0"/>
    <x v="4"/>
    <x v="1"/>
    <x v="2"/>
    <x v="11"/>
    <x v="11"/>
    <s v=""/>
    <x v="0"/>
    <x v="0"/>
    <n v="54"/>
    <x v="11"/>
    <s v=""/>
    <x v="4"/>
    <x v="1"/>
  </r>
  <r>
    <x v="4"/>
    <x v="1"/>
    <x v="13"/>
    <n v="0"/>
    <s v="Haber"/>
    <x v="1"/>
    <x v="5"/>
    <x v="1"/>
    <x v="1"/>
    <n v="0"/>
    <s v=""/>
    <n v="0"/>
    <x v="4"/>
    <x v="1"/>
    <x v="2"/>
    <x v="11"/>
    <x v="11"/>
    <s v=""/>
    <x v="0"/>
    <x v="0"/>
    <n v="55"/>
    <x v="11"/>
    <s v=""/>
    <x v="4"/>
    <x v="1"/>
  </r>
  <r>
    <x v="0"/>
    <x v="0"/>
    <x v="13"/>
    <n v="0"/>
    <s v="Haber"/>
    <x v="1"/>
    <x v="1"/>
    <x v="1"/>
    <x v="1"/>
    <n v="0"/>
    <s v=""/>
    <n v="0"/>
    <x v="4"/>
    <x v="1"/>
    <x v="2"/>
    <x v="11"/>
    <x v="11"/>
    <s v=""/>
    <x v="0"/>
    <x v="0"/>
    <n v="56"/>
    <x v="11"/>
    <s v=""/>
    <x v="4"/>
    <x v="1"/>
  </r>
  <r>
    <x v="0"/>
    <x v="0"/>
    <x v="13"/>
    <n v="0"/>
    <s v="Haber"/>
    <x v="1"/>
    <x v="1"/>
    <x v="1"/>
    <x v="1"/>
    <n v="0"/>
    <s v=""/>
    <n v="0"/>
    <x v="4"/>
    <x v="1"/>
    <x v="2"/>
    <x v="11"/>
    <x v="11"/>
    <s v=""/>
    <x v="0"/>
    <x v="0"/>
    <n v="57"/>
    <x v="11"/>
    <s v=""/>
    <x v="4"/>
    <x v="1"/>
  </r>
  <r>
    <x v="0"/>
    <x v="0"/>
    <x v="13"/>
    <n v="0"/>
    <s v="Haber"/>
    <x v="1"/>
    <x v="1"/>
    <x v="1"/>
    <x v="1"/>
    <n v="0"/>
    <s v=""/>
    <n v="0"/>
    <x v="4"/>
    <x v="1"/>
    <x v="2"/>
    <x v="11"/>
    <x v="11"/>
    <s v=""/>
    <x v="0"/>
    <x v="0"/>
    <n v="58"/>
    <x v="11"/>
    <s v=""/>
    <x v="4"/>
    <x v="1"/>
  </r>
  <r>
    <x v="0"/>
    <x v="0"/>
    <x v="13"/>
    <s v="HABER"/>
    <s v="Haber"/>
    <x v="1"/>
    <x v="1"/>
    <x v="1"/>
    <x v="1"/>
    <n v="0"/>
    <s v=""/>
    <s v="HABER"/>
    <x v="4"/>
    <x v="1"/>
    <x v="2"/>
    <x v="11"/>
    <x v="11"/>
    <s v=""/>
    <x v="0"/>
    <x v="0"/>
    <n v="59"/>
    <x v="11"/>
    <s v=""/>
    <x v="4"/>
    <x v="1"/>
  </r>
  <r>
    <x v="0"/>
    <x v="0"/>
    <x v="13"/>
    <n v="0"/>
    <s v="Haber"/>
    <x v="1"/>
    <x v="1"/>
    <x v="1"/>
    <x v="1"/>
    <n v="0"/>
    <s v=""/>
    <n v="0"/>
    <x v="4"/>
    <x v="1"/>
    <x v="2"/>
    <x v="11"/>
    <x v="11"/>
    <s v=""/>
    <x v="0"/>
    <x v="0"/>
    <n v="60"/>
    <x v="11"/>
    <s v=""/>
    <x v="4"/>
    <x v="1"/>
  </r>
  <r>
    <x v="5"/>
    <x v="1"/>
    <x v="13"/>
    <n v="0"/>
    <s v="Haber"/>
    <x v="1"/>
    <x v="6"/>
    <x v="1"/>
    <x v="1"/>
    <n v="0"/>
    <s v=""/>
    <n v="0"/>
    <x v="4"/>
    <x v="1"/>
    <x v="2"/>
    <x v="11"/>
    <x v="11"/>
    <s v=""/>
    <x v="0"/>
    <x v="0"/>
    <n v="61"/>
    <x v="11"/>
    <s v=""/>
    <x v="4"/>
    <x v="1"/>
  </r>
  <r>
    <x v="5"/>
    <x v="1"/>
    <x v="13"/>
    <n v="0"/>
    <s v="Haber"/>
    <x v="1"/>
    <x v="6"/>
    <x v="1"/>
    <x v="1"/>
    <n v="0"/>
    <s v=""/>
    <n v="0"/>
    <x v="4"/>
    <x v="1"/>
    <x v="2"/>
    <x v="11"/>
    <x v="11"/>
    <s v=""/>
    <x v="0"/>
    <x v="0"/>
    <n v="62"/>
    <x v="11"/>
    <s v=""/>
    <x v="4"/>
    <x v="1"/>
  </r>
  <r>
    <x v="0"/>
    <x v="0"/>
    <x v="13"/>
    <n v="0"/>
    <s v="Haber"/>
    <x v="1"/>
    <x v="1"/>
    <x v="1"/>
    <x v="1"/>
    <n v="0"/>
    <s v=""/>
    <n v="0"/>
    <x v="4"/>
    <x v="1"/>
    <x v="2"/>
    <x v="11"/>
    <x v="11"/>
    <s v=""/>
    <x v="0"/>
    <x v="0"/>
    <n v="63"/>
    <x v="11"/>
    <s v=""/>
    <x v="4"/>
    <x v="1"/>
  </r>
  <r>
    <x v="0"/>
    <x v="0"/>
    <x v="13"/>
    <n v="0"/>
    <s v="Haber"/>
    <x v="1"/>
    <x v="1"/>
    <x v="1"/>
    <x v="1"/>
    <n v="0"/>
    <s v=""/>
    <n v="0"/>
    <x v="4"/>
    <x v="1"/>
    <x v="2"/>
    <x v="11"/>
    <x v="11"/>
    <s v=""/>
    <x v="0"/>
    <x v="0"/>
    <n v="64"/>
    <x v="11"/>
    <s v=""/>
    <x v="4"/>
    <x v="1"/>
  </r>
  <r>
    <x v="0"/>
    <x v="0"/>
    <x v="13"/>
    <n v="0"/>
    <s v="Haber"/>
    <x v="1"/>
    <x v="1"/>
    <x v="1"/>
    <x v="1"/>
    <n v="0"/>
    <s v=""/>
    <n v="0"/>
    <x v="4"/>
    <x v="1"/>
    <x v="2"/>
    <x v="11"/>
    <x v="11"/>
    <s v=""/>
    <x v="0"/>
    <x v="0"/>
    <n v="1044"/>
    <x v="11"/>
    <s v=""/>
    <x v="4"/>
    <x v="1"/>
  </r>
  <r>
    <x v="0"/>
    <x v="0"/>
    <x v="13"/>
    <s v="HABER"/>
    <s v="Haber"/>
    <x v="1"/>
    <x v="1"/>
    <x v="1"/>
    <x v="1"/>
    <n v="0"/>
    <s v=""/>
    <s v="HABER"/>
    <x v="4"/>
    <x v="1"/>
    <x v="2"/>
    <x v="11"/>
    <x v="11"/>
    <s v=""/>
    <x v="0"/>
    <x v="0"/>
    <n v="1045"/>
    <x v="11"/>
    <s v=""/>
    <x v="4"/>
    <x v="1"/>
  </r>
  <r>
    <x v="0"/>
    <x v="0"/>
    <x v="13"/>
    <n v="0"/>
    <s v="Haber"/>
    <x v="1"/>
    <x v="1"/>
    <x v="1"/>
    <x v="1"/>
    <n v="0"/>
    <s v=""/>
    <n v="0"/>
    <x v="4"/>
    <x v="1"/>
    <x v="2"/>
    <x v="11"/>
    <x v="11"/>
    <s v=""/>
    <x v="0"/>
    <x v="0"/>
    <n v="1046"/>
    <x v="11"/>
    <s v=""/>
    <x v="4"/>
    <x v="1"/>
  </r>
  <r>
    <x v="6"/>
    <x v="1"/>
    <x v="13"/>
    <n v="0"/>
    <s v="Haber"/>
    <x v="1"/>
    <x v="7"/>
    <x v="1"/>
    <x v="1"/>
    <n v="0"/>
    <s v=""/>
    <n v="0"/>
    <x v="4"/>
    <x v="1"/>
    <x v="2"/>
    <x v="11"/>
    <x v="11"/>
    <s v=""/>
    <x v="0"/>
    <x v="0"/>
    <n v="1047"/>
    <x v="11"/>
    <s v=""/>
    <x v="4"/>
    <x v="1"/>
  </r>
  <r>
    <x v="6"/>
    <x v="1"/>
    <x v="13"/>
    <n v="0"/>
    <s v="Haber"/>
    <x v="1"/>
    <x v="7"/>
    <x v="1"/>
    <x v="1"/>
    <n v="0"/>
    <s v=""/>
    <n v="0"/>
    <x v="4"/>
    <x v="1"/>
    <x v="2"/>
    <x v="11"/>
    <x v="11"/>
    <s v=""/>
    <x v="0"/>
    <x v="0"/>
    <n v="1048"/>
    <x v="11"/>
    <s v=""/>
    <x v="4"/>
    <x v="1"/>
  </r>
  <r>
    <x v="0"/>
    <x v="0"/>
    <x v="13"/>
    <n v="0"/>
    <s v="Haber"/>
    <x v="1"/>
    <x v="1"/>
    <x v="1"/>
    <x v="1"/>
    <n v="0"/>
    <s v=""/>
    <n v="0"/>
    <x v="4"/>
    <x v="1"/>
    <x v="2"/>
    <x v="11"/>
    <x v="11"/>
    <s v=""/>
    <x v="0"/>
    <x v="0"/>
    <n v="1049"/>
    <x v="11"/>
    <s v=""/>
    <x v="4"/>
    <x v="1"/>
  </r>
  <r>
    <x v="0"/>
    <x v="0"/>
    <x v="13"/>
    <n v="0"/>
    <s v="Haber"/>
    <x v="1"/>
    <x v="1"/>
    <x v="1"/>
    <x v="1"/>
    <n v="0"/>
    <s v=""/>
    <n v="0"/>
    <x v="4"/>
    <x v="1"/>
    <x v="2"/>
    <x v="11"/>
    <x v="11"/>
    <s v=""/>
    <x v="0"/>
    <x v="0"/>
    <n v="1050"/>
    <x v="11"/>
    <s v=""/>
    <x v="4"/>
    <x v="1"/>
  </r>
  <r>
    <x v="0"/>
    <x v="0"/>
    <x v="13"/>
    <n v="0"/>
    <s v="Haber"/>
    <x v="1"/>
    <x v="1"/>
    <x v="1"/>
    <x v="1"/>
    <n v="0"/>
    <s v=""/>
    <n v="0"/>
    <x v="4"/>
    <x v="1"/>
    <x v="2"/>
    <x v="11"/>
    <x v="11"/>
    <s v=""/>
    <x v="0"/>
    <x v="0"/>
    <n v="1051"/>
    <x v="11"/>
    <s v=""/>
    <x v="4"/>
    <x v="1"/>
  </r>
  <r>
    <x v="0"/>
    <x v="0"/>
    <x v="13"/>
    <s v="HABER"/>
    <s v="Haber"/>
    <x v="1"/>
    <x v="1"/>
    <x v="1"/>
    <x v="1"/>
    <n v="0"/>
    <s v=""/>
    <s v="HABER"/>
    <x v="4"/>
    <x v="1"/>
    <x v="2"/>
    <x v="11"/>
    <x v="11"/>
    <s v=""/>
    <x v="0"/>
    <x v="0"/>
    <n v="1052"/>
    <x v="11"/>
    <s v=""/>
    <x v="4"/>
    <x v="1"/>
  </r>
  <r>
    <x v="0"/>
    <x v="0"/>
    <x v="13"/>
    <n v="0"/>
    <s v="Haber"/>
    <x v="1"/>
    <x v="1"/>
    <x v="1"/>
    <x v="1"/>
    <n v="0"/>
    <s v=""/>
    <n v="0"/>
    <x v="4"/>
    <x v="1"/>
    <x v="2"/>
    <x v="11"/>
    <x v="11"/>
    <s v=""/>
    <x v="0"/>
    <x v="0"/>
    <n v="1053"/>
    <x v="11"/>
    <s v=""/>
    <x v="4"/>
    <x v="1"/>
  </r>
  <r>
    <x v="7"/>
    <x v="1"/>
    <x v="13"/>
    <n v="0"/>
    <s v="Haber"/>
    <x v="1"/>
    <x v="8"/>
    <x v="1"/>
    <x v="1"/>
    <n v="0"/>
    <s v=""/>
    <n v="0"/>
    <x v="4"/>
    <x v="1"/>
    <x v="2"/>
    <x v="11"/>
    <x v="11"/>
    <s v=""/>
    <x v="0"/>
    <x v="0"/>
    <n v="1054"/>
    <x v="11"/>
    <s v=""/>
    <x v="4"/>
    <x v="1"/>
  </r>
  <r>
    <x v="7"/>
    <x v="1"/>
    <x v="13"/>
    <n v="0"/>
    <s v="Haber"/>
    <x v="1"/>
    <x v="8"/>
    <x v="1"/>
    <x v="1"/>
    <n v="0"/>
    <s v=""/>
    <n v="0"/>
    <x v="4"/>
    <x v="1"/>
    <x v="2"/>
    <x v="11"/>
    <x v="11"/>
    <s v=""/>
    <x v="0"/>
    <x v="0"/>
    <n v="1055"/>
    <x v="11"/>
    <s v=""/>
    <x v="4"/>
    <x v="1"/>
  </r>
  <r>
    <x v="0"/>
    <x v="0"/>
    <x v="13"/>
    <n v="0"/>
    <s v="Haber"/>
    <x v="1"/>
    <x v="1"/>
    <x v="1"/>
    <x v="1"/>
    <n v="0"/>
    <s v=""/>
    <n v="0"/>
    <x v="4"/>
    <x v="1"/>
    <x v="2"/>
    <x v="11"/>
    <x v="11"/>
    <s v=""/>
    <x v="0"/>
    <x v="0"/>
    <n v="1056"/>
    <x v="11"/>
    <s v=""/>
    <x v="4"/>
    <x v="1"/>
  </r>
  <r>
    <x v="0"/>
    <x v="0"/>
    <x v="13"/>
    <n v="0"/>
    <s v="Haber"/>
    <x v="1"/>
    <x v="1"/>
    <x v="1"/>
    <x v="1"/>
    <n v="0"/>
    <s v=""/>
    <n v="0"/>
    <x v="4"/>
    <x v="1"/>
    <x v="2"/>
    <x v="11"/>
    <x v="11"/>
    <s v=""/>
    <x v="0"/>
    <x v="0"/>
    <n v="1057"/>
    <x v="11"/>
    <s v=""/>
    <x v="4"/>
    <x v="1"/>
  </r>
  <r>
    <x v="0"/>
    <x v="0"/>
    <x v="13"/>
    <n v="0"/>
    <s v="Haber"/>
    <x v="1"/>
    <x v="1"/>
    <x v="1"/>
    <x v="1"/>
    <n v="0"/>
    <s v=""/>
    <n v="0"/>
    <x v="4"/>
    <x v="1"/>
    <x v="2"/>
    <x v="11"/>
    <x v="11"/>
    <s v=""/>
    <x v="0"/>
    <x v="0"/>
    <n v="1058"/>
    <x v="11"/>
    <s v=""/>
    <x v="4"/>
    <x v="1"/>
  </r>
  <r>
    <x v="0"/>
    <x v="0"/>
    <x v="13"/>
    <s v="HABER"/>
    <s v="Haber"/>
    <x v="1"/>
    <x v="1"/>
    <x v="1"/>
    <x v="1"/>
    <n v="0"/>
    <s v=""/>
    <s v="HABER"/>
    <x v="4"/>
    <x v="1"/>
    <x v="2"/>
    <x v="11"/>
    <x v="11"/>
    <s v=""/>
    <x v="0"/>
    <x v="0"/>
    <n v="1059"/>
    <x v="11"/>
    <s v=""/>
    <x v="4"/>
    <x v="1"/>
  </r>
  <r>
    <x v="0"/>
    <x v="0"/>
    <x v="13"/>
    <n v="0"/>
    <s v="Haber"/>
    <x v="1"/>
    <x v="1"/>
    <x v="1"/>
    <x v="1"/>
    <n v="0"/>
    <s v=""/>
    <n v="0"/>
    <x v="4"/>
    <x v="1"/>
    <x v="2"/>
    <x v="11"/>
    <x v="11"/>
    <s v=""/>
    <x v="0"/>
    <x v="0"/>
    <n v="1060"/>
    <x v="11"/>
    <s v=""/>
    <x v="4"/>
    <x v="1"/>
  </r>
  <r>
    <x v="8"/>
    <x v="1"/>
    <x v="13"/>
    <n v="0"/>
    <s v="Haber"/>
    <x v="1"/>
    <x v="9"/>
    <x v="1"/>
    <x v="1"/>
    <n v="0"/>
    <s v=""/>
    <n v="0"/>
    <x v="4"/>
    <x v="1"/>
    <x v="2"/>
    <x v="11"/>
    <x v="11"/>
    <s v=""/>
    <x v="0"/>
    <x v="0"/>
    <n v="1061"/>
    <x v="11"/>
    <s v=""/>
    <x v="4"/>
    <x v="1"/>
  </r>
  <r>
    <x v="8"/>
    <x v="1"/>
    <x v="13"/>
    <n v="0"/>
    <s v="Haber"/>
    <x v="1"/>
    <x v="9"/>
    <x v="1"/>
    <x v="1"/>
    <n v="0"/>
    <s v=""/>
    <n v="0"/>
    <x v="4"/>
    <x v="1"/>
    <x v="2"/>
    <x v="11"/>
    <x v="11"/>
    <s v=""/>
    <x v="0"/>
    <x v="0"/>
    <n v="1062"/>
    <x v="11"/>
    <s v=""/>
    <x v="4"/>
    <x v="1"/>
  </r>
  <r>
    <x v="0"/>
    <x v="0"/>
    <x v="13"/>
    <n v="0"/>
    <s v="Haber"/>
    <x v="1"/>
    <x v="1"/>
    <x v="1"/>
    <x v="1"/>
    <n v="0"/>
    <s v=""/>
    <n v="0"/>
    <x v="4"/>
    <x v="1"/>
    <x v="2"/>
    <x v="11"/>
    <x v="11"/>
    <s v=""/>
    <x v="0"/>
    <x v="0"/>
    <n v="70"/>
    <x v="11"/>
    <s v=""/>
    <x v="4"/>
    <x v="1"/>
  </r>
  <r>
    <x v="0"/>
    <x v="0"/>
    <x v="13"/>
    <n v="0"/>
    <s v="Haber"/>
    <x v="1"/>
    <x v="1"/>
    <x v="1"/>
    <x v="1"/>
    <n v="0"/>
    <s v=""/>
    <n v="0"/>
    <x v="4"/>
    <x v="1"/>
    <x v="2"/>
    <x v="11"/>
    <x v="11"/>
    <s v=""/>
    <x v="0"/>
    <x v="0"/>
    <n v="71"/>
    <x v="11"/>
    <s v=""/>
    <x v="4"/>
    <x v="1"/>
  </r>
  <r>
    <x v="0"/>
    <x v="0"/>
    <x v="13"/>
    <n v="0"/>
    <s v="Haber"/>
    <x v="1"/>
    <x v="1"/>
    <x v="1"/>
    <x v="1"/>
    <n v="0"/>
    <s v=""/>
    <n v="0"/>
    <x v="4"/>
    <x v="1"/>
    <x v="2"/>
    <x v="11"/>
    <x v="11"/>
    <s v=""/>
    <x v="0"/>
    <x v="0"/>
    <n v="1068"/>
    <x v="11"/>
    <s v=""/>
    <x v="4"/>
    <x v="1"/>
  </r>
  <r>
    <x v="0"/>
    <x v="0"/>
    <x v="13"/>
    <s v="HABER"/>
    <s v="Haber"/>
    <x v="1"/>
    <x v="1"/>
    <x v="1"/>
    <x v="1"/>
    <n v="0"/>
    <s v=""/>
    <s v="HABER"/>
    <x v="4"/>
    <x v="1"/>
    <x v="2"/>
    <x v="11"/>
    <x v="11"/>
    <s v=""/>
    <x v="0"/>
    <x v="0"/>
    <n v="1069"/>
    <x v="11"/>
    <s v=""/>
    <x v="4"/>
    <x v="1"/>
  </r>
  <r>
    <x v="0"/>
    <x v="0"/>
    <x v="13"/>
    <n v="0"/>
    <s v="Haber"/>
    <x v="1"/>
    <x v="1"/>
    <x v="1"/>
    <x v="1"/>
    <n v="0"/>
    <s v=""/>
    <n v="0"/>
    <x v="4"/>
    <x v="1"/>
    <x v="2"/>
    <x v="11"/>
    <x v="11"/>
    <s v=""/>
    <x v="0"/>
    <x v="0"/>
    <n v="77"/>
    <x v="11"/>
    <s v=""/>
    <x v="4"/>
    <x v="1"/>
  </r>
  <r>
    <x v="9"/>
    <x v="1"/>
    <x v="13"/>
    <n v="0"/>
    <s v="Haber"/>
    <x v="1"/>
    <x v="10"/>
    <x v="1"/>
    <x v="1"/>
    <n v="0"/>
    <s v=""/>
    <n v="0"/>
    <x v="4"/>
    <x v="1"/>
    <x v="2"/>
    <x v="11"/>
    <x v="11"/>
    <s v=""/>
    <x v="0"/>
    <x v="0"/>
    <n v="78"/>
    <x v="11"/>
    <s v=""/>
    <x v="4"/>
    <x v="1"/>
  </r>
  <r>
    <x v="9"/>
    <x v="1"/>
    <x v="13"/>
    <n v="0"/>
    <s v="Haber"/>
    <x v="1"/>
    <x v="10"/>
    <x v="1"/>
    <x v="1"/>
    <n v="0"/>
    <s v=""/>
    <n v="0"/>
    <x v="4"/>
    <x v="1"/>
    <x v="2"/>
    <x v="11"/>
    <x v="11"/>
    <s v=""/>
    <x v="0"/>
    <x v="0"/>
    <n v="1075"/>
    <x v="11"/>
    <s v=""/>
    <x v="4"/>
    <x v="1"/>
  </r>
  <r>
    <x v="0"/>
    <x v="0"/>
    <x v="13"/>
    <n v="0"/>
    <s v="Haber"/>
    <x v="1"/>
    <x v="1"/>
    <x v="1"/>
    <x v="1"/>
    <n v="0"/>
    <s v=""/>
    <n v="0"/>
    <x v="4"/>
    <x v="1"/>
    <x v="2"/>
    <x v="11"/>
    <x v="11"/>
    <s v=""/>
    <x v="0"/>
    <x v="0"/>
    <n v="1076"/>
    <x v="11"/>
    <s v=""/>
    <x v="4"/>
    <x v="1"/>
  </r>
  <r>
    <x v="0"/>
    <x v="0"/>
    <x v="13"/>
    <n v="0"/>
    <s v="Haber"/>
    <x v="1"/>
    <x v="1"/>
    <x v="1"/>
    <x v="1"/>
    <n v="0"/>
    <s v=""/>
    <n v="0"/>
    <x v="4"/>
    <x v="1"/>
    <x v="2"/>
    <x v="11"/>
    <x v="11"/>
    <s v=""/>
    <x v="0"/>
    <x v="0"/>
    <n v="84"/>
    <x v="11"/>
    <s v=""/>
    <x v="4"/>
    <x v="1"/>
  </r>
  <r>
    <x v="0"/>
    <x v="0"/>
    <x v="13"/>
    <n v="0"/>
    <s v="Haber"/>
    <x v="1"/>
    <x v="1"/>
    <x v="1"/>
    <x v="1"/>
    <n v="0"/>
    <s v=""/>
    <n v="0"/>
    <x v="4"/>
    <x v="1"/>
    <x v="2"/>
    <x v="11"/>
    <x v="11"/>
    <s v=""/>
    <x v="0"/>
    <x v="0"/>
    <n v="85"/>
    <x v="11"/>
    <s v=""/>
    <x v="4"/>
    <x v="1"/>
  </r>
  <r>
    <x v="0"/>
    <x v="0"/>
    <x v="13"/>
    <s v="HABER"/>
    <s v="Haber"/>
    <x v="1"/>
    <x v="1"/>
    <x v="1"/>
    <x v="1"/>
    <n v="0"/>
    <s v=""/>
    <s v="HABER"/>
    <x v="4"/>
    <x v="1"/>
    <x v="2"/>
    <x v="11"/>
    <x v="11"/>
    <s v=""/>
    <x v="0"/>
    <x v="0"/>
    <n v="1082"/>
    <x v="11"/>
    <s v=""/>
    <x v="4"/>
    <x v="1"/>
  </r>
  <r>
    <x v="0"/>
    <x v="0"/>
    <x v="13"/>
    <n v="0"/>
    <s v="Haber"/>
    <x v="1"/>
    <x v="1"/>
    <x v="1"/>
    <x v="1"/>
    <n v="0"/>
    <s v=""/>
    <n v="0"/>
    <x v="4"/>
    <x v="1"/>
    <x v="2"/>
    <x v="11"/>
    <x v="11"/>
    <s v=""/>
    <x v="0"/>
    <x v="0"/>
    <n v="1083"/>
    <x v="11"/>
    <s v=""/>
    <x v="4"/>
    <x v="1"/>
  </r>
  <r>
    <x v="10"/>
    <x v="1"/>
    <x v="13"/>
    <n v="0"/>
    <s v="Haber"/>
    <x v="1"/>
    <x v="11"/>
    <x v="1"/>
    <x v="1"/>
    <n v="0"/>
    <s v=""/>
    <n v="0"/>
    <x v="4"/>
    <x v="1"/>
    <x v="2"/>
    <x v="11"/>
    <x v="11"/>
    <s v=""/>
    <x v="0"/>
    <x v="0"/>
    <n v="91"/>
    <x v="11"/>
    <s v=""/>
    <x v="4"/>
    <x v="1"/>
  </r>
  <r>
    <x v="10"/>
    <x v="1"/>
    <x v="13"/>
    <n v="0"/>
    <s v="Haber"/>
    <x v="1"/>
    <x v="11"/>
    <x v="1"/>
    <x v="1"/>
    <n v="0"/>
    <s v=""/>
    <n v="0"/>
    <x v="4"/>
    <x v="1"/>
    <x v="2"/>
    <x v="11"/>
    <x v="11"/>
    <s v=""/>
    <x v="0"/>
    <x v="0"/>
    <n v="92"/>
    <x v="11"/>
    <s v=""/>
    <x v="4"/>
    <x v="1"/>
  </r>
  <r>
    <x v="0"/>
    <x v="0"/>
    <x v="13"/>
    <n v="0"/>
    <s v="Haber"/>
    <x v="1"/>
    <x v="1"/>
    <x v="1"/>
    <x v="1"/>
    <n v="0"/>
    <s v=""/>
    <n v="0"/>
    <x v="4"/>
    <x v="1"/>
    <x v="2"/>
    <x v="11"/>
    <x v="11"/>
    <s v=""/>
    <x v="0"/>
    <x v="0"/>
    <n v="93"/>
    <x v="11"/>
    <s v=""/>
    <x v="4"/>
    <x v="1"/>
  </r>
  <r>
    <x v="0"/>
    <x v="0"/>
    <x v="13"/>
    <n v="0"/>
    <s v="Haber"/>
    <x v="1"/>
    <x v="1"/>
    <x v="1"/>
    <x v="1"/>
    <n v="0"/>
    <s v=""/>
    <n v="0"/>
    <x v="4"/>
    <x v="1"/>
    <x v="2"/>
    <x v="11"/>
    <x v="11"/>
    <s v=""/>
    <x v="0"/>
    <x v="0"/>
    <n v="1089"/>
    <x v="11"/>
    <s v=""/>
    <x v="4"/>
    <x v="1"/>
  </r>
  <r>
    <x v="0"/>
    <x v="0"/>
    <x v="13"/>
    <n v="0"/>
    <s v="Haber"/>
    <x v="1"/>
    <x v="1"/>
    <x v="1"/>
    <x v="1"/>
    <n v="0"/>
    <s v=""/>
    <n v="0"/>
    <x v="4"/>
    <x v="1"/>
    <x v="2"/>
    <x v="11"/>
    <x v="11"/>
    <s v=""/>
    <x v="0"/>
    <x v="0"/>
    <n v="1090"/>
    <x v="11"/>
    <s v=""/>
    <x v="4"/>
    <x v="1"/>
  </r>
  <r>
    <x v="0"/>
    <x v="0"/>
    <x v="13"/>
    <s v="HABER"/>
    <s v="Haber"/>
    <x v="1"/>
    <x v="1"/>
    <x v="1"/>
    <x v="1"/>
    <n v="0"/>
    <s v=""/>
    <s v="HABER"/>
    <x v="4"/>
    <x v="1"/>
    <x v="2"/>
    <x v="11"/>
    <x v="11"/>
    <s v=""/>
    <x v="0"/>
    <x v="0"/>
    <n v="1091"/>
    <x v="11"/>
    <s v=""/>
    <x v="4"/>
    <x v="1"/>
  </r>
  <r>
    <x v="0"/>
    <x v="0"/>
    <x v="13"/>
    <n v="0"/>
    <s v="Haber"/>
    <x v="1"/>
    <x v="1"/>
    <x v="1"/>
    <x v="1"/>
    <n v="0"/>
    <s v=""/>
    <n v="0"/>
    <x v="4"/>
    <x v="1"/>
    <x v="2"/>
    <x v="11"/>
    <x v="11"/>
    <s v=""/>
    <x v="0"/>
    <x v="0"/>
    <n v="99"/>
    <x v="11"/>
    <s v=""/>
    <x v="4"/>
    <x v="1"/>
  </r>
  <r>
    <x v="11"/>
    <x v="1"/>
    <x v="13"/>
    <n v="0"/>
    <s v="Haber"/>
    <x v="1"/>
    <x v="12"/>
    <x v="1"/>
    <x v="1"/>
    <n v="0"/>
    <s v=""/>
    <n v="0"/>
    <x v="4"/>
    <x v="1"/>
    <x v="2"/>
    <x v="11"/>
    <x v="11"/>
    <s v=""/>
    <x v="0"/>
    <x v="0"/>
    <n v="100"/>
    <x v="11"/>
    <s v=""/>
    <x v="4"/>
    <x v="1"/>
  </r>
  <r>
    <x v="11"/>
    <x v="1"/>
    <x v="13"/>
    <n v="0"/>
    <s v="Haber"/>
    <x v="1"/>
    <x v="12"/>
    <x v="1"/>
    <x v="1"/>
    <n v="0"/>
    <s v=""/>
    <n v="0"/>
    <x v="4"/>
    <x v="1"/>
    <x v="2"/>
    <x v="11"/>
    <x v="11"/>
    <s v=""/>
    <x v="0"/>
    <x v="0"/>
    <n v="101"/>
    <x v="11"/>
    <s v=""/>
    <x v="4"/>
    <x v="1"/>
  </r>
  <r>
    <x v="0"/>
    <x v="0"/>
    <x v="13"/>
    <n v="0"/>
    <s v="Haber"/>
    <x v="1"/>
    <x v="1"/>
    <x v="1"/>
    <x v="1"/>
    <n v="0"/>
    <s v=""/>
    <n v="0"/>
    <x v="4"/>
    <x v="1"/>
    <x v="2"/>
    <x v="11"/>
    <x v="11"/>
    <s v=""/>
    <x v="0"/>
    <x v="0"/>
    <n v="1097"/>
    <x v="11"/>
    <s v=""/>
    <x v="4"/>
    <x v="1"/>
  </r>
  <r>
    <x v="0"/>
    <x v="0"/>
    <x v="13"/>
    <n v="0"/>
    <s v="Haber"/>
    <x v="1"/>
    <x v="1"/>
    <x v="1"/>
    <x v="1"/>
    <n v="0"/>
    <s v=""/>
    <n v="0"/>
    <x v="4"/>
    <x v="1"/>
    <x v="2"/>
    <x v="11"/>
    <x v="11"/>
    <s v=""/>
    <x v="0"/>
    <x v="0"/>
    <n v="1098"/>
    <x v="11"/>
    <s v=""/>
    <x v="4"/>
    <x v="1"/>
  </r>
  <r>
    <x v="0"/>
    <x v="0"/>
    <x v="13"/>
    <n v="0"/>
    <s v="Haber"/>
    <x v="1"/>
    <x v="1"/>
    <x v="1"/>
    <x v="1"/>
    <n v="0"/>
    <s v=""/>
    <n v="0"/>
    <x v="4"/>
    <x v="1"/>
    <x v="2"/>
    <x v="11"/>
    <x v="11"/>
    <s v=""/>
    <x v="0"/>
    <x v="0"/>
    <n v="1099"/>
    <x v="11"/>
    <s v=""/>
    <x v="4"/>
    <x v="1"/>
  </r>
  <r>
    <x v="0"/>
    <x v="0"/>
    <x v="13"/>
    <s v="HABER"/>
    <s v="Haber"/>
    <x v="1"/>
    <x v="1"/>
    <x v="1"/>
    <x v="1"/>
    <n v="0"/>
    <s v=""/>
    <s v="HABER"/>
    <x v="4"/>
    <x v="1"/>
    <x v="2"/>
    <x v="11"/>
    <x v="11"/>
    <s v=""/>
    <x v="0"/>
    <x v="0"/>
    <n v="107"/>
    <x v="11"/>
    <s v=""/>
    <x v="4"/>
    <x v="1"/>
  </r>
  <r>
    <x v="0"/>
    <x v="0"/>
    <x v="13"/>
    <n v="0"/>
    <s v="Haber"/>
    <x v="1"/>
    <x v="1"/>
    <x v="1"/>
    <x v="1"/>
    <n v="0"/>
    <s v=""/>
    <n v="0"/>
    <x v="4"/>
    <x v="1"/>
    <x v="2"/>
    <x v="11"/>
    <x v="11"/>
    <s v=""/>
    <x v="0"/>
    <x v="0"/>
    <n v="108"/>
    <x v="11"/>
    <s v=""/>
    <x v="4"/>
    <x v="1"/>
  </r>
  <r>
    <x v="12"/>
    <x v="1"/>
    <x v="13"/>
    <n v="0"/>
    <s v="Haber"/>
    <x v="1"/>
    <x v="13"/>
    <x v="1"/>
    <x v="1"/>
    <n v="0"/>
    <s v=""/>
    <n v="0"/>
    <x v="4"/>
    <x v="1"/>
    <x v="2"/>
    <x v="11"/>
    <x v="11"/>
    <s v=""/>
    <x v="0"/>
    <x v="0"/>
    <n v="1105"/>
    <x v="11"/>
    <s v=""/>
    <x v="4"/>
    <x v="1"/>
  </r>
  <r>
    <x v="12"/>
    <x v="1"/>
    <x v="13"/>
    <n v="0"/>
    <s v="Haber"/>
    <x v="1"/>
    <x v="13"/>
    <x v="1"/>
    <x v="1"/>
    <n v="0"/>
    <s v=""/>
    <n v="0"/>
    <x v="4"/>
    <x v="1"/>
    <x v="2"/>
    <x v="11"/>
    <x v="11"/>
    <s v=""/>
    <x v="0"/>
    <x v="0"/>
    <n v="1106"/>
    <x v="11"/>
    <s v=""/>
    <x v="4"/>
    <x v="1"/>
  </r>
  <r>
    <x v="0"/>
    <x v="0"/>
    <x v="13"/>
    <n v="0"/>
    <s v="Haber"/>
    <x v="1"/>
    <x v="1"/>
    <x v="1"/>
    <x v="1"/>
    <n v="0"/>
    <s v=""/>
    <n v="0"/>
    <x v="4"/>
    <x v="1"/>
    <x v="2"/>
    <x v="11"/>
    <x v="11"/>
    <s v=""/>
    <x v="0"/>
    <x v="0"/>
    <n v="114"/>
    <x v="11"/>
    <s v=""/>
    <x v="4"/>
    <x v="1"/>
  </r>
  <r>
    <x v="0"/>
    <x v="0"/>
    <x v="13"/>
    <n v="0"/>
    <s v="Haber"/>
    <x v="1"/>
    <x v="1"/>
    <x v="1"/>
    <x v="1"/>
    <n v="0"/>
    <s v=""/>
    <n v="0"/>
    <x v="4"/>
    <x v="1"/>
    <x v="2"/>
    <x v="11"/>
    <x v="11"/>
    <s v=""/>
    <x v="0"/>
    <x v="0"/>
    <n v="115"/>
    <x v="11"/>
    <s v=""/>
    <x v="4"/>
    <x v="1"/>
  </r>
  <r>
    <x v="0"/>
    <x v="0"/>
    <x v="13"/>
    <n v="0"/>
    <s v="Haber"/>
    <x v="1"/>
    <x v="1"/>
    <x v="1"/>
    <x v="1"/>
    <n v="0"/>
    <s v=""/>
    <n v="0"/>
    <x v="4"/>
    <x v="1"/>
    <x v="2"/>
    <x v="11"/>
    <x v="11"/>
    <s v=""/>
    <x v="0"/>
    <x v="0"/>
    <n v="1112"/>
    <x v="11"/>
    <s v=""/>
    <x v="4"/>
    <x v="1"/>
  </r>
  <r>
    <x v="0"/>
    <x v="0"/>
    <x v="13"/>
    <s v="HABER"/>
    <s v="Haber"/>
    <x v="1"/>
    <x v="1"/>
    <x v="1"/>
    <x v="1"/>
    <n v="0"/>
    <s v=""/>
    <s v="HABER"/>
    <x v="4"/>
    <x v="1"/>
    <x v="2"/>
    <x v="11"/>
    <x v="11"/>
    <s v=""/>
    <x v="0"/>
    <x v="0"/>
    <n v="1113"/>
    <x v="11"/>
    <s v=""/>
    <x v="4"/>
    <x v="1"/>
  </r>
  <r>
    <x v="0"/>
    <x v="0"/>
    <x v="13"/>
    <n v="0"/>
    <s v="Haber"/>
    <x v="1"/>
    <x v="1"/>
    <x v="1"/>
    <x v="1"/>
    <n v="0"/>
    <s v=""/>
    <n v="0"/>
    <x v="4"/>
    <x v="1"/>
    <x v="2"/>
    <x v="11"/>
    <x v="11"/>
    <s v=""/>
    <x v="0"/>
    <x v="0"/>
    <n v="121"/>
    <x v="11"/>
    <s v=""/>
    <x v="4"/>
    <x v="1"/>
  </r>
  <r>
    <x v="13"/>
    <x v="1"/>
    <x v="13"/>
    <n v="0"/>
    <s v="Haber"/>
    <x v="1"/>
    <x v="1"/>
    <x v="1"/>
    <x v="1"/>
    <n v="0"/>
    <s v=""/>
    <n v="0"/>
    <x v="4"/>
    <x v="1"/>
    <x v="2"/>
    <x v="11"/>
    <x v="11"/>
    <s v=""/>
    <x v="0"/>
    <x v="0"/>
    <n v="122"/>
    <x v="11"/>
    <s v=""/>
    <x v="4"/>
    <x v="1"/>
  </r>
  <r>
    <x v="13"/>
    <x v="1"/>
    <x v="13"/>
    <n v="0"/>
    <s v="Haber"/>
    <x v="1"/>
    <x v="1"/>
    <x v="1"/>
    <x v="1"/>
    <n v="0"/>
    <s v=""/>
    <n v="0"/>
    <x v="4"/>
    <x v="1"/>
    <x v="2"/>
    <x v="11"/>
    <x v="11"/>
    <s v=""/>
    <x v="0"/>
    <x v="0"/>
    <n v="1119"/>
    <x v="11"/>
    <s v=""/>
    <x v="4"/>
    <x v="1"/>
  </r>
  <r>
    <x v="0"/>
    <x v="0"/>
    <x v="13"/>
    <n v="0"/>
    <s v="Haber"/>
    <x v="1"/>
    <x v="1"/>
    <x v="1"/>
    <x v="1"/>
    <n v="0"/>
    <s v=""/>
    <n v="0"/>
    <x v="4"/>
    <x v="1"/>
    <x v="2"/>
    <x v="11"/>
    <x v="11"/>
    <s v=""/>
    <x v="0"/>
    <x v="0"/>
    <n v="1120"/>
    <x v="11"/>
    <s v=""/>
    <x v="4"/>
    <x v="1"/>
  </r>
  <r>
    <x v="0"/>
    <x v="0"/>
    <x v="13"/>
    <n v="0"/>
    <s v="Haber"/>
    <x v="1"/>
    <x v="1"/>
    <x v="1"/>
    <x v="1"/>
    <n v="0"/>
    <s v=""/>
    <n v="0"/>
    <x v="4"/>
    <x v="1"/>
    <x v="2"/>
    <x v="11"/>
    <x v="11"/>
    <s v=""/>
    <x v="0"/>
    <x v="0"/>
    <n v="128"/>
    <x v="11"/>
    <s v=""/>
    <x v="4"/>
    <x v="1"/>
  </r>
  <r>
    <x v="0"/>
    <x v="0"/>
    <x v="13"/>
    <n v="0"/>
    <s v="Haber"/>
    <x v="1"/>
    <x v="1"/>
    <x v="1"/>
    <x v="1"/>
    <n v="0"/>
    <s v=""/>
    <n v="0"/>
    <x v="4"/>
    <x v="1"/>
    <x v="2"/>
    <x v="11"/>
    <x v="11"/>
    <s v=""/>
    <x v="0"/>
    <x v="0"/>
    <n v="129"/>
    <x v="11"/>
    <s v=""/>
    <x v="4"/>
    <x v="1"/>
  </r>
  <r>
    <x v="0"/>
    <x v="0"/>
    <x v="13"/>
    <s v="HABER"/>
    <s v="Haber"/>
    <x v="1"/>
    <x v="1"/>
    <x v="1"/>
    <x v="1"/>
    <n v="0"/>
    <s v=""/>
    <s v="HABER"/>
    <x v="4"/>
    <x v="1"/>
    <x v="2"/>
    <x v="11"/>
    <x v="11"/>
    <s v=""/>
    <x v="0"/>
    <x v="0"/>
    <n v="1126"/>
    <x v="11"/>
    <s v=""/>
    <x v="4"/>
    <x v="1"/>
  </r>
  <r>
    <x v="0"/>
    <x v="0"/>
    <x v="13"/>
    <n v="0"/>
    <s v="Haber"/>
    <x v="1"/>
    <x v="1"/>
    <x v="1"/>
    <x v="1"/>
    <n v="0"/>
    <s v=""/>
    <n v="0"/>
    <x v="4"/>
    <x v="1"/>
    <x v="2"/>
    <x v="11"/>
    <x v="11"/>
    <s v=""/>
    <x v="0"/>
    <x v="0"/>
    <n v="1127"/>
    <x v="11"/>
    <s v=""/>
    <x v="4"/>
    <x v="1"/>
  </r>
  <r>
    <x v="14"/>
    <x v="1"/>
    <x v="13"/>
    <n v="0"/>
    <s v="Haber"/>
    <x v="1"/>
    <x v="1"/>
    <x v="1"/>
    <x v="1"/>
    <n v="0"/>
    <s v=""/>
    <n v="0"/>
    <x v="4"/>
    <x v="1"/>
    <x v="2"/>
    <x v="11"/>
    <x v="11"/>
    <s v=""/>
    <x v="0"/>
    <x v="0"/>
    <n v="135"/>
    <x v="11"/>
    <s v=""/>
    <x v="4"/>
    <x v="1"/>
  </r>
  <r>
    <x v="14"/>
    <x v="1"/>
    <x v="13"/>
    <n v="0"/>
    <s v="Haber"/>
    <x v="1"/>
    <x v="1"/>
    <x v="1"/>
    <x v="1"/>
    <n v="0"/>
    <s v=""/>
    <n v="0"/>
    <x v="4"/>
    <x v="1"/>
    <x v="2"/>
    <x v="11"/>
    <x v="11"/>
    <s v=""/>
    <x v="0"/>
    <x v="0"/>
    <n v="136"/>
    <x v="11"/>
    <s v=""/>
    <x v="4"/>
    <x v="1"/>
  </r>
  <r>
    <x v="0"/>
    <x v="0"/>
    <x v="13"/>
    <n v="0"/>
    <s v="Haber"/>
    <x v="1"/>
    <x v="1"/>
    <x v="1"/>
    <x v="1"/>
    <n v="0"/>
    <s v=""/>
    <n v="0"/>
    <x v="4"/>
    <x v="1"/>
    <x v="2"/>
    <x v="11"/>
    <x v="11"/>
    <s v=""/>
    <x v="0"/>
    <x v="0"/>
    <n v="1133"/>
    <x v="11"/>
    <s v=""/>
    <x v="4"/>
    <x v="1"/>
  </r>
  <r>
    <x v="0"/>
    <x v="0"/>
    <x v="13"/>
    <n v="0"/>
    <s v="Haber"/>
    <x v="1"/>
    <x v="1"/>
    <x v="1"/>
    <x v="1"/>
    <n v="0"/>
    <s v=""/>
    <n v="0"/>
    <x v="4"/>
    <x v="1"/>
    <x v="2"/>
    <x v="11"/>
    <x v="11"/>
    <s v=""/>
    <x v="0"/>
    <x v="0"/>
    <n v="1134"/>
    <x v="11"/>
    <s v=""/>
    <x v="4"/>
    <x v="1"/>
  </r>
  <r>
    <x v="0"/>
    <x v="0"/>
    <x v="13"/>
    <n v="0"/>
    <s v="Haber"/>
    <x v="1"/>
    <x v="1"/>
    <x v="1"/>
    <x v="1"/>
    <n v="0"/>
    <s v=""/>
    <n v="0"/>
    <x v="4"/>
    <x v="1"/>
    <x v="2"/>
    <x v="11"/>
    <x v="11"/>
    <s v=""/>
    <x v="0"/>
    <x v="0"/>
    <n v="142"/>
    <x v="11"/>
    <s v=""/>
    <x v="4"/>
    <x v="1"/>
  </r>
  <r>
    <x v="0"/>
    <x v="0"/>
    <x v="13"/>
    <s v="HABER"/>
    <s v="Haber"/>
    <x v="1"/>
    <x v="1"/>
    <x v="1"/>
    <x v="1"/>
    <n v="0"/>
    <s v=""/>
    <s v="HABER"/>
    <x v="4"/>
    <x v="1"/>
    <x v="2"/>
    <x v="11"/>
    <x v="11"/>
    <s v=""/>
    <x v="0"/>
    <x v="0"/>
    <n v="143"/>
    <x v="11"/>
    <s v=""/>
    <x v="4"/>
    <x v="1"/>
  </r>
  <r>
    <x v="0"/>
    <x v="0"/>
    <x v="13"/>
    <n v="0"/>
    <s v="Haber"/>
    <x v="1"/>
    <x v="1"/>
    <x v="1"/>
    <x v="1"/>
    <n v="0"/>
    <s v=""/>
    <n v="0"/>
    <x v="4"/>
    <x v="1"/>
    <x v="2"/>
    <x v="11"/>
    <x v="11"/>
    <s v=""/>
    <x v="0"/>
    <x v="0"/>
    <n v="1140"/>
    <x v="11"/>
    <s v=""/>
    <x v="4"/>
    <x v="1"/>
  </r>
  <r>
    <x v="15"/>
    <x v="1"/>
    <x v="13"/>
    <n v="0"/>
    <s v="Haber"/>
    <x v="1"/>
    <x v="1"/>
    <x v="1"/>
    <x v="1"/>
    <n v="0"/>
    <s v=""/>
    <n v="0"/>
    <x v="4"/>
    <x v="1"/>
    <x v="2"/>
    <x v="11"/>
    <x v="11"/>
    <s v=""/>
    <x v="0"/>
    <x v="0"/>
    <n v="1141"/>
    <x v="11"/>
    <s v=""/>
    <x v="4"/>
    <x v="1"/>
  </r>
  <r>
    <x v="15"/>
    <x v="1"/>
    <x v="13"/>
    <n v="0"/>
    <s v="Haber"/>
    <x v="1"/>
    <x v="1"/>
    <x v="1"/>
    <x v="1"/>
    <n v="0"/>
    <s v=""/>
    <n v="0"/>
    <x v="4"/>
    <x v="1"/>
    <x v="2"/>
    <x v="11"/>
    <x v="11"/>
    <s v=""/>
    <x v="0"/>
    <x v="0"/>
    <n v="149"/>
    <x v="11"/>
    <s v=""/>
    <x v="4"/>
    <x v="1"/>
  </r>
  <r>
    <x v="0"/>
    <x v="0"/>
    <x v="13"/>
    <n v="0"/>
    <s v="Haber"/>
    <x v="1"/>
    <x v="1"/>
    <x v="1"/>
    <x v="1"/>
    <n v="0"/>
    <s v=""/>
    <n v="0"/>
    <x v="4"/>
    <x v="1"/>
    <x v="2"/>
    <x v="11"/>
    <x v="11"/>
    <s v=""/>
    <x v="0"/>
    <x v="0"/>
    <n v="150"/>
    <x v="11"/>
    <s v=""/>
    <x v="4"/>
    <x v="1"/>
  </r>
  <r>
    <x v="0"/>
    <x v="0"/>
    <x v="13"/>
    <n v="0"/>
    <s v="Haber"/>
    <x v="1"/>
    <x v="1"/>
    <x v="1"/>
    <x v="1"/>
    <n v="0"/>
    <s v=""/>
    <n v="0"/>
    <x v="4"/>
    <x v="1"/>
    <x v="2"/>
    <x v="11"/>
    <x v="11"/>
    <s v=""/>
    <x v="0"/>
    <x v="0"/>
    <n v="151"/>
    <x v="11"/>
    <s v=""/>
    <x v="4"/>
    <x v="1"/>
  </r>
  <r>
    <x v="0"/>
    <x v="0"/>
    <x v="13"/>
    <n v="0"/>
    <s v="Haber"/>
    <x v="1"/>
    <x v="1"/>
    <x v="1"/>
    <x v="1"/>
    <n v="0"/>
    <s v=""/>
    <n v="0"/>
    <x v="4"/>
    <x v="1"/>
    <x v="2"/>
    <x v="11"/>
    <x v="11"/>
    <s v=""/>
    <x v="0"/>
    <x v="0"/>
    <n v="1147"/>
    <x v="11"/>
    <s v=""/>
    <x v="4"/>
    <x v="1"/>
  </r>
  <r>
    <x v="0"/>
    <x v="0"/>
    <x v="13"/>
    <n v="0"/>
    <s v="Haber"/>
    <x v="1"/>
    <x v="1"/>
    <x v="1"/>
    <x v="1"/>
    <n v="0"/>
    <s v=""/>
    <n v="0"/>
    <x v="4"/>
    <x v="1"/>
    <x v="2"/>
    <x v="11"/>
    <x v="11"/>
    <s v=""/>
    <x v="0"/>
    <x v="0"/>
    <n v="1148"/>
    <x v="11"/>
    <s v=""/>
    <x v="4"/>
    <x v="1"/>
  </r>
  <r>
    <x v="0"/>
    <x v="0"/>
    <x v="13"/>
    <n v="0"/>
    <s v="Haber"/>
    <x v="1"/>
    <x v="1"/>
    <x v="1"/>
    <x v="1"/>
    <n v="0"/>
    <s v=""/>
    <n v="0"/>
    <x v="4"/>
    <x v="1"/>
    <x v="2"/>
    <x v="11"/>
    <x v="11"/>
    <s v=""/>
    <x v="0"/>
    <x v="0"/>
    <n v="1149"/>
    <x v="11"/>
    <s v=""/>
    <x v="4"/>
    <x v="1"/>
  </r>
  <r>
    <x v="0"/>
    <x v="0"/>
    <x v="13"/>
    <n v="0"/>
    <s v="Haber"/>
    <x v="1"/>
    <x v="1"/>
    <x v="1"/>
    <x v="1"/>
    <n v="0"/>
    <s v=""/>
    <n v="0"/>
    <x v="4"/>
    <x v="1"/>
    <x v="2"/>
    <x v="11"/>
    <x v="11"/>
    <s v=""/>
    <x v="0"/>
    <x v="0"/>
    <n v="157"/>
    <x v="11"/>
    <s v=""/>
    <x v="4"/>
    <x v="1"/>
  </r>
  <r>
    <x v="0"/>
    <x v="0"/>
    <x v="13"/>
    <n v="0"/>
    <s v="Haber"/>
    <x v="1"/>
    <x v="1"/>
    <x v="1"/>
    <x v="1"/>
    <n v="0"/>
    <s v=""/>
    <n v="0"/>
    <x v="4"/>
    <x v="1"/>
    <x v="2"/>
    <x v="11"/>
    <x v="11"/>
    <s v=""/>
    <x v="0"/>
    <x v="0"/>
    <n v="158"/>
    <x v="11"/>
    <s v=""/>
    <x v="4"/>
    <x v="1"/>
  </r>
  <r>
    <x v="0"/>
    <x v="0"/>
    <x v="13"/>
    <n v="0"/>
    <s v="Haber"/>
    <x v="1"/>
    <x v="1"/>
    <x v="1"/>
    <x v="1"/>
    <n v="0"/>
    <s v=""/>
    <n v="0"/>
    <x v="4"/>
    <x v="1"/>
    <x v="2"/>
    <x v="11"/>
    <x v="11"/>
    <s v=""/>
    <x v="0"/>
    <x v="0"/>
    <n v="1155"/>
    <x v="11"/>
    <s v=""/>
    <x v="4"/>
    <x v="1"/>
  </r>
  <r>
    <x v="0"/>
    <x v="0"/>
    <x v="13"/>
    <n v="0"/>
    <s v="Haber"/>
    <x v="1"/>
    <x v="1"/>
    <x v="1"/>
    <x v="1"/>
    <n v="0"/>
    <s v=""/>
    <n v="0"/>
    <x v="4"/>
    <x v="1"/>
    <x v="2"/>
    <x v="11"/>
    <x v="11"/>
    <s v=""/>
    <x v="0"/>
    <x v="0"/>
    <n v="1156"/>
    <x v="11"/>
    <s v=""/>
    <x v="4"/>
    <x v="1"/>
  </r>
  <r>
    <x v="0"/>
    <x v="0"/>
    <x v="13"/>
    <n v="0"/>
    <s v="Haber"/>
    <x v="1"/>
    <x v="1"/>
    <x v="1"/>
    <x v="1"/>
    <n v="0"/>
    <s v=""/>
    <n v="0"/>
    <x v="4"/>
    <x v="1"/>
    <x v="2"/>
    <x v="11"/>
    <x v="11"/>
    <s v=""/>
    <x v="0"/>
    <x v="0"/>
    <n v="164"/>
    <x v="11"/>
    <s v=""/>
    <x v="4"/>
    <x v="1"/>
  </r>
  <r>
    <x v="0"/>
    <x v="0"/>
    <x v="13"/>
    <n v="0"/>
    <s v="Haber"/>
    <x v="1"/>
    <x v="1"/>
    <x v="1"/>
    <x v="1"/>
    <n v="0"/>
    <s v=""/>
    <n v="0"/>
    <x v="4"/>
    <x v="1"/>
    <x v="2"/>
    <x v="11"/>
    <x v="11"/>
    <s v=""/>
    <x v="0"/>
    <x v="0"/>
    <n v="165"/>
    <x v="11"/>
    <s v=""/>
    <x v="4"/>
    <x v="1"/>
  </r>
  <r>
    <x v="0"/>
    <x v="0"/>
    <x v="13"/>
    <n v="0"/>
    <s v="Haber"/>
    <x v="1"/>
    <x v="1"/>
    <x v="1"/>
    <x v="1"/>
    <n v="0"/>
    <s v=""/>
    <n v="0"/>
    <x v="4"/>
    <x v="1"/>
    <x v="2"/>
    <x v="11"/>
    <x v="11"/>
    <s v=""/>
    <x v="0"/>
    <x v="0"/>
    <n v="1162"/>
    <x v="11"/>
    <s v=""/>
    <x v="4"/>
    <x v="1"/>
  </r>
  <r>
    <x v="0"/>
    <x v="0"/>
    <x v="13"/>
    <n v="0"/>
    <s v="Haber"/>
    <x v="1"/>
    <x v="1"/>
    <x v="1"/>
    <x v="1"/>
    <n v="0"/>
    <s v=""/>
    <n v="0"/>
    <x v="4"/>
    <x v="1"/>
    <x v="2"/>
    <x v="11"/>
    <x v="11"/>
    <s v=""/>
    <x v="0"/>
    <x v="0"/>
    <n v="1163"/>
    <x v="11"/>
    <s v=""/>
    <x v="4"/>
    <x v="1"/>
  </r>
  <r>
    <x v="0"/>
    <x v="0"/>
    <x v="13"/>
    <n v="0"/>
    <s v="Haber"/>
    <x v="1"/>
    <x v="1"/>
    <x v="1"/>
    <x v="1"/>
    <n v="0"/>
    <s v=""/>
    <n v="0"/>
    <x v="4"/>
    <x v="1"/>
    <x v="2"/>
    <x v="11"/>
    <x v="11"/>
    <s v=""/>
    <x v="0"/>
    <x v="0"/>
    <n v="171"/>
    <x v="11"/>
    <s v=""/>
    <x v="4"/>
    <x v="1"/>
  </r>
  <r>
    <x v="0"/>
    <x v="0"/>
    <x v="13"/>
    <n v="0"/>
    <s v="Haber"/>
    <x v="1"/>
    <x v="1"/>
    <x v="1"/>
    <x v="1"/>
    <n v="0"/>
    <s v=""/>
    <n v="0"/>
    <x v="4"/>
    <x v="1"/>
    <x v="2"/>
    <x v="11"/>
    <x v="11"/>
    <s v=""/>
    <x v="0"/>
    <x v="0"/>
    <n v="172"/>
    <x v="11"/>
    <s v=""/>
    <x v="4"/>
    <x v="1"/>
  </r>
  <r>
    <x v="0"/>
    <x v="0"/>
    <x v="13"/>
    <n v="0"/>
    <s v="Haber"/>
    <x v="1"/>
    <x v="1"/>
    <x v="1"/>
    <x v="1"/>
    <n v="0"/>
    <s v=""/>
    <n v="0"/>
    <x v="4"/>
    <x v="1"/>
    <x v="2"/>
    <x v="11"/>
    <x v="11"/>
    <s v=""/>
    <x v="0"/>
    <x v="0"/>
    <n v="1169"/>
    <x v="11"/>
    <s v=""/>
    <x v="4"/>
    <x v="1"/>
  </r>
  <r>
    <x v="0"/>
    <x v="0"/>
    <x v="13"/>
    <n v="0"/>
    <s v="Haber"/>
    <x v="1"/>
    <x v="1"/>
    <x v="1"/>
    <x v="1"/>
    <n v="0"/>
    <s v=""/>
    <n v="0"/>
    <x v="4"/>
    <x v="1"/>
    <x v="2"/>
    <x v="11"/>
    <x v="11"/>
    <s v=""/>
    <x v="0"/>
    <x v="0"/>
    <n v="1170"/>
    <x v="11"/>
    <s v=""/>
    <x v="4"/>
    <x v="1"/>
  </r>
  <r>
    <x v="0"/>
    <x v="0"/>
    <x v="13"/>
    <n v="0"/>
    <s v="Haber"/>
    <x v="1"/>
    <x v="1"/>
    <x v="1"/>
    <x v="1"/>
    <n v="0"/>
    <s v=""/>
    <n v="0"/>
    <x v="4"/>
    <x v="1"/>
    <x v="2"/>
    <x v="11"/>
    <x v="11"/>
    <s v=""/>
    <x v="0"/>
    <x v="0"/>
    <n v="178"/>
    <x v="11"/>
    <s v=""/>
    <x v="4"/>
    <x v="1"/>
  </r>
  <r>
    <x v="0"/>
    <x v="0"/>
    <x v="13"/>
    <n v="0"/>
    <s v="Haber"/>
    <x v="1"/>
    <x v="1"/>
    <x v="1"/>
    <x v="1"/>
    <n v="0"/>
    <s v=""/>
    <n v="0"/>
    <x v="4"/>
    <x v="1"/>
    <x v="2"/>
    <x v="11"/>
    <x v="11"/>
    <s v=""/>
    <x v="0"/>
    <x v="0"/>
    <n v="179"/>
    <x v="11"/>
    <s v=""/>
    <x v="4"/>
    <x v="1"/>
  </r>
  <r>
    <x v="0"/>
    <x v="0"/>
    <x v="13"/>
    <n v="0"/>
    <s v="Haber"/>
    <x v="1"/>
    <x v="1"/>
    <x v="1"/>
    <x v="1"/>
    <n v="0"/>
    <s v=""/>
    <n v="0"/>
    <x v="4"/>
    <x v="1"/>
    <x v="2"/>
    <x v="11"/>
    <x v="11"/>
    <s v=""/>
    <x v="0"/>
    <x v="0"/>
    <n v="1176"/>
    <x v="11"/>
    <s v=""/>
    <x v="4"/>
    <x v="1"/>
  </r>
  <r>
    <x v="0"/>
    <x v="0"/>
    <x v="13"/>
    <n v="0"/>
    <s v="Haber"/>
    <x v="1"/>
    <x v="1"/>
    <x v="1"/>
    <x v="1"/>
    <n v="0"/>
    <s v=""/>
    <n v="0"/>
    <x v="4"/>
    <x v="1"/>
    <x v="2"/>
    <x v="11"/>
    <x v="11"/>
    <s v=""/>
    <x v="0"/>
    <x v="0"/>
    <n v="1177"/>
    <x v="11"/>
    <s v=""/>
    <x v="4"/>
    <x v="1"/>
  </r>
  <r>
    <x v="0"/>
    <x v="0"/>
    <x v="13"/>
    <n v="0"/>
    <s v="Haber"/>
    <x v="1"/>
    <x v="1"/>
    <x v="1"/>
    <x v="1"/>
    <n v="0"/>
    <s v=""/>
    <n v="0"/>
    <x v="4"/>
    <x v="1"/>
    <x v="2"/>
    <x v="11"/>
    <x v="11"/>
    <s v=""/>
    <x v="0"/>
    <x v="0"/>
    <n v="185"/>
    <x v="11"/>
    <s v=""/>
    <x v="4"/>
    <x v="1"/>
  </r>
  <r>
    <x v="0"/>
    <x v="0"/>
    <x v="13"/>
    <n v="0"/>
    <s v="Haber"/>
    <x v="1"/>
    <x v="1"/>
    <x v="1"/>
    <x v="1"/>
    <n v="0"/>
    <s v=""/>
    <n v="0"/>
    <x v="4"/>
    <x v="1"/>
    <x v="2"/>
    <x v="11"/>
    <x v="11"/>
    <s v=""/>
    <x v="0"/>
    <x v="0"/>
    <n v="186"/>
    <x v="11"/>
    <s v=""/>
    <x v="4"/>
    <x v="1"/>
  </r>
  <r>
    <x v="0"/>
    <x v="0"/>
    <x v="13"/>
    <n v="0"/>
    <s v="Haber"/>
    <x v="1"/>
    <x v="1"/>
    <x v="1"/>
    <x v="1"/>
    <n v="0"/>
    <s v=""/>
    <n v="0"/>
    <x v="4"/>
    <x v="1"/>
    <x v="2"/>
    <x v="11"/>
    <x v="11"/>
    <s v=""/>
    <x v="0"/>
    <x v="0"/>
    <n v="187"/>
    <x v="11"/>
    <s v=""/>
    <x v="4"/>
    <x v="1"/>
  </r>
  <r>
    <x v="0"/>
    <x v="0"/>
    <x v="13"/>
    <n v="0"/>
    <s v="Haber"/>
    <x v="1"/>
    <x v="1"/>
    <x v="1"/>
    <x v="1"/>
    <n v="0"/>
    <s v=""/>
    <n v="0"/>
    <x v="4"/>
    <x v="1"/>
    <x v="2"/>
    <x v="11"/>
    <x v="11"/>
    <s v=""/>
    <x v="0"/>
    <x v="0"/>
    <n v="188"/>
    <x v="11"/>
    <s v=""/>
    <x v="4"/>
    <x v="1"/>
  </r>
  <r>
    <x v="0"/>
    <x v="0"/>
    <x v="13"/>
    <n v="0"/>
    <s v="Haber"/>
    <x v="1"/>
    <x v="1"/>
    <x v="1"/>
    <x v="1"/>
    <n v="0"/>
    <s v=""/>
    <n v="0"/>
    <x v="4"/>
    <x v="1"/>
    <x v="2"/>
    <x v="11"/>
    <x v="11"/>
    <s v=""/>
    <x v="0"/>
    <x v="0"/>
    <n v="1183"/>
    <x v="11"/>
    <s v=""/>
    <x v="4"/>
    <x v="1"/>
  </r>
  <r>
    <x v="0"/>
    <x v="0"/>
    <x v="13"/>
    <n v="0"/>
    <s v="Haber"/>
    <x v="1"/>
    <x v="1"/>
    <x v="1"/>
    <x v="1"/>
    <n v="0"/>
    <s v=""/>
    <n v="0"/>
    <x v="4"/>
    <x v="1"/>
    <x v="2"/>
    <x v="11"/>
    <x v="11"/>
    <s v=""/>
    <x v="0"/>
    <x v="0"/>
    <n v="1184"/>
    <x v="11"/>
    <s v=""/>
    <x v="4"/>
    <x v="1"/>
  </r>
  <r>
    <x v="0"/>
    <x v="0"/>
    <x v="13"/>
    <n v="0"/>
    <s v="Haber"/>
    <x v="1"/>
    <x v="1"/>
    <x v="1"/>
    <x v="1"/>
    <n v="0"/>
    <s v=""/>
    <n v="0"/>
    <x v="4"/>
    <x v="1"/>
    <x v="2"/>
    <x v="11"/>
    <x v="11"/>
    <s v=""/>
    <x v="0"/>
    <x v="0"/>
    <n v="1185"/>
    <x v="11"/>
    <s v=""/>
    <x v="4"/>
    <x v="1"/>
  </r>
  <r>
    <x v="0"/>
    <x v="0"/>
    <x v="13"/>
    <n v="0"/>
    <s v="Haber"/>
    <x v="1"/>
    <x v="1"/>
    <x v="1"/>
    <x v="1"/>
    <n v="0"/>
    <s v=""/>
    <n v="0"/>
    <x v="4"/>
    <x v="1"/>
    <x v="2"/>
    <x v="11"/>
    <x v="11"/>
    <s v=""/>
    <x v="0"/>
    <x v="0"/>
    <n v="1186"/>
    <x v="11"/>
    <s v=""/>
    <x v="4"/>
    <x v="1"/>
  </r>
  <r>
    <x v="0"/>
    <x v="0"/>
    <x v="13"/>
    <n v="0"/>
    <s v="Haber"/>
    <x v="1"/>
    <x v="1"/>
    <x v="1"/>
    <x v="1"/>
    <n v="0"/>
    <s v=""/>
    <n v="0"/>
    <x v="4"/>
    <x v="1"/>
    <x v="2"/>
    <x v="11"/>
    <x v="11"/>
    <s v=""/>
    <x v="0"/>
    <x v="0"/>
    <n v="194"/>
    <x v="11"/>
    <s v=""/>
    <x v="4"/>
    <x v="1"/>
  </r>
  <r>
    <x v="0"/>
    <x v="0"/>
    <x v="13"/>
    <n v="0"/>
    <s v="Haber"/>
    <x v="1"/>
    <x v="1"/>
    <x v="1"/>
    <x v="1"/>
    <n v="0"/>
    <s v=""/>
    <n v="0"/>
    <x v="4"/>
    <x v="1"/>
    <x v="2"/>
    <x v="11"/>
    <x v="11"/>
    <s v=""/>
    <x v="0"/>
    <x v="0"/>
    <n v="195"/>
    <x v="11"/>
    <s v=""/>
    <x v="4"/>
    <x v="1"/>
  </r>
  <r>
    <x v="0"/>
    <x v="0"/>
    <x v="13"/>
    <n v="0"/>
    <s v="Haber"/>
    <x v="1"/>
    <x v="1"/>
    <x v="1"/>
    <x v="1"/>
    <n v="0"/>
    <s v=""/>
    <n v="0"/>
    <x v="4"/>
    <x v="1"/>
    <x v="2"/>
    <x v="11"/>
    <x v="11"/>
    <s v=""/>
    <x v="0"/>
    <x v="0"/>
    <n v="1192"/>
    <x v="11"/>
    <s v=""/>
    <x v="4"/>
    <x v="1"/>
  </r>
  <r>
    <x v="0"/>
    <x v="0"/>
    <x v="13"/>
    <n v="0"/>
    <s v="Haber"/>
    <x v="1"/>
    <x v="1"/>
    <x v="1"/>
    <x v="1"/>
    <n v="0"/>
    <s v=""/>
    <n v="0"/>
    <x v="4"/>
    <x v="1"/>
    <x v="2"/>
    <x v="11"/>
    <x v="11"/>
    <s v=""/>
    <x v="0"/>
    <x v="0"/>
    <n v="1193"/>
    <x v="11"/>
    <s v=""/>
    <x v="4"/>
    <x v="1"/>
  </r>
  <r>
    <x v="0"/>
    <x v="0"/>
    <x v="13"/>
    <n v="0"/>
    <s v="Haber"/>
    <x v="1"/>
    <x v="1"/>
    <x v="1"/>
    <x v="1"/>
    <n v="0"/>
    <s v=""/>
    <n v="0"/>
    <x v="4"/>
    <x v="1"/>
    <x v="2"/>
    <x v="11"/>
    <x v="11"/>
    <s v=""/>
    <x v="0"/>
    <x v="0"/>
    <n v="201"/>
    <x v="11"/>
    <s v=""/>
    <x v="4"/>
    <x v="1"/>
  </r>
  <r>
    <x v="0"/>
    <x v="0"/>
    <x v="13"/>
    <n v="0"/>
    <s v="Haber"/>
    <x v="1"/>
    <x v="1"/>
    <x v="1"/>
    <x v="1"/>
    <n v="0"/>
    <s v=""/>
    <n v="0"/>
    <x v="4"/>
    <x v="1"/>
    <x v="2"/>
    <x v="11"/>
    <x v="11"/>
    <s v=""/>
    <x v="0"/>
    <x v="0"/>
    <n v="202"/>
    <x v="11"/>
    <s v=""/>
    <x v="4"/>
    <x v="1"/>
  </r>
  <r>
    <x v="0"/>
    <x v="0"/>
    <x v="13"/>
    <n v="0"/>
    <s v="Haber"/>
    <x v="1"/>
    <x v="1"/>
    <x v="1"/>
    <x v="1"/>
    <n v="0"/>
    <s v=""/>
    <n v="0"/>
    <x v="4"/>
    <x v="1"/>
    <x v="2"/>
    <x v="11"/>
    <x v="11"/>
    <s v=""/>
    <x v="0"/>
    <x v="0"/>
    <n v="1199"/>
    <x v="11"/>
    <s v=""/>
    <x v="4"/>
    <x v="1"/>
  </r>
  <r>
    <x v="0"/>
    <x v="0"/>
    <x v="13"/>
    <n v="0"/>
    <s v="Haber"/>
    <x v="1"/>
    <x v="1"/>
    <x v="1"/>
    <x v="1"/>
    <n v="0"/>
    <s v=""/>
    <n v="0"/>
    <x v="4"/>
    <x v="1"/>
    <x v="2"/>
    <x v="11"/>
    <x v="11"/>
    <s v=""/>
    <x v="0"/>
    <x v="0"/>
    <n v="1200"/>
    <x v="11"/>
    <s v=""/>
    <x v="4"/>
    <x v="1"/>
  </r>
  <r>
    <x v="0"/>
    <x v="0"/>
    <x v="13"/>
    <n v="0"/>
    <s v="Haber"/>
    <x v="1"/>
    <x v="1"/>
    <x v="1"/>
    <x v="1"/>
    <n v="0"/>
    <s v=""/>
    <n v="0"/>
    <x v="4"/>
    <x v="1"/>
    <x v="2"/>
    <x v="11"/>
    <x v="11"/>
    <s v=""/>
    <x v="0"/>
    <x v="0"/>
    <n v="208"/>
    <x v="11"/>
    <s v=""/>
    <x v="4"/>
    <x v="1"/>
  </r>
  <r>
    <x v="0"/>
    <x v="0"/>
    <x v="13"/>
    <n v="0"/>
    <s v="Haber"/>
    <x v="1"/>
    <x v="1"/>
    <x v="1"/>
    <x v="1"/>
    <n v="0"/>
    <s v=""/>
    <n v="0"/>
    <x v="4"/>
    <x v="1"/>
    <x v="2"/>
    <x v="11"/>
    <x v="11"/>
    <s v=""/>
    <x v="0"/>
    <x v="0"/>
    <n v="209"/>
    <x v="11"/>
    <s v=""/>
    <x v="4"/>
    <x v="1"/>
  </r>
  <r>
    <x v="0"/>
    <x v="0"/>
    <x v="13"/>
    <n v="0"/>
    <s v="Haber"/>
    <x v="1"/>
    <x v="1"/>
    <x v="1"/>
    <x v="1"/>
    <n v="0"/>
    <s v=""/>
    <n v="0"/>
    <x v="4"/>
    <x v="1"/>
    <x v="2"/>
    <x v="11"/>
    <x v="11"/>
    <s v=""/>
    <x v="0"/>
    <x v="0"/>
    <n v="1206"/>
    <x v="11"/>
    <s v=""/>
    <x v="4"/>
    <x v="1"/>
  </r>
  <r>
    <x v="0"/>
    <x v="0"/>
    <x v="13"/>
    <n v="0"/>
    <s v="Haber"/>
    <x v="1"/>
    <x v="1"/>
    <x v="1"/>
    <x v="1"/>
    <n v="0"/>
    <s v=""/>
    <n v="0"/>
    <x v="4"/>
    <x v="1"/>
    <x v="2"/>
    <x v="11"/>
    <x v="11"/>
    <s v=""/>
    <x v="0"/>
    <x v="0"/>
    <n v="1207"/>
    <x v="11"/>
    <s v=""/>
    <x v="4"/>
    <x v="1"/>
  </r>
  <r>
    <x v="0"/>
    <x v="0"/>
    <x v="13"/>
    <n v="0"/>
    <s v="Haber"/>
    <x v="1"/>
    <x v="1"/>
    <x v="1"/>
    <x v="1"/>
    <n v="0"/>
    <s v=""/>
    <n v="0"/>
    <x v="4"/>
    <x v="1"/>
    <x v="2"/>
    <x v="11"/>
    <x v="11"/>
    <s v=""/>
    <x v="0"/>
    <x v="0"/>
    <n v="215"/>
    <x v="11"/>
    <s v=""/>
    <x v="4"/>
    <x v="1"/>
  </r>
  <r>
    <x v="0"/>
    <x v="0"/>
    <x v="13"/>
    <n v="0"/>
    <s v="Haber"/>
    <x v="1"/>
    <x v="1"/>
    <x v="1"/>
    <x v="1"/>
    <n v="0"/>
    <s v=""/>
    <n v="0"/>
    <x v="4"/>
    <x v="1"/>
    <x v="2"/>
    <x v="11"/>
    <x v="11"/>
    <s v=""/>
    <x v="0"/>
    <x v="0"/>
    <n v="216"/>
    <x v="11"/>
    <s v=""/>
    <x v="4"/>
    <x v="1"/>
  </r>
  <r>
    <x v="0"/>
    <x v="0"/>
    <x v="13"/>
    <n v="0"/>
    <s v="Haber"/>
    <x v="1"/>
    <x v="1"/>
    <x v="1"/>
    <x v="1"/>
    <n v="0"/>
    <s v=""/>
    <n v="0"/>
    <x v="4"/>
    <x v="1"/>
    <x v="2"/>
    <x v="11"/>
    <x v="11"/>
    <s v=""/>
    <x v="0"/>
    <x v="0"/>
    <n v="1213"/>
    <x v="11"/>
    <s v=""/>
    <x v="4"/>
    <x v="1"/>
  </r>
  <r>
    <x v="0"/>
    <x v="0"/>
    <x v="13"/>
    <n v="0"/>
    <s v="Haber"/>
    <x v="1"/>
    <x v="1"/>
    <x v="1"/>
    <x v="1"/>
    <n v="0"/>
    <s v=""/>
    <n v="0"/>
    <x v="4"/>
    <x v="1"/>
    <x v="2"/>
    <x v="11"/>
    <x v="11"/>
    <s v=""/>
    <x v="0"/>
    <x v="0"/>
    <n v="1214"/>
    <x v="11"/>
    <s v=""/>
    <x v="4"/>
    <x v="1"/>
  </r>
  <r>
    <x v="0"/>
    <x v="0"/>
    <x v="13"/>
    <n v="0"/>
    <s v="Haber"/>
    <x v="1"/>
    <x v="1"/>
    <x v="1"/>
    <x v="1"/>
    <n v="0"/>
    <s v=""/>
    <n v="0"/>
    <x v="4"/>
    <x v="1"/>
    <x v="2"/>
    <x v="11"/>
    <x v="11"/>
    <s v=""/>
    <x v="0"/>
    <x v="0"/>
    <n v="222"/>
    <x v="11"/>
    <s v=""/>
    <x v="4"/>
    <x v="1"/>
  </r>
  <r>
    <x v="0"/>
    <x v="0"/>
    <x v="13"/>
    <n v="0"/>
    <s v="Haber"/>
    <x v="1"/>
    <x v="1"/>
    <x v="1"/>
    <x v="1"/>
    <n v="0"/>
    <s v=""/>
    <n v="0"/>
    <x v="4"/>
    <x v="1"/>
    <x v="2"/>
    <x v="11"/>
    <x v="11"/>
    <s v=""/>
    <x v="0"/>
    <x v="0"/>
    <n v="223"/>
    <x v="11"/>
    <s v=""/>
    <x v="4"/>
    <x v="1"/>
  </r>
  <r>
    <x v="0"/>
    <x v="0"/>
    <x v="13"/>
    <n v="0"/>
    <s v="Haber"/>
    <x v="1"/>
    <x v="1"/>
    <x v="1"/>
    <x v="1"/>
    <n v="0"/>
    <s v=""/>
    <n v="0"/>
    <x v="4"/>
    <x v="1"/>
    <x v="2"/>
    <x v="11"/>
    <x v="11"/>
    <s v=""/>
    <x v="0"/>
    <x v="0"/>
    <n v="1220"/>
    <x v="11"/>
    <s v=""/>
    <x v="4"/>
    <x v="1"/>
  </r>
  <r>
    <x v="0"/>
    <x v="0"/>
    <x v="13"/>
    <n v="0"/>
    <s v="Haber"/>
    <x v="1"/>
    <x v="1"/>
    <x v="1"/>
    <x v="1"/>
    <n v="0"/>
    <s v=""/>
    <n v="0"/>
    <x v="4"/>
    <x v="1"/>
    <x v="2"/>
    <x v="11"/>
    <x v="11"/>
    <s v=""/>
    <x v="0"/>
    <x v="0"/>
    <n v="1221"/>
    <x v="11"/>
    <s v=""/>
    <x v="4"/>
    <x v="1"/>
  </r>
  <r>
    <x v="0"/>
    <x v="0"/>
    <x v="13"/>
    <n v="0"/>
    <s v="Haber"/>
    <x v="1"/>
    <x v="1"/>
    <x v="1"/>
    <x v="1"/>
    <n v="0"/>
    <s v=""/>
    <n v="0"/>
    <x v="4"/>
    <x v="1"/>
    <x v="2"/>
    <x v="11"/>
    <x v="11"/>
    <s v=""/>
    <x v="0"/>
    <x v="0"/>
    <n v="229"/>
    <x v="11"/>
    <s v=""/>
    <x v="4"/>
    <x v="1"/>
  </r>
  <r>
    <x v="0"/>
    <x v="0"/>
    <x v="13"/>
    <n v="0"/>
    <s v="Haber"/>
    <x v="1"/>
    <x v="1"/>
    <x v="1"/>
    <x v="1"/>
    <n v="0"/>
    <s v=""/>
    <n v="0"/>
    <x v="4"/>
    <x v="1"/>
    <x v="2"/>
    <x v="11"/>
    <x v="11"/>
    <s v=""/>
    <x v="0"/>
    <x v="0"/>
    <n v="230"/>
    <x v="11"/>
    <s v=""/>
    <x v="4"/>
    <x v="1"/>
  </r>
  <r>
    <x v="0"/>
    <x v="0"/>
    <x v="13"/>
    <n v="0"/>
    <s v="Haber"/>
    <x v="1"/>
    <x v="1"/>
    <x v="1"/>
    <x v="1"/>
    <n v="0"/>
    <s v=""/>
    <n v="0"/>
    <x v="4"/>
    <x v="1"/>
    <x v="2"/>
    <x v="11"/>
    <x v="11"/>
    <s v=""/>
    <x v="0"/>
    <x v="0"/>
    <n v="1227"/>
    <x v="11"/>
    <s v=""/>
    <x v="4"/>
    <x v="1"/>
  </r>
  <r>
    <x v="0"/>
    <x v="0"/>
    <x v="13"/>
    <n v="0"/>
    <s v="Haber"/>
    <x v="1"/>
    <x v="1"/>
    <x v="1"/>
    <x v="1"/>
    <n v="0"/>
    <s v=""/>
    <n v="0"/>
    <x v="4"/>
    <x v="1"/>
    <x v="2"/>
    <x v="11"/>
    <x v="11"/>
    <s v=""/>
    <x v="0"/>
    <x v="0"/>
    <n v="1228"/>
    <x v="11"/>
    <s v=""/>
    <x v="4"/>
    <x v="1"/>
  </r>
  <r>
    <x v="0"/>
    <x v="0"/>
    <x v="13"/>
    <n v="0"/>
    <s v="Haber"/>
    <x v="1"/>
    <x v="1"/>
    <x v="1"/>
    <x v="1"/>
    <n v="0"/>
    <s v=""/>
    <n v="0"/>
    <x v="4"/>
    <x v="1"/>
    <x v="2"/>
    <x v="11"/>
    <x v="11"/>
    <s v=""/>
    <x v="0"/>
    <x v="0"/>
    <n v="236"/>
    <x v="11"/>
    <s v=""/>
    <x v="4"/>
    <x v="1"/>
  </r>
  <r>
    <x v="0"/>
    <x v="0"/>
    <x v="13"/>
    <n v="0"/>
    <s v="Haber"/>
    <x v="1"/>
    <x v="1"/>
    <x v="1"/>
    <x v="1"/>
    <n v="0"/>
    <s v=""/>
    <n v="0"/>
    <x v="4"/>
    <x v="1"/>
    <x v="2"/>
    <x v="11"/>
    <x v="11"/>
    <s v=""/>
    <x v="0"/>
    <x v="0"/>
    <n v="237"/>
    <x v="11"/>
    <s v=""/>
    <x v="4"/>
    <x v="1"/>
  </r>
  <r>
    <x v="0"/>
    <x v="0"/>
    <x v="13"/>
    <n v="0"/>
    <s v="Haber"/>
    <x v="1"/>
    <x v="1"/>
    <x v="1"/>
    <x v="1"/>
    <n v="0"/>
    <s v=""/>
    <n v="0"/>
    <x v="4"/>
    <x v="1"/>
    <x v="2"/>
    <x v="11"/>
    <x v="11"/>
    <s v=""/>
    <x v="0"/>
    <x v="0"/>
    <n v="1234"/>
    <x v="11"/>
    <s v=""/>
    <x v="4"/>
    <x v="1"/>
  </r>
  <r>
    <x v="0"/>
    <x v="0"/>
    <x v="13"/>
    <n v="0"/>
    <s v="Haber"/>
    <x v="1"/>
    <x v="1"/>
    <x v="1"/>
    <x v="1"/>
    <n v="0"/>
    <s v=""/>
    <n v="0"/>
    <x v="4"/>
    <x v="1"/>
    <x v="2"/>
    <x v="11"/>
    <x v="11"/>
    <s v=""/>
    <x v="0"/>
    <x v="0"/>
    <n v="1235"/>
    <x v="11"/>
    <s v=""/>
    <x v="4"/>
    <x v="1"/>
  </r>
  <r>
    <x v="0"/>
    <x v="0"/>
    <x v="13"/>
    <n v="0"/>
    <s v="Haber"/>
    <x v="1"/>
    <x v="1"/>
    <x v="1"/>
    <x v="1"/>
    <n v="0"/>
    <s v=""/>
    <n v="0"/>
    <x v="4"/>
    <x v="1"/>
    <x v="2"/>
    <x v="11"/>
    <x v="11"/>
    <s v=""/>
    <x v="0"/>
    <x v="0"/>
    <n v="243"/>
    <x v="11"/>
    <s v=""/>
    <x v="4"/>
    <x v="1"/>
  </r>
  <r>
    <x v="0"/>
    <x v="0"/>
    <x v="13"/>
    <n v="0"/>
    <s v="Haber"/>
    <x v="1"/>
    <x v="1"/>
    <x v="1"/>
    <x v="1"/>
    <n v="0"/>
    <s v=""/>
    <n v="0"/>
    <x v="4"/>
    <x v="1"/>
    <x v="2"/>
    <x v="11"/>
    <x v="11"/>
    <s v=""/>
    <x v="0"/>
    <x v="0"/>
    <n v="244"/>
    <x v="11"/>
    <s v=""/>
    <x v="4"/>
    <x v="1"/>
  </r>
  <r>
    <x v="0"/>
    <x v="0"/>
    <x v="13"/>
    <n v="0"/>
    <s v="Haber"/>
    <x v="1"/>
    <x v="1"/>
    <x v="1"/>
    <x v="1"/>
    <n v="0"/>
    <s v=""/>
    <n v="0"/>
    <x v="4"/>
    <x v="1"/>
    <x v="2"/>
    <x v="11"/>
    <x v="11"/>
    <s v=""/>
    <x v="0"/>
    <x v="0"/>
    <n v="1241"/>
    <x v="11"/>
    <s v=""/>
    <x v="4"/>
    <x v="1"/>
  </r>
  <r>
    <x v="0"/>
    <x v="0"/>
    <x v="13"/>
    <n v="0"/>
    <s v="Haber"/>
    <x v="1"/>
    <x v="1"/>
    <x v="1"/>
    <x v="1"/>
    <n v="0"/>
    <s v=""/>
    <n v="0"/>
    <x v="4"/>
    <x v="1"/>
    <x v="2"/>
    <x v="11"/>
    <x v="11"/>
    <s v=""/>
    <x v="0"/>
    <x v="0"/>
    <n v="1242"/>
    <x v="11"/>
    <s v=""/>
    <x v="4"/>
    <x v="1"/>
  </r>
  <r>
    <x v="0"/>
    <x v="0"/>
    <x v="13"/>
    <n v="0"/>
    <s v="Haber"/>
    <x v="1"/>
    <x v="1"/>
    <x v="1"/>
    <x v="1"/>
    <n v="0"/>
    <s v=""/>
    <n v="0"/>
    <x v="4"/>
    <x v="1"/>
    <x v="2"/>
    <x v="11"/>
    <x v="11"/>
    <s v=""/>
    <x v="0"/>
    <x v="0"/>
    <n v="250"/>
    <x v="11"/>
    <s v=""/>
    <x v="4"/>
    <x v="1"/>
  </r>
  <r>
    <x v="0"/>
    <x v="0"/>
    <x v="13"/>
    <n v="0"/>
    <s v="Haber"/>
    <x v="1"/>
    <x v="1"/>
    <x v="1"/>
    <x v="1"/>
    <n v="0"/>
    <s v=""/>
    <n v="0"/>
    <x v="4"/>
    <x v="1"/>
    <x v="2"/>
    <x v="11"/>
    <x v="11"/>
    <s v=""/>
    <x v="0"/>
    <x v="0"/>
    <n v="251"/>
    <x v="11"/>
    <s v=""/>
    <x v="4"/>
    <x v="1"/>
  </r>
  <r>
    <x v="0"/>
    <x v="0"/>
    <x v="13"/>
    <n v="0"/>
    <s v="Haber"/>
    <x v="1"/>
    <x v="1"/>
    <x v="1"/>
    <x v="1"/>
    <n v="0"/>
    <s v=""/>
    <n v="0"/>
    <x v="4"/>
    <x v="1"/>
    <x v="2"/>
    <x v="11"/>
    <x v="11"/>
    <s v=""/>
    <x v="0"/>
    <x v="0"/>
    <n v="1248"/>
    <x v="11"/>
    <s v=""/>
    <x v="4"/>
    <x v="1"/>
  </r>
  <r>
    <x v="0"/>
    <x v="0"/>
    <x v="13"/>
    <n v="0"/>
    <s v="Haber"/>
    <x v="1"/>
    <x v="1"/>
    <x v="1"/>
    <x v="1"/>
    <n v="0"/>
    <s v=""/>
    <n v="0"/>
    <x v="4"/>
    <x v="1"/>
    <x v="2"/>
    <x v="11"/>
    <x v="11"/>
    <s v=""/>
    <x v="0"/>
    <x v="0"/>
    <n v="1249"/>
    <x v="11"/>
    <s v=""/>
    <x v="4"/>
    <x v="1"/>
  </r>
  <r>
    <x v="0"/>
    <x v="0"/>
    <x v="13"/>
    <n v="0"/>
    <s v="Haber"/>
    <x v="1"/>
    <x v="1"/>
    <x v="1"/>
    <x v="1"/>
    <n v="0"/>
    <s v=""/>
    <n v="0"/>
    <x v="4"/>
    <x v="1"/>
    <x v="2"/>
    <x v="11"/>
    <x v="11"/>
    <s v=""/>
    <x v="0"/>
    <x v="0"/>
    <n v="257"/>
    <x v="11"/>
    <s v=""/>
    <x v="4"/>
    <x v="1"/>
  </r>
  <r>
    <x v="0"/>
    <x v="0"/>
    <x v="13"/>
    <n v="0"/>
    <s v="Haber"/>
    <x v="1"/>
    <x v="1"/>
    <x v="1"/>
    <x v="1"/>
    <n v="0"/>
    <s v=""/>
    <n v="0"/>
    <x v="4"/>
    <x v="1"/>
    <x v="2"/>
    <x v="11"/>
    <x v="11"/>
    <s v=""/>
    <x v="0"/>
    <x v="0"/>
    <n v="258"/>
    <x v="11"/>
    <s v=""/>
    <x v="4"/>
    <x v="1"/>
  </r>
  <r>
    <x v="0"/>
    <x v="0"/>
    <x v="13"/>
    <n v="0"/>
    <s v="Haber"/>
    <x v="1"/>
    <x v="1"/>
    <x v="1"/>
    <x v="1"/>
    <n v="0"/>
    <s v=""/>
    <n v="0"/>
    <x v="4"/>
    <x v="1"/>
    <x v="2"/>
    <x v="11"/>
    <x v="11"/>
    <s v=""/>
    <x v="0"/>
    <x v="0"/>
    <n v="1255"/>
    <x v="11"/>
    <s v=""/>
    <x v="4"/>
    <x v="1"/>
  </r>
  <r>
    <x v="0"/>
    <x v="0"/>
    <x v="13"/>
    <n v="0"/>
    <s v="Haber"/>
    <x v="1"/>
    <x v="1"/>
    <x v="1"/>
    <x v="1"/>
    <n v="0"/>
    <s v=""/>
    <n v="0"/>
    <x v="4"/>
    <x v="1"/>
    <x v="2"/>
    <x v="11"/>
    <x v="11"/>
    <s v=""/>
    <x v="0"/>
    <x v="0"/>
    <n v="1256"/>
    <x v="11"/>
    <s v=""/>
    <x v="4"/>
    <x v="1"/>
  </r>
  <r>
    <x v="0"/>
    <x v="0"/>
    <x v="13"/>
    <n v="0"/>
    <s v="Haber"/>
    <x v="1"/>
    <x v="1"/>
    <x v="1"/>
    <x v="1"/>
    <n v="0"/>
    <s v=""/>
    <n v="0"/>
    <x v="4"/>
    <x v="1"/>
    <x v="2"/>
    <x v="11"/>
    <x v="11"/>
    <s v=""/>
    <x v="0"/>
    <x v="0"/>
    <n v="264"/>
    <x v="11"/>
    <s v=""/>
    <x v="4"/>
    <x v="1"/>
  </r>
  <r>
    <x v="0"/>
    <x v="0"/>
    <x v="13"/>
    <n v="0"/>
    <s v="Haber"/>
    <x v="1"/>
    <x v="1"/>
    <x v="1"/>
    <x v="1"/>
    <n v="0"/>
    <s v=""/>
    <n v="0"/>
    <x v="4"/>
    <x v="1"/>
    <x v="2"/>
    <x v="11"/>
    <x v="11"/>
    <s v=""/>
    <x v="0"/>
    <x v="0"/>
    <n v="265"/>
    <x v="11"/>
    <s v=""/>
    <x v="4"/>
    <x v="1"/>
  </r>
  <r>
    <x v="0"/>
    <x v="0"/>
    <x v="13"/>
    <n v="0"/>
    <s v="Haber"/>
    <x v="1"/>
    <x v="1"/>
    <x v="1"/>
    <x v="1"/>
    <n v="0"/>
    <s v=""/>
    <n v="0"/>
    <x v="4"/>
    <x v="1"/>
    <x v="2"/>
    <x v="11"/>
    <x v="11"/>
    <s v=""/>
    <x v="0"/>
    <x v="0"/>
    <n v="1262"/>
    <x v="11"/>
    <s v=""/>
    <x v="4"/>
    <x v="1"/>
  </r>
  <r>
    <x v="0"/>
    <x v="0"/>
    <x v="13"/>
    <n v="0"/>
    <s v="Haber"/>
    <x v="1"/>
    <x v="1"/>
    <x v="1"/>
    <x v="1"/>
    <n v="0"/>
    <s v=""/>
    <n v="0"/>
    <x v="4"/>
    <x v="1"/>
    <x v="2"/>
    <x v="11"/>
    <x v="11"/>
    <s v=""/>
    <x v="0"/>
    <x v="0"/>
    <n v="1263"/>
    <x v="11"/>
    <s v=""/>
    <x v="4"/>
    <x v="1"/>
  </r>
  <r>
    <x v="0"/>
    <x v="0"/>
    <x v="13"/>
    <n v="0"/>
    <s v="Haber"/>
    <x v="1"/>
    <x v="1"/>
    <x v="1"/>
    <x v="1"/>
    <n v="0"/>
    <s v=""/>
    <n v="0"/>
    <x v="4"/>
    <x v="1"/>
    <x v="2"/>
    <x v="11"/>
    <x v="11"/>
    <s v=""/>
    <x v="0"/>
    <x v="0"/>
    <n v="271"/>
    <x v="11"/>
    <s v=""/>
    <x v="4"/>
    <x v="1"/>
  </r>
  <r>
    <x v="0"/>
    <x v="0"/>
    <x v="13"/>
    <n v="0"/>
    <s v="Haber"/>
    <x v="1"/>
    <x v="1"/>
    <x v="1"/>
    <x v="1"/>
    <n v="0"/>
    <s v=""/>
    <n v="0"/>
    <x v="4"/>
    <x v="1"/>
    <x v="2"/>
    <x v="11"/>
    <x v="11"/>
    <s v=""/>
    <x v="0"/>
    <x v="0"/>
    <n v="272"/>
    <x v="11"/>
    <s v=""/>
    <x v="4"/>
    <x v="1"/>
  </r>
  <r>
    <x v="0"/>
    <x v="0"/>
    <x v="13"/>
    <n v="0"/>
    <s v="Haber"/>
    <x v="1"/>
    <x v="1"/>
    <x v="1"/>
    <x v="1"/>
    <n v="0"/>
    <s v=""/>
    <n v="0"/>
    <x v="4"/>
    <x v="1"/>
    <x v="2"/>
    <x v="11"/>
    <x v="11"/>
    <s v=""/>
    <x v="0"/>
    <x v="0"/>
    <n v="1269"/>
    <x v="11"/>
    <s v=""/>
    <x v="4"/>
    <x v="1"/>
  </r>
  <r>
    <x v="0"/>
    <x v="0"/>
    <x v="13"/>
    <n v="0"/>
    <s v="Haber"/>
    <x v="1"/>
    <x v="1"/>
    <x v="1"/>
    <x v="1"/>
    <n v="0"/>
    <s v=""/>
    <n v="0"/>
    <x v="4"/>
    <x v="1"/>
    <x v="2"/>
    <x v="11"/>
    <x v="11"/>
    <s v=""/>
    <x v="0"/>
    <x v="0"/>
    <n v="1270"/>
    <x v="11"/>
    <s v=""/>
    <x v="4"/>
    <x v="1"/>
  </r>
  <r>
    <x v="0"/>
    <x v="0"/>
    <x v="13"/>
    <n v="0"/>
    <s v="Haber"/>
    <x v="1"/>
    <x v="1"/>
    <x v="1"/>
    <x v="1"/>
    <n v="0"/>
    <s v=""/>
    <n v="0"/>
    <x v="4"/>
    <x v="1"/>
    <x v="2"/>
    <x v="11"/>
    <x v="11"/>
    <s v=""/>
    <x v="0"/>
    <x v="0"/>
    <n v="278"/>
    <x v="11"/>
    <s v=""/>
    <x v="4"/>
    <x v="1"/>
  </r>
  <r>
    <x v="0"/>
    <x v="0"/>
    <x v="13"/>
    <n v="0"/>
    <s v="Haber"/>
    <x v="1"/>
    <x v="1"/>
    <x v="1"/>
    <x v="1"/>
    <n v="0"/>
    <s v=""/>
    <n v="0"/>
    <x v="4"/>
    <x v="1"/>
    <x v="2"/>
    <x v="11"/>
    <x v="11"/>
    <s v=""/>
    <x v="0"/>
    <x v="0"/>
    <n v="279"/>
    <x v="11"/>
    <s v=""/>
    <x v="4"/>
    <x v="1"/>
  </r>
  <r>
    <x v="0"/>
    <x v="0"/>
    <x v="13"/>
    <n v="0"/>
    <s v="Haber"/>
    <x v="1"/>
    <x v="1"/>
    <x v="1"/>
    <x v="1"/>
    <n v="0"/>
    <s v=""/>
    <n v="0"/>
    <x v="4"/>
    <x v="1"/>
    <x v="2"/>
    <x v="11"/>
    <x v="11"/>
    <s v=""/>
    <x v="0"/>
    <x v="0"/>
    <n v="1276"/>
    <x v="11"/>
    <s v=""/>
    <x v="4"/>
    <x v="1"/>
  </r>
  <r>
    <x v="0"/>
    <x v="0"/>
    <x v="13"/>
    <n v="0"/>
    <s v="Haber"/>
    <x v="1"/>
    <x v="1"/>
    <x v="1"/>
    <x v="1"/>
    <n v="0"/>
    <s v=""/>
    <n v="0"/>
    <x v="4"/>
    <x v="1"/>
    <x v="2"/>
    <x v="11"/>
    <x v="11"/>
    <s v=""/>
    <x v="0"/>
    <x v="0"/>
    <n v="1277"/>
    <x v="11"/>
    <s v=""/>
    <x v="4"/>
    <x v="1"/>
  </r>
  <r>
    <x v="0"/>
    <x v="0"/>
    <x v="13"/>
    <n v="0"/>
    <s v="Haber"/>
    <x v="1"/>
    <x v="1"/>
    <x v="1"/>
    <x v="1"/>
    <n v="0"/>
    <s v=""/>
    <n v="0"/>
    <x v="4"/>
    <x v="1"/>
    <x v="2"/>
    <x v="11"/>
    <x v="11"/>
    <s v=""/>
    <x v="0"/>
    <x v="0"/>
    <n v="285"/>
    <x v="11"/>
    <s v=""/>
    <x v="4"/>
    <x v="1"/>
  </r>
  <r>
    <x v="0"/>
    <x v="0"/>
    <x v="13"/>
    <n v="0"/>
    <s v="Haber"/>
    <x v="1"/>
    <x v="1"/>
    <x v="1"/>
    <x v="1"/>
    <n v="0"/>
    <s v=""/>
    <n v="0"/>
    <x v="4"/>
    <x v="1"/>
    <x v="2"/>
    <x v="11"/>
    <x v="11"/>
    <s v=""/>
    <x v="0"/>
    <x v="0"/>
    <n v="286"/>
    <x v="11"/>
    <s v=""/>
    <x v="4"/>
    <x v="1"/>
  </r>
  <r>
    <x v="0"/>
    <x v="0"/>
    <x v="13"/>
    <n v="0"/>
    <s v="Haber"/>
    <x v="1"/>
    <x v="1"/>
    <x v="1"/>
    <x v="1"/>
    <n v="0"/>
    <s v=""/>
    <n v="0"/>
    <x v="4"/>
    <x v="1"/>
    <x v="2"/>
    <x v="11"/>
    <x v="11"/>
    <s v=""/>
    <x v="0"/>
    <x v="0"/>
    <n v="1283"/>
    <x v="11"/>
    <s v=""/>
    <x v="4"/>
    <x v="1"/>
  </r>
  <r>
    <x v="0"/>
    <x v="0"/>
    <x v="13"/>
    <n v="0"/>
    <s v="Haber"/>
    <x v="1"/>
    <x v="1"/>
    <x v="1"/>
    <x v="1"/>
    <n v="0"/>
    <s v=""/>
    <n v="0"/>
    <x v="4"/>
    <x v="1"/>
    <x v="2"/>
    <x v="11"/>
    <x v="11"/>
    <s v=""/>
    <x v="0"/>
    <x v="0"/>
    <n v="1284"/>
    <x v="11"/>
    <s v=""/>
    <x v="4"/>
    <x v="1"/>
  </r>
  <r>
    <x v="0"/>
    <x v="0"/>
    <x v="13"/>
    <n v="0"/>
    <s v="Haber"/>
    <x v="1"/>
    <x v="1"/>
    <x v="1"/>
    <x v="1"/>
    <n v="0"/>
    <s v=""/>
    <n v="0"/>
    <x v="4"/>
    <x v="1"/>
    <x v="2"/>
    <x v="11"/>
    <x v="11"/>
    <s v=""/>
    <x v="0"/>
    <x v="0"/>
    <n v="292"/>
    <x v="11"/>
    <s v=""/>
    <x v="4"/>
    <x v="1"/>
  </r>
  <r>
    <x v="0"/>
    <x v="0"/>
    <x v="13"/>
    <n v="0"/>
    <s v="Haber"/>
    <x v="1"/>
    <x v="1"/>
    <x v="1"/>
    <x v="1"/>
    <n v="0"/>
    <s v=""/>
    <n v="0"/>
    <x v="4"/>
    <x v="1"/>
    <x v="2"/>
    <x v="11"/>
    <x v="11"/>
    <s v=""/>
    <x v="0"/>
    <x v="0"/>
    <n v="293"/>
    <x v="11"/>
    <s v=""/>
    <x v="4"/>
    <x v="1"/>
  </r>
  <r>
    <x v="0"/>
    <x v="0"/>
    <x v="13"/>
    <n v="0"/>
    <s v="Haber"/>
    <x v="1"/>
    <x v="1"/>
    <x v="1"/>
    <x v="1"/>
    <n v="0"/>
    <s v=""/>
    <n v="0"/>
    <x v="4"/>
    <x v="1"/>
    <x v="2"/>
    <x v="11"/>
    <x v="11"/>
    <s v=""/>
    <x v="0"/>
    <x v="0"/>
    <n v="1290"/>
    <x v="11"/>
    <s v=""/>
    <x v="4"/>
    <x v="1"/>
  </r>
  <r>
    <x v="0"/>
    <x v="0"/>
    <x v="13"/>
    <n v="0"/>
    <s v="Haber"/>
    <x v="1"/>
    <x v="1"/>
    <x v="1"/>
    <x v="1"/>
    <n v="0"/>
    <s v=""/>
    <n v="0"/>
    <x v="4"/>
    <x v="1"/>
    <x v="2"/>
    <x v="11"/>
    <x v="11"/>
    <s v=""/>
    <x v="0"/>
    <x v="0"/>
    <n v="1291"/>
    <x v="11"/>
    <s v=""/>
    <x v="4"/>
    <x v="1"/>
  </r>
  <r>
    <x v="0"/>
    <x v="0"/>
    <x v="13"/>
    <n v="0"/>
    <s v="Haber"/>
    <x v="1"/>
    <x v="1"/>
    <x v="1"/>
    <x v="1"/>
    <n v="0"/>
    <s v=""/>
    <n v="0"/>
    <x v="4"/>
    <x v="1"/>
    <x v="2"/>
    <x v="11"/>
    <x v="11"/>
    <s v=""/>
    <x v="0"/>
    <x v="0"/>
    <n v="299"/>
    <x v="11"/>
    <s v=""/>
    <x v="4"/>
    <x v="1"/>
  </r>
  <r>
    <x v="0"/>
    <x v="0"/>
    <x v="13"/>
    <n v="0"/>
    <s v="Haber"/>
    <x v="1"/>
    <x v="1"/>
    <x v="1"/>
    <x v="1"/>
    <n v="0"/>
    <s v=""/>
    <n v="0"/>
    <x v="4"/>
    <x v="1"/>
    <x v="2"/>
    <x v="11"/>
    <x v="11"/>
    <s v=""/>
    <x v="0"/>
    <x v="0"/>
    <n v="300"/>
    <x v="11"/>
    <s v=""/>
    <x v="4"/>
    <x v="1"/>
  </r>
  <r>
    <x v="0"/>
    <x v="0"/>
    <x v="13"/>
    <n v="0"/>
    <s v="Haber"/>
    <x v="1"/>
    <x v="1"/>
    <x v="1"/>
    <x v="1"/>
    <n v="0"/>
    <s v=""/>
    <n v="0"/>
    <x v="4"/>
    <x v="1"/>
    <x v="2"/>
    <x v="11"/>
    <x v="11"/>
    <s v=""/>
    <x v="0"/>
    <x v="0"/>
    <n v="1297"/>
    <x v="11"/>
    <s v=""/>
    <x v="4"/>
    <x v="1"/>
  </r>
  <r>
    <x v="0"/>
    <x v="0"/>
    <x v="13"/>
    <n v="0"/>
    <s v="Haber"/>
    <x v="1"/>
    <x v="1"/>
    <x v="1"/>
    <x v="1"/>
    <n v="0"/>
    <s v=""/>
    <n v="0"/>
    <x v="4"/>
    <x v="1"/>
    <x v="2"/>
    <x v="11"/>
    <x v="11"/>
    <s v=""/>
    <x v="0"/>
    <x v="0"/>
    <n v="1298"/>
    <x v="11"/>
    <s v=""/>
    <x v="4"/>
    <x v="1"/>
  </r>
  <r>
    <x v="0"/>
    <x v="0"/>
    <x v="13"/>
    <n v="0"/>
    <s v="Haber"/>
    <x v="1"/>
    <x v="1"/>
    <x v="1"/>
    <x v="1"/>
    <n v="0"/>
    <s v=""/>
    <n v="0"/>
    <x v="4"/>
    <x v="1"/>
    <x v="2"/>
    <x v="11"/>
    <x v="11"/>
    <s v=""/>
    <x v="0"/>
    <x v="0"/>
    <n v="306"/>
    <x v="11"/>
    <s v=""/>
    <x v="4"/>
    <x v="1"/>
  </r>
  <r>
    <x v="0"/>
    <x v="0"/>
    <x v="13"/>
    <n v="0"/>
    <s v="Haber"/>
    <x v="1"/>
    <x v="1"/>
    <x v="1"/>
    <x v="1"/>
    <n v="0"/>
    <s v=""/>
    <n v="0"/>
    <x v="4"/>
    <x v="1"/>
    <x v="2"/>
    <x v="11"/>
    <x v="11"/>
    <s v=""/>
    <x v="0"/>
    <x v="0"/>
    <n v="307"/>
    <x v="11"/>
    <s v=""/>
    <x v="4"/>
    <x v="1"/>
  </r>
  <r>
    <x v="0"/>
    <x v="0"/>
    <x v="13"/>
    <n v="0"/>
    <s v="Haber"/>
    <x v="1"/>
    <x v="1"/>
    <x v="1"/>
    <x v="1"/>
    <n v="0"/>
    <s v=""/>
    <n v="0"/>
    <x v="4"/>
    <x v="1"/>
    <x v="2"/>
    <x v="11"/>
    <x v="11"/>
    <s v=""/>
    <x v="0"/>
    <x v="0"/>
    <n v="1304"/>
    <x v="11"/>
    <s v=""/>
    <x v="4"/>
    <x v="1"/>
  </r>
  <r>
    <x v="0"/>
    <x v="0"/>
    <x v="13"/>
    <n v="0"/>
    <s v="Haber"/>
    <x v="1"/>
    <x v="1"/>
    <x v="1"/>
    <x v="1"/>
    <n v="0"/>
    <s v=""/>
    <n v="0"/>
    <x v="4"/>
    <x v="1"/>
    <x v="2"/>
    <x v="11"/>
    <x v="11"/>
    <s v=""/>
    <x v="0"/>
    <x v="0"/>
    <n v="1305"/>
    <x v="11"/>
    <s v=""/>
    <x v="4"/>
    <x v="1"/>
  </r>
  <r>
    <x v="0"/>
    <x v="0"/>
    <x v="13"/>
    <n v="0"/>
    <s v="Haber"/>
    <x v="1"/>
    <x v="1"/>
    <x v="1"/>
    <x v="1"/>
    <n v="0"/>
    <s v=""/>
    <n v="0"/>
    <x v="4"/>
    <x v="1"/>
    <x v="2"/>
    <x v="11"/>
    <x v="11"/>
    <s v=""/>
    <x v="0"/>
    <x v="0"/>
    <n v="313"/>
    <x v="11"/>
    <s v=""/>
    <x v="4"/>
    <x v="1"/>
  </r>
  <r>
    <x v="0"/>
    <x v="0"/>
    <x v="13"/>
    <n v="0"/>
    <s v="Haber"/>
    <x v="1"/>
    <x v="1"/>
    <x v="1"/>
    <x v="1"/>
    <n v="0"/>
    <s v=""/>
    <n v="0"/>
    <x v="4"/>
    <x v="1"/>
    <x v="2"/>
    <x v="11"/>
    <x v="11"/>
    <s v=""/>
    <x v="0"/>
    <x v="0"/>
    <n v="314"/>
    <x v="11"/>
    <s v=""/>
    <x v="4"/>
    <x v="1"/>
  </r>
  <r>
    <x v="0"/>
    <x v="0"/>
    <x v="13"/>
    <n v="0"/>
    <s v="Haber"/>
    <x v="1"/>
    <x v="1"/>
    <x v="1"/>
    <x v="1"/>
    <n v="0"/>
    <s v=""/>
    <n v="0"/>
    <x v="4"/>
    <x v="1"/>
    <x v="2"/>
    <x v="11"/>
    <x v="11"/>
    <s v=""/>
    <x v="0"/>
    <x v="0"/>
    <n v="1311"/>
    <x v="11"/>
    <s v=""/>
    <x v="4"/>
    <x v="1"/>
  </r>
  <r>
    <x v="0"/>
    <x v="0"/>
    <x v="13"/>
    <n v="0"/>
    <s v="Haber"/>
    <x v="1"/>
    <x v="1"/>
    <x v="1"/>
    <x v="1"/>
    <n v="0"/>
    <s v=""/>
    <n v="0"/>
    <x v="4"/>
    <x v="1"/>
    <x v="2"/>
    <x v="11"/>
    <x v="11"/>
    <s v=""/>
    <x v="0"/>
    <x v="0"/>
    <n v="1312"/>
    <x v="11"/>
    <s v=""/>
    <x v="4"/>
    <x v="1"/>
  </r>
  <r>
    <x v="0"/>
    <x v="0"/>
    <x v="13"/>
    <n v="0"/>
    <s v="Haber"/>
    <x v="1"/>
    <x v="1"/>
    <x v="1"/>
    <x v="1"/>
    <n v="0"/>
    <s v=""/>
    <n v="0"/>
    <x v="4"/>
    <x v="1"/>
    <x v="2"/>
    <x v="11"/>
    <x v="11"/>
    <s v=""/>
    <x v="0"/>
    <x v="0"/>
    <n v="320"/>
    <x v="11"/>
    <s v=""/>
    <x v="4"/>
    <x v="1"/>
  </r>
  <r>
    <x v="0"/>
    <x v="0"/>
    <x v="13"/>
    <n v="0"/>
    <s v="Haber"/>
    <x v="1"/>
    <x v="1"/>
    <x v="1"/>
    <x v="1"/>
    <n v="0"/>
    <s v=""/>
    <n v="0"/>
    <x v="4"/>
    <x v="1"/>
    <x v="2"/>
    <x v="11"/>
    <x v="11"/>
    <s v=""/>
    <x v="0"/>
    <x v="0"/>
    <n v="321"/>
    <x v="11"/>
    <s v=""/>
    <x v="4"/>
    <x v="1"/>
  </r>
  <r>
    <x v="0"/>
    <x v="0"/>
    <x v="13"/>
    <n v="0"/>
    <s v="Haber"/>
    <x v="1"/>
    <x v="1"/>
    <x v="1"/>
    <x v="1"/>
    <n v="0"/>
    <s v=""/>
    <n v="0"/>
    <x v="4"/>
    <x v="1"/>
    <x v="2"/>
    <x v="11"/>
    <x v="11"/>
    <s v=""/>
    <x v="0"/>
    <x v="0"/>
    <n v="322"/>
    <x v="11"/>
    <s v=""/>
    <x v="4"/>
    <x v="1"/>
  </r>
  <r>
    <x v="0"/>
    <x v="0"/>
    <x v="13"/>
    <n v="0"/>
    <s v="Haber"/>
    <x v="1"/>
    <x v="1"/>
    <x v="1"/>
    <x v="1"/>
    <n v="0"/>
    <s v=""/>
    <n v="0"/>
    <x v="4"/>
    <x v="1"/>
    <x v="2"/>
    <x v="11"/>
    <x v="11"/>
    <s v=""/>
    <x v="0"/>
    <x v="0"/>
    <n v="1318"/>
    <x v="11"/>
    <s v=""/>
    <x v="4"/>
    <x v="1"/>
  </r>
  <r>
    <x v="0"/>
    <x v="0"/>
    <x v="13"/>
    <n v="0"/>
    <s v="Haber"/>
    <x v="1"/>
    <x v="1"/>
    <x v="1"/>
    <x v="1"/>
    <n v="0"/>
    <s v=""/>
    <n v="0"/>
    <x v="4"/>
    <x v="1"/>
    <x v="2"/>
    <x v="11"/>
    <x v="11"/>
    <s v=""/>
    <x v="0"/>
    <x v="0"/>
    <n v="1319"/>
    <x v="11"/>
    <s v=""/>
    <x v="4"/>
    <x v="1"/>
  </r>
  <r>
    <x v="0"/>
    <x v="0"/>
    <x v="13"/>
    <n v="0"/>
    <s v="Haber"/>
    <x v="1"/>
    <x v="1"/>
    <x v="1"/>
    <x v="1"/>
    <n v="0"/>
    <s v=""/>
    <n v="0"/>
    <x v="4"/>
    <x v="1"/>
    <x v="2"/>
    <x v="11"/>
    <x v="11"/>
    <s v=""/>
    <x v="0"/>
    <x v="0"/>
    <n v="1320"/>
    <x v="11"/>
    <s v=""/>
    <x v="4"/>
    <x v="1"/>
  </r>
  <r>
    <x v="0"/>
    <x v="0"/>
    <x v="13"/>
    <n v="0"/>
    <s v="Haber"/>
    <x v="1"/>
    <x v="1"/>
    <x v="1"/>
    <x v="1"/>
    <n v="0"/>
    <s v=""/>
    <n v="0"/>
    <x v="4"/>
    <x v="1"/>
    <x v="2"/>
    <x v="11"/>
    <x v="11"/>
    <s v=""/>
    <x v="0"/>
    <x v="0"/>
    <n v="328"/>
    <x v="11"/>
    <s v=""/>
    <x v="4"/>
    <x v="1"/>
  </r>
  <r>
    <x v="0"/>
    <x v="0"/>
    <x v="13"/>
    <n v="0"/>
    <s v="Haber"/>
    <x v="1"/>
    <x v="1"/>
    <x v="1"/>
    <x v="1"/>
    <n v="0"/>
    <s v=""/>
    <n v="0"/>
    <x v="4"/>
    <x v="1"/>
    <x v="2"/>
    <x v="11"/>
    <x v="11"/>
    <s v=""/>
    <x v="0"/>
    <x v="0"/>
    <n v="329"/>
    <x v="11"/>
    <s v=""/>
    <x v="4"/>
    <x v="1"/>
  </r>
  <r>
    <x v="0"/>
    <x v="0"/>
    <x v="13"/>
    <n v="0"/>
    <s v="Haber"/>
    <x v="1"/>
    <x v="1"/>
    <x v="1"/>
    <x v="1"/>
    <n v="0"/>
    <s v=""/>
    <n v="0"/>
    <x v="4"/>
    <x v="1"/>
    <x v="2"/>
    <x v="11"/>
    <x v="11"/>
    <s v=""/>
    <x v="0"/>
    <x v="0"/>
    <n v="1326"/>
    <x v="11"/>
    <s v=""/>
    <x v="4"/>
    <x v="1"/>
  </r>
  <r>
    <x v="0"/>
    <x v="0"/>
    <x v="13"/>
    <n v="0"/>
    <s v="Haber"/>
    <x v="1"/>
    <x v="1"/>
    <x v="1"/>
    <x v="1"/>
    <n v="0"/>
    <s v=""/>
    <n v="0"/>
    <x v="4"/>
    <x v="1"/>
    <x v="2"/>
    <x v="11"/>
    <x v="11"/>
    <s v=""/>
    <x v="0"/>
    <x v="0"/>
    <n v="1327"/>
    <x v="11"/>
    <s v=""/>
    <x v="4"/>
    <x v="1"/>
  </r>
  <r>
    <x v="0"/>
    <x v="0"/>
    <x v="13"/>
    <n v="0"/>
    <s v="Haber"/>
    <x v="1"/>
    <x v="1"/>
    <x v="1"/>
    <x v="1"/>
    <n v="0"/>
    <s v=""/>
    <n v="0"/>
    <x v="4"/>
    <x v="1"/>
    <x v="2"/>
    <x v="11"/>
    <x v="11"/>
    <s v=""/>
    <x v="0"/>
    <x v="0"/>
    <n v="335"/>
    <x v="11"/>
    <s v=""/>
    <x v="4"/>
    <x v="1"/>
  </r>
  <r>
    <x v="0"/>
    <x v="0"/>
    <x v="13"/>
    <n v="0"/>
    <s v="Haber"/>
    <x v="1"/>
    <x v="1"/>
    <x v="1"/>
    <x v="1"/>
    <n v="0"/>
    <s v=""/>
    <n v="0"/>
    <x v="4"/>
    <x v="1"/>
    <x v="2"/>
    <x v="11"/>
    <x v="11"/>
    <s v=""/>
    <x v="0"/>
    <x v="0"/>
    <n v="336"/>
    <x v="11"/>
    <s v=""/>
    <x v="4"/>
    <x v="1"/>
  </r>
  <r>
    <x v="0"/>
    <x v="0"/>
    <x v="13"/>
    <n v="0"/>
    <s v="Haber"/>
    <x v="1"/>
    <x v="1"/>
    <x v="1"/>
    <x v="1"/>
    <n v="0"/>
    <s v=""/>
    <n v="0"/>
    <x v="4"/>
    <x v="1"/>
    <x v="2"/>
    <x v="11"/>
    <x v="11"/>
    <s v=""/>
    <x v="0"/>
    <x v="0"/>
    <n v="1333"/>
    <x v="11"/>
    <s v=""/>
    <x v="4"/>
    <x v="1"/>
  </r>
  <r>
    <x v="0"/>
    <x v="0"/>
    <x v="13"/>
    <n v="0"/>
    <s v="Haber"/>
    <x v="1"/>
    <x v="1"/>
    <x v="1"/>
    <x v="1"/>
    <n v="0"/>
    <s v=""/>
    <n v="0"/>
    <x v="4"/>
    <x v="1"/>
    <x v="2"/>
    <x v="11"/>
    <x v="11"/>
    <s v=""/>
    <x v="0"/>
    <x v="0"/>
    <n v="1334"/>
    <x v="11"/>
    <s v=""/>
    <x v="4"/>
    <x v="1"/>
  </r>
  <r>
    <x v="0"/>
    <x v="0"/>
    <x v="13"/>
    <n v="0"/>
    <s v="Haber"/>
    <x v="1"/>
    <x v="1"/>
    <x v="1"/>
    <x v="1"/>
    <n v="0"/>
    <s v=""/>
    <n v="0"/>
    <x v="4"/>
    <x v="1"/>
    <x v="2"/>
    <x v="11"/>
    <x v="11"/>
    <s v=""/>
    <x v="0"/>
    <x v="0"/>
    <n v="342"/>
    <x v="11"/>
    <s v=""/>
    <x v="4"/>
    <x v="1"/>
  </r>
  <r>
    <x v="0"/>
    <x v="0"/>
    <x v="13"/>
    <n v="0"/>
    <s v="Haber"/>
    <x v="1"/>
    <x v="1"/>
    <x v="1"/>
    <x v="1"/>
    <n v="0"/>
    <s v=""/>
    <n v="0"/>
    <x v="4"/>
    <x v="1"/>
    <x v="2"/>
    <x v="11"/>
    <x v="11"/>
    <s v=""/>
    <x v="0"/>
    <x v="0"/>
    <n v="343"/>
    <x v="11"/>
    <s v=""/>
    <x v="4"/>
    <x v="1"/>
  </r>
  <r>
    <x v="0"/>
    <x v="0"/>
    <x v="13"/>
    <n v="0"/>
    <s v="Haber"/>
    <x v="1"/>
    <x v="1"/>
    <x v="1"/>
    <x v="1"/>
    <n v="0"/>
    <s v=""/>
    <n v="0"/>
    <x v="4"/>
    <x v="1"/>
    <x v="2"/>
    <x v="11"/>
    <x v="11"/>
    <s v=""/>
    <x v="0"/>
    <x v="0"/>
    <n v="344"/>
    <x v="11"/>
    <s v=""/>
    <x v="4"/>
    <x v="1"/>
  </r>
  <r>
    <x v="0"/>
    <x v="0"/>
    <x v="13"/>
    <n v="0"/>
    <s v="Haber"/>
    <x v="1"/>
    <x v="1"/>
    <x v="1"/>
    <x v="1"/>
    <n v="0"/>
    <s v=""/>
    <n v="0"/>
    <x v="4"/>
    <x v="1"/>
    <x v="2"/>
    <x v="11"/>
    <x v="11"/>
    <s v=""/>
    <x v="0"/>
    <x v="0"/>
    <n v="1340"/>
    <x v="11"/>
    <s v=""/>
    <x v="4"/>
    <x v="1"/>
  </r>
  <r>
    <x v="0"/>
    <x v="0"/>
    <x v="13"/>
    <n v="0"/>
    <s v="Haber"/>
    <x v="1"/>
    <x v="1"/>
    <x v="1"/>
    <x v="1"/>
    <n v="0"/>
    <s v=""/>
    <n v="0"/>
    <x v="4"/>
    <x v="1"/>
    <x v="2"/>
    <x v="11"/>
    <x v="11"/>
    <s v=""/>
    <x v="0"/>
    <x v="0"/>
    <n v="1341"/>
    <x v="11"/>
    <s v=""/>
    <x v="4"/>
    <x v="1"/>
  </r>
  <r>
    <x v="0"/>
    <x v="0"/>
    <x v="13"/>
    <n v="0"/>
    <s v="Haber"/>
    <x v="1"/>
    <x v="1"/>
    <x v="1"/>
    <x v="1"/>
    <n v="0"/>
    <s v=""/>
    <n v="0"/>
    <x v="4"/>
    <x v="1"/>
    <x v="2"/>
    <x v="11"/>
    <x v="11"/>
    <s v=""/>
    <x v="0"/>
    <x v="0"/>
    <n v="1342"/>
    <x v="11"/>
    <s v=""/>
    <x v="4"/>
    <x v="1"/>
  </r>
  <r>
    <x v="0"/>
    <x v="0"/>
    <x v="13"/>
    <n v="0"/>
    <s v="Haber"/>
    <x v="1"/>
    <x v="1"/>
    <x v="1"/>
    <x v="1"/>
    <n v="0"/>
    <s v=""/>
    <n v="0"/>
    <x v="4"/>
    <x v="1"/>
    <x v="2"/>
    <x v="11"/>
    <x v="11"/>
    <s v=""/>
    <x v="0"/>
    <x v="0"/>
    <n v="350"/>
    <x v="11"/>
    <s v=""/>
    <x v="4"/>
    <x v="1"/>
  </r>
  <r>
    <x v="0"/>
    <x v="0"/>
    <x v="13"/>
    <n v="0"/>
    <s v="Haber"/>
    <x v="1"/>
    <x v="1"/>
    <x v="1"/>
    <x v="1"/>
    <n v="0"/>
    <s v=""/>
    <n v="0"/>
    <x v="4"/>
    <x v="1"/>
    <x v="2"/>
    <x v="11"/>
    <x v="11"/>
    <s v=""/>
    <x v="0"/>
    <x v="0"/>
    <n v="351"/>
    <x v="11"/>
    <s v=""/>
    <x v="4"/>
    <x v="1"/>
  </r>
  <r>
    <x v="0"/>
    <x v="0"/>
    <x v="13"/>
    <n v="0"/>
    <s v="Haber"/>
    <x v="1"/>
    <x v="1"/>
    <x v="1"/>
    <x v="1"/>
    <n v="0"/>
    <s v=""/>
    <n v="0"/>
    <x v="4"/>
    <x v="1"/>
    <x v="2"/>
    <x v="11"/>
    <x v="11"/>
    <s v=""/>
    <x v="0"/>
    <x v="0"/>
    <n v="1348"/>
    <x v="11"/>
    <s v=""/>
    <x v="4"/>
    <x v="1"/>
  </r>
  <r>
    <x v="0"/>
    <x v="0"/>
    <x v="13"/>
    <n v="0"/>
    <s v="Haber"/>
    <x v="1"/>
    <x v="1"/>
    <x v="1"/>
    <x v="1"/>
    <n v="0"/>
    <s v=""/>
    <n v="0"/>
    <x v="4"/>
    <x v="1"/>
    <x v="2"/>
    <x v="11"/>
    <x v="11"/>
    <s v=""/>
    <x v="0"/>
    <x v="0"/>
    <n v="1349"/>
    <x v="11"/>
    <s v=""/>
    <x v="4"/>
    <x v="1"/>
  </r>
  <r>
    <x v="0"/>
    <x v="0"/>
    <x v="13"/>
    <n v="0"/>
    <s v="Haber"/>
    <x v="1"/>
    <x v="1"/>
    <x v="1"/>
    <x v="1"/>
    <n v="0"/>
    <s v=""/>
    <n v="0"/>
    <x v="4"/>
    <x v="1"/>
    <x v="2"/>
    <x v="11"/>
    <x v="11"/>
    <s v=""/>
    <x v="0"/>
    <x v="0"/>
    <n v="357"/>
    <x v="11"/>
    <s v=""/>
    <x v="4"/>
    <x v="1"/>
  </r>
  <r>
    <x v="0"/>
    <x v="0"/>
    <x v="13"/>
    <n v="0"/>
    <s v="Haber"/>
    <x v="1"/>
    <x v="1"/>
    <x v="1"/>
    <x v="1"/>
    <n v="0"/>
    <s v=""/>
    <n v="0"/>
    <x v="4"/>
    <x v="1"/>
    <x v="2"/>
    <x v="11"/>
    <x v="11"/>
    <s v=""/>
    <x v="0"/>
    <x v="0"/>
    <n v="358"/>
    <x v="11"/>
    <s v=""/>
    <x v="4"/>
    <x v="1"/>
  </r>
  <r>
    <x v="0"/>
    <x v="0"/>
    <x v="13"/>
    <n v="0"/>
    <s v="Haber"/>
    <x v="1"/>
    <x v="1"/>
    <x v="1"/>
    <x v="1"/>
    <n v="0"/>
    <s v=""/>
    <n v="0"/>
    <x v="4"/>
    <x v="1"/>
    <x v="2"/>
    <x v="11"/>
    <x v="11"/>
    <s v=""/>
    <x v="0"/>
    <x v="0"/>
    <n v="359"/>
    <x v="11"/>
    <s v=""/>
    <x v="4"/>
    <x v="1"/>
  </r>
  <r>
    <x v="0"/>
    <x v="0"/>
    <x v="13"/>
    <n v="0"/>
    <s v="Haber"/>
    <x v="1"/>
    <x v="1"/>
    <x v="1"/>
    <x v="1"/>
    <n v="0"/>
    <s v=""/>
    <n v="0"/>
    <x v="4"/>
    <x v="1"/>
    <x v="2"/>
    <x v="11"/>
    <x v="11"/>
    <s v=""/>
    <x v="0"/>
    <x v="0"/>
    <n v="360"/>
    <x v="11"/>
    <s v=""/>
    <x v="4"/>
    <x v="1"/>
  </r>
  <r>
    <x v="0"/>
    <x v="0"/>
    <x v="13"/>
    <n v="0"/>
    <s v="Haber"/>
    <x v="1"/>
    <x v="1"/>
    <x v="1"/>
    <x v="1"/>
    <n v="0"/>
    <s v=""/>
    <n v="0"/>
    <x v="4"/>
    <x v="1"/>
    <x v="2"/>
    <x v="11"/>
    <x v="11"/>
    <s v=""/>
    <x v="0"/>
    <x v="0"/>
    <n v="361"/>
    <x v="11"/>
    <s v=""/>
    <x v="4"/>
    <x v="1"/>
  </r>
  <r>
    <x v="0"/>
    <x v="0"/>
    <x v="13"/>
    <n v="0"/>
    <s v="Haber"/>
    <x v="1"/>
    <x v="1"/>
    <x v="1"/>
    <x v="1"/>
    <n v="0"/>
    <s v=""/>
    <n v="0"/>
    <x v="4"/>
    <x v="1"/>
    <x v="2"/>
    <x v="11"/>
    <x v="11"/>
    <s v=""/>
    <x v="0"/>
    <x v="0"/>
    <n v="1355"/>
    <x v="11"/>
    <s v=""/>
    <x v="4"/>
    <x v="1"/>
  </r>
  <r>
    <x v="0"/>
    <x v="0"/>
    <x v="13"/>
    <n v="0"/>
    <s v="Haber"/>
    <x v="1"/>
    <x v="1"/>
    <x v="1"/>
    <x v="1"/>
    <n v="0"/>
    <s v=""/>
    <n v="0"/>
    <x v="4"/>
    <x v="1"/>
    <x v="2"/>
    <x v="11"/>
    <x v="11"/>
    <s v=""/>
    <x v="0"/>
    <x v="0"/>
    <n v="1356"/>
    <x v="11"/>
    <s v=""/>
    <x v="4"/>
    <x v="1"/>
  </r>
  <r>
    <x v="0"/>
    <x v="0"/>
    <x v="13"/>
    <n v="0"/>
    <s v="Haber"/>
    <x v="1"/>
    <x v="1"/>
    <x v="1"/>
    <x v="1"/>
    <n v="0"/>
    <s v=""/>
    <n v="0"/>
    <x v="4"/>
    <x v="1"/>
    <x v="2"/>
    <x v="11"/>
    <x v="11"/>
    <s v=""/>
    <x v="0"/>
    <x v="0"/>
    <n v="1357"/>
    <x v="11"/>
    <s v=""/>
    <x v="4"/>
    <x v="1"/>
  </r>
  <r>
    <x v="0"/>
    <x v="0"/>
    <x v="13"/>
    <n v="0"/>
    <s v="Haber"/>
    <x v="1"/>
    <x v="1"/>
    <x v="1"/>
    <x v="1"/>
    <n v="0"/>
    <s v=""/>
    <n v="0"/>
    <x v="4"/>
    <x v="1"/>
    <x v="2"/>
    <x v="11"/>
    <x v="11"/>
    <s v=""/>
    <x v="0"/>
    <x v="0"/>
    <n v="1358"/>
    <x v="11"/>
    <s v=""/>
    <x v="4"/>
    <x v="1"/>
  </r>
  <r>
    <x v="0"/>
    <x v="0"/>
    <x v="13"/>
    <n v="0"/>
    <s v="Haber"/>
    <x v="1"/>
    <x v="1"/>
    <x v="1"/>
    <x v="1"/>
    <n v="0"/>
    <s v=""/>
    <n v="0"/>
    <x v="4"/>
    <x v="1"/>
    <x v="2"/>
    <x v="11"/>
    <x v="11"/>
    <s v=""/>
    <x v="0"/>
    <x v="0"/>
    <n v="1359"/>
    <x v="11"/>
    <s v=""/>
    <x v="4"/>
    <x v="1"/>
  </r>
  <r>
    <x v="0"/>
    <x v="0"/>
    <x v="13"/>
    <n v="0"/>
    <s v="Haber"/>
    <x v="1"/>
    <x v="1"/>
    <x v="1"/>
    <x v="1"/>
    <n v="0"/>
    <s v=""/>
    <n v="0"/>
    <x v="4"/>
    <x v="1"/>
    <x v="2"/>
    <x v="11"/>
    <x v="11"/>
    <s v=""/>
    <x v="0"/>
    <x v="0"/>
    <n v="367"/>
    <x v="11"/>
    <s v=""/>
    <x v="4"/>
    <x v="1"/>
  </r>
  <r>
    <x v="0"/>
    <x v="0"/>
    <x v="13"/>
    <n v="0"/>
    <s v="Haber"/>
    <x v="1"/>
    <x v="1"/>
    <x v="1"/>
    <x v="1"/>
    <n v="0"/>
    <s v=""/>
    <n v="0"/>
    <x v="4"/>
    <x v="1"/>
    <x v="2"/>
    <x v="11"/>
    <x v="11"/>
    <s v=""/>
    <x v="0"/>
    <x v="0"/>
    <n v="368"/>
    <x v="11"/>
    <s v=""/>
    <x v="4"/>
    <x v="1"/>
  </r>
  <r>
    <x v="0"/>
    <x v="0"/>
    <x v="13"/>
    <n v="0"/>
    <s v="Haber"/>
    <x v="1"/>
    <x v="1"/>
    <x v="1"/>
    <x v="1"/>
    <n v="0"/>
    <s v=""/>
    <n v="0"/>
    <x v="4"/>
    <x v="1"/>
    <x v="2"/>
    <x v="11"/>
    <x v="11"/>
    <s v=""/>
    <x v="0"/>
    <x v="0"/>
    <n v="1365"/>
    <x v="11"/>
    <s v=""/>
    <x v="4"/>
    <x v="1"/>
  </r>
  <r>
    <x v="0"/>
    <x v="0"/>
    <x v="13"/>
    <n v="0"/>
    <s v="Haber"/>
    <x v="1"/>
    <x v="1"/>
    <x v="1"/>
    <x v="1"/>
    <n v="0"/>
    <s v=""/>
    <n v="0"/>
    <x v="4"/>
    <x v="1"/>
    <x v="2"/>
    <x v="11"/>
    <x v="11"/>
    <s v=""/>
    <x v="0"/>
    <x v="0"/>
    <n v="1366"/>
    <x v="11"/>
    <s v=""/>
    <x v="4"/>
    <x v="1"/>
  </r>
  <r>
    <x v="0"/>
    <x v="0"/>
    <x v="13"/>
    <n v="0"/>
    <s v="Haber"/>
    <x v="1"/>
    <x v="1"/>
    <x v="1"/>
    <x v="1"/>
    <n v="0"/>
    <s v=""/>
    <n v="0"/>
    <x v="4"/>
    <x v="1"/>
    <x v="2"/>
    <x v="11"/>
    <x v="11"/>
    <s v=""/>
    <x v="0"/>
    <x v="0"/>
    <n v="374"/>
    <x v="11"/>
    <s v=""/>
    <x v="4"/>
    <x v="1"/>
  </r>
  <r>
    <x v="0"/>
    <x v="0"/>
    <x v="13"/>
    <n v="0"/>
    <s v="Haber"/>
    <x v="1"/>
    <x v="1"/>
    <x v="1"/>
    <x v="1"/>
    <n v="0"/>
    <s v=""/>
    <n v="0"/>
    <x v="4"/>
    <x v="1"/>
    <x v="2"/>
    <x v="11"/>
    <x v="11"/>
    <s v=""/>
    <x v="0"/>
    <x v="0"/>
    <n v="375"/>
    <x v="11"/>
    <s v=""/>
    <x v="4"/>
    <x v="1"/>
  </r>
  <r>
    <x v="0"/>
    <x v="0"/>
    <x v="13"/>
    <n v="0"/>
    <s v="Haber"/>
    <x v="1"/>
    <x v="1"/>
    <x v="1"/>
    <x v="1"/>
    <n v="0"/>
    <s v=""/>
    <n v="0"/>
    <x v="4"/>
    <x v="1"/>
    <x v="2"/>
    <x v="11"/>
    <x v="11"/>
    <s v=""/>
    <x v="0"/>
    <x v="0"/>
    <n v="1372"/>
    <x v="11"/>
    <s v=""/>
    <x v="4"/>
    <x v="1"/>
  </r>
  <r>
    <x v="0"/>
    <x v="0"/>
    <x v="13"/>
    <n v="0"/>
    <s v="Haber"/>
    <x v="1"/>
    <x v="1"/>
    <x v="1"/>
    <x v="1"/>
    <n v="0"/>
    <s v=""/>
    <n v="0"/>
    <x v="4"/>
    <x v="1"/>
    <x v="2"/>
    <x v="11"/>
    <x v="11"/>
    <s v=""/>
    <x v="0"/>
    <x v="0"/>
    <n v="1373"/>
    <x v="11"/>
    <s v=""/>
    <x v="4"/>
    <x v="1"/>
  </r>
  <r>
    <x v="0"/>
    <x v="0"/>
    <x v="13"/>
    <n v="0"/>
    <s v="Haber"/>
    <x v="1"/>
    <x v="1"/>
    <x v="1"/>
    <x v="1"/>
    <n v="0"/>
    <s v=""/>
    <n v="0"/>
    <x v="4"/>
    <x v="1"/>
    <x v="2"/>
    <x v="11"/>
    <x v="11"/>
    <s v=""/>
    <x v="0"/>
    <x v="0"/>
    <n v="381"/>
    <x v="11"/>
    <s v=""/>
    <x v="4"/>
    <x v="1"/>
  </r>
  <r>
    <x v="0"/>
    <x v="0"/>
    <x v="13"/>
    <n v="0"/>
    <s v="Haber"/>
    <x v="1"/>
    <x v="1"/>
    <x v="1"/>
    <x v="1"/>
    <n v="0"/>
    <s v=""/>
    <n v="0"/>
    <x v="4"/>
    <x v="1"/>
    <x v="2"/>
    <x v="11"/>
    <x v="11"/>
    <s v=""/>
    <x v="0"/>
    <x v="0"/>
    <n v="382"/>
    <x v="11"/>
    <s v=""/>
    <x v="4"/>
    <x v="1"/>
  </r>
  <r>
    <x v="0"/>
    <x v="0"/>
    <x v="13"/>
    <n v="0"/>
    <s v="Haber"/>
    <x v="1"/>
    <x v="1"/>
    <x v="1"/>
    <x v="1"/>
    <n v="0"/>
    <s v=""/>
    <n v="0"/>
    <x v="4"/>
    <x v="1"/>
    <x v="2"/>
    <x v="11"/>
    <x v="11"/>
    <s v=""/>
    <x v="0"/>
    <x v="0"/>
    <n v="1379"/>
    <x v="11"/>
    <s v=""/>
    <x v="4"/>
    <x v="1"/>
  </r>
  <r>
    <x v="0"/>
    <x v="0"/>
    <x v="13"/>
    <n v="0"/>
    <s v="Haber"/>
    <x v="1"/>
    <x v="1"/>
    <x v="1"/>
    <x v="1"/>
    <n v="0"/>
    <s v=""/>
    <n v="0"/>
    <x v="4"/>
    <x v="1"/>
    <x v="2"/>
    <x v="11"/>
    <x v="11"/>
    <s v=""/>
    <x v="0"/>
    <x v="0"/>
    <n v="1380"/>
    <x v="11"/>
    <s v=""/>
    <x v="4"/>
    <x v="1"/>
  </r>
  <r>
    <x v="0"/>
    <x v="0"/>
    <x v="13"/>
    <n v="0"/>
    <s v="Haber"/>
    <x v="1"/>
    <x v="1"/>
    <x v="1"/>
    <x v="1"/>
    <n v="0"/>
    <s v=""/>
    <n v="0"/>
    <x v="4"/>
    <x v="1"/>
    <x v="2"/>
    <x v="11"/>
    <x v="11"/>
    <s v=""/>
    <x v="0"/>
    <x v="0"/>
    <n v="388"/>
    <x v="11"/>
    <s v=""/>
    <x v="4"/>
    <x v="1"/>
  </r>
  <r>
    <x v="0"/>
    <x v="0"/>
    <x v="13"/>
    <n v="0"/>
    <s v="Haber"/>
    <x v="1"/>
    <x v="1"/>
    <x v="1"/>
    <x v="1"/>
    <n v="0"/>
    <s v=""/>
    <n v="0"/>
    <x v="4"/>
    <x v="1"/>
    <x v="2"/>
    <x v="11"/>
    <x v="11"/>
    <s v=""/>
    <x v="0"/>
    <x v="0"/>
    <n v="389"/>
    <x v="11"/>
    <s v=""/>
    <x v="4"/>
    <x v="1"/>
  </r>
  <r>
    <x v="0"/>
    <x v="0"/>
    <x v="13"/>
    <n v="0"/>
    <s v="Haber"/>
    <x v="1"/>
    <x v="1"/>
    <x v="1"/>
    <x v="1"/>
    <n v="0"/>
    <s v=""/>
    <n v="0"/>
    <x v="4"/>
    <x v="1"/>
    <x v="2"/>
    <x v="11"/>
    <x v="11"/>
    <s v=""/>
    <x v="0"/>
    <x v="0"/>
    <n v="1386"/>
    <x v="11"/>
    <s v=""/>
    <x v="4"/>
    <x v="1"/>
  </r>
  <r>
    <x v="0"/>
    <x v="0"/>
    <x v="13"/>
    <n v="0"/>
    <s v="Haber"/>
    <x v="1"/>
    <x v="1"/>
    <x v="1"/>
    <x v="1"/>
    <n v="0"/>
    <s v=""/>
    <n v="0"/>
    <x v="4"/>
    <x v="1"/>
    <x v="2"/>
    <x v="11"/>
    <x v="11"/>
    <s v=""/>
    <x v="0"/>
    <x v="0"/>
    <n v="1387"/>
    <x v="11"/>
    <s v=""/>
    <x v="4"/>
    <x v="1"/>
  </r>
  <r>
    <x v="0"/>
    <x v="0"/>
    <x v="13"/>
    <n v="0"/>
    <s v="Haber"/>
    <x v="1"/>
    <x v="1"/>
    <x v="1"/>
    <x v="1"/>
    <n v="0"/>
    <s v=""/>
    <n v="0"/>
    <x v="4"/>
    <x v="1"/>
    <x v="2"/>
    <x v="11"/>
    <x v="11"/>
    <s v=""/>
    <x v="0"/>
    <x v="0"/>
    <n v="395"/>
    <x v="11"/>
    <s v=""/>
    <x v="4"/>
    <x v="1"/>
  </r>
  <r>
    <x v="0"/>
    <x v="0"/>
    <x v="13"/>
    <n v="0"/>
    <s v="Haber"/>
    <x v="1"/>
    <x v="1"/>
    <x v="1"/>
    <x v="1"/>
    <n v="0"/>
    <s v=""/>
    <n v="0"/>
    <x v="4"/>
    <x v="1"/>
    <x v="2"/>
    <x v="11"/>
    <x v="11"/>
    <s v=""/>
    <x v="0"/>
    <x v="0"/>
    <n v="396"/>
    <x v="11"/>
    <s v=""/>
    <x v="4"/>
    <x v="1"/>
  </r>
  <r>
    <x v="0"/>
    <x v="0"/>
    <x v="13"/>
    <n v="0"/>
    <s v="Haber"/>
    <x v="1"/>
    <x v="1"/>
    <x v="1"/>
    <x v="1"/>
    <n v="0"/>
    <s v=""/>
    <n v="0"/>
    <x v="4"/>
    <x v="1"/>
    <x v="2"/>
    <x v="11"/>
    <x v="11"/>
    <s v=""/>
    <x v="0"/>
    <x v="0"/>
    <n v="1393"/>
    <x v="11"/>
    <s v=""/>
    <x v="4"/>
    <x v="1"/>
  </r>
  <r>
    <x v="0"/>
    <x v="0"/>
    <x v="13"/>
    <n v="0"/>
    <s v="Haber"/>
    <x v="1"/>
    <x v="1"/>
    <x v="1"/>
    <x v="1"/>
    <n v="0"/>
    <s v=""/>
    <n v="0"/>
    <x v="4"/>
    <x v="1"/>
    <x v="2"/>
    <x v="11"/>
    <x v="11"/>
    <s v=""/>
    <x v="0"/>
    <x v="0"/>
    <n v="1394"/>
    <x v="11"/>
    <s v=""/>
    <x v="4"/>
    <x v="1"/>
  </r>
  <r>
    <x v="0"/>
    <x v="0"/>
    <x v="13"/>
    <n v="0"/>
    <s v="Haber"/>
    <x v="1"/>
    <x v="1"/>
    <x v="1"/>
    <x v="1"/>
    <n v="0"/>
    <s v=""/>
    <n v="0"/>
    <x v="4"/>
    <x v="1"/>
    <x v="2"/>
    <x v="11"/>
    <x v="11"/>
    <s v=""/>
    <x v="0"/>
    <x v="0"/>
    <n v="402"/>
    <x v="11"/>
    <s v=""/>
    <x v="4"/>
    <x v="1"/>
  </r>
  <r>
    <x v="0"/>
    <x v="0"/>
    <x v="13"/>
    <n v="0"/>
    <s v="Haber"/>
    <x v="1"/>
    <x v="1"/>
    <x v="1"/>
    <x v="1"/>
    <n v="0"/>
    <s v=""/>
    <n v="0"/>
    <x v="4"/>
    <x v="1"/>
    <x v="2"/>
    <x v="11"/>
    <x v="11"/>
    <s v=""/>
    <x v="0"/>
    <x v="0"/>
    <n v="403"/>
    <x v="11"/>
    <s v=""/>
    <x v="4"/>
    <x v="1"/>
  </r>
  <r>
    <x v="0"/>
    <x v="0"/>
    <x v="13"/>
    <n v="0"/>
    <s v="Haber"/>
    <x v="1"/>
    <x v="1"/>
    <x v="1"/>
    <x v="1"/>
    <n v="0"/>
    <s v=""/>
    <n v="0"/>
    <x v="4"/>
    <x v="1"/>
    <x v="2"/>
    <x v="11"/>
    <x v="11"/>
    <s v=""/>
    <x v="0"/>
    <x v="0"/>
    <n v="1400"/>
    <x v="11"/>
    <s v=""/>
    <x v="4"/>
    <x v="1"/>
  </r>
  <r>
    <x v="0"/>
    <x v="0"/>
    <x v="13"/>
    <n v="0"/>
    <s v="Haber"/>
    <x v="1"/>
    <x v="1"/>
    <x v="1"/>
    <x v="1"/>
    <n v="0"/>
    <s v=""/>
    <n v="0"/>
    <x v="4"/>
    <x v="1"/>
    <x v="2"/>
    <x v="11"/>
    <x v="11"/>
    <s v=""/>
    <x v="0"/>
    <x v="0"/>
    <n v="1401"/>
    <x v="11"/>
    <s v=""/>
    <x v="4"/>
    <x v="1"/>
  </r>
  <r>
    <x v="0"/>
    <x v="0"/>
    <x v="13"/>
    <n v="0"/>
    <s v="Haber"/>
    <x v="1"/>
    <x v="1"/>
    <x v="1"/>
    <x v="1"/>
    <n v="0"/>
    <s v=""/>
    <n v="0"/>
    <x v="4"/>
    <x v="1"/>
    <x v="2"/>
    <x v="11"/>
    <x v="11"/>
    <s v=""/>
    <x v="0"/>
    <x v="0"/>
    <n v="409"/>
    <x v="11"/>
    <s v=""/>
    <x v="4"/>
    <x v="1"/>
  </r>
  <r>
    <x v="0"/>
    <x v="0"/>
    <x v="13"/>
    <n v="0"/>
    <s v="Haber"/>
    <x v="1"/>
    <x v="1"/>
    <x v="1"/>
    <x v="1"/>
    <n v="0"/>
    <s v=""/>
    <n v="0"/>
    <x v="4"/>
    <x v="1"/>
    <x v="2"/>
    <x v="11"/>
    <x v="11"/>
    <s v=""/>
    <x v="0"/>
    <x v="0"/>
    <n v="410"/>
    <x v="11"/>
    <s v=""/>
    <x v="4"/>
    <x v="1"/>
  </r>
  <r>
    <x v="0"/>
    <x v="0"/>
    <x v="13"/>
    <n v="0"/>
    <s v="Haber"/>
    <x v="1"/>
    <x v="1"/>
    <x v="1"/>
    <x v="1"/>
    <n v="0"/>
    <s v=""/>
    <n v="0"/>
    <x v="4"/>
    <x v="1"/>
    <x v="2"/>
    <x v="11"/>
    <x v="11"/>
    <s v=""/>
    <x v="0"/>
    <x v="0"/>
    <n v="1407"/>
    <x v="11"/>
    <s v=""/>
    <x v="4"/>
    <x v="1"/>
  </r>
  <r>
    <x v="0"/>
    <x v="0"/>
    <x v="13"/>
    <n v="0"/>
    <s v="Haber"/>
    <x v="1"/>
    <x v="1"/>
    <x v="1"/>
    <x v="1"/>
    <n v="0"/>
    <s v=""/>
    <n v="0"/>
    <x v="4"/>
    <x v="1"/>
    <x v="2"/>
    <x v="11"/>
    <x v="11"/>
    <s v=""/>
    <x v="0"/>
    <x v="0"/>
    <n v="1408"/>
    <x v="11"/>
    <s v=""/>
    <x v="4"/>
    <x v="1"/>
  </r>
  <r>
    <x v="0"/>
    <x v="0"/>
    <x v="13"/>
    <n v="0"/>
    <s v="Haber"/>
    <x v="1"/>
    <x v="1"/>
    <x v="1"/>
    <x v="1"/>
    <n v="0"/>
    <s v=""/>
    <n v="0"/>
    <x v="4"/>
    <x v="1"/>
    <x v="2"/>
    <x v="11"/>
    <x v="11"/>
    <s v=""/>
    <x v="0"/>
    <x v="0"/>
    <n v="416"/>
    <x v="11"/>
    <s v=""/>
    <x v="4"/>
    <x v="1"/>
  </r>
  <r>
    <x v="0"/>
    <x v="0"/>
    <x v="13"/>
    <n v="0"/>
    <s v="Haber"/>
    <x v="1"/>
    <x v="1"/>
    <x v="1"/>
    <x v="1"/>
    <n v="0"/>
    <s v=""/>
    <n v="0"/>
    <x v="4"/>
    <x v="1"/>
    <x v="2"/>
    <x v="11"/>
    <x v="11"/>
    <s v=""/>
    <x v="0"/>
    <x v="0"/>
    <n v="417"/>
    <x v="11"/>
    <s v=""/>
    <x v="4"/>
    <x v="1"/>
  </r>
  <r>
    <x v="0"/>
    <x v="0"/>
    <x v="13"/>
    <n v="0"/>
    <s v="Haber"/>
    <x v="1"/>
    <x v="1"/>
    <x v="1"/>
    <x v="1"/>
    <n v="0"/>
    <s v=""/>
    <n v="0"/>
    <x v="4"/>
    <x v="1"/>
    <x v="2"/>
    <x v="11"/>
    <x v="11"/>
    <s v=""/>
    <x v="0"/>
    <x v="0"/>
    <n v="1414"/>
    <x v="11"/>
    <s v=""/>
    <x v="4"/>
    <x v="1"/>
  </r>
  <r>
    <x v="0"/>
    <x v="0"/>
    <x v="13"/>
    <n v="0"/>
    <s v="Haber"/>
    <x v="1"/>
    <x v="1"/>
    <x v="1"/>
    <x v="1"/>
    <n v="0"/>
    <s v=""/>
    <n v="0"/>
    <x v="4"/>
    <x v="1"/>
    <x v="2"/>
    <x v="11"/>
    <x v="11"/>
    <s v=""/>
    <x v="0"/>
    <x v="0"/>
    <n v="1415"/>
    <x v="11"/>
    <s v=""/>
    <x v="4"/>
    <x v="1"/>
  </r>
  <r>
    <x v="0"/>
    <x v="0"/>
    <x v="13"/>
    <n v="0"/>
    <s v="Haber"/>
    <x v="1"/>
    <x v="1"/>
    <x v="1"/>
    <x v="1"/>
    <n v="0"/>
    <s v=""/>
    <n v="0"/>
    <x v="4"/>
    <x v="1"/>
    <x v="2"/>
    <x v="11"/>
    <x v="11"/>
    <s v=""/>
    <x v="0"/>
    <x v="0"/>
    <n v="423"/>
    <x v="11"/>
    <s v=""/>
    <x v="4"/>
    <x v="1"/>
  </r>
  <r>
    <x v="0"/>
    <x v="0"/>
    <x v="13"/>
    <n v="0"/>
    <s v="Haber"/>
    <x v="1"/>
    <x v="1"/>
    <x v="1"/>
    <x v="1"/>
    <n v="0"/>
    <s v=""/>
    <n v="0"/>
    <x v="4"/>
    <x v="1"/>
    <x v="2"/>
    <x v="11"/>
    <x v="11"/>
    <s v=""/>
    <x v="0"/>
    <x v="0"/>
    <n v="424"/>
    <x v="11"/>
    <s v=""/>
    <x v="4"/>
    <x v="1"/>
  </r>
  <r>
    <x v="0"/>
    <x v="0"/>
    <x v="13"/>
    <n v="0"/>
    <s v="Haber"/>
    <x v="1"/>
    <x v="1"/>
    <x v="1"/>
    <x v="1"/>
    <n v="0"/>
    <s v=""/>
    <n v="0"/>
    <x v="4"/>
    <x v="1"/>
    <x v="2"/>
    <x v="11"/>
    <x v="11"/>
    <s v=""/>
    <x v="0"/>
    <x v="0"/>
    <n v="1421"/>
    <x v="11"/>
    <s v=""/>
    <x v="4"/>
    <x v="1"/>
  </r>
  <r>
    <x v="0"/>
    <x v="0"/>
    <x v="13"/>
    <n v="0"/>
    <s v="Haber"/>
    <x v="1"/>
    <x v="1"/>
    <x v="1"/>
    <x v="1"/>
    <n v="0"/>
    <s v=""/>
    <n v="0"/>
    <x v="4"/>
    <x v="1"/>
    <x v="2"/>
    <x v="11"/>
    <x v="11"/>
    <s v=""/>
    <x v="0"/>
    <x v="0"/>
    <n v="1422"/>
    <x v="11"/>
    <s v=""/>
    <x v="4"/>
    <x v="1"/>
  </r>
  <r>
    <x v="0"/>
    <x v="0"/>
    <x v="13"/>
    <n v="0"/>
    <s v="Haber"/>
    <x v="1"/>
    <x v="1"/>
    <x v="1"/>
    <x v="1"/>
    <n v="0"/>
    <s v=""/>
    <n v="0"/>
    <x v="4"/>
    <x v="1"/>
    <x v="2"/>
    <x v="11"/>
    <x v="11"/>
    <s v=""/>
    <x v="0"/>
    <x v="0"/>
    <n v="430"/>
    <x v="11"/>
    <s v=""/>
    <x v="4"/>
    <x v="1"/>
  </r>
  <r>
    <x v="0"/>
    <x v="0"/>
    <x v="13"/>
    <n v="0"/>
    <s v="Haber"/>
    <x v="1"/>
    <x v="1"/>
    <x v="1"/>
    <x v="1"/>
    <n v="0"/>
    <s v=""/>
    <n v="0"/>
    <x v="4"/>
    <x v="1"/>
    <x v="2"/>
    <x v="11"/>
    <x v="11"/>
    <s v=""/>
    <x v="0"/>
    <x v="0"/>
    <n v="431"/>
    <x v="11"/>
    <s v=""/>
    <x v="4"/>
    <x v="1"/>
  </r>
  <r>
    <x v="0"/>
    <x v="0"/>
    <x v="13"/>
    <n v="0"/>
    <s v="Haber"/>
    <x v="1"/>
    <x v="1"/>
    <x v="1"/>
    <x v="1"/>
    <n v="0"/>
    <s v=""/>
    <n v="0"/>
    <x v="4"/>
    <x v="1"/>
    <x v="2"/>
    <x v="11"/>
    <x v="11"/>
    <s v=""/>
    <x v="0"/>
    <x v="0"/>
    <n v="1428"/>
    <x v="11"/>
    <s v=""/>
    <x v="4"/>
    <x v="1"/>
  </r>
  <r>
    <x v="0"/>
    <x v="0"/>
    <x v="13"/>
    <n v="0"/>
    <s v="Haber"/>
    <x v="1"/>
    <x v="1"/>
    <x v="1"/>
    <x v="1"/>
    <n v="0"/>
    <s v=""/>
    <n v="0"/>
    <x v="4"/>
    <x v="1"/>
    <x v="2"/>
    <x v="11"/>
    <x v="11"/>
    <s v=""/>
    <x v="0"/>
    <x v="0"/>
    <n v="1429"/>
    <x v="11"/>
    <s v=""/>
    <x v="4"/>
    <x v="1"/>
  </r>
  <r>
    <x v="0"/>
    <x v="0"/>
    <x v="13"/>
    <n v="0"/>
    <s v="Haber"/>
    <x v="1"/>
    <x v="1"/>
    <x v="1"/>
    <x v="1"/>
    <n v="0"/>
    <s v=""/>
    <n v="0"/>
    <x v="4"/>
    <x v="1"/>
    <x v="2"/>
    <x v="11"/>
    <x v="11"/>
    <s v=""/>
    <x v="0"/>
    <x v="0"/>
    <n v="437"/>
    <x v="11"/>
    <s v=""/>
    <x v="4"/>
    <x v="1"/>
  </r>
  <r>
    <x v="0"/>
    <x v="0"/>
    <x v="13"/>
    <n v="0"/>
    <s v="Haber"/>
    <x v="1"/>
    <x v="1"/>
    <x v="1"/>
    <x v="1"/>
    <n v="0"/>
    <s v=""/>
    <n v="0"/>
    <x v="4"/>
    <x v="1"/>
    <x v="2"/>
    <x v="11"/>
    <x v="11"/>
    <s v=""/>
    <x v="0"/>
    <x v="0"/>
    <n v="438"/>
    <x v="11"/>
    <s v=""/>
    <x v="4"/>
    <x v="1"/>
  </r>
  <r>
    <x v="0"/>
    <x v="0"/>
    <x v="13"/>
    <n v="0"/>
    <s v="Haber"/>
    <x v="1"/>
    <x v="1"/>
    <x v="1"/>
    <x v="1"/>
    <n v="0"/>
    <s v=""/>
    <n v="0"/>
    <x v="4"/>
    <x v="1"/>
    <x v="2"/>
    <x v="11"/>
    <x v="11"/>
    <s v=""/>
    <x v="0"/>
    <x v="0"/>
    <n v="1435"/>
    <x v="11"/>
    <s v=""/>
    <x v="4"/>
    <x v="1"/>
  </r>
  <r>
    <x v="0"/>
    <x v="0"/>
    <x v="13"/>
    <n v="0"/>
    <s v="Haber"/>
    <x v="1"/>
    <x v="1"/>
    <x v="1"/>
    <x v="1"/>
    <n v="0"/>
    <s v=""/>
    <n v="0"/>
    <x v="4"/>
    <x v="1"/>
    <x v="2"/>
    <x v="11"/>
    <x v="11"/>
    <s v=""/>
    <x v="0"/>
    <x v="0"/>
    <n v="1436"/>
    <x v="11"/>
    <s v=""/>
    <x v="4"/>
    <x v="1"/>
  </r>
  <r>
    <x v="0"/>
    <x v="0"/>
    <x v="13"/>
    <n v="0"/>
    <s v="Haber"/>
    <x v="1"/>
    <x v="1"/>
    <x v="1"/>
    <x v="1"/>
    <n v="0"/>
    <s v=""/>
    <n v="0"/>
    <x v="4"/>
    <x v="1"/>
    <x v="2"/>
    <x v="11"/>
    <x v="11"/>
    <s v=""/>
    <x v="0"/>
    <x v="0"/>
    <n v="444"/>
    <x v="11"/>
    <s v=""/>
    <x v="4"/>
    <x v="1"/>
  </r>
  <r>
    <x v="0"/>
    <x v="0"/>
    <x v="13"/>
    <n v="0"/>
    <s v="Haber"/>
    <x v="1"/>
    <x v="1"/>
    <x v="1"/>
    <x v="1"/>
    <n v="0"/>
    <s v=""/>
    <n v="0"/>
    <x v="4"/>
    <x v="1"/>
    <x v="2"/>
    <x v="11"/>
    <x v="11"/>
    <s v=""/>
    <x v="0"/>
    <x v="0"/>
    <n v="445"/>
    <x v="11"/>
    <s v=""/>
    <x v="4"/>
    <x v="1"/>
  </r>
  <r>
    <x v="0"/>
    <x v="0"/>
    <x v="13"/>
    <n v="0"/>
    <s v="Haber"/>
    <x v="1"/>
    <x v="1"/>
    <x v="1"/>
    <x v="1"/>
    <n v="0"/>
    <s v=""/>
    <n v="0"/>
    <x v="4"/>
    <x v="1"/>
    <x v="2"/>
    <x v="11"/>
    <x v="11"/>
    <s v=""/>
    <x v="0"/>
    <x v="0"/>
    <n v="1442"/>
    <x v="11"/>
    <s v=""/>
    <x v="4"/>
    <x v="1"/>
  </r>
  <r>
    <x v="0"/>
    <x v="0"/>
    <x v="13"/>
    <n v="0"/>
    <s v="Haber"/>
    <x v="1"/>
    <x v="1"/>
    <x v="1"/>
    <x v="1"/>
    <n v="0"/>
    <s v=""/>
    <n v="0"/>
    <x v="4"/>
    <x v="1"/>
    <x v="2"/>
    <x v="11"/>
    <x v="11"/>
    <s v=""/>
    <x v="0"/>
    <x v="0"/>
    <n v="1443"/>
    <x v="11"/>
    <s v=""/>
    <x v="4"/>
    <x v="1"/>
  </r>
  <r>
    <x v="0"/>
    <x v="0"/>
    <x v="13"/>
    <n v="0"/>
    <s v="Haber"/>
    <x v="1"/>
    <x v="1"/>
    <x v="1"/>
    <x v="1"/>
    <n v="0"/>
    <s v=""/>
    <n v="0"/>
    <x v="4"/>
    <x v="1"/>
    <x v="2"/>
    <x v="11"/>
    <x v="11"/>
    <s v=""/>
    <x v="0"/>
    <x v="0"/>
    <n v="451"/>
    <x v="11"/>
    <s v=""/>
    <x v="4"/>
    <x v="1"/>
  </r>
  <r>
    <x v="0"/>
    <x v="0"/>
    <x v="13"/>
    <n v="0"/>
    <s v="Haber"/>
    <x v="1"/>
    <x v="1"/>
    <x v="1"/>
    <x v="1"/>
    <n v="0"/>
    <s v=""/>
    <n v="0"/>
    <x v="4"/>
    <x v="1"/>
    <x v="2"/>
    <x v="11"/>
    <x v="11"/>
    <s v=""/>
    <x v="0"/>
    <x v="0"/>
    <n v="452"/>
    <x v="11"/>
    <s v=""/>
    <x v="4"/>
    <x v="1"/>
  </r>
  <r>
    <x v="0"/>
    <x v="0"/>
    <x v="13"/>
    <n v="0"/>
    <s v="Haber"/>
    <x v="1"/>
    <x v="1"/>
    <x v="1"/>
    <x v="1"/>
    <n v="0"/>
    <s v=""/>
    <n v="0"/>
    <x v="4"/>
    <x v="1"/>
    <x v="2"/>
    <x v="11"/>
    <x v="11"/>
    <s v=""/>
    <x v="0"/>
    <x v="0"/>
    <n v="1449"/>
    <x v="11"/>
    <s v=""/>
    <x v="4"/>
    <x v="1"/>
  </r>
  <r>
    <x v="0"/>
    <x v="0"/>
    <x v="13"/>
    <n v="0"/>
    <s v="Haber"/>
    <x v="1"/>
    <x v="1"/>
    <x v="1"/>
    <x v="1"/>
    <n v="0"/>
    <s v=""/>
    <n v="0"/>
    <x v="4"/>
    <x v="1"/>
    <x v="2"/>
    <x v="11"/>
    <x v="11"/>
    <s v=""/>
    <x v="0"/>
    <x v="0"/>
    <n v="1450"/>
    <x v="11"/>
    <s v=""/>
    <x v="4"/>
    <x v="1"/>
  </r>
  <r>
    <x v="0"/>
    <x v="0"/>
    <x v="13"/>
    <n v="0"/>
    <s v="Haber"/>
    <x v="1"/>
    <x v="1"/>
    <x v="1"/>
    <x v="1"/>
    <n v="0"/>
    <s v=""/>
    <n v="0"/>
    <x v="4"/>
    <x v="1"/>
    <x v="2"/>
    <x v="11"/>
    <x v="11"/>
    <s v=""/>
    <x v="0"/>
    <x v="0"/>
    <n v="458"/>
    <x v="11"/>
    <s v=""/>
    <x v="4"/>
    <x v="1"/>
  </r>
  <r>
    <x v="0"/>
    <x v="0"/>
    <x v="13"/>
    <n v="0"/>
    <s v="Haber"/>
    <x v="1"/>
    <x v="1"/>
    <x v="1"/>
    <x v="1"/>
    <n v="0"/>
    <s v=""/>
    <n v="0"/>
    <x v="4"/>
    <x v="1"/>
    <x v="2"/>
    <x v="11"/>
    <x v="11"/>
    <s v=""/>
    <x v="0"/>
    <x v="0"/>
    <n v="459"/>
    <x v="11"/>
    <s v=""/>
    <x v="4"/>
    <x v="1"/>
  </r>
  <r>
    <x v="0"/>
    <x v="0"/>
    <x v="13"/>
    <n v="0"/>
    <s v="Haber"/>
    <x v="1"/>
    <x v="1"/>
    <x v="1"/>
    <x v="1"/>
    <n v="0"/>
    <s v=""/>
    <n v="0"/>
    <x v="4"/>
    <x v="1"/>
    <x v="2"/>
    <x v="11"/>
    <x v="11"/>
    <s v=""/>
    <x v="0"/>
    <x v="0"/>
    <n v="1456"/>
    <x v="11"/>
    <s v=""/>
    <x v="4"/>
    <x v="1"/>
  </r>
  <r>
    <x v="0"/>
    <x v="0"/>
    <x v="13"/>
    <n v="0"/>
    <s v="Haber"/>
    <x v="1"/>
    <x v="1"/>
    <x v="1"/>
    <x v="1"/>
    <n v="0"/>
    <s v=""/>
    <n v="0"/>
    <x v="4"/>
    <x v="1"/>
    <x v="2"/>
    <x v="11"/>
    <x v="11"/>
    <s v=""/>
    <x v="0"/>
    <x v="0"/>
    <n v="1457"/>
    <x v="11"/>
    <s v=""/>
    <x v="4"/>
    <x v="1"/>
  </r>
  <r>
    <x v="0"/>
    <x v="0"/>
    <x v="13"/>
    <n v="0"/>
    <s v="Haber"/>
    <x v="1"/>
    <x v="1"/>
    <x v="1"/>
    <x v="1"/>
    <n v="0"/>
    <s v=""/>
    <n v="0"/>
    <x v="4"/>
    <x v="1"/>
    <x v="2"/>
    <x v="11"/>
    <x v="11"/>
    <s v=""/>
    <x v="0"/>
    <x v="0"/>
    <n v="465"/>
    <x v="11"/>
    <s v=""/>
    <x v="4"/>
    <x v="1"/>
  </r>
  <r>
    <x v="0"/>
    <x v="0"/>
    <x v="13"/>
    <n v="0"/>
    <s v="Haber"/>
    <x v="1"/>
    <x v="1"/>
    <x v="1"/>
    <x v="1"/>
    <n v="0"/>
    <s v=""/>
    <n v="0"/>
    <x v="4"/>
    <x v="1"/>
    <x v="2"/>
    <x v="11"/>
    <x v="11"/>
    <s v=""/>
    <x v="0"/>
    <x v="0"/>
    <n v="466"/>
    <x v="11"/>
    <s v=""/>
    <x v="4"/>
    <x v="1"/>
  </r>
  <r>
    <x v="0"/>
    <x v="0"/>
    <x v="13"/>
    <n v="0"/>
    <s v="Haber"/>
    <x v="1"/>
    <x v="1"/>
    <x v="1"/>
    <x v="1"/>
    <n v="0"/>
    <s v=""/>
    <n v="0"/>
    <x v="4"/>
    <x v="1"/>
    <x v="2"/>
    <x v="11"/>
    <x v="11"/>
    <s v=""/>
    <x v="0"/>
    <x v="0"/>
    <n v="1463"/>
    <x v="11"/>
    <s v=""/>
    <x v="4"/>
    <x v="1"/>
  </r>
  <r>
    <x v="0"/>
    <x v="0"/>
    <x v="13"/>
    <n v="0"/>
    <s v="Haber"/>
    <x v="1"/>
    <x v="1"/>
    <x v="1"/>
    <x v="1"/>
    <n v="0"/>
    <s v=""/>
    <n v="0"/>
    <x v="4"/>
    <x v="1"/>
    <x v="2"/>
    <x v="11"/>
    <x v="11"/>
    <s v=""/>
    <x v="0"/>
    <x v="0"/>
    <n v="1464"/>
    <x v="11"/>
    <s v=""/>
    <x v="4"/>
    <x v="1"/>
  </r>
  <r>
    <x v="0"/>
    <x v="0"/>
    <x v="13"/>
    <n v="0"/>
    <s v="Haber"/>
    <x v="1"/>
    <x v="1"/>
    <x v="1"/>
    <x v="1"/>
    <n v="0"/>
    <s v=""/>
    <n v="0"/>
    <x v="4"/>
    <x v="1"/>
    <x v="2"/>
    <x v="11"/>
    <x v="11"/>
    <s v=""/>
    <x v="0"/>
    <x v="0"/>
    <n v="472"/>
    <x v="11"/>
    <s v=""/>
    <x v="4"/>
    <x v="1"/>
  </r>
  <r>
    <x v="0"/>
    <x v="0"/>
    <x v="13"/>
    <n v="0"/>
    <s v="Haber"/>
    <x v="1"/>
    <x v="1"/>
    <x v="1"/>
    <x v="1"/>
    <n v="0"/>
    <s v=""/>
    <n v="0"/>
    <x v="4"/>
    <x v="1"/>
    <x v="2"/>
    <x v="11"/>
    <x v="11"/>
    <s v=""/>
    <x v="0"/>
    <x v="0"/>
    <n v="473"/>
    <x v="11"/>
    <s v=""/>
    <x v="4"/>
    <x v="1"/>
  </r>
  <r>
    <x v="0"/>
    <x v="0"/>
    <x v="13"/>
    <n v="0"/>
    <s v="Haber"/>
    <x v="1"/>
    <x v="1"/>
    <x v="1"/>
    <x v="1"/>
    <n v="0"/>
    <s v=""/>
    <n v="0"/>
    <x v="4"/>
    <x v="1"/>
    <x v="2"/>
    <x v="11"/>
    <x v="11"/>
    <s v=""/>
    <x v="0"/>
    <x v="0"/>
    <n v="1470"/>
    <x v="11"/>
    <s v=""/>
    <x v="4"/>
    <x v="1"/>
  </r>
  <r>
    <x v="0"/>
    <x v="0"/>
    <x v="13"/>
    <n v="0"/>
    <s v="Haber"/>
    <x v="1"/>
    <x v="1"/>
    <x v="1"/>
    <x v="1"/>
    <n v="0"/>
    <s v=""/>
    <n v="0"/>
    <x v="4"/>
    <x v="1"/>
    <x v="2"/>
    <x v="11"/>
    <x v="11"/>
    <s v=""/>
    <x v="0"/>
    <x v="0"/>
    <n v="1471"/>
    <x v="11"/>
    <s v=""/>
    <x v="4"/>
    <x v="1"/>
  </r>
  <r>
    <x v="0"/>
    <x v="0"/>
    <x v="13"/>
    <n v="0"/>
    <s v="Haber"/>
    <x v="1"/>
    <x v="1"/>
    <x v="1"/>
    <x v="1"/>
    <n v="0"/>
    <s v=""/>
    <n v="0"/>
    <x v="4"/>
    <x v="1"/>
    <x v="2"/>
    <x v="11"/>
    <x v="11"/>
    <s v=""/>
    <x v="0"/>
    <x v="0"/>
    <n v="479"/>
    <x v="11"/>
    <s v=""/>
    <x v="4"/>
    <x v="1"/>
  </r>
  <r>
    <x v="0"/>
    <x v="0"/>
    <x v="13"/>
    <n v="0"/>
    <s v="Haber"/>
    <x v="1"/>
    <x v="1"/>
    <x v="1"/>
    <x v="1"/>
    <n v="0"/>
    <s v=""/>
    <n v="0"/>
    <x v="4"/>
    <x v="1"/>
    <x v="2"/>
    <x v="11"/>
    <x v="11"/>
    <s v=""/>
    <x v="0"/>
    <x v="0"/>
    <n v="480"/>
    <x v="11"/>
    <s v=""/>
    <x v="4"/>
    <x v="1"/>
  </r>
  <r>
    <x v="0"/>
    <x v="0"/>
    <x v="13"/>
    <n v="0"/>
    <s v="Haber"/>
    <x v="1"/>
    <x v="1"/>
    <x v="1"/>
    <x v="1"/>
    <n v="0"/>
    <s v=""/>
    <n v="0"/>
    <x v="4"/>
    <x v="1"/>
    <x v="2"/>
    <x v="11"/>
    <x v="11"/>
    <s v=""/>
    <x v="0"/>
    <x v="0"/>
    <n v="1477"/>
    <x v="11"/>
    <s v=""/>
    <x v="4"/>
    <x v="1"/>
  </r>
  <r>
    <x v="0"/>
    <x v="0"/>
    <x v="13"/>
    <n v="0"/>
    <s v="Haber"/>
    <x v="1"/>
    <x v="1"/>
    <x v="1"/>
    <x v="1"/>
    <n v="0"/>
    <s v=""/>
    <n v="0"/>
    <x v="4"/>
    <x v="1"/>
    <x v="2"/>
    <x v="11"/>
    <x v="11"/>
    <s v=""/>
    <x v="0"/>
    <x v="0"/>
    <n v="1478"/>
    <x v="11"/>
    <s v=""/>
    <x v="4"/>
    <x v="1"/>
  </r>
  <r>
    <x v="0"/>
    <x v="0"/>
    <x v="13"/>
    <n v="0"/>
    <s v="Haber"/>
    <x v="1"/>
    <x v="1"/>
    <x v="1"/>
    <x v="1"/>
    <n v="0"/>
    <s v=""/>
    <n v="0"/>
    <x v="4"/>
    <x v="1"/>
    <x v="2"/>
    <x v="11"/>
    <x v="11"/>
    <s v=""/>
    <x v="0"/>
    <x v="0"/>
    <n v="486"/>
    <x v="11"/>
    <s v=""/>
    <x v="4"/>
    <x v="1"/>
  </r>
  <r>
    <x v="0"/>
    <x v="0"/>
    <x v="13"/>
    <n v="0"/>
    <s v="Haber"/>
    <x v="1"/>
    <x v="1"/>
    <x v="1"/>
    <x v="1"/>
    <n v="0"/>
    <s v=""/>
    <n v="0"/>
    <x v="4"/>
    <x v="1"/>
    <x v="2"/>
    <x v="11"/>
    <x v="11"/>
    <s v=""/>
    <x v="0"/>
    <x v="0"/>
    <n v="487"/>
    <x v="11"/>
    <s v=""/>
    <x v="4"/>
    <x v="1"/>
  </r>
  <r>
    <x v="0"/>
    <x v="0"/>
    <x v="13"/>
    <n v="0"/>
    <s v="Haber"/>
    <x v="1"/>
    <x v="1"/>
    <x v="1"/>
    <x v="1"/>
    <n v="0"/>
    <s v=""/>
    <n v="0"/>
    <x v="4"/>
    <x v="1"/>
    <x v="2"/>
    <x v="11"/>
    <x v="11"/>
    <s v=""/>
    <x v="0"/>
    <x v="0"/>
    <n v="1484"/>
    <x v="11"/>
    <s v=""/>
    <x v="4"/>
    <x v="1"/>
  </r>
  <r>
    <x v="0"/>
    <x v="0"/>
    <x v="13"/>
    <n v="0"/>
    <s v="Haber"/>
    <x v="1"/>
    <x v="1"/>
    <x v="1"/>
    <x v="1"/>
    <n v="0"/>
    <s v=""/>
    <n v="0"/>
    <x v="4"/>
    <x v="1"/>
    <x v="2"/>
    <x v="11"/>
    <x v="11"/>
    <s v=""/>
    <x v="0"/>
    <x v="0"/>
    <n v="1485"/>
    <x v="11"/>
    <s v=""/>
    <x v="4"/>
    <x v="1"/>
  </r>
  <r>
    <x v="0"/>
    <x v="0"/>
    <x v="13"/>
    <n v="0"/>
    <s v="Haber"/>
    <x v="1"/>
    <x v="1"/>
    <x v="1"/>
    <x v="1"/>
    <n v="0"/>
    <s v=""/>
    <n v="0"/>
    <x v="4"/>
    <x v="1"/>
    <x v="2"/>
    <x v="11"/>
    <x v="11"/>
    <s v=""/>
    <x v="0"/>
    <x v="0"/>
    <n v="493"/>
    <x v="11"/>
    <s v=""/>
    <x v="4"/>
    <x v="1"/>
  </r>
  <r>
    <x v="0"/>
    <x v="0"/>
    <x v="13"/>
    <n v="0"/>
    <s v="Haber"/>
    <x v="1"/>
    <x v="1"/>
    <x v="1"/>
    <x v="1"/>
    <n v="0"/>
    <s v=""/>
    <n v="0"/>
    <x v="4"/>
    <x v="1"/>
    <x v="2"/>
    <x v="11"/>
    <x v="11"/>
    <s v=""/>
    <x v="0"/>
    <x v="0"/>
    <n v="494"/>
    <x v="11"/>
    <s v=""/>
    <x v="4"/>
    <x v="1"/>
  </r>
  <r>
    <x v="0"/>
    <x v="0"/>
    <x v="13"/>
    <n v="0"/>
    <s v="Haber"/>
    <x v="1"/>
    <x v="1"/>
    <x v="1"/>
    <x v="1"/>
    <n v="0"/>
    <s v=""/>
    <n v="0"/>
    <x v="4"/>
    <x v="1"/>
    <x v="2"/>
    <x v="11"/>
    <x v="11"/>
    <s v=""/>
    <x v="0"/>
    <x v="0"/>
    <n v="1491"/>
    <x v="11"/>
    <s v=""/>
    <x v="4"/>
    <x v="1"/>
  </r>
  <r>
    <x v="0"/>
    <x v="0"/>
    <x v="13"/>
    <n v="0"/>
    <s v="Haber"/>
    <x v="1"/>
    <x v="1"/>
    <x v="1"/>
    <x v="1"/>
    <n v="0"/>
    <s v=""/>
    <n v="0"/>
    <x v="4"/>
    <x v="1"/>
    <x v="2"/>
    <x v="11"/>
    <x v="11"/>
    <s v=""/>
    <x v="0"/>
    <x v="0"/>
    <n v="1492"/>
    <x v="11"/>
    <s v=""/>
    <x v="4"/>
    <x v="1"/>
  </r>
  <r>
    <x v="0"/>
    <x v="0"/>
    <x v="13"/>
    <n v="0"/>
    <s v="Haber"/>
    <x v="1"/>
    <x v="1"/>
    <x v="1"/>
    <x v="1"/>
    <n v="0"/>
    <s v=""/>
    <n v="0"/>
    <x v="4"/>
    <x v="1"/>
    <x v="2"/>
    <x v="11"/>
    <x v="11"/>
    <s v=""/>
    <x v="0"/>
    <x v="0"/>
    <n v="500"/>
    <x v="11"/>
    <s v=""/>
    <x v="4"/>
    <x v="1"/>
  </r>
  <r>
    <x v="0"/>
    <x v="0"/>
    <x v="13"/>
    <n v="0"/>
    <s v="Haber"/>
    <x v="1"/>
    <x v="1"/>
    <x v="1"/>
    <x v="1"/>
    <n v="0"/>
    <s v=""/>
    <n v="0"/>
    <x v="4"/>
    <x v="1"/>
    <x v="2"/>
    <x v="11"/>
    <x v="11"/>
    <s v=""/>
    <x v="0"/>
    <x v="0"/>
    <n v="501"/>
    <x v="11"/>
    <s v=""/>
    <x v="4"/>
    <x v="1"/>
  </r>
  <r>
    <x v="0"/>
    <x v="0"/>
    <x v="13"/>
    <n v="0"/>
    <s v="Haber"/>
    <x v="1"/>
    <x v="1"/>
    <x v="1"/>
    <x v="1"/>
    <n v="0"/>
    <s v=""/>
    <n v="0"/>
    <x v="4"/>
    <x v="1"/>
    <x v="2"/>
    <x v="11"/>
    <x v="11"/>
    <s v=""/>
    <x v="0"/>
    <x v="0"/>
    <n v="502"/>
    <x v="11"/>
    <s v=""/>
    <x v="4"/>
    <x v="1"/>
  </r>
  <r>
    <x v="0"/>
    <x v="0"/>
    <x v="13"/>
    <n v="0"/>
    <s v="Haber"/>
    <x v="1"/>
    <x v="1"/>
    <x v="1"/>
    <x v="1"/>
    <n v="0"/>
    <s v=""/>
    <n v="0"/>
    <x v="4"/>
    <x v="1"/>
    <x v="2"/>
    <x v="11"/>
    <x v="11"/>
    <s v=""/>
    <x v="0"/>
    <x v="0"/>
    <n v="503"/>
    <x v="11"/>
    <s v=""/>
    <x v="4"/>
    <x v="1"/>
  </r>
  <r>
    <x v="0"/>
    <x v="0"/>
    <x v="13"/>
    <n v="0"/>
    <s v="Haber"/>
    <x v="1"/>
    <x v="1"/>
    <x v="1"/>
    <x v="1"/>
    <n v="0"/>
    <s v=""/>
    <n v="0"/>
    <x v="4"/>
    <x v="1"/>
    <x v="2"/>
    <x v="11"/>
    <x v="11"/>
    <s v=""/>
    <x v="0"/>
    <x v="0"/>
    <n v="504"/>
    <x v="11"/>
    <s v=""/>
    <x v="4"/>
    <x v="1"/>
  </r>
  <r>
    <x v="0"/>
    <x v="0"/>
    <x v="13"/>
    <n v="0"/>
    <s v="Haber"/>
    <x v="1"/>
    <x v="1"/>
    <x v="1"/>
    <x v="1"/>
    <n v="0"/>
    <s v=""/>
    <n v="0"/>
    <x v="4"/>
    <x v="1"/>
    <x v="2"/>
    <x v="11"/>
    <x v="11"/>
    <s v=""/>
    <x v="0"/>
    <x v="0"/>
    <n v="505"/>
    <x v="11"/>
    <s v=""/>
    <x v="4"/>
    <x v="1"/>
  </r>
  <r>
    <x v="0"/>
    <x v="0"/>
    <x v="13"/>
    <n v="0"/>
    <s v="Haber"/>
    <x v="1"/>
    <x v="1"/>
    <x v="1"/>
    <x v="1"/>
    <n v="0"/>
    <s v=""/>
    <n v="0"/>
    <x v="4"/>
    <x v="1"/>
    <x v="2"/>
    <x v="11"/>
    <x v="11"/>
    <s v=""/>
    <x v="0"/>
    <x v="0"/>
    <n v="506"/>
    <x v="11"/>
    <s v=""/>
    <x v="4"/>
    <x v="1"/>
  </r>
  <r>
    <x v="0"/>
    <x v="0"/>
    <x v="13"/>
    <n v="0"/>
    <s v="Haber"/>
    <x v="1"/>
    <x v="1"/>
    <x v="1"/>
    <x v="1"/>
    <n v="0"/>
    <s v=""/>
    <n v="0"/>
    <x v="4"/>
    <x v="1"/>
    <x v="2"/>
    <x v="11"/>
    <x v="11"/>
    <s v=""/>
    <x v="0"/>
    <x v="0"/>
    <n v="507"/>
    <x v="11"/>
    <s v=""/>
    <x v="4"/>
    <x v="1"/>
  </r>
  <r>
    <x v="0"/>
    <x v="0"/>
    <x v="13"/>
    <n v="0"/>
    <s v="Haber"/>
    <x v="1"/>
    <x v="1"/>
    <x v="1"/>
    <x v="1"/>
    <n v="0"/>
    <s v=""/>
    <n v="0"/>
    <x v="4"/>
    <x v="1"/>
    <x v="2"/>
    <x v="11"/>
    <x v="11"/>
    <s v=""/>
    <x v="0"/>
    <x v="0"/>
    <n v="508"/>
    <x v="11"/>
    <s v=""/>
    <x v="4"/>
    <x v="1"/>
  </r>
  <r>
    <x v="0"/>
    <x v="0"/>
    <x v="13"/>
    <n v="0"/>
    <s v="Haber"/>
    <x v="1"/>
    <x v="1"/>
    <x v="1"/>
    <x v="1"/>
    <n v="0"/>
    <s v=""/>
    <n v="0"/>
    <x v="4"/>
    <x v="1"/>
    <x v="2"/>
    <x v="11"/>
    <x v="11"/>
    <s v=""/>
    <x v="0"/>
    <x v="0"/>
    <n v="509"/>
    <x v="11"/>
    <s v=""/>
    <x v="4"/>
    <x v="1"/>
  </r>
  <r>
    <x v="0"/>
    <x v="0"/>
    <x v="13"/>
    <n v="0"/>
    <s v="Haber"/>
    <x v="1"/>
    <x v="1"/>
    <x v="1"/>
    <x v="1"/>
    <n v="0"/>
    <s v=""/>
    <n v="0"/>
    <x v="4"/>
    <x v="1"/>
    <x v="2"/>
    <x v="11"/>
    <x v="11"/>
    <s v=""/>
    <x v="0"/>
    <x v="0"/>
    <n v="510"/>
    <x v="11"/>
    <s v=""/>
    <x v="4"/>
    <x v="1"/>
  </r>
  <r>
    <x v="0"/>
    <x v="0"/>
    <x v="13"/>
    <n v="0"/>
    <s v="Haber"/>
    <x v="1"/>
    <x v="1"/>
    <x v="1"/>
    <x v="1"/>
    <n v="0"/>
    <s v=""/>
    <n v="0"/>
    <x v="4"/>
    <x v="1"/>
    <x v="2"/>
    <x v="11"/>
    <x v="11"/>
    <s v=""/>
    <x v="0"/>
    <x v="0"/>
    <n v="511"/>
    <x v="11"/>
    <s v=""/>
    <x v="4"/>
    <x v="1"/>
  </r>
  <r>
    <x v="0"/>
    <x v="0"/>
    <x v="13"/>
    <n v="0"/>
    <s v="Haber"/>
    <x v="1"/>
    <x v="1"/>
    <x v="1"/>
    <x v="1"/>
    <n v="0"/>
    <s v=""/>
    <n v="0"/>
    <x v="4"/>
    <x v="1"/>
    <x v="2"/>
    <x v="11"/>
    <x v="11"/>
    <s v=""/>
    <x v="0"/>
    <x v="0"/>
    <n v="512"/>
    <x v="11"/>
    <s v=""/>
    <x v="4"/>
    <x v="1"/>
  </r>
  <r>
    <x v="0"/>
    <x v="0"/>
    <x v="13"/>
    <n v="0"/>
    <s v="Haber"/>
    <x v="1"/>
    <x v="1"/>
    <x v="1"/>
    <x v="1"/>
    <n v="0"/>
    <s v=""/>
    <n v="0"/>
    <x v="4"/>
    <x v="1"/>
    <x v="2"/>
    <x v="11"/>
    <x v="11"/>
    <s v=""/>
    <x v="0"/>
    <x v="0"/>
    <n v="513"/>
    <x v="11"/>
    <s v=""/>
    <x v="4"/>
    <x v="1"/>
  </r>
  <r>
    <x v="0"/>
    <x v="0"/>
    <x v="13"/>
    <n v="0"/>
    <s v="Haber"/>
    <x v="1"/>
    <x v="1"/>
    <x v="1"/>
    <x v="1"/>
    <n v="0"/>
    <s v=""/>
    <n v="0"/>
    <x v="4"/>
    <x v="1"/>
    <x v="2"/>
    <x v="11"/>
    <x v="11"/>
    <s v=""/>
    <x v="0"/>
    <x v="0"/>
    <n v="514"/>
    <x v="11"/>
    <s v=""/>
    <x v="4"/>
    <x v="1"/>
  </r>
  <r>
    <x v="0"/>
    <x v="0"/>
    <x v="13"/>
    <n v="0"/>
    <s v="Haber"/>
    <x v="1"/>
    <x v="1"/>
    <x v="1"/>
    <x v="1"/>
    <n v="0"/>
    <s v=""/>
    <n v="0"/>
    <x v="4"/>
    <x v="1"/>
    <x v="2"/>
    <x v="11"/>
    <x v="11"/>
    <s v=""/>
    <x v="0"/>
    <x v="0"/>
    <n v="515"/>
    <x v="11"/>
    <s v=""/>
    <x v="4"/>
    <x v="1"/>
  </r>
  <r>
    <x v="0"/>
    <x v="0"/>
    <x v="13"/>
    <n v="0"/>
    <s v="Haber"/>
    <x v="1"/>
    <x v="1"/>
    <x v="1"/>
    <x v="1"/>
    <n v="0"/>
    <s v=""/>
    <n v="0"/>
    <x v="4"/>
    <x v="1"/>
    <x v="2"/>
    <x v="11"/>
    <x v="11"/>
    <s v=""/>
    <x v="0"/>
    <x v="0"/>
    <n v="1498"/>
    <x v="11"/>
    <s v=""/>
    <x v="4"/>
    <x v="1"/>
  </r>
  <r>
    <x v="0"/>
    <x v="0"/>
    <x v="13"/>
    <n v="0"/>
    <s v="Haber"/>
    <x v="1"/>
    <x v="1"/>
    <x v="1"/>
    <x v="1"/>
    <n v="0"/>
    <s v=""/>
    <n v="0"/>
    <x v="4"/>
    <x v="1"/>
    <x v="2"/>
    <x v="11"/>
    <x v="11"/>
    <s v=""/>
    <x v="0"/>
    <x v="0"/>
    <n v="1499"/>
    <x v="11"/>
    <s v=""/>
    <x v="4"/>
    <x v="1"/>
  </r>
  <r>
    <x v="0"/>
    <x v="0"/>
    <x v="13"/>
    <n v="0"/>
    <s v="Haber"/>
    <x v="1"/>
    <x v="1"/>
    <x v="1"/>
    <x v="1"/>
    <n v="0"/>
    <s v=""/>
    <n v="0"/>
    <x v="4"/>
    <x v="1"/>
    <x v="2"/>
    <x v="11"/>
    <x v="11"/>
    <s v=""/>
    <x v="0"/>
    <x v="0"/>
    <n v="1500"/>
    <x v="11"/>
    <s v=""/>
    <x v="4"/>
    <x v="1"/>
  </r>
  <r>
    <x v="0"/>
    <x v="0"/>
    <x v="13"/>
    <n v="0"/>
    <s v="Haber"/>
    <x v="1"/>
    <x v="1"/>
    <x v="1"/>
    <x v="1"/>
    <n v="0"/>
    <s v=""/>
    <n v="0"/>
    <x v="4"/>
    <x v="1"/>
    <x v="2"/>
    <x v="11"/>
    <x v="11"/>
    <s v=""/>
    <x v="0"/>
    <x v="0"/>
    <n v="1501"/>
    <x v="11"/>
    <s v=""/>
    <x v="4"/>
    <x v="1"/>
  </r>
  <r>
    <x v="0"/>
    <x v="0"/>
    <x v="13"/>
    <n v="0"/>
    <s v="Haber"/>
    <x v="1"/>
    <x v="1"/>
    <x v="1"/>
    <x v="1"/>
    <n v="0"/>
    <s v=""/>
    <n v="0"/>
    <x v="4"/>
    <x v="1"/>
    <x v="2"/>
    <x v="11"/>
    <x v="11"/>
    <s v=""/>
    <x v="0"/>
    <x v="0"/>
    <n v="1502"/>
    <x v="11"/>
    <s v=""/>
    <x v="4"/>
    <x v="1"/>
  </r>
  <r>
    <x v="0"/>
    <x v="0"/>
    <x v="13"/>
    <n v="0"/>
    <s v="Haber"/>
    <x v="1"/>
    <x v="1"/>
    <x v="1"/>
    <x v="1"/>
    <n v="0"/>
    <s v=""/>
    <n v="0"/>
    <x v="4"/>
    <x v="1"/>
    <x v="2"/>
    <x v="11"/>
    <x v="11"/>
    <s v=""/>
    <x v="0"/>
    <x v="0"/>
    <n v="1503"/>
    <x v="11"/>
    <s v=""/>
    <x v="4"/>
    <x v="1"/>
  </r>
  <r>
    <x v="0"/>
    <x v="0"/>
    <x v="13"/>
    <n v="0"/>
    <s v="Haber"/>
    <x v="1"/>
    <x v="1"/>
    <x v="1"/>
    <x v="1"/>
    <n v="0"/>
    <s v=""/>
    <n v="0"/>
    <x v="4"/>
    <x v="1"/>
    <x v="2"/>
    <x v="11"/>
    <x v="11"/>
    <s v=""/>
    <x v="0"/>
    <x v="0"/>
    <n v="1504"/>
    <x v="11"/>
    <s v=""/>
    <x v="4"/>
    <x v="1"/>
  </r>
  <r>
    <x v="0"/>
    <x v="0"/>
    <x v="13"/>
    <n v="0"/>
    <s v="Haber"/>
    <x v="1"/>
    <x v="1"/>
    <x v="1"/>
    <x v="1"/>
    <n v="0"/>
    <s v=""/>
    <n v="0"/>
    <x v="4"/>
    <x v="1"/>
    <x v="2"/>
    <x v="11"/>
    <x v="11"/>
    <s v=""/>
    <x v="0"/>
    <x v="0"/>
    <n v="1505"/>
    <x v="11"/>
    <s v=""/>
    <x v="4"/>
    <x v="1"/>
  </r>
  <r>
    <x v="0"/>
    <x v="0"/>
    <x v="13"/>
    <n v="0"/>
    <s v="Haber"/>
    <x v="1"/>
    <x v="1"/>
    <x v="1"/>
    <x v="1"/>
    <n v="0"/>
    <s v=""/>
    <n v="0"/>
    <x v="4"/>
    <x v="1"/>
    <x v="2"/>
    <x v="11"/>
    <x v="11"/>
    <s v=""/>
    <x v="0"/>
    <x v="0"/>
    <n v="1506"/>
    <x v="11"/>
    <s v=""/>
    <x v="4"/>
    <x v="1"/>
  </r>
  <r>
    <x v="0"/>
    <x v="0"/>
    <x v="13"/>
    <n v="0"/>
    <s v="Haber"/>
    <x v="1"/>
    <x v="1"/>
    <x v="1"/>
    <x v="1"/>
    <n v="0"/>
    <s v=""/>
    <n v="0"/>
    <x v="4"/>
    <x v="1"/>
    <x v="2"/>
    <x v="11"/>
    <x v="11"/>
    <s v=""/>
    <x v="0"/>
    <x v="0"/>
    <n v="1507"/>
    <x v="11"/>
    <s v=""/>
    <x v="4"/>
    <x v="1"/>
  </r>
  <r>
    <x v="0"/>
    <x v="0"/>
    <x v="13"/>
    <n v="0"/>
    <s v="Haber"/>
    <x v="1"/>
    <x v="1"/>
    <x v="1"/>
    <x v="1"/>
    <n v="0"/>
    <s v=""/>
    <n v="0"/>
    <x v="4"/>
    <x v="1"/>
    <x v="2"/>
    <x v="11"/>
    <x v="11"/>
    <s v=""/>
    <x v="0"/>
    <x v="0"/>
    <n v="1508"/>
    <x v="11"/>
    <s v=""/>
    <x v="4"/>
    <x v="1"/>
  </r>
  <r>
    <x v="0"/>
    <x v="0"/>
    <x v="13"/>
    <n v="0"/>
    <s v="Haber"/>
    <x v="1"/>
    <x v="1"/>
    <x v="1"/>
    <x v="1"/>
    <n v="0"/>
    <s v=""/>
    <n v="0"/>
    <x v="4"/>
    <x v="1"/>
    <x v="2"/>
    <x v="11"/>
    <x v="11"/>
    <s v=""/>
    <x v="0"/>
    <x v="0"/>
    <n v="1509"/>
    <x v="11"/>
    <s v=""/>
    <x v="4"/>
    <x v="1"/>
  </r>
  <r>
    <x v="0"/>
    <x v="0"/>
    <x v="13"/>
    <n v="0"/>
    <s v="Haber"/>
    <x v="1"/>
    <x v="1"/>
    <x v="1"/>
    <x v="1"/>
    <n v="0"/>
    <s v=""/>
    <n v="0"/>
    <x v="4"/>
    <x v="1"/>
    <x v="2"/>
    <x v="11"/>
    <x v="11"/>
    <s v=""/>
    <x v="0"/>
    <x v="0"/>
    <n v="1510"/>
    <x v="11"/>
    <s v=""/>
    <x v="4"/>
    <x v="1"/>
  </r>
  <r>
    <x v="0"/>
    <x v="0"/>
    <x v="13"/>
    <n v="0"/>
    <s v="Haber"/>
    <x v="1"/>
    <x v="1"/>
    <x v="1"/>
    <x v="1"/>
    <n v="0"/>
    <s v=""/>
    <n v="0"/>
    <x v="4"/>
    <x v="1"/>
    <x v="2"/>
    <x v="11"/>
    <x v="11"/>
    <s v=""/>
    <x v="0"/>
    <x v="0"/>
    <n v="1511"/>
    <x v="11"/>
    <s v=""/>
    <x v="4"/>
    <x v="1"/>
  </r>
  <r>
    <x v="0"/>
    <x v="0"/>
    <x v="13"/>
    <n v="0"/>
    <s v="Haber"/>
    <x v="1"/>
    <x v="1"/>
    <x v="1"/>
    <x v="1"/>
    <n v="0"/>
    <s v=""/>
    <n v="0"/>
    <x v="4"/>
    <x v="1"/>
    <x v="2"/>
    <x v="11"/>
    <x v="11"/>
    <s v=""/>
    <x v="0"/>
    <x v="0"/>
    <n v="1512"/>
    <x v="11"/>
    <s v=""/>
    <x v="4"/>
    <x v="1"/>
  </r>
  <r>
    <x v="0"/>
    <x v="0"/>
    <x v="13"/>
    <n v="0"/>
    <s v="Haber"/>
    <x v="1"/>
    <x v="1"/>
    <x v="1"/>
    <x v="1"/>
    <n v="0"/>
    <s v=""/>
    <n v="0"/>
    <x v="4"/>
    <x v="1"/>
    <x v="2"/>
    <x v="11"/>
    <x v="11"/>
    <s v=""/>
    <x v="0"/>
    <x v="0"/>
    <n v="1513"/>
    <x v="11"/>
    <s v=""/>
    <x v="4"/>
    <x v="1"/>
  </r>
  <r>
    <x v="0"/>
    <x v="0"/>
    <x v="13"/>
    <n v="0"/>
    <s v="Haber"/>
    <x v="1"/>
    <x v="1"/>
    <x v="1"/>
    <x v="1"/>
    <n v="0"/>
    <s v=""/>
    <n v="0"/>
    <x v="4"/>
    <x v="1"/>
    <x v="2"/>
    <x v="11"/>
    <x v="11"/>
    <s v=""/>
    <x v="0"/>
    <x v="0"/>
    <n v="521"/>
    <x v="11"/>
    <s v=""/>
    <x v="4"/>
    <x v="1"/>
  </r>
  <r>
    <x v="0"/>
    <x v="0"/>
    <x v="13"/>
    <n v="0"/>
    <s v="Haber"/>
    <x v="1"/>
    <x v="1"/>
    <x v="1"/>
    <x v="1"/>
    <n v="0"/>
    <s v=""/>
    <n v="0"/>
    <x v="4"/>
    <x v="1"/>
    <x v="2"/>
    <x v="11"/>
    <x v="11"/>
    <s v=""/>
    <x v="0"/>
    <x v="0"/>
    <n v="522"/>
    <x v="11"/>
    <s v=""/>
    <x v="4"/>
    <x v="1"/>
  </r>
  <r>
    <x v="0"/>
    <x v="0"/>
    <x v="13"/>
    <n v="0"/>
    <s v="Haber"/>
    <x v="1"/>
    <x v="1"/>
    <x v="1"/>
    <x v="1"/>
    <n v="0"/>
    <s v=""/>
    <n v="0"/>
    <x v="4"/>
    <x v="1"/>
    <x v="2"/>
    <x v="11"/>
    <x v="11"/>
    <s v=""/>
    <x v="0"/>
    <x v="0"/>
    <n v="523"/>
    <x v="11"/>
    <s v=""/>
    <x v="4"/>
    <x v="1"/>
  </r>
  <r>
    <x v="0"/>
    <x v="0"/>
    <x v="13"/>
    <n v="0"/>
    <s v="Haber"/>
    <x v="1"/>
    <x v="1"/>
    <x v="1"/>
    <x v="1"/>
    <n v="0"/>
    <s v=""/>
    <n v="0"/>
    <x v="4"/>
    <x v="1"/>
    <x v="2"/>
    <x v="11"/>
    <x v="11"/>
    <s v=""/>
    <x v="0"/>
    <x v="0"/>
    <n v="524"/>
    <x v="11"/>
    <s v=""/>
    <x v="4"/>
    <x v="1"/>
  </r>
  <r>
    <x v="0"/>
    <x v="0"/>
    <x v="13"/>
    <n v="0"/>
    <s v="Haber"/>
    <x v="1"/>
    <x v="1"/>
    <x v="1"/>
    <x v="1"/>
    <n v="0"/>
    <s v=""/>
    <n v="0"/>
    <x v="4"/>
    <x v="1"/>
    <x v="2"/>
    <x v="11"/>
    <x v="11"/>
    <s v=""/>
    <x v="0"/>
    <x v="0"/>
    <n v="525"/>
    <x v="11"/>
    <s v=""/>
    <x v="4"/>
    <x v="1"/>
  </r>
  <r>
    <x v="0"/>
    <x v="0"/>
    <x v="13"/>
    <n v="0"/>
    <s v="Haber"/>
    <x v="1"/>
    <x v="1"/>
    <x v="1"/>
    <x v="1"/>
    <n v="0"/>
    <s v=""/>
    <n v="0"/>
    <x v="4"/>
    <x v="1"/>
    <x v="2"/>
    <x v="11"/>
    <x v="11"/>
    <s v=""/>
    <x v="0"/>
    <x v="0"/>
    <n v="526"/>
    <x v="11"/>
    <s v=""/>
    <x v="4"/>
    <x v="1"/>
  </r>
  <r>
    <x v="0"/>
    <x v="0"/>
    <x v="13"/>
    <n v="0"/>
    <s v="Haber"/>
    <x v="1"/>
    <x v="1"/>
    <x v="1"/>
    <x v="1"/>
    <n v="0"/>
    <s v=""/>
    <n v="0"/>
    <x v="4"/>
    <x v="1"/>
    <x v="2"/>
    <x v="11"/>
    <x v="11"/>
    <s v=""/>
    <x v="0"/>
    <x v="0"/>
    <n v="527"/>
    <x v="11"/>
    <s v=""/>
    <x v="4"/>
    <x v="1"/>
  </r>
  <r>
    <x v="0"/>
    <x v="0"/>
    <x v="13"/>
    <n v="0"/>
    <s v="Haber"/>
    <x v="1"/>
    <x v="1"/>
    <x v="1"/>
    <x v="1"/>
    <n v="0"/>
    <s v=""/>
    <n v="0"/>
    <x v="4"/>
    <x v="1"/>
    <x v="2"/>
    <x v="11"/>
    <x v="11"/>
    <s v=""/>
    <x v="0"/>
    <x v="0"/>
    <n v="528"/>
    <x v="11"/>
    <s v=""/>
    <x v="4"/>
    <x v="1"/>
  </r>
  <r>
    <x v="0"/>
    <x v="0"/>
    <x v="13"/>
    <n v="0"/>
    <s v="Haber"/>
    <x v="1"/>
    <x v="1"/>
    <x v="1"/>
    <x v="1"/>
    <n v="0"/>
    <s v=""/>
    <n v="0"/>
    <x v="4"/>
    <x v="1"/>
    <x v="2"/>
    <x v="11"/>
    <x v="11"/>
    <s v=""/>
    <x v="0"/>
    <x v="0"/>
    <n v="529"/>
    <x v="11"/>
    <s v=""/>
    <x v="4"/>
    <x v="1"/>
  </r>
  <r>
    <x v="0"/>
    <x v="0"/>
    <x v="13"/>
    <n v="0"/>
    <s v="Haber"/>
    <x v="1"/>
    <x v="1"/>
    <x v="1"/>
    <x v="1"/>
    <n v="0"/>
    <s v=""/>
    <n v="0"/>
    <x v="4"/>
    <x v="1"/>
    <x v="2"/>
    <x v="11"/>
    <x v="11"/>
    <s v=""/>
    <x v="0"/>
    <x v="0"/>
    <n v="530"/>
    <x v="11"/>
    <s v=""/>
    <x v="4"/>
    <x v="1"/>
  </r>
  <r>
    <x v="0"/>
    <x v="0"/>
    <x v="13"/>
    <n v="0"/>
    <s v="Haber"/>
    <x v="1"/>
    <x v="1"/>
    <x v="1"/>
    <x v="1"/>
    <n v="0"/>
    <s v=""/>
    <n v="0"/>
    <x v="4"/>
    <x v="1"/>
    <x v="2"/>
    <x v="11"/>
    <x v="11"/>
    <s v=""/>
    <x v="0"/>
    <x v="0"/>
    <n v="531"/>
    <x v="11"/>
    <s v=""/>
    <x v="4"/>
    <x v="1"/>
  </r>
  <r>
    <x v="0"/>
    <x v="0"/>
    <x v="13"/>
    <n v="0"/>
    <s v="Haber"/>
    <x v="1"/>
    <x v="1"/>
    <x v="1"/>
    <x v="1"/>
    <n v="0"/>
    <s v=""/>
    <n v="0"/>
    <x v="4"/>
    <x v="1"/>
    <x v="2"/>
    <x v="11"/>
    <x v="11"/>
    <s v=""/>
    <x v="0"/>
    <x v="0"/>
    <n v="532"/>
    <x v="11"/>
    <s v=""/>
    <x v="4"/>
    <x v="1"/>
  </r>
  <r>
    <x v="0"/>
    <x v="0"/>
    <x v="13"/>
    <n v="0"/>
    <s v="Haber"/>
    <x v="1"/>
    <x v="1"/>
    <x v="1"/>
    <x v="1"/>
    <n v="0"/>
    <s v=""/>
    <n v="0"/>
    <x v="4"/>
    <x v="1"/>
    <x v="2"/>
    <x v="11"/>
    <x v="11"/>
    <s v=""/>
    <x v="0"/>
    <x v="0"/>
    <n v="1519"/>
    <x v="11"/>
    <s v=""/>
    <x v="4"/>
    <x v="1"/>
  </r>
  <r>
    <x v="0"/>
    <x v="0"/>
    <x v="13"/>
    <n v="0"/>
    <s v="Haber"/>
    <x v="1"/>
    <x v="1"/>
    <x v="1"/>
    <x v="1"/>
    <n v="0"/>
    <s v=""/>
    <n v="0"/>
    <x v="4"/>
    <x v="1"/>
    <x v="2"/>
    <x v="11"/>
    <x v="11"/>
    <s v=""/>
    <x v="0"/>
    <x v="0"/>
    <n v="1520"/>
    <x v="11"/>
    <s v=""/>
    <x v="4"/>
    <x v="1"/>
  </r>
  <r>
    <x v="0"/>
    <x v="0"/>
    <x v="13"/>
    <n v="0"/>
    <s v="Haber"/>
    <x v="1"/>
    <x v="1"/>
    <x v="1"/>
    <x v="1"/>
    <n v="0"/>
    <s v=""/>
    <n v="0"/>
    <x v="4"/>
    <x v="1"/>
    <x v="2"/>
    <x v="11"/>
    <x v="11"/>
    <s v=""/>
    <x v="0"/>
    <x v="0"/>
    <n v="1521"/>
    <x v="11"/>
    <s v=""/>
    <x v="4"/>
    <x v="1"/>
  </r>
  <r>
    <x v="0"/>
    <x v="0"/>
    <x v="13"/>
    <n v="0"/>
    <s v="Haber"/>
    <x v="1"/>
    <x v="1"/>
    <x v="1"/>
    <x v="1"/>
    <n v="0"/>
    <s v=""/>
    <n v="0"/>
    <x v="4"/>
    <x v="1"/>
    <x v="2"/>
    <x v="11"/>
    <x v="11"/>
    <s v=""/>
    <x v="0"/>
    <x v="0"/>
    <n v="1522"/>
    <x v="11"/>
    <s v=""/>
    <x v="4"/>
    <x v="1"/>
  </r>
  <r>
    <x v="0"/>
    <x v="0"/>
    <x v="13"/>
    <n v="0"/>
    <s v="Haber"/>
    <x v="1"/>
    <x v="1"/>
    <x v="1"/>
    <x v="1"/>
    <n v="0"/>
    <s v=""/>
    <n v="0"/>
    <x v="4"/>
    <x v="1"/>
    <x v="2"/>
    <x v="11"/>
    <x v="11"/>
    <s v=""/>
    <x v="0"/>
    <x v="0"/>
    <n v="1523"/>
    <x v="11"/>
    <s v=""/>
    <x v="4"/>
    <x v="1"/>
  </r>
  <r>
    <x v="0"/>
    <x v="0"/>
    <x v="13"/>
    <n v="0"/>
    <s v="Haber"/>
    <x v="1"/>
    <x v="1"/>
    <x v="1"/>
    <x v="1"/>
    <n v="0"/>
    <s v=""/>
    <n v="0"/>
    <x v="4"/>
    <x v="1"/>
    <x v="2"/>
    <x v="11"/>
    <x v="11"/>
    <s v=""/>
    <x v="0"/>
    <x v="0"/>
    <n v="1524"/>
    <x v="11"/>
    <s v=""/>
    <x v="4"/>
    <x v="1"/>
  </r>
  <r>
    <x v="0"/>
    <x v="0"/>
    <x v="13"/>
    <n v="0"/>
    <s v="Haber"/>
    <x v="1"/>
    <x v="1"/>
    <x v="1"/>
    <x v="1"/>
    <n v="0"/>
    <s v=""/>
    <n v="0"/>
    <x v="4"/>
    <x v="1"/>
    <x v="2"/>
    <x v="11"/>
    <x v="11"/>
    <s v=""/>
    <x v="0"/>
    <x v="0"/>
    <n v="1525"/>
    <x v="11"/>
    <s v=""/>
    <x v="4"/>
    <x v="1"/>
  </r>
  <r>
    <x v="0"/>
    <x v="0"/>
    <x v="13"/>
    <n v="0"/>
    <s v="Haber"/>
    <x v="1"/>
    <x v="1"/>
    <x v="1"/>
    <x v="1"/>
    <n v="0"/>
    <s v=""/>
    <n v="0"/>
    <x v="4"/>
    <x v="1"/>
    <x v="2"/>
    <x v="11"/>
    <x v="11"/>
    <s v=""/>
    <x v="0"/>
    <x v="0"/>
    <n v="1526"/>
    <x v="11"/>
    <s v=""/>
    <x v="4"/>
    <x v="1"/>
  </r>
  <r>
    <x v="0"/>
    <x v="0"/>
    <x v="13"/>
    <n v="0"/>
    <s v="Haber"/>
    <x v="1"/>
    <x v="1"/>
    <x v="1"/>
    <x v="1"/>
    <n v="0"/>
    <s v=""/>
    <n v="0"/>
    <x v="4"/>
    <x v="1"/>
    <x v="2"/>
    <x v="11"/>
    <x v="11"/>
    <s v=""/>
    <x v="0"/>
    <x v="0"/>
    <n v="1527"/>
    <x v="11"/>
    <s v=""/>
    <x v="4"/>
    <x v="1"/>
  </r>
  <r>
    <x v="0"/>
    <x v="0"/>
    <x v="13"/>
    <n v="0"/>
    <s v="Haber"/>
    <x v="1"/>
    <x v="1"/>
    <x v="1"/>
    <x v="1"/>
    <n v="0"/>
    <s v=""/>
    <n v="0"/>
    <x v="4"/>
    <x v="1"/>
    <x v="2"/>
    <x v="11"/>
    <x v="11"/>
    <s v=""/>
    <x v="0"/>
    <x v="0"/>
    <n v="1528"/>
    <x v="11"/>
    <s v=""/>
    <x v="4"/>
    <x v="1"/>
  </r>
  <r>
    <x v="0"/>
    <x v="0"/>
    <x v="13"/>
    <n v="0"/>
    <s v="Haber"/>
    <x v="1"/>
    <x v="1"/>
    <x v="1"/>
    <x v="1"/>
    <n v="0"/>
    <s v=""/>
    <n v="0"/>
    <x v="4"/>
    <x v="1"/>
    <x v="2"/>
    <x v="11"/>
    <x v="11"/>
    <s v=""/>
    <x v="0"/>
    <x v="0"/>
    <n v="1529"/>
    <x v="11"/>
    <s v=""/>
    <x v="4"/>
    <x v="1"/>
  </r>
  <r>
    <x v="0"/>
    <x v="0"/>
    <x v="13"/>
    <n v="0"/>
    <s v="Haber"/>
    <x v="1"/>
    <x v="1"/>
    <x v="1"/>
    <x v="1"/>
    <n v="0"/>
    <s v=""/>
    <n v="0"/>
    <x v="4"/>
    <x v="1"/>
    <x v="2"/>
    <x v="11"/>
    <x v="11"/>
    <s v=""/>
    <x v="0"/>
    <x v="0"/>
    <n v="1530"/>
    <x v="11"/>
    <s v=""/>
    <x v="4"/>
    <x v="1"/>
  </r>
  <r>
    <x v="0"/>
    <x v="0"/>
    <x v="13"/>
    <n v="0"/>
    <s v="Haber"/>
    <x v="1"/>
    <x v="1"/>
    <x v="1"/>
    <x v="1"/>
    <n v="0"/>
    <s v=""/>
    <n v="0"/>
    <x v="4"/>
    <x v="1"/>
    <x v="2"/>
    <x v="11"/>
    <x v="11"/>
    <s v=""/>
    <x v="0"/>
    <x v="0"/>
    <n v="538"/>
    <x v="11"/>
    <s v=""/>
    <x v="4"/>
    <x v="1"/>
  </r>
  <r>
    <x v="0"/>
    <x v="0"/>
    <x v="13"/>
    <n v="0"/>
    <s v="Haber"/>
    <x v="1"/>
    <x v="1"/>
    <x v="1"/>
    <x v="1"/>
    <n v="0"/>
    <s v=""/>
    <n v="0"/>
    <x v="4"/>
    <x v="1"/>
    <x v="2"/>
    <x v="11"/>
    <x v="11"/>
    <s v=""/>
    <x v="0"/>
    <x v="0"/>
    <n v="539"/>
    <x v="11"/>
    <s v=""/>
    <x v="4"/>
    <x v="1"/>
  </r>
  <r>
    <x v="0"/>
    <x v="0"/>
    <x v="13"/>
    <n v="0"/>
    <s v="Haber"/>
    <x v="1"/>
    <x v="1"/>
    <x v="1"/>
    <x v="1"/>
    <n v="0"/>
    <s v=""/>
    <n v="0"/>
    <x v="4"/>
    <x v="1"/>
    <x v="2"/>
    <x v="11"/>
    <x v="11"/>
    <s v=""/>
    <x v="0"/>
    <x v="0"/>
    <n v="1536"/>
    <x v="11"/>
    <s v=""/>
    <x v="4"/>
    <x v="1"/>
  </r>
  <r>
    <x v="0"/>
    <x v="0"/>
    <x v="13"/>
    <n v="0"/>
    <s v="Haber"/>
    <x v="1"/>
    <x v="1"/>
    <x v="1"/>
    <x v="1"/>
    <n v="0"/>
    <s v=""/>
    <n v="0"/>
    <x v="4"/>
    <x v="1"/>
    <x v="2"/>
    <x v="11"/>
    <x v="11"/>
    <s v=""/>
    <x v="0"/>
    <x v="0"/>
    <n v="1537"/>
    <x v="11"/>
    <s v=""/>
    <x v="4"/>
    <x v="1"/>
  </r>
  <r>
    <x v="0"/>
    <x v="0"/>
    <x v="13"/>
    <n v="0"/>
    <s v="Haber"/>
    <x v="1"/>
    <x v="1"/>
    <x v="1"/>
    <x v="1"/>
    <n v="0"/>
    <s v=""/>
    <n v="0"/>
    <x v="4"/>
    <x v="1"/>
    <x v="2"/>
    <x v="11"/>
    <x v="11"/>
    <s v=""/>
    <x v="0"/>
    <x v="0"/>
    <n v="545"/>
    <x v="11"/>
    <s v=""/>
    <x v="4"/>
    <x v="1"/>
  </r>
  <r>
    <x v="0"/>
    <x v="0"/>
    <x v="13"/>
    <n v="0"/>
    <s v="Haber"/>
    <x v="1"/>
    <x v="1"/>
    <x v="1"/>
    <x v="1"/>
    <n v="0"/>
    <s v=""/>
    <n v="0"/>
    <x v="4"/>
    <x v="1"/>
    <x v="2"/>
    <x v="11"/>
    <x v="11"/>
    <s v=""/>
    <x v="0"/>
    <x v="0"/>
    <n v="546"/>
    <x v="11"/>
    <s v=""/>
    <x v="4"/>
    <x v="1"/>
  </r>
  <r>
    <x v="0"/>
    <x v="0"/>
    <x v="13"/>
    <n v="0"/>
    <s v="Haber"/>
    <x v="1"/>
    <x v="1"/>
    <x v="1"/>
    <x v="1"/>
    <n v="0"/>
    <s v=""/>
    <n v="0"/>
    <x v="4"/>
    <x v="1"/>
    <x v="2"/>
    <x v="11"/>
    <x v="11"/>
    <s v=""/>
    <x v="0"/>
    <x v="0"/>
    <n v="1543"/>
    <x v="11"/>
    <s v=""/>
    <x v="4"/>
    <x v="1"/>
  </r>
  <r>
    <x v="0"/>
    <x v="0"/>
    <x v="13"/>
    <n v="0"/>
    <s v="Haber"/>
    <x v="1"/>
    <x v="1"/>
    <x v="1"/>
    <x v="1"/>
    <n v="0"/>
    <s v=""/>
    <n v="0"/>
    <x v="4"/>
    <x v="1"/>
    <x v="2"/>
    <x v="11"/>
    <x v="11"/>
    <s v=""/>
    <x v="0"/>
    <x v="0"/>
    <n v="1544"/>
    <x v="11"/>
    <s v=""/>
    <x v="4"/>
    <x v="1"/>
  </r>
  <r>
    <x v="0"/>
    <x v="0"/>
    <x v="13"/>
    <n v="0"/>
    <s v="Haber"/>
    <x v="1"/>
    <x v="1"/>
    <x v="1"/>
    <x v="1"/>
    <n v="0"/>
    <s v=""/>
    <n v="0"/>
    <x v="4"/>
    <x v="1"/>
    <x v="2"/>
    <x v="11"/>
    <x v="11"/>
    <s v=""/>
    <x v="0"/>
    <x v="0"/>
    <n v="552"/>
    <x v="11"/>
    <s v=""/>
    <x v="4"/>
    <x v="1"/>
  </r>
  <r>
    <x v="0"/>
    <x v="0"/>
    <x v="13"/>
    <n v="0"/>
    <s v="Haber"/>
    <x v="1"/>
    <x v="1"/>
    <x v="1"/>
    <x v="1"/>
    <n v="0"/>
    <s v=""/>
    <n v="0"/>
    <x v="4"/>
    <x v="1"/>
    <x v="2"/>
    <x v="11"/>
    <x v="11"/>
    <s v=""/>
    <x v="0"/>
    <x v="0"/>
    <n v="553"/>
    <x v="11"/>
    <s v=""/>
    <x v="4"/>
    <x v="1"/>
  </r>
  <r>
    <x v="0"/>
    <x v="0"/>
    <x v="13"/>
    <n v="0"/>
    <s v="Haber"/>
    <x v="1"/>
    <x v="1"/>
    <x v="1"/>
    <x v="1"/>
    <n v="0"/>
    <s v=""/>
    <n v="0"/>
    <x v="4"/>
    <x v="1"/>
    <x v="2"/>
    <x v="11"/>
    <x v="11"/>
    <s v=""/>
    <x v="0"/>
    <x v="0"/>
    <n v="554"/>
    <x v="11"/>
    <s v=""/>
    <x v="4"/>
    <x v="1"/>
  </r>
  <r>
    <x v="0"/>
    <x v="0"/>
    <x v="13"/>
    <n v="0"/>
    <s v="Haber"/>
    <x v="1"/>
    <x v="1"/>
    <x v="1"/>
    <x v="1"/>
    <n v="0"/>
    <s v=""/>
    <n v="0"/>
    <x v="4"/>
    <x v="1"/>
    <x v="2"/>
    <x v="11"/>
    <x v="11"/>
    <s v=""/>
    <x v="0"/>
    <x v="0"/>
    <n v="555"/>
    <x v="11"/>
    <s v=""/>
    <x v="4"/>
    <x v="1"/>
  </r>
  <r>
    <x v="0"/>
    <x v="0"/>
    <x v="13"/>
    <n v="0"/>
    <s v="Haber"/>
    <x v="1"/>
    <x v="1"/>
    <x v="1"/>
    <x v="1"/>
    <n v="0"/>
    <s v=""/>
    <n v="0"/>
    <x v="4"/>
    <x v="1"/>
    <x v="2"/>
    <x v="11"/>
    <x v="11"/>
    <s v=""/>
    <x v="0"/>
    <x v="0"/>
    <n v="556"/>
    <x v="11"/>
    <s v=""/>
    <x v="4"/>
    <x v="1"/>
  </r>
  <r>
    <x v="0"/>
    <x v="0"/>
    <x v="13"/>
    <n v="0"/>
    <s v="Haber"/>
    <x v="1"/>
    <x v="1"/>
    <x v="1"/>
    <x v="1"/>
    <n v="0"/>
    <s v=""/>
    <n v="0"/>
    <x v="4"/>
    <x v="1"/>
    <x v="2"/>
    <x v="11"/>
    <x v="11"/>
    <s v=""/>
    <x v="0"/>
    <x v="0"/>
    <n v="557"/>
    <x v="11"/>
    <s v=""/>
    <x v="4"/>
    <x v="1"/>
  </r>
  <r>
    <x v="0"/>
    <x v="0"/>
    <x v="13"/>
    <n v="0"/>
    <s v="Haber"/>
    <x v="1"/>
    <x v="1"/>
    <x v="1"/>
    <x v="1"/>
    <n v="0"/>
    <s v=""/>
    <n v="0"/>
    <x v="4"/>
    <x v="1"/>
    <x v="2"/>
    <x v="11"/>
    <x v="11"/>
    <s v=""/>
    <x v="0"/>
    <x v="0"/>
    <n v="558"/>
    <x v="11"/>
    <s v=""/>
    <x v="4"/>
    <x v="1"/>
  </r>
  <r>
    <x v="0"/>
    <x v="0"/>
    <x v="13"/>
    <n v="0"/>
    <s v="Haber"/>
    <x v="1"/>
    <x v="1"/>
    <x v="1"/>
    <x v="1"/>
    <n v="0"/>
    <s v=""/>
    <n v="0"/>
    <x v="4"/>
    <x v="1"/>
    <x v="2"/>
    <x v="11"/>
    <x v="11"/>
    <s v=""/>
    <x v="0"/>
    <x v="0"/>
    <n v="559"/>
    <x v="11"/>
    <s v=""/>
    <x v="4"/>
    <x v="1"/>
  </r>
  <r>
    <x v="0"/>
    <x v="0"/>
    <x v="13"/>
    <n v="0"/>
    <s v="Haber"/>
    <x v="1"/>
    <x v="1"/>
    <x v="1"/>
    <x v="1"/>
    <n v="0"/>
    <s v=""/>
    <n v="0"/>
    <x v="4"/>
    <x v="1"/>
    <x v="2"/>
    <x v="11"/>
    <x v="11"/>
    <s v=""/>
    <x v="0"/>
    <x v="0"/>
    <n v="560"/>
    <x v="11"/>
    <s v=""/>
    <x v="4"/>
    <x v="1"/>
  </r>
  <r>
    <x v="0"/>
    <x v="0"/>
    <x v="13"/>
    <n v="0"/>
    <s v="Haber"/>
    <x v="1"/>
    <x v="1"/>
    <x v="1"/>
    <x v="1"/>
    <n v="0"/>
    <s v=""/>
    <n v="0"/>
    <x v="4"/>
    <x v="1"/>
    <x v="2"/>
    <x v="11"/>
    <x v="11"/>
    <s v=""/>
    <x v="0"/>
    <x v="0"/>
    <n v="561"/>
    <x v="11"/>
    <s v=""/>
    <x v="4"/>
    <x v="1"/>
  </r>
  <r>
    <x v="0"/>
    <x v="0"/>
    <x v="13"/>
    <n v="0"/>
    <s v="Haber"/>
    <x v="1"/>
    <x v="1"/>
    <x v="1"/>
    <x v="1"/>
    <n v="0"/>
    <s v=""/>
    <n v="0"/>
    <x v="4"/>
    <x v="1"/>
    <x v="2"/>
    <x v="11"/>
    <x v="11"/>
    <s v=""/>
    <x v="0"/>
    <x v="0"/>
    <n v="562"/>
    <x v="11"/>
    <s v=""/>
    <x v="4"/>
    <x v="1"/>
  </r>
  <r>
    <x v="0"/>
    <x v="0"/>
    <x v="13"/>
    <n v="0"/>
    <s v="Haber"/>
    <x v="1"/>
    <x v="1"/>
    <x v="1"/>
    <x v="1"/>
    <n v="0"/>
    <s v=""/>
    <n v="0"/>
    <x v="4"/>
    <x v="1"/>
    <x v="2"/>
    <x v="11"/>
    <x v="11"/>
    <s v=""/>
    <x v="0"/>
    <x v="0"/>
    <n v="563"/>
    <x v="11"/>
    <s v=""/>
    <x v="4"/>
    <x v="1"/>
  </r>
  <r>
    <x v="0"/>
    <x v="0"/>
    <x v="13"/>
    <n v="0"/>
    <s v="Haber"/>
    <x v="1"/>
    <x v="1"/>
    <x v="1"/>
    <x v="1"/>
    <n v="0"/>
    <s v=""/>
    <n v="0"/>
    <x v="4"/>
    <x v="1"/>
    <x v="2"/>
    <x v="11"/>
    <x v="11"/>
    <s v=""/>
    <x v="0"/>
    <x v="0"/>
    <n v="564"/>
    <x v="11"/>
    <s v=""/>
    <x v="4"/>
    <x v="1"/>
  </r>
  <r>
    <x v="0"/>
    <x v="0"/>
    <x v="13"/>
    <n v="0"/>
    <s v="Haber"/>
    <x v="1"/>
    <x v="1"/>
    <x v="1"/>
    <x v="1"/>
    <n v="0"/>
    <s v=""/>
    <n v="0"/>
    <x v="4"/>
    <x v="1"/>
    <x v="2"/>
    <x v="11"/>
    <x v="11"/>
    <s v=""/>
    <x v="0"/>
    <x v="0"/>
    <n v="565"/>
    <x v="11"/>
    <s v=""/>
    <x v="4"/>
    <x v="1"/>
  </r>
  <r>
    <x v="0"/>
    <x v="0"/>
    <x v="13"/>
    <n v="0"/>
    <s v="Haber"/>
    <x v="1"/>
    <x v="1"/>
    <x v="1"/>
    <x v="1"/>
    <n v="0"/>
    <s v=""/>
    <n v="0"/>
    <x v="4"/>
    <x v="1"/>
    <x v="2"/>
    <x v="11"/>
    <x v="11"/>
    <s v=""/>
    <x v="0"/>
    <x v="0"/>
    <n v="566"/>
    <x v="11"/>
    <s v=""/>
    <x v="4"/>
    <x v="1"/>
  </r>
  <r>
    <x v="0"/>
    <x v="0"/>
    <x v="13"/>
    <n v="0"/>
    <s v="Haber"/>
    <x v="1"/>
    <x v="1"/>
    <x v="1"/>
    <x v="1"/>
    <n v="0"/>
    <s v=""/>
    <n v="0"/>
    <x v="4"/>
    <x v="1"/>
    <x v="2"/>
    <x v="11"/>
    <x v="11"/>
    <s v=""/>
    <x v="0"/>
    <x v="0"/>
    <n v="567"/>
    <x v="11"/>
    <s v=""/>
    <x v="4"/>
    <x v="1"/>
  </r>
  <r>
    <x v="0"/>
    <x v="0"/>
    <x v="13"/>
    <n v="0"/>
    <s v="Haber"/>
    <x v="1"/>
    <x v="1"/>
    <x v="1"/>
    <x v="1"/>
    <n v="0"/>
    <s v=""/>
    <n v="0"/>
    <x v="4"/>
    <x v="1"/>
    <x v="2"/>
    <x v="11"/>
    <x v="11"/>
    <s v=""/>
    <x v="0"/>
    <x v="0"/>
    <n v="568"/>
    <x v="11"/>
    <s v=""/>
    <x v="4"/>
    <x v="1"/>
  </r>
  <r>
    <x v="0"/>
    <x v="0"/>
    <x v="13"/>
    <n v="0"/>
    <s v="Haber"/>
    <x v="1"/>
    <x v="1"/>
    <x v="1"/>
    <x v="1"/>
    <n v="0"/>
    <s v=""/>
    <n v="0"/>
    <x v="4"/>
    <x v="1"/>
    <x v="2"/>
    <x v="11"/>
    <x v="11"/>
    <s v=""/>
    <x v="0"/>
    <x v="0"/>
    <n v="569"/>
    <x v="11"/>
    <s v=""/>
    <x v="4"/>
    <x v="1"/>
  </r>
  <r>
    <x v="0"/>
    <x v="0"/>
    <x v="13"/>
    <n v="0"/>
    <s v="Haber"/>
    <x v="1"/>
    <x v="1"/>
    <x v="1"/>
    <x v="1"/>
    <n v="0"/>
    <s v=""/>
    <n v="0"/>
    <x v="4"/>
    <x v="1"/>
    <x v="2"/>
    <x v="11"/>
    <x v="11"/>
    <s v=""/>
    <x v="0"/>
    <x v="0"/>
    <n v="570"/>
    <x v="11"/>
    <s v=""/>
    <x v="4"/>
    <x v="1"/>
  </r>
  <r>
    <x v="0"/>
    <x v="0"/>
    <x v="13"/>
    <n v="0"/>
    <s v="Haber"/>
    <x v="1"/>
    <x v="1"/>
    <x v="1"/>
    <x v="1"/>
    <n v="0"/>
    <s v=""/>
    <n v="0"/>
    <x v="4"/>
    <x v="1"/>
    <x v="2"/>
    <x v="11"/>
    <x v="11"/>
    <s v=""/>
    <x v="0"/>
    <x v="0"/>
    <n v="571"/>
    <x v="11"/>
    <s v=""/>
    <x v="4"/>
    <x v="1"/>
  </r>
  <r>
    <x v="0"/>
    <x v="0"/>
    <x v="13"/>
    <n v="0"/>
    <s v="Haber"/>
    <x v="1"/>
    <x v="1"/>
    <x v="1"/>
    <x v="1"/>
    <n v="0"/>
    <s v=""/>
    <n v="0"/>
    <x v="4"/>
    <x v="1"/>
    <x v="2"/>
    <x v="11"/>
    <x v="11"/>
    <s v=""/>
    <x v="0"/>
    <x v="0"/>
    <n v="572"/>
    <x v="11"/>
    <s v=""/>
    <x v="4"/>
    <x v="1"/>
  </r>
  <r>
    <x v="0"/>
    <x v="0"/>
    <x v="13"/>
    <n v="0"/>
    <s v="Haber"/>
    <x v="1"/>
    <x v="1"/>
    <x v="1"/>
    <x v="1"/>
    <n v="0"/>
    <s v=""/>
    <n v="0"/>
    <x v="4"/>
    <x v="1"/>
    <x v="2"/>
    <x v="11"/>
    <x v="11"/>
    <s v=""/>
    <x v="0"/>
    <x v="0"/>
    <n v="573"/>
    <x v="11"/>
    <s v=""/>
    <x v="4"/>
    <x v="1"/>
  </r>
  <r>
    <x v="0"/>
    <x v="0"/>
    <x v="13"/>
    <n v="0"/>
    <s v="Haber"/>
    <x v="1"/>
    <x v="1"/>
    <x v="1"/>
    <x v="1"/>
    <n v="0"/>
    <s v=""/>
    <n v="0"/>
    <x v="4"/>
    <x v="1"/>
    <x v="2"/>
    <x v="11"/>
    <x v="11"/>
    <s v=""/>
    <x v="0"/>
    <x v="0"/>
    <n v="574"/>
    <x v="11"/>
    <s v=""/>
    <x v="4"/>
    <x v="1"/>
  </r>
  <r>
    <x v="0"/>
    <x v="0"/>
    <x v="13"/>
    <n v="0"/>
    <s v="Haber"/>
    <x v="1"/>
    <x v="1"/>
    <x v="1"/>
    <x v="1"/>
    <n v="0"/>
    <s v=""/>
    <n v="0"/>
    <x v="4"/>
    <x v="1"/>
    <x v="2"/>
    <x v="11"/>
    <x v="11"/>
    <s v=""/>
    <x v="0"/>
    <x v="0"/>
    <n v="1550"/>
    <x v="11"/>
    <s v=""/>
    <x v="4"/>
    <x v="1"/>
  </r>
  <r>
    <x v="0"/>
    <x v="0"/>
    <x v="13"/>
    <n v="0"/>
    <s v="Haber"/>
    <x v="1"/>
    <x v="1"/>
    <x v="1"/>
    <x v="1"/>
    <n v="0"/>
    <s v=""/>
    <n v="0"/>
    <x v="4"/>
    <x v="1"/>
    <x v="2"/>
    <x v="11"/>
    <x v="11"/>
    <s v=""/>
    <x v="0"/>
    <x v="0"/>
    <n v="1551"/>
    <x v="11"/>
    <s v=""/>
    <x v="4"/>
    <x v="1"/>
  </r>
  <r>
    <x v="0"/>
    <x v="0"/>
    <x v="13"/>
    <n v="0"/>
    <s v="Haber"/>
    <x v="1"/>
    <x v="1"/>
    <x v="1"/>
    <x v="1"/>
    <n v="0"/>
    <s v=""/>
    <n v="0"/>
    <x v="4"/>
    <x v="1"/>
    <x v="2"/>
    <x v="11"/>
    <x v="11"/>
    <s v=""/>
    <x v="0"/>
    <x v="0"/>
    <n v="1552"/>
    <x v="11"/>
    <s v=""/>
    <x v="4"/>
    <x v="1"/>
  </r>
  <r>
    <x v="0"/>
    <x v="0"/>
    <x v="13"/>
    <n v="0"/>
    <s v="Haber"/>
    <x v="1"/>
    <x v="1"/>
    <x v="1"/>
    <x v="1"/>
    <n v="0"/>
    <s v=""/>
    <n v="0"/>
    <x v="4"/>
    <x v="1"/>
    <x v="2"/>
    <x v="11"/>
    <x v="11"/>
    <s v=""/>
    <x v="0"/>
    <x v="0"/>
    <n v="1553"/>
    <x v="11"/>
    <s v=""/>
    <x v="4"/>
    <x v="1"/>
  </r>
  <r>
    <x v="0"/>
    <x v="0"/>
    <x v="13"/>
    <n v="0"/>
    <s v="Haber"/>
    <x v="1"/>
    <x v="1"/>
    <x v="1"/>
    <x v="1"/>
    <n v="0"/>
    <s v=""/>
    <n v="0"/>
    <x v="4"/>
    <x v="1"/>
    <x v="2"/>
    <x v="11"/>
    <x v="11"/>
    <s v=""/>
    <x v="0"/>
    <x v="0"/>
    <n v="1554"/>
    <x v="11"/>
    <s v=""/>
    <x v="4"/>
    <x v="1"/>
  </r>
  <r>
    <x v="0"/>
    <x v="0"/>
    <x v="13"/>
    <n v="0"/>
    <s v="Haber"/>
    <x v="1"/>
    <x v="1"/>
    <x v="1"/>
    <x v="1"/>
    <n v="0"/>
    <s v=""/>
    <n v="0"/>
    <x v="4"/>
    <x v="1"/>
    <x v="2"/>
    <x v="11"/>
    <x v="11"/>
    <s v=""/>
    <x v="0"/>
    <x v="0"/>
    <n v="1555"/>
    <x v="11"/>
    <s v=""/>
    <x v="4"/>
    <x v="1"/>
  </r>
  <r>
    <x v="0"/>
    <x v="0"/>
    <x v="13"/>
    <n v="0"/>
    <s v="Haber"/>
    <x v="1"/>
    <x v="1"/>
    <x v="1"/>
    <x v="1"/>
    <n v="0"/>
    <s v=""/>
    <n v="0"/>
    <x v="4"/>
    <x v="1"/>
    <x v="2"/>
    <x v="11"/>
    <x v="11"/>
    <s v=""/>
    <x v="0"/>
    <x v="0"/>
    <n v="1556"/>
    <x v="11"/>
    <s v=""/>
    <x v="4"/>
    <x v="1"/>
  </r>
  <r>
    <x v="0"/>
    <x v="0"/>
    <x v="13"/>
    <n v="0"/>
    <s v="Haber"/>
    <x v="1"/>
    <x v="1"/>
    <x v="1"/>
    <x v="1"/>
    <n v="0"/>
    <s v=""/>
    <n v="0"/>
    <x v="4"/>
    <x v="1"/>
    <x v="2"/>
    <x v="11"/>
    <x v="11"/>
    <s v=""/>
    <x v="0"/>
    <x v="0"/>
    <n v="1557"/>
    <x v="11"/>
    <s v=""/>
    <x v="4"/>
    <x v="1"/>
  </r>
  <r>
    <x v="0"/>
    <x v="0"/>
    <x v="13"/>
    <n v="0"/>
    <s v="Haber"/>
    <x v="1"/>
    <x v="1"/>
    <x v="1"/>
    <x v="1"/>
    <n v="0"/>
    <s v=""/>
    <n v="0"/>
    <x v="4"/>
    <x v="1"/>
    <x v="2"/>
    <x v="11"/>
    <x v="11"/>
    <s v=""/>
    <x v="0"/>
    <x v="0"/>
    <n v="1558"/>
    <x v="11"/>
    <s v=""/>
    <x v="4"/>
    <x v="1"/>
  </r>
  <r>
    <x v="0"/>
    <x v="0"/>
    <x v="13"/>
    <n v="0"/>
    <s v="Haber"/>
    <x v="1"/>
    <x v="1"/>
    <x v="1"/>
    <x v="1"/>
    <n v="0"/>
    <s v=""/>
    <n v="0"/>
    <x v="4"/>
    <x v="1"/>
    <x v="2"/>
    <x v="11"/>
    <x v="11"/>
    <s v=""/>
    <x v="0"/>
    <x v="0"/>
    <n v="1559"/>
    <x v="11"/>
    <s v=""/>
    <x v="4"/>
    <x v="1"/>
  </r>
  <r>
    <x v="0"/>
    <x v="0"/>
    <x v="13"/>
    <n v="0"/>
    <s v="Haber"/>
    <x v="1"/>
    <x v="1"/>
    <x v="1"/>
    <x v="1"/>
    <n v="0"/>
    <s v=""/>
    <n v="0"/>
    <x v="4"/>
    <x v="1"/>
    <x v="2"/>
    <x v="11"/>
    <x v="11"/>
    <s v=""/>
    <x v="0"/>
    <x v="0"/>
    <n v="1560"/>
    <x v="11"/>
    <s v=""/>
    <x v="4"/>
    <x v="1"/>
  </r>
  <r>
    <x v="0"/>
    <x v="0"/>
    <x v="13"/>
    <n v="0"/>
    <s v="Haber"/>
    <x v="1"/>
    <x v="1"/>
    <x v="1"/>
    <x v="1"/>
    <n v="0"/>
    <s v=""/>
    <n v="0"/>
    <x v="4"/>
    <x v="1"/>
    <x v="2"/>
    <x v="11"/>
    <x v="11"/>
    <s v=""/>
    <x v="0"/>
    <x v="0"/>
    <n v="1561"/>
    <x v="11"/>
    <s v=""/>
    <x v="4"/>
    <x v="1"/>
  </r>
  <r>
    <x v="0"/>
    <x v="0"/>
    <x v="13"/>
    <n v="0"/>
    <s v="Haber"/>
    <x v="1"/>
    <x v="1"/>
    <x v="1"/>
    <x v="1"/>
    <n v="0"/>
    <s v=""/>
    <n v="0"/>
    <x v="4"/>
    <x v="1"/>
    <x v="2"/>
    <x v="11"/>
    <x v="11"/>
    <s v=""/>
    <x v="0"/>
    <x v="0"/>
    <n v="1562"/>
    <x v="11"/>
    <s v=""/>
    <x v="4"/>
    <x v="1"/>
  </r>
  <r>
    <x v="0"/>
    <x v="0"/>
    <x v="13"/>
    <n v="0"/>
    <s v="Haber"/>
    <x v="1"/>
    <x v="1"/>
    <x v="1"/>
    <x v="1"/>
    <n v="0"/>
    <s v=""/>
    <n v="0"/>
    <x v="4"/>
    <x v="1"/>
    <x v="2"/>
    <x v="11"/>
    <x v="11"/>
    <s v=""/>
    <x v="0"/>
    <x v="0"/>
    <n v="1563"/>
    <x v="11"/>
    <s v=""/>
    <x v="4"/>
    <x v="1"/>
  </r>
  <r>
    <x v="0"/>
    <x v="0"/>
    <x v="13"/>
    <n v="0"/>
    <s v="Haber"/>
    <x v="1"/>
    <x v="1"/>
    <x v="1"/>
    <x v="1"/>
    <n v="0"/>
    <s v=""/>
    <n v="0"/>
    <x v="4"/>
    <x v="1"/>
    <x v="2"/>
    <x v="11"/>
    <x v="11"/>
    <s v=""/>
    <x v="0"/>
    <x v="0"/>
    <n v="1564"/>
    <x v="11"/>
    <s v=""/>
    <x v="4"/>
    <x v="1"/>
  </r>
  <r>
    <x v="0"/>
    <x v="0"/>
    <x v="13"/>
    <n v="0"/>
    <s v="Haber"/>
    <x v="1"/>
    <x v="1"/>
    <x v="1"/>
    <x v="1"/>
    <n v="0"/>
    <s v=""/>
    <n v="0"/>
    <x v="4"/>
    <x v="1"/>
    <x v="2"/>
    <x v="11"/>
    <x v="11"/>
    <s v=""/>
    <x v="0"/>
    <x v="0"/>
    <n v="1565"/>
    <x v="11"/>
    <s v=""/>
    <x v="4"/>
    <x v="1"/>
  </r>
  <r>
    <x v="0"/>
    <x v="0"/>
    <x v="13"/>
    <n v="0"/>
    <s v="Haber"/>
    <x v="1"/>
    <x v="1"/>
    <x v="1"/>
    <x v="1"/>
    <n v="0"/>
    <s v=""/>
    <n v="0"/>
    <x v="4"/>
    <x v="1"/>
    <x v="2"/>
    <x v="11"/>
    <x v="11"/>
    <s v=""/>
    <x v="0"/>
    <x v="0"/>
    <n v="1566"/>
    <x v="11"/>
    <s v=""/>
    <x v="4"/>
    <x v="1"/>
  </r>
  <r>
    <x v="0"/>
    <x v="0"/>
    <x v="13"/>
    <n v="0"/>
    <s v="Haber"/>
    <x v="1"/>
    <x v="1"/>
    <x v="1"/>
    <x v="1"/>
    <n v="0"/>
    <s v=""/>
    <n v="0"/>
    <x v="4"/>
    <x v="1"/>
    <x v="2"/>
    <x v="11"/>
    <x v="11"/>
    <s v=""/>
    <x v="0"/>
    <x v="0"/>
    <n v="1567"/>
    <x v="11"/>
    <s v=""/>
    <x v="4"/>
    <x v="1"/>
  </r>
  <r>
    <x v="0"/>
    <x v="0"/>
    <x v="13"/>
    <n v="0"/>
    <s v="Haber"/>
    <x v="1"/>
    <x v="1"/>
    <x v="1"/>
    <x v="1"/>
    <n v="0"/>
    <s v=""/>
    <n v="0"/>
    <x v="4"/>
    <x v="1"/>
    <x v="2"/>
    <x v="11"/>
    <x v="11"/>
    <s v=""/>
    <x v="0"/>
    <x v="0"/>
    <n v="1568"/>
    <x v="11"/>
    <s v=""/>
    <x v="4"/>
    <x v="1"/>
  </r>
  <r>
    <x v="0"/>
    <x v="0"/>
    <x v="13"/>
    <n v="0"/>
    <s v="Haber"/>
    <x v="1"/>
    <x v="1"/>
    <x v="1"/>
    <x v="1"/>
    <n v="0"/>
    <s v=""/>
    <n v="0"/>
    <x v="4"/>
    <x v="1"/>
    <x v="2"/>
    <x v="11"/>
    <x v="11"/>
    <s v=""/>
    <x v="0"/>
    <x v="0"/>
    <n v="1569"/>
    <x v="11"/>
    <s v=""/>
    <x v="4"/>
    <x v="1"/>
  </r>
  <r>
    <x v="0"/>
    <x v="0"/>
    <x v="13"/>
    <n v="0"/>
    <s v="Haber"/>
    <x v="1"/>
    <x v="1"/>
    <x v="1"/>
    <x v="1"/>
    <n v="0"/>
    <s v=""/>
    <n v="0"/>
    <x v="4"/>
    <x v="1"/>
    <x v="2"/>
    <x v="11"/>
    <x v="11"/>
    <s v=""/>
    <x v="0"/>
    <x v="0"/>
    <n v="1570"/>
    <x v="11"/>
    <s v=""/>
    <x v="4"/>
    <x v="1"/>
  </r>
  <r>
    <x v="0"/>
    <x v="0"/>
    <x v="13"/>
    <n v="0"/>
    <s v="Haber"/>
    <x v="1"/>
    <x v="1"/>
    <x v="1"/>
    <x v="1"/>
    <n v="0"/>
    <s v=""/>
    <n v="0"/>
    <x v="4"/>
    <x v="1"/>
    <x v="2"/>
    <x v="11"/>
    <x v="11"/>
    <s v=""/>
    <x v="0"/>
    <x v="0"/>
    <n v="1571"/>
    <x v="11"/>
    <s v=""/>
    <x v="4"/>
    <x v="1"/>
  </r>
  <r>
    <x v="0"/>
    <x v="0"/>
    <x v="13"/>
    <n v="0"/>
    <s v="Haber"/>
    <x v="1"/>
    <x v="1"/>
    <x v="1"/>
    <x v="1"/>
    <n v="0"/>
    <s v=""/>
    <n v="0"/>
    <x v="4"/>
    <x v="1"/>
    <x v="2"/>
    <x v="11"/>
    <x v="11"/>
    <s v=""/>
    <x v="0"/>
    <x v="0"/>
    <n v="1572"/>
    <x v="11"/>
    <s v=""/>
    <x v="4"/>
    <x v="1"/>
  </r>
  <r>
    <x v="16"/>
    <x v="0"/>
    <x v="13"/>
    <n v="0"/>
    <s v="Debe"/>
    <x v="1"/>
    <x v="10"/>
    <x v="1"/>
    <x v="1"/>
    <n v="0"/>
    <n v="0"/>
    <s v=""/>
    <x v="4"/>
    <x v="1"/>
    <x v="2"/>
    <x v="11"/>
    <x v="11"/>
    <s v=""/>
    <x v="0"/>
    <x v="0"/>
    <n v="65"/>
    <x v="11"/>
    <s v=""/>
    <x v="4"/>
    <x v="1"/>
  </r>
  <r>
    <x v="16"/>
    <x v="0"/>
    <x v="13"/>
    <n v="0"/>
    <s v="Debe"/>
    <x v="1"/>
    <x v="10"/>
    <x v="1"/>
    <x v="1"/>
    <n v="0"/>
    <n v="0"/>
    <s v=""/>
    <x v="4"/>
    <x v="1"/>
    <x v="2"/>
    <x v="11"/>
    <x v="11"/>
    <s v=""/>
    <x v="0"/>
    <x v="0"/>
    <n v="66"/>
    <x v="11"/>
    <s v=""/>
    <x v="4"/>
    <x v="1"/>
  </r>
  <r>
    <x v="16"/>
    <x v="0"/>
    <x v="13"/>
    <n v="0"/>
    <s v="Debe"/>
    <x v="1"/>
    <x v="10"/>
    <x v="1"/>
    <x v="1"/>
    <n v="0"/>
    <n v="0"/>
    <s v=""/>
    <x v="4"/>
    <x v="1"/>
    <x v="2"/>
    <x v="11"/>
    <x v="11"/>
    <s v=""/>
    <x v="0"/>
    <x v="0"/>
    <n v="67"/>
    <x v="11"/>
    <s v=""/>
    <x v="4"/>
    <x v="1"/>
  </r>
  <r>
    <x v="16"/>
    <x v="0"/>
    <x v="13"/>
    <n v="0"/>
    <s v="Debe"/>
    <x v="1"/>
    <x v="10"/>
    <x v="1"/>
    <x v="1"/>
    <n v="0"/>
    <n v="0"/>
    <s v=""/>
    <x v="4"/>
    <x v="1"/>
    <x v="2"/>
    <x v="11"/>
    <x v="11"/>
    <s v=""/>
    <x v="0"/>
    <x v="0"/>
    <n v="68"/>
    <x v="11"/>
    <s v=""/>
    <x v="4"/>
    <x v="1"/>
  </r>
  <r>
    <x v="16"/>
    <x v="0"/>
    <x v="13"/>
    <n v="0"/>
    <s v="Debe"/>
    <x v="1"/>
    <x v="10"/>
    <x v="1"/>
    <x v="1"/>
    <n v="0"/>
    <n v="0"/>
    <s v=""/>
    <x v="4"/>
    <x v="1"/>
    <x v="2"/>
    <x v="11"/>
    <x v="11"/>
    <s v=""/>
    <x v="0"/>
    <x v="0"/>
    <n v="69"/>
    <x v="11"/>
    <s v=""/>
    <x v="4"/>
    <x v="1"/>
  </r>
  <r>
    <x v="16"/>
    <x v="0"/>
    <x v="13"/>
    <n v="0"/>
    <s v="Debe"/>
    <x v="1"/>
    <x v="10"/>
    <x v="1"/>
    <x v="1"/>
    <n v="0"/>
    <n v="0"/>
    <s v=""/>
    <x v="4"/>
    <x v="1"/>
    <x v="2"/>
    <x v="11"/>
    <x v="11"/>
    <s v=""/>
    <x v="0"/>
    <x v="0"/>
    <n v="72"/>
    <x v="11"/>
    <s v=""/>
    <x v="4"/>
    <x v="1"/>
  </r>
  <r>
    <x v="16"/>
    <x v="0"/>
    <x v="13"/>
    <n v="0"/>
    <s v="Debe"/>
    <x v="1"/>
    <x v="10"/>
    <x v="1"/>
    <x v="1"/>
    <n v="0"/>
    <n v="0"/>
    <s v=""/>
    <x v="4"/>
    <x v="1"/>
    <x v="2"/>
    <x v="11"/>
    <x v="11"/>
    <s v=""/>
    <x v="0"/>
    <x v="0"/>
    <n v="73"/>
    <x v="11"/>
    <s v=""/>
    <x v="4"/>
    <x v="1"/>
  </r>
  <r>
    <x v="16"/>
    <x v="0"/>
    <x v="13"/>
    <n v="0"/>
    <s v="Debe"/>
    <x v="1"/>
    <x v="10"/>
    <x v="1"/>
    <x v="1"/>
    <n v="0"/>
    <n v="0"/>
    <s v=""/>
    <x v="4"/>
    <x v="1"/>
    <x v="2"/>
    <x v="11"/>
    <x v="11"/>
    <s v=""/>
    <x v="0"/>
    <x v="0"/>
    <n v="74"/>
    <x v="11"/>
    <s v=""/>
    <x v="4"/>
    <x v="1"/>
  </r>
  <r>
    <x v="16"/>
    <x v="0"/>
    <x v="13"/>
    <n v="0"/>
    <s v="Debe"/>
    <x v="1"/>
    <x v="10"/>
    <x v="1"/>
    <x v="1"/>
    <n v="0"/>
    <n v="0"/>
    <s v=""/>
    <x v="4"/>
    <x v="1"/>
    <x v="2"/>
    <x v="11"/>
    <x v="11"/>
    <s v=""/>
    <x v="0"/>
    <x v="0"/>
    <n v="75"/>
    <x v="11"/>
    <s v=""/>
    <x v="4"/>
    <x v="1"/>
  </r>
  <r>
    <x v="16"/>
    <x v="0"/>
    <x v="13"/>
    <n v="0"/>
    <s v="Debe"/>
    <x v="1"/>
    <x v="10"/>
    <x v="1"/>
    <x v="1"/>
    <n v="0"/>
    <n v="0"/>
    <s v=""/>
    <x v="4"/>
    <x v="1"/>
    <x v="2"/>
    <x v="11"/>
    <x v="11"/>
    <s v=""/>
    <x v="0"/>
    <x v="0"/>
    <n v="76"/>
    <x v="11"/>
    <s v=""/>
    <x v="4"/>
    <x v="1"/>
  </r>
  <r>
    <x v="16"/>
    <x v="0"/>
    <x v="13"/>
    <n v="0"/>
    <s v="Debe"/>
    <x v="1"/>
    <x v="10"/>
    <x v="1"/>
    <x v="1"/>
    <n v="0"/>
    <n v="0"/>
    <s v=""/>
    <x v="4"/>
    <x v="1"/>
    <x v="2"/>
    <x v="11"/>
    <x v="11"/>
    <s v=""/>
    <x v="0"/>
    <x v="0"/>
    <n v="79"/>
    <x v="11"/>
    <s v=""/>
    <x v="4"/>
    <x v="1"/>
  </r>
  <r>
    <x v="16"/>
    <x v="0"/>
    <x v="13"/>
    <n v="0"/>
    <s v="Debe"/>
    <x v="1"/>
    <x v="10"/>
    <x v="1"/>
    <x v="1"/>
    <n v="0"/>
    <n v="0"/>
    <s v=""/>
    <x v="4"/>
    <x v="1"/>
    <x v="2"/>
    <x v="11"/>
    <x v="11"/>
    <s v=""/>
    <x v="0"/>
    <x v="0"/>
    <n v="80"/>
    <x v="11"/>
    <s v=""/>
    <x v="4"/>
    <x v="1"/>
  </r>
  <r>
    <x v="16"/>
    <x v="0"/>
    <x v="13"/>
    <n v="0"/>
    <s v="Debe"/>
    <x v="1"/>
    <x v="10"/>
    <x v="1"/>
    <x v="1"/>
    <n v="0"/>
    <n v="0"/>
    <s v=""/>
    <x v="4"/>
    <x v="1"/>
    <x v="2"/>
    <x v="11"/>
    <x v="11"/>
    <s v=""/>
    <x v="0"/>
    <x v="0"/>
    <n v="81"/>
    <x v="11"/>
    <s v=""/>
    <x v="4"/>
    <x v="1"/>
  </r>
  <r>
    <x v="16"/>
    <x v="0"/>
    <x v="13"/>
    <n v="0"/>
    <s v="Debe"/>
    <x v="1"/>
    <x v="10"/>
    <x v="1"/>
    <x v="1"/>
    <n v="0"/>
    <n v="0"/>
    <s v=""/>
    <x v="4"/>
    <x v="1"/>
    <x v="2"/>
    <x v="11"/>
    <x v="11"/>
    <s v=""/>
    <x v="0"/>
    <x v="0"/>
    <n v="82"/>
    <x v="11"/>
    <s v=""/>
    <x v="4"/>
    <x v="1"/>
  </r>
  <r>
    <x v="16"/>
    <x v="0"/>
    <x v="13"/>
    <n v="0"/>
    <s v="Debe"/>
    <x v="1"/>
    <x v="10"/>
    <x v="1"/>
    <x v="1"/>
    <n v="0"/>
    <n v="0"/>
    <s v=""/>
    <x v="4"/>
    <x v="1"/>
    <x v="2"/>
    <x v="11"/>
    <x v="11"/>
    <s v=""/>
    <x v="0"/>
    <x v="0"/>
    <n v="83"/>
    <x v="11"/>
    <s v=""/>
    <x v="4"/>
    <x v="1"/>
  </r>
  <r>
    <x v="16"/>
    <x v="0"/>
    <x v="13"/>
    <n v="0"/>
    <s v="Debe"/>
    <x v="1"/>
    <x v="10"/>
    <x v="1"/>
    <x v="1"/>
    <n v="0"/>
    <n v="0"/>
    <s v=""/>
    <x v="4"/>
    <x v="1"/>
    <x v="2"/>
    <x v="11"/>
    <x v="11"/>
    <s v=""/>
    <x v="0"/>
    <x v="0"/>
    <n v="86"/>
    <x v="11"/>
    <s v=""/>
    <x v="4"/>
    <x v="1"/>
  </r>
  <r>
    <x v="16"/>
    <x v="0"/>
    <x v="13"/>
    <n v="0"/>
    <s v="Debe"/>
    <x v="1"/>
    <x v="10"/>
    <x v="1"/>
    <x v="1"/>
    <n v="0"/>
    <n v="0"/>
    <s v=""/>
    <x v="4"/>
    <x v="1"/>
    <x v="2"/>
    <x v="11"/>
    <x v="11"/>
    <s v=""/>
    <x v="0"/>
    <x v="0"/>
    <n v="87"/>
    <x v="11"/>
    <s v=""/>
    <x v="4"/>
    <x v="1"/>
  </r>
  <r>
    <x v="16"/>
    <x v="0"/>
    <x v="13"/>
    <n v="0"/>
    <s v="Debe"/>
    <x v="1"/>
    <x v="10"/>
    <x v="1"/>
    <x v="1"/>
    <n v="0"/>
    <n v="0"/>
    <s v=""/>
    <x v="4"/>
    <x v="1"/>
    <x v="2"/>
    <x v="11"/>
    <x v="11"/>
    <s v=""/>
    <x v="0"/>
    <x v="0"/>
    <n v="88"/>
    <x v="11"/>
    <s v=""/>
    <x v="4"/>
    <x v="1"/>
  </r>
  <r>
    <x v="16"/>
    <x v="0"/>
    <x v="13"/>
    <n v="0"/>
    <s v="Debe"/>
    <x v="1"/>
    <x v="10"/>
    <x v="1"/>
    <x v="1"/>
    <n v="0"/>
    <n v="0"/>
    <s v=""/>
    <x v="4"/>
    <x v="1"/>
    <x v="2"/>
    <x v="11"/>
    <x v="11"/>
    <s v=""/>
    <x v="0"/>
    <x v="0"/>
    <n v="89"/>
    <x v="11"/>
    <s v=""/>
    <x v="4"/>
    <x v="1"/>
  </r>
  <r>
    <x v="16"/>
    <x v="0"/>
    <x v="13"/>
    <n v="0"/>
    <s v="Haber"/>
    <x v="1"/>
    <x v="10"/>
    <x v="1"/>
    <x v="1"/>
    <n v="0"/>
    <s v=""/>
    <n v="0"/>
    <x v="4"/>
    <x v="1"/>
    <x v="2"/>
    <x v="11"/>
    <x v="11"/>
    <s v=""/>
    <x v="0"/>
    <x v="0"/>
    <n v="1354"/>
    <x v="11"/>
    <s v=""/>
    <x v="4"/>
    <x v="1"/>
  </r>
  <r>
    <x v="16"/>
    <x v="0"/>
    <x v="13"/>
    <n v="0"/>
    <s v="Haber"/>
    <x v="1"/>
    <x v="10"/>
    <x v="1"/>
    <x v="1"/>
    <n v="0"/>
    <s v=""/>
    <n v="0"/>
    <x v="4"/>
    <x v="1"/>
    <x v="2"/>
    <x v="11"/>
    <x v="11"/>
    <s v=""/>
    <x v="0"/>
    <x v="0"/>
    <n v="1360"/>
    <x v="11"/>
    <s v=""/>
    <x v="4"/>
    <x v="1"/>
  </r>
  <r>
    <x v="16"/>
    <x v="0"/>
    <x v="13"/>
    <n v="0"/>
    <s v="Haber"/>
    <x v="1"/>
    <x v="10"/>
    <x v="1"/>
    <x v="1"/>
    <n v="0"/>
    <s v=""/>
    <n v="0"/>
    <x v="4"/>
    <x v="1"/>
    <x v="2"/>
    <x v="11"/>
    <x v="11"/>
    <s v=""/>
    <x v="0"/>
    <x v="0"/>
    <n v="1361"/>
    <x v="11"/>
    <s v=""/>
    <x v="4"/>
    <x v="1"/>
  </r>
  <r>
    <x v="16"/>
    <x v="0"/>
    <x v="13"/>
    <n v="0"/>
    <s v="Haber"/>
    <x v="1"/>
    <x v="10"/>
    <x v="1"/>
    <x v="1"/>
    <n v="0"/>
    <s v=""/>
    <n v="0"/>
    <x v="4"/>
    <x v="1"/>
    <x v="2"/>
    <x v="11"/>
    <x v="11"/>
    <s v=""/>
    <x v="0"/>
    <x v="0"/>
    <n v="1362"/>
    <x v="11"/>
    <s v=""/>
    <x v="4"/>
    <x v="1"/>
  </r>
  <r>
    <x v="16"/>
    <x v="0"/>
    <x v="13"/>
    <n v="0"/>
    <s v="Haber"/>
    <x v="1"/>
    <x v="10"/>
    <x v="1"/>
    <x v="1"/>
    <n v="0"/>
    <s v=""/>
    <n v="0"/>
    <x v="4"/>
    <x v="1"/>
    <x v="2"/>
    <x v="11"/>
    <x v="11"/>
    <s v=""/>
    <x v="0"/>
    <x v="0"/>
    <n v="1363"/>
    <x v="11"/>
    <s v=""/>
    <x v="4"/>
    <x v="1"/>
  </r>
  <r>
    <x v="16"/>
    <x v="0"/>
    <x v="13"/>
    <n v="0"/>
    <s v="Haber"/>
    <x v="1"/>
    <x v="10"/>
    <x v="1"/>
    <x v="1"/>
    <n v="0"/>
    <s v=""/>
    <n v="0"/>
    <x v="4"/>
    <x v="1"/>
    <x v="2"/>
    <x v="11"/>
    <x v="11"/>
    <s v=""/>
    <x v="0"/>
    <x v="0"/>
    <n v="1364"/>
    <x v="11"/>
    <s v=""/>
    <x v="4"/>
    <x v="1"/>
  </r>
  <r>
    <x v="16"/>
    <x v="0"/>
    <x v="13"/>
    <n v="0"/>
    <s v="Haber"/>
    <x v="1"/>
    <x v="10"/>
    <x v="1"/>
    <x v="1"/>
    <n v="0"/>
    <s v=""/>
    <n v="0"/>
    <x v="4"/>
    <x v="1"/>
    <x v="2"/>
    <x v="11"/>
    <x v="11"/>
    <s v=""/>
    <x v="0"/>
    <x v="0"/>
    <n v="1367"/>
    <x v="11"/>
    <s v=""/>
    <x v="4"/>
    <x v="1"/>
  </r>
  <r>
    <x v="16"/>
    <x v="0"/>
    <x v="13"/>
    <n v="0"/>
    <s v="Haber"/>
    <x v="1"/>
    <x v="10"/>
    <x v="1"/>
    <x v="1"/>
    <n v="0"/>
    <s v=""/>
    <n v="0"/>
    <x v="4"/>
    <x v="1"/>
    <x v="2"/>
    <x v="11"/>
    <x v="11"/>
    <s v=""/>
    <x v="0"/>
    <x v="0"/>
    <n v="1368"/>
    <x v="11"/>
    <s v=""/>
    <x v="4"/>
    <x v="1"/>
  </r>
  <r>
    <x v="16"/>
    <x v="0"/>
    <x v="13"/>
    <n v="0"/>
    <s v="Haber"/>
    <x v="1"/>
    <x v="10"/>
    <x v="1"/>
    <x v="1"/>
    <n v="0"/>
    <s v=""/>
    <n v="0"/>
    <x v="4"/>
    <x v="1"/>
    <x v="2"/>
    <x v="11"/>
    <x v="11"/>
    <s v=""/>
    <x v="0"/>
    <x v="0"/>
    <n v="1369"/>
    <x v="11"/>
    <s v=""/>
    <x v="4"/>
    <x v="1"/>
  </r>
  <r>
    <x v="16"/>
    <x v="0"/>
    <x v="13"/>
    <n v="0"/>
    <s v="Haber"/>
    <x v="1"/>
    <x v="10"/>
    <x v="1"/>
    <x v="1"/>
    <n v="0"/>
    <s v=""/>
    <n v="0"/>
    <x v="4"/>
    <x v="1"/>
    <x v="2"/>
    <x v="11"/>
    <x v="11"/>
    <s v=""/>
    <x v="0"/>
    <x v="0"/>
    <n v="1370"/>
    <x v="11"/>
    <s v=""/>
    <x v="4"/>
    <x v="1"/>
  </r>
  <r>
    <x v="16"/>
    <x v="0"/>
    <x v="13"/>
    <n v="0"/>
    <s v="Haber"/>
    <x v="1"/>
    <x v="10"/>
    <x v="1"/>
    <x v="1"/>
    <n v="0"/>
    <s v=""/>
    <n v="0"/>
    <x v="4"/>
    <x v="1"/>
    <x v="2"/>
    <x v="11"/>
    <x v="11"/>
    <s v=""/>
    <x v="0"/>
    <x v="0"/>
    <n v="1371"/>
    <x v="11"/>
    <s v=""/>
    <x v="4"/>
    <x v="1"/>
  </r>
  <r>
    <x v="16"/>
    <x v="0"/>
    <x v="13"/>
    <n v="0"/>
    <s v="Haber"/>
    <x v="1"/>
    <x v="10"/>
    <x v="1"/>
    <x v="1"/>
    <n v="0"/>
    <s v=""/>
    <n v="0"/>
    <x v="4"/>
    <x v="1"/>
    <x v="2"/>
    <x v="11"/>
    <x v="11"/>
    <s v=""/>
    <x v="0"/>
    <x v="0"/>
    <n v="1374"/>
    <x v="11"/>
    <s v=""/>
    <x v="4"/>
    <x v="1"/>
  </r>
  <r>
    <x v="16"/>
    <x v="0"/>
    <x v="13"/>
    <n v="0"/>
    <s v="Haber"/>
    <x v="1"/>
    <x v="10"/>
    <x v="1"/>
    <x v="1"/>
    <n v="0"/>
    <s v=""/>
    <n v="0"/>
    <x v="4"/>
    <x v="1"/>
    <x v="2"/>
    <x v="11"/>
    <x v="11"/>
    <s v=""/>
    <x v="0"/>
    <x v="0"/>
    <n v="1375"/>
    <x v="11"/>
    <s v=""/>
    <x v="4"/>
    <x v="1"/>
  </r>
  <r>
    <x v="16"/>
    <x v="0"/>
    <x v="13"/>
    <n v="0"/>
    <s v="Haber"/>
    <x v="1"/>
    <x v="10"/>
    <x v="1"/>
    <x v="1"/>
    <n v="0"/>
    <s v=""/>
    <n v="0"/>
    <x v="4"/>
    <x v="1"/>
    <x v="2"/>
    <x v="11"/>
    <x v="11"/>
    <s v=""/>
    <x v="0"/>
    <x v="0"/>
    <n v="1376"/>
    <x v="11"/>
    <s v=""/>
    <x v="4"/>
    <x v="1"/>
  </r>
  <r>
    <x v="16"/>
    <x v="0"/>
    <x v="13"/>
    <n v="0"/>
    <s v="Haber"/>
    <x v="1"/>
    <x v="10"/>
    <x v="1"/>
    <x v="1"/>
    <n v="0"/>
    <s v=""/>
    <n v="0"/>
    <x v="4"/>
    <x v="1"/>
    <x v="2"/>
    <x v="11"/>
    <x v="11"/>
    <s v=""/>
    <x v="0"/>
    <x v="0"/>
    <n v="1377"/>
    <x v="11"/>
    <s v=""/>
    <x v="4"/>
    <x v="1"/>
  </r>
  <r>
    <x v="16"/>
    <x v="0"/>
    <x v="13"/>
    <n v="0"/>
    <s v="Haber"/>
    <x v="1"/>
    <x v="10"/>
    <x v="1"/>
    <x v="1"/>
    <n v="0"/>
    <s v=""/>
    <n v="0"/>
    <x v="4"/>
    <x v="1"/>
    <x v="2"/>
    <x v="11"/>
    <x v="11"/>
    <s v=""/>
    <x v="0"/>
    <x v="0"/>
    <n v="1378"/>
    <x v="11"/>
    <s v=""/>
    <x v="4"/>
    <x v="1"/>
  </r>
  <r>
    <x v="16"/>
    <x v="0"/>
    <x v="13"/>
    <n v="0"/>
    <s v="Haber"/>
    <x v="1"/>
    <x v="10"/>
    <x v="1"/>
    <x v="1"/>
    <n v="0"/>
    <s v=""/>
    <n v="0"/>
    <x v="4"/>
    <x v="1"/>
    <x v="2"/>
    <x v="11"/>
    <x v="11"/>
    <s v=""/>
    <x v="0"/>
    <x v="0"/>
    <n v="1381"/>
    <x v="11"/>
    <s v=""/>
    <x v="4"/>
    <x v="1"/>
  </r>
  <r>
    <x v="16"/>
    <x v="0"/>
    <x v="13"/>
    <n v="0"/>
    <s v="Haber"/>
    <x v="1"/>
    <x v="10"/>
    <x v="1"/>
    <x v="1"/>
    <n v="0"/>
    <s v=""/>
    <n v="0"/>
    <x v="4"/>
    <x v="1"/>
    <x v="2"/>
    <x v="11"/>
    <x v="11"/>
    <s v=""/>
    <x v="0"/>
    <x v="0"/>
    <n v="1382"/>
    <x v="11"/>
    <s v=""/>
    <x v="4"/>
    <x v="1"/>
  </r>
  <r>
    <x v="16"/>
    <x v="0"/>
    <x v="13"/>
    <n v="0"/>
    <s v="Haber"/>
    <x v="1"/>
    <x v="10"/>
    <x v="1"/>
    <x v="1"/>
    <n v="0"/>
    <s v=""/>
    <n v="0"/>
    <x v="4"/>
    <x v="1"/>
    <x v="2"/>
    <x v="11"/>
    <x v="11"/>
    <s v=""/>
    <x v="0"/>
    <x v="0"/>
    <n v="1383"/>
    <x v="11"/>
    <s v=""/>
    <x v="4"/>
    <x v="1"/>
  </r>
  <r>
    <x v="17"/>
    <x v="2"/>
    <x v="13"/>
    <n v="0"/>
    <s v="Debe"/>
    <x v="1"/>
    <x v="2"/>
    <x v="1"/>
    <x v="1"/>
    <n v="0"/>
    <n v="0"/>
    <s v=""/>
    <x v="4"/>
    <x v="1"/>
    <x v="2"/>
    <x v="11"/>
    <x v="11"/>
    <s v=""/>
    <x v="0"/>
    <x v="0"/>
    <n v="98"/>
    <x v="11"/>
    <s v=""/>
    <x v="4"/>
    <x v="1"/>
  </r>
  <r>
    <x v="17"/>
    <x v="2"/>
    <x v="13"/>
    <n v="0"/>
    <s v="Debe"/>
    <x v="1"/>
    <x v="2"/>
    <x v="1"/>
    <x v="1"/>
    <n v="0"/>
    <n v="0"/>
    <s v=""/>
    <x v="4"/>
    <x v="1"/>
    <x v="2"/>
    <x v="11"/>
    <x v="11"/>
    <s v=""/>
    <x v="0"/>
    <x v="0"/>
    <n v="102"/>
    <x v="11"/>
    <s v=""/>
    <x v="4"/>
    <x v="1"/>
  </r>
  <r>
    <x v="17"/>
    <x v="2"/>
    <x v="13"/>
    <n v="0"/>
    <s v="Haber"/>
    <x v="1"/>
    <x v="2"/>
    <x v="1"/>
    <x v="1"/>
    <n v="0"/>
    <s v=""/>
    <n v="0"/>
    <x v="4"/>
    <x v="1"/>
    <x v="2"/>
    <x v="11"/>
    <x v="11"/>
    <s v=""/>
    <x v="0"/>
    <x v="0"/>
    <n v="1391"/>
    <x v="11"/>
    <s v=""/>
    <x v="4"/>
    <x v="1"/>
  </r>
  <r>
    <x v="17"/>
    <x v="2"/>
    <x v="13"/>
    <n v="0"/>
    <s v="Haber"/>
    <x v="1"/>
    <x v="2"/>
    <x v="1"/>
    <x v="1"/>
    <n v="0"/>
    <s v=""/>
    <n v="0"/>
    <x v="4"/>
    <x v="1"/>
    <x v="2"/>
    <x v="11"/>
    <x v="11"/>
    <s v=""/>
    <x v="0"/>
    <x v="0"/>
    <n v="1392"/>
    <x v="11"/>
    <s v=""/>
    <x v="4"/>
    <x v="1"/>
  </r>
  <r>
    <x v="18"/>
    <x v="3"/>
    <x v="13"/>
    <n v="0"/>
    <s v="Debe"/>
    <x v="1"/>
    <x v="2"/>
    <x v="1"/>
    <x v="1"/>
    <n v="0"/>
    <n v="0"/>
    <s v=""/>
    <x v="4"/>
    <x v="1"/>
    <x v="2"/>
    <x v="11"/>
    <x v="11"/>
    <s v=""/>
    <x v="0"/>
    <x v="0"/>
    <n v="110"/>
    <x v="11"/>
    <s v=""/>
    <x v="4"/>
    <x v="1"/>
  </r>
  <r>
    <x v="18"/>
    <x v="3"/>
    <x v="13"/>
    <n v="0"/>
    <s v="Debe"/>
    <x v="1"/>
    <x v="2"/>
    <x v="1"/>
    <x v="1"/>
    <n v="0"/>
    <n v="0"/>
    <s v=""/>
    <x v="4"/>
    <x v="1"/>
    <x v="2"/>
    <x v="11"/>
    <x v="11"/>
    <s v=""/>
    <x v="0"/>
    <x v="0"/>
    <n v="111"/>
    <x v="11"/>
    <s v=""/>
    <x v="4"/>
    <x v="1"/>
  </r>
  <r>
    <x v="18"/>
    <x v="3"/>
    <x v="13"/>
    <n v="0"/>
    <s v="Haber"/>
    <x v="1"/>
    <x v="2"/>
    <x v="1"/>
    <x v="1"/>
    <n v="0"/>
    <s v=""/>
    <n v="0"/>
    <x v="4"/>
    <x v="1"/>
    <x v="2"/>
    <x v="11"/>
    <x v="11"/>
    <s v=""/>
    <x v="0"/>
    <x v="0"/>
    <n v="1402"/>
    <x v="11"/>
    <s v=""/>
    <x v="4"/>
    <x v="1"/>
  </r>
  <r>
    <x v="18"/>
    <x v="3"/>
    <x v="13"/>
    <n v="0"/>
    <s v="Haber"/>
    <x v="1"/>
    <x v="2"/>
    <x v="1"/>
    <x v="1"/>
    <n v="0"/>
    <s v=""/>
    <n v="0"/>
    <x v="4"/>
    <x v="1"/>
    <x v="2"/>
    <x v="11"/>
    <x v="11"/>
    <s v=""/>
    <x v="0"/>
    <x v="0"/>
    <n v="1403"/>
    <x v="11"/>
    <s v=""/>
    <x v="4"/>
    <x v="1"/>
  </r>
  <r>
    <x v="19"/>
    <x v="4"/>
    <x v="13"/>
    <n v="0"/>
    <s v="Debe"/>
    <x v="1"/>
    <x v="2"/>
    <x v="1"/>
    <x v="1"/>
    <n v="0"/>
    <n v="0"/>
    <s v=""/>
    <x v="4"/>
    <x v="1"/>
    <x v="2"/>
    <x v="11"/>
    <x v="11"/>
    <s v=""/>
    <x v="0"/>
    <x v="0"/>
    <n v="119"/>
    <x v="11"/>
    <s v=""/>
    <x v="4"/>
    <x v="1"/>
  </r>
  <r>
    <x v="19"/>
    <x v="4"/>
    <x v="13"/>
    <n v="0"/>
    <s v="Debe"/>
    <x v="1"/>
    <x v="2"/>
    <x v="1"/>
    <x v="1"/>
    <n v="0"/>
    <n v="0"/>
    <s v=""/>
    <x v="4"/>
    <x v="1"/>
    <x v="2"/>
    <x v="11"/>
    <x v="11"/>
    <s v=""/>
    <x v="0"/>
    <x v="0"/>
    <n v="120"/>
    <x v="11"/>
    <s v=""/>
    <x v="4"/>
    <x v="1"/>
  </r>
  <r>
    <x v="19"/>
    <x v="4"/>
    <x v="13"/>
    <n v="0"/>
    <s v="Haber"/>
    <x v="1"/>
    <x v="2"/>
    <x v="1"/>
    <x v="1"/>
    <n v="0"/>
    <s v=""/>
    <n v="0"/>
    <x v="4"/>
    <x v="1"/>
    <x v="2"/>
    <x v="11"/>
    <x v="11"/>
    <s v=""/>
    <x v="0"/>
    <x v="0"/>
    <n v="1411"/>
    <x v="11"/>
    <s v=""/>
    <x v="4"/>
    <x v="1"/>
  </r>
  <r>
    <x v="19"/>
    <x v="4"/>
    <x v="13"/>
    <n v="0"/>
    <s v="Haber"/>
    <x v="1"/>
    <x v="2"/>
    <x v="1"/>
    <x v="1"/>
    <n v="0"/>
    <s v=""/>
    <n v="0"/>
    <x v="4"/>
    <x v="1"/>
    <x v="2"/>
    <x v="11"/>
    <x v="11"/>
    <s v=""/>
    <x v="0"/>
    <x v="0"/>
    <n v="1412"/>
    <x v="11"/>
    <s v=""/>
    <x v="4"/>
    <x v="1"/>
  </r>
  <r>
    <x v="20"/>
    <x v="5"/>
    <x v="13"/>
    <n v="0"/>
    <s v="Debe"/>
    <x v="1"/>
    <x v="2"/>
    <x v="1"/>
    <x v="1"/>
    <n v="0"/>
    <n v="0"/>
    <s v=""/>
    <x v="4"/>
    <x v="1"/>
    <x v="2"/>
    <x v="11"/>
    <x v="11"/>
    <s v=""/>
    <x v="0"/>
    <x v="0"/>
    <n v="130"/>
    <x v="11"/>
    <s v=""/>
    <x v="4"/>
    <x v="1"/>
  </r>
  <r>
    <x v="20"/>
    <x v="5"/>
    <x v="13"/>
    <n v="0"/>
    <s v="Debe"/>
    <x v="1"/>
    <x v="2"/>
    <x v="1"/>
    <x v="1"/>
    <n v="0"/>
    <n v="0"/>
    <s v=""/>
    <x v="4"/>
    <x v="1"/>
    <x v="2"/>
    <x v="11"/>
    <x v="11"/>
    <s v=""/>
    <x v="0"/>
    <x v="0"/>
    <n v="131"/>
    <x v="11"/>
    <s v=""/>
    <x v="4"/>
    <x v="1"/>
  </r>
  <r>
    <x v="20"/>
    <x v="5"/>
    <x v="13"/>
    <n v="0"/>
    <s v="Debe"/>
    <x v="1"/>
    <x v="2"/>
    <x v="1"/>
    <x v="1"/>
    <n v="0"/>
    <n v="0"/>
    <s v=""/>
    <x v="4"/>
    <x v="1"/>
    <x v="2"/>
    <x v="11"/>
    <x v="11"/>
    <s v=""/>
    <x v="0"/>
    <x v="0"/>
    <n v="132"/>
    <x v="11"/>
    <s v=""/>
    <x v="4"/>
    <x v="1"/>
  </r>
  <r>
    <x v="20"/>
    <x v="5"/>
    <x v="13"/>
    <n v="0"/>
    <s v="Haber"/>
    <x v="1"/>
    <x v="2"/>
    <x v="1"/>
    <x v="1"/>
    <n v="0"/>
    <s v=""/>
    <n v="0"/>
    <x v="4"/>
    <x v="1"/>
    <x v="2"/>
    <x v="11"/>
    <x v="11"/>
    <s v=""/>
    <x v="0"/>
    <x v="0"/>
    <n v="1420"/>
    <x v="11"/>
    <s v=""/>
    <x v="4"/>
    <x v="1"/>
  </r>
  <r>
    <x v="20"/>
    <x v="5"/>
    <x v="13"/>
    <n v="0"/>
    <s v="Haber"/>
    <x v="1"/>
    <x v="2"/>
    <x v="1"/>
    <x v="1"/>
    <n v="0"/>
    <s v=""/>
    <n v="0"/>
    <x v="4"/>
    <x v="1"/>
    <x v="2"/>
    <x v="11"/>
    <x v="11"/>
    <s v=""/>
    <x v="0"/>
    <x v="0"/>
    <n v="1423"/>
    <x v="11"/>
    <s v=""/>
    <x v="4"/>
    <x v="1"/>
  </r>
  <r>
    <x v="20"/>
    <x v="5"/>
    <x v="13"/>
    <n v="0"/>
    <s v="Haber"/>
    <x v="1"/>
    <x v="2"/>
    <x v="1"/>
    <x v="1"/>
    <n v="0"/>
    <s v=""/>
    <n v="0"/>
    <x v="4"/>
    <x v="1"/>
    <x v="2"/>
    <x v="11"/>
    <x v="11"/>
    <s v=""/>
    <x v="0"/>
    <x v="0"/>
    <n v="1424"/>
    <x v="11"/>
    <s v=""/>
    <x v="4"/>
    <x v="1"/>
  </r>
  <r>
    <x v="21"/>
    <x v="6"/>
    <x v="13"/>
    <n v="0"/>
    <s v="Debe"/>
    <x v="1"/>
    <x v="2"/>
    <x v="1"/>
    <x v="1"/>
    <n v="0"/>
    <n v="0"/>
    <s v=""/>
    <x v="4"/>
    <x v="1"/>
    <x v="2"/>
    <x v="11"/>
    <x v="11"/>
    <s v=""/>
    <x v="0"/>
    <x v="0"/>
    <n v="140"/>
    <x v="11"/>
    <s v=""/>
    <x v="4"/>
    <x v="1"/>
  </r>
  <r>
    <x v="21"/>
    <x v="6"/>
    <x v="13"/>
    <n v="0"/>
    <s v="Debe"/>
    <x v="1"/>
    <x v="2"/>
    <x v="1"/>
    <x v="1"/>
    <n v="0"/>
    <n v="0"/>
    <s v=""/>
    <x v="4"/>
    <x v="1"/>
    <x v="2"/>
    <x v="11"/>
    <x v="11"/>
    <s v=""/>
    <x v="0"/>
    <x v="0"/>
    <n v="141"/>
    <x v="11"/>
    <s v=""/>
    <x v="4"/>
    <x v="1"/>
  </r>
  <r>
    <x v="21"/>
    <x v="6"/>
    <x v="13"/>
    <n v="0"/>
    <s v="Debe"/>
    <x v="1"/>
    <x v="2"/>
    <x v="1"/>
    <x v="1"/>
    <n v="0"/>
    <n v="0"/>
    <s v=""/>
    <x v="4"/>
    <x v="1"/>
    <x v="2"/>
    <x v="11"/>
    <x v="11"/>
    <s v=""/>
    <x v="0"/>
    <x v="0"/>
    <n v="144"/>
    <x v="11"/>
    <s v=""/>
    <x v="4"/>
    <x v="1"/>
  </r>
  <r>
    <x v="21"/>
    <x v="6"/>
    <x v="13"/>
    <n v="0"/>
    <s v="Haber"/>
    <x v="1"/>
    <x v="2"/>
    <x v="1"/>
    <x v="1"/>
    <n v="0"/>
    <s v=""/>
    <n v="0"/>
    <x v="4"/>
    <x v="1"/>
    <x v="2"/>
    <x v="11"/>
    <x v="11"/>
    <s v=""/>
    <x v="0"/>
    <x v="0"/>
    <n v="1432"/>
    <x v="11"/>
    <s v=""/>
    <x v="4"/>
    <x v="1"/>
  </r>
  <r>
    <x v="21"/>
    <x v="6"/>
    <x v="13"/>
    <n v="0"/>
    <s v="Haber"/>
    <x v="1"/>
    <x v="2"/>
    <x v="1"/>
    <x v="1"/>
    <n v="0"/>
    <s v=""/>
    <n v="0"/>
    <x v="4"/>
    <x v="1"/>
    <x v="2"/>
    <x v="11"/>
    <x v="11"/>
    <s v=""/>
    <x v="0"/>
    <x v="0"/>
    <n v="1433"/>
    <x v="11"/>
    <s v=""/>
    <x v="4"/>
    <x v="1"/>
  </r>
  <r>
    <x v="21"/>
    <x v="6"/>
    <x v="13"/>
    <n v="0"/>
    <s v="Haber"/>
    <x v="1"/>
    <x v="2"/>
    <x v="1"/>
    <x v="1"/>
    <n v="0"/>
    <s v=""/>
    <n v="0"/>
    <x v="4"/>
    <x v="1"/>
    <x v="2"/>
    <x v="11"/>
    <x v="11"/>
    <s v=""/>
    <x v="0"/>
    <x v="0"/>
    <n v="1434"/>
    <x v="11"/>
    <s v=""/>
    <x v="4"/>
    <x v="1"/>
  </r>
  <r>
    <x v="22"/>
    <x v="7"/>
    <x v="13"/>
    <n v="0"/>
    <s v="Debe"/>
    <x v="1"/>
    <x v="2"/>
    <x v="1"/>
    <x v="1"/>
    <n v="0"/>
    <n v="0"/>
    <s v=""/>
    <x v="4"/>
    <x v="1"/>
    <x v="2"/>
    <x v="11"/>
    <x v="11"/>
    <s v=""/>
    <x v="0"/>
    <x v="0"/>
    <n v="153"/>
    <x v="11"/>
    <s v=""/>
    <x v="4"/>
    <x v="1"/>
  </r>
  <r>
    <x v="22"/>
    <x v="7"/>
    <x v="13"/>
    <n v="0"/>
    <s v="Debe"/>
    <x v="1"/>
    <x v="2"/>
    <x v="1"/>
    <x v="1"/>
    <n v="0"/>
    <n v="0"/>
    <s v=""/>
    <x v="4"/>
    <x v="1"/>
    <x v="2"/>
    <x v="11"/>
    <x v="11"/>
    <s v=""/>
    <x v="0"/>
    <x v="0"/>
    <n v="154"/>
    <x v="11"/>
    <s v=""/>
    <x v="4"/>
    <x v="1"/>
  </r>
  <r>
    <x v="22"/>
    <x v="7"/>
    <x v="13"/>
    <n v="0"/>
    <s v="Haber"/>
    <x v="1"/>
    <x v="2"/>
    <x v="1"/>
    <x v="1"/>
    <n v="0"/>
    <s v=""/>
    <n v="0"/>
    <x v="4"/>
    <x v="1"/>
    <x v="2"/>
    <x v="11"/>
    <x v="11"/>
    <s v=""/>
    <x v="0"/>
    <x v="0"/>
    <n v="1444"/>
    <x v="11"/>
    <s v=""/>
    <x v="4"/>
    <x v="1"/>
  </r>
  <r>
    <x v="22"/>
    <x v="7"/>
    <x v="13"/>
    <n v="0"/>
    <s v="Haber"/>
    <x v="1"/>
    <x v="2"/>
    <x v="1"/>
    <x v="1"/>
    <n v="0"/>
    <s v=""/>
    <n v="0"/>
    <x v="4"/>
    <x v="1"/>
    <x v="2"/>
    <x v="11"/>
    <x v="11"/>
    <s v=""/>
    <x v="0"/>
    <x v="0"/>
    <n v="1445"/>
    <x v="11"/>
    <s v=""/>
    <x v="4"/>
    <x v="1"/>
  </r>
  <r>
    <x v="23"/>
    <x v="8"/>
    <x v="13"/>
    <n v="0"/>
    <s v="Debe"/>
    <x v="1"/>
    <x v="2"/>
    <x v="1"/>
    <x v="1"/>
    <n v="0"/>
    <n v="0"/>
    <s v=""/>
    <x v="4"/>
    <x v="1"/>
    <x v="2"/>
    <x v="11"/>
    <x v="11"/>
    <s v=""/>
    <x v="0"/>
    <x v="0"/>
    <n v="162"/>
    <x v="11"/>
    <s v=""/>
    <x v="4"/>
    <x v="1"/>
  </r>
  <r>
    <x v="23"/>
    <x v="8"/>
    <x v="13"/>
    <n v="0"/>
    <s v="Debe"/>
    <x v="1"/>
    <x v="2"/>
    <x v="1"/>
    <x v="1"/>
    <n v="0"/>
    <n v="0"/>
    <s v=""/>
    <x v="4"/>
    <x v="1"/>
    <x v="2"/>
    <x v="11"/>
    <x v="11"/>
    <s v=""/>
    <x v="0"/>
    <x v="0"/>
    <n v="163"/>
    <x v="11"/>
    <s v=""/>
    <x v="4"/>
    <x v="1"/>
  </r>
  <r>
    <x v="23"/>
    <x v="8"/>
    <x v="13"/>
    <n v="0"/>
    <s v="Haber"/>
    <x v="1"/>
    <x v="2"/>
    <x v="1"/>
    <x v="1"/>
    <n v="0"/>
    <s v=""/>
    <n v="0"/>
    <x v="4"/>
    <x v="1"/>
    <x v="2"/>
    <x v="11"/>
    <x v="11"/>
    <s v=""/>
    <x v="0"/>
    <x v="0"/>
    <n v="1453"/>
    <x v="11"/>
    <s v=""/>
    <x v="4"/>
    <x v="1"/>
  </r>
  <r>
    <x v="23"/>
    <x v="8"/>
    <x v="13"/>
    <n v="0"/>
    <s v="Haber"/>
    <x v="1"/>
    <x v="2"/>
    <x v="1"/>
    <x v="1"/>
    <n v="0"/>
    <s v=""/>
    <n v="0"/>
    <x v="4"/>
    <x v="1"/>
    <x v="2"/>
    <x v="11"/>
    <x v="11"/>
    <s v=""/>
    <x v="0"/>
    <x v="0"/>
    <n v="1454"/>
    <x v="11"/>
    <s v=""/>
    <x v="4"/>
    <x v="1"/>
  </r>
  <r>
    <x v="24"/>
    <x v="9"/>
    <x v="13"/>
    <n v="0"/>
    <s v="Debe"/>
    <x v="1"/>
    <x v="2"/>
    <x v="1"/>
    <x v="1"/>
    <n v="0"/>
    <n v="0"/>
    <s v=""/>
    <x v="4"/>
    <x v="1"/>
    <x v="2"/>
    <x v="11"/>
    <x v="11"/>
    <s v=""/>
    <x v="0"/>
    <x v="0"/>
    <n v="173"/>
    <x v="11"/>
    <s v=""/>
    <x v="4"/>
    <x v="1"/>
  </r>
  <r>
    <x v="24"/>
    <x v="9"/>
    <x v="13"/>
    <n v="0"/>
    <s v="Debe"/>
    <x v="1"/>
    <x v="2"/>
    <x v="1"/>
    <x v="1"/>
    <n v="0"/>
    <n v="0"/>
    <s v=""/>
    <x v="4"/>
    <x v="1"/>
    <x v="2"/>
    <x v="11"/>
    <x v="11"/>
    <s v=""/>
    <x v="0"/>
    <x v="0"/>
    <n v="174"/>
    <x v="11"/>
    <s v=""/>
    <x v="4"/>
    <x v="1"/>
  </r>
  <r>
    <x v="24"/>
    <x v="9"/>
    <x v="13"/>
    <n v="0"/>
    <s v="Haber"/>
    <x v="1"/>
    <x v="2"/>
    <x v="1"/>
    <x v="1"/>
    <n v="0"/>
    <s v=""/>
    <n v="0"/>
    <x v="4"/>
    <x v="1"/>
    <x v="2"/>
    <x v="11"/>
    <x v="11"/>
    <s v=""/>
    <x v="0"/>
    <x v="0"/>
    <n v="1462"/>
    <x v="11"/>
    <s v=""/>
    <x v="4"/>
    <x v="1"/>
  </r>
  <r>
    <x v="24"/>
    <x v="9"/>
    <x v="13"/>
    <n v="0"/>
    <s v="Haber"/>
    <x v="1"/>
    <x v="2"/>
    <x v="1"/>
    <x v="1"/>
    <n v="0"/>
    <s v=""/>
    <n v="0"/>
    <x v="4"/>
    <x v="1"/>
    <x v="2"/>
    <x v="11"/>
    <x v="11"/>
    <s v=""/>
    <x v="0"/>
    <x v="0"/>
    <n v="1465"/>
    <x v="11"/>
    <s v=""/>
    <x v="4"/>
    <x v="1"/>
  </r>
  <r>
    <x v="25"/>
    <x v="10"/>
    <x v="13"/>
    <n v="0"/>
    <s v="Debe"/>
    <x v="1"/>
    <x v="2"/>
    <x v="1"/>
    <x v="1"/>
    <n v="0"/>
    <n v="0"/>
    <s v=""/>
    <x v="4"/>
    <x v="1"/>
    <x v="2"/>
    <x v="11"/>
    <x v="11"/>
    <s v=""/>
    <x v="0"/>
    <x v="0"/>
    <n v="182"/>
    <x v="11"/>
    <s v=""/>
    <x v="4"/>
    <x v="1"/>
  </r>
  <r>
    <x v="25"/>
    <x v="10"/>
    <x v="13"/>
    <n v="0"/>
    <s v="Debe"/>
    <x v="1"/>
    <x v="2"/>
    <x v="1"/>
    <x v="1"/>
    <n v="0"/>
    <n v="0"/>
    <s v=""/>
    <x v="4"/>
    <x v="1"/>
    <x v="2"/>
    <x v="11"/>
    <x v="11"/>
    <s v=""/>
    <x v="0"/>
    <x v="0"/>
    <n v="183"/>
    <x v="11"/>
    <s v=""/>
    <x v="4"/>
    <x v="1"/>
  </r>
  <r>
    <x v="25"/>
    <x v="10"/>
    <x v="13"/>
    <n v="0"/>
    <s v="Haber"/>
    <x v="1"/>
    <x v="2"/>
    <x v="1"/>
    <x v="1"/>
    <n v="0"/>
    <s v=""/>
    <n v="0"/>
    <x v="4"/>
    <x v="1"/>
    <x v="2"/>
    <x v="11"/>
    <x v="11"/>
    <s v=""/>
    <x v="0"/>
    <x v="0"/>
    <n v="1473"/>
    <x v="11"/>
    <s v=""/>
    <x v="4"/>
    <x v="1"/>
  </r>
  <r>
    <x v="25"/>
    <x v="10"/>
    <x v="13"/>
    <n v="0"/>
    <s v="Haber"/>
    <x v="1"/>
    <x v="2"/>
    <x v="1"/>
    <x v="1"/>
    <n v="0"/>
    <s v=""/>
    <n v="0"/>
    <x v="4"/>
    <x v="1"/>
    <x v="2"/>
    <x v="11"/>
    <x v="11"/>
    <s v=""/>
    <x v="0"/>
    <x v="0"/>
    <n v="1474"/>
    <x v="11"/>
    <s v=""/>
    <x v="4"/>
    <x v="1"/>
  </r>
  <r>
    <x v="26"/>
    <x v="11"/>
    <x v="13"/>
    <n v="0"/>
    <s v="Debe"/>
    <x v="1"/>
    <x v="2"/>
    <x v="1"/>
    <x v="1"/>
    <n v="0"/>
    <n v="0"/>
    <s v=""/>
    <x v="4"/>
    <x v="1"/>
    <x v="2"/>
    <x v="11"/>
    <x v="11"/>
    <s v=""/>
    <x v="0"/>
    <x v="0"/>
    <n v="193"/>
    <x v="11"/>
    <s v=""/>
    <x v="4"/>
    <x v="1"/>
  </r>
  <r>
    <x v="26"/>
    <x v="11"/>
    <x v="13"/>
    <n v="0"/>
    <s v="Debe"/>
    <x v="1"/>
    <x v="2"/>
    <x v="1"/>
    <x v="1"/>
    <n v="0"/>
    <n v="0"/>
    <s v=""/>
    <x v="4"/>
    <x v="1"/>
    <x v="2"/>
    <x v="11"/>
    <x v="11"/>
    <s v=""/>
    <x v="0"/>
    <x v="0"/>
    <n v="196"/>
    <x v="11"/>
    <s v=""/>
    <x v="4"/>
    <x v="1"/>
  </r>
  <r>
    <x v="26"/>
    <x v="11"/>
    <x v="13"/>
    <n v="0"/>
    <s v="Haber"/>
    <x v="1"/>
    <x v="2"/>
    <x v="1"/>
    <x v="1"/>
    <n v="0"/>
    <s v=""/>
    <n v="0"/>
    <x v="4"/>
    <x v="1"/>
    <x v="2"/>
    <x v="11"/>
    <x v="11"/>
    <s v=""/>
    <x v="0"/>
    <x v="0"/>
    <n v="1482"/>
    <x v="11"/>
    <s v=""/>
    <x v="4"/>
    <x v="1"/>
  </r>
  <r>
    <x v="26"/>
    <x v="11"/>
    <x v="13"/>
    <n v="0"/>
    <s v="Haber"/>
    <x v="1"/>
    <x v="2"/>
    <x v="1"/>
    <x v="1"/>
    <n v="0"/>
    <s v=""/>
    <n v="0"/>
    <x v="4"/>
    <x v="1"/>
    <x v="2"/>
    <x v="11"/>
    <x v="11"/>
    <s v=""/>
    <x v="0"/>
    <x v="0"/>
    <n v="1483"/>
    <x v="11"/>
    <s v=""/>
    <x v="4"/>
    <x v="1"/>
  </r>
  <r>
    <x v="27"/>
    <x v="12"/>
    <x v="13"/>
    <n v="0"/>
    <s v="Debe"/>
    <x v="1"/>
    <x v="2"/>
    <x v="1"/>
    <x v="1"/>
    <n v="0"/>
    <n v="0"/>
    <s v=""/>
    <x v="4"/>
    <x v="1"/>
    <x v="2"/>
    <x v="11"/>
    <x v="11"/>
    <s v=""/>
    <x v="0"/>
    <x v="0"/>
    <n v="204"/>
    <x v="11"/>
    <s v=""/>
    <x v="4"/>
    <x v="1"/>
  </r>
  <r>
    <x v="27"/>
    <x v="12"/>
    <x v="13"/>
    <n v="0"/>
    <s v="Debe"/>
    <x v="1"/>
    <x v="2"/>
    <x v="1"/>
    <x v="1"/>
    <n v="0"/>
    <n v="0"/>
    <s v=""/>
    <x v="4"/>
    <x v="1"/>
    <x v="2"/>
    <x v="11"/>
    <x v="11"/>
    <s v=""/>
    <x v="0"/>
    <x v="0"/>
    <n v="205"/>
    <x v="11"/>
    <s v=""/>
    <x v="4"/>
    <x v="1"/>
  </r>
  <r>
    <x v="27"/>
    <x v="12"/>
    <x v="13"/>
    <n v="0"/>
    <s v="Haber"/>
    <x v="1"/>
    <x v="2"/>
    <x v="1"/>
    <x v="1"/>
    <n v="0"/>
    <s v=""/>
    <n v="0"/>
    <x v="4"/>
    <x v="1"/>
    <x v="2"/>
    <x v="11"/>
    <x v="11"/>
    <s v=""/>
    <x v="0"/>
    <x v="0"/>
    <n v="1493"/>
    <x v="11"/>
    <s v=""/>
    <x v="4"/>
    <x v="1"/>
  </r>
  <r>
    <x v="27"/>
    <x v="12"/>
    <x v="13"/>
    <n v="0"/>
    <s v="Haber"/>
    <x v="1"/>
    <x v="2"/>
    <x v="1"/>
    <x v="1"/>
    <n v="0"/>
    <s v=""/>
    <n v="0"/>
    <x v="4"/>
    <x v="1"/>
    <x v="2"/>
    <x v="11"/>
    <x v="11"/>
    <s v=""/>
    <x v="0"/>
    <x v="0"/>
    <n v="1494"/>
    <x v="11"/>
    <s v=""/>
    <x v="4"/>
    <x v="1"/>
  </r>
  <r>
    <x v="28"/>
    <x v="13"/>
    <x v="13"/>
    <n v="0"/>
    <s v="Debe"/>
    <x v="1"/>
    <x v="2"/>
    <x v="1"/>
    <x v="1"/>
    <n v="0"/>
    <n v="0"/>
    <s v=""/>
    <x v="4"/>
    <x v="1"/>
    <x v="2"/>
    <x v="11"/>
    <x v="11"/>
    <s v=""/>
    <x v="0"/>
    <x v="0"/>
    <n v="213"/>
    <x v="11"/>
    <s v=""/>
    <x v="4"/>
    <x v="1"/>
  </r>
  <r>
    <x v="28"/>
    <x v="13"/>
    <x v="13"/>
    <n v="0"/>
    <s v="Debe"/>
    <x v="1"/>
    <x v="2"/>
    <x v="1"/>
    <x v="1"/>
    <n v="0"/>
    <n v="0"/>
    <s v=""/>
    <x v="4"/>
    <x v="1"/>
    <x v="2"/>
    <x v="11"/>
    <x v="11"/>
    <s v=""/>
    <x v="0"/>
    <x v="0"/>
    <n v="214"/>
    <x v="11"/>
    <s v=""/>
    <x v="4"/>
    <x v="1"/>
  </r>
  <r>
    <x v="28"/>
    <x v="13"/>
    <x v="13"/>
    <n v="0"/>
    <s v="Debe"/>
    <x v="1"/>
    <x v="2"/>
    <x v="1"/>
    <x v="1"/>
    <n v="0"/>
    <n v="0"/>
    <s v=""/>
    <x v="4"/>
    <x v="1"/>
    <x v="2"/>
    <x v="11"/>
    <x v="11"/>
    <s v=""/>
    <x v="0"/>
    <x v="0"/>
    <n v="217"/>
    <x v="11"/>
    <s v=""/>
    <x v="4"/>
    <x v="1"/>
  </r>
  <r>
    <x v="28"/>
    <x v="13"/>
    <x v="13"/>
    <n v="0"/>
    <s v="Haber"/>
    <x v="1"/>
    <x v="2"/>
    <x v="1"/>
    <x v="1"/>
    <n v="0"/>
    <s v=""/>
    <n v="0"/>
    <x v="4"/>
    <x v="1"/>
    <x v="2"/>
    <x v="11"/>
    <x v="11"/>
    <s v=""/>
    <x v="0"/>
    <x v="0"/>
    <n v="1516"/>
    <x v="11"/>
    <s v=""/>
    <x v="4"/>
    <x v="1"/>
  </r>
  <r>
    <x v="28"/>
    <x v="13"/>
    <x v="13"/>
    <n v="0"/>
    <s v="Haber"/>
    <x v="1"/>
    <x v="2"/>
    <x v="1"/>
    <x v="1"/>
    <n v="0"/>
    <s v=""/>
    <n v="0"/>
    <x v="4"/>
    <x v="1"/>
    <x v="2"/>
    <x v="11"/>
    <x v="11"/>
    <s v=""/>
    <x v="0"/>
    <x v="0"/>
    <n v="1517"/>
    <x v="11"/>
    <s v=""/>
    <x v="4"/>
    <x v="1"/>
  </r>
  <r>
    <x v="28"/>
    <x v="13"/>
    <x v="13"/>
    <n v="0"/>
    <s v="Haber"/>
    <x v="1"/>
    <x v="2"/>
    <x v="1"/>
    <x v="1"/>
    <n v="0"/>
    <s v=""/>
    <n v="0"/>
    <x v="4"/>
    <x v="1"/>
    <x v="2"/>
    <x v="11"/>
    <x v="11"/>
    <s v=""/>
    <x v="0"/>
    <x v="0"/>
    <n v="1518"/>
    <x v="11"/>
    <s v=""/>
    <x v="4"/>
    <x v="1"/>
  </r>
  <r>
    <x v="29"/>
    <x v="14"/>
    <x v="13"/>
    <n v="0"/>
    <s v="Debe"/>
    <x v="1"/>
    <x v="2"/>
    <x v="1"/>
    <x v="1"/>
    <n v="0"/>
    <n v="0"/>
    <s v=""/>
    <x v="4"/>
    <x v="1"/>
    <x v="2"/>
    <x v="11"/>
    <x v="11"/>
    <s v=""/>
    <x v="0"/>
    <x v="0"/>
    <n v="225"/>
    <x v="11"/>
    <s v=""/>
    <x v="4"/>
    <x v="1"/>
  </r>
  <r>
    <x v="29"/>
    <x v="14"/>
    <x v="13"/>
    <n v="0"/>
    <s v="Debe"/>
    <x v="1"/>
    <x v="2"/>
    <x v="1"/>
    <x v="1"/>
    <n v="0"/>
    <n v="0"/>
    <s v=""/>
    <x v="4"/>
    <x v="1"/>
    <x v="2"/>
    <x v="11"/>
    <x v="11"/>
    <s v=""/>
    <x v="0"/>
    <x v="0"/>
    <n v="226"/>
    <x v="11"/>
    <s v=""/>
    <x v="4"/>
    <x v="1"/>
  </r>
  <r>
    <x v="29"/>
    <x v="14"/>
    <x v="13"/>
    <n v="0"/>
    <s v="Haber"/>
    <x v="1"/>
    <x v="2"/>
    <x v="1"/>
    <x v="1"/>
    <n v="0"/>
    <s v=""/>
    <n v="0"/>
    <x v="4"/>
    <x v="1"/>
    <x v="2"/>
    <x v="11"/>
    <x v="11"/>
    <s v=""/>
    <x v="0"/>
    <x v="0"/>
    <n v="1538"/>
    <x v="11"/>
    <s v=""/>
    <x v="4"/>
    <x v="1"/>
  </r>
  <r>
    <x v="29"/>
    <x v="14"/>
    <x v="13"/>
    <n v="0"/>
    <s v="Haber"/>
    <x v="1"/>
    <x v="2"/>
    <x v="1"/>
    <x v="1"/>
    <n v="0"/>
    <s v=""/>
    <n v="0"/>
    <x v="4"/>
    <x v="1"/>
    <x v="2"/>
    <x v="11"/>
    <x v="11"/>
    <s v=""/>
    <x v="0"/>
    <x v="0"/>
    <n v="1539"/>
    <x v="11"/>
    <s v=""/>
    <x v="4"/>
    <x v="1"/>
  </r>
  <r>
    <x v="30"/>
    <x v="15"/>
    <x v="13"/>
    <n v="0"/>
    <s v="Debe"/>
    <x v="1"/>
    <x v="2"/>
    <x v="1"/>
    <x v="1"/>
    <n v="0"/>
    <n v="0"/>
    <s v=""/>
    <x v="4"/>
    <x v="1"/>
    <x v="2"/>
    <x v="11"/>
    <x v="11"/>
    <s v=""/>
    <x v="0"/>
    <x v="0"/>
    <n v="234"/>
    <x v="11"/>
    <s v=""/>
    <x v="4"/>
    <x v="1"/>
  </r>
  <r>
    <x v="30"/>
    <x v="15"/>
    <x v="13"/>
    <n v="0"/>
    <s v="Debe"/>
    <x v="1"/>
    <x v="2"/>
    <x v="1"/>
    <x v="1"/>
    <n v="0"/>
    <n v="0"/>
    <s v=""/>
    <x v="4"/>
    <x v="1"/>
    <x v="2"/>
    <x v="11"/>
    <x v="11"/>
    <s v=""/>
    <x v="0"/>
    <x v="0"/>
    <n v="235"/>
    <x v="11"/>
    <s v=""/>
    <x v="4"/>
    <x v="1"/>
  </r>
  <r>
    <x v="30"/>
    <x v="15"/>
    <x v="13"/>
    <n v="0"/>
    <s v="Haber"/>
    <x v="1"/>
    <x v="2"/>
    <x v="1"/>
    <x v="1"/>
    <n v="0"/>
    <s v=""/>
    <n v="0"/>
    <x v="4"/>
    <x v="1"/>
    <x v="2"/>
    <x v="11"/>
    <x v="11"/>
    <s v=""/>
    <x v="0"/>
    <x v="0"/>
    <n v="1547"/>
    <x v="11"/>
    <s v=""/>
    <x v="4"/>
    <x v="1"/>
  </r>
  <r>
    <x v="30"/>
    <x v="15"/>
    <x v="13"/>
    <n v="0"/>
    <s v="Haber"/>
    <x v="1"/>
    <x v="2"/>
    <x v="1"/>
    <x v="1"/>
    <n v="0"/>
    <s v=""/>
    <n v="0"/>
    <x v="4"/>
    <x v="1"/>
    <x v="2"/>
    <x v="11"/>
    <x v="11"/>
    <s v=""/>
    <x v="0"/>
    <x v="0"/>
    <n v="1548"/>
    <x v="11"/>
    <s v=""/>
    <x v="4"/>
    <x v="1"/>
  </r>
  <r>
    <x v="31"/>
    <x v="16"/>
    <x v="13"/>
    <n v="0"/>
    <s v="Debe"/>
    <x v="1"/>
    <x v="2"/>
    <x v="1"/>
    <x v="1"/>
    <n v="0"/>
    <n v="0"/>
    <s v=""/>
    <x v="4"/>
    <x v="1"/>
    <x v="2"/>
    <x v="11"/>
    <x v="11"/>
    <s v=""/>
    <x v="0"/>
    <x v="0"/>
    <n v="245"/>
    <x v="11"/>
    <s v=""/>
    <x v="4"/>
    <x v="1"/>
  </r>
  <r>
    <x v="31"/>
    <x v="16"/>
    <x v="13"/>
    <n v="0"/>
    <s v="Debe"/>
    <x v="1"/>
    <x v="2"/>
    <x v="1"/>
    <x v="1"/>
    <n v="0"/>
    <n v="0"/>
    <s v=""/>
    <x v="4"/>
    <x v="1"/>
    <x v="2"/>
    <x v="11"/>
    <x v="11"/>
    <s v=""/>
    <x v="0"/>
    <x v="0"/>
    <n v="246"/>
    <x v="11"/>
    <s v=""/>
    <x v="4"/>
    <x v="1"/>
  </r>
  <r>
    <x v="31"/>
    <x v="16"/>
    <x v="13"/>
    <n v="0"/>
    <s v="Haber"/>
    <x v="1"/>
    <x v="2"/>
    <x v="1"/>
    <x v="1"/>
    <n v="0"/>
    <s v=""/>
    <n v="0"/>
    <x v="4"/>
    <x v="1"/>
    <x v="2"/>
    <x v="11"/>
    <x v="11"/>
    <s v=""/>
    <x v="0"/>
    <x v="0"/>
    <n v="1577"/>
    <x v="11"/>
    <s v=""/>
    <x v="4"/>
    <x v="1"/>
  </r>
  <r>
    <x v="31"/>
    <x v="16"/>
    <x v="13"/>
    <n v="0"/>
    <s v="Haber"/>
    <x v="1"/>
    <x v="2"/>
    <x v="1"/>
    <x v="1"/>
    <n v="0"/>
    <s v=""/>
    <n v="0"/>
    <x v="4"/>
    <x v="1"/>
    <x v="2"/>
    <x v="11"/>
    <x v="11"/>
    <s v=""/>
    <x v="0"/>
    <x v="0"/>
    <n v="1578"/>
    <x v="11"/>
    <s v=""/>
    <x v="4"/>
    <x v="1"/>
  </r>
  <r>
    <x v="32"/>
    <x v="17"/>
    <x v="13"/>
    <n v="0"/>
    <s v="Debe"/>
    <x v="1"/>
    <x v="2"/>
    <x v="1"/>
    <x v="1"/>
    <n v="0"/>
    <n v="0"/>
    <s v=""/>
    <x v="4"/>
    <x v="1"/>
    <x v="2"/>
    <x v="11"/>
    <x v="11"/>
    <s v=""/>
    <x v="0"/>
    <x v="0"/>
    <n v="254"/>
    <x v="11"/>
    <s v=""/>
    <x v="4"/>
    <x v="1"/>
  </r>
  <r>
    <x v="32"/>
    <x v="17"/>
    <x v="13"/>
    <n v="0"/>
    <s v="Debe"/>
    <x v="1"/>
    <x v="2"/>
    <x v="1"/>
    <x v="1"/>
    <n v="0"/>
    <n v="0"/>
    <s v=""/>
    <x v="4"/>
    <x v="1"/>
    <x v="2"/>
    <x v="11"/>
    <x v="11"/>
    <s v=""/>
    <x v="0"/>
    <x v="0"/>
    <n v="255"/>
    <x v="11"/>
    <s v=""/>
    <x v="4"/>
    <x v="1"/>
  </r>
  <r>
    <x v="32"/>
    <x v="17"/>
    <x v="13"/>
    <n v="0"/>
    <s v="Haber"/>
    <x v="1"/>
    <x v="2"/>
    <x v="1"/>
    <x v="1"/>
    <n v="0"/>
    <s v=""/>
    <n v="0"/>
    <x v="4"/>
    <x v="1"/>
    <x v="2"/>
    <x v="11"/>
    <x v="11"/>
    <s v=""/>
    <x v="0"/>
    <x v="0"/>
    <n v="1584"/>
    <x v="11"/>
    <s v=""/>
    <x v="4"/>
    <x v="1"/>
  </r>
  <r>
    <x v="32"/>
    <x v="17"/>
    <x v="13"/>
    <n v="0"/>
    <s v="Haber"/>
    <x v="1"/>
    <x v="2"/>
    <x v="1"/>
    <x v="1"/>
    <n v="0"/>
    <s v=""/>
    <n v="0"/>
    <x v="4"/>
    <x v="1"/>
    <x v="2"/>
    <x v="11"/>
    <x v="11"/>
    <s v=""/>
    <x v="0"/>
    <x v="0"/>
    <n v="1585"/>
    <x v="11"/>
    <s v=""/>
    <x v="4"/>
    <x v="1"/>
  </r>
  <r>
    <x v="33"/>
    <x v="18"/>
    <x v="13"/>
    <n v="0"/>
    <s v="Debe"/>
    <x v="1"/>
    <x v="2"/>
    <x v="1"/>
    <x v="1"/>
    <n v="0"/>
    <n v="0"/>
    <s v=""/>
    <x v="4"/>
    <x v="1"/>
    <x v="2"/>
    <x v="11"/>
    <x v="11"/>
    <s v=""/>
    <x v="0"/>
    <x v="0"/>
    <n v="263"/>
    <x v="11"/>
    <s v=""/>
    <x v="4"/>
    <x v="1"/>
  </r>
  <r>
    <x v="33"/>
    <x v="18"/>
    <x v="13"/>
    <n v="0"/>
    <s v="Debe"/>
    <x v="1"/>
    <x v="2"/>
    <x v="1"/>
    <x v="1"/>
    <n v="0"/>
    <n v="0"/>
    <s v=""/>
    <x v="4"/>
    <x v="1"/>
    <x v="2"/>
    <x v="11"/>
    <x v="11"/>
    <s v=""/>
    <x v="0"/>
    <x v="0"/>
    <n v="266"/>
    <x v="11"/>
    <s v=""/>
    <x v="4"/>
    <x v="1"/>
  </r>
  <r>
    <x v="33"/>
    <x v="18"/>
    <x v="13"/>
    <n v="0"/>
    <s v="Debe"/>
    <x v="1"/>
    <x v="2"/>
    <x v="1"/>
    <x v="1"/>
    <n v="0"/>
    <n v="0"/>
    <s v=""/>
    <x v="4"/>
    <x v="1"/>
    <x v="2"/>
    <x v="11"/>
    <x v="11"/>
    <s v=""/>
    <x v="0"/>
    <x v="0"/>
    <n v="267"/>
    <x v="11"/>
    <s v=""/>
    <x v="4"/>
    <x v="1"/>
  </r>
  <r>
    <x v="33"/>
    <x v="18"/>
    <x v="13"/>
    <n v="0"/>
    <s v="Debe"/>
    <x v="1"/>
    <x v="2"/>
    <x v="1"/>
    <x v="1"/>
    <n v="0"/>
    <n v="0"/>
    <s v=""/>
    <x v="4"/>
    <x v="1"/>
    <x v="2"/>
    <x v="11"/>
    <x v="11"/>
    <s v=""/>
    <x v="0"/>
    <x v="0"/>
    <n v="268"/>
    <x v="11"/>
    <s v=""/>
    <x v="4"/>
    <x v="1"/>
  </r>
  <r>
    <x v="33"/>
    <x v="18"/>
    <x v="13"/>
    <n v="0"/>
    <s v="Haber"/>
    <x v="1"/>
    <x v="2"/>
    <x v="1"/>
    <x v="1"/>
    <n v="0"/>
    <s v=""/>
    <n v="0"/>
    <x v="4"/>
    <x v="1"/>
    <x v="2"/>
    <x v="11"/>
    <x v="11"/>
    <s v=""/>
    <x v="0"/>
    <x v="0"/>
    <n v="1591"/>
    <x v="11"/>
    <s v=""/>
    <x v="4"/>
    <x v="1"/>
  </r>
  <r>
    <x v="33"/>
    <x v="18"/>
    <x v="13"/>
    <n v="0"/>
    <s v="Haber"/>
    <x v="1"/>
    <x v="2"/>
    <x v="1"/>
    <x v="1"/>
    <n v="0"/>
    <s v=""/>
    <n v="0"/>
    <x v="4"/>
    <x v="1"/>
    <x v="2"/>
    <x v="11"/>
    <x v="11"/>
    <s v=""/>
    <x v="0"/>
    <x v="0"/>
    <n v="1592"/>
    <x v="11"/>
    <s v=""/>
    <x v="4"/>
    <x v="1"/>
  </r>
  <r>
    <x v="33"/>
    <x v="18"/>
    <x v="13"/>
    <n v="0"/>
    <s v="Haber"/>
    <x v="1"/>
    <x v="2"/>
    <x v="1"/>
    <x v="1"/>
    <n v="0"/>
    <s v=""/>
    <n v="0"/>
    <x v="4"/>
    <x v="1"/>
    <x v="2"/>
    <x v="11"/>
    <x v="11"/>
    <s v=""/>
    <x v="0"/>
    <x v="0"/>
    <n v="1593"/>
    <x v="11"/>
    <s v=""/>
    <x v="4"/>
    <x v="1"/>
  </r>
  <r>
    <x v="33"/>
    <x v="18"/>
    <x v="13"/>
    <n v="0"/>
    <s v="Haber"/>
    <x v="1"/>
    <x v="2"/>
    <x v="1"/>
    <x v="1"/>
    <n v="0"/>
    <s v=""/>
    <n v="0"/>
    <x v="4"/>
    <x v="1"/>
    <x v="2"/>
    <x v="11"/>
    <x v="11"/>
    <s v=""/>
    <x v="0"/>
    <x v="0"/>
    <n v="1594"/>
    <x v="11"/>
    <s v=""/>
    <x v="4"/>
    <x v="1"/>
  </r>
  <r>
    <x v="34"/>
    <x v="19"/>
    <x v="13"/>
    <n v="0"/>
    <s v="Debe"/>
    <x v="1"/>
    <x v="2"/>
    <x v="1"/>
    <x v="1"/>
    <n v="0"/>
    <n v="0"/>
    <s v=""/>
    <x v="4"/>
    <x v="1"/>
    <x v="2"/>
    <x v="11"/>
    <x v="11"/>
    <s v=""/>
    <x v="0"/>
    <x v="0"/>
    <n v="276"/>
    <x v="11"/>
    <s v=""/>
    <x v="4"/>
    <x v="1"/>
  </r>
  <r>
    <x v="34"/>
    <x v="19"/>
    <x v="13"/>
    <n v="0"/>
    <s v="Debe"/>
    <x v="1"/>
    <x v="2"/>
    <x v="1"/>
    <x v="1"/>
    <n v="0"/>
    <n v="0"/>
    <s v=""/>
    <x v="4"/>
    <x v="1"/>
    <x v="2"/>
    <x v="11"/>
    <x v="11"/>
    <s v=""/>
    <x v="0"/>
    <x v="0"/>
    <n v="277"/>
    <x v="11"/>
    <s v=""/>
    <x v="4"/>
    <x v="1"/>
  </r>
  <r>
    <x v="34"/>
    <x v="19"/>
    <x v="13"/>
    <n v="0"/>
    <s v="Haber"/>
    <x v="1"/>
    <x v="2"/>
    <x v="1"/>
    <x v="1"/>
    <n v="0"/>
    <s v=""/>
    <n v="0"/>
    <x v="4"/>
    <x v="1"/>
    <x v="2"/>
    <x v="11"/>
    <x v="11"/>
    <s v=""/>
    <x v="0"/>
    <x v="0"/>
    <n v="1600"/>
    <x v="11"/>
    <s v=""/>
    <x v="4"/>
    <x v="1"/>
  </r>
  <r>
    <x v="34"/>
    <x v="19"/>
    <x v="13"/>
    <n v="0"/>
    <s v="Haber"/>
    <x v="1"/>
    <x v="2"/>
    <x v="1"/>
    <x v="1"/>
    <n v="0"/>
    <s v=""/>
    <n v="0"/>
    <x v="4"/>
    <x v="1"/>
    <x v="2"/>
    <x v="11"/>
    <x v="11"/>
    <s v=""/>
    <x v="0"/>
    <x v="0"/>
    <n v="1601"/>
    <x v="11"/>
    <s v=""/>
    <x v="4"/>
    <x v="1"/>
  </r>
  <r>
    <x v="35"/>
    <x v="20"/>
    <x v="13"/>
    <n v="0"/>
    <s v="Debe"/>
    <x v="1"/>
    <x v="2"/>
    <x v="1"/>
    <x v="1"/>
    <n v="0"/>
    <n v="0"/>
    <s v=""/>
    <x v="4"/>
    <x v="1"/>
    <x v="2"/>
    <x v="11"/>
    <x v="11"/>
    <s v=""/>
    <x v="0"/>
    <x v="0"/>
    <n v="287"/>
    <x v="11"/>
    <s v=""/>
    <x v="4"/>
    <x v="1"/>
  </r>
  <r>
    <x v="35"/>
    <x v="20"/>
    <x v="13"/>
    <n v="0"/>
    <s v="Debe"/>
    <x v="1"/>
    <x v="2"/>
    <x v="1"/>
    <x v="1"/>
    <n v="0"/>
    <n v="0"/>
    <s v=""/>
    <x v="4"/>
    <x v="1"/>
    <x v="2"/>
    <x v="11"/>
    <x v="11"/>
    <s v=""/>
    <x v="0"/>
    <x v="0"/>
    <n v="288"/>
    <x v="11"/>
    <s v=""/>
    <x v="4"/>
    <x v="1"/>
  </r>
  <r>
    <x v="35"/>
    <x v="20"/>
    <x v="13"/>
    <n v="0"/>
    <s v="Haber"/>
    <x v="1"/>
    <x v="2"/>
    <x v="1"/>
    <x v="1"/>
    <n v="0"/>
    <s v=""/>
    <n v="0"/>
    <x v="4"/>
    <x v="1"/>
    <x v="2"/>
    <x v="11"/>
    <x v="11"/>
    <s v=""/>
    <x v="0"/>
    <x v="0"/>
    <n v="1607"/>
    <x v="11"/>
    <s v=""/>
    <x v="4"/>
    <x v="1"/>
  </r>
  <r>
    <x v="35"/>
    <x v="20"/>
    <x v="13"/>
    <n v="0"/>
    <s v="Haber"/>
    <x v="1"/>
    <x v="2"/>
    <x v="1"/>
    <x v="1"/>
    <n v="0"/>
    <s v=""/>
    <n v="0"/>
    <x v="4"/>
    <x v="1"/>
    <x v="2"/>
    <x v="11"/>
    <x v="11"/>
    <s v=""/>
    <x v="0"/>
    <x v="0"/>
    <n v="1608"/>
    <x v="11"/>
    <s v=""/>
    <x v="4"/>
    <x v="1"/>
  </r>
  <r>
    <x v="36"/>
    <x v="21"/>
    <x v="13"/>
    <n v="0"/>
    <s v="Debe"/>
    <x v="1"/>
    <x v="2"/>
    <x v="1"/>
    <x v="1"/>
    <n v="0"/>
    <n v="0"/>
    <s v=""/>
    <x v="4"/>
    <x v="1"/>
    <x v="2"/>
    <x v="11"/>
    <x v="11"/>
    <s v=""/>
    <x v="0"/>
    <x v="0"/>
    <n v="296"/>
    <x v="11"/>
    <s v=""/>
    <x v="4"/>
    <x v="1"/>
  </r>
  <r>
    <x v="36"/>
    <x v="21"/>
    <x v="13"/>
    <n v="0"/>
    <s v="Debe"/>
    <x v="1"/>
    <x v="2"/>
    <x v="1"/>
    <x v="1"/>
    <n v="0"/>
    <n v="0"/>
    <s v=""/>
    <x v="4"/>
    <x v="1"/>
    <x v="2"/>
    <x v="11"/>
    <x v="11"/>
    <s v=""/>
    <x v="0"/>
    <x v="0"/>
    <n v="297"/>
    <x v="11"/>
    <s v=""/>
    <x v="4"/>
    <x v="1"/>
  </r>
  <r>
    <x v="36"/>
    <x v="21"/>
    <x v="13"/>
    <n v="0"/>
    <s v="Haber"/>
    <x v="1"/>
    <x v="2"/>
    <x v="1"/>
    <x v="1"/>
    <n v="0"/>
    <s v=""/>
    <n v="0"/>
    <x v="4"/>
    <x v="1"/>
    <x v="2"/>
    <x v="11"/>
    <x v="11"/>
    <s v=""/>
    <x v="0"/>
    <x v="0"/>
    <n v="1614"/>
    <x v="11"/>
    <s v=""/>
    <x v="4"/>
    <x v="1"/>
  </r>
  <r>
    <x v="36"/>
    <x v="21"/>
    <x v="13"/>
    <n v="0"/>
    <s v="Haber"/>
    <x v="1"/>
    <x v="2"/>
    <x v="1"/>
    <x v="1"/>
    <n v="0"/>
    <s v=""/>
    <n v="0"/>
    <x v="4"/>
    <x v="1"/>
    <x v="2"/>
    <x v="11"/>
    <x v="11"/>
    <s v=""/>
    <x v="0"/>
    <x v="0"/>
    <n v="1615"/>
    <x v="11"/>
    <s v=""/>
    <x v="4"/>
    <x v="1"/>
  </r>
  <r>
    <x v="37"/>
    <x v="21"/>
    <x v="13"/>
    <n v="0"/>
    <s v="Debe"/>
    <x v="1"/>
    <x v="2"/>
    <x v="1"/>
    <x v="1"/>
    <n v="0"/>
    <n v="0"/>
    <s v=""/>
    <x v="4"/>
    <x v="1"/>
    <x v="2"/>
    <x v="11"/>
    <x v="11"/>
    <s v=""/>
    <x v="0"/>
    <x v="0"/>
    <n v="305"/>
    <x v="11"/>
    <s v=""/>
    <x v="4"/>
    <x v="1"/>
  </r>
  <r>
    <x v="37"/>
    <x v="21"/>
    <x v="13"/>
    <n v="0"/>
    <s v="Debe"/>
    <x v="1"/>
    <x v="2"/>
    <x v="1"/>
    <x v="1"/>
    <n v="0"/>
    <n v="0"/>
    <s v=""/>
    <x v="4"/>
    <x v="1"/>
    <x v="2"/>
    <x v="11"/>
    <x v="11"/>
    <s v=""/>
    <x v="0"/>
    <x v="0"/>
    <n v="308"/>
    <x v="11"/>
    <s v=""/>
    <x v="4"/>
    <x v="1"/>
  </r>
  <r>
    <x v="37"/>
    <x v="21"/>
    <x v="13"/>
    <n v="0"/>
    <s v="Haber"/>
    <x v="1"/>
    <x v="2"/>
    <x v="1"/>
    <x v="1"/>
    <n v="0"/>
    <s v=""/>
    <n v="0"/>
    <x v="4"/>
    <x v="1"/>
    <x v="2"/>
    <x v="11"/>
    <x v="11"/>
    <s v=""/>
    <x v="0"/>
    <x v="0"/>
    <n v="1621"/>
    <x v="11"/>
    <s v=""/>
    <x v="4"/>
    <x v="1"/>
  </r>
  <r>
    <x v="37"/>
    <x v="21"/>
    <x v="13"/>
    <n v="0"/>
    <s v="Haber"/>
    <x v="1"/>
    <x v="2"/>
    <x v="1"/>
    <x v="1"/>
    <n v="0"/>
    <s v=""/>
    <n v="0"/>
    <x v="4"/>
    <x v="1"/>
    <x v="2"/>
    <x v="11"/>
    <x v="11"/>
    <s v=""/>
    <x v="0"/>
    <x v="0"/>
    <n v="1622"/>
    <x v="11"/>
    <s v=""/>
    <x v="4"/>
    <x v="1"/>
  </r>
  <r>
    <x v="38"/>
    <x v="22"/>
    <x v="13"/>
    <n v="0"/>
    <s v="Debe"/>
    <x v="1"/>
    <x v="2"/>
    <x v="1"/>
    <x v="1"/>
    <n v="0"/>
    <n v="0"/>
    <s v=""/>
    <x v="4"/>
    <x v="1"/>
    <x v="2"/>
    <x v="11"/>
    <x v="11"/>
    <s v=""/>
    <x v="0"/>
    <x v="0"/>
    <n v="316"/>
    <x v="11"/>
    <s v=""/>
    <x v="4"/>
    <x v="1"/>
  </r>
  <r>
    <x v="38"/>
    <x v="22"/>
    <x v="13"/>
    <n v="0"/>
    <s v="Debe"/>
    <x v="1"/>
    <x v="2"/>
    <x v="1"/>
    <x v="1"/>
    <n v="0"/>
    <n v="0"/>
    <s v=""/>
    <x v="4"/>
    <x v="1"/>
    <x v="2"/>
    <x v="11"/>
    <x v="11"/>
    <s v=""/>
    <x v="0"/>
    <x v="0"/>
    <n v="317"/>
    <x v="11"/>
    <s v=""/>
    <x v="4"/>
    <x v="1"/>
  </r>
  <r>
    <x v="38"/>
    <x v="22"/>
    <x v="13"/>
    <n v="0"/>
    <s v="Haber"/>
    <x v="1"/>
    <x v="2"/>
    <x v="1"/>
    <x v="1"/>
    <n v="0"/>
    <s v=""/>
    <n v="0"/>
    <x v="4"/>
    <x v="1"/>
    <x v="2"/>
    <x v="11"/>
    <x v="11"/>
    <s v=""/>
    <x v="0"/>
    <x v="0"/>
    <n v="1628"/>
    <x v="11"/>
    <s v=""/>
    <x v="4"/>
    <x v="1"/>
  </r>
  <r>
    <x v="38"/>
    <x v="22"/>
    <x v="13"/>
    <n v="0"/>
    <s v="Haber"/>
    <x v="1"/>
    <x v="2"/>
    <x v="1"/>
    <x v="1"/>
    <n v="0"/>
    <s v=""/>
    <n v="0"/>
    <x v="4"/>
    <x v="1"/>
    <x v="2"/>
    <x v="11"/>
    <x v="11"/>
    <s v=""/>
    <x v="0"/>
    <x v="0"/>
    <n v="1629"/>
    <x v="11"/>
    <s v=""/>
    <x v="4"/>
    <x v="1"/>
  </r>
  <r>
    <x v="39"/>
    <x v="23"/>
    <x v="13"/>
    <n v="0"/>
    <s v="Debe"/>
    <x v="1"/>
    <x v="2"/>
    <x v="1"/>
    <x v="1"/>
    <n v="0"/>
    <n v="0"/>
    <s v=""/>
    <x v="4"/>
    <x v="1"/>
    <x v="2"/>
    <x v="11"/>
    <x v="11"/>
    <s v=""/>
    <x v="0"/>
    <x v="0"/>
    <n v="326"/>
    <x v="11"/>
    <s v=""/>
    <x v="4"/>
    <x v="1"/>
  </r>
  <r>
    <x v="39"/>
    <x v="23"/>
    <x v="13"/>
    <n v="0"/>
    <s v="Debe"/>
    <x v="1"/>
    <x v="2"/>
    <x v="1"/>
    <x v="1"/>
    <n v="0"/>
    <n v="0"/>
    <s v=""/>
    <x v="4"/>
    <x v="1"/>
    <x v="2"/>
    <x v="11"/>
    <x v="11"/>
    <s v=""/>
    <x v="0"/>
    <x v="0"/>
    <n v="327"/>
    <x v="11"/>
    <s v=""/>
    <x v="4"/>
    <x v="1"/>
  </r>
  <r>
    <x v="39"/>
    <x v="23"/>
    <x v="13"/>
    <n v="0"/>
    <s v="Haber"/>
    <x v="1"/>
    <x v="2"/>
    <x v="1"/>
    <x v="1"/>
    <n v="0"/>
    <s v=""/>
    <n v="0"/>
    <x v="4"/>
    <x v="1"/>
    <x v="2"/>
    <x v="11"/>
    <x v="11"/>
    <s v=""/>
    <x v="0"/>
    <x v="0"/>
    <n v="1635"/>
    <x v="11"/>
    <s v=""/>
    <x v="4"/>
    <x v="1"/>
  </r>
  <r>
    <x v="39"/>
    <x v="23"/>
    <x v="13"/>
    <n v="0"/>
    <s v="Haber"/>
    <x v="1"/>
    <x v="2"/>
    <x v="1"/>
    <x v="1"/>
    <n v="0"/>
    <s v=""/>
    <n v="0"/>
    <x v="4"/>
    <x v="1"/>
    <x v="2"/>
    <x v="11"/>
    <x v="11"/>
    <s v=""/>
    <x v="0"/>
    <x v="0"/>
    <n v="1636"/>
    <x v="11"/>
    <s v=""/>
    <x v="4"/>
    <x v="1"/>
  </r>
  <r>
    <x v="40"/>
    <x v="24"/>
    <x v="13"/>
    <n v="0"/>
    <s v="Debe"/>
    <x v="1"/>
    <x v="2"/>
    <x v="1"/>
    <x v="1"/>
    <n v="0"/>
    <n v="0"/>
    <s v=""/>
    <x v="4"/>
    <x v="1"/>
    <x v="2"/>
    <x v="11"/>
    <x v="11"/>
    <s v=""/>
    <x v="0"/>
    <x v="0"/>
    <n v="337"/>
    <x v="11"/>
    <s v=""/>
    <x v="4"/>
    <x v="1"/>
  </r>
  <r>
    <x v="40"/>
    <x v="24"/>
    <x v="13"/>
    <n v="0"/>
    <s v="Debe"/>
    <x v="1"/>
    <x v="2"/>
    <x v="1"/>
    <x v="1"/>
    <n v="0"/>
    <n v="0"/>
    <s v=""/>
    <x v="4"/>
    <x v="1"/>
    <x v="2"/>
    <x v="11"/>
    <x v="11"/>
    <s v=""/>
    <x v="0"/>
    <x v="0"/>
    <n v="338"/>
    <x v="11"/>
    <s v=""/>
    <x v="4"/>
    <x v="1"/>
  </r>
  <r>
    <x v="40"/>
    <x v="24"/>
    <x v="13"/>
    <n v="0"/>
    <s v="Haber"/>
    <x v="1"/>
    <x v="2"/>
    <x v="1"/>
    <x v="1"/>
    <n v="0"/>
    <s v=""/>
    <n v="0"/>
    <x v="4"/>
    <x v="1"/>
    <x v="2"/>
    <x v="11"/>
    <x v="11"/>
    <s v=""/>
    <x v="0"/>
    <x v="0"/>
    <n v="1642"/>
    <x v="11"/>
    <s v=""/>
    <x v="4"/>
    <x v="1"/>
  </r>
  <r>
    <x v="40"/>
    <x v="24"/>
    <x v="13"/>
    <n v="0"/>
    <s v="Haber"/>
    <x v="1"/>
    <x v="2"/>
    <x v="1"/>
    <x v="1"/>
    <n v="0"/>
    <s v=""/>
    <n v="0"/>
    <x v="4"/>
    <x v="1"/>
    <x v="2"/>
    <x v="11"/>
    <x v="11"/>
    <s v=""/>
    <x v="0"/>
    <x v="0"/>
    <n v="1643"/>
    <x v="11"/>
    <s v=""/>
    <x v="4"/>
    <x v="1"/>
  </r>
  <r>
    <x v="41"/>
    <x v="24"/>
    <x v="13"/>
    <n v="0"/>
    <s v="Debe"/>
    <x v="1"/>
    <x v="2"/>
    <x v="1"/>
    <x v="1"/>
    <n v="0"/>
    <n v="0"/>
    <s v=""/>
    <x v="4"/>
    <x v="1"/>
    <x v="2"/>
    <x v="11"/>
    <x v="11"/>
    <s v=""/>
    <x v="0"/>
    <x v="0"/>
    <n v="347"/>
    <x v="11"/>
    <s v=""/>
    <x v="4"/>
    <x v="1"/>
  </r>
  <r>
    <x v="41"/>
    <x v="24"/>
    <x v="13"/>
    <n v="0"/>
    <s v="Debe"/>
    <x v="1"/>
    <x v="2"/>
    <x v="1"/>
    <x v="1"/>
    <n v="0"/>
    <n v="0"/>
    <s v=""/>
    <x v="4"/>
    <x v="1"/>
    <x v="2"/>
    <x v="11"/>
    <x v="11"/>
    <s v=""/>
    <x v="0"/>
    <x v="0"/>
    <n v="348"/>
    <x v="11"/>
    <s v=""/>
    <x v="4"/>
    <x v="1"/>
  </r>
  <r>
    <x v="41"/>
    <x v="24"/>
    <x v="13"/>
    <n v="0"/>
    <s v="Haber"/>
    <x v="1"/>
    <x v="2"/>
    <x v="1"/>
    <x v="1"/>
    <n v="0"/>
    <s v=""/>
    <n v="0"/>
    <x v="4"/>
    <x v="1"/>
    <x v="2"/>
    <x v="11"/>
    <x v="11"/>
    <s v=""/>
    <x v="0"/>
    <x v="0"/>
    <n v="1649"/>
    <x v="11"/>
    <s v=""/>
    <x v="4"/>
    <x v="1"/>
  </r>
  <r>
    <x v="41"/>
    <x v="24"/>
    <x v="13"/>
    <n v="0"/>
    <s v="Haber"/>
    <x v="1"/>
    <x v="2"/>
    <x v="1"/>
    <x v="1"/>
    <n v="0"/>
    <s v=""/>
    <n v="0"/>
    <x v="4"/>
    <x v="1"/>
    <x v="2"/>
    <x v="11"/>
    <x v="11"/>
    <s v=""/>
    <x v="0"/>
    <x v="0"/>
    <n v="1650"/>
    <x v="11"/>
    <s v=""/>
    <x v="4"/>
    <x v="1"/>
  </r>
  <r>
    <x v="42"/>
    <x v="25"/>
    <x v="13"/>
    <n v="0"/>
    <s v="Debe"/>
    <x v="1"/>
    <x v="2"/>
    <x v="1"/>
    <x v="1"/>
    <n v="0"/>
    <n v="0"/>
    <s v=""/>
    <x v="4"/>
    <x v="1"/>
    <x v="2"/>
    <x v="11"/>
    <x v="11"/>
    <s v=""/>
    <x v="0"/>
    <x v="0"/>
    <n v="356"/>
    <x v="11"/>
    <s v=""/>
    <x v="4"/>
    <x v="1"/>
  </r>
  <r>
    <x v="42"/>
    <x v="25"/>
    <x v="13"/>
    <n v="0"/>
    <s v="Debe"/>
    <x v="1"/>
    <x v="2"/>
    <x v="1"/>
    <x v="1"/>
    <n v="0"/>
    <n v="0"/>
    <s v=""/>
    <x v="4"/>
    <x v="1"/>
    <x v="2"/>
    <x v="11"/>
    <x v="11"/>
    <s v=""/>
    <x v="0"/>
    <x v="0"/>
    <n v="362"/>
    <x v="11"/>
    <s v=""/>
    <x v="4"/>
    <x v="1"/>
  </r>
  <r>
    <x v="42"/>
    <x v="25"/>
    <x v="13"/>
    <n v="0"/>
    <s v="Haber"/>
    <x v="1"/>
    <x v="2"/>
    <x v="1"/>
    <x v="1"/>
    <n v="0"/>
    <s v=""/>
    <n v="0"/>
    <x v="4"/>
    <x v="1"/>
    <x v="2"/>
    <x v="11"/>
    <x v="11"/>
    <s v=""/>
    <x v="0"/>
    <x v="0"/>
    <n v="1656"/>
    <x v="11"/>
    <s v=""/>
    <x v="4"/>
    <x v="1"/>
  </r>
  <r>
    <x v="42"/>
    <x v="25"/>
    <x v="13"/>
    <n v="0"/>
    <s v="Haber"/>
    <x v="1"/>
    <x v="2"/>
    <x v="1"/>
    <x v="1"/>
    <n v="0"/>
    <s v=""/>
    <n v="0"/>
    <x v="4"/>
    <x v="1"/>
    <x v="2"/>
    <x v="11"/>
    <x v="11"/>
    <s v=""/>
    <x v="0"/>
    <x v="0"/>
    <n v="1657"/>
    <x v="11"/>
    <s v=""/>
    <x v="4"/>
    <x v="1"/>
  </r>
  <r>
    <x v="43"/>
    <x v="25"/>
    <x v="13"/>
    <n v="0"/>
    <s v="Debe"/>
    <x v="1"/>
    <x v="2"/>
    <x v="1"/>
    <x v="1"/>
    <n v="0"/>
    <n v="0"/>
    <s v=""/>
    <x v="4"/>
    <x v="1"/>
    <x v="2"/>
    <x v="11"/>
    <x v="11"/>
    <s v=""/>
    <x v="0"/>
    <x v="0"/>
    <n v="370"/>
    <x v="11"/>
    <s v=""/>
    <x v="4"/>
    <x v="1"/>
  </r>
  <r>
    <x v="43"/>
    <x v="25"/>
    <x v="13"/>
    <n v="0"/>
    <s v="Debe"/>
    <x v="1"/>
    <x v="2"/>
    <x v="1"/>
    <x v="1"/>
    <n v="0"/>
    <n v="0"/>
    <s v=""/>
    <x v="4"/>
    <x v="1"/>
    <x v="2"/>
    <x v="11"/>
    <x v="11"/>
    <s v=""/>
    <x v="0"/>
    <x v="0"/>
    <n v="371"/>
    <x v="11"/>
    <s v=""/>
    <x v="4"/>
    <x v="1"/>
  </r>
  <r>
    <x v="43"/>
    <x v="25"/>
    <x v="13"/>
    <n v="0"/>
    <s v="Haber"/>
    <x v="1"/>
    <x v="2"/>
    <x v="1"/>
    <x v="1"/>
    <n v="0"/>
    <s v=""/>
    <n v="0"/>
    <x v="4"/>
    <x v="1"/>
    <x v="2"/>
    <x v="11"/>
    <x v="11"/>
    <s v=""/>
    <x v="0"/>
    <x v="0"/>
    <n v="1663"/>
    <x v="11"/>
    <s v=""/>
    <x v="4"/>
    <x v="1"/>
  </r>
  <r>
    <x v="43"/>
    <x v="25"/>
    <x v="13"/>
    <n v="0"/>
    <s v="Haber"/>
    <x v="1"/>
    <x v="2"/>
    <x v="1"/>
    <x v="1"/>
    <n v="0"/>
    <s v=""/>
    <n v="0"/>
    <x v="4"/>
    <x v="1"/>
    <x v="2"/>
    <x v="11"/>
    <x v="11"/>
    <s v=""/>
    <x v="0"/>
    <x v="0"/>
    <n v="1664"/>
    <x v="11"/>
    <s v=""/>
    <x v="4"/>
    <x v="1"/>
  </r>
  <r>
    <x v="44"/>
    <x v="26"/>
    <x v="13"/>
    <n v="0"/>
    <s v="Debe"/>
    <x v="1"/>
    <x v="2"/>
    <x v="1"/>
    <x v="1"/>
    <n v="0"/>
    <n v="0"/>
    <s v=""/>
    <x v="4"/>
    <x v="1"/>
    <x v="2"/>
    <x v="11"/>
    <x v="11"/>
    <s v=""/>
    <x v="0"/>
    <x v="0"/>
    <n v="379"/>
    <x v="11"/>
    <s v=""/>
    <x v="4"/>
    <x v="1"/>
  </r>
  <r>
    <x v="44"/>
    <x v="26"/>
    <x v="13"/>
    <n v="0"/>
    <s v="Debe"/>
    <x v="1"/>
    <x v="2"/>
    <x v="1"/>
    <x v="1"/>
    <n v="0"/>
    <n v="0"/>
    <s v=""/>
    <x v="4"/>
    <x v="1"/>
    <x v="2"/>
    <x v="11"/>
    <x v="11"/>
    <s v=""/>
    <x v="0"/>
    <x v="0"/>
    <n v="380"/>
    <x v="11"/>
    <s v=""/>
    <x v="4"/>
    <x v="1"/>
  </r>
  <r>
    <x v="44"/>
    <x v="26"/>
    <x v="13"/>
    <n v="0"/>
    <s v="Haber"/>
    <x v="1"/>
    <x v="2"/>
    <x v="1"/>
    <x v="1"/>
    <n v="0"/>
    <s v=""/>
    <n v="0"/>
    <x v="4"/>
    <x v="1"/>
    <x v="2"/>
    <x v="11"/>
    <x v="11"/>
    <s v=""/>
    <x v="0"/>
    <x v="0"/>
    <n v="1670"/>
    <x v="11"/>
    <s v=""/>
    <x v="4"/>
    <x v="1"/>
  </r>
  <r>
    <x v="44"/>
    <x v="26"/>
    <x v="13"/>
    <n v="0"/>
    <s v="Haber"/>
    <x v="1"/>
    <x v="2"/>
    <x v="1"/>
    <x v="1"/>
    <n v="0"/>
    <s v=""/>
    <n v="0"/>
    <x v="4"/>
    <x v="1"/>
    <x v="2"/>
    <x v="11"/>
    <x v="11"/>
    <s v=""/>
    <x v="0"/>
    <x v="0"/>
    <n v="1671"/>
    <x v="11"/>
    <s v=""/>
    <x v="4"/>
    <x v="1"/>
  </r>
  <r>
    <x v="45"/>
    <x v="1"/>
    <x v="13"/>
    <n v="0"/>
    <s v="Debe"/>
    <x v="1"/>
    <x v="2"/>
    <x v="1"/>
    <x v="1"/>
    <n v="0"/>
    <n v="0"/>
    <s v=""/>
    <x v="4"/>
    <x v="1"/>
    <x v="2"/>
    <x v="11"/>
    <x v="11"/>
    <s v=""/>
    <x v="0"/>
    <x v="0"/>
    <n v="390"/>
    <x v="11"/>
    <s v=""/>
    <x v="4"/>
    <x v="1"/>
  </r>
  <r>
    <x v="45"/>
    <x v="1"/>
    <x v="13"/>
    <n v="0"/>
    <s v="Debe"/>
    <x v="1"/>
    <x v="2"/>
    <x v="1"/>
    <x v="1"/>
    <n v="0"/>
    <n v="0"/>
    <s v=""/>
    <x v="4"/>
    <x v="1"/>
    <x v="2"/>
    <x v="11"/>
    <x v="11"/>
    <s v=""/>
    <x v="0"/>
    <x v="0"/>
    <n v="391"/>
    <x v="11"/>
    <s v=""/>
    <x v="4"/>
    <x v="1"/>
  </r>
  <r>
    <x v="45"/>
    <x v="1"/>
    <x v="13"/>
    <n v="0"/>
    <s v="Haber"/>
    <x v="1"/>
    <x v="2"/>
    <x v="1"/>
    <x v="1"/>
    <n v="0"/>
    <s v=""/>
    <n v="0"/>
    <x v="4"/>
    <x v="1"/>
    <x v="2"/>
    <x v="11"/>
    <x v="11"/>
    <s v=""/>
    <x v="0"/>
    <x v="0"/>
    <n v="1677"/>
    <x v="11"/>
    <s v=""/>
    <x v="4"/>
    <x v="1"/>
  </r>
  <r>
    <x v="45"/>
    <x v="1"/>
    <x v="13"/>
    <n v="0"/>
    <s v="Haber"/>
    <x v="1"/>
    <x v="2"/>
    <x v="1"/>
    <x v="1"/>
    <n v="0"/>
    <s v=""/>
    <n v="0"/>
    <x v="4"/>
    <x v="1"/>
    <x v="2"/>
    <x v="11"/>
    <x v="11"/>
    <s v=""/>
    <x v="0"/>
    <x v="0"/>
    <n v="1678"/>
    <x v="11"/>
    <s v=""/>
    <x v="4"/>
    <x v="1"/>
  </r>
  <r>
    <x v="46"/>
    <x v="27"/>
    <x v="13"/>
    <n v="0"/>
    <s v="Debe"/>
    <x v="1"/>
    <x v="2"/>
    <x v="1"/>
    <x v="1"/>
    <n v="0"/>
    <n v="0"/>
    <s v=""/>
    <x v="4"/>
    <x v="1"/>
    <x v="2"/>
    <x v="11"/>
    <x v="11"/>
    <s v=""/>
    <x v="0"/>
    <x v="0"/>
    <n v="399"/>
    <x v="11"/>
    <s v=""/>
    <x v="4"/>
    <x v="1"/>
  </r>
  <r>
    <x v="46"/>
    <x v="27"/>
    <x v="13"/>
    <n v="0"/>
    <s v="Debe"/>
    <x v="1"/>
    <x v="2"/>
    <x v="1"/>
    <x v="1"/>
    <n v="0"/>
    <n v="0"/>
    <s v=""/>
    <x v="4"/>
    <x v="1"/>
    <x v="2"/>
    <x v="11"/>
    <x v="11"/>
    <s v=""/>
    <x v="0"/>
    <x v="0"/>
    <n v="400"/>
    <x v="11"/>
    <s v=""/>
    <x v="4"/>
    <x v="1"/>
  </r>
  <r>
    <x v="46"/>
    <x v="27"/>
    <x v="13"/>
    <n v="0"/>
    <s v="Haber"/>
    <x v="1"/>
    <x v="2"/>
    <x v="1"/>
    <x v="1"/>
    <n v="0"/>
    <s v=""/>
    <n v="0"/>
    <x v="4"/>
    <x v="1"/>
    <x v="2"/>
    <x v="11"/>
    <x v="11"/>
    <s v=""/>
    <x v="0"/>
    <x v="0"/>
    <n v="1684"/>
    <x v="11"/>
    <s v=""/>
    <x v="4"/>
    <x v="1"/>
  </r>
  <r>
    <x v="46"/>
    <x v="27"/>
    <x v="13"/>
    <n v="0"/>
    <s v="Haber"/>
    <x v="1"/>
    <x v="2"/>
    <x v="1"/>
    <x v="1"/>
    <n v="0"/>
    <s v=""/>
    <n v="0"/>
    <x v="4"/>
    <x v="1"/>
    <x v="2"/>
    <x v="11"/>
    <x v="11"/>
    <s v=""/>
    <x v="0"/>
    <x v="0"/>
    <n v="1685"/>
    <x v="11"/>
    <s v=""/>
    <x v="4"/>
    <x v="1"/>
  </r>
  <r>
    <x v="47"/>
    <x v="27"/>
    <x v="13"/>
    <n v="0"/>
    <s v="Debe"/>
    <x v="1"/>
    <x v="2"/>
    <x v="1"/>
    <x v="1"/>
    <n v="0"/>
    <n v="0"/>
    <s v=""/>
    <x v="4"/>
    <x v="1"/>
    <x v="2"/>
    <x v="11"/>
    <x v="11"/>
    <s v=""/>
    <x v="0"/>
    <x v="0"/>
    <n v="408"/>
    <x v="11"/>
    <s v=""/>
    <x v="4"/>
    <x v="1"/>
  </r>
  <r>
    <x v="47"/>
    <x v="27"/>
    <x v="13"/>
    <n v="0"/>
    <s v="Debe"/>
    <x v="1"/>
    <x v="2"/>
    <x v="1"/>
    <x v="1"/>
    <n v="0"/>
    <n v="0"/>
    <s v=""/>
    <x v="4"/>
    <x v="1"/>
    <x v="2"/>
    <x v="11"/>
    <x v="11"/>
    <s v=""/>
    <x v="0"/>
    <x v="0"/>
    <n v="411"/>
    <x v="11"/>
    <s v=""/>
    <x v="4"/>
    <x v="1"/>
  </r>
  <r>
    <x v="47"/>
    <x v="27"/>
    <x v="13"/>
    <n v="0"/>
    <s v="Haber"/>
    <x v="1"/>
    <x v="2"/>
    <x v="1"/>
    <x v="1"/>
    <n v="0"/>
    <s v=""/>
    <n v="0"/>
    <x v="4"/>
    <x v="1"/>
    <x v="2"/>
    <x v="11"/>
    <x v="11"/>
    <s v=""/>
    <x v="0"/>
    <x v="0"/>
    <n v="1691"/>
    <x v="11"/>
    <s v=""/>
    <x v="4"/>
    <x v="1"/>
  </r>
  <r>
    <x v="47"/>
    <x v="27"/>
    <x v="13"/>
    <n v="0"/>
    <s v="Haber"/>
    <x v="1"/>
    <x v="2"/>
    <x v="1"/>
    <x v="1"/>
    <n v="0"/>
    <s v=""/>
    <n v="0"/>
    <x v="4"/>
    <x v="1"/>
    <x v="2"/>
    <x v="11"/>
    <x v="11"/>
    <s v=""/>
    <x v="0"/>
    <x v="0"/>
    <n v="1692"/>
    <x v="11"/>
    <s v=""/>
    <x v="4"/>
    <x v="1"/>
  </r>
  <r>
    <x v="48"/>
    <x v="28"/>
    <x v="13"/>
    <n v="0"/>
    <s v="Debe"/>
    <x v="1"/>
    <x v="2"/>
    <x v="1"/>
    <x v="1"/>
    <n v="0"/>
    <n v="0"/>
    <s v=""/>
    <x v="4"/>
    <x v="1"/>
    <x v="2"/>
    <x v="11"/>
    <x v="11"/>
    <s v=""/>
    <x v="0"/>
    <x v="0"/>
    <n v="419"/>
    <x v="11"/>
    <s v=""/>
    <x v="4"/>
    <x v="1"/>
  </r>
  <r>
    <x v="48"/>
    <x v="28"/>
    <x v="13"/>
    <n v="0"/>
    <s v="Debe"/>
    <x v="1"/>
    <x v="2"/>
    <x v="1"/>
    <x v="1"/>
    <n v="0"/>
    <n v="0"/>
    <s v=""/>
    <x v="4"/>
    <x v="1"/>
    <x v="2"/>
    <x v="11"/>
    <x v="11"/>
    <s v=""/>
    <x v="0"/>
    <x v="0"/>
    <n v="420"/>
    <x v="11"/>
    <s v=""/>
    <x v="4"/>
    <x v="1"/>
  </r>
  <r>
    <x v="48"/>
    <x v="28"/>
    <x v="13"/>
    <n v="0"/>
    <s v="Haber"/>
    <x v="1"/>
    <x v="2"/>
    <x v="1"/>
    <x v="1"/>
    <n v="0"/>
    <s v=""/>
    <n v="0"/>
    <x v="4"/>
    <x v="1"/>
    <x v="2"/>
    <x v="11"/>
    <x v="11"/>
    <s v=""/>
    <x v="0"/>
    <x v="0"/>
    <n v="1698"/>
    <x v="11"/>
    <s v=""/>
    <x v="4"/>
    <x v="1"/>
  </r>
  <r>
    <x v="48"/>
    <x v="28"/>
    <x v="13"/>
    <n v="0"/>
    <s v="Haber"/>
    <x v="1"/>
    <x v="2"/>
    <x v="1"/>
    <x v="1"/>
    <n v="0"/>
    <s v=""/>
    <n v="0"/>
    <x v="4"/>
    <x v="1"/>
    <x v="2"/>
    <x v="11"/>
    <x v="11"/>
    <s v=""/>
    <x v="0"/>
    <x v="0"/>
    <n v="1699"/>
    <x v="11"/>
    <s v=""/>
    <x v="4"/>
    <x v="1"/>
  </r>
  <r>
    <x v="49"/>
    <x v="28"/>
    <x v="13"/>
    <n v="0"/>
    <s v="Debe"/>
    <x v="1"/>
    <x v="2"/>
    <x v="1"/>
    <x v="1"/>
    <n v="0"/>
    <n v="0"/>
    <s v=""/>
    <x v="4"/>
    <x v="1"/>
    <x v="2"/>
    <x v="11"/>
    <x v="11"/>
    <s v=""/>
    <x v="0"/>
    <x v="0"/>
    <n v="428"/>
    <x v="11"/>
    <s v=""/>
    <x v="4"/>
    <x v="1"/>
  </r>
  <r>
    <x v="49"/>
    <x v="28"/>
    <x v="13"/>
    <n v="0"/>
    <s v="Debe"/>
    <x v="1"/>
    <x v="2"/>
    <x v="1"/>
    <x v="1"/>
    <n v="0"/>
    <n v="0"/>
    <s v=""/>
    <x v="4"/>
    <x v="1"/>
    <x v="2"/>
    <x v="11"/>
    <x v="11"/>
    <s v=""/>
    <x v="0"/>
    <x v="0"/>
    <n v="429"/>
    <x v="11"/>
    <s v=""/>
    <x v="4"/>
    <x v="1"/>
  </r>
  <r>
    <x v="49"/>
    <x v="28"/>
    <x v="13"/>
    <n v="0"/>
    <s v="Haber"/>
    <x v="1"/>
    <x v="2"/>
    <x v="1"/>
    <x v="1"/>
    <n v="0"/>
    <s v=""/>
    <n v="0"/>
    <x v="4"/>
    <x v="1"/>
    <x v="2"/>
    <x v="11"/>
    <x v="11"/>
    <s v=""/>
    <x v="0"/>
    <x v="0"/>
    <n v="1705"/>
    <x v="11"/>
    <s v=""/>
    <x v="4"/>
    <x v="1"/>
  </r>
  <r>
    <x v="49"/>
    <x v="28"/>
    <x v="13"/>
    <n v="0"/>
    <s v="Haber"/>
    <x v="1"/>
    <x v="2"/>
    <x v="1"/>
    <x v="1"/>
    <n v="0"/>
    <s v=""/>
    <n v="0"/>
    <x v="4"/>
    <x v="1"/>
    <x v="2"/>
    <x v="11"/>
    <x v="11"/>
    <s v=""/>
    <x v="0"/>
    <x v="0"/>
    <n v="1706"/>
    <x v="11"/>
    <s v=""/>
    <x v="4"/>
    <x v="1"/>
  </r>
  <r>
    <x v="50"/>
    <x v="29"/>
    <x v="13"/>
    <n v="0"/>
    <s v="Debe"/>
    <x v="1"/>
    <x v="2"/>
    <x v="1"/>
    <x v="1"/>
    <n v="0"/>
    <n v="0"/>
    <s v=""/>
    <x v="4"/>
    <x v="1"/>
    <x v="2"/>
    <x v="11"/>
    <x v="11"/>
    <s v=""/>
    <x v="0"/>
    <x v="0"/>
    <n v="439"/>
    <x v="11"/>
    <s v=""/>
    <x v="4"/>
    <x v="1"/>
  </r>
  <r>
    <x v="50"/>
    <x v="29"/>
    <x v="13"/>
    <n v="0"/>
    <s v="Debe"/>
    <x v="1"/>
    <x v="2"/>
    <x v="1"/>
    <x v="1"/>
    <n v="0"/>
    <n v="0"/>
    <s v=""/>
    <x v="4"/>
    <x v="1"/>
    <x v="2"/>
    <x v="11"/>
    <x v="11"/>
    <s v=""/>
    <x v="0"/>
    <x v="0"/>
    <n v="440"/>
    <x v="11"/>
    <s v=""/>
    <x v="4"/>
    <x v="1"/>
  </r>
  <r>
    <x v="50"/>
    <x v="29"/>
    <x v="13"/>
    <n v="0"/>
    <s v="Haber"/>
    <x v="1"/>
    <x v="2"/>
    <x v="1"/>
    <x v="1"/>
    <n v="0"/>
    <s v=""/>
    <n v="0"/>
    <x v="4"/>
    <x v="1"/>
    <x v="2"/>
    <x v="11"/>
    <x v="11"/>
    <s v=""/>
    <x v="0"/>
    <x v="0"/>
    <n v="1712"/>
    <x v="11"/>
    <s v=""/>
    <x v="4"/>
    <x v="1"/>
  </r>
  <r>
    <x v="50"/>
    <x v="29"/>
    <x v="13"/>
    <n v="0"/>
    <s v="Haber"/>
    <x v="1"/>
    <x v="2"/>
    <x v="1"/>
    <x v="1"/>
    <n v="0"/>
    <s v=""/>
    <n v="0"/>
    <x v="4"/>
    <x v="1"/>
    <x v="2"/>
    <x v="11"/>
    <x v="11"/>
    <s v=""/>
    <x v="0"/>
    <x v="0"/>
    <n v="1713"/>
    <x v="11"/>
    <s v=""/>
    <x v="4"/>
    <x v="1"/>
  </r>
  <r>
    <x v="51"/>
    <x v="1"/>
    <x v="13"/>
    <n v="0"/>
    <s v="Debe"/>
    <x v="1"/>
    <x v="2"/>
    <x v="1"/>
    <x v="1"/>
    <n v="0"/>
    <n v="0"/>
    <s v=""/>
    <x v="4"/>
    <x v="1"/>
    <x v="2"/>
    <x v="11"/>
    <x v="11"/>
    <s v=""/>
    <x v="0"/>
    <x v="0"/>
    <n v="448"/>
    <x v="11"/>
    <s v=""/>
    <x v="4"/>
    <x v="1"/>
  </r>
  <r>
    <x v="51"/>
    <x v="1"/>
    <x v="13"/>
    <n v="0"/>
    <s v="Debe"/>
    <x v="1"/>
    <x v="2"/>
    <x v="1"/>
    <x v="1"/>
    <n v="0"/>
    <n v="0"/>
    <s v=""/>
    <x v="4"/>
    <x v="1"/>
    <x v="2"/>
    <x v="11"/>
    <x v="11"/>
    <s v=""/>
    <x v="0"/>
    <x v="0"/>
    <n v="449"/>
    <x v="11"/>
    <s v=""/>
    <x v="4"/>
    <x v="1"/>
  </r>
  <r>
    <x v="51"/>
    <x v="1"/>
    <x v="13"/>
    <n v="0"/>
    <s v="Haber"/>
    <x v="1"/>
    <x v="2"/>
    <x v="1"/>
    <x v="1"/>
    <n v="0"/>
    <s v=""/>
    <n v="0"/>
    <x v="4"/>
    <x v="1"/>
    <x v="2"/>
    <x v="11"/>
    <x v="11"/>
    <s v=""/>
    <x v="0"/>
    <x v="0"/>
    <n v="1719"/>
    <x v="11"/>
    <s v=""/>
    <x v="4"/>
    <x v="1"/>
  </r>
  <r>
    <x v="51"/>
    <x v="1"/>
    <x v="13"/>
    <n v="0"/>
    <s v="Haber"/>
    <x v="1"/>
    <x v="2"/>
    <x v="1"/>
    <x v="1"/>
    <n v="0"/>
    <s v=""/>
    <n v="0"/>
    <x v="4"/>
    <x v="1"/>
    <x v="2"/>
    <x v="11"/>
    <x v="11"/>
    <s v=""/>
    <x v="0"/>
    <x v="0"/>
    <n v="1720"/>
    <x v="11"/>
    <s v=""/>
    <x v="4"/>
    <x v="1"/>
  </r>
  <r>
    <x v="52"/>
    <x v="30"/>
    <x v="13"/>
    <n v="0"/>
    <s v="Debe"/>
    <x v="1"/>
    <x v="2"/>
    <x v="1"/>
    <x v="1"/>
    <n v="0"/>
    <n v="0"/>
    <s v=""/>
    <x v="4"/>
    <x v="1"/>
    <x v="2"/>
    <x v="11"/>
    <x v="11"/>
    <s v=""/>
    <x v="0"/>
    <x v="0"/>
    <n v="457"/>
    <x v="11"/>
    <s v=""/>
    <x v="4"/>
    <x v="1"/>
  </r>
  <r>
    <x v="52"/>
    <x v="30"/>
    <x v="13"/>
    <n v="0"/>
    <s v="Debe"/>
    <x v="1"/>
    <x v="2"/>
    <x v="1"/>
    <x v="1"/>
    <n v="0"/>
    <n v="0"/>
    <s v=""/>
    <x v="4"/>
    <x v="1"/>
    <x v="2"/>
    <x v="11"/>
    <x v="11"/>
    <s v=""/>
    <x v="0"/>
    <x v="0"/>
    <n v="460"/>
    <x v="11"/>
    <s v=""/>
    <x v="4"/>
    <x v="1"/>
  </r>
  <r>
    <x v="52"/>
    <x v="30"/>
    <x v="13"/>
    <n v="0"/>
    <s v="Debe"/>
    <x v="1"/>
    <x v="2"/>
    <x v="1"/>
    <x v="1"/>
    <n v="0"/>
    <n v="0"/>
    <s v=""/>
    <x v="4"/>
    <x v="1"/>
    <x v="2"/>
    <x v="11"/>
    <x v="11"/>
    <s v=""/>
    <x v="0"/>
    <x v="0"/>
    <n v="461"/>
    <x v="11"/>
    <s v=""/>
    <x v="4"/>
    <x v="1"/>
  </r>
  <r>
    <x v="52"/>
    <x v="30"/>
    <x v="13"/>
    <n v="0"/>
    <s v="Haber"/>
    <x v="1"/>
    <x v="2"/>
    <x v="1"/>
    <x v="1"/>
    <n v="0"/>
    <s v=""/>
    <n v="0"/>
    <x v="4"/>
    <x v="1"/>
    <x v="2"/>
    <x v="11"/>
    <x v="11"/>
    <s v=""/>
    <x v="0"/>
    <x v="0"/>
    <n v="1726"/>
    <x v="11"/>
    <s v=""/>
    <x v="4"/>
    <x v="1"/>
  </r>
  <r>
    <x v="52"/>
    <x v="30"/>
    <x v="13"/>
    <n v="0"/>
    <s v="Haber"/>
    <x v="1"/>
    <x v="2"/>
    <x v="1"/>
    <x v="1"/>
    <n v="0"/>
    <s v=""/>
    <n v="0"/>
    <x v="4"/>
    <x v="1"/>
    <x v="2"/>
    <x v="11"/>
    <x v="11"/>
    <s v=""/>
    <x v="0"/>
    <x v="0"/>
    <n v="1727"/>
    <x v="11"/>
    <s v=""/>
    <x v="4"/>
    <x v="1"/>
  </r>
  <r>
    <x v="52"/>
    <x v="30"/>
    <x v="13"/>
    <n v="0"/>
    <s v="Haber"/>
    <x v="1"/>
    <x v="2"/>
    <x v="1"/>
    <x v="1"/>
    <n v="0"/>
    <s v=""/>
    <n v="0"/>
    <x v="4"/>
    <x v="1"/>
    <x v="2"/>
    <x v="11"/>
    <x v="11"/>
    <s v=""/>
    <x v="0"/>
    <x v="0"/>
    <n v="1728"/>
    <x v="11"/>
    <s v=""/>
    <x v="4"/>
    <x v="1"/>
  </r>
  <r>
    <x v="53"/>
    <x v="31"/>
    <x v="13"/>
    <n v="0"/>
    <s v="Debe"/>
    <x v="1"/>
    <x v="2"/>
    <x v="1"/>
    <x v="1"/>
    <n v="0"/>
    <n v="0"/>
    <s v=""/>
    <x v="4"/>
    <x v="1"/>
    <x v="2"/>
    <x v="11"/>
    <x v="11"/>
    <s v=""/>
    <x v="0"/>
    <x v="0"/>
    <n v="469"/>
    <x v="11"/>
    <s v=""/>
    <x v="4"/>
    <x v="1"/>
  </r>
  <r>
    <x v="53"/>
    <x v="31"/>
    <x v="13"/>
    <n v="0"/>
    <s v="Debe"/>
    <x v="1"/>
    <x v="2"/>
    <x v="1"/>
    <x v="1"/>
    <n v="0"/>
    <n v="0"/>
    <s v=""/>
    <x v="4"/>
    <x v="1"/>
    <x v="2"/>
    <x v="11"/>
    <x v="11"/>
    <s v=""/>
    <x v="0"/>
    <x v="0"/>
    <n v="470"/>
    <x v="11"/>
    <s v=""/>
    <x v="4"/>
    <x v="1"/>
  </r>
  <r>
    <x v="53"/>
    <x v="31"/>
    <x v="13"/>
    <n v="0"/>
    <s v="Haber"/>
    <x v="1"/>
    <x v="2"/>
    <x v="1"/>
    <x v="1"/>
    <n v="0"/>
    <s v=""/>
    <n v="0"/>
    <x v="4"/>
    <x v="1"/>
    <x v="2"/>
    <x v="11"/>
    <x v="11"/>
    <s v=""/>
    <x v="0"/>
    <x v="0"/>
    <n v="1734"/>
    <x v="11"/>
    <s v=""/>
    <x v="4"/>
    <x v="1"/>
  </r>
  <r>
    <x v="53"/>
    <x v="31"/>
    <x v="13"/>
    <n v="0"/>
    <s v="Haber"/>
    <x v="1"/>
    <x v="2"/>
    <x v="1"/>
    <x v="1"/>
    <n v="0"/>
    <s v=""/>
    <n v="0"/>
    <x v="4"/>
    <x v="1"/>
    <x v="2"/>
    <x v="11"/>
    <x v="11"/>
    <s v=""/>
    <x v="0"/>
    <x v="0"/>
    <n v="1735"/>
    <x v="11"/>
    <s v=""/>
    <x v="4"/>
    <x v="1"/>
  </r>
  <r>
    <x v="54"/>
    <x v="32"/>
    <x v="13"/>
    <n v="0"/>
    <s v="Debe"/>
    <x v="1"/>
    <x v="2"/>
    <x v="1"/>
    <x v="1"/>
    <n v="0"/>
    <n v="0"/>
    <s v=""/>
    <x v="4"/>
    <x v="1"/>
    <x v="2"/>
    <x v="11"/>
    <x v="11"/>
    <s v=""/>
    <x v="0"/>
    <x v="0"/>
    <n v="478"/>
    <x v="11"/>
    <s v=""/>
    <x v="4"/>
    <x v="1"/>
  </r>
  <r>
    <x v="54"/>
    <x v="32"/>
    <x v="13"/>
    <n v="0"/>
    <s v="Debe"/>
    <x v="1"/>
    <x v="2"/>
    <x v="1"/>
    <x v="1"/>
    <n v="0"/>
    <n v="0"/>
    <s v=""/>
    <x v="4"/>
    <x v="1"/>
    <x v="2"/>
    <x v="11"/>
    <x v="11"/>
    <s v=""/>
    <x v="0"/>
    <x v="0"/>
    <n v="481"/>
    <x v="11"/>
    <s v=""/>
    <x v="4"/>
    <x v="1"/>
  </r>
  <r>
    <x v="54"/>
    <x v="32"/>
    <x v="13"/>
    <n v="0"/>
    <s v="Haber"/>
    <x v="1"/>
    <x v="2"/>
    <x v="1"/>
    <x v="1"/>
    <n v="0"/>
    <s v=""/>
    <n v="0"/>
    <x v="4"/>
    <x v="1"/>
    <x v="2"/>
    <x v="11"/>
    <x v="11"/>
    <s v=""/>
    <x v="0"/>
    <x v="0"/>
    <n v="1741"/>
    <x v="11"/>
    <s v=""/>
    <x v="4"/>
    <x v="1"/>
  </r>
  <r>
    <x v="54"/>
    <x v="32"/>
    <x v="13"/>
    <n v="0"/>
    <s v="Haber"/>
    <x v="1"/>
    <x v="2"/>
    <x v="1"/>
    <x v="1"/>
    <n v="0"/>
    <s v=""/>
    <n v="0"/>
    <x v="4"/>
    <x v="1"/>
    <x v="2"/>
    <x v="11"/>
    <x v="11"/>
    <s v=""/>
    <x v="0"/>
    <x v="0"/>
    <n v="1742"/>
    <x v="11"/>
    <s v=""/>
    <x v="4"/>
    <x v="1"/>
  </r>
  <r>
    <x v="55"/>
    <x v="32"/>
    <x v="13"/>
    <n v="0"/>
    <s v="Debe"/>
    <x v="1"/>
    <x v="2"/>
    <x v="1"/>
    <x v="1"/>
    <n v="0"/>
    <n v="0"/>
    <s v=""/>
    <x v="4"/>
    <x v="1"/>
    <x v="2"/>
    <x v="11"/>
    <x v="11"/>
    <s v=""/>
    <x v="0"/>
    <x v="0"/>
    <n v="489"/>
    <x v="11"/>
    <s v=""/>
    <x v="4"/>
    <x v="1"/>
  </r>
  <r>
    <x v="55"/>
    <x v="32"/>
    <x v="13"/>
    <n v="0"/>
    <s v="Debe"/>
    <x v="1"/>
    <x v="2"/>
    <x v="1"/>
    <x v="1"/>
    <n v="0"/>
    <n v="0"/>
    <s v=""/>
    <x v="4"/>
    <x v="1"/>
    <x v="2"/>
    <x v="11"/>
    <x v="11"/>
    <s v=""/>
    <x v="0"/>
    <x v="0"/>
    <n v="490"/>
    <x v="11"/>
    <s v=""/>
    <x v="4"/>
    <x v="1"/>
  </r>
  <r>
    <x v="55"/>
    <x v="32"/>
    <x v="13"/>
    <n v="0"/>
    <s v="Debe"/>
    <x v="1"/>
    <x v="2"/>
    <x v="1"/>
    <x v="1"/>
    <n v="0"/>
    <n v="0"/>
    <s v=""/>
    <x v="4"/>
    <x v="1"/>
    <x v="2"/>
    <x v="11"/>
    <x v="11"/>
    <s v=""/>
    <x v="0"/>
    <x v="0"/>
    <n v="491"/>
    <x v="11"/>
    <s v=""/>
    <x v="4"/>
    <x v="1"/>
  </r>
  <r>
    <x v="55"/>
    <x v="32"/>
    <x v="13"/>
    <n v="0"/>
    <s v="Haber"/>
    <x v="1"/>
    <x v="2"/>
    <x v="1"/>
    <x v="1"/>
    <n v="0"/>
    <s v=""/>
    <n v="0"/>
    <x v="4"/>
    <x v="1"/>
    <x v="2"/>
    <x v="11"/>
    <x v="11"/>
    <s v=""/>
    <x v="0"/>
    <x v="0"/>
    <n v="1748"/>
    <x v="11"/>
    <s v=""/>
    <x v="4"/>
    <x v="1"/>
  </r>
  <r>
    <x v="55"/>
    <x v="32"/>
    <x v="13"/>
    <n v="0"/>
    <s v="Haber"/>
    <x v="1"/>
    <x v="2"/>
    <x v="1"/>
    <x v="1"/>
    <n v="0"/>
    <s v=""/>
    <n v="0"/>
    <x v="4"/>
    <x v="1"/>
    <x v="2"/>
    <x v="11"/>
    <x v="11"/>
    <s v=""/>
    <x v="0"/>
    <x v="0"/>
    <n v="1749"/>
    <x v="11"/>
    <s v=""/>
    <x v="4"/>
    <x v="1"/>
  </r>
  <r>
    <x v="55"/>
    <x v="32"/>
    <x v="13"/>
    <n v="0"/>
    <s v="Haber"/>
    <x v="1"/>
    <x v="2"/>
    <x v="1"/>
    <x v="1"/>
    <n v="0"/>
    <s v=""/>
    <n v="0"/>
    <x v="4"/>
    <x v="1"/>
    <x v="2"/>
    <x v="11"/>
    <x v="11"/>
    <s v=""/>
    <x v="0"/>
    <x v="0"/>
    <n v="1750"/>
    <x v="11"/>
    <s v=""/>
    <x v="4"/>
    <x v="1"/>
  </r>
  <r>
    <x v="56"/>
    <x v="33"/>
    <x v="13"/>
    <n v="0"/>
    <s v="Debe"/>
    <x v="1"/>
    <x v="2"/>
    <x v="1"/>
    <x v="1"/>
    <n v="0"/>
    <n v="0"/>
    <s v=""/>
    <x v="4"/>
    <x v="1"/>
    <x v="2"/>
    <x v="11"/>
    <x v="11"/>
    <s v=""/>
    <x v="0"/>
    <x v="0"/>
    <n v="499"/>
    <x v="11"/>
    <s v=""/>
    <x v="4"/>
    <x v="1"/>
  </r>
  <r>
    <x v="56"/>
    <x v="33"/>
    <x v="13"/>
    <n v="0"/>
    <s v="Debe"/>
    <x v="1"/>
    <x v="2"/>
    <x v="1"/>
    <x v="1"/>
    <n v="0"/>
    <n v="0"/>
    <s v=""/>
    <x v="4"/>
    <x v="1"/>
    <x v="2"/>
    <x v="11"/>
    <x v="11"/>
    <s v=""/>
    <x v="0"/>
    <x v="0"/>
    <n v="516"/>
    <x v="11"/>
    <s v=""/>
    <x v="4"/>
    <x v="1"/>
  </r>
  <r>
    <x v="56"/>
    <x v="33"/>
    <x v="13"/>
    <n v="0"/>
    <s v="Haber"/>
    <x v="1"/>
    <x v="2"/>
    <x v="1"/>
    <x v="1"/>
    <n v="0"/>
    <s v=""/>
    <n v="0"/>
    <x v="4"/>
    <x v="1"/>
    <x v="2"/>
    <x v="11"/>
    <x v="11"/>
    <s v=""/>
    <x v="0"/>
    <x v="0"/>
    <n v="1756"/>
    <x v="11"/>
    <s v=""/>
    <x v="4"/>
    <x v="1"/>
  </r>
  <r>
    <x v="56"/>
    <x v="33"/>
    <x v="13"/>
    <n v="0"/>
    <s v="Haber"/>
    <x v="1"/>
    <x v="2"/>
    <x v="1"/>
    <x v="1"/>
    <n v="0"/>
    <s v=""/>
    <n v="0"/>
    <x v="4"/>
    <x v="1"/>
    <x v="2"/>
    <x v="11"/>
    <x v="11"/>
    <s v=""/>
    <x v="0"/>
    <x v="0"/>
    <n v="1757"/>
    <x v="11"/>
    <s v=""/>
    <x v="4"/>
    <x v="1"/>
  </r>
  <r>
    <x v="57"/>
    <x v="34"/>
    <x v="13"/>
    <n v="0"/>
    <s v="Debe"/>
    <x v="1"/>
    <x v="2"/>
    <x v="1"/>
    <x v="1"/>
    <n v="0"/>
    <n v="0"/>
    <s v=""/>
    <x v="4"/>
    <x v="1"/>
    <x v="2"/>
    <x v="11"/>
    <x v="11"/>
    <s v=""/>
    <x v="0"/>
    <x v="0"/>
    <n v="534"/>
    <x v="11"/>
    <s v=""/>
    <x v="4"/>
    <x v="1"/>
  </r>
  <r>
    <x v="57"/>
    <x v="34"/>
    <x v="13"/>
    <n v="0"/>
    <s v="Debe"/>
    <x v="1"/>
    <x v="2"/>
    <x v="1"/>
    <x v="1"/>
    <n v="0"/>
    <n v="0"/>
    <s v=""/>
    <x v="4"/>
    <x v="1"/>
    <x v="2"/>
    <x v="11"/>
    <x v="11"/>
    <s v=""/>
    <x v="0"/>
    <x v="0"/>
    <n v="535"/>
    <x v="11"/>
    <s v=""/>
    <x v="4"/>
    <x v="1"/>
  </r>
  <r>
    <x v="57"/>
    <x v="34"/>
    <x v="13"/>
    <n v="0"/>
    <s v="Debe"/>
    <x v="1"/>
    <x v="2"/>
    <x v="1"/>
    <x v="1"/>
    <n v="0"/>
    <n v="0"/>
    <s v=""/>
    <x v="4"/>
    <x v="1"/>
    <x v="2"/>
    <x v="11"/>
    <x v="11"/>
    <s v=""/>
    <x v="0"/>
    <x v="0"/>
    <n v="536"/>
    <x v="11"/>
    <s v=""/>
    <x v="4"/>
    <x v="1"/>
  </r>
  <r>
    <x v="57"/>
    <x v="34"/>
    <x v="13"/>
    <n v="0"/>
    <s v="Debe"/>
    <x v="1"/>
    <x v="2"/>
    <x v="1"/>
    <x v="1"/>
    <n v="0"/>
    <n v="0"/>
    <s v=""/>
    <x v="4"/>
    <x v="1"/>
    <x v="2"/>
    <x v="11"/>
    <x v="11"/>
    <s v=""/>
    <x v="0"/>
    <x v="0"/>
    <n v="537"/>
    <x v="11"/>
    <s v=""/>
    <x v="4"/>
    <x v="1"/>
  </r>
  <r>
    <x v="57"/>
    <x v="34"/>
    <x v="13"/>
    <n v="0"/>
    <s v="Debe"/>
    <x v="1"/>
    <x v="2"/>
    <x v="1"/>
    <x v="1"/>
    <n v="0"/>
    <n v="0"/>
    <s v=""/>
    <x v="4"/>
    <x v="1"/>
    <x v="2"/>
    <x v="11"/>
    <x v="11"/>
    <s v=""/>
    <x v="0"/>
    <x v="0"/>
    <n v="540"/>
    <x v="11"/>
    <s v=""/>
    <x v="4"/>
    <x v="1"/>
  </r>
  <r>
    <x v="57"/>
    <x v="34"/>
    <x v="13"/>
    <n v="0"/>
    <s v="Haber"/>
    <x v="1"/>
    <x v="2"/>
    <x v="1"/>
    <x v="1"/>
    <n v="0"/>
    <s v=""/>
    <n v="0"/>
    <x v="4"/>
    <x v="1"/>
    <x v="2"/>
    <x v="11"/>
    <x v="11"/>
    <s v=""/>
    <x v="0"/>
    <x v="0"/>
    <n v="1763"/>
    <x v="11"/>
    <s v=""/>
    <x v="4"/>
    <x v="1"/>
  </r>
  <r>
    <x v="57"/>
    <x v="34"/>
    <x v="13"/>
    <n v="0"/>
    <s v="Haber"/>
    <x v="1"/>
    <x v="2"/>
    <x v="1"/>
    <x v="1"/>
    <n v="0"/>
    <s v=""/>
    <n v="0"/>
    <x v="4"/>
    <x v="1"/>
    <x v="2"/>
    <x v="11"/>
    <x v="11"/>
    <s v=""/>
    <x v="0"/>
    <x v="0"/>
    <n v="1764"/>
    <x v="11"/>
    <s v=""/>
    <x v="4"/>
    <x v="1"/>
  </r>
  <r>
    <x v="57"/>
    <x v="34"/>
    <x v="13"/>
    <n v="0"/>
    <s v="Haber"/>
    <x v="1"/>
    <x v="2"/>
    <x v="1"/>
    <x v="1"/>
    <n v="0"/>
    <s v=""/>
    <n v="0"/>
    <x v="4"/>
    <x v="1"/>
    <x v="2"/>
    <x v="11"/>
    <x v="11"/>
    <s v=""/>
    <x v="0"/>
    <x v="0"/>
    <n v="1765"/>
    <x v="11"/>
    <s v=""/>
    <x v="4"/>
    <x v="1"/>
  </r>
  <r>
    <x v="57"/>
    <x v="34"/>
    <x v="13"/>
    <n v="0"/>
    <s v="Haber"/>
    <x v="1"/>
    <x v="2"/>
    <x v="1"/>
    <x v="1"/>
    <n v="0"/>
    <s v=""/>
    <n v="0"/>
    <x v="4"/>
    <x v="1"/>
    <x v="2"/>
    <x v="11"/>
    <x v="11"/>
    <s v=""/>
    <x v="0"/>
    <x v="0"/>
    <n v="1766"/>
    <x v="11"/>
    <s v=""/>
    <x v="4"/>
    <x v="1"/>
  </r>
  <r>
    <x v="57"/>
    <x v="34"/>
    <x v="13"/>
    <n v="0"/>
    <s v="Haber"/>
    <x v="1"/>
    <x v="2"/>
    <x v="1"/>
    <x v="1"/>
    <n v="0"/>
    <s v=""/>
    <n v="0"/>
    <x v="4"/>
    <x v="1"/>
    <x v="2"/>
    <x v="11"/>
    <x v="11"/>
    <s v=""/>
    <x v="0"/>
    <x v="0"/>
    <n v="1767"/>
    <x v="11"/>
    <s v=""/>
    <x v="4"/>
    <x v="1"/>
  </r>
  <r>
    <x v="58"/>
    <x v="35"/>
    <x v="13"/>
    <n v="0"/>
    <s v="Debe"/>
    <x v="1"/>
    <x v="2"/>
    <x v="1"/>
    <x v="1"/>
    <n v="0"/>
    <n v="0"/>
    <s v=""/>
    <x v="4"/>
    <x v="1"/>
    <x v="2"/>
    <x v="11"/>
    <x v="11"/>
    <s v=""/>
    <x v="0"/>
    <x v="0"/>
    <n v="548"/>
    <x v="11"/>
    <s v=""/>
    <x v="4"/>
    <x v="1"/>
  </r>
  <r>
    <x v="58"/>
    <x v="35"/>
    <x v="13"/>
    <n v="0"/>
    <s v="Debe"/>
    <x v="1"/>
    <x v="2"/>
    <x v="1"/>
    <x v="1"/>
    <n v="0"/>
    <n v="0"/>
    <s v=""/>
    <x v="4"/>
    <x v="1"/>
    <x v="2"/>
    <x v="11"/>
    <x v="11"/>
    <s v=""/>
    <x v="0"/>
    <x v="0"/>
    <n v="549"/>
    <x v="11"/>
    <s v=""/>
    <x v="4"/>
    <x v="1"/>
  </r>
  <r>
    <x v="58"/>
    <x v="35"/>
    <x v="13"/>
    <n v="0"/>
    <s v="Haber"/>
    <x v="1"/>
    <x v="2"/>
    <x v="1"/>
    <x v="1"/>
    <n v="0"/>
    <s v=""/>
    <n v="0"/>
    <x v="4"/>
    <x v="1"/>
    <x v="2"/>
    <x v="11"/>
    <x v="11"/>
    <s v=""/>
    <x v="0"/>
    <x v="0"/>
    <n v="1773"/>
    <x v="11"/>
    <s v=""/>
    <x v="4"/>
    <x v="1"/>
  </r>
  <r>
    <x v="58"/>
    <x v="35"/>
    <x v="13"/>
    <n v="0"/>
    <s v="Haber"/>
    <x v="1"/>
    <x v="2"/>
    <x v="1"/>
    <x v="1"/>
    <n v="0"/>
    <s v=""/>
    <n v="0"/>
    <x v="4"/>
    <x v="1"/>
    <x v="2"/>
    <x v="11"/>
    <x v="11"/>
    <s v=""/>
    <x v="0"/>
    <x v="0"/>
    <n v="1774"/>
    <x v="11"/>
    <s v=""/>
    <x v="4"/>
    <x v="1"/>
  </r>
  <r>
    <x v="59"/>
    <x v="35"/>
    <x v="13"/>
    <n v="0"/>
    <s v="Debe"/>
    <x v="1"/>
    <x v="3"/>
    <x v="1"/>
    <x v="1"/>
    <n v="0"/>
    <n v="0"/>
    <s v=""/>
    <x v="4"/>
    <x v="1"/>
    <x v="2"/>
    <x v="11"/>
    <x v="11"/>
    <s v=""/>
    <x v="0"/>
    <x v="0"/>
    <n v="578"/>
    <x v="11"/>
    <s v=""/>
    <x v="4"/>
    <x v="1"/>
  </r>
  <r>
    <x v="59"/>
    <x v="35"/>
    <x v="13"/>
    <n v="0"/>
    <s v="Debe"/>
    <x v="1"/>
    <x v="3"/>
    <x v="1"/>
    <x v="1"/>
    <n v="0"/>
    <n v="0"/>
    <s v=""/>
    <x v="4"/>
    <x v="1"/>
    <x v="2"/>
    <x v="11"/>
    <x v="11"/>
    <s v=""/>
    <x v="0"/>
    <x v="0"/>
    <n v="579"/>
    <x v="11"/>
    <s v=""/>
    <x v="4"/>
    <x v="1"/>
  </r>
  <r>
    <x v="59"/>
    <x v="35"/>
    <x v="13"/>
    <n v="0"/>
    <s v="Haber"/>
    <x v="1"/>
    <x v="3"/>
    <x v="1"/>
    <x v="1"/>
    <n v="0"/>
    <s v=""/>
    <n v="0"/>
    <x v="4"/>
    <x v="1"/>
    <x v="2"/>
    <x v="11"/>
    <x v="11"/>
    <s v=""/>
    <x v="0"/>
    <x v="0"/>
    <n v="1780"/>
    <x v="11"/>
    <s v=""/>
    <x v="4"/>
    <x v="1"/>
  </r>
  <r>
    <x v="59"/>
    <x v="35"/>
    <x v="13"/>
    <n v="0"/>
    <s v="Haber"/>
    <x v="1"/>
    <x v="3"/>
    <x v="1"/>
    <x v="1"/>
    <n v="0"/>
    <s v=""/>
    <n v="0"/>
    <x v="4"/>
    <x v="1"/>
    <x v="2"/>
    <x v="11"/>
    <x v="11"/>
    <s v=""/>
    <x v="0"/>
    <x v="0"/>
    <n v="1781"/>
    <x v="11"/>
    <s v=""/>
    <x v="4"/>
    <x v="1"/>
  </r>
  <r>
    <x v="60"/>
    <x v="35"/>
    <x v="13"/>
    <n v="0"/>
    <s v="Debe"/>
    <x v="1"/>
    <x v="3"/>
    <x v="1"/>
    <x v="1"/>
    <n v="0"/>
    <n v="0"/>
    <s v=""/>
    <x v="4"/>
    <x v="1"/>
    <x v="2"/>
    <x v="11"/>
    <x v="11"/>
    <s v=""/>
    <x v="0"/>
    <x v="0"/>
    <n v="585"/>
    <x v="11"/>
    <s v=""/>
    <x v="4"/>
    <x v="1"/>
  </r>
  <r>
    <x v="60"/>
    <x v="35"/>
    <x v="13"/>
    <n v="0"/>
    <s v="Debe"/>
    <x v="1"/>
    <x v="3"/>
    <x v="1"/>
    <x v="1"/>
    <n v="0"/>
    <n v="0"/>
    <s v=""/>
    <x v="4"/>
    <x v="1"/>
    <x v="2"/>
    <x v="11"/>
    <x v="11"/>
    <s v=""/>
    <x v="0"/>
    <x v="0"/>
    <n v="586"/>
    <x v="11"/>
    <s v=""/>
    <x v="4"/>
    <x v="1"/>
  </r>
  <r>
    <x v="60"/>
    <x v="35"/>
    <x v="13"/>
    <n v="0"/>
    <s v="Haber"/>
    <x v="1"/>
    <x v="3"/>
    <x v="1"/>
    <x v="1"/>
    <n v="0"/>
    <s v=""/>
    <n v="0"/>
    <x v="4"/>
    <x v="1"/>
    <x v="2"/>
    <x v="11"/>
    <x v="11"/>
    <s v=""/>
    <x v="0"/>
    <x v="0"/>
    <n v="1787"/>
    <x v="11"/>
    <s v=""/>
    <x v="4"/>
    <x v="1"/>
  </r>
  <r>
    <x v="60"/>
    <x v="35"/>
    <x v="13"/>
    <n v="0"/>
    <s v="Haber"/>
    <x v="1"/>
    <x v="3"/>
    <x v="1"/>
    <x v="1"/>
    <n v="0"/>
    <s v=""/>
    <n v="0"/>
    <x v="4"/>
    <x v="1"/>
    <x v="2"/>
    <x v="11"/>
    <x v="11"/>
    <s v=""/>
    <x v="0"/>
    <x v="0"/>
    <n v="1788"/>
    <x v="11"/>
    <s v=""/>
    <x v="4"/>
    <x v="1"/>
  </r>
  <r>
    <x v="61"/>
    <x v="35"/>
    <x v="13"/>
    <n v="0"/>
    <s v="Debe"/>
    <x v="1"/>
    <x v="3"/>
    <x v="1"/>
    <x v="1"/>
    <n v="0"/>
    <n v="0"/>
    <s v=""/>
    <x v="4"/>
    <x v="1"/>
    <x v="2"/>
    <x v="11"/>
    <x v="11"/>
    <s v=""/>
    <x v="0"/>
    <x v="0"/>
    <n v="592"/>
    <x v="11"/>
    <s v=""/>
    <x v="4"/>
    <x v="1"/>
  </r>
  <r>
    <x v="61"/>
    <x v="35"/>
    <x v="13"/>
    <n v="0"/>
    <s v="Debe"/>
    <x v="1"/>
    <x v="3"/>
    <x v="1"/>
    <x v="1"/>
    <n v="0"/>
    <n v="0"/>
    <s v=""/>
    <x v="4"/>
    <x v="1"/>
    <x v="2"/>
    <x v="11"/>
    <x v="11"/>
    <s v=""/>
    <x v="0"/>
    <x v="0"/>
    <n v="593"/>
    <x v="11"/>
    <s v=""/>
    <x v="4"/>
    <x v="1"/>
  </r>
  <r>
    <x v="61"/>
    <x v="35"/>
    <x v="13"/>
    <n v="0"/>
    <s v="Haber"/>
    <x v="1"/>
    <x v="3"/>
    <x v="1"/>
    <x v="1"/>
    <n v="0"/>
    <s v=""/>
    <n v="0"/>
    <x v="4"/>
    <x v="1"/>
    <x v="2"/>
    <x v="11"/>
    <x v="11"/>
    <s v=""/>
    <x v="0"/>
    <x v="0"/>
    <n v="1794"/>
    <x v="11"/>
    <s v=""/>
    <x v="4"/>
    <x v="1"/>
  </r>
  <r>
    <x v="61"/>
    <x v="35"/>
    <x v="13"/>
    <n v="0"/>
    <s v="Haber"/>
    <x v="1"/>
    <x v="3"/>
    <x v="1"/>
    <x v="1"/>
    <n v="0"/>
    <s v=""/>
    <n v="0"/>
    <x v="4"/>
    <x v="1"/>
    <x v="2"/>
    <x v="11"/>
    <x v="11"/>
    <s v=""/>
    <x v="0"/>
    <x v="0"/>
    <n v="1795"/>
    <x v="11"/>
    <s v=""/>
    <x v="4"/>
    <x v="1"/>
  </r>
  <r>
    <x v="62"/>
    <x v="35"/>
    <x v="13"/>
    <n v="0"/>
    <s v="Debe"/>
    <x v="1"/>
    <x v="4"/>
    <x v="1"/>
    <x v="1"/>
    <n v="0"/>
    <n v="0"/>
    <s v=""/>
    <x v="4"/>
    <x v="1"/>
    <x v="2"/>
    <x v="11"/>
    <x v="11"/>
    <s v=""/>
    <x v="0"/>
    <x v="0"/>
    <n v="599"/>
    <x v="11"/>
    <s v=""/>
    <x v="4"/>
    <x v="1"/>
  </r>
  <r>
    <x v="62"/>
    <x v="35"/>
    <x v="13"/>
    <n v="0"/>
    <s v="Debe"/>
    <x v="1"/>
    <x v="4"/>
    <x v="1"/>
    <x v="1"/>
    <n v="0"/>
    <n v="0"/>
    <s v=""/>
    <x v="4"/>
    <x v="1"/>
    <x v="2"/>
    <x v="11"/>
    <x v="11"/>
    <s v=""/>
    <x v="0"/>
    <x v="0"/>
    <n v="600"/>
    <x v="11"/>
    <s v=""/>
    <x v="4"/>
    <x v="1"/>
  </r>
  <r>
    <x v="62"/>
    <x v="35"/>
    <x v="13"/>
    <n v="0"/>
    <s v="Haber"/>
    <x v="1"/>
    <x v="4"/>
    <x v="1"/>
    <x v="1"/>
    <n v="0"/>
    <s v=""/>
    <n v="0"/>
    <x v="4"/>
    <x v="1"/>
    <x v="2"/>
    <x v="11"/>
    <x v="11"/>
    <s v=""/>
    <x v="0"/>
    <x v="0"/>
    <n v="1801"/>
    <x v="11"/>
    <s v=""/>
    <x v="4"/>
    <x v="1"/>
  </r>
  <r>
    <x v="62"/>
    <x v="35"/>
    <x v="13"/>
    <n v="0"/>
    <s v="Haber"/>
    <x v="1"/>
    <x v="4"/>
    <x v="1"/>
    <x v="1"/>
    <n v="0"/>
    <s v=""/>
    <n v="0"/>
    <x v="4"/>
    <x v="1"/>
    <x v="2"/>
    <x v="11"/>
    <x v="11"/>
    <s v=""/>
    <x v="0"/>
    <x v="0"/>
    <n v="1802"/>
    <x v="11"/>
    <s v=""/>
    <x v="4"/>
    <x v="1"/>
  </r>
  <r>
    <x v="63"/>
    <x v="35"/>
    <x v="13"/>
    <n v="0"/>
    <s v="Debe"/>
    <x v="1"/>
    <x v="4"/>
    <x v="1"/>
    <x v="1"/>
    <n v="0"/>
    <n v="0"/>
    <s v=""/>
    <x v="4"/>
    <x v="1"/>
    <x v="2"/>
    <x v="11"/>
    <x v="11"/>
    <s v=""/>
    <x v="0"/>
    <x v="0"/>
    <n v="606"/>
    <x v="11"/>
    <s v=""/>
    <x v="4"/>
    <x v="1"/>
  </r>
  <r>
    <x v="63"/>
    <x v="35"/>
    <x v="13"/>
    <n v="0"/>
    <s v="Debe"/>
    <x v="1"/>
    <x v="4"/>
    <x v="1"/>
    <x v="1"/>
    <n v="0"/>
    <n v="0"/>
    <s v=""/>
    <x v="4"/>
    <x v="1"/>
    <x v="2"/>
    <x v="11"/>
    <x v="11"/>
    <s v=""/>
    <x v="0"/>
    <x v="0"/>
    <n v="607"/>
    <x v="11"/>
    <s v=""/>
    <x v="4"/>
    <x v="1"/>
  </r>
  <r>
    <x v="63"/>
    <x v="35"/>
    <x v="13"/>
    <n v="0"/>
    <s v="Haber"/>
    <x v="1"/>
    <x v="4"/>
    <x v="1"/>
    <x v="1"/>
    <n v="0"/>
    <s v=""/>
    <n v="0"/>
    <x v="4"/>
    <x v="1"/>
    <x v="2"/>
    <x v="11"/>
    <x v="11"/>
    <s v=""/>
    <x v="0"/>
    <x v="0"/>
    <n v="1808"/>
    <x v="11"/>
    <s v=""/>
    <x v="4"/>
    <x v="1"/>
  </r>
  <r>
    <x v="63"/>
    <x v="35"/>
    <x v="13"/>
    <n v="0"/>
    <s v="Haber"/>
    <x v="1"/>
    <x v="4"/>
    <x v="1"/>
    <x v="1"/>
    <n v="0"/>
    <s v=""/>
    <n v="0"/>
    <x v="4"/>
    <x v="1"/>
    <x v="2"/>
    <x v="11"/>
    <x v="11"/>
    <s v=""/>
    <x v="0"/>
    <x v="0"/>
    <n v="1809"/>
    <x v="11"/>
    <s v=""/>
    <x v="4"/>
    <x v="1"/>
  </r>
  <r>
    <x v="64"/>
    <x v="35"/>
    <x v="13"/>
    <n v="0"/>
    <s v="Debe"/>
    <x v="1"/>
    <x v="6"/>
    <x v="1"/>
    <x v="1"/>
    <n v="0"/>
    <n v="0"/>
    <s v=""/>
    <x v="4"/>
    <x v="1"/>
    <x v="2"/>
    <x v="11"/>
    <x v="11"/>
    <s v=""/>
    <x v="0"/>
    <x v="0"/>
    <n v="613"/>
    <x v="11"/>
    <s v=""/>
    <x v="4"/>
    <x v="1"/>
  </r>
  <r>
    <x v="64"/>
    <x v="35"/>
    <x v="13"/>
    <n v="0"/>
    <s v="Debe"/>
    <x v="1"/>
    <x v="6"/>
    <x v="1"/>
    <x v="1"/>
    <n v="0"/>
    <n v="0"/>
    <s v=""/>
    <x v="4"/>
    <x v="1"/>
    <x v="2"/>
    <x v="11"/>
    <x v="11"/>
    <s v=""/>
    <x v="0"/>
    <x v="0"/>
    <n v="614"/>
    <x v="11"/>
    <s v=""/>
    <x v="4"/>
    <x v="1"/>
  </r>
  <r>
    <x v="64"/>
    <x v="35"/>
    <x v="13"/>
    <n v="0"/>
    <s v="Haber"/>
    <x v="1"/>
    <x v="6"/>
    <x v="1"/>
    <x v="1"/>
    <n v="0"/>
    <s v=""/>
    <n v="0"/>
    <x v="4"/>
    <x v="1"/>
    <x v="2"/>
    <x v="11"/>
    <x v="11"/>
    <s v=""/>
    <x v="0"/>
    <x v="0"/>
    <n v="1815"/>
    <x v="11"/>
    <s v=""/>
    <x v="4"/>
    <x v="1"/>
  </r>
  <r>
    <x v="64"/>
    <x v="35"/>
    <x v="13"/>
    <n v="0"/>
    <s v="Haber"/>
    <x v="1"/>
    <x v="6"/>
    <x v="1"/>
    <x v="1"/>
    <n v="0"/>
    <s v=""/>
    <n v="0"/>
    <x v="4"/>
    <x v="1"/>
    <x v="2"/>
    <x v="11"/>
    <x v="11"/>
    <s v=""/>
    <x v="0"/>
    <x v="0"/>
    <n v="1816"/>
    <x v="11"/>
    <s v=""/>
    <x v="4"/>
    <x v="1"/>
  </r>
  <r>
    <x v="65"/>
    <x v="35"/>
    <x v="13"/>
    <n v="0"/>
    <s v="Debe"/>
    <x v="1"/>
    <x v="6"/>
    <x v="1"/>
    <x v="1"/>
    <n v="0"/>
    <n v="0"/>
    <s v=""/>
    <x v="4"/>
    <x v="1"/>
    <x v="2"/>
    <x v="11"/>
    <x v="11"/>
    <s v=""/>
    <x v="0"/>
    <x v="0"/>
    <n v="620"/>
    <x v="11"/>
    <s v=""/>
    <x v="4"/>
    <x v="1"/>
  </r>
  <r>
    <x v="65"/>
    <x v="35"/>
    <x v="13"/>
    <n v="0"/>
    <s v="Debe"/>
    <x v="1"/>
    <x v="6"/>
    <x v="1"/>
    <x v="1"/>
    <n v="0"/>
    <n v="0"/>
    <s v=""/>
    <x v="4"/>
    <x v="1"/>
    <x v="2"/>
    <x v="11"/>
    <x v="11"/>
    <s v=""/>
    <x v="0"/>
    <x v="0"/>
    <n v="621"/>
    <x v="11"/>
    <s v=""/>
    <x v="4"/>
    <x v="1"/>
  </r>
  <r>
    <x v="65"/>
    <x v="35"/>
    <x v="13"/>
    <n v="0"/>
    <s v="Haber"/>
    <x v="1"/>
    <x v="6"/>
    <x v="1"/>
    <x v="1"/>
    <n v="0"/>
    <s v=""/>
    <n v="0"/>
    <x v="4"/>
    <x v="1"/>
    <x v="2"/>
    <x v="11"/>
    <x v="11"/>
    <s v=""/>
    <x v="0"/>
    <x v="0"/>
    <n v="1822"/>
    <x v="11"/>
    <s v=""/>
    <x v="4"/>
    <x v="1"/>
  </r>
  <r>
    <x v="65"/>
    <x v="35"/>
    <x v="13"/>
    <n v="0"/>
    <s v="Haber"/>
    <x v="1"/>
    <x v="6"/>
    <x v="1"/>
    <x v="1"/>
    <n v="0"/>
    <s v=""/>
    <n v="0"/>
    <x v="4"/>
    <x v="1"/>
    <x v="2"/>
    <x v="11"/>
    <x v="11"/>
    <s v=""/>
    <x v="0"/>
    <x v="0"/>
    <n v="1823"/>
    <x v="11"/>
    <s v=""/>
    <x v="4"/>
    <x v="1"/>
  </r>
  <r>
    <x v="66"/>
    <x v="35"/>
    <x v="13"/>
    <n v="0"/>
    <s v="Debe"/>
    <x v="1"/>
    <x v="6"/>
    <x v="1"/>
    <x v="1"/>
    <n v="0"/>
    <n v="0"/>
    <s v=""/>
    <x v="4"/>
    <x v="1"/>
    <x v="2"/>
    <x v="11"/>
    <x v="11"/>
    <s v=""/>
    <x v="0"/>
    <x v="0"/>
    <n v="627"/>
    <x v="11"/>
    <s v=""/>
    <x v="4"/>
    <x v="1"/>
  </r>
  <r>
    <x v="66"/>
    <x v="35"/>
    <x v="13"/>
    <n v="0"/>
    <s v="Debe"/>
    <x v="1"/>
    <x v="6"/>
    <x v="1"/>
    <x v="1"/>
    <n v="0"/>
    <n v="0"/>
    <s v=""/>
    <x v="4"/>
    <x v="1"/>
    <x v="2"/>
    <x v="11"/>
    <x v="11"/>
    <s v=""/>
    <x v="0"/>
    <x v="0"/>
    <n v="628"/>
    <x v="11"/>
    <s v=""/>
    <x v="4"/>
    <x v="1"/>
  </r>
  <r>
    <x v="66"/>
    <x v="35"/>
    <x v="13"/>
    <n v="0"/>
    <s v="Haber"/>
    <x v="1"/>
    <x v="6"/>
    <x v="1"/>
    <x v="1"/>
    <n v="0"/>
    <s v=""/>
    <n v="0"/>
    <x v="4"/>
    <x v="1"/>
    <x v="2"/>
    <x v="11"/>
    <x v="11"/>
    <s v=""/>
    <x v="0"/>
    <x v="0"/>
    <n v="1829"/>
    <x v="11"/>
    <s v=""/>
    <x v="4"/>
    <x v="1"/>
  </r>
  <r>
    <x v="66"/>
    <x v="35"/>
    <x v="13"/>
    <n v="0"/>
    <s v="Haber"/>
    <x v="1"/>
    <x v="6"/>
    <x v="1"/>
    <x v="1"/>
    <n v="0"/>
    <s v=""/>
    <n v="0"/>
    <x v="4"/>
    <x v="1"/>
    <x v="2"/>
    <x v="11"/>
    <x v="11"/>
    <s v=""/>
    <x v="0"/>
    <x v="0"/>
    <n v="1830"/>
    <x v="11"/>
    <s v=""/>
    <x v="4"/>
    <x v="1"/>
  </r>
  <r>
    <x v="67"/>
    <x v="35"/>
    <x v="13"/>
    <n v="0"/>
    <s v="Debe"/>
    <x v="1"/>
    <x v="7"/>
    <x v="1"/>
    <x v="1"/>
    <n v="0"/>
    <n v="0"/>
    <s v=""/>
    <x v="4"/>
    <x v="1"/>
    <x v="2"/>
    <x v="11"/>
    <x v="11"/>
    <s v=""/>
    <x v="0"/>
    <x v="0"/>
    <n v="634"/>
    <x v="11"/>
    <s v=""/>
    <x v="4"/>
    <x v="1"/>
  </r>
  <r>
    <x v="67"/>
    <x v="35"/>
    <x v="13"/>
    <n v="0"/>
    <s v="Debe"/>
    <x v="1"/>
    <x v="7"/>
    <x v="1"/>
    <x v="1"/>
    <n v="0"/>
    <n v="0"/>
    <s v=""/>
    <x v="4"/>
    <x v="1"/>
    <x v="2"/>
    <x v="11"/>
    <x v="11"/>
    <s v=""/>
    <x v="0"/>
    <x v="0"/>
    <n v="635"/>
    <x v="11"/>
    <s v=""/>
    <x v="4"/>
    <x v="1"/>
  </r>
  <r>
    <x v="67"/>
    <x v="35"/>
    <x v="13"/>
    <n v="0"/>
    <s v="Haber"/>
    <x v="1"/>
    <x v="7"/>
    <x v="1"/>
    <x v="1"/>
    <n v="0"/>
    <s v=""/>
    <n v="0"/>
    <x v="4"/>
    <x v="1"/>
    <x v="2"/>
    <x v="11"/>
    <x v="11"/>
    <s v=""/>
    <x v="0"/>
    <x v="0"/>
    <n v="1836"/>
    <x v="11"/>
    <s v=""/>
    <x v="4"/>
    <x v="1"/>
  </r>
  <r>
    <x v="67"/>
    <x v="35"/>
    <x v="13"/>
    <n v="0"/>
    <s v="Haber"/>
    <x v="1"/>
    <x v="7"/>
    <x v="1"/>
    <x v="1"/>
    <n v="0"/>
    <s v=""/>
    <n v="0"/>
    <x v="4"/>
    <x v="1"/>
    <x v="2"/>
    <x v="11"/>
    <x v="11"/>
    <s v=""/>
    <x v="0"/>
    <x v="0"/>
    <n v="1837"/>
    <x v="11"/>
    <s v=""/>
    <x v="4"/>
    <x v="1"/>
  </r>
  <r>
    <x v="68"/>
    <x v="35"/>
    <x v="13"/>
    <n v="0"/>
    <s v="Debe"/>
    <x v="1"/>
    <x v="7"/>
    <x v="1"/>
    <x v="1"/>
    <n v="0"/>
    <n v="0"/>
    <s v=""/>
    <x v="4"/>
    <x v="1"/>
    <x v="2"/>
    <x v="11"/>
    <x v="11"/>
    <s v=""/>
    <x v="0"/>
    <x v="0"/>
    <n v="641"/>
    <x v="11"/>
    <s v=""/>
    <x v="4"/>
    <x v="1"/>
  </r>
  <r>
    <x v="68"/>
    <x v="35"/>
    <x v="13"/>
    <n v="0"/>
    <s v="Debe"/>
    <x v="1"/>
    <x v="7"/>
    <x v="1"/>
    <x v="1"/>
    <n v="0"/>
    <n v="0"/>
    <s v=""/>
    <x v="4"/>
    <x v="1"/>
    <x v="2"/>
    <x v="11"/>
    <x v="11"/>
    <s v=""/>
    <x v="0"/>
    <x v="0"/>
    <n v="642"/>
    <x v="11"/>
    <s v=""/>
    <x v="4"/>
    <x v="1"/>
  </r>
  <r>
    <x v="68"/>
    <x v="35"/>
    <x v="13"/>
    <n v="0"/>
    <s v="Haber"/>
    <x v="1"/>
    <x v="7"/>
    <x v="1"/>
    <x v="1"/>
    <n v="0"/>
    <s v=""/>
    <n v="0"/>
    <x v="4"/>
    <x v="1"/>
    <x v="2"/>
    <x v="11"/>
    <x v="11"/>
    <s v=""/>
    <x v="0"/>
    <x v="0"/>
    <n v="1843"/>
    <x v="11"/>
    <s v=""/>
    <x v="4"/>
    <x v="1"/>
  </r>
  <r>
    <x v="68"/>
    <x v="35"/>
    <x v="13"/>
    <n v="0"/>
    <s v="Haber"/>
    <x v="1"/>
    <x v="7"/>
    <x v="1"/>
    <x v="1"/>
    <n v="0"/>
    <s v=""/>
    <n v="0"/>
    <x v="4"/>
    <x v="1"/>
    <x v="2"/>
    <x v="11"/>
    <x v="11"/>
    <s v=""/>
    <x v="0"/>
    <x v="0"/>
    <n v="1844"/>
    <x v="11"/>
    <s v=""/>
    <x v="4"/>
    <x v="1"/>
  </r>
  <r>
    <x v="69"/>
    <x v="35"/>
    <x v="13"/>
    <n v="0"/>
    <s v="Debe"/>
    <x v="1"/>
    <x v="7"/>
    <x v="1"/>
    <x v="1"/>
    <n v="0"/>
    <n v="0"/>
    <s v=""/>
    <x v="4"/>
    <x v="1"/>
    <x v="2"/>
    <x v="11"/>
    <x v="11"/>
    <s v=""/>
    <x v="0"/>
    <x v="0"/>
    <n v="648"/>
    <x v="11"/>
    <s v=""/>
    <x v="4"/>
    <x v="1"/>
  </r>
  <r>
    <x v="69"/>
    <x v="35"/>
    <x v="13"/>
    <n v="0"/>
    <s v="Debe"/>
    <x v="1"/>
    <x v="7"/>
    <x v="1"/>
    <x v="1"/>
    <n v="0"/>
    <n v="0"/>
    <s v=""/>
    <x v="4"/>
    <x v="1"/>
    <x v="2"/>
    <x v="11"/>
    <x v="11"/>
    <s v=""/>
    <x v="0"/>
    <x v="0"/>
    <n v="649"/>
    <x v="11"/>
    <s v=""/>
    <x v="4"/>
    <x v="1"/>
  </r>
  <r>
    <x v="69"/>
    <x v="35"/>
    <x v="13"/>
    <n v="0"/>
    <s v="Haber"/>
    <x v="1"/>
    <x v="7"/>
    <x v="1"/>
    <x v="1"/>
    <n v="0"/>
    <s v=""/>
    <n v="0"/>
    <x v="4"/>
    <x v="1"/>
    <x v="2"/>
    <x v="11"/>
    <x v="11"/>
    <s v=""/>
    <x v="0"/>
    <x v="0"/>
    <n v="1850"/>
    <x v="11"/>
    <s v=""/>
    <x v="4"/>
    <x v="1"/>
  </r>
  <r>
    <x v="69"/>
    <x v="35"/>
    <x v="13"/>
    <n v="0"/>
    <s v="Haber"/>
    <x v="1"/>
    <x v="7"/>
    <x v="1"/>
    <x v="1"/>
    <n v="0"/>
    <s v=""/>
    <n v="0"/>
    <x v="4"/>
    <x v="1"/>
    <x v="2"/>
    <x v="11"/>
    <x v="11"/>
    <s v=""/>
    <x v="0"/>
    <x v="0"/>
    <n v="1851"/>
    <x v="11"/>
    <s v=""/>
    <x v="4"/>
    <x v="1"/>
  </r>
  <r>
    <x v="70"/>
    <x v="35"/>
    <x v="13"/>
    <n v="0"/>
    <s v="Debe"/>
    <x v="1"/>
    <x v="5"/>
    <x v="1"/>
    <x v="1"/>
    <n v="0"/>
    <n v="0"/>
    <s v=""/>
    <x v="4"/>
    <x v="1"/>
    <x v="2"/>
    <x v="11"/>
    <x v="11"/>
    <s v=""/>
    <x v="0"/>
    <x v="0"/>
    <n v="655"/>
    <x v="11"/>
    <s v=""/>
    <x v="4"/>
    <x v="1"/>
  </r>
  <r>
    <x v="70"/>
    <x v="35"/>
    <x v="13"/>
    <n v="0"/>
    <s v="Debe"/>
    <x v="1"/>
    <x v="5"/>
    <x v="1"/>
    <x v="1"/>
    <n v="0"/>
    <n v="0"/>
    <s v=""/>
    <x v="4"/>
    <x v="1"/>
    <x v="2"/>
    <x v="11"/>
    <x v="11"/>
    <s v=""/>
    <x v="0"/>
    <x v="0"/>
    <n v="656"/>
    <x v="11"/>
    <s v=""/>
    <x v="4"/>
    <x v="1"/>
  </r>
  <r>
    <x v="70"/>
    <x v="35"/>
    <x v="13"/>
    <n v="0"/>
    <s v="Haber"/>
    <x v="1"/>
    <x v="5"/>
    <x v="1"/>
    <x v="1"/>
    <n v="0"/>
    <s v=""/>
    <n v="0"/>
    <x v="4"/>
    <x v="1"/>
    <x v="2"/>
    <x v="11"/>
    <x v="11"/>
    <s v=""/>
    <x v="0"/>
    <x v="0"/>
    <n v="1857"/>
    <x v="11"/>
    <s v=""/>
    <x v="4"/>
    <x v="1"/>
  </r>
  <r>
    <x v="70"/>
    <x v="35"/>
    <x v="13"/>
    <n v="0"/>
    <s v="Haber"/>
    <x v="1"/>
    <x v="5"/>
    <x v="1"/>
    <x v="1"/>
    <n v="0"/>
    <s v=""/>
    <n v="0"/>
    <x v="4"/>
    <x v="1"/>
    <x v="2"/>
    <x v="11"/>
    <x v="11"/>
    <s v=""/>
    <x v="0"/>
    <x v="0"/>
    <n v="1858"/>
    <x v="11"/>
    <s v=""/>
    <x v="4"/>
    <x v="1"/>
  </r>
  <r>
    <x v="71"/>
    <x v="35"/>
    <x v="13"/>
    <n v="0"/>
    <s v="Debe"/>
    <x v="1"/>
    <x v="5"/>
    <x v="1"/>
    <x v="1"/>
    <n v="0"/>
    <n v="0"/>
    <s v=""/>
    <x v="4"/>
    <x v="1"/>
    <x v="2"/>
    <x v="11"/>
    <x v="11"/>
    <s v=""/>
    <x v="0"/>
    <x v="0"/>
    <n v="662"/>
    <x v="11"/>
    <s v=""/>
    <x v="4"/>
    <x v="1"/>
  </r>
  <r>
    <x v="71"/>
    <x v="35"/>
    <x v="13"/>
    <n v="0"/>
    <s v="Debe"/>
    <x v="1"/>
    <x v="5"/>
    <x v="1"/>
    <x v="1"/>
    <n v="0"/>
    <n v="0"/>
    <s v=""/>
    <x v="4"/>
    <x v="1"/>
    <x v="2"/>
    <x v="11"/>
    <x v="11"/>
    <s v=""/>
    <x v="0"/>
    <x v="0"/>
    <n v="663"/>
    <x v="11"/>
    <s v=""/>
    <x v="4"/>
    <x v="1"/>
  </r>
  <r>
    <x v="71"/>
    <x v="35"/>
    <x v="13"/>
    <n v="0"/>
    <s v="Haber"/>
    <x v="1"/>
    <x v="5"/>
    <x v="1"/>
    <x v="1"/>
    <n v="0"/>
    <s v=""/>
    <n v="0"/>
    <x v="4"/>
    <x v="1"/>
    <x v="2"/>
    <x v="11"/>
    <x v="11"/>
    <s v=""/>
    <x v="0"/>
    <x v="0"/>
    <n v="1864"/>
    <x v="11"/>
    <s v=""/>
    <x v="4"/>
    <x v="1"/>
  </r>
  <r>
    <x v="71"/>
    <x v="35"/>
    <x v="13"/>
    <n v="0"/>
    <s v="Haber"/>
    <x v="1"/>
    <x v="5"/>
    <x v="1"/>
    <x v="1"/>
    <n v="0"/>
    <s v=""/>
    <n v="0"/>
    <x v="4"/>
    <x v="1"/>
    <x v="2"/>
    <x v="11"/>
    <x v="11"/>
    <s v=""/>
    <x v="0"/>
    <x v="0"/>
    <n v="1865"/>
    <x v="11"/>
    <s v=""/>
    <x v="4"/>
    <x v="1"/>
  </r>
  <r>
    <x v="72"/>
    <x v="35"/>
    <x v="13"/>
    <n v="0"/>
    <s v="Debe"/>
    <x v="1"/>
    <x v="5"/>
    <x v="1"/>
    <x v="1"/>
    <n v="0"/>
    <n v="0"/>
    <s v=""/>
    <x v="4"/>
    <x v="1"/>
    <x v="2"/>
    <x v="11"/>
    <x v="11"/>
    <s v=""/>
    <x v="0"/>
    <x v="0"/>
    <n v="669"/>
    <x v="11"/>
    <s v=""/>
    <x v="4"/>
    <x v="1"/>
  </r>
  <r>
    <x v="72"/>
    <x v="35"/>
    <x v="13"/>
    <n v="0"/>
    <s v="Debe"/>
    <x v="1"/>
    <x v="5"/>
    <x v="1"/>
    <x v="1"/>
    <n v="0"/>
    <n v="0"/>
    <s v=""/>
    <x v="4"/>
    <x v="1"/>
    <x v="2"/>
    <x v="11"/>
    <x v="11"/>
    <s v=""/>
    <x v="0"/>
    <x v="0"/>
    <n v="670"/>
    <x v="11"/>
    <s v=""/>
    <x v="4"/>
    <x v="1"/>
  </r>
  <r>
    <x v="72"/>
    <x v="35"/>
    <x v="13"/>
    <n v="0"/>
    <s v="Haber"/>
    <x v="1"/>
    <x v="5"/>
    <x v="1"/>
    <x v="1"/>
    <n v="0"/>
    <s v=""/>
    <n v="0"/>
    <x v="4"/>
    <x v="1"/>
    <x v="2"/>
    <x v="11"/>
    <x v="11"/>
    <s v=""/>
    <x v="0"/>
    <x v="0"/>
    <n v="1871"/>
    <x v="11"/>
    <s v=""/>
    <x v="4"/>
    <x v="1"/>
  </r>
  <r>
    <x v="72"/>
    <x v="35"/>
    <x v="13"/>
    <n v="0"/>
    <s v="Haber"/>
    <x v="1"/>
    <x v="5"/>
    <x v="1"/>
    <x v="1"/>
    <n v="0"/>
    <s v=""/>
    <n v="0"/>
    <x v="4"/>
    <x v="1"/>
    <x v="2"/>
    <x v="11"/>
    <x v="11"/>
    <s v=""/>
    <x v="0"/>
    <x v="0"/>
    <n v="1872"/>
    <x v="11"/>
    <s v=""/>
    <x v="4"/>
    <x v="1"/>
  </r>
  <r>
    <x v="73"/>
    <x v="35"/>
    <x v="13"/>
    <n v="0"/>
    <s v="Debe"/>
    <x v="1"/>
    <x v="5"/>
    <x v="1"/>
    <x v="1"/>
    <n v="0"/>
    <n v="0"/>
    <s v=""/>
    <x v="4"/>
    <x v="1"/>
    <x v="2"/>
    <x v="11"/>
    <x v="11"/>
    <s v=""/>
    <x v="0"/>
    <x v="0"/>
    <n v="676"/>
    <x v="11"/>
    <s v=""/>
    <x v="4"/>
    <x v="1"/>
  </r>
  <r>
    <x v="73"/>
    <x v="35"/>
    <x v="13"/>
    <n v="0"/>
    <s v="Debe"/>
    <x v="1"/>
    <x v="5"/>
    <x v="1"/>
    <x v="1"/>
    <n v="0"/>
    <n v="0"/>
    <s v=""/>
    <x v="4"/>
    <x v="1"/>
    <x v="2"/>
    <x v="11"/>
    <x v="11"/>
    <s v=""/>
    <x v="0"/>
    <x v="0"/>
    <n v="677"/>
    <x v="11"/>
    <s v=""/>
    <x v="4"/>
    <x v="1"/>
  </r>
  <r>
    <x v="73"/>
    <x v="35"/>
    <x v="13"/>
    <n v="0"/>
    <s v="Haber"/>
    <x v="1"/>
    <x v="5"/>
    <x v="1"/>
    <x v="1"/>
    <n v="0"/>
    <s v=""/>
    <n v="0"/>
    <x v="4"/>
    <x v="1"/>
    <x v="2"/>
    <x v="11"/>
    <x v="11"/>
    <s v=""/>
    <x v="0"/>
    <x v="0"/>
    <n v="1878"/>
    <x v="11"/>
    <s v=""/>
    <x v="4"/>
    <x v="1"/>
  </r>
  <r>
    <x v="73"/>
    <x v="35"/>
    <x v="13"/>
    <n v="0"/>
    <s v="Haber"/>
    <x v="1"/>
    <x v="5"/>
    <x v="1"/>
    <x v="1"/>
    <n v="0"/>
    <s v=""/>
    <n v="0"/>
    <x v="4"/>
    <x v="1"/>
    <x v="2"/>
    <x v="11"/>
    <x v="11"/>
    <s v=""/>
    <x v="0"/>
    <x v="0"/>
    <n v="1879"/>
    <x v="11"/>
    <s v=""/>
    <x v="4"/>
    <x v="1"/>
  </r>
  <r>
    <x v="74"/>
    <x v="35"/>
    <x v="13"/>
    <n v="0"/>
    <s v="Debe"/>
    <x v="1"/>
    <x v="5"/>
    <x v="1"/>
    <x v="1"/>
    <n v="0"/>
    <n v="0"/>
    <s v=""/>
    <x v="4"/>
    <x v="1"/>
    <x v="2"/>
    <x v="11"/>
    <x v="11"/>
    <s v=""/>
    <x v="0"/>
    <x v="0"/>
    <n v="683"/>
    <x v="11"/>
    <s v=""/>
    <x v="4"/>
    <x v="1"/>
  </r>
  <r>
    <x v="74"/>
    <x v="35"/>
    <x v="13"/>
    <n v="0"/>
    <s v="Debe"/>
    <x v="1"/>
    <x v="5"/>
    <x v="1"/>
    <x v="1"/>
    <n v="0"/>
    <n v="0"/>
    <s v=""/>
    <x v="4"/>
    <x v="1"/>
    <x v="2"/>
    <x v="11"/>
    <x v="11"/>
    <s v=""/>
    <x v="0"/>
    <x v="0"/>
    <n v="684"/>
    <x v="11"/>
    <s v=""/>
    <x v="4"/>
    <x v="1"/>
  </r>
  <r>
    <x v="74"/>
    <x v="35"/>
    <x v="13"/>
    <n v="0"/>
    <s v="Haber"/>
    <x v="1"/>
    <x v="5"/>
    <x v="1"/>
    <x v="1"/>
    <n v="0"/>
    <s v=""/>
    <n v="0"/>
    <x v="4"/>
    <x v="1"/>
    <x v="2"/>
    <x v="11"/>
    <x v="11"/>
    <s v=""/>
    <x v="0"/>
    <x v="0"/>
    <n v="1885"/>
    <x v="11"/>
    <s v=""/>
    <x v="4"/>
    <x v="1"/>
  </r>
  <r>
    <x v="74"/>
    <x v="35"/>
    <x v="13"/>
    <n v="0"/>
    <s v="Haber"/>
    <x v="1"/>
    <x v="5"/>
    <x v="1"/>
    <x v="1"/>
    <n v="0"/>
    <s v=""/>
    <n v="0"/>
    <x v="4"/>
    <x v="1"/>
    <x v="2"/>
    <x v="11"/>
    <x v="11"/>
    <s v=""/>
    <x v="0"/>
    <x v="0"/>
    <n v="1886"/>
    <x v="11"/>
    <s v=""/>
    <x v="4"/>
    <x v="1"/>
  </r>
  <r>
    <x v="75"/>
    <x v="35"/>
    <x v="13"/>
    <n v="0"/>
    <s v="Debe"/>
    <x v="1"/>
    <x v="5"/>
    <x v="1"/>
    <x v="1"/>
    <n v="0"/>
    <n v="0"/>
    <s v=""/>
    <x v="4"/>
    <x v="1"/>
    <x v="2"/>
    <x v="11"/>
    <x v="11"/>
    <s v=""/>
    <x v="0"/>
    <x v="0"/>
    <n v="690"/>
    <x v="11"/>
    <s v=""/>
    <x v="4"/>
    <x v="1"/>
  </r>
  <r>
    <x v="75"/>
    <x v="35"/>
    <x v="13"/>
    <n v="0"/>
    <s v="Debe"/>
    <x v="1"/>
    <x v="5"/>
    <x v="1"/>
    <x v="1"/>
    <n v="0"/>
    <n v="0"/>
    <s v=""/>
    <x v="4"/>
    <x v="1"/>
    <x v="2"/>
    <x v="11"/>
    <x v="11"/>
    <s v=""/>
    <x v="0"/>
    <x v="0"/>
    <n v="691"/>
    <x v="11"/>
    <s v=""/>
    <x v="4"/>
    <x v="1"/>
  </r>
  <r>
    <x v="75"/>
    <x v="35"/>
    <x v="13"/>
    <n v="0"/>
    <s v="Haber"/>
    <x v="1"/>
    <x v="5"/>
    <x v="1"/>
    <x v="1"/>
    <n v="0"/>
    <s v=""/>
    <n v="0"/>
    <x v="4"/>
    <x v="1"/>
    <x v="2"/>
    <x v="11"/>
    <x v="11"/>
    <s v=""/>
    <x v="0"/>
    <x v="0"/>
    <n v="1892"/>
    <x v="11"/>
    <s v=""/>
    <x v="4"/>
    <x v="1"/>
  </r>
  <r>
    <x v="75"/>
    <x v="35"/>
    <x v="13"/>
    <n v="0"/>
    <s v="Haber"/>
    <x v="1"/>
    <x v="5"/>
    <x v="1"/>
    <x v="1"/>
    <n v="0"/>
    <s v=""/>
    <n v="0"/>
    <x v="4"/>
    <x v="1"/>
    <x v="2"/>
    <x v="11"/>
    <x v="11"/>
    <s v=""/>
    <x v="0"/>
    <x v="0"/>
    <n v="1893"/>
    <x v="11"/>
    <s v=""/>
    <x v="4"/>
    <x v="1"/>
  </r>
  <r>
    <x v="76"/>
    <x v="35"/>
    <x v="13"/>
    <n v="0"/>
    <s v="Debe"/>
    <x v="1"/>
    <x v="8"/>
    <x v="1"/>
    <x v="1"/>
    <n v="0"/>
    <n v="0"/>
    <s v=""/>
    <x v="4"/>
    <x v="1"/>
    <x v="2"/>
    <x v="11"/>
    <x v="11"/>
    <s v=""/>
    <x v="0"/>
    <x v="0"/>
    <n v="697"/>
    <x v="11"/>
    <s v=""/>
    <x v="4"/>
    <x v="1"/>
  </r>
  <r>
    <x v="76"/>
    <x v="35"/>
    <x v="13"/>
    <n v="0"/>
    <s v="Debe"/>
    <x v="1"/>
    <x v="8"/>
    <x v="1"/>
    <x v="1"/>
    <n v="0"/>
    <n v="0"/>
    <s v=""/>
    <x v="4"/>
    <x v="1"/>
    <x v="2"/>
    <x v="11"/>
    <x v="11"/>
    <s v=""/>
    <x v="0"/>
    <x v="0"/>
    <n v="698"/>
    <x v="11"/>
    <s v=""/>
    <x v="4"/>
    <x v="1"/>
  </r>
  <r>
    <x v="76"/>
    <x v="35"/>
    <x v="13"/>
    <n v="0"/>
    <s v="Haber"/>
    <x v="1"/>
    <x v="8"/>
    <x v="1"/>
    <x v="1"/>
    <n v="0"/>
    <s v=""/>
    <n v="0"/>
    <x v="4"/>
    <x v="1"/>
    <x v="2"/>
    <x v="11"/>
    <x v="11"/>
    <s v=""/>
    <x v="0"/>
    <x v="0"/>
    <n v="1899"/>
    <x v="11"/>
    <s v=""/>
    <x v="4"/>
    <x v="1"/>
  </r>
  <r>
    <x v="76"/>
    <x v="35"/>
    <x v="13"/>
    <n v="0"/>
    <s v="Haber"/>
    <x v="1"/>
    <x v="8"/>
    <x v="1"/>
    <x v="1"/>
    <n v="0"/>
    <s v=""/>
    <n v="0"/>
    <x v="4"/>
    <x v="1"/>
    <x v="2"/>
    <x v="11"/>
    <x v="11"/>
    <s v=""/>
    <x v="0"/>
    <x v="0"/>
    <n v="1900"/>
    <x v="11"/>
    <s v=""/>
    <x v="4"/>
    <x v="1"/>
  </r>
  <r>
    <x v="77"/>
    <x v="35"/>
    <x v="13"/>
    <n v="0"/>
    <s v="Debe"/>
    <x v="1"/>
    <x v="11"/>
    <x v="1"/>
    <x v="1"/>
    <n v="0"/>
    <n v="0"/>
    <s v=""/>
    <x v="4"/>
    <x v="1"/>
    <x v="2"/>
    <x v="11"/>
    <x v="11"/>
    <s v=""/>
    <x v="0"/>
    <x v="0"/>
    <n v="704"/>
    <x v="11"/>
    <s v=""/>
    <x v="4"/>
    <x v="1"/>
  </r>
  <r>
    <x v="77"/>
    <x v="35"/>
    <x v="13"/>
    <n v="0"/>
    <s v="Debe"/>
    <x v="1"/>
    <x v="11"/>
    <x v="1"/>
    <x v="1"/>
    <n v="0"/>
    <n v="0"/>
    <s v=""/>
    <x v="4"/>
    <x v="1"/>
    <x v="2"/>
    <x v="11"/>
    <x v="11"/>
    <s v=""/>
    <x v="0"/>
    <x v="0"/>
    <n v="705"/>
    <x v="11"/>
    <s v=""/>
    <x v="4"/>
    <x v="1"/>
  </r>
  <r>
    <x v="77"/>
    <x v="35"/>
    <x v="13"/>
    <n v="0"/>
    <s v="Debe"/>
    <x v="1"/>
    <x v="11"/>
    <x v="1"/>
    <x v="1"/>
    <n v="0"/>
    <n v="0"/>
    <s v=""/>
    <x v="4"/>
    <x v="1"/>
    <x v="2"/>
    <x v="11"/>
    <x v="11"/>
    <s v=""/>
    <x v="0"/>
    <x v="0"/>
    <n v="706"/>
    <x v="11"/>
    <s v=""/>
    <x v="4"/>
    <x v="1"/>
  </r>
  <r>
    <x v="77"/>
    <x v="35"/>
    <x v="13"/>
    <n v="0"/>
    <s v="Debe"/>
    <x v="1"/>
    <x v="11"/>
    <x v="1"/>
    <x v="1"/>
    <n v="0"/>
    <n v="0"/>
    <s v=""/>
    <x v="4"/>
    <x v="1"/>
    <x v="2"/>
    <x v="11"/>
    <x v="11"/>
    <s v=""/>
    <x v="0"/>
    <x v="0"/>
    <n v="707"/>
    <x v="11"/>
    <s v=""/>
    <x v="4"/>
    <x v="1"/>
  </r>
  <r>
    <x v="77"/>
    <x v="35"/>
    <x v="13"/>
    <n v="0"/>
    <s v="Debe"/>
    <x v="1"/>
    <x v="11"/>
    <x v="1"/>
    <x v="1"/>
    <n v="0"/>
    <n v="0"/>
    <s v=""/>
    <x v="4"/>
    <x v="1"/>
    <x v="2"/>
    <x v="11"/>
    <x v="11"/>
    <s v=""/>
    <x v="0"/>
    <x v="0"/>
    <n v="708"/>
    <x v="11"/>
    <s v=""/>
    <x v="4"/>
    <x v="1"/>
  </r>
  <r>
    <x v="77"/>
    <x v="35"/>
    <x v="13"/>
    <n v="0"/>
    <s v="Debe"/>
    <x v="1"/>
    <x v="11"/>
    <x v="1"/>
    <x v="1"/>
    <n v="0"/>
    <n v="0"/>
    <s v=""/>
    <x v="4"/>
    <x v="1"/>
    <x v="2"/>
    <x v="11"/>
    <x v="11"/>
    <s v=""/>
    <x v="0"/>
    <x v="0"/>
    <n v="709"/>
    <x v="11"/>
    <s v=""/>
    <x v="4"/>
    <x v="1"/>
  </r>
  <r>
    <x v="77"/>
    <x v="35"/>
    <x v="13"/>
    <n v="0"/>
    <s v="Debe"/>
    <x v="1"/>
    <x v="11"/>
    <x v="1"/>
    <x v="1"/>
    <n v="0"/>
    <n v="0"/>
    <s v=""/>
    <x v="4"/>
    <x v="1"/>
    <x v="2"/>
    <x v="11"/>
    <x v="11"/>
    <s v=""/>
    <x v="0"/>
    <x v="0"/>
    <n v="710"/>
    <x v="11"/>
    <s v=""/>
    <x v="4"/>
    <x v="1"/>
  </r>
  <r>
    <x v="77"/>
    <x v="35"/>
    <x v="13"/>
    <n v="0"/>
    <s v="Debe"/>
    <x v="1"/>
    <x v="11"/>
    <x v="1"/>
    <x v="1"/>
    <n v="0"/>
    <n v="0"/>
    <s v=""/>
    <x v="4"/>
    <x v="1"/>
    <x v="2"/>
    <x v="11"/>
    <x v="11"/>
    <s v=""/>
    <x v="0"/>
    <x v="0"/>
    <n v="711"/>
    <x v="11"/>
    <s v=""/>
    <x v="4"/>
    <x v="1"/>
  </r>
  <r>
    <x v="77"/>
    <x v="35"/>
    <x v="13"/>
    <n v="0"/>
    <s v="Debe"/>
    <x v="1"/>
    <x v="11"/>
    <x v="1"/>
    <x v="1"/>
    <n v="0"/>
    <n v="0"/>
    <s v=""/>
    <x v="4"/>
    <x v="1"/>
    <x v="2"/>
    <x v="11"/>
    <x v="11"/>
    <s v=""/>
    <x v="0"/>
    <x v="0"/>
    <n v="712"/>
    <x v="11"/>
    <s v=""/>
    <x v="4"/>
    <x v="1"/>
  </r>
  <r>
    <x v="77"/>
    <x v="35"/>
    <x v="13"/>
    <n v="0"/>
    <s v="Debe"/>
    <x v="1"/>
    <x v="11"/>
    <x v="1"/>
    <x v="1"/>
    <n v="0"/>
    <n v="0"/>
    <s v=""/>
    <x v="4"/>
    <x v="1"/>
    <x v="2"/>
    <x v="11"/>
    <x v="11"/>
    <s v=""/>
    <x v="0"/>
    <x v="0"/>
    <n v="713"/>
    <x v="11"/>
    <s v=""/>
    <x v="4"/>
    <x v="1"/>
  </r>
  <r>
    <x v="77"/>
    <x v="35"/>
    <x v="13"/>
    <n v="0"/>
    <s v="Debe"/>
    <x v="1"/>
    <x v="11"/>
    <x v="1"/>
    <x v="1"/>
    <n v="0"/>
    <n v="0"/>
    <s v=""/>
    <x v="4"/>
    <x v="1"/>
    <x v="2"/>
    <x v="11"/>
    <x v="11"/>
    <s v=""/>
    <x v="0"/>
    <x v="0"/>
    <n v="714"/>
    <x v="11"/>
    <s v=""/>
    <x v="4"/>
    <x v="1"/>
  </r>
  <r>
    <x v="77"/>
    <x v="35"/>
    <x v="13"/>
    <n v="0"/>
    <s v="Debe"/>
    <x v="1"/>
    <x v="11"/>
    <x v="1"/>
    <x v="1"/>
    <n v="0"/>
    <n v="0"/>
    <s v=""/>
    <x v="4"/>
    <x v="1"/>
    <x v="2"/>
    <x v="11"/>
    <x v="11"/>
    <s v=""/>
    <x v="0"/>
    <x v="0"/>
    <n v="715"/>
    <x v="11"/>
    <s v=""/>
    <x v="4"/>
    <x v="1"/>
  </r>
  <r>
    <x v="77"/>
    <x v="35"/>
    <x v="13"/>
    <n v="0"/>
    <s v="Debe"/>
    <x v="1"/>
    <x v="11"/>
    <x v="1"/>
    <x v="1"/>
    <n v="0"/>
    <n v="0"/>
    <s v=""/>
    <x v="4"/>
    <x v="1"/>
    <x v="2"/>
    <x v="11"/>
    <x v="11"/>
    <s v=""/>
    <x v="0"/>
    <x v="0"/>
    <n v="716"/>
    <x v="11"/>
    <s v=""/>
    <x v="4"/>
    <x v="1"/>
  </r>
  <r>
    <x v="77"/>
    <x v="35"/>
    <x v="13"/>
    <n v="0"/>
    <s v="Debe"/>
    <x v="1"/>
    <x v="11"/>
    <x v="1"/>
    <x v="1"/>
    <n v="0"/>
    <n v="0"/>
    <s v=""/>
    <x v="4"/>
    <x v="1"/>
    <x v="2"/>
    <x v="11"/>
    <x v="11"/>
    <s v=""/>
    <x v="0"/>
    <x v="0"/>
    <n v="717"/>
    <x v="11"/>
    <s v=""/>
    <x v="4"/>
    <x v="1"/>
  </r>
  <r>
    <x v="77"/>
    <x v="35"/>
    <x v="13"/>
    <n v="0"/>
    <s v="Debe"/>
    <x v="1"/>
    <x v="11"/>
    <x v="1"/>
    <x v="1"/>
    <n v="0"/>
    <n v="0"/>
    <s v=""/>
    <x v="4"/>
    <x v="1"/>
    <x v="2"/>
    <x v="11"/>
    <x v="11"/>
    <s v=""/>
    <x v="0"/>
    <x v="0"/>
    <n v="718"/>
    <x v="11"/>
    <s v=""/>
    <x v="4"/>
    <x v="1"/>
  </r>
  <r>
    <x v="77"/>
    <x v="35"/>
    <x v="13"/>
    <n v="0"/>
    <s v="Debe"/>
    <x v="1"/>
    <x v="11"/>
    <x v="1"/>
    <x v="1"/>
    <n v="0"/>
    <n v="0"/>
    <s v=""/>
    <x v="4"/>
    <x v="1"/>
    <x v="2"/>
    <x v="11"/>
    <x v="11"/>
    <s v=""/>
    <x v="0"/>
    <x v="0"/>
    <n v="719"/>
    <x v="11"/>
    <s v=""/>
    <x v="4"/>
    <x v="1"/>
  </r>
  <r>
    <x v="77"/>
    <x v="35"/>
    <x v="13"/>
    <n v="0"/>
    <s v="Haber"/>
    <x v="1"/>
    <x v="11"/>
    <x v="1"/>
    <x v="1"/>
    <n v="0"/>
    <s v=""/>
    <n v="0"/>
    <x v="4"/>
    <x v="1"/>
    <x v="2"/>
    <x v="11"/>
    <x v="11"/>
    <s v=""/>
    <x v="0"/>
    <x v="0"/>
    <n v="1906"/>
    <x v="11"/>
    <s v=""/>
    <x v="4"/>
    <x v="1"/>
  </r>
  <r>
    <x v="77"/>
    <x v="35"/>
    <x v="13"/>
    <n v="0"/>
    <s v="Haber"/>
    <x v="1"/>
    <x v="11"/>
    <x v="1"/>
    <x v="1"/>
    <n v="0"/>
    <s v=""/>
    <n v="0"/>
    <x v="4"/>
    <x v="1"/>
    <x v="2"/>
    <x v="11"/>
    <x v="11"/>
    <s v=""/>
    <x v="0"/>
    <x v="0"/>
    <n v="1907"/>
    <x v="11"/>
    <s v=""/>
    <x v="4"/>
    <x v="1"/>
  </r>
  <r>
    <x v="77"/>
    <x v="35"/>
    <x v="13"/>
    <n v="0"/>
    <s v="Haber"/>
    <x v="1"/>
    <x v="11"/>
    <x v="1"/>
    <x v="1"/>
    <n v="0"/>
    <s v=""/>
    <n v="0"/>
    <x v="4"/>
    <x v="1"/>
    <x v="2"/>
    <x v="11"/>
    <x v="11"/>
    <s v=""/>
    <x v="0"/>
    <x v="0"/>
    <n v="1908"/>
    <x v="11"/>
    <s v=""/>
    <x v="4"/>
    <x v="1"/>
  </r>
  <r>
    <x v="77"/>
    <x v="35"/>
    <x v="13"/>
    <n v="0"/>
    <s v="Haber"/>
    <x v="1"/>
    <x v="11"/>
    <x v="1"/>
    <x v="1"/>
    <n v="0"/>
    <s v=""/>
    <n v="0"/>
    <x v="4"/>
    <x v="1"/>
    <x v="2"/>
    <x v="11"/>
    <x v="11"/>
    <s v=""/>
    <x v="0"/>
    <x v="0"/>
    <n v="1909"/>
    <x v="11"/>
    <s v=""/>
    <x v="4"/>
    <x v="1"/>
  </r>
  <r>
    <x v="77"/>
    <x v="35"/>
    <x v="13"/>
    <n v="0"/>
    <s v="Haber"/>
    <x v="1"/>
    <x v="11"/>
    <x v="1"/>
    <x v="1"/>
    <n v="0"/>
    <s v=""/>
    <n v="0"/>
    <x v="4"/>
    <x v="1"/>
    <x v="2"/>
    <x v="11"/>
    <x v="11"/>
    <s v=""/>
    <x v="0"/>
    <x v="0"/>
    <n v="1910"/>
    <x v="11"/>
    <s v=""/>
    <x v="4"/>
    <x v="1"/>
  </r>
  <r>
    <x v="77"/>
    <x v="35"/>
    <x v="13"/>
    <n v="0"/>
    <s v="Haber"/>
    <x v="1"/>
    <x v="11"/>
    <x v="1"/>
    <x v="1"/>
    <n v="0"/>
    <s v=""/>
    <n v="0"/>
    <x v="4"/>
    <x v="1"/>
    <x v="2"/>
    <x v="11"/>
    <x v="11"/>
    <s v=""/>
    <x v="0"/>
    <x v="0"/>
    <n v="1911"/>
    <x v="11"/>
    <s v=""/>
    <x v="4"/>
    <x v="1"/>
  </r>
  <r>
    <x v="77"/>
    <x v="35"/>
    <x v="13"/>
    <n v="0"/>
    <s v="Haber"/>
    <x v="1"/>
    <x v="11"/>
    <x v="1"/>
    <x v="1"/>
    <n v="0"/>
    <s v=""/>
    <n v="0"/>
    <x v="4"/>
    <x v="1"/>
    <x v="2"/>
    <x v="11"/>
    <x v="11"/>
    <s v=""/>
    <x v="0"/>
    <x v="0"/>
    <n v="1912"/>
    <x v="11"/>
    <s v=""/>
    <x v="4"/>
    <x v="1"/>
  </r>
  <r>
    <x v="77"/>
    <x v="35"/>
    <x v="13"/>
    <n v="0"/>
    <s v="Haber"/>
    <x v="1"/>
    <x v="11"/>
    <x v="1"/>
    <x v="1"/>
    <n v="0"/>
    <s v=""/>
    <n v="0"/>
    <x v="4"/>
    <x v="1"/>
    <x v="2"/>
    <x v="11"/>
    <x v="11"/>
    <s v=""/>
    <x v="0"/>
    <x v="0"/>
    <n v="1913"/>
    <x v="11"/>
    <s v=""/>
    <x v="4"/>
    <x v="1"/>
  </r>
  <r>
    <x v="77"/>
    <x v="35"/>
    <x v="13"/>
    <n v="0"/>
    <s v="Haber"/>
    <x v="1"/>
    <x v="11"/>
    <x v="1"/>
    <x v="1"/>
    <n v="0"/>
    <s v=""/>
    <n v="0"/>
    <x v="4"/>
    <x v="1"/>
    <x v="2"/>
    <x v="11"/>
    <x v="11"/>
    <s v=""/>
    <x v="0"/>
    <x v="0"/>
    <n v="1914"/>
    <x v="11"/>
    <s v=""/>
    <x v="4"/>
    <x v="1"/>
  </r>
  <r>
    <x v="77"/>
    <x v="35"/>
    <x v="13"/>
    <n v="0"/>
    <s v="Haber"/>
    <x v="1"/>
    <x v="11"/>
    <x v="1"/>
    <x v="1"/>
    <n v="0"/>
    <s v=""/>
    <n v="0"/>
    <x v="4"/>
    <x v="1"/>
    <x v="2"/>
    <x v="11"/>
    <x v="11"/>
    <s v=""/>
    <x v="0"/>
    <x v="0"/>
    <n v="1915"/>
    <x v="11"/>
    <s v=""/>
    <x v="4"/>
    <x v="1"/>
  </r>
  <r>
    <x v="77"/>
    <x v="35"/>
    <x v="13"/>
    <n v="0"/>
    <s v="Haber"/>
    <x v="1"/>
    <x v="11"/>
    <x v="1"/>
    <x v="1"/>
    <n v="0"/>
    <s v=""/>
    <n v="0"/>
    <x v="4"/>
    <x v="1"/>
    <x v="2"/>
    <x v="11"/>
    <x v="11"/>
    <s v=""/>
    <x v="0"/>
    <x v="0"/>
    <n v="1916"/>
    <x v="11"/>
    <s v=""/>
    <x v="4"/>
    <x v="1"/>
  </r>
  <r>
    <x v="77"/>
    <x v="35"/>
    <x v="13"/>
    <n v="0"/>
    <s v="Haber"/>
    <x v="1"/>
    <x v="11"/>
    <x v="1"/>
    <x v="1"/>
    <n v="0"/>
    <s v=""/>
    <n v="0"/>
    <x v="4"/>
    <x v="1"/>
    <x v="2"/>
    <x v="11"/>
    <x v="11"/>
    <s v=""/>
    <x v="0"/>
    <x v="0"/>
    <n v="1917"/>
    <x v="11"/>
    <s v=""/>
    <x v="4"/>
    <x v="1"/>
  </r>
  <r>
    <x v="77"/>
    <x v="35"/>
    <x v="13"/>
    <n v="0"/>
    <s v="Haber"/>
    <x v="1"/>
    <x v="11"/>
    <x v="1"/>
    <x v="1"/>
    <n v="0"/>
    <s v=""/>
    <n v="0"/>
    <x v="4"/>
    <x v="1"/>
    <x v="2"/>
    <x v="11"/>
    <x v="11"/>
    <s v=""/>
    <x v="0"/>
    <x v="0"/>
    <n v="1918"/>
    <x v="11"/>
    <s v=""/>
    <x v="4"/>
    <x v="1"/>
  </r>
  <r>
    <x v="77"/>
    <x v="35"/>
    <x v="13"/>
    <n v="0"/>
    <s v="Haber"/>
    <x v="1"/>
    <x v="11"/>
    <x v="1"/>
    <x v="1"/>
    <n v="0"/>
    <s v=""/>
    <n v="0"/>
    <x v="4"/>
    <x v="1"/>
    <x v="2"/>
    <x v="11"/>
    <x v="11"/>
    <s v=""/>
    <x v="0"/>
    <x v="0"/>
    <n v="1919"/>
    <x v="11"/>
    <s v=""/>
    <x v="4"/>
    <x v="1"/>
  </r>
  <r>
    <x v="77"/>
    <x v="35"/>
    <x v="13"/>
    <n v="0"/>
    <s v="Haber"/>
    <x v="1"/>
    <x v="11"/>
    <x v="1"/>
    <x v="1"/>
    <n v="0"/>
    <s v=""/>
    <n v="0"/>
    <x v="4"/>
    <x v="1"/>
    <x v="2"/>
    <x v="11"/>
    <x v="11"/>
    <s v=""/>
    <x v="0"/>
    <x v="0"/>
    <n v="1920"/>
    <x v="11"/>
    <s v=""/>
    <x v="4"/>
    <x v="1"/>
  </r>
  <r>
    <x v="77"/>
    <x v="35"/>
    <x v="13"/>
    <n v="0"/>
    <s v="Haber"/>
    <x v="1"/>
    <x v="11"/>
    <x v="1"/>
    <x v="1"/>
    <n v="0"/>
    <s v=""/>
    <n v="0"/>
    <x v="4"/>
    <x v="1"/>
    <x v="2"/>
    <x v="11"/>
    <x v="11"/>
    <s v=""/>
    <x v="0"/>
    <x v="0"/>
    <n v="1921"/>
    <x v="11"/>
    <s v=""/>
    <x v="4"/>
    <x v="1"/>
  </r>
  <r>
    <x v="78"/>
    <x v="35"/>
    <x v="13"/>
    <n v="0"/>
    <s v="Debe"/>
    <x v="1"/>
    <x v="11"/>
    <x v="1"/>
    <x v="1"/>
    <n v="0"/>
    <n v="0"/>
    <s v=""/>
    <x v="4"/>
    <x v="1"/>
    <x v="2"/>
    <x v="11"/>
    <x v="11"/>
    <s v=""/>
    <x v="0"/>
    <x v="0"/>
    <n v="725"/>
    <x v="11"/>
    <s v=""/>
    <x v="4"/>
    <x v="1"/>
  </r>
  <r>
    <x v="78"/>
    <x v="35"/>
    <x v="13"/>
    <n v="0"/>
    <s v="Debe"/>
    <x v="1"/>
    <x v="11"/>
    <x v="1"/>
    <x v="1"/>
    <n v="0"/>
    <n v="0"/>
    <s v=""/>
    <x v="4"/>
    <x v="1"/>
    <x v="2"/>
    <x v="11"/>
    <x v="11"/>
    <s v=""/>
    <x v="0"/>
    <x v="0"/>
    <n v="726"/>
    <x v="11"/>
    <s v=""/>
    <x v="4"/>
    <x v="1"/>
  </r>
  <r>
    <x v="78"/>
    <x v="35"/>
    <x v="13"/>
    <n v="0"/>
    <s v="Debe"/>
    <x v="1"/>
    <x v="11"/>
    <x v="1"/>
    <x v="1"/>
    <n v="0"/>
    <n v="0"/>
    <s v=""/>
    <x v="4"/>
    <x v="1"/>
    <x v="2"/>
    <x v="11"/>
    <x v="11"/>
    <s v=""/>
    <x v="0"/>
    <x v="0"/>
    <n v="727"/>
    <x v="11"/>
    <s v=""/>
    <x v="4"/>
    <x v="1"/>
  </r>
  <r>
    <x v="78"/>
    <x v="35"/>
    <x v="13"/>
    <n v="0"/>
    <s v="Debe"/>
    <x v="1"/>
    <x v="11"/>
    <x v="1"/>
    <x v="1"/>
    <n v="0"/>
    <n v="0"/>
    <s v=""/>
    <x v="4"/>
    <x v="1"/>
    <x v="2"/>
    <x v="11"/>
    <x v="11"/>
    <s v=""/>
    <x v="0"/>
    <x v="0"/>
    <n v="728"/>
    <x v="11"/>
    <s v=""/>
    <x v="4"/>
    <x v="1"/>
  </r>
  <r>
    <x v="78"/>
    <x v="35"/>
    <x v="13"/>
    <n v="0"/>
    <s v="Debe"/>
    <x v="1"/>
    <x v="11"/>
    <x v="1"/>
    <x v="1"/>
    <n v="0"/>
    <n v="0"/>
    <s v=""/>
    <x v="4"/>
    <x v="1"/>
    <x v="2"/>
    <x v="11"/>
    <x v="11"/>
    <s v=""/>
    <x v="0"/>
    <x v="0"/>
    <n v="729"/>
    <x v="11"/>
    <s v=""/>
    <x v="4"/>
    <x v="1"/>
  </r>
  <r>
    <x v="78"/>
    <x v="35"/>
    <x v="13"/>
    <n v="0"/>
    <s v="Debe"/>
    <x v="1"/>
    <x v="11"/>
    <x v="1"/>
    <x v="1"/>
    <n v="0"/>
    <n v="0"/>
    <s v=""/>
    <x v="4"/>
    <x v="1"/>
    <x v="2"/>
    <x v="11"/>
    <x v="11"/>
    <s v=""/>
    <x v="0"/>
    <x v="0"/>
    <n v="730"/>
    <x v="11"/>
    <s v=""/>
    <x v="4"/>
    <x v="1"/>
  </r>
  <r>
    <x v="78"/>
    <x v="35"/>
    <x v="13"/>
    <n v="0"/>
    <s v="Debe"/>
    <x v="1"/>
    <x v="11"/>
    <x v="1"/>
    <x v="1"/>
    <n v="0"/>
    <n v="0"/>
    <s v=""/>
    <x v="4"/>
    <x v="1"/>
    <x v="2"/>
    <x v="11"/>
    <x v="11"/>
    <s v=""/>
    <x v="0"/>
    <x v="0"/>
    <n v="731"/>
    <x v="11"/>
    <s v=""/>
    <x v="4"/>
    <x v="1"/>
  </r>
  <r>
    <x v="78"/>
    <x v="35"/>
    <x v="13"/>
    <n v="0"/>
    <s v="Debe"/>
    <x v="1"/>
    <x v="11"/>
    <x v="1"/>
    <x v="1"/>
    <n v="0"/>
    <n v="0"/>
    <s v=""/>
    <x v="4"/>
    <x v="1"/>
    <x v="2"/>
    <x v="11"/>
    <x v="11"/>
    <s v=""/>
    <x v="0"/>
    <x v="0"/>
    <n v="732"/>
    <x v="11"/>
    <s v=""/>
    <x v="4"/>
    <x v="1"/>
  </r>
  <r>
    <x v="78"/>
    <x v="35"/>
    <x v="13"/>
    <n v="0"/>
    <s v="Debe"/>
    <x v="1"/>
    <x v="11"/>
    <x v="1"/>
    <x v="1"/>
    <n v="0"/>
    <n v="0"/>
    <s v=""/>
    <x v="4"/>
    <x v="1"/>
    <x v="2"/>
    <x v="11"/>
    <x v="11"/>
    <s v=""/>
    <x v="0"/>
    <x v="0"/>
    <n v="733"/>
    <x v="11"/>
    <s v=""/>
    <x v="4"/>
    <x v="1"/>
  </r>
  <r>
    <x v="78"/>
    <x v="35"/>
    <x v="13"/>
    <n v="0"/>
    <s v="Debe"/>
    <x v="1"/>
    <x v="11"/>
    <x v="1"/>
    <x v="1"/>
    <n v="0"/>
    <n v="0"/>
    <s v=""/>
    <x v="4"/>
    <x v="1"/>
    <x v="2"/>
    <x v="11"/>
    <x v="11"/>
    <s v=""/>
    <x v="0"/>
    <x v="0"/>
    <n v="734"/>
    <x v="11"/>
    <s v=""/>
    <x v="4"/>
    <x v="1"/>
  </r>
  <r>
    <x v="78"/>
    <x v="35"/>
    <x v="13"/>
    <n v="0"/>
    <s v="Debe"/>
    <x v="1"/>
    <x v="11"/>
    <x v="1"/>
    <x v="1"/>
    <n v="0"/>
    <n v="0"/>
    <s v=""/>
    <x v="4"/>
    <x v="1"/>
    <x v="2"/>
    <x v="11"/>
    <x v="11"/>
    <s v=""/>
    <x v="0"/>
    <x v="0"/>
    <n v="735"/>
    <x v="11"/>
    <s v=""/>
    <x v="4"/>
    <x v="1"/>
  </r>
  <r>
    <x v="78"/>
    <x v="35"/>
    <x v="13"/>
    <n v="0"/>
    <s v="Debe"/>
    <x v="1"/>
    <x v="11"/>
    <x v="1"/>
    <x v="1"/>
    <n v="0"/>
    <n v="0"/>
    <s v=""/>
    <x v="4"/>
    <x v="1"/>
    <x v="2"/>
    <x v="11"/>
    <x v="11"/>
    <s v=""/>
    <x v="0"/>
    <x v="0"/>
    <n v="736"/>
    <x v="11"/>
    <s v=""/>
    <x v="4"/>
    <x v="1"/>
  </r>
  <r>
    <x v="78"/>
    <x v="35"/>
    <x v="13"/>
    <n v="0"/>
    <s v="Haber"/>
    <x v="1"/>
    <x v="11"/>
    <x v="1"/>
    <x v="1"/>
    <n v="0"/>
    <s v=""/>
    <n v="0"/>
    <x v="4"/>
    <x v="1"/>
    <x v="2"/>
    <x v="11"/>
    <x v="11"/>
    <s v=""/>
    <x v="0"/>
    <x v="0"/>
    <n v="1927"/>
    <x v="11"/>
    <s v=""/>
    <x v="4"/>
    <x v="1"/>
  </r>
  <r>
    <x v="78"/>
    <x v="35"/>
    <x v="13"/>
    <n v="0"/>
    <s v="Haber"/>
    <x v="1"/>
    <x v="11"/>
    <x v="1"/>
    <x v="1"/>
    <n v="0"/>
    <s v=""/>
    <n v="0"/>
    <x v="4"/>
    <x v="1"/>
    <x v="2"/>
    <x v="11"/>
    <x v="11"/>
    <s v=""/>
    <x v="0"/>
    <x v="0"/>
    <n v="1928"/>
    <x v="11"/>
    <s v=""/>
    <x v="4"/>
    <x v="1"/>
  </r>
  <r>
    <x v="78"/>
    <x v="35"/>
    <x v="13"/>
    <n v="0"/>
    <s v="Haber"/>
    <x v="1"/>
    <x v="11"/>
    <x v="1"/>
    <x v="1"/>
    <n v="0"/>
    <s v=""/>
    <n v="0"/>
    <x v="4"/>
    <x v="1"/>
    <x v="2"/>
    <x v="11"/>
    <x v="11"/>
    <s v=""/>
    <x v="0"/>
    <x v="0"/>
    <n v="1929"/>
    <x v="11"/>
    <s v=""/>
    <x v="4"/>
    <x v="1"/>
  </r>
  <r>
    <x v="78"/>
    <x v="35"/>
    <x v="13"/>
    <n v="0"/>
    <s v="Haber"/>
    <x v="1"/>
    <x v="11"/>
    <x v="1"/>
    <x v="1"/>
    <n v="0"/>
    <s v=""/>
    <n v="0"/>
    <x v="4"/>
    <x v="1"/>
    <x v="2"/>
    <x v="11"/>
    <x v="11"/>
    <s v=""/>
    <x v="0"/>
    <x v="0"/>
    <n v="1930"/>
    <x v="11"/>
    <s v=""/>
    <x v="4"/>
    <x v="1"/>
  </r>
  <r>
    <x v="78"/>
    <x v="35"/>
    <x v="13"/>
    <n v="0"/>
    <s v="Haber"/>
    <x v="1"/>
    <x v="11"/>
    <x v="1"/>
    <x v="1"/>
    <n v="0"/>
    <s v=""/>
    <n v="0"/>
    <x v="4"/>
    <x v="1"/>
    <x v="2"/>
    <x v="11"/>
    <x v="11"/>
    <s v=""/>
    <x v="0"/>
    <x v="0"/>
    <n v="1931"/>
    <x v="11"/>
    <s v=""/>
    <x v="4"/>
    <x v="1"/>
  </r>
  <r>
    <x v="78"/>
    <x v="35"/>
    <x v="13"/>
    <n v="0"/>
    <s v="Haber"/>
    <x v="1"/>
    <x v="11"/>
    <x v="1"/>
    <x v="1"/>
    <n v="0"/>
    <s v=""/>
    <n v="0"/>
    <x v="4"/>
    <x v="1"/>
    <x v="2"/>
    <x v="11"/>
    <x v="11"/>
    <s v=""/>
    <x v="0"/>
    <x v="0"/>
    <n v="1932"/>
    <x v="11"/>
    <s v=""/>
    <x v="4"/>
    <x v="1"/>
  </r>
  <r>
    <x v="78"/>
    <x v="35"/>
    <x v="13"/>
    <n v="0"/>
    <s v="Haber"/>
    <x v="1"/>
    <x v="11"/>
    <x v="1"/>
    <x v="1"/>
    <n v="0"/>
    <s v=""/>
    <n v="0"/>
    <x v="4"/>
    <x v="1"/>
    <x v="2"/>
    <x v="11"/>
    <x v="11"/>
    <s v=""/>
    <x v="0"/>
    <x v="0"/>
    <n v="1933"/>
    <x v="11"/>
    <s v=""/>
    <x v="4"/>
    <x v="1"/>
  </r>
  <r>
    <x v="78"/>
    <x v="35"/>
    <x v="13"/>
    <n v="0"/>
    <s v="Haber"/>
    <x v="1"/>
    <x v="11"/>
    <x v="1"/>
    <x v="1"/>
    <n v="0"/>
    <s v=""/>
    <n v="0"/>
    <x v="4"/>
    <x v="1"/>
    <x v="2"/>
    <x v="11"/>
    <x v="11"/>
    <s v=""/>
    <x v="0"/>
    <x v="0"/>
    <n v="1934"/>
    <x v="11"/>
    <s v=""/>
    <x v="4"/>
    <x v="1"/>
  </r>
  <r>
    <x v="78"/>
    <x v="35"/>
    <x v="13"/>
    <n v="0"/>
    <s v="Haber"/>
    <x v="1"/>
    <x v="11"/>
    <x v="1"/>
    <x v="1"/>
    <n v="0"/>
    <s v=""/>
    <n v="0"/>
    <x v="4"/>
    <x v="1"/>
    <x v="2"/>
    <x v="11"/>
    <x v="11"/>
    <s v=""/>
    <x v="0"/>
    <x v="0"/>
    <n v="1935"/>
    <x v="11"/>
    <s v=""/>
    <x v="4"/>
    <x v="1"/>
  </r>
  <r>
    <x v="78"/>
    <x v="35"/>
    <x v="13"/>
    <n v="0"/>
    <s v="Haber"/>
    <x v="1"/>
    <x v="11"/>
    <x v="1"/>
    <x v="1"/>
    <n v="0"/>
    <s v=""/>
    <n v="0"/>
    <x v="4"/>
    <x v="1"/>
    <x v="2"/>
    <x v="11"/>
    <x v="11"/>
    <s v=""/>
    <x v="0"/>
    <x v="0"/>
    <n v="1936"/>
    <x v="11"/>
    <s v=""/>
    <x v="4"/>
    <x v="1"/>
  </r>
  <r>
    <x v="78"/>
    <x v="35"/>
    <x v="13"/>
    <n v="0"/>
    <s v="Haber"/>
    <x v="1"/>
    <x v="11"/>
    <x v="1"/>
    <x v="1"/>
    <n v="0"/>
    <s v=""/>
    <n v="0"/>
    <x v="4"/>
    <x v="1"/>
    <x v="2"/>
    <x v="11"/>
    <x v="11"/>
    <s v=""/>
    <x v="0"/>
    <x v="0"/>
    <n v="1937"/>
    <x v="11"/>
    <s v=""/>
    <x v="4"/>
    <x v="1"/>
  </r>
  <r>
    <x v="78"/>
    <x v="35"/>
    <x v="13"/>
    <n v="0"/>
    <s v="Haber"/>
    <x v="1"/>
    <x v="11"/>
    <x v="1"/>
    <x v="1"/>
    <n v="0"/>
    <s v=""/>
    <n v="0"/>
    <x v="4"/>
    <x v="1"/>
    <x v="2"/>
    <x v="11"/>
    <x v="11"/>
    <s v=""/>
    <x v="0"/>
    <x v="0"/>
    <n v="1938"/>
    <x v="11"/>
    <s v=""/>
    <x v="4"/>
    <x v="1"/>
  </r>
  <r>
    <x v="79"/>
    <x v="35"/>
    <x v="13"/>
    <n v="0"/>
    <s v="Debe"/>
    <x v="1"/>
    <x v="12"/>
    <x v="1"/>
    <x v="1"/>
    <n v="0"/>
    <n v="0"/>
    <s v=""/>
    <x v="4"/>
    <x v="1"/>
    <x v="2"/>
    <x v="11"/>
    <x v="11"/>
    <s v=""/>
    <x v="0"/>
    <x v="0"/>
    <n v="742"/>
    <x v="11"/>
    <s v=""/>
    <x v="4"/>
    <x v="1"/>
  </r>
  <r>
    <x v="79"/>
    <x v="35"/>
    <x v="13"/>
    <n v="0"/>
    <s v="Debe"/>
    <x v="1"/>
    <x v="12"/>
    <x v="1"/>
    <x v="1"/>
    <n v="0"/>
    <n v="0"/>
    <s v=""/>
    <x v="4"/>
    <x v="1"/>
    <x v="2"/>
    <x v="11"/>
    <x v="11"/>
    <s v=""/>
    <x v="0"/>
    <x v="0"/>
    <n v="743"/>
    <x v="11"/>
    <s v=""/>
    <x v="4"/>
    <x v="1"/>
  </r>
  <r>
    <x v="79"/>
    <x v="35"/>
    <x v="13"/>
    <n v="0"/>
    <s v="Haber"/>
    <x v="1"/>
    <x v="12"/>
    <x v="1"/>
    <x v="1"/>
    <n v="0"/>
    <s v=""/>
    <n v="0"/>
    <x v="4"/>
    <x v="1"/>
    <x v="2"/>
    <x v="11"/>
    <x v="11"/>
    <s v=""/>
    <x v="0"/>
    <x v="0"/>
    <n v="1944"/>
    <x v="11"/>
    <s v=""/>
    <x v="4"/>
    <x v="1"/>
  </r>
  <r>
    <x v="79"/>
    <x v="35"/>
    <x v="13"/>
    <n v="0"/>
    <s v="Haber"/>
    <x v="1"/>
    <x v="12"/>
    <x v="1"/>
    <x v="1"/>
    <n v="0"/>
    <s v=""/>
    <n v="0"/>
    <x v="4"/>
    <x v="1"/>
    <x v="2"/>
    <x v="11"/>
    <x v="11"/>
    <s v=""/>
    <x v="0"/>
    <x v="0"/>
    <n v="1945"/>
    <x v="11"/>
    <s v=""/>
    <x v="4"/>
    <x v="1"/>
  </r>
  <r>
    <x v="80"/>
    <x v="35"/>
    <x v="13"/>
    <n v="0"/>
    <s v="Debe"/>
    <x v="1"/>
    <x v="11"/>
    <x v="1"/>
    <x v="1"/>
    <n v="0"/>
    <n v="0"/>
    <s v=""/>
    <x v="4"/>
    <x v="1"/>
    <x v="2"/>
    <x v="11"/>
    <x v="11"/>
    <s v=""/>
    <x v="0"/>
    <x v="0"/>
    <n v="749"/>
    <x v="11"/>
    <s v=""/>
    <x v="4"/>
    <x v="1"/>
  </r>
  <r>
    <x v="81"/>
    <x v="36"/>
    <x v="13"/>
    <e v="#REF!"/>
    <s v="Debe"/>
    <x v="1"/>
    <x v="14"/>
    <x v="2"/>
    <x v="2"/>
    <n v="0"/>
    <e v="#REF!"/>
    <s v=""/>
    <x v="4"/>
    <x v="1"/>
    <x v="2"/>
    <x v="11"/>
    <x v="11"/>
    <s v=""/>
    <x v="0"/>
    <x v="0"/>
    <n v="750"/>
    <x v="11"/>
    <s v=""/>
    <x v="4"/>
    <x v="1"/>
  </r>
  <r>
    <x v="80"/>
    <x v="35"/>
    <x v="13"/>
    <n v="0"/>
    <s v="Haber"/>
    <x v="1"/>
    <x v="11"/>
    <x v="1"/>
    <x v="1"/>
    <n v="0"/>
    <s v=""/>
    <n v="0"/>
    <x v="4"/>
    <x v="1"/>
    <x v="2"/>
    <x v="11"/>
    <x v="11"/>
    <s v=""/>
    <x v="0"/>
    <x v="0"/>
    <n v="1951"/>
    <x v="11"/>
    <s v=""/>
    <x v="4"/>
    <x v="1"/>
  </r>
  <r>
    <x v="81"/>
    <x v="36"/>
    <x v="13"/>
    <e v="#REF!"/>
    <s v="Haber"/>
    <x v="1"/>
    <x v="14"/>
    <x v="2"/>
    <x v="2"/>
    <n v="0"/>
    <s v=""/>
    <e v="#REF!"/>
    <x v="4"/>
    <x v="1"/>
    <x v="2"/>
    <x v="11"/>
    <x v="11"/>
    <s v=""/>
    <x v="0"/>
    <x v="0"/>
    <n v="1952"/>
    <x v="11"/>
    <s v=""/>
    <x v="4"/>
    <x v="1"/>
  </r>
  <r>
    <x v="82"/>
    <x v="35"/>
    <x v="13"/>
    <n v="0"/>
    <s v="Debe"/>
    <x v="1"/>
    <x v="13"/>
    <x v="3"/>
    <x v="1"/>
    <n v="0"/>
    <n v="0"/>
    <s v=""/>
    <x v="4"/>
    <x v="1"/>
    <x v="2"/>
    <x v="11"/>
    <x v="11"/>
    <s v=""/>
    <x v="0"/>
    <x v="0"/>
    <n v="756"/>
    <x v="11"/>
    <s v=""/>
    <x v="4"/>
    <x v="1"/>
  </r>
  <r>
    <x v="82"/>
    <x v="35"/>
    <x v="13"/>
    <n v="0"/>
    <s v="Debe"/>
    <x v="1"/>
    <x v="13"/>
    <x v="3"/>
    <x v="1"/>
    <n v="0"/>
    <n v="0"/>
    <s v=""/>
    <x v="4"/>
    <x v="1"/>
    <x v="2"/>
    <x v="11"/>
    <x v="11"/>
    <s v=""/>
    <x v="0"/>
    <x v="0"/>
    <n v="757"/>
    <x v="11"/>
    <s v=""/>
    <x v="4"/>
    <x v="1"/>
  </r>
  <r>
    <x v="82"/>
    <x v="35"/>
    <x v="13"/>
    <n v="0"/>
    <s v="Debe"/>
    <x v="1"/>
    <x v="13"/>
    <x v="3"/>
    <x v="1"/>
    <n v="0"/>
    <n v="0"/>
    <s v=""/>
    <x v="4"/>
    <x v="1"/>
    <x v="2"/>
    <x v="11"/>
    <x v="11"/>
    <s v=""/>
    <x v="0"/>
    <x v="0"/>
    <n v="758"/>
    <x v="11"/>
    <s v=""/>
    <x v="4"/>
    <x v="1"/>
  </r>
  <r>
    <x v="82"/>
    <x v="35"/>
    <x v="13"/>
    <n v="0"/>
    <s v="Debe"/>
    <x v="1"/>
    <x v="13"/>
    <x v="3"/>
    <x v="1"/>
    <n v="0"/>
    <n v="0"/>
    <s v=""/>
    <x v="4"/>
    <x v="1"/>
    <x v="2"/>
    <x v="11"/>
    <x v="11"/>
    <s v=""/>
    <x v="0"/>
    <x v="0"/>
    <n v="759"/>
    <x v="11"/>
    <s v=""/>
    <x v="4"/>
    <x v="1"/>
  </r>
  <r>
    <x v="82"/>
    <x v="35"/>
    <x v="13"/>
    <n v="0"/>
    <s v="Debe"/>
    <x v="1"/>
    <x v="13"/>
    <x v="3"/>
    <x v="1"/>
    <n v="0"/>
    <n v="0"/>
    <s v=""/>
    <x v="4"/>
    <x v="1"/>
    <x v="2"/>
    <x v="11"/>
    <x v="11"/>
    <s v=""/>
    <x v="0"/>
    <x v="0"/>
    <n v="760"/>
    <x v="11"/>
    <s v=""/>
    <x v="4"/>
    <x v="1"/>
  </r>
  <r>
    <x v="82"/>
    <x v="35"/>
    <x v="13"/>
    <n v="0"/>
    <s v="Debe"/>
    <x v="1"/>
    <x v="13"/>
    <x v="3"/>
    <x v="1"/>
    <n v="0"/>
    <n v="0"/>
    <s v=""/>
    <x v="4"/>
    <x v="1"/>
    <x v="2"/>
    <x v="11"/>
    <x v="11"/>
    <s v=""/>
    <x v="0"/>
    <x v="0"/>
    <n v="761"/>
    <x v="11"/>
    <s v=""/>
    <x v="4"/>
    <x v="1"/>
  </r>
  <r>
    <x v="82"/>
    <x v="35"/>
    <x v="13"/>
    <n v="0"/>
    <s v="Debe"/>
    <x v="1"/>
    <x v="13"/>
    <x v="3"/>
    <x v="1"/>
    <n v="0"/>
    <n v="0"/>
    <s v=""/>
    <x v="4"/>
    <x v="1"/>
    <x v="2"/>
    <x v="11"/>
    <x v="11"/>
    <s v=""/>
    <x v="0"/>
    <x v="0"/>
    <n v="762"/>
    <x v="11"/>
    <s v=""/>
    <x v="4"/>
    <x v="1"/>
  </r>
  <r>
    <x v="82"/>
    <x v="35"/>
    <x v="13"/>
    <n v="0"/>
    <s v="Debe"/>
    <x v="1"/>
    <x v="13"/>
    <x v="3"/>
    <x v="1"/>
    <n v="0"/>
    <n v="0"/>
    <s v=""/>
    <x v="4"/>
    <x v="1"/>
    <x v="2"/>
    <x v="11"/>
    <x v="11"/>
    <s v=""/>
    <x v="0"/>
    <x v="0"/>
    <n v="763"/>
    <x v="11"/>
    <s v=""/>
    <x v="4"/>
    <x v="1"/>
  </r>
  <r>
    <x v="82"/>
    <x v="35"/>
    <x v="13"/>
    <n v="0"/>
    <s v="Debe"/>
    <x v="1"/>
    <x v="13"/>
    <x v="3"/>
    <x v="1"/>
    <n v="0"/>
    <n v="0"/>
    <s v=""/>
    <x v="4"/>
    <x v="1"/>
    <x v="2"/>
    <x v="11"/>
    <x v="11"/>
    <s v=""/>
    <x v="0"/>
    <x v="0"/>
    <n v="764"/>
    <x v="11"/>
    <s v=""/>
    <x v="4"/>
    <x v="1"/>
  </r>
  <r>
    <x v="82"/>
    <x v="35"/>
    <x v="13"/>
    <n v="0"/>
    <s v="Debe"/>
    <x v="1"/>
    <x v="13"/>
    <x v="3"/>
    <x v="1"/>
    <n v="0"/>
    <n v="0"/>
    <s v=""/>
    <x v="4"/>
    <x v="1"/>
    <x v="2"/>
    <x v="11"/>
    <x v="11"/>
    <s v=""/>
    <x v="0"/>
    <x v="0"/>
    <n v="765"/>
    <x v="11"/>
    <s v=""/>
    <x v="4"/>
    <x v="1"/>
  </r>
  <r>
    <x v="82"/>
    <x v="35"/>
    <x v="13"/>
    <n v="0"/>
    <s v="Debe"/>
    <x v="1"/>
    <x v="13"/>
    <x v="3"/>
    <x v="1"/>
    <n v="0"/>
    <n v="0"/>
    <s v=""/>
    <x v="4"/>
    <x v="1"/>
    <x v="2"/>
    <x v="11"/>
    <x v="11"/>
    <s v=""/>
    <x v="0"/>
    <x v="0"/>
    <n v="766"/>
    <x v="11"/>
    <s v=""/>
    <x v="4"/>
    <x v="1"/>
  </r>
  <r>
    <x v="82"/>
    <x v="35"/>
    <x v="13"/>
    <n v="0"/>
    <s v="Debe"/>
    <x v="1"/>
    <x v="13"/>
    <x v="3"/>
    <x v="1"/>
    <n v="0"/>
    <n v="0"/>
    <s v=""/>
    <x v="4"/>
    <x v="1"/>
    <x v="2"/>
    <x v="11"/>
    <x v="11"/>
    <s v=""/>
    <x v="0"/>
    <x v="0"/>
    <n v="767"/>
    <x v="11"/>
    <s v=""/>
    <x v="4"/>
    <x v="1"/>
  </r>
  <r>
    <x v="82"/>
    <x v="35"/>
    <x v="13"/>
    <n v="0"/>
    <s v="Debe"/>
    <x v="1"/>
    <x v="13"/>
    <x v="3"/>
    <x v="1"/>
    <n v="0"/>
    <n v="0"/>
    <s v=""/>
    <x v="4"/>
    <x v="1"/>
    <x v="2"/>
    <x v="11"/>
    <x v="11"/>
    <s v=""/>
    <x v="0"/>
    <x v="0"/>
    <n v="768"/>
    <x v="11"/>
    <s v=""/>
    <x v="4"/>
    <x v="1"/>
  </r>
  <r>
    <x v="82"/>
    <x v="35"/>
    <x v="13"/>
    <n v="0"/>
    <s v="Debe"/>
    <x v="1"/>
    <x v="13"/>
    <x v="3"/>
    <x v="1"/>
    <n v="0"/>
    <n v="0"/>
    <s v=""/>
    <x v="4"/>
    <x v="1"/>
    <x v="2"/>
    <x v="11"/>
    <x v="11"/>
    <s v=""/>
    <x v="0"/>
    <x v="0"/>
    <n v="769"/>
    <x v="11"/>
    <s v=""/>
    <x v="4"/>
    <x v="1"/>
  </r>
  <r>
    <x v="82"/>
    <x v="35"/>
    <x v="13"/>
    <n v="0"/>
    <s v="Debe"/>
    <x v="1"/>
    <x v="13"/>
    <x v="3"/>
    <x v="1"/>
    <n v="0"/>
    <n v="0"/>
    <s v=""/>
    <x v="4"/>
    <x v="1"/>
    <x v="2"/>
    <x v="11"/>
    <x v="11"/>
    <s v=""/>
    <x v="0"/>
    <x v="0"/>
    <n v="770"/>
    <x v="11"/>
    <s v=""/>
    <x v="4"/>
    <x v="1"/>
  </r>
  <r>
    <x v="82"/>
    <x v="35"/>
    <x v="13"/>
    <n v="0"/>
    <s v="Debe"/>
    <x v="1"/>
    <x v="13"/>
    <x v="3"/>
    <x v="1"/>
    <n v="0"/>
    <n v="0"/>
    <s v=""/>
    <x v="4"/>
    <x v="1"/>
    <x v="2"/>
    <x v="11"/>
    <x v="11"/>
    <s v=""/>
    <x v="0"/>
    <x v="0"/>
    <n v="771"/>
    <x v="11"/>
    <s v=""/>
    <x v="4"/>
    <x v="1"/>
  </r>
  <r>
    <x v="82"/>
    <x v="35"/>
    <x v="13"/>
    <n v="0"/>
    <s v="Debe"/>
    <x v="1"/>
    <x v="13"/>
    <x v="3"/>
    <x v="1"/>
    <n v="0"/>
    <n v="0"/>
    <s v=""/>
    <x v="4"/>
    <x v="1"/>
    <x v="2"/>
    <x v="11"/>
    <x v="11"/>
    <s v=""/>
    <x v="0"/>
    <x v="0"/>
    <n v="772"/>
    <x v="11"/>
    <s v=""/>
    <x v="4"/>
    <x v="1"/>
  </r>
  <r>
    <x v="82"/>
    <x v="35"/>
    <x v="13"/>
    <n v="0"/>
    <s v="Debe"/>
    <x v="1"/>
    <x v="13"/>
    <x v="3"/>
    <x v="1"/>
    <n v="0"/>
    <n v="0"/>
    <s v=""/>
    <x v="4"/>
    <x v="1"/>
    <x v="2"/>
    <x v="11"/>
    <x v="11"/>
    <s v=""/>
    <x v="0"/>
    <x v="0"/>
    <n v="773"/>
    <x v="11"/>
    <s v=""/>
    <x v="4"/>
    <x v="1"/>
  </r>
  <r>
    <x v="82"/>
    <x v="35"/>
    <x v="13"/>
    <n v="0"/>
    <s v="Debe"/>
    <x v="1"/>
    <x v="13"/>
    <x v="3"/>
    <x v="1"/>
    <n v="0"/>
    <n v="0"/>
    <s v=""/>
    <x v="4"/>
    <x v="1"/>
    <x v="2"/>
    <x v="11"/>
    <x v="11"/>
    <s v=""/>
    <x v="0"/>
    <x v="0"/>
    <n v="774"/>
    <x v="11"/>
    <s v=""/>
    <x v="4"/>
    <x v="1"/>
  </r>
  <r>
    <x v="82"/>
    <x v="35"/>
    <x v="13"/>
    <n v="0"/>
    <s v="Debe"/>
    <x v="1"/>
    <x v="13"/>
    <x v="3"/>
    <x v="1"/>
    <n v="0"/>
    <n v="0"/>
    <s v=""/>
    <x v="4"/>
    <x v="1"/>
    <x v="2"/>
    <x v="11"/>
    <x v="11"/>
    <s v=""/>
    <x v="0"/>
    <x v="0"/>
    <n v="775"/>
    <x v="11"/>
    <s v=""/>
    <x v="4"/>
    <x v="1"/>
  </r>
  <r>
    <x v="82"/>
    <x v="35"/>
    <x v="13"/>
    <n v="0"/>
    <s v="Debe"/>
    <x v="1"/>
    <x v="13"/>
    <x v="3"/>
    <x v="1"/>
    <n v="0"/>
    <n v="0"/>
    <s v=""/>
    <x v="4"/>
    <x v="1"/>
    <x v="2"/>
    <x v="11"/>
    <x v="11"/>
    <s v=""/>
    <x v="0"/>
    <x v="0"/>
    <n v="776"/>
    <x v="11"/>
    <s v=""/>
    <x v="4"/>
    <x v="1"/>
  </r>
  <r>
    <x v="82"/>
    <x v="35"/>
    <x v="13"/>
    <n v="0"/>
    <s v="Debe"/>
    <x v="1"/>
    <x v="13"/>
    <x v="3"/>
    <x v="1"/>
    <n v="0"/>
    <n v="0"/>
    <s v=""/>
    <x v="4"/>
    <x v="1"/>
    <x v="2"/>
    <x v="11"/>
    <x v="11"/>
    <s v=""/>
    <x v="0"/>
    <x v="0"/>
    <n v="777"/>
    <x v="11"/>
    <s v=""/>
    <x v="4"/>
    <x v="1"/>
  </r>
  <r>
    <x v="82"/>
    <x v="35"/>
    <x v="13"/>
    <n v="0"/>
    <s v="Debe"/>
    <x v="1"/>
    <x v="13"/>
    <x v="3"/>
    <x v="1"/>
    <n v="0"/>
    <n v="0"/>
    <s v=""/>
    <x v="4"/>
    <x v="1"/>
    <x v="2"/>
    <x v="11"/>
    <x v="11"/>
    <s v=""/>
    <x v="0"/>
    <x v="0"/>
    <n v="778"/>
    <x v="11"/>
    <s v=""/>
    <x v="4"/>
    <x v="1"/>
  </r>
  <r>
    <x v="82"/>
    <x v="35"/>
    <x v="13"/>
    <n v="0"/>
    <s v="Haber"/>
    <x v="1"/>
    <x v="13"/>
    <x v="3"/>
    <x v="1"/>
    <n v="0"/>
    <s v=""/>
    <n v="0"/>
    <x v="4"/>
    <x v="1"/>
    <x v="2"/>
    <x v="11"/>
    <x v="11"/>
    <s v=""/>
    <x v="0"/>
    <x v="0"/>
    <n v="1958"/>
    <x v="11"/>
    <s v=""/>
    <x v="4"/>
    <x v="1"/>
  </r>
  <r>
    <x v="82"/>
    <x v="35"/>
    <x v="13"/>
    <n v="0"/>
    <s v="Haber"/>
    <x v="1"/>
    <x v="13"/>
    <x v="3"/>
    <x v="1"/>
    <n v="0"/>
    <s v=""/>
    <n v="0"/>
    <x v="4"/>
    <x v="1"/>
    <x v="2"/>
    <x v="11"/>
    <x v="11"/>
    <s v=""/>
    <x v="0"/>
    <x v="0"/>
    <n v="1959"/>
    <x v="11"/>
    <s v=""/>
    <x v="4"/>
    <x v="1"/>
  </r>
  <r>
    <x v="82"/>
    <x v="35"/>
    <x v="13"/>
    <n v="0"/>
    <s v="Haber"/>
    <x v="1"/>
    <x v="13"/>
    <x v="3"/>
    <x v="1"/>
    <n v="0"/>
    <s v=""/>
    <n v="0"/>
    <x v="4"/>
    <x v="1"/>
    <x v="2"/>
    <x v="11"/>
    <x v="11"/>
    <s v=""/>
    <x v="0"/>
    <x v="0"/>
    <n v="1960"/>
    <x v="11"/>
    <s v=""/>
    <x v="4"/>
    <x v="1"/>
  </r>
  <r>
    <x v="82"/>
    <x v="35"/>
    <x v="13"/>
    <n v="0"/>
    <s v="Haber"/>
    <x v="1"/>
    <x v="13"/>
    <x v="3"/>
    <x v="1"/>
    <n v="0"/>
    <s v=""/>
    <n v="0"/>
    <x v="4"/>
    <x v="1"/>
    <x v="2"/>
    <x v="11"/>
    <x v="11"/>
    <s v=""/>
    <x v="0"/>
    <x v="0"/>
    <n v="1961"/>
    <x v="11"/>
    <s v=""/>
    <x v="4"/>
    <x v="1"/>
  </r>
  <r>
    <x v="82"/>
    <x v="35"/>
    <x v="13"/>
    <n v="0"/>
    <s v="Haber"/>
    <x v="1"/>
    <x v="13"/>
    <x v="3"/>
    <x v="1"/>
    <n v="0"/>
    <s v=""/>
    <n v="0"/>
    <x v="4"/>
    <x v="1"/>
    <x v="2"/>
    <x v="11"/>
    <x v="11"/>
    <s v=""/>
    <x v="0"/>
    <x v="0"/>
    <n v="1962"/>
    <x v="11"/>
    <s v=""/>
    <x v="4"/>
    <x v="1"/>
  </r>
  <r>
    <x v="82"/>
    <x v="35"/>
    <x v="13"/>
    <n v="0"/>
    <s v="Haber"/>
    <x v="1"/>
    <x v="13"/>
    <x v="3"/>
    <x v="1"/>
    <n v="0"/>
    <s v=""/>
    <n v="0"/>
    <x v="4"/>
    <x v="1"/>
    <x v="2"/>
    <x v="11"/>
    <x v="11"/>
    <s v=""/>
    <x v="0"/>
    <x v="0"/>
    <n v="1963"/>
    <x v="11"/>
    <s v=""/>
    <x v="4"/>
    <x v="1"/>
  </r>
  <r>
    <x v="82"/>
    <x v="35"/>
    <x v="13"/>
    <n v="0"/>
    <s v="Haber"/>
    <x v="1"/>
    <x v="13"/>
    <x v="3"/>
    <x v="1"/>
    <n v="0"/>
    <s v=""/>
    <n v="0"/>
    <x v="4"/>
    <x v="1"/>
    <x v="2"/>
    <x v="11"/>
    <x v="11"/>
    <s v=""/>
    <x v="0"/>
    <x v="0"/>
    <n v="1964"/>
    <x v="11"/>
    <s v=""/>
    <x v="4"/>
    <x v="1"/>
  </r>
  <r>
    <x v="82"/>
    <x v="35"/>
    <x v="13"/>
    <n v="0"/>
    <s v="Haber"/>
    <x v="1"/>
    <x v="13"/>
    <x v="3"/>
    <x v="1"/>
    <n v="0"/>
    <s v=""/>
    <n v="0"/>
    <x v="4"/>
    <x v="1"/>
    <x v="2"/>
    <x v="11"/>
    <x v="11"/>
    <s v=""/>
    <x v="0"/>
    <x v="0"/>
    <n v="1965"/>
    <x v="11"/>
    <s v=""/>
    <x v="4"/>
    <x v="1"/>
  </r>
  <r>
    <x v="82"/>
    <x v="35"/>
    <x v="13"/>
    <n v="0"/>
    <s v="Haber"/>
    <x v="1"/>
    <x v="13"/>
    <x v="3"/>
    <x v="1"/>
    <n v="0"/>
    <s v=""/>
    <n v="0"/>
    <x v="4"/>
    <x v="1"/>
    <x v="2"/>
    <x v="11"/>
    <x v="11"/>
    <s v=""/>
    <x v="0"/>
    <x v="0"/>
    <n v="1966"/>
    <x v="11"/>
    <s v=""/>
    <x v="4"/>
    <x v="1"/>
  </r>
  <r>
    <x v="82"/>
    <x v="35"/>
    <x v="13"/>
    <n v="0"/>
    <s v="Haber"/>
    <x v="1"/>
    <x v="13"/>
    <x v="3"/>
    <x v="1"/>
    <n v="0"/>
    <s v=""/>
    <n v="0"/>
    <x v="4"/>
    <x v="1"/>
    <x v="2"/>
    <x v="11"/>
    <x v="11"/>
    <s v=""/>
    <x v="0"/>
    <x v="0"/>
    <n v="1967"/>
    <x v="11"/>
    <s v=""/>
    <x v="4"/>
    <x v="1"/>
  </r>
  <r>
    <x v="82"/>
    <x v="35"/>
    <x v="13"/>
    <n v="0"/>
    <s v="Haber"/>
    <x v="1"/>
    <x v="13"/>
    <x v="3"/>
    <x v="1"/>
    <n v="0"/>
    <s v=""/>
    <n v="0"/>
    <x v="4"/>
    <x v="1"/>
    <x v="2"/>
    <x v="11"/>
    <x v="11"/>
    <s v=""/>
    <x v="0"/>
    <x v="0"/>
    <n v="1968"/>
    <x v="11"/>
    <s v=""/>
    <x v="4"/>
    <x v="1"/>
  </r>
  <r>
    <x v="82"/>
    <x v="35"/>
    <x v="13"/>
    <n v="0"/>
    <s v="Haber"/>
    <x v="1"/>
    <x v="13"/>
    <x v="3"/>
    <x v="1"/>
    <n v="0"/>
    <s v=""/>
    <n v="0"/>
    <x v="4"/>
    <x v="1"/>
    <x v="2"/>
    <x v="11"/>
    <x v="11"/>
    <s v=""/>
    <x v="0"/>
    <x v="0"/>
    <n v="1969"/>
    <x v="11"/>
    <s v=""/>
    <x v="4"/>
    <x v="1"/>
  </r>
  <r>
    <x v="82"/>
    <x v="35"/>
    <x v="13"/>
    <n v="0"/>
    <s v="Haber"/>
    <x v="1"/>
    <x v="13"/>
    <x v="3"/>
    <x v="1"/>
    <n v="0"/>
    <s v=""/>
    <n v="0"/>
    <x v="4"/>
    <x v="1"/>
    <x v="2"/>
    <x v="11"/>
    <x v="11"/>
    <s v=""/>
    <x v="0"/>
    <x v="0"/>
    <n v="1970"/>
    <x v="11"/>
    <s v=""/>
    <x v="4"/>
    <x v="1"/>
  </r>
  <r>
    <x v="82"/>
    <x v="35"/>
    <x v="13"/>
    <n v="0"/>
    <s v="Haber"/>
    <x v="1"/>
    <x v="13"/>
    <x v="3"/>
    <x v="1"/>
    <n v="0"/>
    <s v=""/>
    <n v="0"/>
    <x v="4"/>
    <x v="1"/>
    <x v="2"/>
    <x v="11"/>
    <x v="11"/>
    <s v=""/>
    <x v="0"/>
    <x v="0"/>
    <n v="1971"/>
    <x v="11"/>
    <s v=""/>
    <x v="4"/>
    <x v="1"/>
  </r>
  <r>
    <x v="82"/>
    <x v="35"/>
    <x v="13"/>
    <n v="0"/>
    <s v="Haber"/>
    <x v="1"/>
    <x v="13"/>
    <x v="3"/>
    <x v="1"/>
    <n v="0"/>
    <s v=""/>
    <n v="0"/>
    <x v="4"/>
    <x v="1"/>
    <x v="2"/>
    <x v="11"/>
    <x v="11"/>
    <s v=""/>
    <x v="0"/>
    <x v="0"/>
    <n v="1972"/>
    <x v="11"/>
    <s v=""/>
    <x v="4"/>
    <x v="1"/>
  </r>
  <r>
    <x v="82"/>
    <x v="35"/>
    <x v="13"/>
    <n v="0"/>
    <s v="Haber"/>
    <x v="1"/>
    <x v="13"/>
    <x v="3"/>
    <x v="1"/>
    <n v="0"/>
    <s v=""/>
    <n v="0"/>
    <x v="4"/>
    <x v="1"/>
    <x v="2"/>
    <x v="11"/>
    <x v="11"/>
    <s v=""/>
    <x v="0"/>
    <x v="0"/>
    <n v="1973"/>
    <x v="11"/>
    <s v=""/>
    <x v="4"/>
    <x v="1"/>
  </r>
  <r>
    <x v="82"/>
    <x v="35"/>
    <x v="13"/>
    <n v="0"/>
    <s v="Haber"/>
    <x v="1"/>
    <x v="13"/>
    <x v="3"/>
    <x v="1"/>
    <n v="0"/>
    <s v=""/>
    <n v="0"/>
    <x v="4"/>
    <x v="1"/>
    <x v="2"/>
    <x v="11"/>
    <x v="11"/>
    <s v=""/>
    <x v="0"/>
    <x v="0"/>
    <n v="1974"/>
    <x v="11"/>
    <s v=""/>
    <x v="4"/>
    <x v="1"/>
  </r>
  <r>
    <x v="82"/>
    <x v="35"/>
    <x v="13"/>
    <n v="0"/>
    <s v="Haber"/>
    <x v="1"/>
    <x v="13"/>
    <x v="3"/>
    <x v="1"/>
    <n v="0"/>
    <s v=""/>
    <n v="0"/>
    <x v="4"/>
    <x v="1"/>
    <x v="2"/>
    <x v="11"/>
    <x v="11"/>
    <s v=""/>
    <x v="0"/>
    <x v="0"/>
    <n v="1975"/>
    <x v="11"/>
    <s v=""/>
    <x v="4"/>
    <x v="1"/>
  </r>
  <r>
    <x v="82"/>
    <x v="35"/>
    <x v="13"/>
    <n v="0"/>
    <s v="Haber"/>
    <x v="1"/>
    <x v="13"/>
    <x v="3"/>
    <x v="1"/>
    <n v="0"/>
    <s v=""/>
    <n v="0"/>
    <x v="4"/>
    <x v="1"/>
    <x v="2"/>
    <x v="11"/>
    <x v="11"/>
    <s v=""/>
    <x v="0"/>
    <x v="0"/>
    <n v="1976"/>
    <x v="11"/>
    <s v=""/>
    <x v="4"/>
    <x v="1"/>
  </r>
  <r>
    <x v="82"/>
    <x v="35"/>
    <x v="13"/>
    <n v="0"/>
    <s v="Haber"/>
    <x v="1"/>
    <x v="13"/>
    <x v="3"/>
    <x v="1"/>
    <n v="0"/>
    <s v=""/>
    <n v="0"/>
    <x v="4"/>
    <x v="1"/>
    <x v="2"/>
    <x v="11"/>
    <x v="11"/>
    <s v=""/>
    <x v="0"/>
    <x v="0"/>
    <n v="1977"/>
    <x v="11"/>
    <s v=""/>
    <x v="4"/>
    <x v="1"/>
  </r>
  <r>
    <x v="82"/>
    <x v="35"/>
    <x v="13"/>
    <n v="0"/>
    <s v="Haber"/>
    <x v="1"/>
    <x v="13"/>
    <x v="3"/>
    <x v="1"/>
    <n v="0"/>
    <s v=""/>
    <n v="0"/>
    <x v="4"/>
    <x v="1"/>
    <x v="2"/>
    <x v="11"/>
    <x v="11"/>
    <s v=""/>
    <x v="0"/>
    <x v="0"/>
    <n v="1978"/>
    <x v="11"/>
    <s v=""/>
    <x v="4"/>
    <x v="1"/>
  </r>
  <r>
    <x v="82"/>
    <x v="35"/>
    <x v="13"/>
    <n v="0"/>
    <s v="Haber"/>
    <x v="1"/>
    <x v="13"/>
    <x v="3"/>
    <x v="1"/>
    <n v="0"/>
    <s v=""/>
    <n v="0"/>
    <x v="4"/>
    <x v="1"/>
    <x v="2"/>
    <x v="11"/>
    <x v="11"/>
    <s v=""/>
    <x v="0"/>
    <x v="0"/>
    <n v="1979"/>
    <x v="11"/>
    <s v=""/>
    <x v="4"/>
    <x v="1"/>
  </r>
  <r>
    <x v="82"/>
    <x v="35"/>
    <x v="13"/>
    <n v="0"/>
    <s v="Haber"/>
    <x v="1"/>
    <x v="13"/>
    <x v="3"/>
    <x v="1"/>
    <n v="0"/>
    <s v=""/>
    <n v="0"/>
    <x v="4"/>
    <x v="1"/>
    <x v="2"/>
    <x v="11"/>
    <x v="11"/>
    <s v=""/>
    <x v="0"/>
    <x v="0"/>
    <n v="1980"/>
    <x v="11"/>
    <s v=""/>
    <x v="4"/>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Dinámica2" cacheId="31" applyNumberFormats="0" applyBorderFormats="0" applyFontFormats="0" applyPatternFormats="0" applyAlignmentFormats="0" applyWidthHeightFormats="1" dataCaption="Valores" updatedVersion="8" minRefreshableVersion="3" itemPrintTitles="1" createdVersion="8" indent="0" compact="0" compactData="0" multipleFieldFilters="0">
  <location ref="A10:E11" firstHeaderRow="0" firstDataRow="1" firstDataCol="3" rowPageCount="3" colPageCount="1"/>
  <pivotFields count="28">
    <pivotField axis="axisRow" compact="0" outline="0" showAll="0">
      <items count="84">
        <item x="0"/>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2"/>
        <item x="1"/>
        <item x="2"/>
        <item x="3"/>
        <item x="4"/>
        <item x="5"/>
        <item x="6"/>
        <item x="7"/>
        <item x="8"/>
        <item x="9"/>
        <item x="10"/>
        <item x="11"/>
        <item x="12"/>
        <item x="13"/>
        <item x="14"/>
        <item x="15"/>
        <item x="81"/>
        <item t="default"/>
      </items>
    </pivotField>
    <pivotField axis="axisRow" compact="0" outline="0"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axis="axisRow" compact="0" outline="0" showAll="0">
      <items count="88">
        <item x="13"/>
        <item x="0"/>
        <item x="1"/>
        <item x="2"/>
        <item x="3"/>
        <item x="6"/>
        <item x="7"/>
        <item x="11"/>
        <item x="14"/>
        <item x="16"/>
        <item x="18"/>
        <item x="33"/>
        <item x="34"/>
        <item x="37"/>
        <item x="39"/>
        <item x="41"/>
        <item x="45"/>
        <item x="15"/>
        <item x="17"/>
        <item x="19"/>
        <item x="21"/>
        <item x="23"/>
        <item x="24"/>
        <item x="25"/>
        <item x="26"/>
        <item x="27"/>
        <item x="28"/>
        <item x="29"/>
        <item x="31"/>
        <item x="35"/>
        <item x="36"/>
        <item x="38"/>
        <item x="40"/>
        <item x="42"/>
        <item x="44"/>
        <item x="46"/>
        <item x="47"/>
        <item x="49"/>
        <item m="1" x="86"/>
        <item m="1" x="54"/>
        <item m="1" x="78"/>
        <item m="1" x="56"/>
        <item m="1" x="72"/>
        <item m="1" x="71"/>
        <item m="1" x="82"/>
        <item m="1" x="61"/>
        <item m="1" x="76"/>
        <item m="1" x="53"/>
        <item m="1" x="81"/>
        <item m="1" x="84"/>
        <item m="1" x="62"/>
        <item m="1" x="73"/>
        <item m="1" x="66"/>
        <item m="1" x="59"/>
        <item m="1" x="64"/>
        <item m="1" x="57"/>
        <item m="1" x="74"/>
        <item m="1" x="79"/>
        <item m="1" x="75"/>
        <item m="1" x="69"/>
        <item m="1" x="68"/>
        <item m="1" x="77"/>
        <item m="1" x="55"/>
        <item m="1" x="65"/>
        <item m="1" x="80"/>
        <item m="1" x="52"/>
        <item m="1" x="63"/>
        <item m="1" x="67"/>
        <item m="1" x="85"/>
        <item m="1" x="70"/>
        <item m="1" x="60"/>
        <item m="1" x="83"/>
        <item m="1" x="58"/>
        <item x="20"/>
        <item x="4"/>
        <item x="5"/>
        <item x="8"/>
        <item x="9"/>
        <item x="10"/>
        <item x="12"/>
        <item x="22"/>
        <item x="30"/>
        <item x="32"/>
        <item x="43"/>
        <item x="48"/>
        <item x="50"/>
        <item x="51"/>
        <item t="default"/>
      </items>
    </pivotField>
    <pivotField compact="0" outline="0" showAll="0"/>
    <pivotField compact="0" outline="0" showAll="0"/>
    <pivotField axis="axisPage" compact="0" outline="0" showAll="0">
      <items count="4">
        <item x="0"/>
        <item h="1" x="1"/>
        <item h="1" m="1" x="2"/>
        <item t="default"/>
      </items>
    </pivotField>
    <pivotField axis="axisPage" compact="0" outline="0" multipleItemSelectionAllowed="1" showAll="0">
      <items count="17">
        <item m="1" x="15"/>
        <item x="6"/>
        <item x="7"/>
        <item x="11"/>
        <item x="2"/>
        <item x="8"/>
        <item x="5"/>
        <item x="1"/>
        <item x="12"/>
        <item x="13"/>
        <item x="0"/>
        <item x="3"/>
        <item x="4"/>
        <item x="9"/>
        <item x="10"/>
        <item x="14"/>
        <item t="default"/>
      </items>
    </pivotField>
    <pivotField compact="0" outline="0" showAll="0" defaultSubtotal="0"/>
    <pivotField axis="axisPage" compact="0" outline="0" showAll="0" defaultSubtotal="0">
      <items count="3">
        <item x="0"/>
        <item x="1"/>
        <item x="2"/>
      </items>
    </pivotField>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3">
    <field x="0"/>
    <field x="1"/>
    <field x="2"/>
  </rowFields>
  <rowItems count="1">
    <i t="grand">
      <x/>
    </i>
  </rowItems>
  <colFields count="1">
    <field x="-2"/>
  </colFields>
  <colItems count="2">
    <i>
      <x/>
    </i>
    <i i="1">
      <x v="1"/>
    </i>
  </colItems>
  <pageFields count="3">
    <pageField fld="5" item="0" hier="-1"/>
    <pageField fld="8" item="1" hier="-1"/>
    <pageField fld="6" hier="-1"/>
  </pageFields>
  <dataFields count="2">
    <dataField name=" Debe" fld="10" baseField="0" baseItem="0"/>
    <dataField name=" Haber" fld="11" baseField="0" baseItem="0"/>
  </dataFields>
  <formats count="9">
    <format dxfId="955">
      <pivotArea outline="0" collapsedLevelsAreSubtotals="1" fieldPosition="0"/>
    </format>
    <format dxfId="956">
      <pivotArea dataOnly="0" labelOnly="1" outline="0" fieldPosition="0">
        <references count="1">
          <reference field="4294967294" count="2">
            <x v="0"/>
            <x v="1"/>
          </reference>
        </references>
      </pivotArea>
    </format>
    <format dxfId="957">
      <pivotArea dataOnly="0" labelOnly="1" outline="0" fieldPosition="0">
        <references count="1">
          <reference field="4294967294" count="2">
            <x v="0"/>
            <x v="1"/>
          </reference>
        </references>
      </pivotArea>
    </format>
    <format dxfId="958">
      <pivotArea dataOnly="0" outline="0" fieldPosition="0">
        <references count="2">
          <reference field="0" count="0" defaultSubtotal="1"/>
          <reference field="5" count="0" selected="0"/>
        </references>
      </pivotArea>
    </format>
    <format dxfId="959">
      <pivotArea field="0" type="button" dataOnly="0" labelOnly="1" outline="0" axis="axisRow" fieldPosition="0"/>
    </format>
    <format dxfId="960">
      <pivotArea field="1" type="button" dataOnly="0" labelOnly="1" outline="0" axis="axisRow" fieldPosition="1"/>
    </format>
    <format dxfId="961">
      <pivotArea field="2" type="button" dataOnly="0" labelOnly="1" outline="0" axis="axisRow" fieldPosition="2"/>
    </format>
    <format dxfId="962">
      <pivotArea dataOnly="0" labelOnly="1" outline="0" fieldPosition="0">
        <references count="1">
          <reference field="4294967294" count="2">
            <x v="0"/>
            <x v="1"/>
          </reference>
        </references>
      </pivotArea>
    </format>
    <format dxfId="963">
      <pivotArea field="6" type="button" dataOnly="0" labelOnly="1" outline="0" axis="axisPage" fieldPosition="2"/>
    </format>
  </formats>
  <conditionalFormats count="1">
    <conditionalFormat priority="1">
      <pivotAreas count="1">
        <pivotArea type="data" outline="0" collapsedLevelsAreSubtotals="1" fieldPosition="0"/>
      </pivotAreas>
    </conditionalFormat>
  </conditionalFormat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Libro_Mayor" cacheId="31" applyNumberFormats="0" applyBorderFormats="0" applyFontFormats="0" applyPatternFormats="0" applyAlignmentFormats="0" applyWidthHeightFormats="1" dataCaption="Valores" updatedVersion="8" minRefreshableVersion="3" rowGrandTotals="0" itemPrintTitles="1" createdVersion="8" indent="0" compact="0" compactData="0" multipleFieldFilters="0">
  <location ref="B19:J19" firstHeaderRow="0" firstDataRow="1" firstDataCol="5" rowPageCount="2" colPageCount="1"/>
  <pivotFields count="28">
    <pivotField axis="axisRow" compact="0" outline="0" showAll="0" defaultSubtotal="0">
      <items count="83">
        <item x="0"/>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2"/>
        <item x="1"/>
        <item x="2"/>
        <item x="3"/>
        <item x="4"/>
        <item x="5"/>
        <item x="6"/>
        <item x="7"/>
        <item x="8"/>
        <item x="9"/>
        <item x="10"/>
        <item x="11"/>
        <item x="12"/>
        <item x="13"/>
        <item x="14"/>
        <item x="15"/>
        <item x="81"/>
      </items>
    </pivotField>
    <pivotField axis="axisRow" compact="0" outline="0"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axis="axisRow" compact="0" outline="0" showAll="0" sortType="ascending">
      <items count="88">
        <item sd="0" x="13"/>
        <item sd="0" m="1" x="86"/>
        <item sd="0" m="1" x="54"/>
        <item sd="0" m="1" x="78"/>
        <item sd="0" m="1" x="56"/>
        <item sd="0" m="1" x="72"/>
        <item sd="0" m="1" x="71"/>
        <item sd="0" m="1" x="82"/>
        <item sd="0" m="1" x="61"/>
        <item sd="0" m="1" x="76"/>
        <item sd="0" m="1" x="53"/>
        <item sd="0" m="1" x="81"/>
        <item sd="0" m="1" x="84"/>
        <item sd="0" m="1" x="62"/>
        <item sd="0" m="1" x="73"/>
        <item sd="0" m="1" x="66"/>
        <item sd="0" m="1" x="59"/>
        <item sd="0" m="1" x="64"/>
        <item sd="0" m="1" x="57"/>
        <item sd="0" m="1" x="74"/>
        <item sd="0" m="1" x="79"/>
        <item sd="0" m="1" x="75"/>
        <item sd="0" m="1" x="68"/>
        <item sd="0" m="1" x="77"/>
        <item sd="0" m="1" x="55"/>
        <item sd="0" m="1" x="65"/>
        <item sd="0" m="1" x="80"/>
        <item sd="0" m="1" x="52"/>
        <item sd="0" m="1" x="69"/>
        <item sd="0" m="1" x="63"/>
        <item sd="0" m="1" x="67"/>
        <item sd="0" m="1" x="85"/>
        <item sd="0" m="1" x="70"/>
        <item sd="0" m="1" x="60"/>
        <item sd="0" m="1" x="83"/>
        <item sd="0" m="1" x="58"/>
        <item sd="0" x="14"/>
        <item sd="0" x="30"/>
        <item sd="0" x="17"/>
        <item sd="0" x="15"/>
        <item sd="0" x="22"/>
        <item sd="0" x="16"/>
        <item sd="0" x="19"/>
        <item sd="0" x="18"/>
        <item sd="0" x="20"/>
        <item sd="0" x="23"/>
        <item sd="0" x="24"/>
        <item sd="0" x="25"/>
        <item sd="0" x="27"/>
        <item sd="0" x="0"/>
        <item sd="0" x="1"/>
        <item sd="0" x="2"/>
        <item sd="0" x="3"/>
        <item sd="0" x="4"/>
        <item sd="0" x="7"/>
        <item sd="0" x="32"/>
        <item sd="0" x="8"/>
        <item sd="0" x="5"/>
        <item sd="0" x="26"/>
        <item sd="0" x="11"/>
        <item sd="0" x="33"/>
        <item sd="0" x="29"/>
        <item sd="0" x="31"/>
        <item sd="0" x="9"/>
        <item sd="0" x="10"/>
        <item sd="0" x="21"/>
        <item sd="0" x="12"/>
        <item sd="0" x="6"/>
        <item sd="0" x="28"/>
        <item sd="0" x="37"/>
        <item sd="0" x="40"/>
        <item sd="0" x="51"/>
        <item sd="0" x="39"/>
        <item sd="0" x="47"/>
        <item sd="0" x="48"/>
        <item sd="0" x="50"/>
        <item sd="0" x="49"/>
        <item sd="0" x="44"/>
        <item sd="0" x="45"/>
        <item sd="0" x="41"/>
        <item sd="0" x="34"/>
        <item sd="0" x="35"/>
        <item sd="0" x="36"/>
        <item sd="0" x="38"/>
        <item sd="0" x="42"/>
        <item sd="0" x="46"/>
        <item sd="0" x="43"/>
        <item t="default" sd="0"/>
      </items>
    </pivotField>
    <pivotField compact="0" outline="0" showAll="0"/>
    <pivotField compact="0" outline="0" showAll="0"/>
    <pivotField axis="axisPage" compact="0" outline="0" showAll="0">
      <items count="4">
        <item x="0"/>
        <item h="1" x="1"/>
        <item h="1" m="1" x="2"/>
        <item t="default"/>
      </items>
    </pivotField>
    <pivotField axis="axisRow" compact="0" outline="0" multipleItemSelectionAllowed="1" showAll="0" defaultSubtotal="0">
      <items count="16">
        <item sd="0" m="1" x="15"/>
        <item x="6"/>
        <item x="7"/>
        <item x="11"/>
        <item x="2"/>
        <item x="8"/>
        <item x="5"/>
        <item x="1"/>
        <item x="12"/>
        <item sd="0" x="13"/>
        <item x="0"/>
        <item x="3"/>
        <item x="4"/>
        <item x="9"/>
        <item x="10"/>
        <item x="14"/>
      </items>
    </pivotField>
    <pivotField name="Tipo Operación" axis="axisRow" compact="0" outline="0" showAll="0" defaultSubtotal="0">
      <items count="54">
        <item x="1"/>
        <item x="0"/>
        <item m="1" x="11"/>
        <item m="1" x="15"/>
        <item m="1" x="9"/>
        <item m="1" x="35"/>
        <item m="1" x="46"/>
        <item m="1" x="29"/>
        <item m="1" x="27"/>
        <item m="1" x="16"/>
        <item m="1" x="52"/>
        <item m="1" x="39"/>
        <item m="1" x="5"/>
        <item m="1" x="14"/>
        <item m="1" x="4"/>
        <item m="1" x="13"/>
        <item m="1" x="51"/>
        <item m="1" x="30"/>
        <item m="1" x="44"/>
        <item m="1" x="50"/>
        <item m="1" x="21"/>
        <item m="1" x="42"/>
        <item m="1" x="47"/>
        <item m="1" x="17"/>
        <item m="1" x="37"/>
        <item m="1" x="34"/>
        <item m="1" x="33"/>
        <item m="1" x="23"/>
        <item m="1" x="12"/>
        <item m="1" x="41"/>
        <item m="1" x="40"/>
        <item m="1" x="53"/>
        <item m="1" x="36"/>
        <item m="1" x="18"/>
        <item m="1" x="24"/>
        <item m="1" x="6"/>
        <item m="1" x="8"/>
        <item m="1" x="38"/>
        <item m="1" x="19"/>
        <item m="1" x="20"/>
        <item m="1" x="31"/>
        <item m="1" x="28"/>
        <item m="1" x="25"/>
        <item m="1" x="10"/>
        <item m="1" x="49"/>
        <item m="1" x="7"/>
        <item m="1" x="45"/>
        <item m="1" x="32"/>
        <item m="1" x="48"/>
        <item m="1" x="22"/>
        <item m="1" x="43"/>
        <item m="1" x="26"/>
        <item x="3"/>
        <item x="2"/>
      </items>
    </pivotField>
    <pivotField axis="axisPage" compact="0" outline="0" showAll="0" defaultSubtotal="0">
      <items count="3">
        <item h="1" x="0"/>
        <item x="1"/>
        <item h="1" x="2"/>
      </items>
    </pivotField>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items count="44">
        <item x="15"/>
        <item x="13"/>
        <item m="1" x="41"/>
        <item x="19"/>
        <item x="20"/>
        <item x="21"/>
        <item x="0"/>
        <item x="2"/>
        <item x="3"/>
        <item x="4"/>
        <item x="23"/>
        <item x="24"/>
        <item x="8"/>
        <item m="1" x="42"/>
        <item x="5"/>
        <item x="32"/>
        <item x="38"/>
        <item x="35"/>
        <item x="27"/>
        <item x="28"/>
        <item x="30"/>
        <item x="37"/>
        <item m="1" x="40"/>
        <item x="11"/>
        <item x="12"/>
        <item x="14"/>
        <item x="16"/>
        <item x="1"/>
        <item x="6"/>
        <item x="25"/>
        <item x="7"/>
        <item x="9"/>
        <item x="17"/>
        <item x="10"/>
        <item x="22"/>
        <item x="29"/>
        <item x="39"/>
        <item x="31"/>
        <item x="36"/>
        <item x="33"/>
        <item x="26"/>
        <item x="34"/>
        <item x="18"/>
        <item t="default"/>
      </items>
    </pivotField>
    <pivotField compact="0" outline="0" showAll="0"/>
    <pivotField compact="0" outline="0" showAll="0" defaultSubtotal="0">
      <items count="9">
        <item x="4"/>
        <item x="0"/>
        <item x="3"/>
        <item x="1"/>
        <item x="2"/>
        <item x="7"/>
        <item x="6"/>
        <item x="5"/>
        <item m="1" x="8"/>
      </items>
    </pivotField>
    <pivotField compact="0" outline="0" showAll="0"/>
    <pivotField dataField="1" compact="0" outline="0" dragToRow="0" dragToCol="0" dragToPage="0" showAll="0" defaultSubtotal="0"/>
    <pivotField dataField="1" compact="0" outline="0" dragToRow="0" dragToCol="0" dragToPage="0" showAll="0" defaultSubtotal="0"/>
    <pivotField compact="0" outline="0" dragToRow="0" dragToCol="0" dragToPage="0" showAll="0" defaultSubtotal="0"/>
  </pivotFields>
  <rowFields count="5">
    <field x="2"/>
    <field x="0"/>
    <field x="1"/>
    <field x="6"/>
    <field x="7"/>
  </rowFields>
  <colFields count="1">
    <field x="-2"/>
  </colFields>
  <colItems count="4">
    <i>
      <x/>
    </i>
    <i i="1">
      <x v="1"/>
    </i>
    <i i="2">
      <x v="2"/>
    </i>
    <i i="3">
      <x v="3"/>
    </i>
  </colItems>
  <pageFields count="2">
    <pageField fld="5" item="0" hier="-1"/>
    <pageField fld="8" item="1" hier="-1"/>
  </pageFields>
  <dataFields count="4">
    <dataField name=" Debe" fld="10" baseField="0" baseItem="0"/>
    <dataField name=" Haber" fld="11" baseField="0" baseItem="0"/>
    <dataField name=" Saldo Deudor" fld="25" baseField="0" baseItem="0"/>
    <dataField name=" Saldo Acreedor" fld="26" baseField="0" baseItem="0"/>
  </dataFields>
  <formats count="43">
    <format dxfId="912">
      <pivotArea outline="0" collapsedLevelsAreSubtotals="1" fieldPosition="0"/>
    </format>
    <format dxfId="913">
      <pivotArea dataOnly="0" labelOnly="1" outline="0" fieldPosition="0">
        <references count="1">
          <reference field="4294967294" count="2">
            <x v="0"/>
            <x v="1"/>
          </reference>
        </references>
      </pivotArea>
    </format>
    <format dxfId="914">
      <pivotArea dataOnly="0" labelOnly="1" outline="0" fieldPosition="0">
        <references count="1">
          <reference field="4294967294" count="2">
            <x v="0"/>
            <x v="1"/>
          </reference>
        </references>
      </pivotArea>
    </format>
    <format dxfId="915">
      <pivotArea dataOnly="0" outline="0" fieldPosition="0">
        <references count="2">
          <reference field="0" count="0" defaultSubtotal="1"/>
          <reference field="5" count="0" selected="0"/>
        </references>
      </pivotArea>
    </format>
    <format dxfId="916">
      <pivotArea field="0" type="button" dataOnly="0" labelOnly="1" outline="0" axis="axisRow" fieldPosition="1"/>
    </format>
    <format dxfId="917">
      <pivotArea field="1" type="button" dataOnly="0" labelOnly="1" outline="0" axis="axisRow" fieldPosition="2"/>
    </format>
    <format dxfId="918">
      <pivotArea field="2" type="button" dataOnly="0" labelOnly="1" outline="0" axis="axisRow" fieldPosition="0"/>
    </format>
    <format dxfId="919">
      <pivotArea dataOnly="0" labelOnly="1" outline="0" fieldPosition="0">
        <references count="1">
          <reference field="4294967294" count="2">
            <x v="0"/>
            <x v="1"/>
          </reference>
        </references>
      </pivotArea>
    </format>
    <format dxfId="920">
      <pivotArea field="6" type="button" dataOnly="0" labelOnly="1" outline="0" axis="axisRow" fieldPosition="3"/>
    </format>
    <format dxfId="921">
      <pivotArea dataOnly="0" outline="0" fieldPosition="0">
        <references count="2">
          <reference field="2" count="0" defaultSubtotal="1"/>
          <reference field="5" count="0" selected="0"/>
        </references>
      </pivotArea>
    </format>
    <format dxfId="922">
      <pivotArea field="6" type="button" dataOnly="0" labelOnly="1" outline="0" axis="axisRow" fieldPosition="3"/>
    </format>
    <format dxfId="923">
      <pivotArea field="6" type="button" dataOnly="0" labelOnly="1" outline="0" axis="axisRow" fieldPosition="3"/>
    </format>
    <format dxfId="924">
      <pivotArea field="5" dataOnly="0" grandRow="1" outline="0" axis="axisPage" fieldPosition="0">
        <references count="1">
          <reference field="5" count="0" selected="0"/>
        </references>
      </pivotArea>
    </format>
    <format dxfId="925">
      <pivotArea field="7" type="button" dataOnly="0" labelOnly="1" outline="0" axis="axisRow" fieldPosition="4"/>
    </format>
    <format dxfId="926">
      <pivotArea type="all" dataOnly="0" outline="0" fieldPosition="0"/>
    </format>
    <format dxfId="927">
      <pivotArea outline="0" collapsedLevelsAreSubtotals="1" fieldPosition="0"/>
    </format>
    <format dxfId="928">
      <pivotArea field="2" type="button" dataOnly="0" labelOnly="1" outline="0" axis="axisRow" fieldPosition="0"/>
    </format>
    <format dxfId="929">
      <pivotArea field="0" type="button" dataOnly="0" labelOnly="1" outline="0" axis="axisRow" fieldPosition="1"/>
    </format>
    <format dxfId="930">
      <pivotArea field="1" type="button" dataOnly="0" labelOnly="1" outline="0" axis="axisRow" fieldPosition="2"/>
    </format>
    <format dxfId="931">
      <pivotArea field="6" type="button" dataOnly="0" labelOnly="1" outline="0" axis="axisRow" fieldPosition="3"/>
    </format>
    <format dxfId="932">
      <pivotArea field="7" type="button" dataOnly="0" labelOnly="1" outline="0" axis="axisRow" fieldPosition="4"/>
    </format>
    <format dxfId="933">
      <pivotArea dataOnly="0" labelOnly="1" outline="0" fieldPosition="0">
        <references count="1">
          <reference field="2" count="7">
            <x v="36"/>
            <x v="41"/>
            <x v="43"/>
            <x v="50"/>
            <x v="54"/>
            <x v="59"/>
            <x v="60"/>
          </reference>
        </references>
      </pivotArea>
    </format>
    <format dxfId="934">
      <pivotArea dataOnly="0" labelOnly="1" outline="0" fieldPosition="0">
        <references count="1">
          <reference field="2" count="5">
            <x v="69"/>
            <x v="72"/>
            <x v="78"/>
            <x v="79"/>
            <x v="80"/>
          </reference>
        </references>
      </pivotArea>
    </format>
    <format dxfId="935">
      <pivotArea dataOnly="0" labelOnly="1" grandRow="1" outline="0" fieldPosition="0"/>
    </format>
    <format dxfId="936">
      <pivotArea dataOnly="0" labelOnly="1" outline="0" fieldPosition="0">
        <references count="1">
          <reference field="4294967294" count="2">
            <x v="0"/>
            <x v="1"/>
          </reference>
        </references>
      </pivotArea>
    </format>
    <format dxfId="937">
      <pivotArea dataOnly="0" labelOnly="1" outline="0" fieldPosition="0">
        <references count="1">
          <reference field="4294967294" count="2">
            <x v="2"/>
            <x v="3"/>
          </reference>
        </references>
      </pivotArea>
    </format>
    <format dxfId="938">
      <pivotArea field="2" type="button" dataOnly="0" labelOnly="1" outline="0" axis="axisRow" fieldPosition="0"/>
    </format>
    <format dxfId="939">
      <pivotArea field="0" type="button" dataOnly="0" labelOnly="1" outline="0" axis="axisRow" fieldPosition="1"/>
    </format>
    <format dxfId="940">
      <pivotArea field="1" type="button" dataOnly="0" labelOnly="1" outline="0" axis="axisRow" fieldPosition="2"/>
    </format>
    <format dxfId="941">
      <pivotArea field="6" type="button" dataOnly="0" labelOnly="1" outline="0" axis="axisRow" fieldPosition="3"/>
    </format>
    <format dxfId="942">
      <pivotArea field="7" type="button" dataOnly="0" labelOnly="1" outline="0" axis="axisRow" fieldPosition="4"/>
    </format>
    <format dxfId="943">
      <pivotArea dataOnly="0" labelOnly="1" outline="0" fieldPosition="0">
        <references count="1">
          <reference field="4294967294" count="4">
            <x v="0"/>
            <x v="1"/>
            <x v="2"/>
            <x v="3"/>
          </reference>
        </references>
      </pivotArea>
    </format>
    <format dxfId="944">
      <pivotArea field="2" type="button" dataOnly="0" labelOnly="1" outline="0" axis="axisRow" fieldPosition="0"/>
    </format>
    <format dxfId="945">
      <pivotArea field="0" type="button" dataOnly="0" labelOnly="1" outline="0" axis="axisRow" fieldPosition="1"/>
    </format>
    <format dxfId="946">
      <pivotArea field="1" type="button" dataOnly="0" labelOnly="1" outline="0" axis="axisRow" fieldPosition="2"/>
    </format>
    <format dxfId="947">
      <pivotArea field="6" type="button" dataOnly="0" labelOnly="1" outline="0" axis="axisRow" fieldPosition="3"/>
    </format>
    <format dxfId="948">
      <pivotArea field="7" type="button" dataOnly="0" labelOnly="1" outline="0" axis="axisRow" fieldPosition="4"/>
    </format>
    <format dxfId="949">
      <pivotArea dataOnly="0" labelOnly="1" outline="0" fieldPosition="0">
        <references count="1">
          <reference field="4294967294" count="4">
            <x v="0"/>
            <x v="1"/>
            <x v="2"/>
            <x v="3"/>
          </reference>
        </references>
      </pivotArea>
    </format>
    <format dxfId="950">
      <pivotArea field="2" type="button" dataOnly="0" labelOnly="1" outline="0" axis="axisRow" fieldPosition="0"/>
    </format>
    <format dxfId="951">
      <pivotArea field="0" type="button" dataOnly="0" labelOnly="1" outline="0" axis="axisRow" fieldPosition="1"/>
    </format>
    <format dxfId="952">
      <pivotArea field="1" type="button" dataOnly="0" labelOnly="1" outline="0" axis="axisRow" fieldPosition="2"/>
    </format>
    <format dxfId="953">
      <pivotArea field="6" type="button" dataOnly="0" labelOnly="1" outline="0" axis="axisRow" fieldPosition="3"/>
    </format>
    <format dxfId="954">
      <pivotArea field="7" type="button" dataOnly="0" labelOnly="1" outline="0" axis="axisRow" fieldPosition="4"/>
    </format>
  </formats>
  <pivotTableStyleInfo name="PivotStyleLight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Bce_Comprobación" cacheId="31" applyNumberFormats="0" applyBorderFormats="0" applyFontFormats="0" applyPatternFormats="0" applyAlignmentFormats="0" applyWidthHeightFormats="1" dataCaption="Values" updatedVersion="8" minRefreshableVersion="3" showDrill="0" rowGrandTotals="0" colGrandTotals="0" itemPrintTitles="1" createdVersion="8" indent="0" compact="0" compactData="0" multipleFieldFilters="0">
  <location ref="B21:G21" firstHeaderRow="0" firstDataRow="1" firstDataCol="2" rowPageCount="4" colPageCount="1"/>
  <pivotFields count="28">
    <pivotField compact="0" outline="0" multipleItemSelectionAllowed="1" showAll="0"/>
    <pivotField axis="axisPage" compact="0" numFmtId="14" outline="0" multipleItemSelectionAllowed="1" showAll="0" includeNewItemsInFilter="1">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axis="axisRow" compact="0" outline="0" showAll="0" sortType="ascending">
      <items count="88">
        <item x="13"/>
        <item m="1" x="86"/>
        <item m="1" x="54"/>
        <item m="1" x="78"/>
        <item m="1" x="56"/>
        <item m="1" x="72"/>
        <item m="1" x="71"/>
        <item m="1" x="82"/>
        <item m="1" x="61"/>
        <item m="1" x="76"/>
        <item m="1" x="53"/>
        <item m="1" x="81"/>
        <item m="1" x="84"/>
        <item m="1" x="62"/>
        <item m="1" x="73"/>
        <item m="1" x="66"/>
        <item m="1" x="59"/>
        <item m="1" x="64"/>
        <item m="1" x="57"/>
        <item m="1" x="74"/>
        <item m="1" x="79"/>
        <item m="1" x="75"/>
        <item m="1" x="68"/>
        <item m="1" x="77"/>
        <item m="1" x="55"/>
        <item m="1" x="65"/>
        <item m="1" x="80"/>
        <item m="1" x="52"/>
        <item m="1" x="69"/>
        <item m="1" x="63"/>
        <item m="1" x="67"/>
        <item m="1" x="85"/>
        <item m="1" x="70"/>
        <item m="1" x="60"/>
        <item m="1" x="83"/>
        <item m="1" x="58"/>
        <item x="14"/>
        <item x="30"/>
        <item x="17"/>
        <item x="15"/>
        <item x="22"/>
        <item x="16"/>
        <item x="19"/>
        <item x="18"/>
        <item x="20"/>
        <item x="23"/>
        <item x="24"/>
        <item x="25"/>
        <item x="27"/>
        <item x="0"/>
        <item x="1"/>
        <item x="2"/>
        <item x="3"/>
        <item x="4"/>
        <item x="7"/>
        <item x="32"/>
        <item x="8"/>
        <item x="5"/>
        <item x="26"/>
        <item x="11"/>
        <item x="33"/>
        <item x="29"/>
        <item x="31"/>
        <item x="9"/>
        <item x="10"/>
        <item x="21"/>
        <item x="12"/>
        <item x="6"/>
        <item x="28"/>
        <item x="37"/>
        <item x="40"/>
        <item x="51"/>
        <item x="39"/>
        <item x="47"/>
        <item x="48"/>
        <item x="50"/>
        <item x="49"/>
        <item x="44"/>
        <item x="45"/>
        <item x="41"/>
        <item x="34"/>
        <item x="35"/>
        <item x="36"/>
        <item x="38"/>
        <item x="42"/>
        <item x="46"/>
        <item x="43"/>
        <item t="default"/>
      </items>
    </pivotField>
    <pivotField compact="0" outline="0" showAll="0"/>
    <pivotField compact="0" outline="0" showAll="0"/>
    <pivotField axis="axisPage" compact="0" outline="0" showAll="0">
      <items count="4">
        <item x="0"/>
        <item h="1" x="1"/>
        <item h="1" m="1" x="2"/>
        <item t="default"/>
      </items>
    </pivotField>
    <pivotField axis="axisPage" compact="0" outline="0" multipleItemSelectionAllowed="1" showAll="0">
      <items count="17">
        <item m="1" x="15"/>
        <item x="6"/>
        <item x="7"/>
        <item x="11"/>
        <item x="2"/>
        <item x="8"/>
        <item x="5"/>
        <item h="1" x="1"/>
        <item x="12"/>
        <item x="13"/>
        <item h="1" x="0"/>
        <item x="3"/>
        <item x="4"/>
        <item x="9"/>
        <item x="10"/>
        <item h="1" x="14"/>
        <item t="default"/>
      </items>
    </pivotField>
    <pivotField compact="0" outline="0" showAll="0" defaultSubtotal="0"/>
    <pivotField axis="axisPage" compact="0" outline="0" showAll="0" defaultSubtotal="0">
      <items count="3">
        <item x="0"/>
        <item x="1"/>
        <item x="2"/>
      </items>
    </pivotField>
    <pivotField compact="0" outline="0" showAll="0"/>
    <pivotField dataField="1" compact="0" outline="0" showAll="0"/>
    <pivotField dataField="1" compact="0" outline="0" showAll="0"/>
    <pivotField axis="axisRow" compact="0" outline="0" showAll="0" sortType="ascending" defaultSubtotal="0">
      <items count="9">
        <item x="4"/>
        <item x="5"/>
        <item x="0"/>
        <item x="3"/>
        <item x="1"/>
        <item x="2"/>
        <item x="7"/>
        <item x="6"/>
        <item m="1" x="8"/>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compact="0" outline="0" showAll="0"/>
    <pivotField dataField="1" compact="0" outline="0" dragToRow="0" dragToCol="0" dragToPage="0" showAll="0" defaultSubtotal="0"/>
    <pivotField dataField="1" compact="0" outline="0" dragToRow="0" dragToCol="0" dragToPage="0" showAll="0" defaultSubtotal="0"/>
    <pivotField compact="0" outline="0" dragToRow="0" dragToCol="0" dragToPage="0" showAll="0" defaultSubtotal="0"/>
  </pivotFields>
  <rowFields count="2">
    <field x="12"/>
    <field x="2"/>
  </rowFields>
  <colFields count="1">
    <field x="-2"/>
  </colFields>
  <colItems count="4">
    <i>
      <x/>
    </i>
    <i i="1">
      <x v="1"/>
    </i>
    <i i="2">
      <x v="2"/>
    </i>
    <i i="3">
      <x v="3"/>
    </i>
  </colItems>
  <pageFields count="4">
    <pageField fld="5" item="0" hier="-1"/>
    <pageField fld="8" item="1" hier="-1"/>
    <pageField fld="6" hier="-1"/>
    <pageField fld="1" hier="-1"/>
  </pageFields>
  <dataFields count="4">
    <dataField name=" Suma Debe" fld="10" baseField="0" baseItem="0"/>
    <dataField name="Suma Haber" fld="11" baseField="0" baseItem="0"/>
    <dataField name=" Saldo Deudor" fld="25" baseField="0" baseItem="0"/>
    <dataField name=" Saldo Acreedor" fld="26" baseField="0" baseItem="0"/>
  </dataFields>
  <formats count="43">
    <format dxfId="869">
      <pivotArea outline="0" collapsedLevelsAreSubtotals="1" fieldPosition="0"/>
    </format>
    <format dxfId="870">
      <pivotArea dataOnly="0" labelOnly="1" outline="0" fieldPosition="0">
        <references count="1">
          <reference field="4294967294" count="2">
            <x v="0"/>
            <x v="1"/>
          </reference>
        </references>
      </pivotArea>
    </format>
    <format dxfId="871">
      <pivotArea field="12" type="button" dataOnly="0" labelOnly="1" outline="0" axis="axisRow" fieldPosition="0"/>
    </format>
    <format dxfId="872">
      <pivotArea field="2" type="button" dataOnly="0" labelOnly="1" outline="0" axis="axisRow" fieldPosition="1"/>
    </format>
    <format dxfId="873">
      <pivotArea dataOnly="0" labelOnly="1" outline="0" fieldPosition="0">
        <references count="1">
          <reference field="4294967294" count="4">
            <x v="0"/>
            <x v="1"/>
            <x v="2"/>
            <x v="3"/>
          </reference>
        </references>
      </pivotArea>
    </format>
    <format dxfId="874">
      <pivotArea field="12" type="button" dataOnly="0" labelOnly="1" outline="0" axis="axisRow" fieldPosition="0"/>
    </format>
    <format dxfId="875">
      <pivotArea field="2" type="button" dataOnly="0" labelOnly="1" outline="0" axis="axisRow" fieldPosition="1"/>
    </format>
    <format dxfId="876">
      <pivotArea dataOnly="0" labelOnly="1" outline="0" fieldPosition="0">
        <references count="1">
          <reference field="4294967294" count="4">
            <x v="0"/>
            <x v="1"/>
            <x v="2"/>
            <x v="3"/>
          </reference>
        </references>
      </pivotArea>
    </format>
    <format dxfId="877">
      <pivotArea field="12" type="button" dataOnly="0" labelOnly="1" outline="0" axis="axisRow" fieldPosition="0"/>
    </format>
    <format dxfId="878">
      <pivotArea field="2" type="button" dataOnly="0" labelOnly="1" outline="0" axis="axisRow" fieldPosition="1"/>
    </format>
    <format dxfId="879">
      <pivotArea dataOnly="0" labelOnly="1" outline="0" fieldPosition="0">
        <references count="1">
          <reference field="4294967294" count="4">
            <x v="0"/>
            <x v="1"/>
            <x v="2"/>
            <x v="3"/>
          </reference>
        </references>
      </pivotArea>
    </format>
    <format dxfId="880">
      <pivotArea field="6" type="button" dataOnly="0" labelOnly="1" outline="0" axis="axisPage" fieldPosition="2"/>
    </format>
    <format dxfId="881">
      <pivotArea field="5" dataOnly="0" grandRow="1" outline="0" axis="axisPage" fieldPosition="0">
        <references count="1">
          <reference field="5" count="0" selected="0"/>
        </references>
      </pivotArea>
    </format>
    <format dxfId="882">
      <pivotArea dataOnly="0" labelOnly="1" outline="0" fieldPosition="0">
        <references count="1">
          <reference field="4294967294" count="4">
            <x v="0"/>
            <x v="1"/>
            <x v="2"/>
            <x v="3"/>
          </reference>
        </references>
      </pivotArea>
    </format>
    <format dxfId="883">
      <pivotArea field="6" type="button" dataOnly="0" labelOnly="1" outline="0" axis="axisPage" fieldPosition="2"/>
    </format>
    <format dxfId="884">
      <pivotArea field="1" type="button" dataOnly="0" labelOnly="1" outline="0" axis="axisPage" fieldPosition="3"/>
    </format>
    <format dxfId="885">
      <pivotArea field="12" type="button" dataOnly="0" labelOnly="1" outline="0" axis="axisRow" fieldPosition="0"/>
    </format>
    <format dxfId="886">
      <pivotArea field="2" type="button" dataOnly="0" labelOnly="1" outline="0" axis="axisRow" fieldPosition="1"/>
    </format>
    <format dxfId="887">
      <pivotArea field="1" type="button" dataOnly="0" labelOnly="1" outline="0" axis="axisPage" fieldPosition="3"/>
    </format>
    <format dxfId="888">
      <pivotArea type="all" dataOnly="0" outline="0" fieldPosition="0"/>
    </format>
    <format dxfId="889">
      <pivotArea outline="0" collapsedLevelsAreSubtotals="1" fieldPosition="0"/>
    </format>
    <format dxfId="890">
      <pivotArea field="12" type="button" dataOnly="0" labelOnly="1" outline="0" axis="axisRow" fieldPosition="0"/>
    </format>
    <format dxfId="891">
      <pivotArea field="2" type="button" dataOnly="0" labelOnly="1" outline="0" axis="axisRow" fieldPosition="1"/>
    </format>
    <format dxfId="892">
      <pivotArea dataOnly="0" labelOnly="1" outline="0" fieldPosition="0">
        <references count="1">
          <reference field="12" count="7">
            <x v="1"/>
            <x v="2"/>
            <x v="3"/>
            <x v="4"/>
            <x v="5"/>
            <x v="6"/>
            <x v="7"/>
          </reference>
        </references>
      </pivotArea>
    </format>
    <format dxfId="893">
      <pivotArea dataOnly="0" labelOnly="1" outline="0" fieldPosition="0">
        <references count="2">
          <reference field="2" count="1">
            <x v="36"/>
          </reference>
          <reference field="12" count="1" selected="0">
            <x v="1"/>
          </reference>
        </references>
      </pivotArea>
    </format>
    <format dxfId="894">
      <pivotArea dataOnly="0" labelOnly="1" outline="0" fieldPosition="0">
        <references count="2">
          <reference field="2" count="1">
            <x v="50"/>
          </reference>
          <reference field="12" count="1" selected="0">
            <x v="2"/>
          </reference>
        </references>
      </pivotArea>
    </format>
    <format dxfId="895">
      <pivotArea dataOnly="0" labelOnly="1" outline="0" fieldPosition="0">
        <references count="2">
          <reference field="2" count="1">
            <x v="54"/>
          </reference>
          <reference field="12" count="1" selected="0">
            <x v="3"/>
          </reference>
        </references>
      </pivotArea>
    </format>
    <format dxfId="896">
      <pivotArea dataOnly="0" labelOnly="1" outline="0" fieldPosition="0">
        <references count="2">
          <reference field="2" count="2">
            <x v="69"/>
            <x v="78"/>
          </reference>
          <reference field="12" count="1" selected="0">
            <x v="6"/>
          </reference>
        </references>
      </pivotArea>
    </format>
    <format dxfId="897">
      <pivotArea dataOnly="0" labelOnly="1" outline="0" fieldPosition="0">
        <references count="2">
          <reference field="2" count="1">
            <x v="80"/>
          </reference>
          <reference field="12" count="1" selected="0">
            <x v="7"/>
          </reference>
        </references>
      </pivotArea>
    </format>
    <format dxfId="898">
      <pivotArea dataOnly="0" labelOnly="1" outline="0" fieldPosition="0">
        <references count="1">
          <reference field="4294967294" count="4">
            <x v="0"/>
            <x v="1"/>
            <x v="2"/>
            <x v="3"/>
          </reference>
        </references>
      </pivotArea>
    </format>
    <format dxfId="899">
      <pivotArea outline="0" fieldPosition="0">
        <references count="3">
          <reference field="4294967294" count="1" selected="0">
            <x v="3"/>
          </reference>
          <reference field="2" count="1" selected="0">
            <x v="36"/>
          </reference>
          <reference field="12" count="1" selected="0">
            <x v="1"/>
          </reference>
        </references>
      </pivotArea>
    </format>
    <format dxfId="900">
      <pivotArea outline="0" fieldPosition="0">
        <references count="3">
          <reference field="4294967294" count="1" selected="0">
            <x v="3"/>
          </reference>
          <reference field="2" count="1" selected="0">
            <x v="44"/>
          </reference>
          <reference field="12" count="1" selected="0">
            <x v="1"/>
          </reference>
        </references>
      </pivotArea>
    </format>
    <format dxfId="901">
      <pivotArea outline="0" fieldPosition="0">
        <references count="3">
          <reference field="4294967294" count="1" selected="0">
            <x v="3"/>
          </reference>
          <reference field="2" count="1" selected="0">
            <x v="55"/>
          </reference>
          <reference field="12" count="1" selected="0">
            <x v="4"/>
          </reference>
        </references>
      </pivotArea>
    </format>
    <format dxfId="902">
      <pivotArea outline="0" fieldPosition="0">
        <references count="3">
          <reference field="4294967294" count="1" selected="0">
            <x v="3"/>
          </reference>
          <reference field="2" count="2" selected="0">
            <x v="36"/>
            <x v="44"/>
          </reference>
          <reference field="12" count="1" selected="0">
            <x v="1"/>
          </reference>
        </references>
      </pivotArea>
    </format>
    <format dxfId="903">
      <pivotArea outline="0" fieldPosition="0">
        <references count="3">
          <reference field="4294967294" count="1" selected="0">
            <x v="3"/>
          </reference>
          <reference field="2" count="2" selected="0">
            <x v="55"/>
            <x v="56"/>
          </reference>
          <reference field="12" count="1" selected="0">
            <x v="4"/>
          </reference>
        </references>
      </pivotArea>
    </format>
    <format dxfId="904">
      <pivotArea field="12" type="button" dataOnly="0" labelOnly="1" outline="0" axis="axisRow" fieldPosition="0"/>
    </format>
    <format dxfId="905">
      <pivotArea field="2" type="button" dataOnly="0" labelOnly="1" outline="0" axis="axisRow" fieldPosition="1"/>
    </format>
    <format dxfId="906">
      <pivotArea dataOnly="0" labelOnly="1" outline="0" fieldPosition="0">
        <references count="1">
          <reference field="4294967294" count="4">
            <x v="0"/>
            <x v="1"/>
            <x v="2"/>
            <x v="3"/>
          </reference>
        </references>
      </pivotArea>
    </format>
    <format dxfId="907">
      <pivotArea field="12" type="button" dataOnly="0" labelOnly="1" outline="0" axis="axisRow" fieldPosition="0"/>
    </format>
    <format dxfId="908">
      <pivotArea field="2" type="button" dataOnly="0" labelOnly="1" outline="0" axis="axisRow" fieldPosition="1"/>
    </format>
    <format dxfId="909">
      <pivotArea dataOnly="0" labelOnly="1" outline="0" fieldPosition="0">
        <references count="1">
          <reference field="4294967294" count="4">
            <x v="0"/>
            <x v="1"/>
            <x v="2"/>
            <x v="3"/>
          </reference>
        </references>
      </pivotArea>
    </format>
    <format dxfId="910">
      <pivotArea field="12" type="button" dataOnly="0" labelOnly="1" outline="0" axis="axisRow" fieldPosition="0"/>
    </format>
    <format dxfId="911">
      <pivotArea field="2" type="button" dataOnly="0" labelOnly="1" outline="0" axis="axisRow" fieldPosition="1"/>
    </format>
  </formats>
  <conditionalFormats count="1">
    <conditionalFormat priority="1">
      <pivotAreas count="1">
        <pivotArea type="data" outline="0" collapsedLevelsAreSubtotals="1" fieldPosition="0"/>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TablaDinámica2" cacheId="31" applyNumberFormats="0" applyBorderFormats="0" applyFontFormats="0" applyPatternFormats="0" applyAlignmentFormats="0" applyWidthHeightFormats="1" dataCaption="Valores" updatedVersion="8" minRefreshableVersion="3" itemPrintTitles="1" createdVersion="8" indent="0" compact="0" compactData="0" multipleFieldFilters="0">
  <location ref="A13:G14" firstHeaderRow="0" firstDataRow="1" firstDataCol="4" rowPageCount="2" colPageCount="1"/>
  <pivotFields count="28">
    <pivotField axis="axisRow" compact="0" outline="0" showAll="0" defaultSubtotal="0">
      <items count="83">
        <item x="0"/>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2"/>
        <item x="1"/>
        <item x="2"/>
        <item x="3"/>
        <item x="4"/>
        <item x="5"/>
        <item x="6"/>
        <item x="7"/>
        <item x="8"/>
        <item x="9"/>
        <item x="10"/>
        <item x="11"/>
        <item x="12"/>
        <item x="13"/>
        <item x="14"/>
        <item x="15"/>
        <item x="81"/>
      </items>
    </pivotField>
    <pivotField axis="axisRow" compact="0" outline="0"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axis="axisRow" compact="0" outline="0" showAll="0">
      <items count="88">
        <item sd="0" x="13"/>
        <item x="0"/>
        <item x="1"/>
        <item x="2"/>
        <item x="3"/>
        <item x="6"/>
        <item x="7"/>
        <item x="11"/>
        <item x="14"/>
        <item x="16"/>
        <item x="18"/>
        <item x="33"/>
        <item x="34"/>
        <item x="37"/>
        <item x="39"/>
        <item x="41"/>
        <item x="45"/>
        <item x="15"/>
        <item x="17"/>
        <item x="19"/>
        <item x="21"/>
        <item x="23"/>
        <item x="24"/>
        <item x="25"/>
        <item x="26"/>
        <item x="27"/>
        <item x="28"/>
        <item x="29"/>
        <item x="31"/>
        <item x="35"/>
        <item x="36"/>
        <item x="38"/>
        <item x="40"/>
        <item x="42"/>
        <item x="44"/>
        <item x="46"/>
        <item x="47"/>
        <item x="49"/>
        <item m="1" x="86"/>
        <item m="1" x="54"/>
        <item m="1" x="78"/>
        <item m="1" x="56"/>
        <item m="1" x="72"/>
        <item m="1" x="71"/>
        <item m="1" x="82"/>
        <item m="1" x="61"/>
        <item m="1" x="76"/>
        <item m="1" x="53"/>
        <item m="1" x="81"/>
        <item m="1" x="84"/>
        <item m="1" x="62"/>
        <item m="1" x="73"/>
        <item m="1" x="66"/>
        <item m="1" x="59"/>
        <item m="1" x="64"/>
        <item m="1" x="57"/>
        <item m="1" x="74"/>
        <item m="1" x="79"/>
        <item m="1" x="75"/>
        <item m="1" x="69"/>
        <item m="1" x="68"/>
        <item m="1" x="77"/>
        <item m="1" x="55"/>
        <item m="1" x="65"/>
        <item m="1" x="80"/>
        <item m="1" x="52"/>
        <item m="1" x="63"/>
        <item m="1" x="67"/>
        <item m="1" x="85"/>
        <item m="1" x="70"/>
        <item m="1" x="60"/>
        <item m="1" x="83"/>
        <item m="1" x="58"/>
        <item x="20"/>
        <item x="4"/>
        <item x="5"/>
        <item x="8"/>
        <item x="9"/>
        <item x="10"/>
        <item x="12"/>
        <item x="22"/>
        <item x="30"/>
        <item x="32"/>
        <item x="43"/>
        <item x="48"/>
        <item x="50"/>
        <item x="51"/>
        <item t="default" sd="0"/>
      </items>
    </pivotField>
    <pivotField compact="0" outline="0" showAll="0"/>
    <pivotField compact="0" outline="0" showAll="0"/>
    <pivotField axis="axisPage" compact="0" outline="0" showAll="0">
      <items count="4">
        <item x="0"/>
        <item h="1" x="1"/>
        <item h="1" m="1" x="2"/>
        <item t="default"/>
      </items>
    </pivotField>
    <pivotField axis="axisRow" compact="0" outline="0" multipleItemSelectionAllowed="1" showAll="0">
      <items count="17">
        <item m="1" x="15"/>
        <item x="6"/>
        <item x="7"/>
        <item x="11"/>
        <item x="2"/>
        <item x="8"/>
        <item x="5"/>
        <item x="1"/>
        <item x="12"/>
        <item x="13"/>
        <item x="0"/>
        <item x="3"/>
        <item x="4"/>
        <item x="9"/>
        <item x="10"/>
        <item x="14"/>
        <item t="default"/>
      </items>
    </pivotField>
    <pivotField compact="0" outline="0" showAll="0" defaultSubtotal="0"/>
    <pivotField axis="axisPage" compact="0" outline="0" showAll="0" defaultSubtotal="0">
      <items count="3">
        <item x="0"/>
        <item x="1"/>
        <item x="2"/>
      </items>
    </pivotField>
    <pivotField dataField="1"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items count="44">
        <item x="15"/>
        <item x="13"/>
        <item m="1" x="41"/>
        <item x="19"/>
        <item x="20"/>
        <item x="21"/>
        <item x="0"/>
        <item x="2"/>
        <item x="3"/>
        <item x="4"/>
        <item x="23"/>
        <item x="24"/>
        <item x="8"/>
        <item m="1" x="42"/>
        <item x="5"/>
        <item x="32"/>
        <item x="38"/>
        <item x="35"/>
        <item x="27"/>
        <item x="28"/>
        <item x="30"/>
        <item x="37"/>
        <item m="1" x="40"/>
        <item x="11"/>
        <item x="12"/>
        <item x="14"/>
        <item x="16"/>
        <item x="1"/>
        <item x="6"/>
        <item x="25"/>
        <item x="7"/>
        <item x="9"/>
        <item x="17"/>
        <item x="10"/>
        <item x="22"/>
        <item x="29"/>
        <item x="39"/>
        <item x="31"/>
        <item x="36"/>
        <item x="33"/>
        <item x="26"/>
        <item x="34"/>
        <item x="18"/>
        <item t="default"/>
      </items>
    </pivotField>
    <pivotField compact="0" outline="0" showAll="0"/>
    <pivotField compact="0" outline="0" showAll="0" defaultSubtotal="0">
      <items count="9">
        <item x="4"/>
        <item x="0"/>
        <item x="3"/>
        <item x="1"/>
        <item x="2"/>
        <item x="7"/>
        <item x="6"/>
        <item x="5"/>
        <item m="1" x="8"/>
      </items>
    </pivotField>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4">
    <field x="2"/>
    <field x="0"/>
    <field x="1"/>
    <field x="6"/>
  </rowFields>
  <rowItems count="1">
    <i t="grand">
      <x/>
    </i>
  </rowItems>
  <colFields count="1">
    <field x="-2"/>
  </colFields>
  <colItems count="3">
    <i>
      <x/>
    </i>
    <i i="1">
      <x v="1"/>
    </i>
    <i i="2">
      <x v="2"/>
    </i>
  </colItems>
  <pageFields count="2">
    <pageField fld="5" item="0" hier="-1"/>
    <pageField fld="8" item="1" hier="-1"/>
  </pageFields>
  <dataFields count="3">
    <dataField name="Suma Debe" fld="10" baseField="0" baseItem="0"/>
    <dataField name="Suma Haber" fld="11" baseField="0" baseItem="0"/>
    <dataField name="Saldo " fld="9" baseField="0" baseItem="0"/>
  </dataFields>
  <formats count="16">
    <format dxfId="853">
      <pivotArea outline="0" collapsedLevelsAreSubtotals="1" fieldPosition="0"/>
    </format>
    <format dxfId="854">
      <pivotArea dataOnly="0" labelOnly="1" outline="0" fieldPosition="0">
        <references count="1">
          <reference field="4294967294" count="2">
            <x v="0"/>
            <x v="1"/>
          </reference>
        </references>
      </pivotArea>
    </format>
    <format dxfId="855">
      <pivotArea dataOnly="0" labelOnly="1" outline="0" fieldPosition="0">
        <references count="1">
          <reference field="4294967294" count="2">
            <x v="0"/>
            <x v="1"/>
          </reference>
        </references>
      </pivotArea>
    </format>
    <format dxfId="856">
      <pivotArea dataOnly="0" outline="0" fieldPosition="0">
        <references count="2">
          <reference field="0" count="0" defaultSubtotal="1"/>
          <reference field="5" count="0" selected="0"/>
        </references>
      </pivotArea>
    </format>
    <format dxfId="857">
      <pivotArea field="0" type="button" dataOnly="0" labelOnly="1" outline="0" axis="axisRow" fieldPosition="1"/>
    </format>
    <format dxfId="858">
      <pivotArea field="1" type="button" dataOnly="0" labelOnly="1" outline="0" axis="axisRow" fieldPosition="2"/>
    </format>
    <format dxfId="859">
      <pivotArea field="2" type="button" dataOnly="0" labelOnly="1" outline="0" axis="axisRow" fieldPosition="0"/>
    </format>
    <format dxfId="860">
      <pivotArea dataOnly="0" labelOnly="1" outline="0" fieldPosition="0">
        <references count="1">
          <reference field="4294967294" count="2">
            <x v="0"/>
            <x v="1"/>
          </reference>
        </references>
      </pivotArea>
    </format>
    <format dxfId="861">
      <pivotArea field="6" type="button" dataOnly="0" labelOnly="1" outline="0" axis="axisRow" fieldPosition="3"/>
    </format>
    <format dxfId="862">
      <pivotArea dataOnly="0" outline="0" fieldPosition="0">
        <references count="2">
          <reference field="2" count="0" defaultSubtotal="1"/>
          <reference field="5" count="0" selected="0"/>
        </references>
      </pivotArea>
    </format>
    <format dxfId="863">
      <pivotArea field="6" type="button" dataOnly="0" labelOnly="1" outline="0" axis="axisRow" fieldPosition="3"/>
    </format>
    <format dxfId="864">
      <pivotArea field="6" type="button" dataOnly="0" labelOnly="1" outline="0" axis="axisRow" fieldPosition="3"/>
    </format>
    <format dxfId="865">
      <pivotArea field="5" dataOnly="0" grandRow="1" outline="0" axis="axisPage" fieldPosition="0">
        <references count="1">
          <reference field="5" count="0" selected="0"/>
        </references>
      </pivotArea>
    </format>
    <format dxfId="866">
      <pivotArea dataOnly="0" labelOnly="1" outline="0" fieldPosition="0">
        <references count="1">
          <reference field="4294967294" count="1">
            <x v="2"/>
          </reference>
        </references>
      </pivotArea>
    </format>
    <format dxfId="867">
      <pivotArea dataOnly="0" labelOnly="1" outline="0" fieldPosition="0">
        <references count="1">
          <reference field="4294967294" count="1">
            <x v="2"/>
          </reference>
        </references>
      </pivotArea>
    </format>
    <format dxfId="868">
      <pivotArea dataOnly="0" labelOnly="1" outline="0" fieldPosition="0">
        <references count="1">
          <reference field="4294967294" count="1">
            <x v="2"/>
          </reference>
        </references>
      </pivotArea>
    </format>
  </formats>
  <conditionalFormats count="1">
    <conditionalFormat priority="1">
      <pivotAreas count="1">
        <pivotArea type="data" outline="0" collapsedLevelsAreSubtotals="1" fieldPosition="0">
          <references count="1">
            <reference field="4294967294" count="1" selected="0">
              <x v="2"/>
            </reference>
          </references>
        </pivotArea>
      </pivotAreas>
    </conditionalFormat>
  </conditionalFormats>
  <pivotTableStyleInfo name="PivotStyleLight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PivotTable1" cacheId="31" applyNumberFormats="0" applyBorderFormats="0" applyFontFormats="0" applyPatternFormats="0" applyAlignmentFormats="0" applyWidthHeightFormats="1" dataCaption="Valores" grandTotalCaption="D) RESULTADO DEL EJERCICIO (C+C1)" updatedVersion="8" minRefreshableVersion="3" rowGrandTotals="0" itemPrintTitles="1" createdVersion="8" indent="0" outline="1" outlineData="1" multipleFieldFilters="0" rowHeaderCaption="">
  <location ref="C45:D48" firstHeaderRow="1" firstDataRow="1" firstDataCol="1" rowPageCount="2" colPageCount="1"/>
  <pivotFields count="28">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axis="axisPage" showAll="0" insertBlankRow="1">
      <items count="4">
        <item x="0"/>
        <item h="1" x="1"/>
        <item h="1" m="1" x="2"/>
        <item t="default"/>
      </items>
      <extLst>
        <ext xmlns:x14="http://schemas.microsoft.com/office/spreadsheetml/2009/9/main" uri="{2946ED86-A175-432a-8AC1-64E0C546D7DE}">
          <x14:pivotField fillDownLabels="1"/>
        </ext>
      </extLst>
    </pivotField>
    <pivotField axis="axisPage" multipleItemSelectionAllowed="1" showAll="0" insertBlankRow="1">
      <items count="17">
        <item x="1"/>
        <item m="1" x="15"/>
        <item x="6"/>
        <item x="7"/>
        <item h="1" x="11"/>
        <item x="2"/>
        <item x="8"/>
        <item x="5"/>
        <item x="12"/>
        <item h="1" x="13"/>
        <item x="0"/>
        <item h="1" x="3"/>
        <item h="1" x="4"/>
        <item h="1" x="9"/>
        <item h="1" x="10"/>
        <item h="1" x="14"/>
        <item t="default"/>
      </items>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axis="axisRow" showAll="0" insertBlankRow="1">
      <items count="6">
        <item h="1" x="0"/>
        <item h="1" x="1"/>
        <item h="1" x="2"/>
        <item n="C) IMPUESTOS SOBRE BENEFICIOS" x="3"/>
        <item h="1" m="1" x="4"/>
        <item t="default"/>
      </items>
      <extLst>
        <ext xmlns:x14="http://schemas.microsoft.com/office/spreadsheetml/2009/9/main" uri="{2946ED86-A175-432a-8AC1-64E0C546D7DE}">
          <x14:pivotField fillDownLabels="1"/>
        </ext>
      </extLst>
    </pivotField>
    <pivotField axis="axisRow" showAll="0" insertBlankRow="1">
      <items count="21">
        <item x="0"/>
        <item x="1"/>
        <item x="2"/>
        <item x="4"/>
        <item x="5"/>
        <item x="6"/>
        <item x="7"/>
        <item x="8"/>
        <item x="11"/>
        <item x="12"/>
        <item x="13"/>
        <item x="14"/>
        <item x="18"/>
        <item x="3"/>
        <item x="9"/>
        <item x="15"/>
        <item x="16"/>
        <item x="17"/>
        <item m="1" x="19"/>
        <item x="10"/>
        <item t="default"/>
      </items>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 dragToRow="0" dragToCol="0" dragToPage="0" showAll="0" defaultSubtotal="0">
      <extLst>
        <ext xmlns:x14="http://schemas.microsoft.com/office/spreadsheetml/2009/9/main" uri="{2946ED86-A175-432a-8AC1-64E0C546D7DE}">
          <x14:pivotField fillDownLabels="1"/>
        </ext>
      </extLst>
    </pivotField>
    <pivotField dragToRow="0" dragToCol="0" dragToPage="0" showAll="0" defaultSubtotal="0">
      <extLst>
        <ext xmlns:x14="http://schemas.microsoft.com/office/spreadsheetml/2009/9/main" uri="{2946ED86-A175-432a-8AC1-64E0C546D7DE}">
          <x14:pivotField fillDownLabels="1"/>
        </ext>
      </extLst>
    </pivotField>
    <pivotField dataField="1" dragToRow="0" dragToCol="0" dragToPage="0" showAll="0" defaultSubtotal="0">
      <extLst>
        <ext xmlns:x14="http://schemas.microsoft.com/office/spreadsheetml/2009/9/main" uri="{2946ED86-A175-432a-8AC1-64E0C546D7DE}">
          <x14:pivotField fillDownLabels="1"/>
        </ext>
      </extLst>
    </pivotField>
  </pivotFields>
  <rowFields count="2">
    <field x="18"/>
    <field x="19"/>
  </rowFields>
  <rowItems count="3">
    <i>
      <x v="3"/>
    </i>
    <i r="1">
      <x v="12"/>
    </i>
    <i t="blank">
      <x v="3"/>
    </i>
  </rowItems>
  <colItems count="1">
    <i/>
  </colItems>
  <pageFields count="2">
    <pageField fld="5" item="0" hier="-1"/>
    <pageField fld="6" hier="-1"/>
  </pageFields>
  <dataFields count="1">
    <dataField name=" Importe" fld="27" baseField="0" baseItem="0" numFmtId="4"/>
  </dataFields>
  <formats count="12">
    <format dxfId="841">
      <pivotArea outline="0" collapsedLevelsAreSubtotals="1" fieldPosition="0"/>
    </format>
    <format dxfId="842">
      <pivotArea dataOnly="0" labelOnly="1" outline="0" axis="axisValues" fieldPosition="0"/>
    </format>
    <format dxfId="843">
      <pivotArea dataOnly="0" labelOnly="1" outline="0" axis="axisValues" fieldPosition="0"/>
    </format>
    <format dxfId="844">
      <pivotArea type="all" dataOnly="0" outline="0" fieldPosition="0"/>
    </format>
    <format dxfId="845">
      <pivotArea outline="0" collapsedLevelsAreSubtotals="1" fieldPosition="0"/>
    </format>
    <format dxfId="846">
      <pivotArea field="18" type="button" dataOnly="0" labelOnly="1" outline="0" axis="axisRow" fieldPosition="0"/>
    </format>
    <format dxfId="847">
      <pivotArea dataOnly="0" labelOnly="1" outline="0" axis="axisValues" fieldPosition="0"/>
    </format>
    <format dxfId="848">
      <pivotArea dataOnly="0" labelOnly="1" fieldPosition="0">
        <references count="1">
          <reference field="18" count="0"/>
        </references>
      </pivotArea>
    </format>
    <format dxfId="849">
      <pivotArea dataOnly="0" labelOnly="1" fieldPosition="0">
        <references count="2">
          <reference field="18" count="0" selected="0"/>
          <reference field="19" count="1">
            <x v="12"/>
          </reference>
        </references>
      </pivotArea>
    </format>
    <format dxfId="850">
      <pivotArea dataOnly="0" labelOnly="1" outline="0" axis="axisValues" fieldPosition="0"/>
    </format>
    <format dxfId="851">
      <pivotArea collapsedLevelsAreSubtotals="1" fieldPosition="0">
        <references count="1">
          <reference field="18" count="0"/>
        </references>
      </pivotArea>
    </format>
    <format dxfId="852">
      <pivotArea dataOnly="0" labelOnly="1" fieldPosition="0">
        <references count="1">
          <reference field="18" count="0"/>
        </references>
      </pivotArea>
    </format>
  </format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C00-000001000000}" name="PyG_Rdo_Explotación" cacheId="31" applyNumberFormats="0" applyBorderFormats="0" applyFontFormats="0" applyPatternFormats="0" applyAlignmentFormats="0" applyWidthHeightFormats="1" dataCaption="Valores" grandTotalCaption="D) RESULTADO DEL EJERCICIO (C+C1)" updatedVersion="8" minRefreshableVersion="3" showDrill="0" rowGrandTotals="0" itemPrintTitles="1" createdVersion="8" indent="0" outline="1" outlineData="1" multipleFieldFilters="0" rowHeaderCaption="">
  <location ref="C17:D38" firstHeaderRow="1" firstDataRow="1" firstDataCol="1" rowPageCount="2" colPageCount="1"/>
  <pivotFields count="28">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axis="axisPage" showAll="0" insertBlankRow="1">
      <items count="4">
        <item x="0"/>
        <item h="1" x="1"/>
        <item h="1" m="1" x="2"/>
        <item t="default"/>
      </items>
      <extLst>
        <ext xmlns:x14="http://schemas.microsoft.com/office/spreadsheetml/2009/9/main" uri="{2946ED86-A175-432a-8AC1-64E0C546D7DE}">
          <x14:pivotField fillDownLabels="1"/>
        </ext>
      </extLst>
    </pivotField>
    <pivotField axis="axisPage" multipleItemSelectionAllowed="1" showAll="0" insertBlankRow="1">
      <items count="17">
        <item x="1"/>
        <item m="1" x="15"/>
        <item x="6"/>
        <item x="7"/>
        <item h="1" x="11"/>
        <item x="2"/>
        <item x="8"/>
        <item x="5"/>
        <item x="12"/>
        <item h="1" x="13"/>
        <item x="0"/>
        <item x="3"/>
        <item x="4"/>
        <item x="9"/>
        <item x="10"/>
        <item h="1" x="14"/>
        <item t="default"/>
      </items>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axis="axisRow" showAll="0" insertBlankRow="1" sortType="ascending">
      <items count="6">
        <item h="1" x="0"/>
        <item n="A) RESULTADO DE EXPLOTACIÓN (Suma del 1 al 12)" x="1"/>
        <item n="B) RESULTADO FINANCIERO (Suma del 13 al 17)" x="2"/>
        <item h="1" x="3"/>
        <item h="1" m="1" x="4"/>
        <item t="default"/>
      </items>
      <extLst>
        <ext xmlns:x14="http://schemas.microsoft.com/office/spreadsheetml/2009/9/main" uri="{2946ED86-A175-432a-8AC1-64E0C546D7DE}">
          <x14:pivotField fillDownLabels="1"/>
        </ext>
      </extLst>
    </pivotField>
    <pivotField axis="axisRow" subtotalTop="0" showAll="0" insertBlankRow="1">
      <items count="21">
        <item x="0"/>
        <item x="1"/>
        <item x="2"/>
        <item x="3"/>
        <item x="4"/>
        <item x="5"/>
        <item x="6"/>
        <item x="7"/>
        <item x="8"/>
        <item x="13"/>
        <item x="14"/>
        <item x="18"/>
        <item x="9"/>
        <item x="10"/>
        <item x="11"/>
        <item x="12"/>
        <item x="15"/>
        <item x="16"/>
        <item x="17"/>
        <item m="1" x="19"/>
        <item t="default"/>
      </items>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insertBlankRow="1">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 dragToRow="0" dragToCol="0" dragToPage="0" showAll="0" defaultSubtotal="0">
      <extLst>
        <ext xmlns:x14="http://schemas.microsoft.com/office/spreadsheetml/2009/9/main" uri="{2946ED86-A175-432a-8AC1-64E0C546D7DE}">
          <x14:pivotField fillDownLabels="1"/>
        </ext>
      </extLst>
    </pivotField>
    <pivotField dragToRow="0" dragToCol="0" dragToPage="0" showAll="0" defaultSubtotal="0">
      <extLst>
        <ext xmlns:x14="http://schemas.microsoft.com/office/spreadsheetml/2009/9/main" uri="{2946ED86-A175-432a-8AC1-64E0C546D7DE}">
          <x14:pivotField fillDownLabels="1"/>
        </ext>
      </extLst>
    </pivotField>
    <pivotField dataField="1" dragToRow="0" dragToCol="0" dragToPage="0" showAll="0" defaultSubtotal="0">
      <extLst>
        <ext xmlns:x14="http://schemas.microsoft.com/office/spreadsheetml/2009/9/main" uri="{2946ED86-A175-432a-8AC1-64E0C546D7DE}">
          <x14:pivotField fillDownLabels="1"/>
        </ext>
      </extLst>
    </pivotField>
  </pivotFields>
  <rowFields count="2">
    <field x="18"/>
    <field x="19"/>
  </rowFields>
  <rowItems count="21">
    <i>
      <x v="1"/>
    </i>
    <i r="1">
      <x v="1"/>
    </i>
    <i r="1">
      <x v="2"/>
    </i>
    <i r="1">
      <x v="3"/>
    </i>
    <i r="1">
      <x v="4"/>
    </i>
    <i r="1">
      <x v="5"/>
    </i>
    <i r="1">
      <x v="6"/>
    </i>
    <i r="1">
      <x v="7"/>
    </i>
    <i r="1">
      <x v="8"/>
    </i>
    <i r="1">
      <x v="12"/>
    </i>
    <i r="1">
      <x v="13"/>
    </i>
    <i r="1">
      <x v="14"/>
    </i>
    <i r="1">
      <x v="15"/>
    </i>
    <i t="blank">
      <x v="1"/>
    </i>
    <i>
      <x v="2"/>
    </i>
    <i r="1">
      <x v="9"/>
    </i>
    <i r="1">
      <x v="10"/>
    </i>
    <i r="1">
      <x v="16"/>
    </i>
    <i r="1">
      <x v="17"/>
    </i>
    <i r="1">
      <x v="18"/>
    </i>
    <i t="blank">
      <x v="2"/>
    </i>
  </rowItems>
  <colItems count="1">
    <i/>
  </colItems>
  <pageFields count="2">
    <pageField fld="5" item="0" hier="-1"/>
    <pageField fld="6" hier="-1"/>
  </pageFields>
  <dataFields count="1">
    <dataField name=" Importe" fld="27" baseField="0" baseItem="0" numFmtId="4"/>
  </dataFields>
  <formats count="23">
    <format dxfId="818">
      <pivotArea outline="0" collapsedLevelsAreSubtotals="1" fieldPosition="0"/>
    </format>
    <format dxfId="819">
      <pivotArea dataOnly="0" labelOnly="1" outline="0" axis="axisValues" fieldPosition="0"/>
    </format>
    <format dxfId="820">
      <pivotArea dataOnly="0" labelOnly="1" outline="0" axis="axisValues" fieldPosition="0"/>
    </format>
    <format dxfId="821">
      <pivotArea collapsedLevelsAreSubtotals="1" fieldPosition="0">
        <references count="1">
          <reference field="18" count="1">
            <x v="1"/>
          </reference>
        </references>
      </pivotArea>
    </format>
    <format dxfId="822">
      <pivotArea dataOnly="0" labelOnly="1" fieldPosition="0">
        <references count="1">
          <reference field="18" count="1">
            <x v="1"/>
          </reference>
        </references>
      </pivotArea>
    </format>
    <format dxfId="823">
      <pivotArea collapsedLevelsAreSubtotals="1" fieldPosition="0">
        <references count="1">
          <reference field="18" count="1">
            <x v="2"/>
          </reference>
        </references>
      </pivotArea>
    </format>
    <format dxfId="824">
      <pivotArea dataOnly="0" labelOnly="1" fieldPosition="0">
        <references count="1">
          <reference field="18" count="1">
            <x v="2"/>
          </reference>
        </references>
      </pivotArea>
    </format>
    <format dxfId="825">
      <pivotArea type="all" dataOnly="0" outline="0" fieldPosition="0"/>
    </format>
    <format dxfId="826">
      <pivotArea outline="0" collapsedLevelsAreSubtotals="1" fieldPosition="0"/>
    </format>
    <format dxfId="827">
      <pivotArea field="18" type="button" dataOnly="0" labelOnly="1" outline="0" axis="axisRow" fieldPosition="0"/>
    </format>
    <format dxfId="828">
      <pivotArea dataOnly="0" labelOnly="1" outline="0" axis="axisValues" fieldPosition="0"/>
    </format>
    <format dxfId="829">
      <pivotArea dataOnly="0" labelOnly="1" fieldPosition="0">
        <references count="1">
          <reference field="18" count="0"/>
        </references>
      </pivotArea>
    </format>
    <format dxfId="830">
      <pivotArea dataOnly="0" labelOnly="1" fieldPosition="0">
        <references count="2">
          <reference field="18" count="1" selected="0">
            <x v="1"/>
          </reference>
          <reference field="19" count="9">
            <x v="1"/>
            <x v="2"/>
            <x v="4"/>
            <x v="5"/>
            <x v="6"/>
            <x v="7"/>
            <x v="8"/>
            <x v="14"/>
            <x v="15"/>
          </reference>
        </references>
      </pivotArea>
    </format>
    <format dxfId="831">
      <pivotArea dataOnly="0" labelOnly="1" fieldPosition="0">
        <references count="2">
          <reference field="18" count="1" selected="0">
            <x v="2"/>
          </reference>
          <reference field="19" count="2">
            <x v="9"/>
            <x v="10"/>
          </reference>
        </references>
      </pivotArea>
    </format>
    <format dxfId="832">
      <pivotArea dataOnly="0" labelOnly="1" outline="0" axis="axisValues" fieldPosition="0"/>
    </format>
    <format dxfId="833">
      <pivotArea collapsedLevelsAreSubtotals="1" fieldPosition="0">
        <references count="1">
          <reference field="18" count="1">
            <x v="1"/>
          </reference>
        </references>
      </pivotArea>
    </format>
    <format dxfId="834">
      <pivotArea dataOnly="0" labelOnly="1" fieldPosition="0">
        <references count="1">
          <reference field="18" count="1">
            <x v="1"/>
          </reference>
        </references>
      </pivotArea>
    </format>
    <format dxfId="835">
      <pivotArea collapsedLevelsAreSubtotals="1" fieldPosition="0">
        <references count="1">
          <reference field="18" count="1">
            <x v="2"/>
          </reference>
        </references>
      </pivotArea>
    </format>
    <format dxfId="836">
      <pivotArea dataOnly="0" labelOnly="1" fieldPosition="0">
        <references count="1">
          <reference field="18" count="1">
            <x v="2"/>
          </reference>
        </references>
      </pivotArea>
    </format>
    <format dxfId="837">
      <pivotArea collapsedLevelsAreSubtotals="1" fieldPosition="0">
        <references count="1">
          <reference field="18" count="1">
            <x v="1"/>
          </reference>
        </references>
      </pivotArea>
    </format>
    <format dxfId="838">
      <pivotArea dataOnly="0" labelOnly="1" fieldPosition="0">
        <references count="1">
          <reference field="18" count="1">
            <x v="1"/>
          </reference>
        </references>
      </pivotArea>
    </format>
    <format dxfId="839">
      <pivotArea collapsedLevelsAreSubtotals="1" fieldPosition="0">
        <references count="1">
          <reference field="18" count="1">
            <x v="2"/>
          </reference>
        </references>
      </pivotArea>
    </format>
    <format dxfId="840">
      <pivotArea dataOnly="0" labelOnly="1" fieldPosition="0">
        <references count="1">
          <reference field="18" count="1">
            <x v="2"/>
          </reference>
        </references>
      </pivotArea>
    </format>
  </format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BS_Activo" cacheId="31" applyNumberFormats="0" applyBorderFormats="0" applyFontFormats="0" applyPatternFormats="0" applyAlignmentFormats="0" applyWidthHeightFormats="1" dataCaption="Valores" updatedVersion="8" minRefreshableVersion="3" showDrill="0" rowGrandTotals="0" itemPrintTitles="1" createdVersion="8" indent="0" outline="1" outlineData="1" multipleFieldFilters="0" rowHeaderCaption=" ">
  <location ref="B18:C32" firstHeaderRow="1" firstDataRow="1" firstDataCol="1" rowPageCount="3" colPageCount="1"/>
  <pivotFields count="28">
    <pivotField showAll="0"/>
    <pivotField showAll="0"/>
    <pivotField showAll="0"/>
    <pivotField showAll="0"/>
    <pivotField showAll="0"/>
    <pivotField axis="axisPage" showAll="0">
      <items count="4">
        <item x="0"/>
        <item h="1" x="1"/>
        <item h="1" m="1" x="2"/>
        <item t="default"/>
      </items>
    </pivotField>
    <pivotField axis="axisPage" multipleItemSelectionAllowed="1" showAll="0">
      <items count="17">
        <item h="1" x="1"/>
        <item m="1" x="15"/>
        <item x="6"/>
        <item x="7"/>
        <item x="11"/>
        <item x="2"/>
        <item x="8"/>
        <item x="5"/>
        <item x="12"/>
        <item h="1" x="13"/>
        <item x="0"/>
        <item x="3"/>
        <item x="4"/>
        <item x="9"/>
        <item x="10"/>
        <item h="1" x="14"/>
        <item t="default"/>
      </items>
    </pivotField>
    <pivotField showAll="0" defaultSubtotal="0"/>
    <pivotField showAll="0" defaultSubtotal="0"/>
    <pivotField dataField="1" numFmtId="4" showAll="0"/>
    <pivotField showAll="0"/>
    <pivotField showAll="0"/>
    <pivotField showAll="0"/>
    <pivotField axis="axisRow" showAll="0">
      <items count="6">
        <item x="1"/>
        <item x="2"/>
        <item x="0"/>
        <item m="1" x="4"/>
        <item m="1" x="3"/>
        <item t="default"/>
      </items>
    </pivotField>
    <pivotField axis="axisRow" showAll="0">
      <items count="8">
        <item x="2"/>
        <item x="5"/>
        <item x="0"/>
        <item x="1"/>
        <item x="3"/>
        <item x="4"/>
        <item m="1" x="6"/>
        <item t="default"/>
      </items>
    </pivotField>
    <pivotField axis="axisRow" showAll="0">
      <items count="36">
        <item x="11"/>
        <item x="30"/>
        <item x="0"/>
        <item x="1"/>
        <item x="2"/>
        <item x="3"/>
        <item m="1" x="33"/>
        <item x="4"/>
        <item x="5"/>
        <item x="6"/>
        <item x="7"/>
        <item x="8"/>
        <item m="1" x="34"/>
        <item x="9"/>
        <item x="10"/>
        <item x="12"/>
        <item x="14"/>
        <item x="16"/>
        <item x="18"/>
        <item x="31"/>
        <item x="22"/>
        <item x="28"/>
        <item x="27"/>
        <item x="13"/>
        <item x="15"/>
        <item x="17"/>
        <item x="19"/>
        <item x="20"/>
        <item x="21"/>
        <item x="23"/>
        <item x="24"/>
        <item x="25"/>
        <item x="26"/>
        <item x="29"/>
        <item m="1" x="32"/>
        <item t="default"/>
      </items>
    </pivotField>
    <pivotField showAll="0"/>
    <pivotField showAll="0"/>
    <pivotField showAll="0"/>
    <pivotField showAll="0"/>
    <pivotField showAll="0"/>
    <pivotField showAll="0"/>
    <pivotField showAll="0"/>
    <pivotField showAll="0" defaultSubtotal="0"/>
    <pivotField axis="axisPage" showAll="0">
      <items count="6">
        <item h="1" x="1"/>
        <item x="0"/>
        <item h="1" x="2"/>
        <item h="1" m="1" x="4"/>
        <item h="1" m="1" x="3"/>
        <item t="default"/>
      </items>
    </pivotField>
    <pivotField dragToRow="0" dragToCol="0" dragToPage="0" showAll="0" defaultSubtotal="0"/>
    <pivotField dragToRow="0" dragToCol="0" dragToPage="0" showAll="0" defaultSubtotal="0"/>
    <pivotField dragToRow="0" dragToCol="0" dragToPage="0" showAll="0" defaultSubtotal="0"/>
  </pivotFields>
  <rowFields count="3">
    <field x="13"/>
    <field x="14"/>
    <field x="15"/>
  </rowFields>
  <rowItems count="14">
    <i>
      <x v="2"/>
    </i>
    <i r="1">
      <x v="2"/>
    </i>
    <i r="2">
      <x v="2"/>
    </i>
    <i r="2">
      <x v="3"/>
    </i>
    <i r="2">
      <x v="4"/>
    </i>
    <i r="2">
      <x v="5"/>
    </i>
    <i r="2">
      <x v="7"/>
    </i>
    <i r="1">
      <x v="3"/>
    </i>
    <i r="2">
      <x v="8"/>
    </i>
    <i r="2">
      <x v="9"/>
    </i>
    <i r="2">
      <x v="10"/>
    </i>
    <i r="2">
      <x v="11"/>
    </i>
    <i r="2">
      <x v="13"/>
    </i>
    <i r="2">
      <x v="14"/>
    </i>
  </rowItems>
  <colItems count="1">
    <i/>
  </colItems>
  <pageFields count="3">
    <pageField fld="5" item="0" hier="-1"/>
    <pageField fld="6" hier="-1"/>
    <pageField fld="24" hier="-1"/>
  </pageFields>
  <dataFields count="1">
    <dataField name=" 31/12/2025" fld="9" baseField="0" baseItem="0" numFmtId="4"/>
  </dataFields>
  <formats count="23">
    <format dxfId="795">
      <pivotArea outline="0" collapsedLevelsAreSubtotals="1" fieldPosition="0"/>
    </format>
    <format dxfId="796">
      <pivotArea dataOnly="0" labelOnly="1" outline="0" axis="axisValues" fieldPosition="0"/>
    </format>
    <format dxfId="797">
      <pivotArea dataOnly="0" labelOnly="1" outline="0" axis="axisValues" fieldPosition="0"/>
    </format>
    <format dxfId="798">
      <pivotArea field="13" type="button" dataOnly="0" labelOnly="1" outline="0" axis="axisRow" fieldPosition="0"/>
    </format>
    <format dxfId="799">
      <pivotArea dataOnly="0" labelOnly="1" outline="0" axis="axisValues" fieldPosition="0"/>
    </format>
    <format dxfId="800">
      <pivotArea dataOnly="0" labelOnly="1" outline="0" axis="axisValues" fieldPosition="0"/>
    </format>
    <format dxfId="801">
      <pivotArea field="13" type="button" dataOnly="0" labelOnly="1" outline="0" axis="axisRow" fieldPosition="0"/>
    </format>
    <format dxfId="802">
      <pivotArea dataOnly="0" labelOnly="1" outline="0" axis="axisValues" fieldPosition="0"/>
    </format>
    <format dxfId="803">
      <pivotArea dataOnly="0" labelOnly="1" outline="0" axis="axisValues" fieldPosition="0"/>
    </format>
    <format dxfId="804">
      <pivotArea dataOnly="0" fieldPosition="0">
        <references count="2">
          <reference field="5" count="0" selected="0"/>
          <reference field="13" count="0"/>
        </references>
      </pivotArea>
    </format>
    <format dxfId="805">
      <pivotArea type="all" dataOnly="0" outline="0" fieldPosition="0"/>
    </format>
    <format dxfId="806">
      <pivotArea outline="0" collapsedLevelsAreSubtotals="1" fieldPosition="0"/>
    </format>
    <format dxfId="807">
      <pivotArea field="13" type="button" dataOnly="0" labelOnly="1" outline="0" axis="axisRow" fieldPosition="0"/>
    </format>
    <format dxfId="808">
      <pivotArea dataOnly="0" labelOnly="1" outline="0" axis="axisValues" fieldPosition="0"/>
    </format>
    <format dxfId="809">
      <pivotArea dataOnly="0" labelOnly="1" fieldPosition="0">
        <references count="1">
          <reference field="13" count="1">
            <x v="2"/>
          </reference>
        </references>
      </pivotArea>
    </format>
    <format dxfId="810">
      <pivotArea dataOnly="0" labelOnly="1" fieldPosition="0">
        <references count="2">
          <reference field="13" count="1" selected="0">
            <x v="2"/>
          </reference>
          <reference field="14" count="2">
            <x v="2"/>
            <x v="3"/>
          </reference>
        </references>
      </pivotArea>
    </format>
    <format dxfId="811">
      <pivotArea dataOnly="0" labelOnly="1" fieldPosition="0">
        <references count="3">
          <reference field="13" count="1" selected="0">
            <x v="2"/>
          </reference>
          <reference field="14" count="1" selected="0">
            <x v="2"/>
          </reference>
          <reference field="15" count="4">
            <x v="2"/>
            <x v="3"/>
            <x v="4"/>
            <x v="6"/>
          </reference>
        </references>
      </pivotArea>
    </format>
    <format dxfId="812">
      <pivotArea dataOnly="0" labelOnly="1" fieldPosition="0">
        <references count="3">
          <reference field="13" count="1" selected="0">
            <x v="2"/>
          </reference>
          <reference field="14" count="1" selected="0">
            <x v="3"/>
          </reference>
          <reference field="15" count="5">
            <x v="9"/>
            <x v="10"/>
            <x v="12"/>
            <x v="13"/>
            <x v="14"/>
          </reference>
        </references>
      </pivotArea>
    </format>
    <format dxfId="813">
      <pivotArea dataOnly="0" labelOnly="1" outline="0" axis="axisValues" fieldPosition="0"/>
    </format>
    <format dxfId="814">
      <pivotArea collapsedLevelsAreSubtotals="1" fieldPosition="0">
        <references count="1">
          <reference field="13" count="1">
            <x v="2"/>
          </reference>
        </references>
      </pivotArea>
    </format>
    <format dxfId="815">
      <pivotArea dataOnly="0" labelOnly="1" fieldPosition="0">
        <references count="1">
          <reference field="13" count="1">
            <x v="2"/>
          </reference>
        </references>
      </pivotArea>
    </format>
    <format dxfId="816">
      <pivotArea collapsedLevelsAreSubtotals="1" fieldPosition="0">
        <references count="1">
          <reference field="13" count="1">
            <x v="2"/>
          </reference>
        </references>
      </pivotArea>
    </format>
    <format dxfId="817">
      <pivotArea dataOnly="0" labelOnly="1" fieldPosition="0">
        <references count="1">
          <reference field="13"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D00-000001000000}" name="BS_Pasivo_y_PN" cacheId="31" applyNumberFormats="0" applyBorderFormats="0" applyFontFormats="0" applyPatternFormats="0" applyAlignmentFormats="0" applyWidthHeightFormats="1" dataCaption="Valores" updatedVersion="8" minRefreshableVersion="3" showDrill="0" rowGrandTotals="0" colGrandTotals="0" itemPrintTitles="1" createdVersion="8" indent="0" outline="1" outlineData="1" multipleFieldFilters="0" rowHeaderCaption=" ">
  <location ref="E18:F42" firstHeaderRow="1" firstDataRow="1" firstDataCol="1" rowPageCount="3" colPageCount="1"/>
  <pivotFields count="28">
    <pivotField showAll="0"/>
    <pivotField showAll="0"/>
    <pivotField showAll="0"/>
    <pivotField showAll="0"/>
    <pivotField showAll="0"/>
    <pivotField axis="axisPage" showAll="0">
      <items count="4">
        <item x="0"/>
        <item h="1" x="1"/>
        <item h="1" m="1" x="2"/>
        <item t="default"/>
      </items>
    </pivotField>
    <pivotField axis="axisPage" multipleItemSelectionAllowed="1" showAll="0">
      <items count="17">
        <item h="1" x="1"/>
        <item m="1" x="15"/>
        <item x="6"/>
        <item x="7"/>
        <item x="11"/>
        <item x="2"/>
        <item x="8"/>
        <item x="5"/>
        <item x="12"/>
        <item h="1" x="13"/>
        <item x="0"/>
        <item x="3"/>
        <item x="4"/>
        <item x="9"/>
        <item x="10"/>
        <item h="1" x="14"/>
        <item t="default"/>
      </items>
    </pivotField>
    <pivotField showAll="0" defaultSubtotal="0"/>
    <pivotField showAll="0" defaultSubtotal="0"/>
    <pivotField numFmtId="4" showAll="0"/>
    <pivotField showAll="0"/>
    <pivotField showAll="0"/>
    <pivotField showAll="0"/>
    <pivotField axis="axisRow" showAll="0" sortType="ascending">
      <items count="6">
        <item x="1"/>
        <item x="0"/>
        <item m="1" x="3"/>
        <item x="2"/>
        <item m="1" x="4"/>
        <item t="default"/>
      </items>
    </pivotField>
    <pivotField axis="axisRow" showAll="0" sortType="ascending">
      <items count="8">
        <item x="2"/>
        <item x="0"/>
        <item x="3"/>
        <item x="1"/>
        <item x="4"/>
        <item x="5"/>
        <item m="1" x="6"/>
        <item t="default"/>
      </items>
    </pivotField>
    <pivotField axis="axisRow" showAll="0">
      <items count="36">
        <item x="11"/>
        <item x="5"/>
        <item x="12"/>
        <item x="0"/>
        <item x="26"/>
        <item x="21"/>
        <item x="22"/>
        <item x="6"/>
        <item x="1"/>
        <item x="13"/>
        <item x="27"/>
        <item x="28"/>
        <item x="23"/>
        <item x="7"/>
        <item x="2"/>
        <item x="14"/>
        <item x="15"/>
        <item x="29"/>
        <item x="8"/>
        <item x="3"/>
        <item x="24"/>
        <item x="30"/>
        <item m="1" x="34"/>
        <item m="1" x="33"/>
        <item x="25"/>
        <item x="16"/>
        <item x="4"/>
        <item x="17"/>
        <item x="31"/>
        <item x="9"/>
        <item x="10"/>
        <item x="18"/>
        <item x="19"/>
        <item x="20"/>
        <item m="1" x="32"/>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6">
        <item h="1" x="1"/>
        <item h="1" x="0"/>
        <item x="2"/>
        <item h="1" m="1" x="4"/>
        <item h="1" m="1" x="3"/>
        <item t="default"/>
      </items>
    </pivotField>
    <pivotField dragToRow="0" dragToCol="0" dragToPage="0" showAll="0" defaultSubtotal="0"/>
    <pivotField dragToRow="0" dragToCol="0" dragToPage="0" showAll="0" defaultSubtotal="0"/>
    <pivotField dataField="1" dragToRow="0" dragToCol="0" dragToPage="0" showAll="0" defaultSubtotal="0"/>
  </pivotFields>
  <rowFields count="3">
    <field x="13"/>
    <field x="14"/>
    <field x="15"/>
  </rowFields>
  <rowItems count="24">
    <i>
      <x v="3"/>
    </i>
    <i r="1">
      <x v="2"/>
    </i>
    <i r="2">
      <x v="2"/>
    </i>
    <i r="2">
      <x v="9"/>
    </i>
    <i r="2">
      <x v="15"/>
    </i>
    <i r="2">
      <x v="16"/>
    </i>
    <i r="2">
      <x v="25"/>
    </i>
    <i r="2">
      <x v="27"/>
    </i>
    <i r="2">
      <x v="31"/>
    </i>
    <i r="2">
      <x v="32"/>
    </i>
    <i r="2">
      <x v="33"/>
    </i>
    <i r="1">
      <x v="4"/>
    </i>
    <i r="2">
      <x v="5"/>
    </i>
    <i r="2">
      <x v="6"/>
    </i>
    <i r="2">
      <x v="12"/>
    </i>
    <i r="2">
      <x v="20"/>
    </i>
    <i r="2">
      <x v="24"/>
    </i>
    <i r="1">
      <x v="5"/>
    </i>
    <i r="2">
      <x v="4"/>
    </i>
    <i r="2">
      <x v="10"/>
    </i>
    <i r="2">
      <x v="11"/>
    </i>
    <i r="2">
      <x v="17"/>
    </i>
    <i r="2">
      <x v="21"/>
    </i>
    <i r="2">
      <x v="28"/>
    </i>
  </rowItems>
  <colItems count="1">
    <i/>
  </colItems>
  <pageFields count="3">
    <pageField fld="5" item="0" hier="-1"/>
    <pageField fld="6" hier="-1"/>
    <pageField fld="24" hier="-1"/>
  </pageFields>
  <dataFields count="1">
    <dataField name="31/12/2025" fld="27" baseField="0" baseItem="0" numFmtId="4"/>
  </dataFields>
  <formats count="27">
    <format dxfId="768">
      <pivotArea outline="0" collapsedLevelsAreSubtotals="1" fieldPosition="0"/>
    </format>
    <format dxfId="769">
      <pivotArea dataOnly="0" labelOnly="1" outline="0" axis="axisValues" fieldPosition="0"/>
    </format>
    <format dxfId="770">
      <pivotArea dataOnly="0" labelOnly="1" outline="0" axis="axisValues" fieldPosition="0"/>
    </format>
    <format dxfId="771">
      <pivotArea field="13" type="button" dataOnly="0" labelOnly="1" outline="0" axis="axisRow" fieldPosition="0"/>
    </format>
    <format dxfId="772">
      <pivotArea dataOnly="0" labelOnly="1" outline="0" axis="axisValues" fieldPosition="0"/>
    </format>
    <format dxfId="773">
      <pivotArea dataOnly="0" labelOnly="1" outline="0" axis="axisValues" fieldPosition="0"/>
    </format>
    <format dxfId="774">
      <pivotArea dataOnly="0" fieldPosition="0">
        <references count="2">
          <reference field="5" count="0" selected="0"/>
          <reference field="13" count="0"/>
        </references>
      </pivotArea>
    </format>
    <format dxfId="775">
      <pivotArea type="all" dataOnly="0" outline="0" fieldPosition="0"/>
    </format>
    <format dxfId="776">
      <pivotArea outline="0" collapsedLevelsAreSubtotals="1" fieldPosition="0"/>
    </format>
    <format dxfId="777">
      <pivotArea field="13" type="button" dataOnly="0" labelOnly="1" outline="0" axis="axisRow" fieldPosition="0"/>
    </format>
    <format dxfId="778">
      <pivotArea dataOnly="0" labelOnly="1" outline="0" axis="axisValues" fieldPosition="0"/>
    </format>
    <format dxfId="779">
      <pivotArea dataOnly="0" labelOnly="1" fieldPosition="0">
        <references count="1">
          <reference field="13" count="1">
            <x v="3"/>
          </reference>
        </references>
      </pivotArea>
    </format>
    <format dxfId="780">
      <pivotArea dataOnly="0" labelOnly="1" fieldPosition="0">
        <references count="2">
          <reference field="13" count="1" selected="0">
            <x v="3"/>
          </reference>
          <reference field="14" count="3">
            <x v="2"/>
            <x v="4"/>
            <x v="5"/>
          </reference>
        </references>
      </pivotArea>
    </format>
    <format dxfId="781">
      <pivotArea dataOnly="0" labelOnly="1" fieldPosition="0">
        <references count="3">
          <reference field="13" count="1" selected="0">
            <x v="3"/>
          </reference>
          <reference field="14" count="1" selected="0">
            <x v="2"/>
          </reference>
          <reference field="15" count="4">
            <x v="2"/>
            <x v="15"/>
            <x v="25"/>
            <x v="31"/>
          </reference>
        </references>
      </pivotArea>
    </format>
    <format dxfId="782">
      <pivotArea dataOnly="0" labelOnly="1" fieldPosition="0">
        <references count="3">
          <reference field="13" count="1" selected="0">
            <x v="3"/>
          </reference>
          <reference field="14" count="1" selected="0">
            <x v="4"/>
          </reference>
          <reference field="15" count="1">
            <x v="6"/>
          </reference>
        </references>
      </pivotArea>
    </format>
    <format dxfId="783">
      <pivotArea dataOnly="0" labelOnly="1" fieldPosition="0">
        <references count="3">
          <reference field="13" count="1" selected="0">
            <x v="3"/>
          </reference>
          <reference field="14" count="1" selected="0">
            <x v="5"/>
          </reference>
          <reference field="15" count="4">
            <x v="10"/>
            <x v="11"/>
            <x v="21"/>
            <x v="28"/>
          </reference>
        </references>
      </pivotArea>
    </format>
    <format dxfId="784">
      <pivotArea dataOnly="0" labelOnly="1" outline="0" axis="axisValues" fieldPosition="0"/>
    </format>
    <format dxfId="785">
      <pivotArea collapsedLevelsAreSubtotals="1" fieldPosition="0">
        <references count="3">
          <reference field="13" count="1" selected="0">
            <x v="3"/>
          </reference>
          <reference field="14" count="1" selected="0">
            <x v="2"/>
          </reference>
          <reference field="15" count="1">
            <x v="2"/>
          </reference>
        </references>
      </pivotArea>
    </format>
    <format dxfId="786">
      <pivotArea collapsedLevelsAreSubtotals="1" fieldPosition="0">
        <references count="3">
          <reference field="13" count="1" selected="0">
            <x v="3"/>
          </reference>
          <reference field="14" count="1" selected="0">
            <x v="2"/>
          </reference>
          <reference field="15" count="1">
            <x v="15"/>
          </reference>
        </references>
      </pivotArea>
    </format>
    <format dxfId="787">
      <pivotArea collapsedLevelsAreSubtotals="1" fieldPosition="0">
        <references count="3">
          <reference field="13" count="1" selected="0">
            <x v="3"/>
          </reference>
          <reference field="14" count="1" selected="0">
            <x v="2"/>
          </reference>
          <reference field="15" count="1">
            <x v="31"/>
          </reference>
        </references>
      </pivotArea>
    </format>
    <format dxfId="788">
      <pivotArea collapsedLevelsAreSubtotals="1" fieldPosition="0">
        <references count="3">
          <reference field="13" count="1" selected="0">
            <x v="3"/>
          </reference>
          <reference field="14" count="1" selected="0">
            <x v="5"/>
          </reference>
          <reference field="15" count="1">
            <x v="11"/>
          </reference>
        </references>
      </pivotArea>
    </format>
    <format dxfId="789">
      <pivotArea collapsedLevelsAreSubtotals="1" fieldPosition="0">
        <references count="3">
          <reference field="13" count="1" selected="0">
            <x v="3"/>
          </reference>
          <reference field="14" count="1" selected="0">
            <x v="2"/>
          </reference>
          <reference field="15" count="7">
            <x v="2"/>
            <x v="9"/>
            <x v="15"/>
            <x v="16"/>
            <x v="25"/>
            <x v="27"/>
            <x v="31"/>
          </reference>
        </references>
      </pivotArea>
    </format>
    <format dxfId="790">
      <pivotArea collapsedLevelsAreSubtotals="1" fieldPosition="0">
        <references count="3">
          <reference field="13" count="1" selected="0">
            <x v="3"/>
          </reference>
          <reference field="14" count="1" selected="0">
            <x v="5"/>
          </reference>
          <reference field="15" count="1">
            <x v="11"/>
          </reference>
        </references>
      </pivotArea>
    </format>
    <format dxfId="791">
      <pivotArea collapsedLevelsAreSubtotals="1" fieldPosition="0">
        <references count="1">
          <reference field="13" count="1">
            <x v="3"/>
          </reference>
        </references>
      </pivotArea>
    </format>
    <format dxfId="792">
      <pivotArea dataOnly="0" labelOnly="1" fieldPosition="0">
        <references count="1">
          <reference field="13" count="1">
            <x v="3"/>
          </reference>
        </references>
      </pivotArea>
    </format>
    <format dxfId="793">
      <pivotArea collapsedLevelsAreSubtotals="1" fieldPosition="0">
        <references count="1">
          <reference field="13" count="1">
            <x v="3"/>
          </reference>
        </references>
      </pivotArea>
    </format>
    <format dxfId="794">
      <pivotArea dataOnly="0" labelOnly="1" fieldPosition="0">
        <references count="1">
          <reference field="13" count="1">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F00-000000000000}" name="TablaDinámica1" cacheId="31" applyNumberFormats="0" applyBorderFormats="0" applyFontFormats="0" applyPatternFormats="0" applyAlignmentFormats="0" applyWidthHeightFormats="1" dataCaption="Valores" updatedVersion="8" minRefreshableVersion="3" itemPrintTitles="1" createdVersion="6" indent="0" outline="1" outlineData="1" multipleFieldFilters="0" rowHeaderCaption="">
  <location ref="B12:C13" firstHeaderRow="1" firstDataRow="1" firstDataCol="1" rowPageCount="3" colPageCount="1"/>
  <pivotFields count="28">
    <pivotField showAll="0"/>
    <pivotField showAll="0"/>
    <pivotField axis="axisRow" showAll="0">
      <items count="88">
        <item x="13"/>
        <item x="0"/>
        <item x="1"/>
        <item x="2"/>
        <item x="3"/>
        <item x="6"/>
        <item x="7"/>
        <item x="11"/>
        <item x="14"/>
        <item x="16"/>
        <item x="18"/>
        <item x="33"/>
        <item x="34"/>
        <item x="37"/>
        <item x="39"/>
        <item x="41"/>
        <item x="45"/>
        <item x="15"/>
        <item x="17"/>
        <item x="19"/>
        <item x="21"/>
        <item x="23"/>
        <item x="24"/>
        <item x="25"/>
        <item x="26"/>
        <item x="27"/>
        <item x="28"/>
        <item x="29"/>
        <item x="31"/>
        <item x="35"/>
        <item x="36"/>
        <item x="38"/>
        <item x="40"/>
        <item x="42"/>
        <item x="44"/>
        <item x="46"/>
        <item x="47"/>
        <item x="49"/>
        <item m="1" x="86"/>
        <item m="1" x="54"/>
        <item m="1" x="78"/>
        <item m="1" x="56"/>
        <item m="1" x="72"/>
        <item m="1" x="71"/>
        <item m="1" x="82"/>
        <item m="1" x="61"/>
        <item m="1" x="76"/>
        <item m="1" x="53"/>
        <item m="1" x="81"/>
        <item m="1" x="84"/>
        <item m="1" x="62"/>
        <item m="1" x="73"/>
        <item m="1" x="66"/>
        <item m="1" x="59"/>
        <item m="1" x="64"/>
        <item m="1" x="57"/>
        <item m="1" x="74"/>
        <item m="1" x="79"/>
        <item m="1" x="75"/>
        <item m="1" x="69"/>
        <item m="1" x="68"/>
        <item m="1" x="77"/>
        <item m="1" x="55"/>
        <item m="1" x="65"/>
        <item m="1" x="80"/>
        <item m="1" x="52"/>
        <item m="1" x="63"/>
        <item m="1" x="67"/>
        <item m="1" x="85"/>
        <item m="1" x="70"/>
        <item m="1" x="60"/>
        <item m="1" x="83"/>
        <item m="1" x="58"/>
        <item x="20"/>
        <item x="4"/>
        <item x="5"/>
        <item x="8"/>
        <item x="9"/>
        <item x="10"/>
        <item x="12"/>
        <item x="22"/>
        <item x="30"/>
        <item x="32"/>
        <item x="43"/>
        <item x="48"/>
        <item x="50"/>
        <item x="51"/>
        <item t="default"/>
      </items>
    </pivotField>
    <pivotField showAll="0"/>
    <pivotField showAll="0"/>
    <pivotField axis="axisPage" multipleItemSelectionAllowed="1" showAll="0">
      <items count="4">
        <item x="0"/>
        <item h="1" x="1"/>
        <item h="1" m="1" x="2"/>
        <item t="default"/>
      </items>
    </pivotField>
    <pivotField axis="axisPage" multipleItemSelectionAllowed="1" showAll="0">
      <items count="17">
        <item x="1"/>
        <item m="1" x="15"/>
        <item x="6"/>
        <item x="7"/>
        <item x="11"/>
        <item x="2"/>
        <item x="8"/>
        <item x="5"/>
        <item x="12"/>
        <item h="1" x="13"/>
        <item x="0"/>
        <item h="1" x="3"/>
        <item h="1" x="4"/>
        <item h="1" x="9"/>
        <item h="1" x="10"/>
        <item h="1" x="14"/>
        <item t="default"/>
      </items>
    </pivotField>
    <pivotField showAll="0" defaultSubtotal="0"/>
    <pivotField axis="axisPage" showAll="0" defaultSubtotal="0">
      <items count="3">
        <item h="1" x="0"/>
        <item x="1"/>
        <item h="1" x="2"/>
      </items>
    </pivotField>
    <pivotField dataField="1" numFmtId="4" showAll="0"/>
    <pivotField showAll="0"/>
    <pivotField showAll="0"/>
    <pivotField showAll="0"/>
    <pivotField axis="axisRow" showAll="0" sortType="ascending">
      <items count="6">
        <item x="1"/>
        <item x="0"/>
        <item m="1" x="3"/>
        <item x="2"/>
        <item m="1" x="4"/>
        <item t="default"/>
      </items>
    </pivotField>
    <pivotField axis="axisRow" showAll="0">
      <items count="8">
        <item x="2"/>
        <item x="5"/>
        <item x="0"/>
        <item x="1"/>
        <item x="3"/>
        <item x="4"/>
        <item m="1" x="6"/>
        <item t="default"/>
      </items>
    </pivotField>
    <pivotField axis="axisRow" showAll="0">
      <items count="36">
        <item x="11"/>
        <item x="30"/>
        <item x="0"/>
        <item x="1"/>
        <item x="2"/>
        <item x="3"/>
        <item m="1" x="33"/>
        <item x="4"/>
        <item x="5"/>
        <item x="6"/>
        <item x="7"/>
        <item x="8"/>
        <item m="1" x="34"/>
        <item x="9"/>
        <item x="10"/>
        <item x="12"/>
        <item x="14"/>
        <item x="16"/>
        <item x="18"/>
        <item x="31"/>
        <item x="22"/>
        <item x="28"/>
        <item x="27"/>
        <item x="13"/>
        <item x="15"/>
        <item x="17"/>
        <item x="19"/>
        <item x="20"/>
        <item x="21"/>
        <item x="23"/>
        <item x="24"/>
        <item x="25"/>
        <item x="26"/>
        <item x="29"/>
        <item m="1" x="32"/>
        <item t="default"/>
      </items>
    </pivotField>
    <pivotField axis="axisRow" showAll="0">
      <items count="41">
        <item x="11"/>
        <item m="1" x="35"/>
        <item x="0"/>
        <item x="1"/>
        <item x="2"/>
        <item x="3"/>
        <item m="1" x="32"/>
        <item x="4"/>
        <item x="5"/>
        <item x="6"/>
        <item x="7"/>
        <item x="8"/>
        <item m="1" x="33"/>
        <item x="9"/>
        <item x="10"/>
        <item m="1" x="38"/>
        <item x="14"/>
        <item x="16"/>
        <item x="18"/>
        <item x="30"/>
        <item x="31"/>
        <item m="1" x="39"/>
        <item x="22"/>
        <item m="1" x="37"/>
        <item x="28"/>
        <item m="1" x="34"/>
        <item x="27"/>
        <item x="13"/>
        <item x="15"/>
        <item x="17"/>
        <item x="19"/>
        <item x="20"/>
        <item x="21"/>
        <item x="23"/>
        <item x="24"/>
        <item x="25"/>
        <item x="26"/>
        <item x="29"/>
        <item m="1" x="36"/>
        <item x="12"/>
        <item t="default" sd="0"/>
      </items>
    </pivotField>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s>
  <rowFields count="5">
    <field x="13"/>
    <field x="14"/>
    <field x="15"/>
    <field x="16"/>
    <field x="2"/>
  </rowFields>
  <rowItems count="1">
    <i t="grand">
      <x/>
    </i>
  </rowItems>
  <colItems count="1">
    <i/>
  </colItems>
  <pageFields count="3">
    <pageField fld="5" hier="-1"/>
    <pageField fld="6" hier="-1"/>
    <pageField fld="8" item="1" hier="-1"/>
  </pageFields>
  <dataFields count="1">
    <dataField name="Saldo" fld="9" baseField="0" baseItem="0" numFmtId="166"/>
  </dataFields>
  <formats count="8">
    <format dxfId="760">
      <pivotArea dataOnly="0" labelOnly="1" outline="0" axis="axisValues" fieldPosition="0"/>
    </format>
    <format dxfId="761">
      <pivotArea dataOnly="0" labelOnly="1" outline="0" axis="axisValues" fieldPosition="0"/>
    </format>
    <format dxfId="762">
      <pivotArea outline="0" collapsedLevelsAreSubtotals="1" fieldPosition="0"/>
    </format>
    <format dxfId="763">
      <pivotArea dataOnly="0" labelOnly="1" fieldPosition="0">
        <references count="1">
          <reference field="16" count="0"/>
        </references>
      </pivotArea>
    </format>
    <format dxfId="764">
      <pivotArea dataOnly="0" labelOnly="1" fieldPosition="0">
        <references count="1">
          <reference field="16" count="0"/>
        </references>
      </pivotArea>
    </format>
    <format dxfId="765">
      <pivotArea field="6" type="button" dataOnly="0" labelOnly="1" outline="0" axis="axisPage" fieldPosition="1"/>
    </format>
    <format dxfId="766">
      <pivotArea field="13" type="button" dataOnly="0" labelOnly="1" outline="0" axis="axisRow" fieldPosition="0"/>
    </format>
    <format dxfId="767">
      <pivotArea dataOnly="0" labelOnly="1" outline="0" axis="axisValues" fieldPosition="0"/>
    </format>
  </format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Niveles_21" xr10:uid="{00000000-0013-0000-FFFF-FFFF01000000}" sourceName="Niveles:2">
  <pivotTables>
    <pivotTable tabId="38" name="TablaDinámica2"/>
  </pivotTables>
  <data>
    <tabular pivotCacheId="1311921912" showMissing="0">
      <items count="43">
        <i x="15" s="1" nd="1"/>
        <i x="13" s="1" nd="1"/>
        <i x="19" s="1" nd="1"/>
        <i x="20" s="1" nd="1"/>
        <i x="21" s="1" nd="1"/>
        <i x="0" s="1" nd="1"/>
        <i x="2" s="1" nd="1"/>
        <i x="3" s="1" nd="1"/>
        <i x="4" s="1" nd="1"/>
        <i x="23" s="1" nd="1"/>
        <i x="24" s="1" nd="1"/>
        <i x="8" s="1" nd="1"/>
        <i x="5" s="1" nd="1"/>
        <i x="32" s="1" nd="1"/>
        <i x="38" s="1" nd="1"/>
        <i x="35" s="1" nd="1"/>
        <i x="27" s="1" nd="1"/>
        <i x="28" s="1" nd="1"/>
        <i x="30" s="1" nd="1"/>
        <i x="37" s="1" nd="1"/>
        <i x="11" s="1" nd="1"/>
        <i x="12" s="1" nd="1"/>
        <i x="14" s="1" nd="1"/>
        <i x="16" s="1" nd="1"/>
        <i x="1" s="1" nd="1"/>
        <i x="6" s="1" nd="1"/>
        <i x="25" s="1" nd="1"/>
        <i x="7" s="1" nd="1"/>
        <i x="9" s="1" nd="1"/>
        <i x="17" s="1" nd="1"/>
        <i x="10" s="1" nd="1"/>
        <i x="22" s="1" nd="1"/>
        <i x="29" s="1" nd="1"/>
        <i x="39" s="1" nd="1"/>
        <i x="31" s="1" nd="1"/>
        <i x="36" s="1" nd="1"/>
        <i x="33" s="1" nd="1"/>
        <i x="26" s="1" nd="1"/>
        <i x="34" s="1" nd="1"/>
        <i x="18" s="1" nd="1"/>
        <i x="41" s="1" nd="1"/>
        <i x="42" s="1" nd="1"/>
        <i x="40"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Grupos1" xr10:uid="{00000000-0013-0000-FFFF-FFFF02000000}" sourceName="Grupos">
  <pivotTables>
    <pivotTable tabId="38" name="TablaDinámica2"/>
  </pivotTables>
  <data>
    <tabular pivotCacheId="1311921912" showMissing="0">
      <items count="9">
        <i x="4" s="1" nd="1"/>
        <i x="0" s="1" nd="1"/>
        <i x="3" s="1" nd="1"/>
        <i x="1" s="1" nd="1"/>
        <i x="2" s="1" nd="1"/>
        <i x="7" s="1" nd="1"/>
        <i x="6" s="1" nd="1"/>
        <i x="5" s="1" nd="1"/>
        <i x="8"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Niveles_2" xr10:uid="{00000000-0013-0000-FFFF-FFFF03000000}" sourceName="Niveles:2">
  <pivotTables>
    <pivotTable tabId="37" name="Libro_Mayor"/>
  </pivotTables>
  <data>
    <tabular pivotCacheId="1311921912">
      <items count="43">
        <i x="15" s="1" nd="1"/>
        <i x="13" s="1" nd="1"/>
        <i x="41" s="1" nd="1"/>
        <i x="19" s="1" nd="1"/>
        <i x="20" s="1" nd="1"/>
        <i x="21" s="1" nd="1"/>
        <i x="0" s="1" nd="1"/>
        <i x="2" s="1" nd="1"/>
        <i x="3" s="1" nd="1"/>
        <i x="4" s="1" nd="1"/>
        <i x="23" s="1" nd="1"/>
        <i x="24" s="1" nd="1"/>
        <i x="8" s="1" nd="1"/>
        <i x="42" s="1" nd="1"/>
        <i x="5" s="1" nd="1"/>
        <i x="32" s="1" nd="1"/>
        <i x="38" s="1" nd="1"/>
        <i x="35" s="1" nd="1"/>
        <i x="27" s="1" nd="1"/>
        <i x="28" s="1" nd="1"/>
        <i x="30" s="1" nd="1"/>
        <i x="37" s="1" nd="1"/>
        <i x="40" s="1" nd="1"/>
        <i x="11" s="1" nd="1"/>
        <i x="12" s="1" nd="1"/>
        <i x="14" s="1" nd="1"/>
        <i x="16" s="1" nd="1"/>
        <i x="1" s="1" nd="1"/>
        <i x="6" s="1" nd="1"/>
        <i x="25" s="1" nd="1"/>
        <i x="7" s="1" nd="1"/>
        <i x="9" s="1" nd="1"/>
        <i x="17" s="1" nd="1"/>
        <i x="10" s="1" nd="1"/>
        <i x="22" s="1" nd="1"/>
        <i x="29" s="1" nd="1"/>
        <i x="39" s="1" nd="1"/>
        <i x="31" s="1" nd="1"/>
        <i x="36" s="1" nd="1"/>
        <i x="33" s="1" nd="1"/>
        <i x="26" s="1" nd="1"/>
        <i x="34" s="1" nd="1"/>
        <i x="18"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Grupos" xr10:uid="{00000000-0013-0000-FFFF-FFFF04000000}" sourceName="Grupos">
  <pivotTables>
    <pivotTable tabId="37" name="Libro_Mayor"/>
  </pivotTables>
  <data>
    <tabular pivotCacheId="1311921912">
      <items count="9">
        <i x="4" s="1" nd="1"/>
        <i x="0" s="1" nd="1"/>
        <i x="3" s="1" nd="1"/>
        <i x="1" s="1" nd="1"/>
        <i x="2" s="1" nd="1"/>
        <i x="7" s="1" nd="1"/>
        <i x="6" s="1" nd="1"/>
        <i x="8" s="1" nd="1"/>
        <i x="5"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Niveles:2" xr10:uid="{00000000-0014-0000-FFFF-FFFF01000000}" cache="SegmentaciónDeDatos_Niveles_2" caption="Subgrupos" columnCount="20" rowHeight="241300"/>
  <slicer name="Grupos" xr10:uid="{00000000-0014-0000-FFFF-FFFF02000000}" cache="SegmentaciónDeDatos_Grupos" caption="Grupos" columnCount="4"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Niveles:2 1" xr10:uid="{00000000-0014-0000-FFFF-FFFF03000000}" cache="SegmentaciónDeDatos_Niveles_21" caption="Subgrupos" columnCount="15" rowHeight="241300"/>
  <slicer name="Grupos 1" xr10:uid="{00000000-0014-0000-FFFF-FFFF04000000}" cache="SegmentaciónDeDatos_Grupos1" caption="Grupos" columnCount="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3" displayName="Table3" ref="A2:Y2000" totalsRowShown="0">
  <autoFilter ref="A2:Y2000" xr:uid="{00000000-0009-0000-0100-000003000000}"/>
  <sortState xmlns:xlrd2="http://schemas.microsoft.com/office/spreadsheetml/2017/richdata2" ref="A3:Y2000">
    <sortCondition ref="A2:A2000"/>
  </sortState>
  <tableColumns count="25">
    <tableColumn id="1" xr3:uid="{00000000-0010-0000-0000-000001000000}" name="Nro Asiento">
      <calculatedColumnFormula>+'Libro Diario'!F59</calculatedColumnFormula>
    </tableColumn>
    <tableColumn id="2" xr3:uid="{00000000-0010-0000-0000-000002000000}" name="Fecha" dataDxfId="38">
      <calculatedColumnFormula>+'Libro Diario'!G59</calculatedColumnFormula>
    </tableColumn>
    <tableColumn id="3" xr3:uid="{00000000-0010-0000-0000-000003000000}" name="Cuenta" dataDxfId="37">
      <calculatedColumnFormula>+'Libro Diario'!C59</calculatedColumnFormula>
    </tableColumn>
    <tableColumn id="4" xr3:uid="{00000000-0010-0000-0000-000004000000}" name="Importe" dataDxfId="36">
      <calculatedColumnFormula>+'Libro Diario'!B59</calculatedColumnFormula>
    </tableColumn>
    <tableColumn id="5" xr3:uid="{00000000-0010-0000-0000-000005000000}" name="Movimiento" dataDxfId="35"/>
    <tableColumn id="6" xr3:uid="{00000000-0010-0000-0000-000006000000}" name="Sin cuenta">
      <calculatedColumnFormula>+IF(C3=0,"Sin Mov.","Con Mov.")</calculatedColumnFormula>
    </tableColumn>
    <tableColumn id="19" xr3:uid="{00000000-0010-0000-0000-000013000000}" name="Tipo Movimiento" dataDxfId="34">
      <calculatedColumnFormula>+'Libro Diario'!H59</calculatedColumnFormula>
    </tableColumn>
    <tableColumn id="23" xr3:uid="{00000000-0010-0000-0000-000017000000}" name="Tipo Movimiento2" dataDxfId="33">
      <calculatedColumnFormula>IF(+'Libro Diario'!I59=0,"",+'Libro Diario'!I59)</calculatedColumnFormula>
    </tableColumn>
    <tableColumn id="24" xr3:uid="{00000000-0010-0000-0000-000018000000}" name="EstructuraBce" dataDxfId="32">
      <calculatedColumnFormula>+IF(Table3[[#This Row],[Tipo Movimiento]]="Estructura Balance y PyG","Excluir","Incluir")</calculatedColumnFormula>
    </tableColumn>
    <tableColumn id="9" xr3:uid="{00000000-0010-0000-0000-000009000000}" name="ImporteSig" dataDxfId="31">
      <calculatedColumnFormula>+IF(Table3[[#This Row],[Sin cuenta]]="Con Mov.",(IF(Table3[[#This Row],[Movimiento]]="Debe",Table3[[#This Row],[Importe]],IF(Table3[[#This Row],[Movimiento]]="Haber",Table3[[#This Row],[Importe]]*-1,0))),0)</calculatedColumnFormula>
    </tableColumn>
    <tableColumn id="7" xr3:uid="{00000000-0010-0000-0000-000007000000}" name="Debe" dataDxfId="30">
      <calculatedColumnFormula>+IF(E3="Debe",D3,"")</calculatedColumnFormula>
    </tableColumn>
    <tableColumn id="8" xr3:uid="{00000000-0010-0000-0000-000008000000}" name="Haber" dataDxfId="29">
      <calculatedColumnFormula>+IF(E3="Haber",D3,"")</calculatedColumnFormula>
    </tableColumn>
    <tableColumn id="10" xr3:uid="{00000000-0010-0000-0000-00000A000000}" name="Grupo" dataDxfId="28">
      <calculatedColumnFormula>_xlfn.XLOOKUP(Table3[[#This Row],[Cuenta]],Estructura_Balance[Nombre Cuenta ()],Estructura_Balance[Grupo],"",0)</calculatedColumnFormula>
    </tableColumn>
    <tableColumn id="11" xr3:uid="{00000000-0010-0000-0000-00000B000000}" name="BS_Nivel_1" dataDxfId="27">
      <calculatedColumnFormula>_xlfn.XLOOKUP(Table3[[#This Row],[Cuenta]],Estructura_Balance[Nombre Cuenta ()],Estructura_Balance[Nivel 1],"",0)</calculatedColumnFormula>
    </tableColumn>
    <tableColumn id="12" xr3:uid="{00000000-0010-0000-0000-00000C000000}" name="BS_Nivel_2" dataDxfId="26">
      <calculatedColumnFormula>_xlfn.XLOOKUP(Table3[[#This Row],[Cuenta]],Estructura_Balance[Nombre Cuenta ()],Estructura_Balance[Nivel 2],"",0)</calculatedColumnFormula>
    </tableColumn>
    <tableColumn id="13" xr3:uid="{00000000-0010-0000-0000-00000D000000}" name="BS_Nivel_3" dataDxfId="25">
      <calculatedColumnFormula>_xlfn.XLOOKUP(Table3[[#This Row],[Cuenta]],Estructura_Balance[Nombre Cuenta ()],Estructura_Balance[Nivel 3],"",0)</calculatedColumnFormula>
    </tableColumn>
    <tableColumn id="14" xr3:uid="{00000000-0010-0000-0000-00000E000000}" name="BS_Nivel_4" dataDxfId="24">
      <calculatedColumnFormula>_xlfn.XLOOKUP(Table3[[#This Row],[Cuenta]],Estructura_Balance[Nombre Cuenta ()],Estructura_Balance[Nivel 4],"",0)</calculatedColumnFormula>
    </tableColumn>
    <tableColumn id="15" xr3:uid="{00000000-0010-0000-0000-00000F000000}" name="PyG_Nivel_1" dataDxfId="23">
      <calculatedColumnFormula>_xlfn.XLOOKUP(Table3[[#This Row],[Cuenta]],Table8[Nombre Cuenta ()],Table8[Nivel 1],"",0)</calculatedColumnFormula>
    </tableColumn>
    <tableColumn id="16" xr3:uid="{00000000-0010-0000-0000-000010000000}" name="PyG_Nivel_2" dataDxfId="22">
      <calculatedColumnFormula>_xlfn.XLOOKUP(Table3[[#This Row],[Cuenta]],Table8[Nombre Cuenta ()],Table8[Nivel 2],"",0)</calculatedColumnFormula>
    </tableColumn>
    <tableColumn id="17" xr3:uid="{00000000-0010-0000-0000-000011000000}" name="PyG_Nivel_3" dataDxfId="21">
      <calculatedColumnFormula>_xlfn.XLOOKUP(Table3[[#This Row],[Cuenta]],Table8[Nombre Cuenta ()],Table8[Nivel 3],"",0)</calculatedColumnFormula>
    </tableColumn>
    <tableColumn id="20" xr3:uid="{00000000-0010-0000-0000-000014000000}" name="Orden Registro" dataDxfId="20"/>
    <tableColumn id="18" xr3:uid="{00000000-0010-0000-0000-000012000000}" name="Niveles:2" dataDxfId="19">
      <calculatedColumnFormula>_xlfn.XLOOKUP(Table3[[#This Row],[Cuenta]],Estructura_Balance[Nombre Cuenta ()],Estructura_Balance[Niveles:2],"",0)</calculatedColumnFormula>
    </tableColumn>
    <tableColumn id="21" xr3:uid="{00000000-0010-0000-0000-000015000000}" name="Niveles:3" dataDxfId="18">
      <calculatedColumnFormula>_xlfn.XLOOKUP(Table3[[#This Row],[Cuenta]],Estructura_Balance[Nombre Cuenta ()],Estructura_Balance[Niveles:3],"",0)</calculatedColumnFormula>
    </tableColumn>
    <tableColumn id="22" xr3:uid="{00000000-0010-0000-0000-000016000000}" name="Grupos" dataDxfId="17">
      <calculatedColumnFormula>_xlfn.XLOOKUP(Table3[[#This Row],[Cuenta]],Estructura_Balance[Nombre Cuenta ()],Estructura_Balance[Grupos],"Grupo 1",0)</calculatedColumnFormula>
    </tableColumn>
    <tableColumn id="25" xr3:uid="{00000000-0010-0000-0000-000019000000}" name="Estruct.BCE" dataDxfId="16">
      <calculatedColumnFormula>+Table3[[#This Row],[BS_Nivel_1]]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Estructura_Balance" displayName="Estructura_Balance" ref="A1:M383" totalsRowShown="0" headerRowDxfId="15" dataDxfId="14">
  <autoFilter ref="A1:M383" xr:uid="{00000000-0009-0000-0100-000001000000}"/>
  <sortState xmlns:xlrd2="http://schemas.microsoft.com/office/spreadsheetml/2017/richdata2" ref="A2:M117">
    <sortCondition ref="E2:E117"/>
  </sortState>
  <tableColumns count="13">
    <tableColumn id="4" xr3:uid="{00000000-0010-0000-0100-000004000000}" name="Nivel 1" dataDxfId="13"/>
    <tableColumn id="5" xr3:uid="{00000000-0010-0000-0100-000005000000}" name="Nivel 2" dataDxfId="12"/>
    <tableColumn id="6" xr3:uid="{00000000-0010-0000-0100-000006000000}" name="Nivel 3" dataDxfId="11"/>
    <tableColumn id="7" xr3:uid="{00000000-0010-0000-0100-000007000000}" name="Nivel 4" dataDxfId="10"/>
    <tableColumn id="8" xr3:uid="{00000000-0010-0000-0100-000008000000}" name="CPGC" dataDxfId="9"/>
    <tableColumn id="11" xr3:uid="{00000000-0010-0000-0100-00000B000000}" name="Niveles:2" dataDxfId="8">
      <calculatedColumnFormula>+MID(Estructura_Balance[[#This Row],[CPGC]],1,2)</calculatedColumnFormula>
    </tableColumn>
    <tableColumn id="12" xr3:uid="{00000000-0010-0000-0100-00000C000000}" name="Niveles:3" dataDxfId="7">
      <calculatedColumnFormula>+MID(Estructura_Balance[[#This Row],[CPGC]],1,3)</calculatedColumnFormula>
    </tableColumn>
    <tableColumn id="13" xr3:uid="{00000000-0010-0000-0100-00000D000000}" name="Grupos" dataDxfId="6">
      <calculatedColumnFormula>+MID(Estructura_Balance[[#This Row],[Grupo]],1,7)</calculatedColumnFormula>
    </tableColumn>
    <tableColumn id="14" xr3:uid="{00000000-0010-0000-0100-00000E000000}" name="OrdenNivel4" dataDxfId="5"/>
    <tableColumn id="1" xr3:uid="{00000000-0010-0000-0100-000001000000}" name="Nombre Cuenta" dataDxfId="4"/>
    <tableColumn id="2" xr3:uid="{00000000-0010-0000-0100-000002000000}" name="Nombre Cuenta ()" dataDxfId="3">
      <calculatedColumnFormula>+CONCATENATE(MID(Estructura_Balance[[#This Row],[Nombre Cuenta]],1,3)," - ", ,MID(Estructura_Balance[[#This Row],[Nombre Cuenta]],6,144))</calculatedColumnFormula>
    </tableColumn>
    <tableColumn id="3" xr3:uid="{00000000-0010-0000-0100-000003000000}" name="Largo" dataDxfId="2">
      <calculatedColumnFormula>+LEN([1]!Estructura_Balance[[#This Row],[Nombre Cuenta]])</calculatedColumnFormula>
    </tableColumn>
    <tableColumn id="9" xr3:uid="{00000000-0010-0000-0100-000009000000}" name="Grupo" dataDxfId="1"/>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2000000}" name="Table8" displayName="Table8" ref="A1:I255" totalsRowShown="0">
  <autoFilter ref="A1:I255" xr:uid="{00000000-0009-0000-0100-000008000000}"/>
  <tableColumns count="9">
    <tableColumn id="1" xr3:uid="{00000000-0010-0000-0200-000001000000}" name="Nivel 1"/>
    <tableColumn id="2" xr3:uid="{00000000-0010-0000-0200-000002000000}" name="Nivel 2"/>
    <tableColumn id="3" xr3:uid="{00000000-0010-0000-0200-000003000000}" name="Nivel 3"/>
    <tableColumn id="4" xr3:uid="{00000000-0010-0000-0200-000004000000}" name="CPGC"/>
    <tableColumn id="5" xr3:uid="{00000000-0010-0000-0200-000005000000}" name="Niveles:2">
      <calculatedColumnFormula>+MID(Table8[[#This Row],[CPGC]],1,2)</calculatedColumnFormula>
    </tableColumn>
    <tableColumn id="6" xr3:uid="{00000000-0010-0000-0200-000006000000}" name="Niveles:3">
      <calculatedColumnFormula>+MID(Table8[[#This Row],[CPGC]],1,3)</calculatedColumnFormula>
    </tableColumn>
    <tableColumn id="7" xr3:uid="{00000000-0010-0000-0200-000007000000}" name="OrdenNivel3"/>
    <tableColumn id="8" xr3:uid="{00000000-0010-0000-0200-000008000000}" name="Nombre Cuenta"/>
    <tableColumn id="9" xr3:uid="{00000000-0010-0000-0200-000009000000}" name="Nombre Cuenta ()" dataDxfId="0">
      <calculatedColumnFormula>+CONCATENATE(MID(Table8[[#This Row],[Nombre Cuenta]],1,3)," - ", ,MID(Table8[[#This Row],[Nombre Cuenta]],6,144))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8.xml"/><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ivotTable" Target="../pivotTables/pivotTable8.xml"/><Relationship Id="rId1" Type="http://schemas.openxmlformats.org/officeDocument/2006/relationships/pivotTable" Target="../pivotTables/pivotTable7.xml"/><Relationship Id="rId4"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9.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15.bin"/><Relationship Id="rId4" Type="http://schemas.openxmlformats.org/officeDocument/2006/relationships/comments" Target="../comments2.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2.xml"/><Relationship Id="rId4" Type="http://schemas.microsoft.com/office/2007/relationships/slicer" Target="../slicers/slicer1.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3:E137"/>
  <sheetViews>
    <sheetView zoomScale="130" zoomScaleNormal="130" workbookViewId="0">
      <selection activeCell="G9" sqref="A5:G12"/>
    </sheetView>
  </sheetViews>
  <sheetFormatPr defaultColWidth="26.5703125" defaultRowHeight="17.100000000000001" customHeight="1"/>
  <cols>
    <col min="1" max="1" width="26.5703125" style="2"/>
    <col min="2" max="2" width="9.85546875" style="2" customWidth="1"/>
    <col min="3" max="3" width="73.85546875" style="1" customWidth="1"/>
    <col min="4" max="5" width="17" style="1" customWidth="1"/>
    <col min="6" max="16384" width="26.5703125" style="1"/>
  </cols>
  <sheetData>
    <row r="3" spans="1:5" ht="17.100000000000001" customHeight="1">
      <c r="A3" s="33"/>
      <c r="B3" s="33"/>
      <c r="C3" s="5"/>
      <c r="D3" s="353" t="s">
        <v>0</v>
      </c>
      <c r="E3" s="353"/>
    </row>
    <row r="4" spans="1:5" ht="17.100000000000001" customHeight="1">
      <c r="A4" s="291" t="s">
        <v>1</v>
      </c>
      <c r="B4" s="288" t="s">
        <v>2</v>
      </c>
      <c r="C4" s="288" t="s">
        <v>3</v>
      </c>
      <c r="D4" s="288" t="s">
        <v>4</v>
      </c>
      <c r="E4" s="288" t="s">
        <v>5</v>
      </c>
    </row>
    <row r="5" spans="1:5" ht="17.100000000000001" customHeight="1">
      <c r="A5" s="354" t="s">
        <v>6</v>
      </c>
      <c r="B5" s="12">
        <v>100</v>
      </c>
      <c r="C5" s="11" t="s">
        <v>7</v>
      </c>
      <c r="D5" s="3"/>
      <c r="E5" s="3"/>
    </row>
    <row r="6" spans="1:5" ht="17.100000000000001" customHeight="1">
      <c r="A6" s="354"/>
      <c r="B6" s="12">
        <v>112</v>
      </c>
      <c r="C6" s="11" t="s">
        <v>8</v>
      </c>
      <c r="D6" s="3"/>
      <c r="E6" s="3"/>
    </row>
    <row r="7" spans="1:5" ht="17.100000000000001" customHeight="1">
      <c r="A7" s="354"/>
      <c r="B7" s="12">
        <v>113</v>
      </c>
      <c r="C7" s="11" t="s">
        <v>9</v>
      </c>
      <c r="D7" s="3"/>
      <c r="E7" s="3"/>
    </row>
    <row r="8" spans="1:5" ht="17.100000000000001" customHeight="1">
      <c r="A8" s="354"/>
      <c r="B8" s="12">
        <v>120</v>
      </c>
      <c r="C8" s="11" t="s">
        <v>10</v>
      </c>
      <c r="D8" s="3"/>
      <c r="E8" s="3"/>
    </row>
    <row r="9" spans="1:5" ht="17.100000000000001" customHeight="1">
      <c r="A9" s="354"/>
      <c r="B9" s="12">
        <v>170</v>
      </c>
      <c r="C9" s="11" t="s">
        <v>11</v>
      </c>
      <c r="D9" s="3"/>
      <c r="E9" s="3"/>
    </row>
    <row r="10" spans="1:5" ht="17.100000000000001" customHeight="1">
      <c r="A10" s="354"/>
      <c r="B10" s="12">
        <v>171</v>
      </c>
      <c r="C10" s="11" t="s">
        <v>12</v>
      </c>
      <c r="D10" s="3"/>
      <c r="E10" s="3"/>
    </row>
    <row r="11" spans="1:5" ht="17.100000000000001" customHeight="1">
      <c r="A11" s="354"/>
      <c r="B11" s="12">
        <v>173</v>
      </c>
      <c r="C11" s="11" t="s">
        <v>13</v>
      </c>
      <c r="D11" s="3"/>
      <c r="E11" s="3"/>
    </row>
    <row r="12" spans="1:5" ht="17.100000000000001" customHeight="1">
      <c r="A12" s="354"/>
      <c r="B12" s="12">
        <v>180</v>
      </c>
      <c r="C12" s="11" t="s">
        <v>14</v>
      </c>
      <c r="D12" s="3"/>
      <c r="E12" s="3"/>
    </row>
    <row r="13" spans="1:5" ht="17.100000000000001" customHeight="1">
      <c r="A13" s="355" t="s">
        <v>15</v>
      </c>
      <c r="B13" s="14">
        <v>203</v>
      </c>
      <c r="C13" s="13" t="s">
        <v>16</v>
      </c>
      <c r="D13" s="4"/>
      <c r="E13" s="4"/>
    </row>
    <row r="14" spans="1:5" ht="17.100000000000001" customHeight="1">
      <c r="A14" s="356"/>
      <c r="B14" s="14">
        <v>206</v>
      </c>
      <c r="C14" s="13" t="s">
        <v>17</v>
      </c>
      <c r="D14" s="4"/>
      <c r="E14" s="4"/>
    </row>
    <row r="15" spans="1:5" ht="17.100000000000001" customHeight="1">
      <c r="A15" s="356"/>
      <c r="B15" s="14">
        <v>210</v>
      </c>
      <c r="C15" s="13" t="s">
        <v>18</v>
      </c>
      <c r="D15" s="4"/>
      <c r="E15" s="4"/>
    </row>
    <row r="16" spans="1:5" ht="17.100000000000001" customHeight="1">
      <c r="A16" s="356"/>
      <c r="B16" s="14">
        <v>211</v>
      </c>
      <c r="C16" s="13" t="s">
        <v>19</v>
      </c>
      <c r="D16" s="4"/>
      <c r="E16" s="4"/>
    </row>
    <row r="17" spans="1:5" ht="17.100000000000001" customHeight="1">
      <c r="A17" s="356"/>
      <c r="B17" s="14">
        <v>212</v>
      </c>
      <c r="C17" s="13" t="s">
        <v>20</v>
      </c>
      <c r="D17" s="4"/>
      <c r="E17" s="4"/>
    </row>
    <row r="18" spans="1:5" ht="17.100000000000001" customHeight="1">
      <c r="A18" s="356"/>
      <c r="B18" s="14">
        <v>213</v>
      </c>
      <c r="C18" s="13" t="s">
        <v>21</v>
      </c>
      <c r="D18" s="4"/>
      <c r="E18" s="4"/>
    </row>
    <row r="19" spans="1:5" ht="17.100000000000001" customHeight="1">
      <c r="A19" s="356"/>
      <c r="B19" s="14">
        <v>214</v>
      </c>
      <c r="C19" s="13" t="s">
        <v>22</v>
      </c>
      <c r="D19" s="4"/>
      <c r="E19" s="4"/>
    </row>
    <row r="20" spans="1:5" ht="17.100000000000001" customHeight="1">
      <c r="A20" s="356"/>
      <c r="B20" s="14">
        <v>216</v>
      </c>
      <c r="C20" s="13" t="s">
        <v>23</v>
      </c>
      <c r="D20" s="4"/>
      <c r="E20" s="4"/>
    </row>
    <row r="21" spans="1:5" ht="17.100000000000001" customHeight="1">
      <c r="A21" s="356"/>
      <c r="B21" s="14">
        <v>217</v>
      </c>
      <c r="C21" s="13" t="s">
        <v>24</v>
      </c>
      <c r="D21" s="4"/>
      <c r="E21" s="4"/>
    </row>
    <row r="22" spans="1:5" ht="17.100000000000001" customHeight="1">
      <c r="A22" s="356"/>
      <c r="B22" s="14">
        <v>218</v>
      </c>
      <c r="C22" s="13" t="s">
        <v>25</v>
      </c>
      <c r="D22" s="4"/>
      <c r="E22" s="4"/>
    </row>
    <row r="23" spans="1:5" ht="17.100000000000001" customHeight="1">
      <c r="A23" s="356"/>
      <c r="B23" s="14">
        <v>220</v>
      </c>
      <c r="C23" s="13" t="s">
        <v>26</v>
      </c>
      <c r="D23" s="4"/>
      <c r="E23" s="4"/>
    </row>
    <row r="24" spans="1:5" ht="17.100000000000001" customHeight="1">
      <c r="A24" s="356"/>
      <c r="B24" s="14">
        <v>221</v>
      </c>
      <c r="C24" s="13" t="s">
        <v>27</v>
      </c>
      <c r="D24" s="4"/>
      <c r="E24" s="4"/>
    </row>
    <row r="25" spans="1:5" ht="17.100000000000001" customHeight="1">
      <c r="A25" s="356"/>
      <c r="B25" s="14">
        <v>250</v>
      </c>
      <c r="C25" s="13" t="s">
        <v>28</v>
      </c>
      <c r="D25" s="4"/>
      <c r="E25" s="4"/>
    </row>
    <row r="26" spans="1:5" ht="17.100000000000001" customHeight="1">
      <c r="A26" s="356"/>
      <c r="B26" s="14">
        <v>252</v>
      </c>
      <c r="C26" s="13" t="s">
        <v>29</v>
      </c>
      <c r="D26" s="4"/>
      <c r="E26" s="4"/>
    </row>
    <row r="27" spans="1:5" ht="17.100000000000001" customHeight="1">
      <c r="A27" s="356"/>
      <c r="B27" s="14">
        <v>253</v>
      </c>
      <c r="C27" s="13" t="s">
        <v>30</v>
      </c>
      <c r="D27" s="4"/>
      <c r="E27" s="4"/>
    </row>
    <row r="28" spans="1:5" ht="17.100000000000001" customHeight="1">
      <c r="A28" s="356"/>
      <c r="B28" s="14">
        <v>258</v>
      </c>
      <c r="C28" s="13" t="s">
        <v>31</v>
      </c>
      <c r="D28" s="4"/>
      <c r="E28" s="4"/>
    </row>
    <row r="29" spans="1:5" ht="17.100000000000001" customHeight="1">
      <c r="A29" s="356"/>
      <c r="B29" s="14">
        <v>260</v>
      </c>
      <c r="C29" s="13" t="s">
        <v>32</v>
      </c>
      <c r="D29" s="4"/>
      <c r="E29" s="4"/>
    </row>
    <row r="30" spans="1:5" ht="17.100000000000001" customHeight="1">
      <c r="A30" s="356"/>
      <c r="B30" s="14">
        <v>280</v>
      </c>
      <c r="C30" s="13" t="s">
        <v>33</v>
      </c>
      <c r="D30" s="4"/>
      <c r="E30" s="4"/>
    </row>
    <row r="31" spans="1:5" ht="17.100000000000001" customHeight="1">
      <c r="A31" s="356"/>
      <c r="B31" s="14">
        <v>281</v>
      </c>
      <c r="C31" s="13" t="s">
        <v>34</v>
      </c>
      <c r="D31" s="4"/>
      <c r="E31" s="4"/>
    </row>
    <row r="32" spans="1:5" ht="17.100000000000001" customHeight="1">
      <c r="A32" s="356"/>
      <c r="B32" s="14">
        <v>282</v>
      </c>
      <c r="C32" s="13" t="s">
        <v>35</v>
      </c>
      <c r="D32" s="4"/>
      <c r="E32" s="4"/>
    </row>
    <row r="33" spans="1:5" ht="17.100000000000001" customHeight="1">
      <c r="A33" s="356"/>
      <c r="B33" s="14">
        <v>291</v>
      </c>
      <c r="C33" s="13" t="s">
        <v>36</v>
      </c>
      <c r="D33" s="4"/>
      <c r="E33" s="4"/>
    </row>
    <row r="34" spans="1:5" ht="17.100000000000001" customHeight="1">
      <c r="A34" s="357" t="s">
        <v>37</v>
      </c>
      <c r="B34" s="16">
        <v>300</v>
      </c>
      <c r="C34" s="15" t="s">
        <v>38</v>
      </c>
      <c r="D34" s="10"/>
      <c r="E34" s="10"/>
    </row>
    <row r="35" spans="1:5" ht="17.100000000000001" customHeight="1">
      <c r="A35" s="357"/>
      <c r="B35" s="16">
        <v>310</v>
      </c>
      <c r="C35" s="15" t="s">
        <v>39</v>
      </c>
      <c r="D35" s="10"/>
      <c r="E35" s="10"/>
    </row>
    <row r="36" spans="1:5" ht="17.100000000000001" customHeight="1">
      <c r="A36" s="357"/>
      <c r="B36" s="16">
        <v>321</v>
      </c>
      <c r="C36" s="15" t="s">
        <v>40</v>
      </c>
      <c r="D36" s="10"/>
      <c r="E36" s="10"/>
    </row>
    <row r="37" spans="1:5" ht="17.100000000000001" customHeight="1">
      <c r="A37" s="357"/>
      <c r="B37" s="16">
        <v>326</v>
      </c>
      <c r="C37" s="15" t="s">
        <v>41</v>
      </c>
      <c r="D37" s="10"/>
      <c r="E37" s="10"/>
    </row>
    <row r="38" spans="1:5" ht="17.100000000000001" customHeight="1">
      <c r="A38" s="357"/>
      <c r="B38" s="16">
        <v>327</v>
      </c>
      <c r="C38" s="15" t="s">
        <v>42</v>
      </c>
      <c r="D38" s="10"/>
      <c r="E38" s="10"/>
    </row>
    <row r="39" spans="1:5" ht="17.100000000000001" customHeight="1">
      <c r="A39" s="357"/>
      <c r="B39" s="16">
        <v>328</v>
      </c>
      <c r="C39" s="15" t="s">
        <v>43</v>
      </c>
      <c r="D39" s="10"/>
      <c r="E39" s="10"/>
    </row>
    <row r="40" spans="1:5" ht="17.100000000000001" customHeight="1">
      <c r="A40" s="357"/>
      <c r="B40" s="16">
        <v>330</v>
      </c>
      <c r="C40" s="15" t="s">
        <v>44</v>
      </c>
      <c r="D40" s="10"/>
      <c r="E40" s="10"/>
    </row>
    <row r="41" spans="1:5" ht="17.100000000000001" customHeight="1">
      <c r="A41" s="357"/>
      <c r="B41" s="16">
        <v>340</v>
      </c>
      <c r="C41" s="15" t="s">
        <v>45</v>
      </c>
      <c r="D41" s="10"/>
      <c r="E41" s="10"/>
    </row>
    <row r="42" spans="1:5" ht="17.100000000000001" customHeight="1">
      <c r="A42" s="358"/>
      <c r="B42" s="16">
        <v>350</v>
      </c>
      <c r="C42" s="15" t="s">
        <v>46</v>
      </c>
      <c r="D42" s="10"/>
      <c r="E42" s="10"/>
    </row>
    <row r="43" spans="1:5" ht="17.100000000000001" customHeight="1">
      <c r="A43" s="358"/>
      <c r="B43" s="16">
        <v>360</v>
      </c>
      <c r="C43" s="15" t="s">
        <v>47</v>
      </c>
      <c r="D43" s="10"/>
      <c r="E43" s="10"/>
    </row>
    <row r="44" spans="1:5" ht="17.100000000000001" customHeight="1">
      <c r="A44" s="358"/>
      <c r="B44" s="16">
        <v>365</v>
      </c>
      <c r="C44" s="15" t="s">
        <v>48</v>
      </c>
      <c r="D44" s="10"/>
      <c r="E44" s="10"/>
    </row>
    <row r="45" spans="1:5" ht="17.100000000000001" customHeight="1">
      <c r="A45" s="358"/>
      <c r="B45" s="16">
        <v>368</v>
      </c>
      <c r="C45" s="15" t="s">
        <v>49</v>
      </c>
      <c r="D45" s="10"/>
      <c r="E45" s="10"/>
    </row>
    <row r="46" spans="1:5" ht="17.100000000000001" customHeight="1">
      <c r="A46" s="358"/>
      <c r="B46" s="16">
        <v>390</v>
      </c>
      <c r="C46" s="15" t="s">
        <v>50</v>
      </c>
      <c r="D46" s="10"/>
      <c r="E46" s="10"/>
    </row>
    <row r="47" spans="1:5" ht="17.100000000000001" customHeight="1">
      <c r="A47" s="359" t="s">
        <v>51</v>
      </c>
      <c r="B47" s="18">
        <v>400</v>
      </c>
      <c r="C47" s="17" t="s">
        <v>52</v>
      </c>
      <c r="D47" s="6"/>
      <c r="E47" s="6"/>
    </row>
    <row r="48" spans="1:5" ht="17.100000000000001" customHeight="1">
      <c r="A48" s="360"/>
      <c r="B48" s="18">
        <v>407</v>
      </c>
      <c r="C48" s="17" t="s">
        <v>53</v>
      </c>
      <c r="D48" s="6"/>
      <c r="E48" s="6"/>
    </row>
    <row r="49" spans="1:5" ht="17.100000000000001" customHeight="1">
      <c r="A49" s="360"/>
      <c r="B49" s="18">
        <v>410</v>
      </c>
      <c r="C49" s="17" t="s">
        <v>54</v>
      </c>
      <c r="D49" s="6"/>
      <c r="E49" s="6"/>
    </row>
    <row r="50" spans="1:5" ht="17.100000000000001" customHeight="1">
      <c r="A50" s="360"/>
      <c r="B50" s="18">
        <v>430</v>
      </c>
      <c r="C50" s="17" t="s">
        <v>55</v>
      </c>
      <c r="D50" s="6"/>
      <c r="E50" s="6"/>
    </row>
    <row r="51" spans="1:5" ht="17.100000000000001" customHeight="1">
      <c r="A51" s="360"/>
      <c r="B51" s="18">
        <v>436</v>
      </c>
      <c r="C51" s="17" t="s">
        <v>56</v>
      </c>
      <c r="D51" s="6"/>
      <c r="E51" s="6"/>
    </row>
    <row r="52" spans="1:5" ht="17.100000000000001" customHeight="1">
      <c r="A52" s="360"/>
      <c r="B52" s="18">
        <v>438</v>
      </c>
      <c r="C52" s="17" t="s">
        <v>57</v>
      </c>
      <c r="D52" s="6"/>
      <c r="E52" s="6"/>
    </row>
    <row r="53" spans="1:5" ht="17.100000000000001" customHeight="1">
      <c r="A53" s="360"/>
      <c r="B53" s="18">
        <v>440</v>
      </c>
      <c r="C53" s="17" t="s">
        <v>58</v>
      </c>
      <c r="D53" s="6"/>
      <c r="E53" s="6"/>
    </row>
    <row r="54" spans="1:5" ht="17.100000000000001" customHeight="1">
      <c r="A54" s="360"/>
      <c r="B54" s="18">
        <v>460</v>
      </c>
      <c r="C54" s="17" t="s">
        <v>59</v>
      </c>
      <c r="D54" s="6"/>
      <c r="E54" s="6"/>
    </row>
    <row r="55" spans="1:5" ht="17.100000000000001" customHeight="1">
      <c r="A55" s="360"/>
      <c r="B55" s="18">
        <v>465</v>
      </c>
      <c r="C55" s="17" t="s">
        <v>60</v>
      </c>
      <c r="D55" s="6"/>
      <c r="E55" s="6"/>
    </row>
    <row r="56" spans="1:5" ht="17.100000000000001" customHeight="1">
      <c r="A56" s="360"/>
      <c r="B56" s="18">
        <v>4700</v>
      </c>
      <c r="C56" s="17" t="s">
        <v>61</v>
      </c>
      <c r="D56" s="6"/>
      <c r="E56" s="6"/>
    </row>
    <row r="57" spans="1:5" ht="17.100000000000001" customHeight="1">
      <c r="A57" s="360"/>
      <c r="B57" s="18">
        <v>471</v>
      </c>
      <c r="C57" s="17" t="s">
        <v>62</v>
      </c>
      <c r="D57" s="6"/>
      <c r="E57" s="6"/>
    </row>
    <row r="58" spans="1:5" ht="17.100000000000001" customHeight="1">
      <c r="A58" s="360"/>
      <c r="B58" s="18">
        <v>472</v>
      </c>
      <c r="C58" s="17" t="s">
        <v>63</v>
      </c>
      <c r="D58" s="6"/>
      <c r="E58" s="6"/>
    </row>
    <row r="59" spans="1:5" ht="17.100000000000001" customHeight="1">
      <c r="A59" s="360"/>
      <c r="B59" s="18">
        <v>473</v>
      </c>
      <c r="C59" s="17" t="s">
        <v>64</v>
      </c>
      <c r="D59" s="6"/>
      <c r="E59" s="6"/>
    </row>
    <row r="60" spans="1:5" ht="17.100000000000001" customHeight="1">
      <c r="A60" s="360"/>
      <c r="B60" s="18">
        <v>4750</v>
      </c>
      <c r="C60" s="17" t="s">
        <v>65</v>
      </c>
      <c r="D60" s="6"/>
      <c r="E60" s="6"/>
    </row>
    <row r="61" spans="1:5" ht="17.100000000000001" customHeight="1">
      <c r="A61" s="360"/>
      <c r="B61" s="18">
        <v>4751</v>
      </c>
      <c r="C61" s="17" t="s">
        <v>66</v>
      </c>
      <c r="D61" s="6"/>
      <c r="E61" s="6"/>
    </row>
    <row r="62" spans="1:5" ht="17.100000000000001" customHeight="1">
      <c r="A62" s="360"/>
      <c r="B62" s="18">
        <v>4752</v>
      </c>
      <c r="C62" s="17" t="s">
        <v>67</v>
      </c>
      <c r="D62" s="6"/>
      <c r="E62" s="6"/>
    </row>
    <row r="63" spans="1:5" ht="17.100000000000001" customHeight="1">
      <c r="A63" s="360"/>
      <c r="B63" s="18">
        <v>476</v>
      </c>
      <c r="C63" s="17" t="s">
        <v>68</v>
      </c>
      <c r="D63" s="6"/>
      <c r="E63" s="6"/>
    </row>
    <row r="64" spans="1:5" ht="17.100000000000001" customHeight="1">
      <c r="A64" s="360"/>
      <c r="B64" s="18">
        <v>477</v>
      </c>
      <c r="C64" s="17" t="s">
        <v>69</v>
      </c>
      <c r="D64" s="6"/>
      <c r="E64" s="6"/>
    </row>
    <row r="65" spans="1:5" ht="17.100000000000001" customHeight="1">
      <c r="A65" s="360"/>
      <c r="B65" s="18">
        <v>480</v>
      </c>
      <c r="C65" s="17" t="s">
        <v>70</v>
      </c>
      <c r="D65" s="6"/>
      <c r="E65" s="6"/>
    </row>
    <row r="66" spans="1:5" ht="17.100000000000001" customHeight="1">
      <c r="A66" s="360"/>
      <c r="B66" s="18">
        <v>485</v>
      </c>
      <c r="C66" s="17" t="s">
        <v>71</v>
      </c>
      <c r="D66" s="6"/>
      <c r="E66" s="6"/>
    </row>
    <row r="67" spans="1:5" ht="17.100000000000001" customHeight="1">
      <c r="A67" s="360"/>
      <c r="B67" s="18">
        <v>490</v>
      </c>
      <c r="C67" s="17" t="s">
        <v>72</v>
      </c>
      <c r="D67" s="6"/>
      <c r="E67" s="6"/>
    </row>
    <row r="68" spans="1:5" ht="17.100000000000001" customHeight="1">
      <c r="A68" s="351" t="s">
        <v>73</v>
      </c>
      <c r="B68" s="20">
        <v>520</v>
      </c>
      <c r="C68" s="19" t="s">
        <v>74</v>
      </c>
      <c r="D68" s="9"/>
      <c r="E68" s="9"/>
    </row>
    <row r="69" spans="1:5" ht="17.100000000000001" customHeight="1">
      <c r="A69" s="351"/>
      <c r="B69" s="20">
        <v>521</v>
      </c>
      <c r="C69" s="19" t="s">
        <v>75</v>
      </c>
      <c r="D69" s="9"/>
      <c r="E69" s="9"/>
    </row>
    <row r="70" spans="1:5" ht="17.100000000000001" customHeight="1">
      <c r="A70" s="351"/>
      <c r="B70" s="20">
        <v>523</v>
      </c>
      <c r="C70" s="19" t="s">
        <v>76</v>
      </c>
      <c r="D70" s="9"/>
      <c r="E70" s="9"/>
    </row>
    <row r="71" spans="1:5" ht="17.100000000000001" customHeight="1">
      <c r="A71" s="351"/>
      <c r="B71" s="20">
        <v>526</v>
      </c>
      <c r="C71" s="19" t="s">
        <v>77</v>
      </c>
      <c r="D71" s="9"/>
      <c r="E71" s="9"/>
    </row>
    <row r="72" spans="1:5" ht="17.100000000000001" customHeight="1">
      <c r="A72" s="351"/>
      <c r="B72" s="20">
        <v>527</v>
      </c>
      <c r="C72" s="19" t="s">
        <v>78</v>
      </c>
      <c r="D72" s="9"/>
      <c r="E72" s="9"/>
    </row>
    <row r="73" spans="1:5" ht="17.100000000000001" customHeight="1">
      <c r="A73" s="351"/>
      <c r="B73" s="20">
        <v>528</v>
      </c>
      <c r="C73" s="19" t="s">
        <v>79</v>
      </c>
      <c r="D73" s="9"/>
      <c r="E73" s="9"/>
    </row>
    <row r="74" spans="1:5" ht="17.100000000000001" customHeight="1">
      <c r="A74" s="351"/>
      <c r="B74" s="20">
        <v>540</v>
      </c>
      <c r="C74" s="19" t="s">
        <v>80</v>
      </c>
      <c r="D74" s="9"/>
      <c r="E74" s="9"/>
    </row>
    <row r="75" spans="1:5" ht="17.100000000000001" customHeight="1">
      <c r="A75" s="351"/>
      <c r="B75" s="20">
        <v>542</v>
      </c>
      <c r="C75" s="19" t="s">
        <v>81</v>
      </c>
      <c r="D75" s="9"/>
      <c r="E75" s="9"/>
    </row>
    <row r="76" spans="1:5" ht="17.100000000000001" customHeight="1">
      <c r="A76" s="351"/>
      <c r="B76" s="20">
        <v>543</v>
      </c>
      <c r="C76" s="19" t="s">
        <v>82</v>
      </c>
      <c r="D76" s="9"/>
      <c r="E76" s="9"/>
    </row>
    <row r="77" spans="1:5" ht="17.100000000000001" customHeight="1">
      <c r="A77" s="351"/>
      <c r="B77" s="20">
        <v>547</v>
      </c>
      <c r="C77" s="19" t="s">
        <v>83</v>
      </c>
      <c r="D77" s="9"/>
      <c r="E77" s="9"/>
    </row>
    <row r="78" spans="1:5" ht="17.100000000000001" customHeight="1">
      <c r="A78" s="351"/>
      <c r="B78" s="20">
        <v>548</v>
      </c>
      <c r="C78" s="19" t="s">
        <v>84</v>
      </c>
      <c r="D78" s="9"/>
      <c r="E78" s="9"/>
    </row>
    <row r="79" spans="1:5" ht="17.100000000000001" customHeight="1">
      <c r="A79" s="352"/>
      <c r="B79" s="20">
        <v>557</v>
      </c>
      <c r="C79" s="19" t="s">
        <v>85</v>
      </c>
      <c r="D79" s="9"/>
      <c r="E79" s="9"/>
    </row>
    <row r="80" spans="1:5" ht="17.100000000000001" customHeight="1">
      <c r="A80" s="352"/>
      <c r="B80" s="20">
        <v>560</v>
      </c>
      <c r="C80" s="19" t="s">
        <v>86</v>
      </c>
      <c r="D80" s="9"/>
      <c r="E80" s="9"/>
    </row>
    <row r="81" spans="1:5" ht="17.100000000000001" customHeight="1">
      <c r="A81" s="352"/>
      <c r="B81" s="20">
        <v>565</v>
      </c>
      <c r="C81" s="19" t="s">
        <v>87</v>
      </c>
      <c r="D81" s="9"/>
      <c r="E81" s="9"/>
    </row>
    <row r="82" spans="1:5" ht="17.100000000000001" customHeight="1">
      <c r="A82" s="352"/>
      <c r="B82" s="20">
        <v>570</v>
      </c>
      <c r="C82" s="19" t="s">
        <v>88</v>
      </c>
      <c r="D82" s="9"/>
      <c r="E82" s="9"/>
    </row>
    <row r="83" spans="1:5" ht="17.100000000000001" customHeight="1">
      <c r="A83" s="352"/>
      <c r="B83" s="20">
        <v>572</v>
      </c>
      <c r="C83" s="19" t="s">
        <v>89</v>
      </c>
      <c r="D83" s="9"/>
      <c r="E83" s="9"/>
    </row>
    <row r="84" spans="1:5" ht="17.100000000000001" customHeight="1">
      <c r="A84" s="347" t="s">
        <v>90</v>
      </c>
      <c r="B84" s="22">
        <v>600</v>
      </c>
      <c r="C84" s="21" t="s">
        <v>91</v>
      </c>
      <c r="D84" s="8"/>
      <c r="E84" s="8"/>
    </row>
    <row r="85" spans="1:5" ht="17.100000000000001" customHeight="1">
      <c r="A85" s="348"/>
      <c r="B85" s="22">
        <v>601</v>
      </c>
      <c r="C85" s="21" t="s">
        <v>92</v>
      </c>
      <c r="D85" s="8"/>
      <c r="E85" s="8"/>
    </row>
    <row r="86" spans="1:5" customFormat="1" ht="15">
      <c r="A86" s="348"/>
      <c r="B86" s="22">
        <v>606</v>
      </c>
      <c r="C86" s="21" t="s">
        <v>93</v>
      </c>
      <c r="D86" s="7"/>
      <c r="E86" s="7"/>
    </row>
    <row r="87" spans="1:5" customFormat="1" ht="15">
      <c r="A87" s="348"/>
      <c r="B87" s="22">
        <v>608</v>
      </c>
      <c r="C87" s="21" t="s">
        <v>94</v>
      </c>
      <c r="D87" s="7"/>
      <c r="E87" s="7"/>
    </row>
    <row r="88" spans="1:5" customFormat="1" ht="15">
      <c r="A88" s="348"/>
      <c r="B88" s="22">
        <v>609</v>
      </c>
      <c r="C88" s="21" t="s">
        <v>95</v>
      </c>
      <c r="D88" s="7"/>
      <c r="E88" s="7"/>
    </row>
    <row r="89" spans="1:5" customFormat="1" ht="15">
      <c r="A89" s="348"/>
      <c r="B89" s="22">
        <v>610</v>
      </c>
      <c r="C89" s="21" t="s">
        <v>96</v>
      </c>
      <c r="D89" s="7"/>
      <c r="E89" s="7"/>
    </row>
    <row r="90" spans="1:5" customFormat="1" ht="15">
      <c r="A90" s="348"/>
      <c r="B90" s="22">
        <v>611</v>
      </c>
      <c r="C90" s="21" t="s">
        <v>97</v>
      </c>
      <c r="D90" s="7"/>
      <c r="E90" s="7"/>
    </row>
    <row r="91" spans="1:5" customFormat="1" ht="15">
      <c r="A91" s="348"/>
      <c r="B91" s="22">
        <v>621</v>
      </c>
      <c r="C91" s="21" t="s">
        <v>98</v>
      </c>
      <c r="D91" s="7"/>
      <c r="E91" s="7"/>
    </row>
    <row r="92" spans="1:5" customFormat="1" ht="15">
      <c r="A92" s="348"/>
      <c r="B92" s="22">
        <v>622</v>
      </c>
      <c r="C92" s="21" t="s">
        <v>99</v>
      </c>
      <c r="D92" s="7"/>
      <c r="E92" s="7"/>
    </row>
    <row r="93" spans="1:5" customFormat="1" ht="15">
      <c r="A93" s="348"/>
      <c r="B93" s="22">
        <v>623</v>
      </c>
      <c r="C93" s="21" t="s">
        <v>100</v>
      </c>
      <c r="D93" s="7"/>
      <c r="E93" s="7"/>
    </row>
    <row r="94" spans="1:5" customFormat="1" ht="15">
      <c r="A94" s="348"/>
      <c r="B94" s="22">
        <v>624</v>
      </c>
      <c r="C94" s="21" t="s">
        <v>101</v>
      </c>
      <c r="D94" s="7"/>
      <c r="E94" s="7"/>
    </row>
    <row r="95" spans="1:5" customFormat="1" ht="15">
      <c r="A95" s="348"/>
      <c r="B95" s="22">
        <v>625</v>
      </c>
      <c r="C95" s="21" t="s">
        <v>102</v>
      </c>
      <c r="D95" s="7"/>
      <c r="E95" s="7"/>
    </row>
    <row r="96" spans="1:5" customFormat="1" ht="15">
      <c r="A96" s="348"/>
      <c r="B96" s="22">
        <v>626</v>
      </c>
      <c r="C96" s="21" t="s">
        <v>103</v>
      </c>
      <c r="D96" s="7"/>
      <c r="E96" s="7"/>
    </row>
    <row r="97" spans="1:5" customFormat="1" ht="15">
      <c r="A97" s="348"/>
      <c r="B97" s="22">
        <v>627</v>
      </c>
      <c r="C97" s="21" t="s">
        <v>104</v>
      </c>
      <c r="D97" s="7"/>
      <c r="E97" s="7"/>
    </row>
    <row r="98" spans="1:5" customFormat="1" ht="15">
      <c r="A98" s="348"/>
      <c r="B98" s="22">
        <v>628</v>
      </c>
      <c r="C98" s="21" t="s">
        <v>105</v>
      </c>
      <c r="D98" s="7"/>
      <c r="E98" s="7"/>
    </row>
    <row r="99" spans="1:5" customFormat="1" ht="15">
      <c r="A99" s="348"/>
      <c r="B99" s="22">
        <v>629</v>
      </c>
      <c r="C99" s="21" t="s">
        <v>106</v>
      </c>
      <c r="D99" s="7"/>
      <c r="E99" s="7"/>
    </row>
    <row r="100" spans="1:5" customFormat="1" ht="15">
      <c r="A100" s="348"/>
      <c r="B100" s="22">
        <v>630</v>
      </c>
      <c r="C100" s="21" t="s">
        <v>107</v>
      </c>
      <c r="D100" s="7"/>
      <c r="E100" s="7"/>
    </row>
    <row r="101" spans="1:5" customFormat="1" ht="15">
      <c r="A101" s="348"/>
      <c r="B101" s="22">
        <v>640</v>
      </c>
      <c r="C101" s="21" t="s">
        <v>108</v>
      </c>
      <c r="D101" s="7"/>
      <c r="E101" s="7"/>
    </row>
    <row r="102" spans="1:5" customFormat="1" ht="15">
      <c r="A102" s="348"/>
      <c r="B102" s="22">
        <v>642</v>
      </c>
      <c r="C102" s="21" t="s">
        <v>109</v>
      </c>
      <c r="D102" s="7"/>
      <c r="E102" s="7"/>
    </row>
    <row r="103" spans="1:5" customFormat="1" ht="15">
      <c r="A103" s="348"/>
      <c r="B103" s="22">
        <v>650</v>
      </c>
      <c r="C103" s="21" t="s">
        <v>110</v>
      </c>
      <c r="D103" s="7"/>
      <c r="E103" s="7"/>
    </row>
    <row r="104" spans="1:5" customFormat="1" ht="15">
      <c r="A104" s="348"/>
      <c r="B104" s="22">
        <v>662</v>
      </c>
      <c r="C104" s="21" t="s">
        <v>111</v>
      </c>
      <c r="D104" s="7"/>
      <c r="E104" s="7"/>
    </row>
    <row r="105" spans="1:5" customFormat="1" ht="15">
      <c r="A105" s="348"/>
      <c r="B105" s="22">
        <v>669</v>
      </c>
      <c r="C105" s="21" t="s">
        <v>112</v>
      </c>
      <c r="D105" s="7"/>
      <c r="E105" s="7"/>
    </row>
    <row r="106" spans="1:5" customFormat="1" ht="15">
      <c r="A106" s="348"/>
      <c r="B106" s="22">
        <v>670</v>
      </c>
      <c r="C106" s="21" t="s">
        <v>113</v>
      </c>
      <c r="D106" s="7"/>
      <c r="E106" s="7"/>
    </row>
    <row r="107" spans="1:5" customFormat="1" ht="15">
      <c r="A107" s="348"/>
      <c r="B107" s="22">
        <v>671</v>
      </c>
      <c r="C107" s="21" t="s">
        <v>114</v>
      </c>
      <c r="D107" s="7"/>
      <c r="E107" s="7"/>
    </row>
    <row r="108" spans="1:5" customFormat="1" ht="15">
      <c r="A108" s="348"/>
      <c r="B108" s="22">
        <v>672</v>
      </c>
      <c r="C108" s="21" t="s">
        <v>115</v>
      </c>
      <c r="D108" s="7"/>
      <c r="E108" s="7"/>
    </row>
    <row r="109" spans="1:5" customFormat="1" ht="15">
      <c r="A109" s="348"/>
      <c r="B109" s="22">
        <v>678</v>
      </c>
      <c r="C109" s="21" t="s">
        <v>116</v>
      </c>
      <c r="D109" s="7"/>
      <c r="E109" s="7"/>
    </row>
    <row r="110" spans="1:5" customFormat="1" ht="15">
      <c r="A110" s="348"/>
      <c r="B110" s="22">
        <v>680</v>
      </c>
      <c r="C110" s="21" t="s">
        <v>117</v>
      </c>
      <c r="D110" s="7"/>
      <c r="E110" s="7"/>
    </row>
    <row r="111" spans="1:5" customFormat="1" ht="15">
      <c r="A111" s="348"/>
      <c r="B111" s="22">
        <v>681</v>
      </c>
      <c r="C111" s="21" t="s">
        <v>118</v>
      </c>
      <c r="D111" s="7"/>
      <c r="E111" s="7"/>
    </row>
    <row r="112" spans="1:5" customFormat="1" ht="15">
      <c r="A112" s="348"/>
      <c r="B112" s="22">
        <v>682</v>
      </c>
      <c r="C112" s="21" t="s">
        <v>119</v>
      </c>
      <c r="D112" s="7"/>
      <c r="E112" s="7"/>
    </row>
    <row r="113" spans="1:5" customFormat="1" ht="15">
      <c r="A113" s="348"/>
      <c r="B113" s="22">
        <v>691</v>
      </c>
      <c r="C113" s="21" t="s">
        <v>120</v>
      </c>
      <c r="D113" s="7"/>
      <c r="E113" s="7"/>
    </row>
    <row r="114" spans="1:5" customFormat="1" ht="15">
      <c r="A114" s="348"/>
      <c r="B114" s="22">
        <v>693</v>
      </c>
      <c r="C114" s="21" t="s">
        <v>121</v>
      </c>
      <c r="D114" s="7"/>
      <c r="E114" s="7"/>
    </row>
    <row r="115" spans="1:5" customFormat="1" ht="15">
      <c r="A115" s="348"/>
      <c r="B115" s="22">
        <v>694</v>
      </c>
      <c r="C115" s="21" t="s">
        <v>122</v>
      </c>
      <c r="D115" s="7"/>
      <c r="E115" s="7"/>
    </row>
    <row r="116" spans="1:5" customFormat="1" ht="15">
      <c r="A116" s="349" t="s">
        <v>123</v>
      </c>
      <c r="B116" s="24">
        <v>700</v>
      </c>
      <c r="C116" s="23" t="s">
        <v>124</v>
      </c>
      <c r="D116" s="25"/>
      <c r="E116" s="25"/>
    </row>
    <row r="117" spans="1:5" customFormat="1" ht="15">
      <c r="A117" s="350"/>
      <c r="B117" s="24">
        <v>701</v>
      </c>
      <c r="C117" s="23" t="s">
        <v>125</v>
      </c>
      <c r="D117" s="25"/>
      <c r="E117" s="25"/>
    </row>
    <row r="118" spans="1:5" customFormat="1" ht="15">
      <c r="A118" s="350"/>
      <c r="B118" s="24">
        <v>702</v>
      </c>
      <c r="C118" s="23" t="s">
        <v>126</v>
      </c>
      <c r="D118" s="25"/>
      <c r="E118" s="25"/>
    </row>
    <row r="119" spans="1:5" customFormat="1" ht="15">
      <c r="A119" s="350"/>
      <c r="B119" s="24">
        <v>703</v>
      </c>
      <c r="C119" s="23" t="s">
        <v>127</v>
      </c>
      <c r="D119" s="25"/>
      <c r="E119" s="25"/>
    </row>
    <row r="120" spans="1:5" customFormat="1" ht="15">
      <c r="A120" s="350"/>
      <c r="B120" s="24">
        <v>705</v>
      </c>
      <c r="C120" s="23" t="s">
        <v>128</v>
      </c>
      <c r="D120" s="25"/>
      <c r="E120" s="25"/>
    </row>
    <row r="121" spans="1:5" customFormat="1" ht="15">
      <c r="A121" s="350"/>
      <c r="B121" s="24">
        <v>706</v>
      </c>
      <c r="C121" s="23" t="s">
        <v>129</v>
      </c>
      <c r="D121" s="25"/>
      <c r="E121" s="25"/>
    </row>
    <row r="122" spans="1:5" customFormat="1" ht="15">
      <c r="A122" s="350"/>
      <c r="B122" s="24">
        <v>708</v>
      </c>
      <c r="C122" s="23" t="s">
        <v>130</v>
      </c>
      <c r="D122" s="25"/>
      <c r="E122" s="25"/>
    </row>
    <row r="123" spans="1:5" customFormat="1" ht="15">
      <c r="A123" s="350"/>
      <c r="B123" s="24">
        <v>709</v>
      </c>
      <c r="C123" s="23" t="s">
        <v>131</v>
      </c>
      <c r="D123" s="25"/>
      <c r="E123" s="25"/>
    </row>
    <row r="124" spans="1:5" customFormat="1" ht="15">
      <c r="A124" s="350"/>
      <c r="B124" s="24">
        <v>710</v>
      </c>
      <c r="C124" s="23" t="s">
        <v>132</v>
      </c>
      <c r="D124" s="25"/>
      <c r="E124" s="25"/>
    </row>
    <row r="125" spans="1:5" customFormat="1" ht="15">
      <c r="A125" s="350"/>
      <c r="B125" s="24">
        <v>711</v>
      </c>
      <c r="C125" s="23" t="s">
        <v>133</v>
      </c>
      <c r="D125" s="25"/>
      <c r="E125" s="25"/>
    </row>
    <row r="126" spans="1:5" customFormat="1" ht="15">
      <c r="A126" s="350"/>
      <c r="B126" s="24">
        <v>712</v>
      </c>
      <c r="C126" s="23" t="s">
        <v>134</v>
      </c>
      <c r="D126" s="25"/>
      <c r="E126" s="25"/>
    </row>
    <row r="127" spans="1:5" customFormat="1" ht="15">
      <c r="A127" s="350"/>
      <c r="B127" s="24">
        <v>713</v>
      </c>
      <c r="C127" s="23" t="s">
        <v>135</v>
      </c>
      <c r="D127" s="25"/>
      <c r="E127" s="25"/>
    </row>
    <row r="128" spans="1:5" customFormat="1" ht="15">
      <c r="A128" s="350"/>
      <c r="B128" s="24">
        <v>752</v>
      </c>
      <c r="C128" s="23" t="s">
        <v>136</v>
      </c>
      <c r="D128" s="25"/>
      <c r="E128" s="25"/>
    </row>
    <row r="129" spans="1:5" customFormat="1" ht="15">
      <c r="A129" s="350"/>
      <c r="B129" s="24">
        <v>762</v>
      </c>
      <c r="C129" s="23" t="s">
        <v>137</v>
      </c>
      <c r="D129" s="25"/>
      <c r="E129" s="25"/>
    </row>
    <row r="130" spans="1:5" customFormat="1" ht="15">
      <c r="A130" s="350"/>
      <c r="B130" s="24">
        <v>769</v>
      </c>
      <c r="C130" s="23" t="s">
        <v>138</v>
      </c>
      <c r="D130" s="25"/>
      <c r="E130" s="25"/>
    </row>
    <row r="131" spans="1:5" customFormat="1" ht="15">
      <c r="A131" s="350"/>
      <c r="B131" s="24">
        <v>770</v>
      </c>
      <c r="C131" s="23" t="s">
        <v>139</v>
      </c>
      <c r="D131" s="25"/>
      <c r="E131" s="25"/>
    </row>
    <row r="132" spans="1:5" customFormat="1" ht="15">
      <c r="A132" s="350"/>
      <c r="B132" s="24">
        <v>771</v>
      </c>
      <c r="C132" s="23" t="s">
        <v>140</v>
      </c>
      <c r="D132" s="25"/>
      <c r="E132" s="25"/>
    </row>
    <row r="133" spans="1:5" customFormat="1" ht="15">
      <c r="A133" s="350"/>
      <c r="B133" s="24">
        <v>772</v>
      </c>
      <c r="C133" s="23" t="s">
        <v>141</v>
      </c>
      <c r="D133" s="25"/>
      <c r="E133" s="25"/>
    </row>
    <row r="134" spans="1:5" customFormat="1" ht="15">
      <c r="A134" s="350"/>
      <c r="B134" s="24">
        <v>778</v>
      </c>
      <c r="C134" s="23" t="s">
        <v>142</v>
      </c>
      <c r="D134" s="25"/>
      <c r="E134" s="25"/>
    </row>
    <row r="135" spans="1:5" customFormat="1" ht="15">
      <c r="A135" s="350"/>
      <c r="B135" s="24">
        <v>791</v>
      </c>
      <c r="C135" s="23" t="s">
        <v>143</v>
      </c>
      <c r="D135" s="25"/>
      <c r="E135" s="25"/>
    </row>
    <row r="136" spans="1:5" customFormat="1" ht="15">
      <c r="A136" s="350"/>
      <c r="B136" s="24">
        <v>794</v>
      </c>
      <c r="C136" s="23" t="s">
        <v>144</v>
      </c>
      <c r="D136" s="25"/>
      <c r="E136" s="25"/>
    </row>
    <row r="137" spans="1:5" ht="17.100000000000001" customHeight="1">
      <c r="D137" s="26">
        <f>SUM(D5:D136)</f>
        <v>0</v>
      </c>
      <c r="E137" s="26">
        <f>SUM(E5:E136)</f>
        <v>0</v>
      </c>
    </row>
  </sheetData>
  <mergeCells count="8">
    <mergeCell ref="A84:A115"/>
    <mergeCell ref="A116:A136"/>
    <mergeCell ref="A68:A83"/>
    <mergeCell ref="D3:E3"/>
    <mergeCell ref="A5:A12"/>
    <mergeCell ref="A13:A33"/>
    <mergeCell ref="A34:A46"/>
    <mergeCell ref="A47:A67"/>
  </mergeCells>
  <pageMargins left="0.70866141732283472" right="0.70866141732283472" top="0.74803149606299213" bottom="0.74803149606299213" header="0.31496062992125984" footer="0.31496062992125984"/>
  <pageSetup paperSize="9" scale="68" fitToHeight="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1"/>
  <dimension ref="A1:O186"/>
  <sheetViews>
    <sheetView zoomScale="70" zoomScaleNormal="70" workbookViewId="0">
      <selection activeCell="B32" sqref="B32"/>
    </sheetView>
  </sheetViews>
  <sheetFormatPr defaultColWidth="20.7109375" defaultRowHeight="14.25"/>
  <cols>
    <col min="1" max="1" width="4.28515625" style="57" customWidth="1"/>
    <col min="2" max="3" width="31.85546875" style="54" customWidth="1"/>
    <col min="4" max="4" width="4.28515625" style="58" customWidth="1"/>
    <col min="5" max="6" width="32.140625" style="54" customWidth="1"/>
    <col min="7" max="7" width="4.28515625" style="58" customWidth="1"/>
    <col min="8" max="9" width="34.5703125" style="54" customWidth="1"/>
    <col min="10" max="10" width="4.28515625" style="58" customWidth="1"/>
    <col min="11" max="12" width="32.5703125" style="54" customWidth="1"/>
    <col min="13" max="13" width="20.7109375" style="44" customWidth="1"/>
    <col min="14" max="15" width="24.42578125" style="44" customWidth="1"/>
    <col min="16" max="16384" width="20.7109375" style="44"/>
  </cols>
  <sheetData>
    <row r="1" spans="2:15" ht="14.25" customHeight="1"/>
    <row r="2" spans="2:15" ht="14.25" customHeight="1">
      <c r="B2" s="59"/>
      <c r="C2" s="59"/>
    </row>
    <row r="3" spans="2:15" ht="14.25" customHeight="1" thickBot="1">
      <c r="B3" s="421" t="s">
        <v>473</v>
      </c>
      <c r="C3" s="421"/>
      <c r="E3" s="421" t="s">
        <v>475</v>
      </c>
      <c r="F3" s="421"/>
      <c r="H3" s="421" t="s">
        <v>477</v>
      </c>
      <c r="I3" s="421"/>
      <c r="K3" s="417" t="s">
        <v>714</v>
      </c>
      <c r="L3" s="417"/>
      <c r="N3" s="418" t="s">
        <v>454</v>
      </c>
      <c r="O3" s="418"/>
    </row>
    <row r="4" spans="2:15" ht="14.25" customHeight="1" thickBot="1">
      <c r="B4" s="60">
        <f>C4</f>
        <v>3000</v>
      </c>
      <c r="C4" s="61">
        <v>3000</v>
      </c>
      <c r="E4" s="60">
        <v>600</v>
      </c>
      <c r="F4" s="61">
        <v>500</v>
      </c>
      <c r="H4" s="62">
        <v>220000</v>
      </c>
      <c r="I4" s="61">
        <v>220000</v>
      </c>
      <c r="K4" s="62">
        <v>120000</v>
      </c>
      <c r="L4" s="61">
        <v>120000</v>
      </c>
      <c r="N4" s="419" t="s">
        <v>715</v>
      </c>
      <c r="O4" s="420"/>
    </row>
    <row r="5" spans="2:15" ht="14.25" customHeight="1" thickBot="1">
      <c r="B5" s="63"/>
      <c r="C5" s="64"/>
      <c r="E5" s="62"/>
      <c r="F5" s="65">
        <v>100</v>
      </c>
      <c r="H5" s="62">
        <v>48440</v>
      </c>
      <c r="I5" s="65">
        <v>95481</v>
      </c>
      <c r="K5" s="66"/>
      <c r="L5" s="67"/>
      <c r="N5" s="37"/>
      <c r="O5" s="38"/>
    </row>
    <row r="6" spans="2:15" ht="14.25" customHeight="1" thickBot="1">
      <c r="B6" s="68"/>
      <c r="C6" s="69"/>
      <c r="E6" s="66"/>
      <c r="F6" s="67"/>
      <c r="H6" s="62">
        <v>11785.25</v>
      </c>
      <c r="I6" s="65"/>
      <c r="K6" s="66"/>
      <c r="L6" s="67"/>
      <c r="N6" s="39" t="s">
        <v>716</v>
      </c>
      <c r="O6" s="40" t="s">
        <v>717</v>
      </c>
    </row>
    <row r="7" spans="2:15" ht="14.25" customHeight="1" thickBot="1">
      <c r="B7" s="63"/>
      <c r="C7" s="64"/>
      <c r="E7" s="66"/>
      <c r="F7" s="67"/>
      <c r="H7" s="60">
        <f>I4+I5-H4-H5-H6</f>
        <v>35255.75</v>
      </c>
      <c r="I7" s="65"/>
      <c r="K7" s="66"/>
      <c r="L7" s="67"/>
      <c r="N7" s="41"/>
      <c r="O7" s="42"/>
    </row>
    <row r="8" spans="2:15" ht="14.25" customHeight="1" thickBot="1">
      <c r="B8" s="68"/>
      <c r="C8" s="69"/>
      <c r="E8" s="66"/>
      <c r="F8" s="67"/>
      <c r="H8" s="66"/>
      <c r="I8" s="67"/>
      <c r="K8" s="66"/>
      <c r="L8" s="67"/>
      <c r="N8" s="39" t="s">
        <v>718</v>
      </c>
      <c r="O8" s="40" t="s">
        <v>719</v>
      </c>
    </row>
    <row r="9" spans="2:15" ht="14.25" customHeight="1" thickBot="1">
      <c r="B9" s="68"/>
      <c r="C9" s="69"/>
      <c r="E9" s="66"/>
      <c r="F9" s="67"/>
      <c r="H9" s="66"/>
      <c r="I9" s="67"/>
      <c r="K9" s="66"/>
      <c r="L9" s="67"/>
      <c r="N9" s="41"/>
      <c r="O9" s="42"/>
    </row>
    <row r="10" spans="2:15" ht="14.25" customHeight="1" thickBot="1">
      <c r="N10" s="41"/>
      <c r="O10" s="42"/>
    </row>
    <row r="11" spans="2:15" ht="14.25" customHeight="1" thickBot="1">
      <c r="N11" s="412" t="s">
        <v>720</v>
      </c>
      <c r="O11" s="414"/>
    </row>
    <row r="12" spans="2:15" ht="14.25" customHeight="1" thickBot="1">
      <c r="B12" s="417" t="s">
        <v>721</v>
      </c>
      <c r="C12" s="417"/>
      <c r="E12" s="416" t="s">
        <v>472</v>
      </c>
      <c r="F12" s="416"/>
      <c r="H12" s="416" t="s">
        <v>474</v>
      </c>
      <c r="I12" s="416"/>
      <c r="K12" s="416" t="s">
        <v>701</v>
      </c>
      <c r="L12" s="416"/>
      <c r="N12" s="51">
        <f>SUM(B1:B407,E1:E407,H1:H407,K1:K407)</f>
        <v>1853341.63</v>
      </c>
      <c r="O12" s="51">
        <f>SUM(C1:C407,F1:F407,I1:I407,L1:L407)</f>
        <v>1853341.63</v>
      </c>
    </row>
    <row r="13" spans="2:15" ht="14.25" customHeight="1">
      <c r="B13" s="62">
        <v>1000</v>
      </c>
      <c r="C13" s="61">
        <v>1000</v>
      </c>
      <c r="E13" s="62">
        <v>5000</v>
      </c>
      <c r="F13" s="70">
        <v>5000</v>
      </c>
      <c r="H13" s="62">
        <v>2000</v>
      </c>
      <c r="I13" s="70">
        <f>SUM(H13:H14)</f>
        <v>2120</v>
      </c>
      <c r="K13" s="62">
        <v>200000</v>
      </c>
      <c r="L13" s="70">
        <v>200000</v>
      </c>
    </row>
    <row r="14" spans="2:15" ht="14.25" customHeight="1">
      <c r="B14" s="66"/>
      <c r="C14" s="67"/>
      <c r="E14" s="66"/>
      <c r="F14" s="67"/>
      <c r="H14" s="62">
        <v>120</v>
      </c>
      <c r="I14" s="65"/>
      <c r="K14" s="66"/>
      <c r="L14" s="67"/>
      <c r="N14" s="72" t="s">
        <v>722</v>
      </c>
      <c r="O14" s="73">
        <f>N12-O12</f>
        <v>0</v>
      </c>
    </row>
    <row r="15" spans="2:15" ht="14.25" customHeight="1">
      <c r="B15" s="66"/>
      <c r="C15" s="67"/>
      <c r="E15" s="66"/>
      <c r="F15" s="67"/>
      <c r="H15" s="66"/>
      <c r="I15" s="67"/>
      <c r="K15" s="66"/>
      <c r="L15" s="67"/>
    </row>
    <row r="16" spans="2:15">
      <c r="B16" s="66"/>
      <c r="C16" s="67"/>
      <c r="E16" s="66"/>
      <c r="F16" s="67"/>
      <c r="H16" s="66"/>
      <c r="I16" s="67"/>
      <c r="K16" s="66"/>
      <c r="L16" s="67"/>
    </row>
    <row r="17" spans="2:12">
      <c r="B17" s="66"/>
      <c r="C17" s="67"/>
      <c r="E17" s="66"/>
      <c r="F17" s="67"/>
      <c r="H17" s="66"/>
      <c r="I17" s="67"/>
      <c r="K17" s="66"/>
      <c r="L17" s="67"/>
    </row>
    <row r="18" spans="2:12">
      <c r="B18" s="66"/>
      <c r="C18" s="67"/>
      <c r="E18" s="66"/>
      <c r="F18" s="67"/>
      <c r="H18" s="66"/>
      <c r="I18" s="67"/>
      <c r="K18" s="66"/>
      <c r="L18" s="67"/>
    </row>
    <row r="21" spans="2:12" ht="15.75" thickBot="1">
      <c r="B21" s="416" t="s">
        <v>478</v>
      </c>
      <c r="C21" s="416"/>
      <c r="E21" s="416" t="s">
        <v>480</v>
      </c>
      <c r="F21" s="416"/>
      <c r="H21" s="416" t="s">
        <v>482</v>
      </c>
      <c r="I21" s="416"/>
      <c r="K21" s="416" t="s">
        <v>706</v>
      </c>
      <c r="L21" s="416"/>
    </row>
    <row r="22" spans="2:12" ht="15">
      <c r="B22" s="62">
        <v>70000</v>
      </c>
      <c r="C22" s="70">
        <f>B22</f>
        <v>70000</v>
      </c>
      <c r="E22" s="62">
        <v>10000</v>
      </c>
      <c r="F22" s="61">
        <v>1800</v>
      </c>
      <c r="H22" s="62">
        <v>4800</v>
      </c>
      <c r="I22" s="70">
        <f>H22</f>
        <v>4800</v>
      </c>
      <c r="K22" s="62">
        <v>1200</v>
      </c>
      <c r="L22" s="70">
        <f>K22+K23</f>
        <v>1920</v>
      </c>
    </row>
    <row r="23" spans="2:12" ht="15">
      <c r="B23" s="66"/>
      <c r="C23" s="67"/>
      <c r="E23" s="62"/>
      <c r="F23" s="76">
        <f>E22-F22</f>
        <v>8200</v>
      </c>
      <c r="H23" s="66"/>
      <c r="I23" s="67"/>
      <c r="K23" s="62">
        <v>720</v>
      </c>
      <c r="L23" s="65"/>
    </row>
    <row r="24" spans="2:12">
      <c r="B24" s="66"/>
      <c r="C24" s="67"/>
      <c r="E24" s="66"/>
      <c r="F24" s="67"/>
      <c r="H24" s="66"/>
      <c r="I24" s="67"/>
      <c r="K24" s="66"/>
      <c r="L24" s="67"/>
    </row>
    <row r="25" spans="2:12">
      <c r="B25" s="66"/>
      <c r="C25" s="67"/>
      <c r="E25" s="66"/>
      <c r="F25" s="67"/>
      <c r="H25" s="66"/>
      <c r="I25" s="67"/>
      <c r="K25" s="66"/>
      <c r="L25" s="67"/>
    </row>
    <row r="26" spans="2:12">
      <c r="B26" s="66"/>
      <c r="C26" s="67"/>
      <c r="E26" s="66"/>
      <c r="F26" s="67"/>
      <c r="H26" s="66"/>
      <c r="I26" s="67"/>
      <c r="K26" s="66"/>
      <c r="L26" s="67"/>
    </row>
    <row r="27" spans="2:12">
      <c r="B27" s="66"/>
      <c r="C27" s="67"/>
      <c r="E27" s="66"/>
      <c r="F27" s="67"/>
      <c r="H27" s="66"/>
      <c r="I27" s="67"/>
      <c r="K27" s="66"/>
      <c r="L27" s="67"/>
    </row>
    <row r="30" spans="2:12" ht="15.75" thickBot="1">
      <c r="B30" s="416" t="s">
        <v>486</v>
      </c>
      <c r="C30" s="416"/>
      <c r="E30" s="416" t="s">
        <v>488</v>
      </c>
      <c r="F30" s="416"/>
      <c r="H30" s="416" t="s">
        <v>708</v>
      </c>
      <c r="I30" s="416"/>
      <c r="K30" s="417" t="s">
        <v>702</v>
      </c>
      <c r="L30" s="417"/>
    </row>
    <row r="31" spans="2:12" ht="15">
      <c r="B31" s="62">
        <v>32000</v>
      </c>
      <c r="C31" s="61">
        <v>12000</v>
      </c>
      <c r="E31" s="62">
        <v>60000</v>
      </c>
      <c r="F31" s="70">
        <f>E31</f>
        <v>60000</v>
      </c>
      <c r="H31" s="62">
        <v>30000</v>
      </c>
      <c r="I31" s="70">
        <f>H31</f>
        <v>30000</v>
      </c>
      <c r="K31" s="60">
        <f>SUM(L31:L32)</f>
        <v>2306</v>
      </c>
      <c r="L31" s="61">
        <v>1400</v>
      </c>
    </row>
    <row r="32" spans="2:12" ht="15">
      <c r="B32" s="62"/>
      <c r="C32" s="76">
        <f>B31-C31</f>
        <v>20000</v>
      </c>
      <c r="E32" s="66"/>
      <c r="F32" s="67"/>
      <c r="H32" s="66"/>
      <c r="I32" s="67"/>
      <c r="K32" s="62"/>
      <c r="L32" s="65">
        <v>906</v>
      </c>
    </row>
    <row r="33" spans="2:12">
      <c r="B33" s="66"/>
      <c r="C33" s="67"/>
      <c r="E33" s="66"/>
      <c r="F33" s="67"/>
      <c r="H33" s="66"/>
      <c r="I33" s="67"/>
      <c r="K33" s="66"/>
      <c r="L33" s="67"/>
    </row>
    <row r="34" spans="2:12">
      <c r="B34" s="66"/>
      <c r="C34" s="67"/>
      <c r="E34" s="66"/>
      <c r="F34" s="67"/>
      <c r="H34" s="66"/>
      <c r="I34" s="67"/>
      <c r="K34" s="66"/>
      <c r="L34" s="67"/>
    </row>
    <row r="35" spans="2:12">
      <c r="B35" s="66"/>
      <c r="C35" s="67"/>
      <c r="E35" s="66"/>
      <c r="F35" s="67"/>
      <c r="H35" s="66"/>
      <c r="I35" s="67"/>
      <c r="K35" s="66"/>
      <c r="L35" s="67"/>
    </row>
    <row r="36" spans="2:12">
      <c r="B36" s="66"/>
      <c r="C36" s="67"/>
      <c r="E36" s="66"/>
      <c r="F36" s="67"/>
      <c r="H36" s="66"/>
      <c r="I36" s="67"/>
      <c r="K36" s="66"/>
      <c r="L36" s="67"/>
    </row>
    <row r="38" spans="2:12" ht="15.75" thickBot="1">
      <c r="B38" s="417" t="s">
        <v>703</v>
      </c>
      <c r="C38" s="417"/>
      <c r="E38" s="417" t="s">
        <v>704</v>
      </c>
      <c r="F38" s="417"/>
      <c r="H38" s="417" t="s">
        <v>705</v>
      </c>
      <c r="I38" s="417"/>
      <c r="K38" s="416" t="s">
        <v>492</v>
      </c>
      <c r="L38" s="416"/>
    </row>
    <row r="39" spans="2:12" ht="15">
      <c r="B39" s="62">
        <v>1800</v>
      </c>
      <c r="C39" s="61">
        <v>23600</v>
      </c>
      <c r="E39" s="60">
        <f>SUM(F39:F40)</f>
        <v>12900</v>
      </c>
      <c r="F39" s="61">
        <v>12000</v>
      </c>
      <c r="H39" s="62">
        <v>2000</v>
      </c>
      <c r="I39" s="61">
        <v>2000</v>
      </c>
      <c r="K39" s="62">
        <v>1000</v>
      </c>
      <c r="L39" s="61">
        <v>1000</v>
      </c>
    </row>
    <row r="40" spans="2:12" ht="15">
      <c r="B40" s="62">
        <v>1080</v>
      </c>
      <c r="C40" s="65">
        <v>990</v>
      </c>
      <c r="E40" s="62"/>
      <c r="F40" s="65">
        <v>900</v>
      </c>
      <c r="H40" s="60">
        <f>I39+I40-H39</f>
        <v>500</v>
      </c>
      <c r="I40" s="65">
        <v>500</v>
      </c>
      <c r="K40" s="62">
        <v>30000</v>
      </c>
      <c r="L40" s="76">
        <f>K39+K40-L39</f>
        <v>30000</v>
      </c>
    </row>
    <row r="41" spans="2:12" ht="15">
      <c r="B41" s="60">
        <f>C39+C40+C41-B39-B40</f>
        <v>26086</v>
      </c>
      <c r="C41" s="65">
        <v>4376</v>
      </c>
      <c r="E41" s="66"/>
      <c r="F41" s="67"/>
      <c r="H41" s="66"/>
      <c r="I41" s="67"/>
      <c r="K41" s="66"/>
      <c r="L41" s="67"/>
    </row>
    <row r="42" spans="2:12">
      <c r="B42" s="66"/>
      <c r="C42" s="67"/>
      <c r="E42" s="66"/>
      <c r="F42" s="67"/>
      <c r="H42" s="66"/>
      <c r="I42" s="67"/>
      <c r="K42" s="66"/>
      <c r="L42" s="67"/>
    </row>
    <row r="43" spans="2:12">
      <c r="B43" s="66"/>
      <c r="C43" s="67"/>
      <c r="E43" s="66"/>
      <c r="F43" s="67"/>
      <c r="H43" s="66"/>
      <c r="I43" s="67"/>
      <c r="K43" s="66"/>
      <c r="L43" s="67"/>
    </row>
    <row r="44" spans="2:12">
      <c r="B44" s="66"/>
      <c r="C44" s="67"/>
      <c r="E44" s="66"/>
      <c r="F44" s="67"/>
      <c r="H44" s="66"/>
      <c r="I44" s="67"/>
      <c r="K44" s="66"/>
      <c r="L44" s="67"/>
    </row>
    <row r="46" spans="2:12" ht="15.75" thickBot="1">
      <c r="B46" s="416" t="s">
        <v>494</v>
      </c>
      <c r="C46" s="416"/>
      <c r="E46" s="416" t="s">
        <v>496</v>
      </c>
      <c r="F46" s="416"/>
      <c r="H46" s="417" t="s">
        <v>723</v>
      </c>
      <c r="I46" s="417"/>
      <c r="K46" s="417" t="s">
        <v>493</v>
      </c>
      <c r="L46" s="417"/>
    </row>
    <row r="47" spans="2:12">
      <c r="B47" s="62">
        <v>2000</v>
      </c>
      <c r="C47" s="61">
        <v>2000</v>
      </c>
      <c r="E47" s="62">
        <v>14200</v>
      </c>
      <c r="F47" s="61">
        <v>14200</v>
      </c>
      <c r="H47" s="62">
        <v>200</v>
      </c>
      <c r="I47" s="61">
        <v>200</v>
      </c>
      <c r="K47" s="62">
        <v>6000</v>
      </c>
      <c r="L47" s="61">
        <v>16000</v>
      </c>
    </row>
    <row r="48" spans="2:12" ht="15">
      <c r="B48" s="62">
        <v>1500</v>
      </c>
      <c r="C48" s="76">
        <f>B47+B48-C47</f>
        <v>1500</v>
      </c>
      <c r="E48" s="62">
        <v>73640</v>
      </c>
      <c r="F48" s="76">
        <f>E47+E48-F47</f>
        <v>73640</v>
      </c>
      <c r="H48" s="66"/>
      <c r="I48" s="67"/>
      <c r="K48" s="60">
        <f>L47+L48-K47</f>
        <v>10198</v>
      </c>
      <c r="L48" s="65">
        <v>198</v>
      </c>
    </row>
    <row r="49" spans="2:12">
      <c r="B49" s="66"/>
      <c r="C49" s="67"/>
      <c r="E49" s="66"/>
      <c r="F49" s="67"/>
      <c r="H49" s="66"/>
      <c r="I49" s="67"/>
      <c r="K49" s="66"/>
      <c r="L49" s="67"/>
    </row>
    <row r="50" spans="2:12">
      <c r="B50" s="66"/>
      <c r="C50" s="67"/>
      <c r="E50" s="66"/>
      <c r="F50" s="67"/>
      <c r="H50" s="66"/>
      <c r="I50" s="67"/>
      <c r="K50" s="66"/>
      <c r="L50" s="67"/>
    </row>
    <row r="51" spans="2:12">
      <c r="B51" s="66"/>
      <c r="C51" s="67"/>
      <c r="E51" s="66"/>
      <c r="F51" s="67"/>
      <c r="H51" s="66"/>
      <c r="I51" s="67"/>
      <c r="K51" s="66"/>
      <c r="L51" s="67"/>
    </row>
    <row r="52" spans="2:12">
      <c r="B52" s="66"/>
      <c r="C52" s="67"/>
      <c r="E52" s="66"/>
      <c r="F52" s="67"/>
      <c r="H52" s="66"/>
      <c r="I52" s="67"/>
      <c r="K52" s="66"/>
      <c r="L52" s="67"/>
    </row>
    <row r="54" spans="2:12" ht="15.75" thickBot="1">
      <c r="B54" s="417" t="s">
        <v>724</v>
      </c>
      <c r="C54" s="417"/>
      <c r="E54" s="416" t="s">
        <v>498</v>
      </c>
      <c r="F54" s="416"/>
      <c r="H54" s="417" t="s">
        <v>641</v>
      </c>
      <c r="I54" s="417"/>
      <c r="K54" s="417" t="s">
        <v>709</v>
      </c>
      <c r="L54" s="417"/>
    </row>
    <row r="55" spans="2:12">
      <c r="B55" s="62">
        <v>544.5</v>
      </c>
      <c r="C55" s="61">
        <v>8000</v>
      </c>
      <c r="E55" s="62">
        <v>32000</v>
      </c>
      <c r="F55" s="61">
        <v>2000</v>
      </c>
      <c r="H55" s="62">
        <v>2000</v>
      </c>
      <c r="I55" s="61">
        <v>2000</v>
      </c>
      <c r="K55" s="62">
        <v>8000</v>
      </c>
      <c r="L55" s="61">
        <v>8000</v>
      </c>
    </row>
    <row r="56" spans="2:12" ht="15">
      <c r="B56" s="60">
        <f>C55+C56-B55</f>
        <v>8000</v>
      </c>
      <c r="C56" s="65">
        <v>544.5</v>
      </c>
      <c r="E56" s="62">
        <v>100</v>
      </c>
      <c r="F56" s="65">
        <v>10000</v>
      </c>
      <c r="H56" s="60">
        <f>I56+I55-H55</f>
        <v>3207.6000000000004</v>
      </c>
      <c r="I56" s="65">
        <v>3207.6</v>
      </c>
      <c r="K56" s="60">
        <f>L56+L55-K55</f>
        <v>4000</v>
      </c>
      <c r="L56" s="65">
        <v>4000</v>
      </c>
    </row>
    <row r="57" spans="2:12">
      <c r="B57" s="66"/>
      <c r="C57" s="67"/>
      <c r="E57" s="62">
        <v>408</v>
      </c>
      <c r="F57" s="65">
        <v>261</v>
      </c>
      <c r="H57" s="66"/>
      <c r="I57" s="67"/>
      <c r="K57" s="66"/>
      <c r="L57" s="67"/>
    </row>
    <row r="58" spans="2:12" ht="15">
      <c r="B58" s="66"/>
      <c r="C58" s="67"/>
      <c r="E58" s="62">
        <v>261</v>
      </c>
      <c r="F58" s="76">
        <f>SUM(E55:E58)-SUM(F55:F57)</f>
        <v>20508</v>
      </c>
      <c r="H58" s="66"/>
      <c r="I58" s="67"/>
      <c r="K58" s="66"/>
      <c r="L58" s="67"/>
    </row>
    <row r="59" spans="2:12">
      <c r="B59" s="66"/>
      <c r="C59" s="67"/>
      <c r="E59" s="66"/>
      <c r="F59" s="67"/>
      <c r="H59" s="66"/>
      <c r="I59" s="67"/>
      <c r="K59" s="66"/>
      <c r="L59" s="67"/>
    </row>
    <row r="60" spans="2:12">
      <c r="B60" s="66"/>
      <c r="C60" s="67"/>
      <c r="E60" s="66"/>
      <c r="F60" s="67"/>
      <c r="H60" s="66"/>
      <c r="I60" s="67"/>
      <c r="K60" s="66"/>
      <c r="L60" s="67"/>
    </row>
    <row r="62" spans="2:12" ht="15.75" thickBot="1">
      <c r="B62" s="417" t="s">
        <v>698</v>
      </c>
      <c r="C62" s="417"/>
      <c r="E62" s="417" t="s">
        <v>710</v>
      </c>
      <c r="F62" s="417"/>
      <c r="H62" s="417" t="s">
        <v>711</v>
      </c>
      <c r="I62" s="417"/>
      <c r="K62" s="417" t="s">
        <v>712</v>
      </c>
      <c r="L62" s="417"/>
    </row>
    <row r="63" spans="2:12" ht="15">
      <c r="B63" s="60">
        <f>SUM(C63:C64)</f>
        <v>66569.679999999993</v>
      </c>
      <c r="C63" s="61">
        <v>55000</v>
      </c>
      <c r="E63" s="62">
        <v>4000</v>
      </c>
      <c r="F63" s="61">
        <v>4000</v>
      </c>
      <c r="H63" s="62">
        <v>30000</v>
      </c>
      <c r="I63" s="61">
        <v>30000</v>
      </c>
      <c r="K63" s="62">
        <v>1000</v>
      </c>
      <c r="L63" s="61">
        <v>1000</v>
      </c>
    </row>
    <row r="64" spans="2:12" ht="15">
      <c r="B64" s="62"/>
      <c r="C64" s="65">
        <v>11569.68</v>
      </c>
      <c r="E64" s="60">
        <f>F64+F63-E63</f>
        <v>7200</v>
      </c>
      <c r="F64" s="65">
        <v>7200</v>
      </c>
      <c r="H64" s="60">
        <f>I64+I63-H63</f>
        <v>120000</v>
      </c>
      <c r="I64" s="65">
        <v>120000</v>
      </c>
      <c r="K64" s="60">
        <f>SUM(L63:L65)-K63</f>
        <v>1508.1999999999998</v>
      </c>
      <c r="L64" s="65">
        <v>508.2</v>
      </c>
    </row>
    <row r="65" spans="2:14">
      <c r="B65" s="66"/>
      <c r="C65" s="67"/>
      <c r="E65" s="66"/>
      <c r="F65" s="67"/>
      <c r="H65" s="66"/>
      <c r="I65" s="67"/>
      <c r="K65" s="62"/>
      <c r="L65" s="65">
        <v>1000</v>
      </c>
    </row>
    <row r="66" spans="2:14">
      <c r="B66" s="66"/>
      <c r="C66" s="67"/>
      <c r="E66" s="66"/>
      <c r="F66" s="67"/>
      <c r="H66" s="66"/>
      <c r="I66" s="67"/>
      <c r="K66" s="66"/>
      <c r="L66" s="67"/>
    </row>
    <row r="67" spans="2:14">
      <c r="B67" s="66"/>
      <c r="C67" s="67"/>
      <c r="E67" s="66"/>
      <c r="F67" s="67"/>
      <c r="H67" s="66"/>
      <c r="I67" s="67"/>
      <c r="K67" s="66"/>
      <c r="L67" s="67"/>
    </row>
    <row r="68" spans="2:14">
      <c r="B68" s="66"/>
      <c r="C68" s="67"/>
      <c r="E68" s="66"/>
      <c r="F68" s="67"/>
      <c r="H68" s="66"/>
      <c r="I68" s="67"/>
      <c r="K68" s="66"/>
      <c r="L68" s="67"/>
    </row>
    <row r="70" spans="2:14" ht="15.75" thickBot="1">
      <c r="B70" s="416" t="s">
        <v>725</v>
      </c>
      <c r="C70" s="416"/>
      <c r="E70" s="416" t="s">
        <v>590</v>
      </c>
      <c r="F70" s="416"/>
      <c r="H70" s="416" t="s">
        <v>570</v>
      </c>
      <c r="I70" s="416"/>
      <c r="K70" s="416" t="s">
        <v>506</v>
      </c>
      <c r="L70" s="416"/>
    </row>
    <row r="71" spans="2:14">
      <c r="B71" s="62">
        <v>2000</v>
      </c>
      <c r="C71" s="61">
        <v>2000</v>
      </c>
      <c r="E71" s="62">
        <v>20000</v>
      </c>
      <c r="F71" s="61">
        <v>20000</v>
      </c>
      <c r="H71" s="62">
        <v>1000</v>
      </c>
      <c r="I71" s="61">
        <v>1000</v>
      </c>
      <c r="K71" s="62">
        <v>500</v>
      </c>
      <c r="L71" s="61">
        <v>500</v>
      </c>
    </row>
    <row r="72" spans="2:14">
      <c r="B72" s="66"/>
      <c r="C72" s="67"/>
      <c r="E72" s="66"/>
      <c r="F72" s="67"/>
      <c r="H72" s="62">
        <v>200</v>
      </c>
      <c r="I72" s="65">
        <v>200</v>
      </c>
      <c r="K72" s="62">
        <v>2000</v>
      </c>
      <c r="L72" s="65">
        <v>600</v>
      </c>
    </row>
    <row r="73" spans="2:14">
      <c r="B73" s="66"/>
      <c r="C73" s="67"/>
      <c r="E73" s="66"/>
      <c r="F73" s="67"/>
      <c r="H73" s="66"/>
      <c r="I73" s="67"/>
      <c r="K73" s="62">
        <v>500</v>
      </c>
      <c r="L73" s="65">
        <v>165</v>
      </c>
    </row>
    <row r="74" spans="2:14">
      <c r="B74" s="66"/>
      <c r="C74" s="67"/>
      <c r="E74" s="66"/>
      <c r="F74" s="67"/>
      <c r="H74" s="66"/>
      <c r="I74" s="67"/>
      <c r="K74" s="62">
        <v>20</v>
      </c>
      <c r="L74" s="65">
        <v>110</v>
      </c>
    </row>
    <row r="75" spans="2:14">
      <c r="B75" s="66"/>
      <c r="C75" s="67"/>
      <c r="E75" s="66"/>
      <c r="F75" s="67"/>
      <c r="H75" s="66"/>
      <c r="I75" s="67"/>
      <c r="K75" s="62">
        <v>153</v>
      </c>
      <c r="L75" s="65">
        <v>1000</v>
      </c>
    </row>
    <row r="76" spans="2:14">
      <c r="B76" s="66"/>
      <c r="C76" s="67"/>
      <c r="E76" s="66"/>
      <c r="F76" s="67"/>
      <c r="H76" s="66"/>
      <c r="I76" s="67"/>
      <c r="K76" s="62">
        <v>121</v>
      </c>
      <c r="L76" s="65">
        <v>21.87</v>
      </c>
    </row>
    <row r="77" spans="2:14" ht="15">
      <c r="B77" s="66"/>
      <c r="C77" s="67"/>
      <c r="E77" s="66"/>
      <c r="F77" s="67"/>
      <c r="H77" s="66"/>
      <c r="I77" s="67"/>
      <c r="K77" s="62"/>
      <c r="L77" s="76">
        <f>SUM(K71:K76)-SUM(L71:L76)</f>
        <v>897.13000000000011</v>
      </c>
    </row>
    <row r="79" spans="2:14" ht="15.75" thickBot="1">
      <c r="B79" s="416" t="s">
        <v>508</v>
      </c>
      <c r="C79" s="416"/>
      <c r="E79" s="422" t="s">
        <v>519</v>
      </c>
      <c r="F79" s="422"/>
      <c r="H79" s="422" t="s">
        <v>522</v>
      </c>
      <c r="I79" s="422"/>
      <c r="K79" s="416" t="s">
        <v>523</v>
      </c>
      <c r="L79" s="416"/>
      <c r="M79" s="74">
        <f>SUM(K80:K85)-SUM(L80:L85)</f>
        <v>0</v>
      </c>
      <c r="N79" s="44" t="s">
        <v>726</v>
      </c>
    </row>
    <row r="80" spans="2:14" ht="15.75" thickBot="1">
      <c r="B80" s="62">
        <v>20000</v>
      </c>
      <c r="C80" s="61">
        <v>5400</v>
      </c>
      <c r="E80" s="62">
        <v>500</v>
      </c>
      <c r="F80" s="70">
        <v>500</v>
      </c>
      <c r="H80" s="62">
        <v>300</v>
      </c>
      <c r="I80" s="70">
        <v>300</v>
      </c>
      <c r="K80" s="62">
        <v>30</v>
      </c>
      <c r="L80" s="61">
        <v>5</v>
      </c>
    </row>
    <row r="81" spans="2:12" ht="15">
      <c r="B81" s="62">
        <v>500</v>
      </c>
      <c r="C81" s="65">
        <v>14000</v>
      </c>
      <c r="E81" s="66"/>
      <c r="F81" s="67"/>
      <c r="H81" s="66"/>
      <c r="I81" s="67"/>
      <c r="K81" s="62">
        <v>2</v>
      </c>
      <c r="L81" s="70">
        <f>SUM(K80:K85)-L80</f>
        <v>420.4</v>
      </c>
    </row>
    <row r="82" spans="2:12">
      <c r="B82" s="62">
        <v>10000</v>
      </c>
      <c r="C82" s="65">
        <v>165</v>
      </c>
      <c r="E82" s="66"/>
      <c r="F82" s="67"/>
      <c r="H82" s="66"/>
      <c r="I82" s="67"/>
      <c r="K82" s="62">
        <v>18</v>
      </c>
      <c r="L82" s="65"/>
    </row>
    <row r="83" spans="2:12">
      <c r="B83" s="62">
        <v>55</v>
      </c>
      <c r="C83" s="65">
        <v>102</v>
      </c>
      <c r="E83" s="66"/>
      <c r="F83" s="67"/>
      <c r="H83" s="66"/>
      <c r="I83" s="67"/>
      <c r="K83" s="62">
        <v>10</v>
      </c>
      <c r="L83" s="65"/>
    </row>
    <row r="84" spans="2:12">
      <c r="B84" s="62">
        <v>100</v>
      </c>
      <c r="C84" s="65">
        <v>51</v>
      </c>
      <c r="E84" s="66"/>
      <c r="F84" s="67"/>
      <c r="H84" s="66"/>
      <c r="I84" s="67"/>
      <c r="K84" s="62">
        <v>189</v>
      </c>
      <c r="L84" s="65"/>
    </row>
    <row r="85" spans="2:12">
      <c r="B85" s="62">
        <v>77</v>
      </c>
      <c r="C85" s="65">
        <v>544.5</v>
      </c>
      <c r="E85" s="66"/>
      <c r="F85" s="67"/>
      <c r="H85" s="66"/>
      <c r="I85" s="67"/>
      <c r="K85" s="62">
        <v>176.4</v>
      </c>
      <c r="L85" s="65"/>
    </row>
    <row r="86" spans="2:12">
      <c r="B86" s="62">
        <v>250</v>
      </c>
      <c r="C86" s="65">
        <v>544.5</v>
      </c>
      <c r="E86" s="66"/>
      <c r="F86" s="67"/>
      <c r="H86" s="66"/>
      <c r="I86" s="67"/>
      <c r="K86" s="66"/>
      <c r="L86" s="67"/>
    </row>
    <row r="87" spans="2:12">
      <c r="B87" s="84">
        <v>200</v>
      </c>
      <c r="C87" s="65">
        <v>200</v>
      </c>
      <c r="E87" s="66"/>
      <c r="F87" s="67"/>
      <c r="H87" s="66"/>
      <c r="I87" s="67"/>
      <c r="L87" s="67"/>
    </row>
    <row r="88" spans="2:12">
      <c r="B88" s="84">
        <v>600</v>
      </c>
      <c r="C88" s="65">
        <v>600</v>
      </c>
      <c r="E88" s="66"/>
      <c r="F88" s="67"/>
      <c r="H88" s="66"/>
      <c r="I88" s="67"/>
      <c r="K88" s="66"/>
      <c r="L88" s="67"/>
    </row>
    <row r="89" spans="2:12">
      <c r="B89" s="84">
        <v>20000</v>
      </c>
      <c r="C89" s="65">
        <v>30000</v>
      </c>
      <c r="E89" s="66"/>
      <c r="F89" s="67"/>
      <c r="H89" s="66"/>
      <c r="I89" s="67"/>
      <c r="K89" s="66"/>
      <c r="L89" s="67"/>
    </row>
    <row r="90" spans="2:12">
      <c r="B90" s="84">
        <v>810</v>
      </c>
      <c r="C90" s="65">
        <v>1800</v>
      </c>
      <c r="E90" s="66"/>
      <c r="F90" s="67"/>
      <c r="H90" s="66"/>
      <c r="I90" s="67"/>
      <c r="K90" s="66"/>
      <c r="L90" s="67"/>
    </row>
    <row r="91" spans="2:12">
      <c r="B91" s="84">
        <v>2000</v>
      </c>
      <c r="C91" s="65">
        <v>508.2</v>
      </c>
      <c r="E91" s="66"/>
      <c r="F91" s="67"/>
      <c r="H91" s="66"/>
      <c r="I91" s="67"/>
      <c r="K91" s="66"/>
      <c r="L91" s="67"/>
    </row>
    <row r="92" spans="2:12">
      <c r="B92" s="84">
        <v>24.3</v>
      </c>
      <c r="C92" s="65">
        <v>5000</v>
      </c>
      <c r="E92" s="66"/>
      <c r="F92" s="67"/>
      <c r="H92" s="66"/>
      <c r="I92" s="67"/>
      <c r="K92" s="66"/>
      <c r="L92" s="67"/>
    </row>
    <row r="93" spans="2:12">
      <c r="B93" s="84">
        <v>13310</v>
      </c>
      <c r="C93" s="65">
        <v>8000</v>
      </c>
      <c r="E93" s="66"/>
      <c r="F93" s="67"/>
      <c r="H93" s="66"/>
      <c r="I93" s="67"/>
      <c r="K93" s="66"/>
      <c r="L93" s="67"/>
    </row>
    <row r="94" spans="2:12" ht="15">
      <c r="B94" s="84"/>
      <c r="C94" s="76">
        <f>SUM(B80:B93)-SUM(C80:C93)</f>
        <v>1011.1000000000058</v>
      </c>
      <c r="E94" s="66"/>
      <c r="F94" s="67"/>
      <c r="H94" s="66"/>
      <c r="I94" s="67"/>
      <c r="K94" s="66"/>
      <c r="L94" s="67"/>
    </row>
    <row r="95" spans="2:12">
      <c r="B95" s="66"/>
      <c r="C95" s="67"/>
      <c r="E95" s="66"/>
      <c r="F95" s="67"/>
      <c r="H95" s="66"/>
      <c r="I95" s="67"/>
      <c r="K95" s="66"/>
      <c r="L95" s="67"/>
    </row>
    <row r="97" spans="2:14" ht="15.75" thickBot="1">
      <c r="B97" s="422" t="s">
        <v>691</v>
      </c>
      <c r="C97" s="422"/>
      <c r="E97" s="423" t="s">
        <v>695</v>
      </c>
      <c r="F97" s="423"/>
      <c r="H97" s="423" t="s">
        <v>539</v>
      </c>
      <c r="I97" s="423"/>
      <c r="K97" s="417" t="s">
        <v>540</v>
      </c>
      <c r="L97" s="417"/>
      <c r="M97" s="75">
        <f>SUM(L98:L104)-SUM(K98:K104)</f>
        <v>0</v>
      </c>
      <c r="N97" s="44" t="s">
        <v>727</v>
      </c>
    </row>
    <row r="98" spans="2:14" ht="15.75" thickBot="1">
      <c r="B98" s="62">
        <v>100</v>
      </c>
      <c r="C98" s="70">
        <v>380</v>
      </c>
      <c r="E98" s="70">
        <v>50</v>
      </c>
      <c r="F98" s="61">
        <v>50</v>
      </c>
      <c r="H98" s="70">
        <v>270</v>
      </c>
      <c r="I98" s="61">
        <v>200</v>
      </c>
      <c r="K98" s="62">
        <v>1</v>
      </c>
      <c r="L98" s="61">
        <v>20</v>
      </c>
    </row>
    <row r="99" spans="2:14" ht="15">
      <c r="B99" s="62">
        <v>180</v>
      </c>
      <c r="C99" s="65"/>
      <c r="E99" s="66"/>
      <c r="F99" s="67"/>
      <c r="H99" s="62"/>
      <c r="I99" s="65">
        <v>70</v>
      </c>
      <c r="K99" s="70">
        <v>3628</v>
      </c>
      <c r="L99" s="65">
        <v>8</v>
      </c>
    </row>
    <row r="100" spans="2:14">
      <c r="B100" s="62">
        <v>100</v>
      </c>
      <c r="C100" s="65"/>
      <c r="E100" s="66"/>
      <c r="F100" s="67"/>
      <c r="H100" s="66"/>
      <c r="I100" s="67"/>
      <c r="K100" s="62"/>
      <c r="L100" s="65">
        <v>7</v>
      </c>
    </row>
    <row r="101" spans="2:14">
      <c r="B101" s="66"/>
      <c r="C101" s="67"/>
      <c r="E101" s="66"/>
      <c r="F101" s="67"/>
      <c r="H101" s="66"/>
      <c r="I101" s="67"/>
      <c r="K101" s="62"/>
      <c r="L101" s="65">
        <v>3</v>
      </c>
    </row>
    <row r="102" spans="2:14">
      <c r="B102" s="66"/>
      <c r="C102" s="67"/>
      <c r="E102" s="66"/>
      <c r="F102" s="67"/>
      <c r="H102" s="66"/>
      <c r="I102" s="67"/>
      <c r="K102" s="62"/>
      <c r="L102" s="65">
        <v>21</v>
      </c>
    </row>
    <row r="103" spans="2:14">
      <c r="B103" s="66"/>
      <c r="C103" s="67"/>
      <c r="E103" s="66"/>
      <c r="F103" s="67"/>
      <c r="H103" s="66"/>
      <c r="I103" s="67"/>
      <c r="K103" s="62"/>
      <c r="L103" s="65">
        <v>1260</v>
      </c>
    </row>
    <row r="104" spans="2:14">
      <c r="B104" s="66"/>
      <c r="C104" s="67"/>
      <c r="E104" s="66"/>
      <c r="F104" s="67"/>
      <c r="H104" s="66"/>
      <c r="I104" s="67"/>
      <c r="K104" s="62"/>
      <c r="L104" s="65">
        <v>2310</v>
      </c>
    </row>
    <row r="105" spans="2:14">
      <c r="B105" s="66"/>
      <c r="C105" s="67"/>
      <c r="E105" s="66"/>
      <c r="F105" s="67"/>
      <c r="H105" s="66"/>
      <c r="I105" s="67"/>
      <c r="K105" s="66"/>
      <c r="L105" s="67"/>
    </row>
    <row r="106" spans="2:14">
      <c r="B106" s="66"/>
      <c r="C106" s="67"/>
      <c r="E106" s="66"/>
      <c r="F106" s="67"/>
      <c r="H106" s="66"/>
      <c r="I106" s="67"/>
      <c r="K106" s="66"/>
    </row>
    <row r="108" spans="2:14" ht="15.75" thickBot="1">
      <c r="B108" s="423" t="s">
        <v>543</v>
      </c>
      <c r="C108" s="423"/>
      <c r="E108" s="422" t="s">
        <v>692</v>
      </c>
      <c r="F108" s="422"/>
      <c r="H108" s="423" t="s">
        <v>559</v>
      </c>
      <c r="I108" s="423"/>
      <c r="K108" s="422" t="s">
        <v>562</v>
      </c>
      <c r="L108" s="422"/>
    </row>
    <row r="109" spans="2:14" ht="15">
      <c r="B109" s="70">
        <v>550</v>
      </c>
      <c r="C109" s="61">
        <v>400</v>
      </c>
      <c r="E109" s="62">
        <v>50</v>
      </c>
      <c r="F109" s="70">
        <v>50</v>
      </c>
      <c r="H109" s="70">
        <v>261</v>
      </c>
      <c r="I109" s="61">
        <v>261</v>
      </c>
      <c r="K109" s="62">
        <v>11</v>
      </c>
      <c r="L109" s="70">
        <v>11</v>
      </c>
    </row>
    <row r="110" spans="2:14">
      <c r="B110" s="62"/>
      <c r="C110" s="65">
        <v>150</v>
      </c>
      <c r="E110" s="66"/>
      <c r="F110" s="67"/>
      <c r="H110" s="66"/>
      <c r="I110" s="67"/>
      <c r="K110" s="66"/>
      <c r="L110" s="67"/>
    </row>
    <row r="111" spans="2:14">
      <c r="B111" s="66"/>
      <c r="C111" s="67"/>
      <c r="E111" s="66"/>
      <c r="F111" s="67"/>
      <c r="H111" s="66"/>
      <c r="I111" s="67"/>
      <c r="K111" s="66"/>
      <c r="L111" s="67"/>
    </row>
    <row r="112" spans="2:14">
      <c r="B112" s="66"/>
      <c r="C112" s="67"/>
      <c r="E112" s="66"/>
      <c r="F112" s="67"/>
      <c r="H112" s="66"/>
      <c r="I112" s="67"/>
      <c r="K112" s="66"/>
      <c r="L112" s="67"/>
    </row>
    <row r="113" spans="2:12">
      <c r="B113" s="66"/>
      <c r="C113" s="67"/>
      <c r="E113" s="66"/>
      <c r="F113" s="67"/>
      <c r="H113" s="66"/>
      <c r="I113" s="67"/>
      <c r="K113" s="66"/>
      <c r="L113" s="67"/>
    </row>
    <row r="114" spans="2:12">
      <c r="B114" s="66"/>
      <c r="C114" s="67"/>
      <c r="E114" s="66"/>
      <c r="F114" s="67"/>
      <c r="H114" s="66"/>
      <c r="I114" s="67"/>
      <c r="K114" s="66"/>
      <c r="L114" s="67"/>
    </row>
    <row r="116" spans="2:12" ht="15.75" thickBot="1">
      <c r="B116" s="422" t="s">
        <v>693</v>
      </c>
      <c r="C116" s="422"/>
      <c r="E116" s="422" t="s">
        <v>575</v>
      </c>
      <c r="F116" s="422"/>
      <c r="H116" s="423" t="s">
        <v>577</v>
      </c>
      <c r="I116" s="423"/>
      <c r="K116" s="416" t="s">
        <v>581</v>
      </c>
      <c r="L116" s="416"/>
    </row>
    <row r="117" spans="2:12" ht="15.75" thickBot="1">
      <c r="B117" s="62">
        <v>900</v>
      </c>
      <c r="C117" s="70">
        <v>900</v>
      </c>
      <c r="E117" s="62">
        <v>600</v>
      </c>
      <c r="F117" s="61">
        <v>300</v>
      </c>
      <c r="H117" s="70">
        <v>100</v>
      </c>
      <c r="I117" s="61">
        <v>100</v>
      </c>
      <c r="K117" s="62">
        <v>7260</v>
      </c>
      <c r="L117" s="70">
        <f>K117</f>
        <v>7260</v>
      </c>
    </row>
    <row r="118" spans="2:12" ht="15">
      <c r="B118" s="66"/>
      <c r="C118" s="67"/>
      <c r="E118" s="62"/>
      <c r="F118" s="70">
        <v>300</v>
      </c>
      <c r="H118" s="66"/>
      <c r="I118" s="67"/>
      <c r="K118" s="66"/>
      <c r="L118" s="67"/>
    </row>
    <row r="119" spans="2:12">
      <c r="B119" s="66"/>
      <c r="C119" s="67"/>
      <c r="E119" s="66"/>
      <c r="F119" s="67"/>
      <c r="H119" s="66"/>
      <c r="I119" s="67"/>
      <c r="K119" s="66"/>
      <c r="L119" s="67"/>
    </row>
    <row r="120" spans="2:12">
      <c r="B120" s="66"/>
      <c r="C120" s="67"/>
      <c r="E120" s="66"/>
      <c r="F120" s="67"/>
      <c r="H120" s="66"/>
      <c r="I120" s="67"/>
      <c r="K120" s="66"/>
      <c r="L120" s="67"/>
    </row>
    <row r="121" spans="2:12">
      <c r="B121" s="66"/>
      <c r="C121" s="67"/>
      <c r="E121" s="66"/>
      <c r="F121" s="67"/>
      <c r="H121" s="66"/>
      <c r="I121" s="67"/>
      <c r="K121" s="66"/>
      <c r="L121" s="67"/>
    </row>
    <row r="122" spans="2:12">
      <c r="B122" s="66"/>
      <c r="C122" s="67"/>
      <c r="E122" s="66"/>
      <c r="F122" s="67"/>
      <c r="H122" s="66"/>
      <c r="I122" s="67"/>
      <c r="K122" s="66"/>
      <c r="L122" s="67"/>
    </row>
    <row r="124" spans="2:12" ht="15.75" thickBot="1">
      <c r="B124" s="423" t="s">
        <v>582</v>
      </c>
      <c r="C124" s="423"/>
      <c r="E124" s="417" t="s">
        <v>585</v>
      </c>
      <c r="F124" s="417"/>
      <c r="H124" s="424" t="s">
        <v>594</v>
      </c>
      <c r="I124" s="424"/>
      <c r="K124" s="423" t="s">
        <v>593</v>
      </c>
      <c r="L124" s="423"/>
    </row>
    <row r="125" spans="2:12" ht="15.75" thickBot="1">
      <c r="B125" s="62">
        <v>3500</v>
      </c>
      <c r="C125" s="61">
        <v>6000</v>
      </c>
      <c r="E125" s="60">
        <f>F125</f>
        <v>600</v>
      </c>
      <c r="F125" s="61">
        <v>600</v>
      </c>
      <c r="H125" s="62">
        <v>190</v>
      </c>
      <c r="I125" s="61">
        <v>5.13</v>
      </c>
      <c r="K125" s="70">
        <v>1030</v>
      </c>
      <c r="L125" s="61">
        <v>1000</v>
      </c>
    </row>
    <row r="126" spans="2:12" ht="15">
      <c r="B126" s="70">
        <v>2500</v>
      </c>
      <c r="C126" s="65"/>
      <c r="E126" s="66"/>
      <c r="F126" s="67"/>
      <c r="H126" s="62">
        <v>5.7</v>
      </c>
      <c r="I126" s="65">
        <f>H125+H126-I125</f>
        <v>190.57</v>
      </c>
      <c r="K126" s="62"/>
      <c r="L126" s="65">
        <v>30</v>
      </c>
    </row>
    <row r="127" spans="2:12">
      <c r="B127" s="66"/>
      <c r="C127" s="67"/>
      <c r="E127" s="66"/>
      <c r="F127" s="67"/>
      <c r="H127" s="66"/>
      <c r="I127" s="67"/>
      <c r="K127" s="66"/>
      <c r="L127" s="67"/>
    </row>
    <row r="128" spans="2:12">
      <c r="B128" s="66"/>
      <c r="C128" s="67"/>
      <c r="E128" s="66"/>
      <c r="F128" s="67"/>
      <c r="H128" s="66"/>
      <c r="I128" s="67"/>
      <c r="K128" s="66"/>
      <c r="L128" s="67"/>
    </row>
    <row r="129" spans="2:12">
      <c r="B129" s="66"/>
      <c r="C129" s="67"/>
      <c r="E129" s="66"/>
      <c r="F129" s="67"/>
      <c r="H129" s="66"/>
      <c r="I129" s="67"/>
      <c r="K129" s="66"/>
      <c r="L129" s="67"/>
    </row>
    <row r="130" spans="2:12">
      <c r="B130" s="66"/>
      <c r="C130" s="67"/>
      <c r="E130" s="66"/>
      <c r="F130" s="67"/>
      <c r="H130" s="66"/>
      <c r="I130" s="67"/>
      <c r="K130" s="66"/>
      <c r="L130" s="67"/>
    </row>
    <row r="132" spans="2:12" ht="15.75" thickBot="1">
      <c r="B132" s="421" t="s">
        <v>554</v>
      </c>
      <c r="C132" s="421"/>
      <c r="E132" s="417" t="s">
        <v>555</v>
      </c>
      <c r="F132" s="417"/>
      <c r="H132" s="421" t="s">
        <v>556</v>
      </c>
      <c r="I132" s="421"/>
      <c r="K132" s="422" t="s">
        <v>608</v>
      </c>
      <c r="L132" s="422"/>
    </row>
    <row r="133" spans="2:12" ht="15">
      <c r="B133" s="60">
        <f>C133</f>
        <v>5000</v>
      </c>
      <c r="C133" s="61">
        <v>5000</v>
      </c>
      <c r="E133" s="60">
        <f>F133</f>
        <v>100000</v>
      </c>
      <c r="F133" s="61">
        <v>100000</v>
      </c>
      <c r="H133" s="60">
        <f>I133</f>
        <v>114900</v>
      </c>
      <c r="I133" s="61">
        <v>114900</v>
      </c>
      <c r="K133" s="62">
        <v>1800</v>
      </c>
      <c r="L133" s="70">
        <v>7827</v>
      </c>
    </row>
    <row r="134" spans="2:12">
      <c r="B134" s="66"/>
      <c r="C134" s="67"/>
      <c r="E134" s="66"/>
      <c r="F134" s="67"/>
      <c r="H134" s="66"/>
      <c r="I134" s="67"/>
      <c r="K134" s="62">
        <v>27</v>
      </c>
      <c r="L134" s="65"/>
    </row>
    <row r="135" spans="2:12">
      <c r="B135" s="66"/>
      <c r="C135" s="67"/>
      <c r="E135" s="66"/>
      <c r="F135" s="67"/>
      <c r="H135" s="66"/>
      <c r="I135" s="67"/>
      <c r="K135" s="62">
        <v>6000</v>
      </c>
      <c r="L135" s="65"/>
    </row>
    <row r="136" spans="2:12">
      <c r="B136" s="66"/>
      <c r="C136" s="67"/>
      <c r="E136" s="66"/>
      <c r="F136" s="67"/>
      <c r="H136" s="66"/>
      <c r="I136" s="67"/>
      <c r="K136" s="66"/>
      <c r="L136" s="67"/>
    </row>
    <row r="137" spans="2:12">
      <c r="B137" s="66"/>
      <c r="C137" s="67"/>
      <c r="E137" s="66"/>
      <c r="F137" s="67"/>
      <c r="H137" s="66"/>
      <c r="I137" s="67"/>
      <c r="K137" s="66"/>
      <c r="L137" s="67"/>
    </row>
    <row r="138" spans="2:12">
      <c r="B138" s="66"/>
      <c r="C138" s="67"/>
      <c r="E138" s="66"/>
      <c r="F138" s="67"/>
      <c r="H138" s="66"/>
      <c r="I138" s="67"/>
      <c r="K138" s="66"/>
      <c r="L138" s="67"/>
    </row>
    <row r="140" spans="2:12" ht="15.75" thickBot="1">
      <c r="B140" s="422" t="s">
        <v>622</v>
      </c>
      <c r="C140" s="422"/>
      <c r="E140" s="423" t="s">
        <v>624</v>
      </c>
      <c r="F140" s="423"/>
      <c r="H140" s="416" t="s">
        <v>629</v>
      </c>
      <c r="I140" s="416"/>
      <c r="K140" s="422" t="s">
        <v>633</v>
      </c>
      <c r="L140" s="422"/>
    </row>
    <row r="141" spans="2:12" ht="15">
      <c r="B141" s="62">
        <v>990</v>
      </c>
      <c r="C141" s="70">
        <v>5366</v>
      </c>
      <c r="E141" s="70">
        <v>80</v>
      </c>
      <c r="F141" s="61">
        <v>80</v>
      </c>
      <c r="H141" s="62">
        <v>5000</v>
      </c>
      <c r="I141" s="61">
        <v>5000</v>
      </c>
      <c r="K141" s="62">
        <v>20000</v>
      </c>
      <c r="L141" s="61">
        <v>20000</v>
      </c>
    </row>
    <row r="142" spans="2:12">
      <c r="B142" s="62">
        <v>4376</v>
      </c>
      <c r="C142" s="65"/>
      <c r="E142" s="66"/>
      <c r="F142" s="67"/>
      <c r="H142" s="66"/>
      <c r="I142" s="67"/>
      <c r="K142" s="66"/>
      <c r="L142" s="67"/>
    </row>
    <row r="143" spans="2:12">
      <c r="B143" s="66"/>
      <c r="C143" s="67"/>
      <c r="E143" s="66"/>
      <c r="F143" s="67"/>
      <c r="H143" s="66"/>
      <c r="I143" s="67"/>
      <c r="K143" s="66"/>
      <c r="L143" s="67"/>
    </row>
    <row r="144" spans="2:12">
      <c r="B144" s="66"/>
      <c r="C144" s="67"/>
      <c r="E144" s="66"/>
      <c r="F144" s="67"/>
      <c r="H144" s="66"/>
      <c r="I144" s="67"/>
      <c r="K144" s="66"/>
      <c r="L144" s="67"/>
    </row>
    <row r="145" spans="2:12">
      <c r="B145" s="66"/>
      <c r="C145" s="67"/>
      <c r="E145" s="66"/>
      <c r="F145" s="67"/>
      <c r="H145" s="66"/>
      <c r="I145" s="67"/>
      <c r="K145" s="66"/>
      <c r="L145" s="67"/>
    </row>
    <row r="146" spans="2:12">
      <c r="B146" s="66"/>
      <c r="C146" s="67"/>
      <c r="E146" s="66"/>
      <c r="F146" s="67"/>
      <c r="H146" s="66"/>
      <c r="I146" s="67"/>
      <c r="K146" s="66"/>
      <c r="L146" s="67"/>
    </row>
    <row r="148" spans="2:12" ht="15.75" thickBot="1">
      <c r="B148" s="422" t="s">
        <v>634</v>
      </c>
      <c r="C148" s="422"/>
      <c r="E148" s="417" t="s">
        <v>636</v>
      </c>
      <c r="F148" s="417"/>
      <c r="H148" s="416" t="s">
        <v>645</v>
      </c>
      <c r="I148" s="416"/>
      <c r="K148" s="417" t="s">
        <v>648</v>
      </c>
      <c r="L148" s="417"/>
    </row>
    <row r="149" spans="2:12" ht="15">
      <c r="B149" s="62">
        <v>6000</v>
      </c>
      <c r="C149" s="70">
        <v>6000</v>
      </c>
      <c r="E149" s="60">
        <f>F149</f>
        <v>1800</v>
      </c>
      <c r="F149" s="61">
        <v>1800</v>
      </c>
      <c r="H149" s="62">
        <v>300</v>
      </c>
      <c r="I149" s="70">
        <f>H149</f>
        <v>300</v>
      </c>
      <c r="K149" s="60">
        <f>L149</f>
        <v>3500</v>
      </c>
      <c r="L149" s="61">
        <v>3500</v>
      </c>
    </row>
    <row r="150" spans="2:12">
      <c r="B150" s="66"/>
      <c r="C150" s="67"/>
      <c r="E150" s="66"/>
      <c r="F150" s="67"/>
      <c r="H150" s="66"/>
      <c r="I150" s="67"/>
      <c r="K150" s="66"/>
      <c r="L150" s="67"/>
    </row>
    <row r="151" spans="2:12">
      <c r="B151" s="66"/>
      <c r="C151" s="67"/>
      <c r="E151" s="66"/>
      <c r="F151" s="67"/>
      <c r="H151" s="66"/>
      <c r="I151" s="67"/>
      <c r="K151" s="66"/>
      <c r="L151" s="67"/>
    </row>
    <row r="152" spans="2:12">
      <c r="B152" s="66"/>
      <c r="C152" s="67"/>
      <c r="E152" s="66"/>
      <c r="F152" s="67"/>
      <c r="H152" s="66"/>
      <c r="I152" s="67"/>
      <c r="K152" s="66"/>
      <c r="L152" s="67"/>
    </row>
    <row r="153" spans="2:12">
      <c r="B153" s="66"/>
      <c r="C153" s="67"/>
      <c r="E153" s="66"/>
      <c r="F153" s="67"/>
      <c r="H153" s="66"/>
      <c r="I153" s="67"/>
      <c r="K153" s="66"/>
      <c r="L153" s="67"/>
    </row>
    <row r="154" spans="2:12">
      <c r="B154" s="66"/>
      <c r="C154" s="67"/>
      <c r="E154" s="66"/>
      <c r="F154" s="67"/>
      <c r="H154" s="66"/>
      <c r="I154" s="67"/>
      <c r="K154" s="66"/>
      <c r="L154" s="67"/>
    </row>
    <row r="156" spans="2:12" ht="15.75" thickBot="1">
      <c r="B156" s="417" t="s">
        <v>651</v>
      </c>
      <c r="C156" s="417"/>
      <c r="E156" s="422" t="s">
        <v>661</v>
      </c>
      <c r="F156" s="422"/>
      <c r="H156" s="422" t="s">
        <v>667</v>
      </c>
      <c r="I156" s="422"/>
      <c r="K156" s="422" t="s">
        <v>669</v>
      </c>
      <c r="L156" s="422"/>
    </row>
    <row r="157" spans="2:12" ht="15">
      <c r="B157" s="60">
        <f>C157</f>
        <v>6000</v>
      </c>
      <c r="C157" s="61">
        <v>6000</v>
      </c>
      <c r="E157" s="62">
        <v>906</v>
      </c>
      <c r="F157" s="70">
        <v>906</v>
      </c>
      <c r="H157" s="62">
        <v>900</v>
      </c>
      <c r="I157" s="70">
        <v>900</v>
      </c>
      <c r="K157" s="62">
        <v>500</v>
      </c>
      <c r="L157" s="70">
        <v>500</v>
      </c>
    </row>
    <row r="158" spans="2:12">
      <c r="B158" s="66"/>
      <c r="C158" s="67"/>
      <c r="E158" s="66"/>
      <c r="F158" s="67"/>
      <c r="H158" s="66"/>
      <c r="I158" s="67"/>
      <c r="K158" s="66"/>
      <c r="L158" s="67"/>
    </row>
    <row r="159" spans="2:12">
      <c r="B159" s="66"/>
      <c r="C159" s="67"/>
      <c r="E159" s="66"/>
      <c r="F159" s="67"/>
      <c r="H159" s="66"/>
      <c r="I159" s="67"/>
      <c r="K159" s="66"/>
      <c r="L159" s="67"/>
    </row>
    <row r="160" spans="2:12">
      <c r="B160" s="66"/>
      <c r="C160" s="67"/>
      <c r="E160" s="66"/>
      <c r="F160" s="67"/>
      <c r="H160" s="66"/>
      <c r="I160" s="67"/>
      <c r="K160" s="66"/>
      <c r="L160" s="67"/>
    </row>
    <row r="161" spans="2:15">
      <c r="B161" s="66"/>
      <c r="C161" s="67"/>
      <c r="E161" s="66"/>
      <c r="F161" s="67"/>
      <c r="H161" s="66"/>
      <c r="I161" s="67"/>
      <c r="K161" s="66"/>
      <c r="L161" s="67"/>
    </row>
    <row r="162" spans="2:15">
      <c r="B162" s="66"/>
      <c r="C162" s="67"/>
      <c r="E162" s="66"/>
      <c r="F162" s="67"/>
      <c r="H162" s="66"/>
      <c r="I162" s="67"/>
      <c r="K162" s="66"/>
      <c r="L162" s="67"/>
    </row>
    <row r="164" spans="2:15" ht="15.75" thickBot="1">
      <c r="B164" s="423" t="s">
        <v>674</v>
      </c>
      <c r="C164" s="423"/>
      <c r="E164" s="423" t="s">
        <v>677</v>
      </c>
      <c r="F164" s="423"/>
      <c r="H164" s="423" t="s">
        <v>681</v>
      </c>
      <c r="I164" s="423"/>
      <c r="K164" s="422" t="s">
        <v>683</v>
      </c>
      <c r="L164" s="422"/>
    </row>
    <row r="165" spans="2:15" ht="15.75" thickBot="1">
      <c r="B165" s="70">
        <v>2000</v>
      </c>
      <c r="C165" s="61">
        <v>2000</v>
      </c>
      <c r="E165" s="70">
        <v>200</v>
      </c>
      <c r="F165" s="61">
        <v>200</v>
      </c>
      <c r="H165" s="62">
        <v>1000</v>
      </c>
      <c r="I165" s="61">
        <v>30000</v>
      </c>
      <c r="K165" s="62">
        <v>2000</v>
      </c>
      <c r="L165" s="61">
        <v>1500</v>
      </c>
    </row>
    <row r="166" spans="2:15" ht="15">
      <c r="B166" s="66"/>
      <c r="C166" s="67"/>
      <c r="E166" s="66"/>
      <c r="F166" s="67"/>
      <c r="H166" s="70">
        <v>29000</v>
      </c>
      <c r="I166" s="67"/>
      <c r="K166" s="62"/>
      <c r="L166" s="70">
        <v>500</v>
      </c>
    </row>
    <row r="167" spans="2:15">
      <c r="B167" s="66"/>
      <c r="C167" s="67"/>
      <c r="E167" s="66"/>
      <c r="F167" s="67"/>
      <c r="H167" s="66"/>
      <c r="I167" s="67"/>
      <c r="K167" s="66"/>
      <c r="L167" s="67"/>
    </row>
    <row r="168" spans="2:15">
      <c r="B168" s="66"/>
      <c r="C168" s="67"/>
      <c r="E168" s="66"/>
      <c r="F168" s="67"/>
      <c r="H168" s="66"/>
      <c r="I168" s="67"/>
      <c r="K168" s="66"/>
      <c r="L168" s="67"/>
    </row>
    <row r="169" spans="2:15">
      <c r="B169" s="66"/>
      <c r="C169" s="67"/>
      <c r="E169" s="66"/>
      <c r="F169" s="67"/>
      <c r="H169" s="66"/>
      <c r="I169" s="67"/>
      <c r="K169" s="66"/>
      <c r="L169" s="67"/>
    </row>
    <row r="170" spans="2:15">
      <c r="B170" s="66"/>
      <c r="C170" s="67"/>
      <c r="E170" s="66"/>
      <c r="F170" s="67"/>
      <c r="H170" s="66"/>
      <c r="I170" s="67"/>
      <c r="K170" s="66"/>
      <c r="L170" s="67"/>
    </row>
    <row r="172" spans="2:15" ht="15.75" thickBot="1">
      <c r="B172" s="423" t="s">
        <v>685</v>
      </c>
      <c r="C172" s="423"/>
      <c r="E172" s="422" t="s">
        <v>687</v>
      </c>
      <c r="F172" s="422"/>
      <c r="H172" s="417" t="s">
        <v>688</v>
      </c>
      <c r="I172" s="417"/>
      <c r="K172" s="422" t="s">
        <v>697</v>
      </c>
      <c r="L172" s="422"/>
      <c r="N172" s="44" t="s">
        <v>728</v>
      </c>
      <c r="O172" s="54">
        <f>'Q-LD Asientos (2024)'!E326</f>
        <v>95481</v>
      </c>
    </row>
    <row r="173" spans="2:15" ht="15.75" thickBot="1">
      <c r="B173" s="62">
        <v>14200</v>
      </c>
      <c r="C173" s="61">
        <v>73640</v>
      </c>
      <c r="E173" s="62">
        <v>4000</v>
      </c>
      <c r="F173" s="70">
        <v>4000</v>
      </c>
      <c r="H173" s="60">
        <f>I173</f>
        <v>4000</v>
      </c>
      <c r="I173" s="61">
        <v>4000</v>
      </c>
      <c r="K173" s="62">
        <v>11760.25</v>
      </c>
      <c r="L173" s="70">
        <f>K173</f>
        <v>11760.25</v>
      </c>
      <c r="N173" s="44" t="s">
        <v>729</v>
      </c>
      <c r="O173" s="54">
        <f>'Q-LD Asientos (2024)'!B307</f>
        <v>48440</v>
      </c>
    </row>
    <row r="174" spans="2:15" ht="15">
      <c r="B174" s="70">
        <f>C173-B173</f>
        <v>59440</v>
      </c>
      <c r="C174" s="65"/>
      <c r="E174" s="66"/>
      <c r="F174" s="67"/>
      <c r="H174" s="66"/>
      <c r="I174" s="67"/>
      <c r="K174" s="66"/>
      <c r="L174" s="67"/>
      <c r="N174" s="44" t="s">
        <v>730</v>
      </c>
      <c r="O174" s="54">
        <f>O172-O173</f>
        <v>47041</v>
      </c>
    </row>
    <row r="175" spans="2:15">
      <c r="B175" s="66"/>
      <c r="C175" s="67"/>
      <c r="E175" s="66"/>
      <c r="F175" s="67"/>
      <c r="H175" s="66"/>
      <c r="I175" s="67"/>
      <c r="K175" s="66"/>
      <c r="L175" s="67"/>
      <c r="N175" s="44" t="s">
        <v>731</v>
      </c>
      <c r="O175" s="54">
        <f>25%*O174</f>
        <v>11760.25</v>
      </c>
    </row>
    <row r="176" spans="2:15">
      <c r="B176" s="66"/>
      <c r="C176" s="67"/>
      <c r="E176" s="66"/>
      <c r="F176" s="67"/>
      <c r="H176" s="66"/>
      <c r="I176" s="67"/>
      <c r="K176" s="66"/>
      <c r="L176" s="67"/>
    </row>
    <row r="177" spans="2:12">
      <c r="B177" s="66"/>
      <c r="C177" s="67"/>
      <c r="E177" s="66"/>
      <c r="F177" s="67"/>
      <c r="H177" s="66"/>
      <c r="I177" s="67"/>
      <c r="K177" s="66"/>
      <c r="L177" s="67"/>
    </row>
    <row r="178" spans="2:12">
      <c r="B178" s="66"/>
      <c r="C178" s="67"/>
      <c r="E178" s="66"/>
      <c r="F178" s="67"/>
      <c r="H178" s="66"/>
      <c r="I178" s="67"/>
      <c r="K178" s="66"/>
      <c r="L178" s="67"/>
    </row>
    <row r="180" spans="2:12" ht="15.75" thickBot="1">
      <c r="B180" s="425"/>
      <c r="C180" s="425"/>
      <c r="E180" s="425"/>
      <c r="F180" s="425"/>
      <c r="H180" s="425"/>
      <c r="I180" s="425"/>
      <c r="K180" s="425"/>
      <c r="L180" s="425"/>
    </row>
    <row r="181" spans="2:12">
      <c r="B181" s="66"/>
      <c r="C181" s="71"/>
      <c r="E181" s="66"/>
      <c r="F181" s="71"/>
      <c r="H181" s="66"/>
      <c r="I181" s="71"/>
      <c r="K181" s="66"/>
      <c r="L181" s="71"/>
    </row>
    <row r="182" spans="2:12">
      <c r="B182" s="66"/>
      <c r="C182" s="67"/>
      <c r="E182" s="66"/>
      <c r="F182" s="67"/>
      <c r="H182" s="66"/>
      <c r="I182" s="67"/>
      <c r="K182" s="66"/>
      <c r="L182" s="67"/>
    </row>
    <row r="183" spans="2:12">
      <c r="B183" s="66"/>
      <c r="C183" s="67"/>
      <c r="E183" s="66"/>
      <c r="F183" s="67"/>
      <c r="H183" s="66"/>
      <c r="I183" s="67"/>
      <c r="K183" s="66"/>
      <c r="L183" s="67"/>
    </row>
    <row r="184" spans="2:12">
      <c r="B184" s="66"/>
      <c r="C184" s="67"/>
      <c r="E184" s="66"/>
      <c r="F184" s="67"/>
      <c r="H184" s="66"/>
      <c r="I184" s="67"/>
      <c r="K184" s="66"/>
      <c r="L184" s="67"/>
    </row>
    <row r="185" spans="2:12">
      <c r="B185" s="66"/>
      <c r="C185" s="67"/>
      <c r="E185" s="66"/>
      <c r="F185" s="67"/>
      <c r="H185" s="66"/>
      <c r="I185" s="67"/>
      <c r="K185" s="66"/>
      <c r="L185" s="67"/>
    </row>
    <row r="186" spans="2:12">
      <c r="B186" s="66"/>
      <c r="C186" s="67"/>
      <c r="E186" s="66"/>
      <c r="F186" s="67"/>
      <c r="H186" s="66"/>
      <c r="I186" s="67"/>
      <c r="K186" s="66"/>
      <c r="L186" s="67"/>
    </row>
  </sheetData>
  <mergeCells count="87">
    <mergeCell ref="B172:C172"/>
    <mergeCell ref="E172:F172"/>
    <mergeCell ref="H172:I172"/>
    <mergeCell ref="K172:L172"/>
    <mergeCell ref="B180:C180"/>
    <mergeCell ref="E180:F180"/>
    <mergeCell ref="H180:I180"/>
    <mergeCell ref="K180:L180"/>
    <mergeCell ref="B156:C156"/>
    <mergeCell ref="E156:F156"/>
    <mergeCell ref="H156:I156"/>
    <mergeCell ref="K156:L156"/>
    <mergeCell ref="B164:C164"/>
    <mergeCell ref="E164:F164"/>
    <mergeCell ref="H164:I164"/>
    <mergeCell ref="K164:L164"/>
    <mergeCell ref="B148:C148"/>
    <mergeCell ref="E148:F148"/>
    <mergeCell ref="H148:I148"/>
    <mergeCell ref="K148:L148"/>
    <mergeCell ref="B140:C140"/>
    <mergeCell ref="E140:F140"/>
    <mergeCell ref="H140:I140"/>
    <mergeCell ref="K140:L140"/>
    <mergeCell ref="B124:C124"/>
    <mergeCell ref="E124:F124"/>
    <mergeCell ref="H124:I124"/>
    <mergeCell ref="K124:L124"/>
    <mergeCell ref="B132:C132"/>
    <mergeCell ref="E132:F132"/>
    <mergeCell ref="H132:I132"/>
    <mergeCell ref="K132:L132"/>
    <mergeCell ref="B108:C108"/>
    <mergeCell ref="E108:F108"/>
    <mergeCell ref="H108:I108"/>
    <mergeCell ref="K108:L108"/>
    <mergeCell ref="B116:C116"/>
    <mergeCell ref="E116:F116"/>
    <mergeCell ref="H116:I116"/>
    <mergeCell ref="K116:L116"/>
    <mergeCell ref="B79:C79"/>
    <mergeCell ref="E79:F79"/>
    <mergeCell ref="H79:I79"/>
    <mergeCell ref="K79:L79"/>
    <mergeCell ref="B97:C97"/>
    <mergeCell ref="E97:F97"/>
    <mergeCell ref="H97:I97"/>
    <mergeCell ref="K97:L97"/>
    <mergeCell ref="B62:C62"/>
    <mergeCell ref="E62:F62"/>
    <mergeCell ref="H62:I62"/>
    <mergeCell ref="K62:L62"/>
    <mergeCell ref="B70:C70"/>
    <mergeCell ref="E70:F70"/>
    <mergeCell ref="H70:I70"/>
    <mergeCell ref="K70:L70"/>
    <mergeCell ref="N3:O3"/>
    <mergeCell ref="N4:O4"/>
    <mergeCell ref="N11:O11"/>
    <mergeCell ref="B54:C54"/>
    <mergeCell ref="E54:F54"/>
    <mergeCell ref="H54:I54"/>
    <mergeCell ref="K54:L54"/>
    <mergeCell ref="B12:C12"/>
    <mergeCell ref="E12:F12"/>
    <mergeCell ref="H12:I12"/>
    <mergeCell ref="K12:L12"/>
    <mergeCell ref="E3:F3"/>
    <mergeCell ref="H3:I3"/>
    <mergeCell ref="K3:L3"/>
    <mergeCell ref="B3:C3"/>
    <mergeCell ref="B46:C46"/>
    <mergeCell ref="E46:F46"/>
    <mergeCell ref="H46:I46"/>
    <mergeCell ref="K46:L46"/>
    <mergeCell ref="K21:L21"/>
    <mergeCell ref="B30:C30"/>
    <mergeCell ref="E30:F30"/>
    <mergeCell ref="H30:I30"/>
    <mergeCell ref="K30:L30"/>
    <mergeCell ref="B38:C38"/>
    <mergeCell ref="E38:F38"/>
    <mergeCell ref="H38:I38"/>
    <mergeCell ref="K38:L38"/>
    <mergeCell ref="B21:C21"/>
    <mergeCell ref="E21:F21"/>
    <mergeCell ref="H21:I21"/>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2">
    <pageSetUpPr fitToPage="1"/>
  </sheetPr>
  <dimension ref="A1:AM456"/>
  <sheetViews>
    <sheetView zoomScale="130" zoomScaleNormal="130" workbookViewId="0">
      <selection activeCell="A4" sqref="A4:D4"/>
    </sheetView>
  </sheetViews>
  <sheetFormatPr defaultColWidth="26.5703125" defaultRowHeight="17.100000000000001" customHeight="1"/>
  <cols>
    <col min="1" max="1" width="25.140625" style="2" bestFit="1" customWidth="1"/>
    <col min="2" max="2" width="58.85546875" style="1" bestFit="1" customWidth="1"/>
    <col min="3" max="4" width="16.140625" style="1" bestFit="1" customWidth="1"/>
    <col min="5" max="5" width="15.85546875" style="29" bestFit="1" customWidth="1"/>
    <col min="6" max="6" width="19.42578125" style="29" customWidth="1"/>
    <col min="7" max="7" width="26.5703125" style="29"/>
    <col min="8" max="39" width="26.5703125" style="30"/>
    <col min="40" max="16384" width="26.5703125" style="1"/>
  </cols>
  <sheetData>
    <row r="1" spans="1:4" ht="17.100000000000001" customHeight="1">
      <c r="A1" s="428" t="s">
        <v>732</v>
      </c>
      <c r="B1" s="429"/>
      <c r="C1" s="429"/>
      <c r="D1" s="429"/>
    </row>
    <row r="2" spans="1:4" ht="17.100000000000001" customHeight="1">
      <c r="A2" s="429"/>
      <c r="B2" s="429"/>
      <c r="C2" s="429"/>
      <c r="D2" s="429"/>
    </row>
    <row r="3" spans="1:4" ht="17.100000000000001" customHeight="1">
      <c r="A3" s="429"/>
      <c r="B3" s="429"/>
      <c r="C3" s="429"/>
      <c r="D3" s="429"/>
    </row>
    <row r="4" spans="1:4" ht="17.100000000000001" customHeight="1">
      <c r="A4" s="432" t="s">
        <v>162</v>
      </c>
      <c r="B4" s="432"/>
      <c r="C4" s="430" t="s">
        <v>733</v>
      </c>
      <c r="D4" s="430"/>
    </row>
    <row r="5" spans="1:4" ht="17.100000000000001" customHeight="1">
      <c r="A5" s="294" t="s">
        <v>1</v>
      </c>
      <c r="B5" s="293" t="s">
        <v>734</v>
      </c>
      <c r="C5" s="293" t="s">
        <v>4</v>
      </c>
      <c r="D5" s="293" t="s">
        <v>5</v>
      </c>
    </row>
    <row r="6" spans="1:4" ht="17.100000000000001" customHeight="1">
      <c r="A6" s="354" t="s">
        <v>735</v>
      </c>
      <c r="B6" s="85" t="s">
        <v>473</v>
      </c>
      <c r="C6" s="94"/>
      <c r="D6" s="86">
        <v>3000</v>
      </c>
    </row>
    <row r="7" spans="1:4" ht="17.100000000000001" customHeight="1">
      <c r="A7" s="354"/>
      <c r="B7" s="85" t="s">
        <v>475</v>
      </c>
      <c r="C7" s="94"/>
      <c r="D7" s="86">
        <v>600</v>
      </c>
    </row>
    <row r="8" spans="1:4" ht="17.100000000000001" customHeight="1">
      <c r="A8" s="354"/>
      <c r="B8" s="85" t="s">
        <v>554</v>
      </c>
      <c r="C8" s="94"/>
      <c r="D8" s="95">
        <v>5000</v>
      </c>
    </row>
    <row r="9" spans="1:4" ht="17.100000000000001" customHeight="1">
      <c r="A9" s="354"/>
      <c r="B9" s="85" t="s">
        <v>556</v>
      </c>
      <c r="C9" s="94"/>
      <c r="D9" s="95">
        <v>114900</v>
      </c>
    </row>
    <row r="10" spans="1:4" ht="17.100000000000001" customHeight="1">
      <c r="A10" s="354"/>
      <c r="B10" s="87" t="s">
        <v>477</v>
      </c>
      <c r="C10" s="94"/>
      <c r="D10" s="86">
        <v>35355.75</v>
      </c>
    </row>
    <row r="11" spans="1:4" ht="17.100000000000001" customHeight="1">
      <c r="A11" s="431" t="s">
        <v>736</v>
      </c>
      <c r="B11" s="88" t="s">
        <v>472</v>
      </c>
      <c r="C11" s="96">
        <v>5000</v>
      </c>
      <c r="D11" s="89"/>
    </row>
    <row r="12" spans="1:4" ht="17.100000000000001" customHeight="1">
      <c r="A12" s="356"/>
      <c r="B12" s="88" t="s">
        <v>474</v>
      </c>
      <c r="C12" s="96">
        <v>2120</v>
      </c>
      <c r="D12" s="89"/>
    </row>
    <row r="13" spans="1:4" ht="17.100000000000001" customHeight="1">
      <c r="A13" s="356"/>
      <c r="B13" s="88" t="s">
        <v>701</v>
      </c>
      <c r="C13" s="96">
        <v>200000</v>
      </c>
      <c r="D13" s="89"/>
    </row>
    <row r="14" spans="1:4" ht="17.100000000000001" customHeight="1">
      <c r="A14" s="356"/>
      <c r="B14" s="88" t="s">
        <v>478</v>
      </c>
      <c r="C14" s="96">
        <v>70000</v>
      </c>
      <c r="D14" s="89"/>
    </row>
    <row r="15" spans="1:4" ht="17.100000000000001" customHeight="1">
      <c r="A15" s="356"/>
      <c r="B15" s="88" t="s">
        <v>480</v>
      </c>
      <c r="C15" s="96">
        <v>8200</v>
      </c>
      <c r="D15" s="89"/>
    </row>
    <row r="16" spans="1:4" ht="17.100000000000001" customHeight="1">
      <c r="A16" s="356"/>
      <c r="B16" s="88" t="s">
        <v>482</v>
      </c>
      <c r="C16" s="96">
        <v>4800</v>
      </c>
      <c r="D16" s="89"/>
    </row>
    <row r="17" spans="1:39" ht="17.100000000000001" customHeight="1">
      <c r="A17" s="356"/>
      <c r="B17" s="88" t="s">
        <v>706</v>
      </c>
      <c r="C17" s="96">
        <v>1920</v>
      </c>
      <c r="D17" s="89"/>
    </row>
    <row r="18" spans="1:39" ht="17.100000000000001" customHeight="1">
      <c r="A18" s="356"/>
      <c r="B18" s="88" t="s">
        <v>486</v>
      </c>
      <c r="C18" s="96">
        <v>20000</v>
      </c>
      <c r="D18" s="89"/>
    </row>
    <row r="19" spans="1:39" ht="17.100000000000001" customHeight="1">
      <c r="A19" s="356"/>
      <c r="B19" s="88" t="s">
        <v>488</v>
      </c>
      <c r="C19" s="96">
        <v>60000</v>
      </c>
      <c r="D19" s="89"/>
    </row>
    <row r="20" spans="1:39" ht="17.100000000000001" customHeight="1">
      <c r="A20" s="356"/>
      <c r="B20" s="88" t="s">
        <v>708</v>
      </c>
      <c r="C20" s="96">
        <v>30000</v>
      </c>
      <c r="D20" s="89"/>
    </row>
    <row r="21" spans="1:39" ht="17.100000000000001" customHeight="1">
      <c r="A21" s="356"/>
      <c r="B21" s="88" t="s">
        <v>702</v>
      </c>
      <c r="C21" s="97"/>
      <c r="D21" s="89">
        <v>2306</v>
      </c>
      <c r="E21" s="29" t="s">
        <v>737</v>
      </c>
    </row>
    <row r="22" spans="1:39" ht="17.100000000000001" customHeight="1">
      <c r="A22" s="356"/>
      <c r="B22" s="88" t="s">
        <v>703</v>
      </c>
      <c r="C22" s="97"/>
      <c r="D22" s="89">
        <v>26086</v>
      </c>
      <c r="E22" s="29" t="s">
        <v>737</v>
      </c>
    </row>
    <row r="23" spans="1:39" ht="17.100000000000001" customHeight="1">
      <c r="A23" s="356"/>
      <c r="B23" s="88" t="s">
        <v>704</v>
      </c>
      <c r="C23" s="97"/>
      <c r="D23" s="89">
        <v>12900</v>
      </c>
      <c r="E23" s="29" t="s">
        <v>737</v>
      </c>
    </row>
    <row r="24" spans="1:39" ht="17.100000000000001" customHeight="1">
      <c r="A24" s="356"/>
      <c r="B24" s="88" t="s">
        <v>705</v>
      </c>
      <c r="C24" s="97"/>
      <c r="D24" s="89">
        <v>500</v>
      </c>
      <c r="E24" s="29" t="s">
        <v>737</v>
      </c>
    </row>
    <row r="25" spans="1:39" ht="17.100000000000001" customHeight="1">
      <c r="A25" s="357" t="s">
        <v>738</v>
      </c>
      <c r="B25" s="90" t="s">
        <v>492</v>
      </c>
      <c r="C25" s="98">
        <v>30000</v>
      </c>
      <c r="D25" s="99"/>
    </row>
    <row r="26" spans="1:39" ht="16.5" customHeight="1">
      <c r="A26" s="357"/>
      <c r="B26" s="90" t="s">
        <v>494</v>
      </c>
      <c r="C26" s="98">
        <v>1500</v>
      </c>
      <c r="D26" s="99"/>
    </row>
    <row r="27" spans="1:39" ht="17.100000000000001" customHeight="1">
      <c r="A27" s="358"/>
      <c r="B27" s="90" t="s">
        <v>496</v>
      </c>
      <c r="C27" s="98">
        <v>73640</v>
      </c>
      <c r="D27" s="99"/>
    </row>
    <row r="28" spans="1:39" s="29" customFormat="1" ht="17.100000000000001" customHeight="1">
      <c r="A28" s="426" t="s">
        <v>739</v>
      </c>
      <c r="B28" s="91" t="s">
        <v>493</v>
      </c>
      <c r="C28" s="100"/>
      <c r="D28" s="92">
        <v>10198</v>
      </c>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row>
    <row r="29" spans="1:39" s="29" customFormat="1" ht="17.100000000000001" customHeight="1">
      <c r="A29" s="427"/>
      <c r="B29" s="91" t="s">
        <v>707</v>
      </c>
      <c r="C29" s="100"/>
      <c r="D29" s="92">
        <v>8000</v>
      </c>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row>
    <row r="30" spans="1:39" s="29" customFormat="1" ht="17.100000000000001" customHeight="1">
      <c r="A30" s="427"/>
      <c r="B30" s="91" t="s">
        <v>498</v>
      </c>
      <c r="C30" s="101">
        <v>20508</v>
      </c>
      <c r="D30" s="92"/>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row>
    <row r="31" spans="1:39" s="29" customFormat="1" ht="17.100000000000001" customHeight="1">
      <c r="A31" s="427"/>
      <c r="B31" s="91" t="s">
        <v>581</v>
      </c>
      <c r="C31" s="101">
        <v>7260</v>
      </c>
      <c r="D31" s="92"/>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row>
    <row r="32" spans="1:39" s="29" customFormat="1" ht="17.100000000000001" customHeight="1">
      <c r="A32" s="427"/>
      <c r="B32" s="91" t="s">
        <v>636</v>
      </c>
      <c r="C32" s="100"/>
      <c r="D32" s="101">
        <v>1800</v>
      </c>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row>
    <row r="33" spans="1:39" s="29" customFormat="1" ht="17.100000000000001" customHeight="1">
      <c r="A33" s="427"/>
      <c r="B33" s="91" t="s">
        <v>641</v>
      </c>
      <c r="C33" s="100"/>
      <c r="D33" s="92">
        <v>3228.6</v>
      </c>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row>
    <row r="34" spans="1:39" s="29" customFormat="1" ht="17.100000000000001" customHeight="1">
      <c r="A34" s="427"/>
      <c r="B34" s="91" t="s">
        <v>709</v>
      </c>
      <c r="C34" s="100"/>
      <c r="D34" s="92">
        <v>4000</v>
      </c>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row>
    <row r="35" spans="1:39" s="29" customFormat="1" ht="17.100000000000001" customHeight="1">
      <c r="A35" s="427"/>
      <c r="B35" s="91" t="s">
        <v>698</v>
      </c>
      <c r="C35" s="100"/>
      <c r="D35" s="92">
        <v>66594.679999999993</v>
      </c>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row>
    <row r="36" spans="1:39" s="29" customFormat="1" ht="17.100000000000001" customHeight="1">
      <c r="A36" s="427"/>
      <c r="B36" s="91" t="s">
        <v>710</v>
      </c>
      <c r="C36" s="100"/>
      <c r="D36" s="92">
        <v>7200</v>
      </c>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row>
    <row r="37" spans="1:39" s="29" customFormat="1" ht="17.100000000000001" customHeight="1">
      <c r="A37" s="427"/>
      <c r="B37" s="91" t="s">
        <v>645</v>
      </c>
      <c r="C37" s="101">
        <v>300</v>
      </c>
      <c r="D37" s="92"/>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row>
    <row r="38" spans="1:39" s="29" customFormat="1" ht="17.100000000000001" customHeight="1">
      <c r="A38" s="427"/>
      <c r="B38" s="91" t="s">
        <v>648</v>
      </c>
      <c r="C38" s="100"/>
      <c r="D38" s="101">
        <v>3500</v>
      </c>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row>
    <row r="39" spans="1:39" s="29" customFormat="1" ht="17.100000000000001" customHeight="1">
      <c r="A39" s="351" t="s">
        <v>199</v>
      </c>
      <c r="B39" s="93" t="s">
        <v>711</v>
      </c>
      <c r="C39" s="102"/>
      <c r="D39" s="103">
        <v>120000</v>
      </c>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row>
    <row r="40" spans="1:39" s="29" customFormat="1" ht="17.100000000000001" customHeight="1">
      <c r="A40" s="351"/>
      <c r="B40" s="93" t="s">
        <v>712</v>
      </c>
      <c r="C40" s="102"/>
      <c r="D40" s="103">
        <v>1508.2</v>
      </c>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row>
    <row r="41" spans="1:39" s="29" customFormat="1" ht="17.100000000000001" customHeight="1">
      <c r="A41" s="351"/>
      <c r="B41" s="93" t="s">
        <v>555</v>
      </c>
      <c r="C41" s="102"/>
      <c r="D41" s="103">
        <v>100000</v>
      </c>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row>
    <row r="42" spans="1:39" s="29" customFormat="1" ht="17.100000000000001" customHeight="1">
      <c r="A42" s="351"/>
      <c r="B42" s="93" t="s">
        <v>651</v>
      </c>
      <c r="C42" s="102"/>
      <c r="D42" s="103">
        <v>6000</v>
      </c>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row>
    <row r="43" spans="1:39" s="29" customFormat="1" ht="17.100000000000001" customHeight="1">
      <c r="A43" s="352"/>
      <c r="B43" s="93" t="s">
        <v>688</v>
      </c>
      <c r="C43" s="102"/>
      <c r="D43" s="103">
        <v>4000</v>
      </c>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row>
    <row r="44" spans="1:39" s="29" customFormat="1" ht="17.100000000000001" customHeight="1">
      <c r="A44" s="352"/>
      <c r="B44" s="93" t="s">
        <v>585</v>
      </c>
      <c r="C44" s="102"/>
      <c r="D44" s="103">
        <v>600</v>
      </c>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row>
    <row r="45" spans="1:39" s="29" customFormat="1" ht="17.100000000000001" customHeight="1">
      <c r="A45" s="352"/>
      <c r="B45" s="93" t="s">
        <v>506</v>
      </c>
      <c r="C45" s="103">
        <v>897.13</v>
      </c>
      <c r="D45" s="104"/>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row>
    <row r="46" spans="1:39" s="29" customFormat="1" ht="17.100000000000001" customHeight="1">
      <c r="A46" s="352"/>
      <c r="B46" s="93" t="s">
        <v>508</v>
      </c>
      <c r="C46" s="103">
        <v>1132.0999999999999</v>
      </c>
      <c r="D46" s="104"/>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row>
    <row r="47" spans="1:39" s="29" customFormat="1" ht="17.100000000000001" customHeight="1">
      <c r="A47" s="370" t="s">
        <v>208</v>
      </c>
      <c r="B47" s="370"/>
      <c r="C47" s="105">
        <f>SUM(C6:C46)</f>
        <v>537277.23</v>
      </c>
      <c r="D47" s="105">
        <f>SUM(D6:D46)</f>
        <v>537277.23</v>
      </c>
      <c r="E47" s="31"/>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row>
    <row r="48" spans="1:39" s="29" customFormat="1" ht="17.100000000000001" customHeight="1">
      <c r="B48" s="30"/>
      <c r="C48" s="30"/>
      <c r="D48" s="30"/>
      <c r="F48" s="32"/>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row>
    <row r="49" spans="2:39" s="29" customFormat="1" ht="17.100000000000001" customHeight="1">
      <c r="B49" s="30"/>
      <c r="C49" s="30"/>
      <c r="D49" s="30"/>
      <c r="F49" s="32"/>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row>
    <row r="50" spans="2:39" s="29" customFormat="1" ht="17.100000000000001" customHeight="1">
      <c r="B50" s="30"/>
      <c r="C50" s="30"/>
      <c r="D50" s="30"/>
      <c r="F50" s="32"/>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row>
    <row r="51" spans="2:39" s="29" customFormat="1" ht="17.100000000000001" customHeight="1">
      <c r="B51" s="30"/>
      <c r="C51" s="30"/>
      <c r="D51" s="30"/>
      <c r="F51" s="32"/>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row>
    <row r="52" spans="2:39" s="29" customFormat="1" ht="17.100000000000001" customHeight="1">
      <c r="B52" s="30"/>
      <c r="C52" s="30"/>
      <c r="D52" s="30"/>
      <c r="F52" s="32"/>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row>
    <row r="53" spans="2:39" s="29" customFormat="1" ht="17.100000000000001" customHeight="1">
      <c r="B53" s="30"/>
      <c r="C53" s="30"/>
      <c r="D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row>
    <row r="54" spans="2:39" s="29" customFormat="1" ht="17.100000000000001" customHeight="1">
      <c r="B54" s="30"/>
      <c r="C54" s="30"/>
      <c r="D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row>
    <row r="55" spans="2:39" s="29" customFormat="1" ht="17.100000000000001" customHeight="1">
      <c r="B55" s="30"/>
      <c r="C55" s="30"/>
      <c r="D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row>
    <row r="56" spans="2:39" s="29" customFormat="1" ht="17.100000000000001" customHeight="1">
      <c r="B56" s="30"/>
      <c r="C56" s="30"/>
      <c r="D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row>
    <row r="57" spans="2:39" s="29" customFormat="1" ht="17.100000000000001" customHeight="1">
      <c r="B57" s="30"/>
      <c r="C57" s="30"/>
      <c r="D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row>
    <row r="58" spans="2:39" s="29" customFormat="1" ht="17.100000000000001" customHeight="1">
      <c r="B58" s="30"/>
      <c r="C58" s="30"/>
      <c r="D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row>
    <row r="59" spans="2:39" s="29" customFormat="1" ht="17.100000000000001" customHeight="1">
      <c r="B59" s="30"/>
      <c r="C59" s="30"/>
      <c r="D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row>
    <row r="60" spans="2:39" s="29" customFormat="1" ht="17.100000000000001" customHeight="1">
      <c r="B60" s="30"/>
      <c r="C60" s="30"/>
      <c r="D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row>
    <row r="61" spans="2:39" s="29" customFormat="1" ht="17.100000000000001" customHeight="1">
      <c r="B61" s="30"/>
      <c r="C61" s="30"/>
      <c r="D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2:39" s="29" customFormat="1" ht="17.100000000000001" customHeight="1">
      <c r="B62" s="30"/>
      <c r="C62" s="30"/>
      <c r="D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row>
    <row r="63" spans="2:39" s="29" customFormat="1" ht="17.100000000000001" customHeight="1">
      <c r="B63" s="30"/>
      <c r="C63" s="30"/>
      <c r="D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row>
    <row r="64" spans="2:39" s="29" customFormat="1" ht="17.100000000000001" customHeight="1">
      <c r="B64" s="30"/>
      <c r="C64" s="30"/>
      <c r="D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row>
    <row r="65" spans="2:39" s="29" customFormat="1" ht="17.100000000000001" customHeight="1">
      <c r="B65" s="30"/>
      <c r="C65" s="30"/>
      <c r="D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row>
    <row r="66" spans="2:39" s="29" customFormat="1" ht="17.100000000000001" customHeight="1">
      <c r="B66" s="30"/>
      <c r="C66" s="30"/>
      <c r="D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row>
    <row r="67" spans="2:39" s="29" customFormat="1" ht="17.100000000000001" customHeight="1">
      <c r="B67" s="30"/>
      <c r="C67" s="30"/>
      <c r="D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row>
    <row r="68" spans="2:39" s="29" customFormat="1" ht="17.100000000000001" customHeight="1">
      <c r="B68" s="30"/>
      <c r="C68" s="30"/>
      <c r="D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row>
    <row r="69" spans="2:39" s="29" customFormat="1" ht="17.100000000000001" customHeight="1">
      <c r="B69" s="30"/>
      <c r="C69" s="30"/>
      <c r="D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row>
    <row r="70" spans="2:39" s="29" customFormat="1" ht="17.100000000000001" customHeight="1">
      <c r="B70" s="30"/>
      <c r="C70" s="30"/>
      <c r="D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row>
    <row r="71" spans="2:39" s="29" customFormat="1" ht="17.100000000000001" customHeight="1">
      <c r="B71" s="30"/>
      <c r="C71" s="30"/>
      <c r="D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row>
    <row r="72" spans="2:39" s="29" customFormat="1" ht="17.100000000000001" customHeight="1">
      <c r="B72" s="30"/>
      <c r="C72" s="30"/>
      <c r="D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row>
    <row r="73" spans="2:39" s="29" customFormat="1" ht="17.100000000000001" customHeight="1">
      <c r="B73" s="30"/>
      <c r="C73" s="30"/>
      <c r="D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row>
    <row r="74" spans="2:39" s="29" customFormat="1" ht="17.100000000000001" customHeight="1">
      <c r="B74" s="30"/>
      <c r="C74" s="30"/>
      <c r="D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row>
    <row r="75" spans="2:39" s="29" customFormat="1" ht="17.100000000000001" customHeight="1">
      <c r="B75" s="30"/>
      <c r="C75" s="30"/>
      <c r="D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2:39" s="29" customFormat="1" ht="17.100000000000001" customHeight="1">
      <c r="B76" s="30"/>
      <c r="C76" s="30"/>
      <c r="D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row>
    <row r="77" spans="2:39" s="29" customFormat="1" ht="17.100000000000001" customHeight="1">
      <c r="B77" s="30"/>
      <c r="C77" s="30"/>
      <c r="D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row>
    <row r="78" spans="2:39" s="29" customFormat="1" ht="17.100000000000001" customHeight="1">
      <c r="B78" s="30"/>
      <c r="C78" s="30"/>
      <c r="D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row>
    <row r="79" spans="2:39" s="29" customFormat="1" ht="17.100000000000001" customHeight="1">
      <c r="B79" s="30"/>
      <c r="C79" s="30"/>
      <c r="D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row>
    <row r="80" spans="2:39" s="29" customFormat="1" ht="17.100000000000001" customHeight="1">
      <c r="B80" s="30"/>
      <c r="C80" s="30"/>
      <c r="D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row>
    <row r="81" spans="2:39" s="29" customFormat="1" ht="17.100000000000001" customHeight="1">
      <c r="B81" s="30"/>
      <c r="C81" s="30"/>
      <c r="D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row>
    <row r="82" spans="2:39" s="29" customFormat="1" ht="17.100000000000001" customHeight="1">
      <c r="B82" s="30"/>
      <c r="C82" s="30"/>
      <c r="D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row>
    <row r="83" spans="2:39" s="29" customFormat="1" ht="17.100000000000001" customHeight="1">
      <c r="B83" s="30"/>
      <c r="C83" s="30"/>
      <c r="D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row>
    <row r="84" spans="2:39" s="29" customFormat="1" ht="17.100000000000001" customHeight="1">
      <c r="B84" s="30"/>
      <c r="C84" s="30"/>
      <c r="D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2:39" s="29" customFormat="1" ht="17.100000000000001" customHeight="1">
      <c r="B85" s="30"/>
      <c r="C85" s="30"/>
      <c r="D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2:39" s="29" customFormat="1" ht="17.100000000000001" customHeight="1">
      <c r="B86" s="30"/>
      <c r="C86" s="30"/>
      <c r="D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row>
    <row r="87" spans="2:39" s="29" customFormat="1" ht="17.100000000000001" customHeight="1">
      <c r="B87" s="30"/>
      <c r="C87" s="30"/>
      <c r="D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row>
    <row r="88" spans="2:39" s="29" customFormat="1" ht="17.100000000000001" customHeight="1">
      <c r="B88" s="30"/>
      <c r="C88" s="30"/>
      <c r="D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row>
    <row r="89" spans="2:39" s="29" customFormat="1" ht="17.100000000000001" customHeight="1">
      <c r="B89" s="30"/>
      <c r="C89" s="30"/>
      <c r="D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row>
    <row r="90" spans="2:39" s="29" customFormat="1" ht="17.100000000000001" customHeight="1">
      <c r="B90" s="30"/>
      <c r="C90" s="30"/>
      <c r="D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row>
    <row r="91" spans="2:39" s="29" customFormat="1" ht="17.100000000000001" customHeight="1">
      <c r="B91" s="30"/>
      <c r="C91" s="30"/>
      <c r="D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row>
    <row r="92" spans="2:39" s="29" customFormat="1" ht="17.100000000000001" customHeight="1">
      <c r="B92" s="30"/>
      <c r="C92" s="30"/>
      <c r="D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row>
    <row r="93" spans="2:39" s="29" customFormat="1" ht="17.100000000000001" customHeight="1">
      <c r="B93" s="30"/>
      <c r="C93" s="30"/>
      <c r="D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row>
    <row r="94" spans="2:39" s="29" customFormat="1" ht="17.100000000000001" customHeight="1">
      <c r="B94" s="30"/>
      <c r="C94" s="30"/>
      <c r="D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row>
    <row r="95" spans="2:39" s="29" customFormat="1" ht="17.100000000000001" customHeight="1">
      <c r="B95" s="30"/>
      <c r="C95" s="30"/>
      <c r="D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row>
    <row r="96" spans="2:39" s="29" customFormat="1" ht="17.100000000000001" customHeight="1">
      <c r="B96" s="30"/>
      <c r="C96" s="30"/>
      <c r="D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row>
    <row r="97" spans="2:39" s="29" customFormat="1" ht="17.100000000000001" customHeight="1">
      <c r="B97" s="30"/>
      <c r="C97" s="30"/>
      <c r="D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row>
    <row r="98" spans="2:39" s="29" customFormat="1" ht="17.100000000000001" customHeight="1">
      <c r="B98" s="30"/>
      <c r="C98" s="30"/>
      <c r="D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row>
    <row r="99" spans="2:39" s="29" customFormat="1" ht="17.100000000000001" customHeight="1">
      <c r="B99" s="30"/>
      <c r="C99" s="30"/>
      <c r="D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row>
    <row r="100" spans="2:39" s="29" customFormat="1" ht="17.100000000000001" customHeight="1">
      <c r="B100" s="30"/>
      <c r="C100" s="30"/>
      <c r="D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row>
    <row r="101" spans="2:39" s="29" customFormat="1" ht="17.100000000000001" customHeight="1">
      <c r="B101" s="30"/>
      <c r="C101" s="30"/>
      <c r="D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row>
    <row r="102" spans="2:39" s="29" customFormat="1" ht="17.100000000000001" customHeight="1">
      <c r="B102" s="30"/>
      <c r="C102" s="30"/>
      <c r="D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row>
    <row r="103" spans="2:39" s="29" customFormat="1" ht="17.100000000000001" customHeight="1">
      <c r="B103" s="30"/>
      <c r="C103" s="30"/>
      <c r="D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row>
    <row r="104" spans="2:39" s="29" customFormat="1" ht="17.100000000000001" customHeight="1">
      <c r="B104" s="30"/>
      <c r="C104" s="30"/>
      <c r="D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row>
    <row r="105" spans="2:39" s="29" customFormat="1" ht="17.100000000000001" customHeight="1">
      <c r="B105" s="30"/>
      <c r="C105" s="30"/>
      <c r="D105" s="30"/>
      <c r="H105" s="30"/>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row>
    <row r="106" spans="2:39" s="29" customFormat="1" ht="17.100000000000001" customHeight="1">
      <c r="B106" s="30"/>
      <c r="C106" s="30"/>
      <c r="D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row>
    <row r="107" spans="2:39" s="29" customFormat="1" ht="17.100000000000001" customHeight="1">
      <c r="B107" s="30"/>
      <c r="C107" s="30"/>
      <c r="D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row>
    <row r="108" spans="2:39" s="29" customFormat="1" ht="17.100000000000001" customHeight="1">
      <c r="B108" s="30"/>
      <c r="C108" s="30"/>
      <c r="D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row>
    <row r="109" spans="2:39" s="29" customFormat="1" ht="17.100000000000001" customHeight="1">
      <c r="B109" s="30"/>
      <c r="C109" s="30"/>
      <c r="D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row>
    <row r="110" spans="2:39" s="29" customFormat="1" ht="17.100000000000001" customHeight="1">
      <c r="B110" s="30"/>
      <c r="C110" s="30"/>
      <c r="D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row>
    <row r="111" spans="2:39" s="29" customFormat="1" ht="17.100000000000001" customHeight="1">
      <c r="B111" s="30"/>
      <c r="C111" s="30"/>
      <c r="D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row>
    <row r="112" spans="2:39" s="29" customFormat="1" ht="17.100000000000001" customHeight="1">
      <c r="B112" s="30"/>
      <c r="C112" s="30"/>
      <c r="D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row>
    <row r="113" spans="2:39" s="29" customFormat="1" ht="17.100000000000001" customHeight="1">
      <c r="B113" s="30"/>
      <c r="C113" s="30"/>
      <c r="D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row>
    <row r="114" spans="2:39" s="29" customFormat="1" ht="17.100000000000001" customHeight="1">
      <c r="B114" s="30"/>
      <c r="C114" s="30"/>
      <c r="D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row>
    <row r="115" spans="2:39" s="29" customFormat="1" ht="17.100000000000001" customHeight="1">
      <c r="B115" s="30"/>
      <c r="C115" s="30"/>
      <c r="D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row>
    <row r="116" spans="2:39" s="29" customFormat="1" ht="17.100000000000001" customHeight="1">
      <c r="B116" s="30"/>
      <c r="C116" s="30"/>
      <c r="D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row>
    <row r="117" spans="2:39" s="29" customFormat="1" ht="17.100000000000001" customHeight="1">
      <c r="B117" s="30"/>
      <c r="C117" s="30"/>
      <c r="D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row>
    <row r="118" spans="2:39" s="29" customFormat="1" ht="17.100000000000001" customHeight="1">
      <c r="B118" s="30"/>
      <c r="C118" s="30"/>
      <c r="D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row>
    <row r="119" spans="2:39" s="29" customFormat="1" ht="17.100000000000001" customHeight="1">
      <c r="B119" s="30"/>
      <c r="C119" s="30"/>
      <c r="D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row>
    <row r="120" spans="2:39" s="29" customFormat="1" ht="17.100000000000001" customHeight="1">
      <c r="B120" s="30"/>
      <c r="C120" s="30"/>
      <c r="D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row>
    <row r="121" spans="2:39" s="29" customFormat="1" ht="17.100000000000001" customHeight="1">
      <c r="B121" s="30"/>
      <c r="C121" s="30"/>
      <c r="D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row>
    <row r="122" spans="2:39" s="29" customFormat="1" ht="17.100000000000001" customHeight="1">
      <c r="B122" s="30"/>
      <c r="C122" s="30"/>
      <c r="D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row>
    <row r="123" spans="2:39" s="29" customFormat="1" ht="17.100000000000001" customHeight="1">
      <c r="B123" s="30"/>
      <c r="C123" s="30"/>
      <c r="D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row>
    <row r="124" spans="2:39" s="29" customFormat="1" ht="17.100000000000001" customHeight="1">
      <c r="B124" s="30"/>
      <c r="C124" s="30"/>
      <c r="D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row>
    <row r="125" spans="2:39" s="29" customFormat="1" ht="17.100000000000001" customHeight="1">
      <c r="B125" s="30"/>
      <c r="C125" s="30"/>
      <c r="D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row>
    <row r="126" spans="2:39" s="29" customFormat="1" ht="17.100000000000001" customHeight="1">
      <c r="B126" s="30"/>
      <c r="C126" s="30"/>
      <c r="D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row>
    <row r="127" spans="2:39" s="29" customFormat="1" ht="17.100000000000001" customHeight="1">
      <c r="B127" s="30"/>
      <c r="C127" s="30"/>
      <c r="D127" s="30"/>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row>
    <row r="128" spans="2:39" s="29" customFormat="1" ht="17.100000000000001" customHeight="1">
      <c r="B128" s="30"/>
      <c r="C128" s="30"/>
      <c r="D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row>
    <row r="129" spans="2:39" s="29" customFormat="1" ht="17.100000000000001" customHeight="1">
      <c r="B129" s="30"/>
      <c r="C129" s="30"/>
      <c r="D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row>
    <row r="130" spans="2:39" s="29" customFormat="1" ht="17.100000000000001" customHeight="1">
      <c r="B130" s="30"/>
      <c r="C130" s="30"/>
      <c r="D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row>
    <row r="131" spans="2:39" s="29" customFormat="1" ht="17.100000000000001" customHeight="1">
      <c r="B131" s="30"/>
      <c r="C131" s="30"/>
      <c r="D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row>
    <row r="132" spans="2:39" s="29" customFormat="1" ht="17.100000000000001" customHeight="1">
      <c r="B132" s="30"/>
      <c r="C132" s="30"/>
      <c r="D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row>
    <row r="133" spans="2:39" s="29" customFormat="1" ht="17.100000000000001" customHeight="1">
      <c r="B133" s="30"/>
      <c r="C133" s="30"/>
      <c r="D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row>
    <row r="134" spans="2:39" s="29" customFormat="1" ht="17.100000000000001" customHeight="1">
      <c r="B134" s="30"/>
      <c r="C134" s="30"/>
      <c r="D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row>
    <row r="135" spans="2:39" s="29" customFormat="1" ht="17.100000000000001" customHeight="1">
      <c r="B135" s="30"/>
      <c r="C135" s="30"/>
      <c r="D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row>
    <row r="136" spans="2:39" s="29" customFormat="1" ht="17.100000000000001" customHeight="1">
      <c r="B136" s="30"/>
      <c r="C136" s="30"/>
      <c r="D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row>
    <row r="137" spans="2:39" s="29" customFormat="1" ht="17.100000000000001" customHeight="1">
      <c r="B137" s="30"/>
      <c r="C137" s="30"/>
      <c r="D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row>
    <row r="138" spans="2:39" s="29" customFormat="1" ht="17.100000000000001" customHeight="1">
      <c r="B138" s="30"/>
      <c r="C138" s="30"/>
      <c r="D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row>
    <row r="139" spans="2:39" s="29" customFormat="1" ht="17.100000000000001" customHeight="1">
      <c r="B139" s="30"/>
      <c r="C139" s="30"/>
      <c r="D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row>
    <row r="140" spans="2:39" s="29" customFormat="1" ht="17.100000000000001" customHeight="1">
      <c r="B140" s="30"/>
      <c r="C140" s="30"/>
      <c r="D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row>
    <row r="141" spans="2:39" s="29" customFormat="1" ht="17.100000000000001" customHeight="1">
      <c r="B141" s="30"/>
      <c r="C141" s="30"/>
      <c r="D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row>
    <row r="142" spans="2:39" s="29" customFormat="1" ht="17.100000000000001" customHeight="1">
      <c r="B142" s="30"/>
      <c r="C142" s="30"/>
      <c r="D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row>
    <row r="143" spans="2:39" s="29" customFormat="1" ht="17.100000000000001" customHeight="1">
      <c r="B143" s="30"/>
      <c r="C143" s="30"/>
      <c r="D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0"/>
      <c r="AJ143" s="30"/>
      <c r="AK143" s="30"/>
      <c r="AL143" s="30"/>
      <c r="AM143" s="30"/>
    </row>
    <row r="144" spans="2:39" s="29" customFormat="1" ht="17.100000000000001" customHeight="1">
      <c r="B144" s="30"/>
      <c r="C144" s="30"/>
      <c r="D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0"/>
      <c r="AJ144" s="30"/>
      <c r="AK144" s="30"/>
      <c r="AL144" s="30"/>
      <c r="AM144" s="30"/>
    </row>
    <row r="145" spans="2:39" s="29" customFormat="1" ht="17.100000000000001" customHeight="1">
      <c r="B145" s="30"/>
      <c r="C145" s="30"/>
      <c r="D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row>
    <row r="146" spans="2:39" s="29" customFormat="1" ht="17.100000000000001" customHeight="1">
      <c r="B146" s="30"/>
      <c r="C146" s="30"/>
      <c r="D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row>
    <row r="147" spans="2:39" s="29" customFormat="1" ht="17.100000000000001" customHeight="1">
      <c r="B147" s="30"/>
      <c r="C147" s="30"/>
      <c r="D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row>
    <row r="148" spans="2:39" s="29" customFormat="1" ht="17.100000000000001" customHeight="1">
      <c r="B148" s="30"/>
      <c r="C148" s="30"/>
      <c r="D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row>
    <row r="149" spans="2:39" s="29" customFormat="1" ht="17.100000000000001" customHeight="1">
      <c r="B149" s="30"/>
      <c r="C149" s="30"/>
      <c r="D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row>
    <row r="150" spans="2:39" s="29" customFormat="1" ht="17.100000000000001" customHeight="1">
      <c r="B150" s="30"/>
      <c r="C150" s="30"/>
      <c r="D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row>
    <row r="151" spans="2:39" s="29" customFormat="1" ht="17.100000000000001" customHeight="1">
      <c r="B151" s="30"/>
      <c r="C151" s="30"/>
      <c r="D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0"/>
      <c r="AJ151" s="30"/>
      <c r="AK151" s="30"/>
      <c r="AL151" s="30"/>
      <c r="AM151" s="30"/>
    </row>
    <row r="152" spans="2:39" s="29" customFormat="1" ht="17.100000000000001" customHeight="1">
      <c r="B152" s="30"/>
      <c r="C152" s="30"/>
      <c r="D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row>
    <row r="153" spans="2:39" s="29" customFormat="1" ht="17.100000000000001" customHeight="1">
      <c r="B153" s="30"/>
      <c r="C153" s="30"/>
      <c r="D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row>
    <row r="154" spans="2:39" s="29" customFormat="1" ht="17.100000000000001" customHeight="1">
      <c r="B154" s="30"/>
      <c r="C154" s="30"/>
      <c r="D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row>
    <row r="155" spans="2:39" s="29" customFormat="1" ht="17.100000000000001" customHeight="1">
      <c r="B155" s="30"/>
      <c r="C155" s="30"/>
      <c r="D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row>
    <row r="156" spans="2:39" s="29" customFormat="1" ht="17.100000000000001" customHeight="1">
      <c r="B156" s="30"/>
      <c r="C156" s="30"/>
      <c r="D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row>
    <row r="157" spans="2:39" s="29" customFormat="1" ht="17.100000000000001" customHeight="1">
      <c r="B157" s="30"/>
      <c r="C157" s="30"/>
      <c r="D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row>
    <row r="158" spans="2:39" s="29" customFormat="1" ht="17.100000000000001" customHeight="1">
      <c r="B158" s="30"/>
      <c r="C158" s="30"/>
      <c r="D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row>
    <row r="159" spans="2:39" s="29" customFormat="1" ht="17.100000000000001" customHeight="1">
      <c r="B159" s="30"/>
      <c r="C159" s="30"/>
      <c r="D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row>
    <row r="160" spans="2:39" s="29" customFormat="1" ht="17.100000000000001" customHeight="1">
      <c r="B160" s="30"/>
      <c r="C160" s="30"/>
      <c r="D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row>
    <row r="161" spans="2:39" s="29" customFormat="1" ht="17.100000000000001" customHeight="1">
      <c r="B161" s="30"/>
      <c r="C161" s="30"/>
      <c r="D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row>
    <row r="162" spans="2:39" s="29" customFormat="1" ht="17.100000000000001" customHeight="1">
      <c r="B162" s="30"/>
      <c r="C162" s="30"/>
      <c r="D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c r="AE162" s="30"/>
      <c r="AF162" s="30"/>
      <c r="AG162" s="30"/>
      <c r="AH162" s="30"/>
      <c r="AI162" s="30"/>
      <c r="AJ162" s="30"/>
      <c r="AK162" s="30"/>
      <c r="AL162" s="30"/>
      <c r="AM162" s="30"/>
    </row>
    <row r="163" spans="2:39" s="29" customFormat="1" ht="17.100000000000001" customHeight="1">
      <c r="B163" s="30"/>
      <c r="C163" s="30"/>
      <c r="D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row>
    <row r="164" spans="2:39" s="29" customFormat="1" ht="17.100000000000001" customHeight="1">
      <c r="B164" s="30"/>
      <c r="C164" s="30"/>
      <c r="D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0"/>
      <c r="AJ164" s="30"/>
      <c r="AK164" s="30"/>
      <c r="AL164" s="30"/>
      <c r="AM164" s="30"/>
    </row>
    <row r="165" spans="2:39" s="29" customFormat="1" ht="17.100000000000001" customHeight="1">
      <c r="B165" s="30"/>
      <c r="C165" s="30"/>
      <c r="D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c r="AE165" s="30"/>
      <c r="AF165" s="30"/>
      <c r="AG165" s="30"/>
      <c r="AH165" s="30"/>
      <c r="AI165" s="30"/>
      <c r="AJ165" s="30"/>
      <c r="AK165" s="30"/>
      <c r="AL165" s="30"/>
      <c r="AM165" s="30"/>
    </row>
    <row r="166" spans="2:39" s="29" customFormat="1" ht="17.100000000000001" customHeight="1">
      <c r="B166" s="30"/>
      <c r="C166" s="30"/>
      <c r="D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row>
    <row r="167" spans="2:39" s="29" customFormat="1" ht="17.100000000000001" customHeight="1">
      <c r="B167" s="30"/>
      <c r="C167" s="30"/>
      <c r="D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row>
    <row r="168" spans="2:39" s="29" customFormat="1" ht="17.100000000000001" customHeight="1">
      <c r="B168" s="30"/>
      <c r="C168" s="30"/>
      <c r="D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0"/>
      <c r="AJ168" s="30"/>
      <c r="AK168" s="30"/>
      <c r="AL168" s="30"/>
      <c r="AM168" s="30"/>
    </row>
    <row r="169" spans="2:39" s="29" customFormat="1" ht="17.100000000000001" customHeight="1">
      <c r="B169" s="30"/>
      <c r="C169" s="30"/>
      <c r="D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H169" s="30"/>
      <c r="AI169" s="30"/>
      <c r="AJ169" s="30"/>
      <c r="AK169" s="30"/>
      <c r="AL169" s="30"/>
      <c r="AM169" s="30"/>
    </row>
    <row r="170" spans="2:39" s="29" customFormat="1" ht="17.100000000000001" customHeight="1">
      <c r="B170" s="30"/>
      <c r="C170" s="30"/>
      <c r="D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row>
    <row r="171" spans="2:39" s="29" customFormat="1" ht="17.100000000000001" customHeight="1">
      <c r="B171" s="30"/>
      <c r="C171" s="30"/>
      <c r="D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c r="AE171" s="30"/>
      <c r="AF171" s="30"/>
      <c r="AG171" s="30"/>
      <c r="AH171" s="30"/>
      <c r="AI171" s="30"/>
      <c r="AJ171" s="30"/>
      <c r="AK171" s="30"/>
      <c r="AL171" s="30"/>
      <c r="AM171" s="30"/>
    </row>
    <row r="172" spans="2:39" s="29" customFormat="1" ht="17.100000000000001" customHeight="1">
      <c r="B172" s="30"/>
      <c r="C172" s="30"/>
      <c r="D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c r="AE172" s="30"/>
      <c r="AF172" s="30"/>
      <c r="AG172" s="30"/>
      <c r="AH172" s="30"/>
      <c r="AI172" s="30"/>
      <c r="AJ172" s="30"/>
      <c r="AK172" s="30"/>
      <c r="AL172" s="30"/>
      <c r="AM172" s="30"/>
    </row>
    <row r="173" spans="2:39" s="29" customFormat="1" ht="17.100000000000001" customHeight="1">
      <c r="B173" s="30"/>
      <c r="C173" s="30"/>
      <c r="D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c r="AE173" s="30"/>
      <c r="AF173" s="30"/>
      <c r="AG173" s="30"/>
      <c r="AH173" s="30"/>
      <c r="AI173" s="30"/>
      <c r="AJ173" s="30"/>
      <c r="AK173" s="30"/>
      <c r="AL173" s="30"/>
      <c r="AM173" s="30"/>
    </row>
    <row r="174" spans="2:39" s="29" customFormat="1" ht="17.100000000000001" customHeight="1">
      <c r="B174" s="30"/>
      <c r="C174" s="30"/>
      <c r="D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c r="AE174" s="30"/>
      <c r="AF174" s="30"/>
      <c r="AG174" s="30"/>
      <c r="AH174" s="30"/>
      <c r="AI174" s="30"/>
      <c r="AJ174" s="30"/>
      <c r="AK174" s="30"/>
      <c r="AL174" s="30"/>
      <c r="AM174" s="30"/>
    </row>
    <row r="175" spans="2:39" s="29" customFormat="1" ht="17.100000000000001" customHeight="1">
      <c r="B175" s="30"/>
      <c r="C175" s="30"/>
      <c r="D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0"/>
      <c r="AJ175" s="30"/>
      <c r="AK175" s="30"/>
      <c r="AL175" s="30"/>
      <c r="AM175" s="30"/>
    </row>
    <row r="176" spans="2:39" s="29" customFormat="1" ht="17.100000000000001" customHeight="1">
      <c r="B176" s="30"/>
      <c r="C176" s="30"/>
      <c r="D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row>
    <row r="177" spans="2:39" s="29" customFormat="1" ht="17.100000000000001" customHeight="1">
      <c r="B177" s="30"/>
      <c r="C177" s="30"/>
      <c r="D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row>
    <row r="178" spans="2:39" s="29" customFormat="1" ht="17.100000000000001" customHeight="1">
      <c r="B178" s="30"/>
      <c r="C178" s="30"/>
      <c r="D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row>
    <row r="179" spans="2:39" s="29" customFormat="1" ht="17.100000000000001" customHeight="1">
      <c r="B179" s="30"/>
      <c r="C179" s="30"/>
      <c r="D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0"/>
      <c r="AJ179" s="30"/>
      <c r="AK179" s="30"/>
      <c r="AL179" s="30"/>
      <c r="AM179" s="30"/>
    </row>
    <row r="180" spans="2:39" s="29" customFormat="1" ht="17.100000000000001" customHeight="1">
      <c r="B180" s="30"/>
      <c r="C180" s="30"/>
      <c r="D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row>
    <row r="181" spans="2:39" s="29" customFormat="1" ht="17.100000000000001" customHeight="1">
      <c r="B181" s="30"/>
      <c r="C181" s="30"/>
      <c r="D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row>
    <row r="182" spans="2:39" s="29" customFormat="1" ht="17.100000000000001" customHeight="1">
      <c r="B182" s="30"/>
      <c r="C182" s="30"/>
      <c r="D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0"/>
      <c r="AJ182" s="30"/>
      <c r="AK182" s="30"/>
      <c r="AL182" s="30"/>
      <c r="AM182" s="30"/>
    </row>
    <row r="183" spans="2:39" s="29" customFormat="1" ht="17.100000000000001" customHeight="1">
      <c r="B183" s="30"/>
      <c r="C183" s="30"/>
      <c r="D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row>
    <row r="184" spans="2:39" s="29" customFormat="1" ht="17.100000000000001" customHeight="1">
      <c r="B184" s="30"/>
      <c r="C184" s="30"/>
      <c r="D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row>
    <row r="185" spans="2:39" s="29" customFormat="1" ht="17.100000000000001" customHeight="1">
      <c r="B185" s="30"/>
      <c r="C185" s="30"/>
      <c r="D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row>
    <row r="186" spans="2:39" s="29" customFormat="1" ht="17.100000000000001" customHeight="1">
      <c r="B186" s="30"/>
      <c r="C186" s="30"/>
      <c r="D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row>
    <row r="187" spans="2:39" s="29" customFormat="1" ht="17.100000000000001" customHeight="1">
      <c r="B187" s="30"/>
      <c r="C187" s="30"/>
      <c r="D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c r="AE187" s="30"/>
      <c r="AF187" s="30"/>
      <c r="AG187" s="30"/>
      <c r="AH187" s="30"/>
      <c r="AI187" s="30"/>
      <c r="AJ187" s="30"/>
      <c r="AK187" s="30"/>
      <c r="AL187" s="30"/>
      <c r="AM187" s="30"/>
    </row>
    <row r="188" spans="2:39" s="29" customFormat="1" ht="17.100000000000001" customHeight="1">
      <c r="B188" s="30"/>
      <c r="C188" s="30"/>
      <c r="D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row>
    <row r="189" spans="2:39" s="29" customFormat="1" ht="17.100000000000001" customHeight="1">
      <c r="B189" s="30"/>
      <c r="C189" s="30"/>
      <c r="D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row>
    <row r="190" spans="2:39" s="29" customFormat="1" ht="17.100000000000001" customHeight="1">
      <c r="B190" s="30"/>
      <c r="C190" s="30"/>
      <c r="D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0"/>
      <c r="AJ190" s="30"/>
      <c r="AK190" s="30"/>
      <c r="AL190" s="30"/>
      <c r="AM190" s="30"/>
    </row>
    <row r="191" spans="2:39" s="29" customFormat="1" ht="17.100000000000001" customHeight="1">
      <c r="B191" s="30"/>
      <c r="C191" s="30"/>
      <c r="D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row>
    <row r="192" spans="2:39" s="29" customFormat="1" ht="17.100000000000001" customHeight="1">
      <c r="B192" s="30"/>
      <c r="C192" s="30"/>
      <c r="D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0"/>
      <c r="AJ192" s="30"/>
      <c r="AK192" s="30"/>
      <c r="AL192" s="30"/>
      <c r="AM192" s="30"/>
    </row>
    <row r="193" spans="2:39" s="29" customFormat="1" ht="17.100000000000001" customHeight="1">
      <c r="B193" s="30"/>
      <c r="C193" s="30"/>
      <c r="D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row>
    <row r="194" spans="2:39" s="29" customFormat="1" ht="17.100000000000001" customHeight="1">
      <c r="B194" s="30"/>
      <c r="C194" s="30"/>
      <c r="D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c r="AE194" s="30"/>
      <c r="AF194" s="30"/>
      <c r="AG194" s="30"/>
      <c r="AH194" s="30"/>
      <c r="AI194" s="30"/>
      <c r="AJ194" s="30"/>
      <c r="AK194" s="30"/>
      <c r="AL194" s="30"/>
      <c r="AM194" s="30"/>
    </row>
    <row r="195" spans="2:39" s="29" customFormat="1" ht="17.100000000000001" customHeight="1">
      <c r="B195" s="30"/>
      <c r="C195" s="30"/>
      <c r="D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c r="AE195" s="30"/>
      <c r="AF195" s="30"/>
      <c r="AG195" s="30"/>
      <c r="AH195" s="30"/>
      <c r="AI195" s="30"/>
      <c r="AJ195" s="30"/>
      <c r="AK195" s="30"/>
      <c r="AL195" s="30"/>
      <c r="AM195" s="30"/>
    </row>
    <row r="196" spans="2:39" s="29" customFormat="1" ht="17.100000000000001" customHeight="1">
      <c r="B196" s="30"/>
      <c r="C196" s="30"/>
      <c r="D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row>
    <row r="197" spans="2:39" s="29" customFormat="1" ht="17.100000000000001" customHeight="1">
      <c r="B197" s="30"/>
      <c r="C197" s="30"/>
      <c r="D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row>
    <row r="198" spans="2:39" s="29" customFormat="1" ht="17.100000000000001" customHeight="1">
      <c r="B198" s="30"/>
      <c r="C198" s="30"/>
      <c r="D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row>
    <row r="199" spans="2:39" s="29" customFormat="1" ht="17.100000000000001" customHeight="1">
      <c r="B199" s="30"/>
      <c r="C199" s="30"/>
      <c r="D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row>
    <row r="200" spans="2:39" s="29" customFormat="1" ht="17.100000000000001" customHeight="1">
      <c r="B200" s="30"/>
      <c r="C200" s="30"/>
      <c r="D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0"/>
      <c r="AJ200" s="30"/>
      <c r="AK200" s="30"/>
      <c r="AL200" s="30"/>
      <c r="AM200" s="30"/>
    </row>
    <row r="201" spans="2:39" s="29" customFormat="1" ht="17.100000000000001" customHeight="1">
      <c r="B201" s="30"/>
      <c r="C201" s="30"/>
      <c r="D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c r="AE201" s="30"/>
      <c r="AF201" s="30"/>
      <c r="AG201" s="30"/>
      <c r="AH201" s="30"/>
      <c r="AI201" s="30"/>
      <c r="AJ201" s="30"/>
      <c r="AK201" s="30"/>
      <c r="AL201" s="30"/>
      <c r="AM201" s="30"/>
    </row>
    <row r="202" spans="2:39" s="29" customFormat="1" ht="17.100000000000001" customHeight="1">
      <c r="B202" s="30"/>
      <c r="C202" s="30"/>
      <c r="D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row>
    <row r="203" spans="2:39" s="29" customFormat="1" ht="17.100000000000001" customHeight="1">
      <c r="B203" s="30"/>
      <c r="C203" s="30"/>
      <c r="D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0"/>
      <c r="AJ203" s="30"/>
      <c r="AK203" s="30"/>
      <c r="AL203" s="30"/>
      <c r="AM203" s="30"/>
    </row>
    <row r="204" spans="2:39" s="29" customFormat="1" ht="17.100000000000001" customHeight="1">
      <c r="B204" s="30"/>
      <c r="C204" s="30"/>
      <c r="D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row>
    <row r="205" spans="2:39" s="29" customFormat="1" ht="17.100000000000001" customHeight="1">
      <c r="B205" s="30"/>
      <c r="C205" s="30"/>
      <c r="D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0"/>
      <c r="AJ205" s="30"/>
      <c r="AK205" s="30"/>
      <c r="AL205" s="30"/>
      <c r="AM205" s="30"/>
    </row>
    <row r="206" spans="2:39" s="29" customFormat="1" ht="17.100000000000001" customHeight="1">
      <c r="B206" s="30"/>
      <c r="C206" s="30"/>
      <c r="D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row>
    <row r="207" spans="2:39" s="29" customFormat="1" ht="17.100000000000001" customHeight="1">
      <c r="B207" s="30"/>
      <c r="C207" s="30"/>
      <c r="D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c r="AE207" s="30"/>
      <c r="AF207" s="30"/>
      <c r="AG207" s="30"/>
      <c r="AH207" s="30"/>
      <c r="AI207" s="30"/>
      <c r="AJ207" s="30"/>
      <c r="AK207" s="30"/>
      <c r="AL207" s="30"/>
      <c r="AM207" s="30"/>
    </row>
    <row r="208" spans="2:39" s="29" customFormat="1" ht="17.100000000000001" customHeight="1">
      <c r="B208" s="30"/>
      <c r="C208" s="30"/>
      <c r="D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0"/>
      <c r="AJ208" s="30"/>
      <c r="AK208" s="30"/>
      <c r="AL208" s="30"/>
      <c r="AM208" s="30"/>
    </row>
    <row r="209" spans="2:39" s="29" customFormat="1" ht="17.100000000000001" customHeight="1">
      <c r="B209" s="30"/>
      <c r="C209" s="30"/>
      <c r="D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row>
    <row r="210" spans="2:39" s="29" customFormat="1" ht="17.100000000000001" customHeight="1">
      <c r="B210" s="30"/>
      <c r="C210" s="30"/>
      <c r="D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row>
    <row r="211" spans="2:39" s="29" customFormat="1" ht="17.100000000000001" customHeight="1">
      <c r="B211" s="30"/>
      <c r="C211" s="30"/>
      <c r="D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row>
    <row r="212" spans="2:39" s="29" customFormat="1" ht="17.100000000000001" customHeight="1">
      <c r="B212" s="30"/>
      <c r="C212" s="30"/>
      <c r="D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row>
    <row r="213" spans="2:39" s="29" customFormat="1" ht="17.100000000000001" customHeight="1">
      <c r="B213" s="30"/>
      <c r="C213" s="30"/>
      <c r="D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row>
    <row r="214" spans="2:39" s="29" customFormat="1" ht="17.100000000000001" customHeight="1">
      <c r="B214" s="30"/>
      <c r="C214" s="30"/>
      <c r="D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row>
    <row r="215" spans="2:39" s="29" customFormat="1" ht="17.100000000000001" customHeight="1">
      <c r="B215" s="30"/>
      <c r="C215" s="30"/>
      <c r="D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row>
    <row r="216" spans="2:39" s="29" customFormat="1" ht="17.100000000000001" customHeight="1">
      <c r="B216" s="30"/>
      <c r="C216" s="30"/>
      <c r="D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row>
    <row r="217" spans="2:39" s="29" customFormat="1" ht="17.100000000000001" customHeight="1">
      <c r="B217" s="30"/>
      <c r="C217" s="30"/>
      <c r="D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0"/>
      <c r="AJ217" s="30"/>
      <c r="AK217" s="30"/>
      <c r="AL217" s="30"/>
      <c r="AM217" s="30"/>
    </row>
    <row r="218" spans="2:39" s="29" customFormat="1" ht="17.100000000000001" customHeight="1">
      <c r="B218" s="30"/>
      <c r="C218" s="30"/>
      <c r="D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c r="AE218" s="30"/>
      <c r="AF218" s="30"/>
      <c r="AG218" s="30"/>
      <c r="AH218" s="30"/>
      <c r="AI218" s="30"/>
      <c r="AJ218" s="30"/>
      <c r="AK218" s="30"/>
      <c r="AL218" s="30"/>
      <c r="AM218" s="30"/>
    </row>
    <row r="219" spans="2:39" s="29" customFormat="1" ht="17.100000000000001" customHeight="1">
      <c r="B219" s="30"/>
      <c r="C219" s="30"/>
      <c r="D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c r="AE219" s="30"/>
      <c r="AF219" s="30"/>
      <c r="AG219" s="30"/>
      <c r="AH219" s="30"/>
      <c r="AI219" s="30"/>
      <c r="AJ219" s="30"/>
      <c r="AK219" s="30"/>
      <c r="AL219" s="30"/>
      <c r="AM219" s="30"/>
    </row>
    <row r="220" spans="2:39" s="29" customFormat="1" ht="17.100000000000001" customHeight="1">
      <c r="B220" s="30"/>
      <c r="C220" s="30"/>
      <c r="D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c r="AE220" s="30"/>
      <c r="AF220" s="30"/>
      <c r="AG220" s="30"/>
      <c r="AH220" s="30"/>
      <c r="AI220" s="30"/>
      <c r="AJ220" s="30"/>
      <c r="AK220" s="30"/>
      <c r="AL220" s="30"/>
      <c r="AM220" s="30"/>
    </row>
    <row r="221" spans="2:39" s="29" customFormat="1" ht="17.100000000000001" customHeight="1">
      <c r="B221" s="30"/>
      <c r="C221" s="30"/>
      <c r="D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row>
    <row r="222" spans="2:39" s="29" customFormat="1" ht="17.100000000000001" customHeight="1">
      <c r="B222" s="30"/>
      <c r="C222" s="30"/>
      <c r="D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row>
    <row r="223" spans="2:39" s="29" customFormat="1" ht="17.100000000000001" customHeight="1">
      <c r="B223" s="30"/>
      <c r="C223" s="30"/>
      <c r="D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c r="AE223" s="30"/>
      <c r="AF223" s="30"/>
      <c r="AG223" s="30"/>
      <c r="AH223" s="30"/>
      <c r="AI223" s="30"/>
      <c r="AJ223" s="30"/>
      <c r="AK223" s="30"/>
      <c r="AL223" s="30"/>
      <c r="AM223" s="30"/>
    </row>
    <row r="224" spans="2:39" s="29" customFormat="1" ht="17.100000000000001" customHeight="1">
      <c r="B224" s="30"/>
      <c r="C224" s="30"/>
      <c r="D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c r="AE224" s="30"/>
      <c r="AF224" s="30"/>
      <c r="AG224" s="30"/>
      <c r="AH224" s="30"/>
      <c r="AI224" s="30"/>
      <c r="AJ224" s="30"/>
      <c r="AK224" s="30"/>
      <c r="AL224" s="30"/>
      <c r="AM224" s="30"/>
    </row>
    <row r="225" spans="2:39" s="29" customFormat="1" ht="17.100000000000001" customHeight="1">
      <c r="B225" s="30"/>
      <c r="C225" s="30"/>
      <c r="D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row>
    <row r="226" spans="2:39" s="29" customFormat="1" ht="17.100000000000001" customHeight="1">
      <c r="B226" s="30"/>
      <c r="C226" s="30"/>
      <c r="D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row>
    <row r="227" spans="2:39" s="29" customFormat="1" ht="17.100000000000001" customHeight="1">
      <c r="B227" s="30"/>
      <c r="C227" s="30"/>
      <c r="D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c r="AE227" s="30"/>
      <c r="AF227" s="30"/>
      <c r="AG227" s="30"/>
      <c r="AH227" s="30"/>
      <c r="AI227" s="30"/>
      <c r="AJ227" s="30"/>
      <c r="AK227" s="30"/>
      <c r="AL227" s="30"/>
      <c r="AM227" s="30"/>
    </row>
    <row r="228" spans="2:39" s="29" customFormat="1" ht="17.100000000000001" customHeight="1">
      <c r="B228" s="30"/>
      <c r="C228" s="30"/>
      <c r="D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c r="AE228" s="30"/>
      <c r="AF228" s="30"/>
      <c r="AG228" s="30"/>
      <c r="AH228" s="30"/>
      <c r="AI228" s="30"/>
      <c r="AJ228" s="30"/>
      <c r="AK228" s="30"/>
      <c r="AL228" s="30"/>
      <c r="AM228" s="30"/>
    </row>
    <row r="229" spans="2:39" s="29" customFormat="1" ht="17.100000000000001" customHeight="1">
      <c r="B229" s="30"/>
      <c r="C229" s="30"/>
      <c r="D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c r="AE229" s="30"/>
      <c r="AF229" s="30"/>
      <c r="AG229" s="30"/>
      <c r="AH229" s="30"/>
      <c r="AI229" s="30"/>
      <c r="AJ229" s="30"/>
      <c r="AK229" s="30"/>
      <c r="AL229" s="30"/>
      <c r="AM229" s="30"/>
    </row>
    <row r="230" spans="2:39" s="29" customFormat="1" ht="17.100000000000001" customHeight="1">
      <c r="B230" s="30"/>
      <c r="C230" s="30"/>
      <c r="D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c r="AE230" s="30"/>
      <c r="AF230" s="30"/>
      <c r="AG230" s="30"/>
      <c r="AH230" s="30"/>
      <c r="AI230" s="30"/>
      <c r="AJ230" s="30"/>
      <c r="AK230" s="30"/>
      <c r="AL230" s="30"/>
      <c r="AM230" s="30"/>
    </row>
    <row r="231" spans="2:39" s="29" customFormat="1" ht="17.100000000000001" customHeight="1">
      <c r="B231" s="30"/>
      <c r="C231" s="30"/>
      <c r="D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row>
    <row r="232" spans="2:39" s="29" customFormat="1" ht="17.100000000000001" customHeight="1">
      <c r="B232" s="30"/>
      <c r="C232" s="30"/>
      <c r="D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0"/>
      <c r="AJ232" s="30"/>
      <c r="AK232" s="30"/>
      <c r="AL232" s="30"/>
      <c r="AM232" s="30"/>
    </row>
    <row r="233" spans="2:39" s="29" customFormat="1" ht="17.100000000000001" customHeight="1">
      <c r="B233" s="30"/>
      <c r="C233" s="30"/>
      <c r="D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row>
    <row r="234" spans="2:39" s="29" customFormat="1" ht="17.100000000000001" customHeight="1">
      <c r="B234" s="30"/>
      <c r="C234" s="30"/>
      <c r="D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row>
    <row r="235" spans="2:39" s="29" customFormat="1" ht="17.100000000000001" customHeight="1">
      <c r="B235" s="30"/>
      <c r="C235" s="30"/>
      <c r="D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row>
    <row r="236" spans="2:39" s="29" customFormat="1" ht="17.100000000000001" customHeight="1">
      <c r="B236" s="30"/>
      <c r="C236" s="30"/>
      <c r="D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row>
    <row r="237" spans="2:39" s="29" customFormat="1" ht="17.100000000000001" customHeight="1">
      <c r="B237" s="30"/>
      <c r="C237" s="30"/>
      <c r="D237" s="30"/>
      <c r="H237" s="30"/>
      <c r="I237" s="30"/>
      <c r="J237" s="30"/>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0"/>
      <c r="AJ237" s="30"/>
      <c r="AK237" s="30"/>
      <c r="AL237" s="30"/>
      <c r="AM237" s="30"/>
    </row>
    <row r="238" spans="2:39" s="29" customFormat="1" ht="17.100000000000001" customHeight="1">
      <c r="B238" s="30"/>
      <c r="C238" s="30"/>
      <c r="D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row>
    <row r="239" spans="2:39" s="29" customFormat="1" ht="17.100000000000001" customHeight="1">
      <c r="B239" s="30"/>
      <c r="C239" s="30"/>
      <c r="D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row>
    <row r="240" spans="2:39" s="29" customFormat="1" ht="17.100000000000001" customHeight="1">
      <c r="B240" s="30"/>
      <c r="C240" s="30"/>
      <c r="D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0"/>
      <c r="AJ240" s="30"/>
      <c r="AK240" s="30"/>
      <c r="AL240" s="30"/>
      <c r="AM240" s="30"/>
    </row>
    <row r="241" spans="2:39" s="29" customFormat="1" ht="17.100000000000001" customHeight="1">
      <c r="B241" s="30"/>
      <c r="C241" s="30"/>
      <c r="D241" s="30"/>
      <c r="H241" s="30"/>
      <c r="I241" s="30"/>
      <c r="J241" s="30"/>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0"/>
      <c r="AJ241" s="30"/>
      <c r="AK241" s="30"/>
      <c r="AL241" s="30"/>
      <c r="AM241" s="30"/>
    </row>
    <row r="242" spans="2:39" s="29" customFormat="1" ht="17.100000000000001" customHeight="1">
      <c r="B242" s="30"/>
      <c r="C242" s="30"/>
      <c r="D242" s="30"/>
      <c r="H242" s="30"/>
      <c r="I242" s="30"/>
      <c r="J242" s="30"/>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0"/>
      <c r="AJ242" s="30"/>
      <c r="AK242" s="30"/>
      <c r="AL242" s="30"/>
      <c r="AM242" s="30"/>
    </row>
    <row r="243" spans="2:39" s="29" customFormat="1" ht="17.100000000000001" customHeight="1">
      <c r="B243" s="30"/>
      <c r="C243" s="30"/>
      <c r="D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row>
    <row r="244" spans="2:39" s="29" customFormat="1" ht="17.100000000000001" customHeight="1">
      <c r="B244" s="30"/>
      <c r="C244" s="30"/>
      <c r="D244" s="30"/>
      <c r="H244" s="30"/>
      <c r="I244" s="30"/>
      <c r="J244" s="30"/>
      <c r="K244" s="30"/>
      <c r="L244" s="30"/>
      <c r="M244" s="30"/>
      <c r="N244" s="30"/>
      <c r="O244" s="30"/>
      <c r="P244" s="30"/>
      <c r="Q244" s="30"/>
      <c r="R244" s="30"/>
      <c r="S244" s="30"/>
      <c r="T244" s="30"/>
      <c r="U244" s="30"/>
      <c r="V244" s="30"/>
      <c r="W244" s="30"/>
      <c r="X244" s="30"/>
      <c r="Y244" s="30"/>
      <c r="Z244" s="30"/>
      <c r="AA244" s="30"/>
      <c r="AB244" s="30"/>
      <c r="AC244" s="30"/>
      <c r="AD244" s="30"/>
      <c r="AE244" s="30"/>
      <c r="AF244" s="30"/>
      <c r="AG244" s="30"/>
      <c r="AH244" s="30"/>
      <c r="AI244" s="30"/>
      <c r="AJ244" s="30"/>
      <c r="AK244" s="30"/>
      <c r="AL244" s="30"/>
      <c r="AM244" s="30"/>
    </row>
    <row r="245" spans="2:39" s="29" customFormat="1" ht="17.100000000000001" customHeight="1">
      <c r="B245" s="30"/>
      <c r="C245" s="30"/>
      <c r="D245" s="30"/>
      <c r="H245" s="30"/>
      <c r="I245" s="30"/>
      <c r="J245" s="30"/>
      <c r="K245" s="30"/>
      <c r="L245" s="30"/>
      <c r="M245" s="30"/>
      <c r="N245" s="30"/>
      <c r="O245" s="30"/>
      <c r="P245" s="30"/>
      <c r="Q245" s="30"/>
      <c r="R245" s="30"/>
      <c r="S245" s="30"/>
      <c r="T245" s="30"/>
      <c r="U245" s="30"/>
      <c r="V245" s="30"/>
      <c r="W245" s="30"/>
      <c r="X245" s="30"/>
      <c r="Y245" s="30"/>
      <c r="Z245" s="30"/>
      <c r="AA245" s="30"/>
      <c r="AB245" s="30"/>
      <c r="AC245" s="30"/>
      <c r="AD245" s="30"/>
      <c r="AE245" s="30"/>
      <c r="AF245" s="30"/>
      <c r="AG245" s="30"/>
      <c r="AH245" s="30"/>
      <c r="AI245" s="30"/>
      <c r="AJ245" s="30"/>
      <c r="AK245" s="30"/>
      <c r="AL245" s="30"/>
      <c r="AM245" s="30"/>
    </row>
    <row r="246" spans="2:39" s="29" customFormat="1" ht="17.100000000000001" customHeight="1">
      <c r="B246" s="30"/>
      <c r="C246" s="30"/>
      <c r="D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row>
    <row r="247" spans="2:39" s="29" customFormat="1" ht="17.100000000000001" customHeight="1">
      <c r="B247" s="30"/>
      <c r="C247" s="30"/>
      <c r="D247" s="30"/>
      <c r="H247" s="30"/>
      <c r="I247" s="30"/>
      <c r="J247" s="30"/>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0"/>
      <c r="AJ247" s="30"/>
      <c r="AK247" s="30"/>
      <c r="AL247" s="30"/>
      <c r="AM247" s="30"/>
    </row>
    <row r="248" spans="2:39" s="29" customFormat="1" ht="17.100000000000001" customHeight="1">
      <c r="B248" s="30"/>
      <c r="C248" s="30"/>
      <c r="D248" s="30"/>
      <c r="H248" s="30"/>
      <c r="I248" s="30"/>
      <c r="J248" s="30"/>
      <c r="K248" s="30"/>
      <c r="L248" s="30"/>
      <c r="M248" s="30"/>
      <c r="N248" s="30"/>
      <c r="O248" s="30"/>
      <c r="P248" s="30"/>
      <c r="Q248" s="30"/>
      <c r="R248" s="30"/>
      <c r="S248" s="30"/>
      <c r="T248" s="30"/>
      <c r="U248" s="30"/>
      <c r="V248" s="30"/>
      <c r="W248" s="30"/>
      <c r="X248" s="30"/>
      <c r="Y248" s="30"/>
      <c r="Z248" s="30"/>
      <c r="AA248" s="30"/>
      <c r="AB248" s="30"/>
      <c r="AC248" s="30"/>
      <c r="AD248" s="30"/>
      <c r="AE248" s="30"/>
      <c r="AF248" s="30"/>
      <c r="AG248" s="30"/>
      <c r="AH248" s="30"/>
      <c r="AI248" s="30"/>
      <c r="AJ248" s="30"/>
      <c r="AK248" s="30"/>
      <c r="AL248" s="30"/>
      <c r="AM248" s="30"/>
    </row>
    <row r="249" spans="2:39" s="29" customFormat="1" ht="17.100000000000001" customHeight="1">
      <c r="B249" s="30"/>
      <c r="C249" s="30"/>
      <c r="D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row>
    <row r="250" spans="2:39" s="29" customFormat="1" ht="17.100000000000001" customHeight="1">
      <c r="B250" s="30"/>
      <c r="C250" s="30"/>
      <c r="D250" s="30"/>
      <c r="H250" s="30"/>
      <c r="I250" s="30"/>
      <c r="J250" s="30"/>
      <c r="K250" s="30"/>
      <c r="L250" s="30"/>
      <c r="M250" s="30"/>
      <c r="N250" s="30"/>
      <c r="O250" s="30"/>
      <c r="P250" s="30"/>
      <c r="Q250" s="30"/>
      <c r="R250" s="30"/>
      <c r="S250" s="30"/>
      <c r="T250" s="30"/>
      <c r="U250" s="30"/>
      <c r="V250" s="30"/>
      <c r="W250" s="30"/>
      <c r="X250" s="30"/>
      <c r="Y250" s="30"/>
      <c r="Z250" s="30"/>
      <c r="AA250" s="30"/>
      <c r="AB250" s="30"/>
      <c r="AC250" s="30"/>
      <c r="AD250" s="30"/>
      <c r="AE250" s="30"/>
      <c r="AF250" s="30"/>
      <c r="AG250" s="30"/>
      <c r="AH250" s="30"/>
      <c r="AI250" s="30"/>
      <c r="AJ250" s="30"/>
      <c r="AK250" s="30"/>
      <c r="AL250" s="30"/>
      <c r="AM250" s="30"/>
    </row>
    <row r="251" spans="2:39" s="29" customFormat="1" ht="17.100000000000001" customHeight="1">
      <c r="B251" s="30"/>
      <c r="C251" s="30"/>
      <c r="D251" s="30"/>
      <c r="H251" s="30"/>
      <c r="I251" s="30"/>
      <c r="J251" s="30"/>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c r="AH251" s="30"/>
      <c r="AI251" s="30"/>
      <c r="AJ251" s="30"/>
      <c r="AK251" s="30"/>
      <c r="AL251" s="30"/>
      <c r="AM251" s="30"/>
    </row>
    <row r="252" spans="2:39" s="29" customFormat="1" ht="17.100000000000001" customHeight="1">
      <c r="B252" s="30"/>
      <c r="C252" s="30"/>
      <c r="D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row>
    <row r="253" spans="2:39" s="29" customFormat="1" ht="17.100000000000001" customHeight="1">
      <c r="B253" s="30"/>
      <c r="C253" s="30"/>
      <c r="D253" s="30"/>
      <c r="H253" s="30"/>
      <c r="I253" s="30"/>
      <c r="J253" s="30"/>
      <c r="K253" s="30"/>
      <c r="L253" s="30"/>
      <c r="M253" s="30"/>
      <c r="N253" s="30"/>
      <c r="O253" s="30"/>
      <c r="P253" s="30"/>
      <c r="Q253" s="30"/>
      <c r="R253" s="30"/>
      <c r="S253" s="30"/>
      <c r="T253" s="30"/>
      <c r="U253" s="30"/>
      <c r="V253" s="30"/>
      <c r="W253" s="30"/>
      <c r="X253" s="30"/>
      <c r="Y253" s="30"/>
      <c r="Z253" s="30"/>
      <c r="AA253" s="30"/>
      <c r="AB253" s="30"/>
      <c r="AC253" s="30"/>
      <c r="AD253" s="30"/>
      <c r="AE253" s="30"/>
      <c r="AF253" s="30"/>
      <c r="AG253" s="30"/>
      <c r="AH253" s="30"/>
      <c r="AI253" s="30"/>
      <c r="AJ253" s="30"/>
      <c r="AK253" s="30"/>
      <c r="AL253" s="30"/>
      <c r="AM253" s="30"/>
    </row>
    <row r="254" spans="2:39" s="29" customFormat="1" ht="17.100000000000001" customHeight="1">
      <c r="B254" s="30"/>
      <c r="C254" s="30"/>
      <c r="D254" s="30"/>
      <c r="H254" s="30"/>
      <c r="I254" s="30"/>
      <c r="J254" s="30"/>
      <c r="K254" s="30"/>
      <c r="L254" s="30"/>
      <c r="M254" s="30"/>
      <c r="N254" s="30"/>
      <c r="O254" s="30"/>
      <c r="P254" s="30"/>
      <c r="Q254" s="30"/>
      <c r="R254" s="30"/>
      <c r="S254" s="30"/>
      <c r="T254" s="30"/>
      <c r="U254" s="30"/>
      <c r="V254" s="30"/>
      <c r="W254" s="30"/>
      <c r="X254" s="30"/>
      <c r="Y254" s="30"/>
      <c r="Z254" s="30"/>
      <c r="AA254" s="30"/>
      <c r="AB254" s="30"/>
      <c r="AC254" s="30"/>
      <c r="AD254" s="30"/>
      <c r="AE254" s="30"/>
      <c r="AF254" s="30"/>
      <c r="AG254" s="30"/>
      <c r="AH254" s="30"/>
      <c r="AI254" s="30"/>
      <c r="AJ254" s="30"/>
      <c r="AK254" s="30"/>
      <c r="AL254" s="30"/>
      <c r="AM254" s="30"/>
    </row>
    <row r="255" spans="2:39" s="29" customFormat="1" ht="17.100000000000001" customHeight="1">
      <c r="B255" s="30"/>
      <c r="C255" s="30"/>
      <c r="D255" s="30"/>
      <c r="H255" s="30"/>
      <c r="I255" s="30"/>
      <c r="J255" s="30"/>
      <c r="K255" s="30"/>
      <c r="L255" s="30"/>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30"/>
    </row>
    <row r="256" spans="2:39" s="29" customFormat="1" ht="17.100000000000001" customHeight="1">
      <c r="B256" s="30"/>
      <c r="C256" s="30"/>
      <c r="D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row>
    <row r="257" spans="2:39" s="29" customFormat="1" ht="17.100000000000001" customHeight="1">
      <c r="B257" s="30"/>
      <c r="C257" s="30"/>
      <c r="D257" s="30"/>
      <c r="H257" s="30"/>
      <c r="I257" s="30"/>
      <c r="J257" s="30"/>
      <c r="K257" s="30"/>
      <c r="L257" s="30"/>
      <c r="M257" s="30"/>
      <c r="N257" s="30"/>
      <c r="O257" s="30"/>
      <c r="P257" s="30"/>
      <c r="Q257" s="30"/>
      <c r="R257" s="30"/>
      <c r="S257" s="30"/>
      <c r="T257" s="30"/>
      <c r="U257" s="30"/>
      <c r="V257" s="30"/>
      <c r="W257" s="30"/>
      <c r="X257" s="30"/>
      <c r="Y257" s="30"/>
      <c r="Z257" s="30"/>
      <c r="AA257" s="30"/>
      <c r="AB257" s="30"/>
      <c r="AC257" s="30"/>
      <c r="AD257" s="30"/>
      <c r="AE257" s="30"/>
      <c r="AF257" s="30"/>
      <c r="AG257" s="30"/>
      <c r="AH257" s="30"/>
      <c r="AI257" s="30"/>
      <c r="AJ257" s="30"/>
      <c r="AK257" s="30"/>
      <c r="AL257" s="30"/>
      <c r="AM257" s="30"/>
    </row>
    <row r="258" spans="2:39" s="29" customFormat="1" ht="17.100000000000001" customHeight="1">
      <c r="B258" s="30"/>
      <c r="C258" s="30"/>
      <c r="D258" s="30"/>
      <c r="H258" s="30"/>
      <c r="I258" s="30"/>
      <c r="J258" s="30"/>
      <c r="K258" s="30"/>
      <c r="L258" s="30"/>
      <c r="M258" s="30"/>
      <c r="N258" s="30"/>
      <c r="O258" s="30"/>
      <c r="P258" s="30"/>
      <c r="Q258" s="30"/>
      <c r="R258" s="30"/>
      <c r="S258" s="30"/>
      <c r="T258" s="30"/>
      <c r="U258" s="30"/>
      <c r="V258" s="30"/>
      <c r="W258" s="30"/>
      <c r="X258" s="30"/>
      <c r="Y258" s="30"/>
      <c r="Z258" s="30"/>
      <c r="AA258" s="30"/>
      <c r="AB258" s="30"/>
      <c r="AC258" s="30"/>
      <c r="AD258" s="30"/>
      <c r="AE258" s="30"/>
      <c r="AF258" s="30"/>
      <c r="AG258" s="30"/>
      <c r="AH258" s="30"/>
      <c r="AI258" s="30"/>
      <c r="AJ258" s="30"/>
      <c r="AK258" s="30"/>
      <c r="AL258" s="30"/>
      <c r="AM258" s="30"/>
    </row>
    <row r="259" spans="2:39" s="29" customFormat="1" ht="17.100000000000001" customHeight="1">
      <c r="B259" s="30"/>
      <c r="C259" s="30"/>
      <c r="D259" s="30"/>
      <c r="H259" s="30"/>
      <c r="I259" s="30"/>
      <c r="J259" s="30"/>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0"/>
      <c r="AJ259" s="30"/>
      <c r="AK259" s="30"/>
      <c r="AL259" s="30"/>
      <c r="AM259" s="30"/>
    </row>
    <row r="260" spans="2:39" s="29" customFormat="1" ht="17.100000000000001" customHeight="1">
      <c r="B260" s="30"/>
      <c r="C260" s="30"/>
      <c r="D260" s="30"/>
      <c r="H260" s="30"/>
      <c r="I260" s="30"/>
      <c r="J260" s="30"/>
      <c r="K260" s="30"/>
      <c r="L260" s="30"/>
      <c r="M260" s="30"/>
      <c r="N260" s="30"/>
      <c r="O260" s="30"/>
      <c r="P260" s="30"/>
      <c r="Q260" s="30"/>
      <c r="R260" s="30"/>
      <c r="S260" s="30"/>
      <c r="T260" s="30"/>
      <c r="U260" s="30"/>
      <c r="V260" s="30"/>
      <c r="W260" s="30"/>
      <c r="X260" s="30"/>
      <c r="Y260" s="30"/>
      <c r="Z260" s="30"/>
      <c r="AA260" s="30"/>
      <c r="AB260" s="30"/>
      <c r="AC260" s="30"/>
      <c r="AD260" s="30"/>
      <c r="AE260" s="30"/>
      <c r="AF260" s="30"/>
      <c r="AG260" s="30"/>
      <c r="AH260" s="30"/>
      <c r="AI260" s="30"/>
      <c r="AJ260" s="30"/>
      <c r="AK260" s="30"/>
      <c r="AL260" s="30"/>
      <c r="AM260" s="30"/>
    </row>
    <row r="261" spans="2:39" s="29" customFormat="1" ht="17.100000000000001" customHeight="1">
      <c r="B261" s="30"/>
      <c r="C261" s="30"/>
      <c r="D261" s="30"/>
      <c r="H261" s="30"/>
      <c r="I261" s="30"/>
      <c r="J261" s="30"/>
      <c r="K261" s="30"/>
      <c r="L261" s="30"/>
      <c r="M261" s="30"/>
      <c r="N261" s="30"/>
      <c r="O261" s="30"/>
      <c r="P261" s="30"/>
      <c r="Q261" s="30"/>
      <c r="R261" s="30"/>
      <c r="S261" s="30"/>
      <c r="T261" s="30"/>
      <c r="U261" s="30"/>
      <c r="V261" s="30"/>
      <c r="W261" s="30"/>
      <c r="X261" s="30"/>
      <c r="Y261" s="30"/>
      <c r="Z261" s="30"/>
      <c r="AA261" s="30"/>
      <c r="AB261" s="30"/>
      <c r="AC261" s="30"/>
      <c r="AD261" s="30"/>
      <c r="AE261" s="30"/>
      <c r="AF261" s="30"/>
      <c r="AG261" s="30"/>
      <c r="AH261" s="30"/>
      <c r="AI261" s="30"/>
      <c r="AJ261" s="30"/>
      <c r="AK261" s="30"/>
      <c r="AL261" s="30"/>
      <c r="AM261" s="30"/>
    </row>
    <row r="262" spans="2:39" s="29" customFormat="1" ht="17.100000000000001" customHeight="1">
      <c r="B262" s="30"/>
      <c r="C262" s="30"/>
      <c r="D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row>
    <row r="263" spans="2:39" s="29" customFormat="1" ht="17.100000000000001" customHeight="1">
      <c r="B263" s="30"/>
      <c r="C263" s="30"/>
      <c r="D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0"/>
      <c r="AJ263" s="30"/>
      <c r="AK263" s="30"/>
      <c r="AL263" s="30"/>
      <c r="AM263" s="30"/>
    </row>
    <row r="264" spans="2:39" s="29" customFormat="1" ht="17.100000000000001" customHeight="1">
      <c r="B264" s="30"/>
      <c r="C264" s="30"/>
      <c r="D264" s="30"/>
      <c r="H264" s="30"/>
      <c r="I264" s="30"/>
      <c r="J264" s="30"/>
      <c r="K264" s="30"/>
      <c r="L264" s="30"/>
      <c r="M264" s="30"/>
      <c r="N264" s="30"/>
      <c r="O264" s="30"/>
      <c r="P264" s="30"/>
      <c r="Q264" s="30"/>
      <c r="R264" s="30"/>
      <c r="S264" s="30"/>
      <c r="T264" s="30"/>
      <c r="U264" s="30"/>
      <c r="V264" s="30"/>
      <c r="W264" s="30"/>
      <c r="X264" s="30"/>
      <c r="Y264" s="30"/>
      <c r="Z264" s="30"/>
      <c r="AA264" s="30"/>
      <c r="AB264" s="30"/>
      <c r="AC264" s="30"/>
      <c r="AD264" s="30"/>
      <c r="AE264" s="30"/>
      <c r="AF264" s="30"/>
      <c r="AG264" s="30"/>
      <c r="AH264" s="30"/>
      <c r="AI264" s="30"/>
      <c r="AJ264" s="30"/>
      <c r="AK264" s="30"/>
      <c r="AL264" s="30"/>
      <c r="AM264" s="30"/>
    </row>
    <row r="265" spans="2:39" s="29" customFormat="1" ht="17.100000000000001" customHeight="1">
      <c r="B265" s="30"/>
      <c r="C265" s="30"/>
      <c r="D265" s="30"/>
      <c r="H265" s="30"/>
      <c r="I265" s="30"/>
      <c r="J265" s="30"/>
      <c r="K265" s="30"/>
      <c r="L265" s="30"/>
      <c r="M265" s="30"/>
      <c r="N265" s="30"/>
      <c r="O265" s="30"/>
      <c r="P265" s="30"/>
      <c r="Q265" s="30"/>
      <c r="R265" s="30"/>
      <c r="S265" s="30"/>
      <c r="T265" s="30"/>
      <c r="U265" s="30"/>
      <c r="V265" s="30"/>
      <c r="W265" s="30"/>
      <c r="X265" s="30"/>
      <c r="Y265" s="30"/>
      <c r="Z265" s="30"/>
      <c r="AA265" s="30"/>
      <c r="AB265" s="30"/>
      <c r="AC265" s="30"/>
      <c r="AD265" s="30"/>
      <c r="AE265" s="30"/>
      <c r="AF265" s="30"/>
      <c r="AG265" s="30"/>
      <c r="AH265" s="30"/>
      <c r="AI265" s="30"/>
      <c r="AJ265" s="30"/>
      <c r="AK265" s="30"/>
      <c r="AL265" s="30"/>
      <c r="AM265" s="30"/>
    </row>
    <row r="266" spans="2:39" s="29" customFormat="1" ht="17.100000000000001" customHeight="1">
      <c r="B266" s="30"/>
      <c r="C266" s="30"/>
      <c r="D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row>
    <row r="267" spans="2:39" s="29" customFormat="1" ht="17.100000000000001" customHeight="1">
      <c r="B267" s="30"/>
      <c r="C267" s="30"/>
      <c r="D267" s="30"/>
      <c r="H267" s="30"/>
      <c r="I267" s="30"/>
      <c r="J267" s="30"/>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30"/>
      <c r="AH267" s="30"/>
      <c r="AI267" s="30"/>
      <c r="AJ267" s="30"/>
      <c r="AK267" s="30"/>
      <c r="AL267" s="30"/>
      <c r="AM267" s="30"/>
    </row>
    <row r="268" spans="2:39" s="29" customFormat="1" ht="17.100000000000001" customHeight="1">
      <c r="B268" s="30"/>
      <c r="C268" s="30"/>
      <c r="D268" s="30"/>
      <c r="H268" s="30"/>
      <c r="I268" s="30"/>
      <c r="J268" s="30"/>
      <c r="K268" s="30"/>
      <c r="L268" s="30"/>
      <c r="M268" s="30"/>
      <c r="N268" s="30"/>
      <c r="O268" s="30"/>
      <c r="P268" s="30"/>
      <c r="Q268" s="30"/>
      <c r="R268" s="30"/>
      <c r="S268" s="30"/>
      <c r="T268" s="30"/>
      <c r="U268" s="30"/>
      <c r="V268" s="30"/>
      <c r="W268" s="30"/>
      <c r="X268" s="30"/>
      <c r="Y268" s="30"/>
      <c r="Z268" s="30"/>
      <c r="AA268" s="30"/>
      <c r="AB268" s="30"/>
      <c r="AC268" s="30"/>
      <c r="AD268" s="30"/>
      <c r="AE268" s="30"/>
      <c r="AF268" s="30"/>
      <c r="AG268" s="30"/>
      <c r="AH268" s="30"/>
      <c r="AI268" s="30"/>
      <c r="AJ268" s="30"/>
      <c r="AK268" s="30"/>
      <c r="AL268" s="30"/>
      <c r="AM268" s="30"/>
    </row>
    <row r="269" spans="2:39" s="29" customFormat="1" ht="17.100000000000001" customHeight="1">
      <c r="B269" s="30"/>
      <c r="C269" s="30"/>
      <c r="D269" s="30"/>
      <c r="H269" s="30"/>
      <c r="I269" s="30"/>
      <c r="J269" s="30"/>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0"/>
      <c r="AJ269" s="30"/>
      <c r="AK269" s="30"/>
      <c r="AL269" s="30"/>
      <c r="AM269" s="30"/>
    </row>
    <row r="270" spans="2:39" s="29" customFormat="1" ht="17.100000000000001" customHeight="1">
      <c r="B270" s="30"/>
      <c r="C270" s="30"/>
      <c r="D270" s="30"/>
      <c r="H270" s="30"/>
      <c r="I270" s="30"/>
      <c r="J270" s="30"/>
      <c r="K270" s="30"/>
      <c r="L270" s="30"/>
      <c r="M270" s="30"/>
      <c r="N270" s="30"/>
      <c r="O270" s="30"/>
      <c r="P270" s="30"/>
      <c r="Q270" s="30"/>
      <c r="R270" s="30"/>
      <c r="S270" s="30"/>
      <c r="T270" s="30"/>
      <c r="U270" s="30"/>
      <c r="V270" s="30"/>
      <c r="W270" s="30"/>
      <c r="X270" s="30"/>
      <c r="Y270" s="30"/>
      <c r="Z270" s="30"/>
      <c r="AA270" s="30"/>
      <c r="AB270" s="30"/>
      <c r="AC270" s="30"/>
      <c r="AD270" s="30"/>
      <c r="AE270" s="30"/>
      <c r="AF270" s="30"/>
      <c r="AG270" s="30"/>
      <c r="AH270" s="30"/>
      <c r="AI270" s="30"/>
      <c r="AJ270" s="30"/>
      <c r="AK270" s="30"/>
      <c r="AL270" s="30"/>
      <c r="AM270" s="30"/>
    </row>
    <row r="271" spans="2:39" s="29" customFormat="1" ht="17.100000000000001" customHeight="1">
      <c r="B271" s="30"/>
      <c r="C271" s="30"/>
      <c r="D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0"/>
      <c r="AJ271" s="30"/>
      <c r="AK271" s="30"/>
      <c r="AL271" s="30"/>
      <c r="AM271" s="30"/>
    </row>
    <row r="272" spans="2:39" s="29" customFormat="1" ht="17.100000000000001" customHeight="1">
      <c r="B272" s="30"/>
      <c r="C272" s="30"/>
      <c r="D272" s="30"/>
      <c r="H272" s="30"/>
      <c r="I272" s="30"/>
      <c r="J272" s="30"/>
      <c r="K272" s="30"/>
      <c r="L272" s="30"/>
      <c r="M272" s="30"/>
      <c r="N272" s="30"/>
      <c r="O272" s="30"/>
      <c r="P272" s="30"/>
      <c r="Q272" s="30"/>
      <c r="R272" s="30"/>
      <c r="S272" s="30"/>
      <c r="T272" s="30"/>
      <c r="U272" s="30"/>
      <c r="V272" s="30"/>
      <c r="W272" s="30"/>
      <c r="X272" s="30"/>
      <c r="Y272" s="30"/>
      <c r="Z272" s="30"/>
      <c r="AA272" s="30"/>
      <c r="AB272" s="30"/>
      <c r="AC272" s="30"/>
      <c r="AD272" s="30"/>
      <c r="AE272" s="30"/>
      <c r="AF272" s="30"/>
      <c r="AG272" s="30"/>
      <c r="AH272" s="30"/>
      <c r="AI272" s="30"/>
      <c r="AJ272" s="30"/>
      <c r="AK272" s="30"/>
      <c r="AL272" s="30"/>
      <c r="AM272" s="30"/>
    </row>
    <row r="273" spans="2:39" s="29" customFormat="1" ht="17.100000000000001" customHeight="1">
      <c r="B273" s="30"/>
      <c r="C273" s="30"/>
      <c r="D273" s="30"/>
      <c r="H273" s="30"/>
      <c r="I273" s="30"/>
      <c r="J273" s="30"/>
      <c r="K273" s="30"/>
      <c r="L273" s="30"/>
      <c r="M273" s="30"/>
      <c r="N273" s="30"/>
      <c r="O273" s="30"/>
      <c r="P273" s="30"/>
      <c r="Q273" s="30"/>
      <c r="R273" s="30"/>
      <c r="S273" s="30"/>
      <c r="T273" s="30"/>
      <c r="U273" s="30"/>
      <c r="V273" s="30"/>
      <c r="W273" s="30"/>
      <c r="X273" s="30"/>
      <c r="Y273" s="30"/>
      <c r="Z273" s="30"/>
      <c r="AA273" s="30"/>
      <c r="AB273" s="30"/>
      <c r="AC273" s="30"/>
      <c r="AD273" s="30"/>
      <c r="AE273" s="30"/>
      <c r="AF273" s="30"/>
      <c r="AG273" s="30"/>
      <c r="AH273" s="30"/>
      <c r="AI273" s="30"/>
      <c r="AJ273" s="30"/>
      <c r="AK273" s="30"/>
      <c r="AL273" s="30"/>
      <c r="AM273" s="30"/>
    </row>
    <row r="274" spans="2:39" s="29" customFormat="1" ht="17.100000000000001" customHeight="1">
      <c r="B274" s="30"/>
      <c r="C274" s="30"/>
      <c r="D274" s="30"/>
      <c r="H274" s="30"/>
      <c r="I274" s="30"/>
      <c r="J274" s="30"/>
      <c r="K274" s="30"/>
      <c r="L274" s="30"/>
      <c r="M274" s="30"/>
      <c r="N274" s="30"/>
      <c r="O274" s="30"/>
      <c r="P274" s="30"/>
      <c r="Q274" s="30"/>
      <c r="R274" s="30"/>
      <c r="S274" s="30"/>
      <c r="T274" s="30"/>
      <c r="U274" s="30"/>
      <c r="V274" s="30"/>
      <c r="W274" s="30"/>
      <c r="X274" s="30"/>
      <c r="Y274" s="30"/>
      <c r="Z274" s="30"/>
      <c r="AA274" s="30"/>
      <c r="AB274" s="30"/>
      <c r="AC274" s="30"/>
      <c r="AD274" s="30"/>
      <c r="AE274" s="30"/>
      <c r="AF274" s="30"/>
      <c r="AG274" s="30"/>
      <c r="AH274" s="30"/>
      <c r="AI274" s="30"/>
      <c r="AJ274" s="30"/>
      <c r="AK274" s="30"/>
      <c r="AL274" s="30"/>
      <c r="AM274" s="30"/>
    </row>
    <row r="275" spans="2:39" s="29" customFormat="1" ht="17.100000000000001" customHeight="1">
      <c r="B275" s="30"/>
      <c r="C275" s="30"/>
      <c r="D275" s="30"/>
      <c r="H275" s="30"/>
      <c r="I275" s="30"/>
      <c r="J275" s="30"/>
      <c r="K275" s="30"/>
      <c r="L275" s="30"/>
      <c r="M275" s="30"/>
      <c r="N275" s="30"/>
      <c r="O275" s="30"/>
      <c r="P275" s="30"/>
      <c r="Q275" s="30"/>
      <c r="R275" s="30"/>
      <c r="S275" s="30"/>
      <c r="T275" s="30"/>
      <c r="U275" s="30"/>
      <c r="V275" s="30"/>
      <c r="W275" s="30"/>
      <c r="X275" s="30"/>
      <c r="Y275" s="30"/>
      <c r="Z275" s="30"/>
      <c r="AA275" s="30"/>
      <c r="AB275" s="30"/>
      <c r="AC275" s="30"/>
      <c r="AD275" s="30"/>
      <c r="AE275" s="30"/>
      <c r="AF275" s="30"/>
      <c r="AG275" s="30"/>
      <c r="AH275" s="30"/>
      <c r="AI275" s="30"/>
      <c r="AJ275" s="30"/>
      <c r="AK275" s="30"/>
      <c r="AL275" s="30"/>
      <c r="AM275" s="30"/>
    </row>
    <row r="276" spans="2:39" s="29" customFormat="1" ht="17.100000000000001" customHeight="1">
      <c r="B276" s="30"/>
      <c r="C276" s="30"/>
      <c r="D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row>
    <row r="277" spans="2:39" s="29" customFormat="1" ht="17.100000000000001" customHeight="1">
      <c r="B277" s="30"/>
      <c r="C277" s="30"/>
      <c r="D277" s="30"/>
      <c r="H277" s="30"/>
      <c r="I277" s="30"/>
      <c r="J277" s="30"/>
      <c r="K277" s="30"/>
      <c r="L277" s="30"/>
      <c r="M277" s="30"/>
      <c r="N277" s="30"/>
      <c r="O277" s="30"/>
      <c r="P277" s="30"/>
      <c r="Q277" s="30"/>
      <c r="R277" s="30"/>
      <c r="S277" s="30"/>
      <c r="T277" s="30"/>
      <c r="U277" s="30"/>
      <c r="V277" s="30"/>
      <c r="W277" s="30"/>
      <c r="X277" s="30"/>
      <c r="Y277" s="30"/>
      <c r="Z277" s="30"/>
      <c r="AA277" s="30"/>
      <c r="AB277" s="30"/>
      <c r="AC277" s="30"/>
      <c r="AD277" s="30"/>
      <c r="AE277" s="30"/>
      <c r="AF277" s="30"/>
      <c r="AG277" s="30"/>
      <c r="AH277" s="30"/>
      <c r="AI277" s="30"/>
      <c r="AJ277" s="30"/>
      <c r="AK277" s="30"/>
      <c r="AL277" s="30"/>
      <c r="AM277" s="30"/>
    </row>
    <row r="278" spans="2:39" s="29" customFormat="1" ht="17.100000000000001" customHeight="1">
      <c r="B278" s="30"/>
      <c r="C278" s="30"/>
      <c r="D278" s="30"/>
      <c r="H278" s="30"/>
      <c r="I278" s="30"/>
      <c r="J278" s="30"/>
      <c r="K278" s="30"/>
      <c r="L278" s="30"/>
      <c r="M278" s="30"/>
      <c r="N278" s="30"/>
      <c r="O278" s="30"/>
      <c r="P278" s="30"/>
      <c r="Q278" s="30"/>
      <c r="R278" s="30"/>
      <c r="S278" s="30"/>
      <c r="T278" s="30"/>
      <c r="U278" s="30"/>
      <c r="V278" s="30"/>
      <c r="W278" s="30"/>
      <c r="X278" s="30"/>
      <c r="Y278" s="30"/>
      <c r="Z278" s="30"/>
      <c r="AA278" s="30"/>
      <c r="AB278" s="30"/>
      <c r="AC278" s="30"/>
      <c r="AD278" s="30"/>
      <c r="AE278" s="30"/>
      <c r="AF278" s="30"/>
      <c r="AG278" s="30"/>
      <c r="AH278" s="30"/>
      <c r="AI278" s="30"/>
      <c r="AJ278" s="30"/>
      <c r="AK278" s="30"/>
      <c r="AL278" s="30"/>
      <c r="AM278" s="30"/>
    </row>
    <row r="279" spans="2:39" s="29" customFormat="1" ht="17.100000000000001" customHeight="1">
      <c r="B279" s="30"/>
      <c r="C279" s="30"/>
      <c r="D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row>
    <row r="280" spans="2:39" s="29" customFormat="1" ht="17.100000000000001" customHeight="1">
      <c r="B280" s="30"/>
      <c r="C280" s="30"/>
      <c r="D280" s="30"/>
      <c r="H280" s="30"/>
      <c r="I280" s="30"/>
      <c r="J280" s="30"/>
      <c r="K280" s="30"/>
      <c r="L280" s="30"/>
      <c r="M280" s="30"/>
      <c r="N280" s="30"/>
      <c r="O280" s="30"/>
      <c r="P280" s="30"/>
      <c r="Q280" s="30"/>
      <c r="R280" s="30"/>
      <c r="S280" s="30"/>
      <c r="T280" s="30"/>
      <c r="U280" s="30"/>
      <c r="V280" s="30"/>
      <c r="W280" s="30"/>
      <c r="X280" s="30"/>
      <c r="Y280" s="30"/>
      <c r="Z280" s="30"/>
      <c r="AA280" s="30"/>
      <c r="AB280" s="30"/>
      <c r="AC280" s="30"/>
      <c r="AD280" s="30"/>
      <c r="AE280" s="30"/>
      <c r="AF280" s="30"/>
      <c r="AG280" s="30"/>
      <c r="AH280" s="30"/>
      <c r="AI280" s="30"/>
      <c r="AJ280" s="30"/>
      <c r="AK280" s="30"/>
      <c r="AL280" s="30"/>
      <c r="AM280" s="30"/>
    </row>
    <row r="281" spans="2:39" s="29" customFormat="1" ht="17.100000000000001" customHeight="1">
      <c r="B281" s="30"/>
      <c r="C281" s="30"/>
      <c r="D281" s="30"/>
      <c r="H281" s="30"/>
      <c r="I281" s="30"/>
      <c r="J281" s="30"/>
      <c r="K281" s="30"/>
      <c r="L281" s="30"/>
      <c r="M281" s="30"/>
      <c r="N281" s="30"/>
      <c r="O281" s="30"/>
      <c r="P281" s="30"/>
      <c r="Q281" s="30"/>
      <c r="R281" s="30"/>
      <c r="S281" s="30"/>
      <c r="T281" s="30"/>
      <c r="U281" s="30"/>
      <c r="V281" s="30"/>
      <c r="W281" s="30"/>
      <c r="X281" s="30"/>
      <c r="Y281" s="30"/>
      <c r="Z281" s="30"/>
      <c r="AA281" s="30"/>
      <c r="AB281" s="30"/>
      <c r="AC281" s="30"/>
      <c r="AD281" s="30"/>
      <c r="AE281" s="30"/>
      <c r="AF281" s="30"/>
      <c r="AG281" s="30"/>
      <c r="AH281" s="30"/>
      <c r="AI281" s="30"/>
      <c r="AJ281" s="30"/>
      <c r="AK281" s="30"/>
      <c r="AL281" s="30"/>
      <c r="AM281" s="30"/>
    </row>
    <row r="282" spans="2:39" s="29" customFormat="1" ht="17.100000000000001" customHeight="1">
      <c r="B282" s="30"/>
      <c r="C282" s="30"/>
      <c r="D282" s="30"/>
      <c r="H282" s="30"/>
      <c r="I282" s="30"/>
      <c r="J282" s="30"/>
      <c r="K282" s="30"/>
      <c r="L282" s="30"/>
      <c r="M282" s="30"/>
      <c r="N282" s="30"/>
      <c r="O282" s="30"/>
      <c r="P282" s="30"/>
      <c r="Q282" s="30"/>
      <c r="R282" s="30"/>
      <c r="S282" s="30"/>
      <c r="T282" s="30"/>
      <c r="U282" s="30"/>
      <c r="V282" s="30"/>
      <c r="W282" s="30"/>
      <c r="X282" s="30"/>
      <c r="Y282" s="30"/>
      <c r="Z282" s="30"/>
      <c r="AA282" s="30"/>
      <c r="AB282" s="30"/>
      <c r="AC282" s="30"/>
      <c r="AD282" s="30"/>
      <c r="AE282" s="30"/>
      <c r="AF282" s="30"/>
      <c r="AG282" s="30"/>
      <c r="AH282" s="30"/>
      <c r="AI282" s="30"/>
      <c r="AJ282" s="30"/>
      <c r="AK282" s="30"/>
      <c r="AL282" s="30"/>
      <c r="AM282" s="30"/>
    </row>
    <row r="283" spans="2:39" s="29" customFormat="1" ht="17.100000000000001" customHeight="1">
      <c r="B283" s="30"/>
      <c r="C283" s="30"/>
      <c r="D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0"/>
      <c r="AJ283" s="30"/>
      <c r="AK283" s="30"/>
      <c r="AL283" s="30"/>
      <c r="AM283" s="30"/>
    </row>
    <row r="284" spans="2:39" s="29" customFormat="1" ht="17.100000000000001" customHeight="1">
      <c r="B284" s="30"/>
      <c r="C284" s="30"/>
      <c r="D284" s="30"/>
      <c r="H284" s="30"/>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row>
    <row r="285" spans="2:39" s="29" customFormat="1" ht="17.100000000000001" customHeight="1">
      <c r="B285" s="30"/>
      <c r="C285" s="30"/>
      <c r="D285" s="30"/>
      <c r="H285" s="30"/>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row>
    <row r="286" spans="2:39" s="29" customFormat="1" ht="17.100000000000001" customHeight="1">
      <c r="B286" s="30"/>
      <c r="C286" s="30"/>
      <c r="D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row>
    <row r="287" spans="2:39" s="29" customFormat="1" ht="17.100000000000001" customHeight="1">
      <c r="B287" s="30"/>
      <c r="C287" s="30"/>
      <c r="D287" s="30"/>
      <c r="H287" s="30"/>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row>
    <row r="288" spans="2:39" s="29" customFormat="1" ht="17.100000000000001" customHeight="1">
      <c r="B288" s="30"/>
      <c r="C288" s="30"/>
      <c r="D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0"/>
      <c r="AJ288" s="30"/>
      <c r="AK288" s="30"/>
      <c r="AL288" s="30"/>
      <c r="AM288" s="30"/>
    </row>
    <row r="289" spans="2:39" s="29" customFormat="1" ht="17.100000000000001" customHeight="1">
      <c r="B289" s="30"/>
      <c r="C289" s="30"/>
      <c r="D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row>
    <row r="290" spans="2:39" s="29" customFormat="1" ht="17.100000000000001" customHeight="1">
      <c r="B290" s="30"/>
      <c r="C290" s="30"/>
      <c r="D290" s="30"/>
      <c r="H290" s="30"/>
      <c r="I290" s="30"/>
      <c r="J290" s="30"/>
      <c r="K290" s="30"/>
      <c r="L290" s="30"/>
      <c r="M290" s="30"/>
      <c r="N290" s="30"/>
      <c r="O290" s="30"/>
      <c r="P290" s="30"/>
      <c r="Q290" s="30"/>
      <c r="R290" s="30"/>
      <c r="S290" s="30"/>
      <c r="T290" s="30"/>
      <c r="U290" s="30"/>
      <c r="V290" s="30"/>
      <c r="W290" s="30"/>
      <c r="X290" s="30"/>
      <c r="Y290" s="30"/>
      <c r="Z290" s="30"/>
      <c r="AA290" s="30"/>
      <c r="AB290" s="30"/>
      <c r="AC290" s="30"/>
      <c r="AD290" s="30"/>
      <c r="AE290" s="30"/>
      <c r="AF290" s="30"/>
      <c r="AG290" s="30"/>
      <c r="AH290" s="30"/>
      <c r="AI290" s="30"/>
      <c r="AJ290" s="30"/>
      <c r="AK290" s="30"/>
      <c r="AL290" s="30"/>
      <c r="AM290" s="30"/>
    </row>
    <row r="291" spans="2:39" s="29" customFormat="1" ht="17.100000000000001" customHeight="1">
      <c r="B291" s="30"/>
      <c r="C291" s="30"/>
      <c r="D291" s="30"/>
      <c r="H291" s="30"/>
      <c r="I291" s="30"/>
      <c r="J291" s="30"/>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0"/>
      <c r="AJ291" s="30"/>
      <c r="AK291" s="30"/>
      <c r="AL291" s="30"/>
      <c r="AM291" s="30"/>
    </row>
    <row r="292" spans="2:39" s="29" customFormat="1" ht="17.100000000000001" customHeight="1">
      <c r="B292" s="30"/>
      <c r="C292" s="30"/>
      <c r="D292" s="30"/>
      <c r="H292" s="30"/>
      <c r="I292" s="30"/>
      <c r="J292" s="30"/>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0"/>
      <c r="AJ292" s="30"/>
      <c r="AK292" s="30"/>
      <c r="AL292" s="30"/>
      <c r="AM292" s="30"/>
    </row>
    <row r="293" spans="2:39" s="29" customFormat="1" ht="17.100000000000001" customHeight="1">
      <c r="B293" s="30"/>
      <c r="C293" s="30"/>
      <c r="D293" s="30"/>
      <c r="H293" s="30"/>
      <c r="I293" s="30"/>
      <c r="J293" s="30"/>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0"/>
      <c r="AJ293" s="30"/>
      <c r="AK293" s="30"/>
      <c r="AL293" s="30"/>
      <c r="AM293" s="30"/>
    </row>
    <row r="294" spans="2:39" s="29" customFormat="1" ht="17.100000000000001" customHeight="1">
      <c r="B294" s="30"/>
      <c r="C294" s="30"/>
      <c r="D294" s="30"/>
      <c r="H294" s="30"/>
      <c r="I294" s="30"/>
      <c r="J294" s="30"/>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0"/>
      <c r="AJ294" s="30"/>
      <c r="AK294" s="30"/>
      <c r="AL294" s="30"/>
      <c r="AM294" s="30"/>
    </row>
    <row r="295" spans="2:39" s="29" customFormat="1" ht="17.100000000000001" customHeight="1">
      <c r="B295" s="30"/>
      <c r="C295" s="30"/>
      <c r="D295" s="30"/>
      <c r="H295" s="30"/>
      <c r="I295" s="30"/>
      <c r="J295" s="30"/>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0"/>
      <c r="AJ295" s="30"/>
      <c r="AK295" s="30"/>
      <c r="AL295" s="30"/>
      <c r="AM295" s="30"/>
    </row>
    <row r="296" spans="2:39" s="29" customFormat="1" ht="17.100000000000001" customHeight="1">
      <c r="B296" s="30"/>
      <c r="C296" s="30"/>
      <c r="D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row>
    <row r="297" spans="2:39" s="29" customFormat="1" ht="17.100000000000001" customHeight="1">
      <c r="B297" s="30"/>
      <c r="C297" s="30"/>
      <c r="D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row>
    <row r="298" spans="2:39" s="29" customFormat="1" ht="17.100000000000001" customHeight="1">
      <c r="B298" s="30"/>
      <c r="C298" s="30"/>
      <c r="D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row>
    <row r="299" spans="2:39" s="29" customFormat="1" ht="17.100000000000001" customHeight="1">
      <c r="B299" s="30"/>
      <c r="C299" s="30"/>
      <c r="D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row>
    <row r="300" spans="2:39" s="29" customFormat="1" ht="17.100000000000001" customHeight="1">
      <c r="B300" s="30"/>
      <c r="C300" s="30"/>
      <c r="D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c r="AI300" s="30"/>
      <c r="AJ300" s="30"/>
      <c r="AK300" s="30"/>
      <c r="AL300" s="30"/>
      <c r="AM300" s="30"/>
    </row>
    <row r="301" spans="2:39" s="29" customFormat="1" ht="17.100000000000001" customHeight="1">
      <c r="B301" s="30"/>
      <c r="C301" s="30"/>
      <c r="D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row>
    <row r="302" spans="2:39" s="29" customFormat="1" ht="17.100000000000001" customHeight="1">
      <c r="B302" s="30"/>
      <c r="C302" s="30"/>
      <c r="D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row>
    <row r="303" spans="2:39" s="29" customFormat="1" ht="17.100000000000001" customHeight="1">
      <c r="B303" s="30"/>
      <c r="C303" s="30"/>
      <c r="D303" s="30"/>
      <c r="H303" s="30"/>
      <c r="I303" s="30"/>
      <c r="J303" s="30"/>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0"/>
      <c r="AJ303" s="30"/>
      <c r="AK303" s="30"/>
      <c r="AL303" s="30"/>
      <c r="AM303" s="30"/>
    </row>
    <row r="304" spans="2:39" s="29" customFormat="1" ht="17.100000000000001" customHeight="1">
      <c r="B304" s="30"/>
      <c r="C304" s="30"/>
      <c r="D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0"/>
      <c r="AJ304" s="30"/>
      <c r="AK304" s="30"/>
      <c r="AL304" s="30"/>
      <c r="AM304" s="30"/>
    </row>
    <row r="305" spans="2:39" s="29" customFormat="1" ht="17.100000000000001" customHeight="1">
      <c r="B305" s="30"/>
      <c r="C305" s="30"/>
      <c r="D305" s="30"/>
      <c r="H305" s="30"/>
      <c r="I305" s="30"/>
      <c r="J305" s="30"/>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0"/>
      <c r="AJ305" s="30"/>
      <c r="AK305" s="30"/>
      <c r="AL305" s="30"/>
      <c r="AM305" s="30"/>
    </row>
    <row r="306" spans="2:39" s="29" customFormat="1" ht="17.100000000000001" customHeight="1">
      <c r="B306" s="30"/>
      <c r="C306" s="30"/>
      <c r="D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row>
    <row r="307" spans="2:39" s="29" customFormat="1" ht="17.100000000000001" customHeight="1">
      <c r="B307" s="30"/>
      <c r="C307" s="30"/>
      <c r="D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0"/>
      <c r="AJ307" s="30"/>
      <c r="AK307" s="30"/>
      <c r="AL307" s="30"/>
      <c r="AM307" s="30"/>
    </row>
    <row r="308" spans="2:39" s="29" customFormat="1" ht="17.100000000000001" customHeight="1">
      <c r="B308" s="30"/>
      <c r="C308" s="30"/>
      <c r="D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0"/>
      <c r="AJ308" s="30"/>
      <c r="AK308" s="30"/>
      <c r="AL308" s="30"/>
      <c r="AM308" s="30"/>
    </row>
    <row r="309" spans="2:39" s="29" customFormat="1" ht="17.100000000000001" customHeight="1">
      <c r="B309" s="30"/>
      <c r="C309" s="30"/>
      <c r="D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row>
    <row r="310" spans="2:39" s="29" customFormat="1" ht="17.100000000000001" customHeight="1">
      <c r="B310" s="30"/>
      <c r="C310" s="30"/>
      <c r="D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row>
    <row r="311" spans="2:39" s="29" customFormat="1" ht="17.100000000000001" customHeight="1">
      <c r="B311" s="30"/>
      <c r="C311" s="30"/>
      <c r="D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row>
    <row r="312" spans="2:39" s="29" customFormat="1" ht="17.100000000000001" customHeight="1">
      <c r="B312" s="30"/>
      <c r="C312" s="30"/>
      <c r="D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row>
    <row r="313" spans="2:39" s="29" customFormat="1" ht="17.100000000000001" customHeight="1">
      <c r="B313" s="30"/>
      <c r="C313" s="30"/>
      <c r="D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row>
    <row r="314" spans="2:39" s="29" customFormat="1" ht="17.100000000000001" customHeight="1">
      <c r="B314" s="30"/>
      <c r="C314" s="30"/>
      <c r="D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row>
    <row r="315" spans="2:39" s="29" customFormat="1" ht="17.100000000000001" customHeight="1">
      <c r="B315" s="30"/>
      <c r="C315" s="30"/>
      <c r="D315" s="30"/>
      <c r="H315" s="30"/>
      <c r="I315" s="30"/>
      <c r="J315" s="30"/>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0"/>
      <c r="AJ315" s="30"/>
      <c r="AK315" s="30"/>
      <c r="AL315" s="30"/>
      <c r="AM315" s="30"/>
    </row>
    <row r="316" spans="2:39" s="29" customFormat="1" ht="17.100000000000001" customHeight="1">
      <c r="B316" s="30"/>
      <c r="C316" s="30"/>
      <c r="D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row>
    <row r="317" spans="2:39" s="29" customFormat="1" ht="17.100000000000001" customHeight="1">
      <c r="B317" s="30"/>
      <c r="C317" s="30"/>
      <c r="D317" s="30"/>
      <c r="H317" s="30"/>
      <c r="I317" s="30"/>
      <c r="J317" s="30"/>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0"/>
      <c r="AJ317" s="30"/>
      <c r="AK317" s="30"/>
      <c r="AL317" s="30"/>
      <c r="AM317" s="30"/>
    </row>
    <row r="318" spans="2:39" s="29" customFormat="1" ht="17.100000000000001" customHeight="1">
      <c r="B318" s="30"/>
      <c r="C318" s="30"/>
      <c r="D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row>
    <row r="319" spans="2:39" s="29" customFormat="1" ht="17.100000000000001" customHeight="1">
      <c r="B319" s="30"/>
      <c r="C319" s="30"/>
      <c r="D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row>
    <row r="320" spans="2:39" s="29" customFormat="1" ht="17.100000000000001" customHeight="1">
      <c r="B320" s="30"/>
      <c r="C320" s="30"/>
      <c r="D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row>
    <row r="321" spans="2:39" s="29" customFormat="1" ht="17.100000000000001" customHeight="1">
      <c r="B321" s="30"/>
      <c r="C321" s="30"/>
      <c r="D321" s="30"/>
      <c r="H321" s="30"/>
      <c r="I321" s="30"/>
      <c r="J321" s="30"/>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0"/>
      <c r="AJ321" s="30"/>
      <c r="AK321" s="30"/>
      <c r="AL321" s="30"/>
      <c r="AM321" s="30"/>
    </row>
    <row r="322" spans="2:39" s="29" customFormat="1" ht="17.100000000000001" customHeight="1">
      <c r="B322" s="30"/>
      <c r="C322" s="30"/>
      <c r="D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row>
    <row r="323" spans="2:39" s="29" customFormat="1" ht="17.100000000000001" customHeight="1">
      <c r="B323" s="30"/>
      <c r="C323" s="30"/>
      <c r="D323" s="30"/>
      <c r="H323" s="30"/>
      <c r="I323" s="30"/>
      <c r="J323" s="30"/>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0"/>
      <c r="AJ323" s="30"/>
      <c r="AK323" s="30"/>
      <c r="AL323" s="30"/>
      <c r="AM323" s="30"/>
    </row>
    <row r="324" spans="2:39" s="29" customFormat="1" ht="17.100000000000001" customHeight="1">
      <c r="B324" s="30"/>
      <c r="C324" s="30"/>
      <c r="D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0"/>
      <c r="AJ324" s="30"/>
      <c r="AK324" s="30"/>
      <c r="AL324" s="30"/>
      <c r="AM324" s="30"/>
    </row>
    <row r="325" spans="2:39" s="29" customFormat="1" ht="17.100000000000001" customHeight="1">
      <c r="B325" s="30"/>
      <c r="C325" s="30"/>
      <c r="D325" s="30"/>
      <c r="H325" s="30"/>
      <c r="I325" s="30"/>
      <c r="J325" s="30"/>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0"/>
      <c r="AJ325" s="30"/>
      <c r="AK325" s="30"/>
      <c r="AL325" s="30"/>
      <c r="AM325" s="30"/>
    </row>
    <row r="326" spans="2:39" s="29" customFormat="1" ht="17.100000000000001" customHeight="1">
      <c r="B326" s="30"/>
      <c r="C326" s="30"/>
      <c r="D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row>
    <row r="327" spans="2:39" s="29" customFormat="1" ht="17.100000000000001" customHeight="1">
      <c r="B327" s="30"/>
      <c r="C327" s="30"/>
      <c r="D327" s="30"/>
      <c r="H327" s="30"/>
      <c r="I327" s="30"/>
      <c r="J327" s="30"/>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0"/>
      <c r="AJ327" s="30"/>
      <c r="AK327" s="30"/>
      <c r="AL327" s="30"/>
      <c r="AM327" s="30"/>
    </row>
    <row r="328" spans="2:39" s="29" customFormat="1" ht="17.100000000000001" customHeight="1">
      <c r="B328" s="30"/>
      <c r="C328" s="30"/>
      <c r="D328" s="30"/>
      <c r="H328" s="30"/>
      <c r="I328" s="30"/>
      <c r="J328" s="30"/>
      <c r="K328" s="30"/>
      <c r="L328" s="30"/>
      <c r="M328" s="30"/>
      <c r="N328" s="30"/>
      <c r="O328" s="30"/>
      <c r="P328" s="30"/>
      <c r="Q328" s="30"/>
      <c r="R328" s="30"/>
      <c r="S328" s="30"/>
      <c r="T328" s="30"/>
      <c r="U328" s="30"/>
      <c r="V328" s="30"/>
      <c r="W328" s="30"/>
      <c r="X328" s="30"/>
      <c r="Y328" s="30"/>
      <c r="Z328" s="30"/>
      <c r="AA328" s="30"/>
      <c r="AB328" s="30"/>
      <c r="AC328" s="30"/>
      <c r="AD328" s="30"/>
      <c r="AE328" s="30"/>
      <c r="AF328" s="30"/>
      <c r="AG328" s="30"/>
      <c r="AH328" s="30"/>
      <c r="AI328" s="30"/>
      <c r="AJ328" s="30"/>
      <c r="AK328" s="30"/>
      <c r="AL328" s="30"/>
      <c r="AM328" s="30"/>
    </row>
    <row r="329" spans="2:39" s="29" customFormat="1" ht="17.100000000000001" customHeight="1">
      <c r="B329" s="30"/>
      <c r="C329" s="30"/>
      <c r="D329" s="30"/>
      <c r="H329" s="30"/>
      <c r="I329" s="30"/>
      <c r="J329" s="30"/>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0"/>
      <c r="AJ329" s="30"/>
      <c r="AK329" s="30"/>
      <c r="AL329" s="30"/>
      <c r="AM329" s="30"/>
    </row>
    <row r="330" spans="2:39" s="29" customFormat="1" ht="17.100000000000001" customHeight="1">
      <c r="B330" s="30"/>
      <c r="C330" s="30"/>
      <c r="D330" s="30"/>
      <c r="H330" s="30"/>
      <c r="I330" s="30"/>
      <c r="J330" s="30"/>
      <c r="K330" s="30"/>
      <c r="L330" s="30"/>
      <c r="M330" s="30"/>
      <c r="N330" s="30"/>
      <c r="O330" s="30"/>
      <c r="P330" s="30"/>
      <c r="Q330" s="30"/>
      <c r="R330" s="30"/>
      <c r="S330" s="30"/>
      <c r="T330" s="30"/>
      <c r="U330" s="30"/>
      <c r="V330" s="30"/>
      <c r="W330" s="30"/>
      <c r="X330" s="30"/>
      <c r="Y330" s="30"/>
      <c r="Z330" s="30"/>
      <c r="AA330" s="30"/>
      <c r="AB330" s="30"/>
      <c r="AC330" s="30"/>
      <c r="AD330" s="30"/>
      <c r="AE330" s="30"/>
      <c r="AF330" s="30"/>
      <c r="AG330" s="30"/>
      <c r="AH330" s="30"/>
      <c r="AI330" s="30"/>
      <c r="AJ330" s="30"/>
      <c r="AK330" s="30"/>
      <c r="AL330" s="30"/>
      <c r="AM330" s="30"/>
    </row>
    <row r="331" spans="2:39" s="29" customFormat="1" ht="17.100000000000001" customHeight="1">
      <c r="B331" s="30"/>
      <c r="C331" s="30"/>
      <c r="D331" s="30"/>
      <c r="H331" s="30"/>
      <c r="I331" s="30"/>
      <c r="J331" s="30"/>
      <c r="K331" s="30"/>
      <c r="L331" s="30"/>
      <c r="M331" s="30"/>
      <c r="N331" s="30"/>
      <c r="O331" s="30"/>
      <c r="P331" s="30"/>
      <c r="Q331" s="30"/>
      <c r="R331" s="30"/>
      <c r="S331" s="30"/>
      <c r="T331" s="30"/>
      <c r="U331" s="30"/>
      <c r="V331" s="30"/>
      <c r="W331" s="30"/>
      <c r="X331" s="30"/>
      <c r="Y331" s="30"/>
      <c r="Z331" s="30"/>
      <c r="AA331" s="30"/>
      <c r="AB331" s="30"/>
      <c r="AC331" s="30"/>
      <c r="AD331" s="30"/>
      <c r="AE331" s="30"/>
      <c r="AF331" s="30"/>
      <c r="AG331" s="30"/>
      <c r="AH331" s="30"/>
      <c r="AI331" s="30"/>
      <c r="AJ331" s="30"/>
      <c r="AK331" s="30"/>
      <c r="AL331" s="30"/>
      <c r="AM331" s="30"/>
    </row>
    <row r="332" spans="2:39" s="29" customFormat="1" ht="17.100000000000001" customHeight="1">
      <c r="B332" s="30"/>
      <c r="C332" s="30"/>
      <c r="D332" s="30"/>
      <c r="H332" s="30"/>
      <c r="I332" s="30"/>
      <c r="J332" s="30"/>
      <c r="K332" s="30"/>
      <c r="L332" s="30"/>
      <c r="M332" s="30"/>
      <c r="N332" s="30"/>
      <c r="O332" s="30"/>
      <c r="P332" s="30"/>
      <c r="Q332" s="30"/>
      <c r="R332" s="30"/>
      <c r="S332" s="30"/>
      <c r="T332" s="30"/>
      <c r="U332" s="30"/>
      <c r="V332" s="30"/>
      <c r="W332" s="30"/>
      <c r="X332" s="30"/>
      <c r="Y332" s="30"/>
      <c r="Z332" s="30"/>
      <c r="AA332" s="30"/>
      <c r="AB332" s="30"/>
      <c r="AC332" s="30"/>
      <c r="AD332" s="30"/>
      <c r="AE332" s="30"/>
      <c r="AF332" s="30"/>
      <c r="AG332" s="30"/>
      <c r="AH332" s="30"/>
      <c r="AI332" s="30"/>
      <c r="AJ332" s="30"/>
      <c r="AK332" s="30"/>
      <c r="AL332" s="30"/>
      <c r="AM332" s="30"/>
    </row>
    <row r="333" spans="2:39" s="29" customFormat="1" ht="17.100000000000001" customHeight="1">
      <c r="B333" s="30"/>
      <c r="C333" s="30"/>
      <c r="D333" s="30"/>
      <c r="H333" s="30"/>
      <c r="I333" s="30"/>
      <c r="J333" s="30"/>
      <c r="K333" s="30"/>
      <c r="L333" s="30"/>
      <c r="M333" s="30"/>
      <c r="N333" s="30"/>
      <c r="O333" s="30"/>
      <c r="P333" s="30"/>
      <c r="Q333" s="30"/>
      <c r="R333" s="30"/>
      <c r="S333" s="30"/>
      <c r="T333" s="30"/>
      <c r="U333" s="30"/>
      <c r="V333" s="30"/>
      <c r="W333" s="30"/>
      <c r="X333" s="30"/>
      <c r="Y333" s="30"/>
      <c r="Z333" s="30"/>
      <c r="AA333" s="30"/>
      <c r="AB333" s="30"/>
      <c r="AC333" s="30"/>
      <c r="AD333" s="30"/>
      <c r="AE333" s="30"/>
      <c r="AF333" s="30"/>
      <c r="AG333" s="30"/>
      <c r="AH333" s="30"/>
      <c r="AI333" s="30"/>
      <c r="AJ333" s="30"/>
      <c r="AK333" s="30"/>
      <c r="AL333" s="30"/>
      <c r="AM333" s="30"/>
    </row>
    <row r="334" spans="2:39" s="29" customFormat="1" ht="17.100000000000001" customHeight="1">
      <c r="B334" s="30"/>
      <c r="C334" s="30"/>
      <c r="D334" s="30"/>
      <c r="H334" s="30"/>
      <c r="I334" s="30"/>
      <c r="J334" s="30"/>
      <c r="K334" s="30"/>
      <c r="L334" s="30"/>
      <c r="M334" s="30"/>
      <c r="N334" s="30"/>
      <c r="O334" s="30"/>
      <c r="P334" s="30"/>
      <c r="Q334" s="30"/>
      <c r="R334" s="30"/>
      <c r="S334" s="30"/>
      <c r="T334" s="30"/>
      <c r="U334" s="30"/>
      <c r="V334" s="30"/>
      <c r="W334" s="30"/>
      <c r="X334" s="30"/>
      <c r="Y334" s="30"/>
      <c r="Z334" s="30"/>
      <c r="AA334" s="30"/>
      <c r="AB334" s="30"/>
      <c r="AC334" s="30"/>
      <c r="AD334" s="30"/>
      <c r="AE334" s="30"/>
      <c r="AF334" s="30"/>
      <c r="AG334" s="30"/>
      <c r="AH334" s="30"/>
      <c r="AI334" s="30"/>
      <c r="AJ334" s="30"/>
      <c r="AK334" s="30"/>
      <c r="AL334" s="30"/>
      <c r="AM334" s="30"/>
    </row>
    <row r="335" spans="2:39" s="29" customFormat="1" ht="17.100000000000001" customHeight="1">
      <c r="B335" s="30"/>
      <c r="C335" s="30"/>
      <c r="D335" s="30"/>
      <c r="H335" s="30"/>
      <c r="I335" s="30"/>
      <c r="J335" s="30"/>
      <c r="K335" s="30"/>
      <c r="L335" s="30"/>
      <c r="M335" s="30"/>
      <c r="N335" s="30"/>
      <c r="O335" s="30"/>
      <c r="P335" s="30"/>
      <c r="Q335" s="30"/>
      <c r="R335" s="30"/>
      <c r="S335" s="30"/>
      <c r="T335" s="30"/>
      <c r="U335" s="30"/>
      <c r="V335" s="30"/>
      <c r="W335" s="30"/>
      <c r="X335" s="30"/>
      <c r="Y335" s="30"/>
      <c r="Z335" s="30"/>
      <c r="AA335" s="30"/>
      <c r="AB335" s="30"/>
      <c r="AC335" s="30"/>
      <c r="AD335" s="30"/>
      <c r="AE335" s="30"/>
      <c r="AF335" s="30"/>
      <c r="AG335" s="30"/>
      <c r="AH335" s="30"/>
      <c r="AI335" s="30"/>
      <c r="AJ335" s="30"/>
      <c r="AK335" s="30"/>
      <c r="AL335" s="30"/>
      <c r="AM335" s="30"/>
    </row>
    <row r="336" spans="2:39" s="29" customFormat="1" ht="17.100000000000001" customHeight="1">
      <c r="B336" s="30"/>
      <c r="C336" s="30"/>
      <c r="D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row>
    <row r="337" spans="2:39" s="29" customFormat="1" ht="17.100000000000001" customHeight="1">
      <c r="B337" s="30"/>
      <c r="C337" s="30"/>
      <c r="D337" s="30"/>
      <c r="H337" s="30"/>
      <c r="I337" s="30"/>
      <c r="J337" s="30"/>
      <c r="K337" s="30"/>
      <c r="L337" s="30"/>
      <c r="M337" s="30"/>
      <c r="N337" s="30"/>
      <c r="O337" s="30"/>
      <c r="P337" s="30"/>
      <c r="Q337" s="30"/>
      <c r="R337" s="30"/>
      <c r="S337" s="30"/>
      <c r="T337" s="30"/>
      <c r="U337" s="30"/>
      <c r="V337" s="30"/>
      <c r="W337" s="30"/>
      <c r="X337" s="30"/>
      <c r="Y337" s="30"/>
      <c r="Z337" s="30"/>
      <c r="AA337" s="30"/>
      <c r="AB337" s="30"/>
      <c r="AC337" s="30"/>
      <c r="AD337" s="30"/>
      <c r="AE337" s="30"/>
      <c r="AF337" s="30"/>
      <c r="AG337" s="30"/>
      <c r="AH337" s="30"/>
      <c r="AI337" s="30"/>
      <c r="AJ337" s="30"/>
      <c r="AK337" s="30"/>
      <c r="AL337" s="30"/>
      <c r="AM337" s="30"/>
    </row>
    <row r="338" spans="2:39" s="29" customFormat="1" ht="17.100000000000001" customHeight="1">
      <c r="B338" s="30"/>
      <c r="C338" s="30"/>
      <c r="D338" s="30"/>
      <c r="H338" s="30"/>
      <c r="I338" s="30"/>
      <c r="J338" s="30"/>
      <c r="K338" s="30"/>
      <c r="L338" s="30"/>
      <c r="M338" s="30"/>
      <c r="N338" s="30"/>
      <c r="O338" s="30"/>
      <c r="P338" s="30"/>
      <c r="Q338" s="30"/>
      <c r="R338" s="30"/>
      <c r="S338" s="30"/>
      <c r="T338" s="30"/>
      <c r="U338" s="30"/>
      <c r="V338" s="30"/>
      <c r="W338" s="30"/>
      <c r="X338" s="30"/>
      <c r="Y338" s="30"/>
      <c r="Z338" s="30"/>
      <c r="AA338" s="30"/>
      <c r="AB338" s="30"/>
      <c r="AC338" s="30"/>
      <c r="AD338" s="30"/>
      <c r="AE338" s="30"/>
      <c r="AF338" s="30"/>
      <c r="AG338" s="30"/>
      <c r="AH338" s="30"/>
      <c r="AI338" s="30"/>
      <c r="AJ338" s="30"/>
      <c r="AK338" s="30"/>
      <c r="AL338" s="30"/>
      <c r="AM338" s="30"/>
    </row>
    <row r="339" spans="2:39" s="29" customFormat="1" ht="17.100000000000001" customHeight="1">
      <c r="B339" s="30"/>
      <c r="C339" s="30"/>
      <c r="D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row>
    <row r="340" spans="2:39" s="29" customFormat="1" ht="17.100000000000001" customHeight="1">
      <c r="B340" s="30"/>
      <c r="C340" s="30"/>
      <c r="D340" s="30"/>
      <c r="H340" s="30"/>
      <c r="I340" s="30"/>
      <c r="J340" s="30"/>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0"/>
      <c r="AJ340" s="30"/>
      <c r="AK340" s="30"/>
      <c r="AL340" s="30"/>
      <c r="AM340" s="30"/>
    </row>
    <row r="341" spans="2:39" s="29" customFormat="1" ht="17.100000000000001" customHeight="1">
      <c r="B341" s="30"/>
      <c r="C341" s="30"/>
      <c r="D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row>
    <row r="342" spans="2:39" s="29" customFormat="1" ht="17.100000000000001" customHeight="1">
      <c r="B342" s="30"/>
      <c r="C342" s="30"/>
      <c r="D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row>
    <row r="343" spans="2:39" s="29" customFormat="1" ht="17.100000000000001" customHeight="1">
      <c r="B343" s="30"/>
      <c r="C343" s="30"/>
      <c r="D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row>
    <row r="344" spans="2:39" s="29" customFormat="1" ht="17.100000000000001" customHeight="1">
      <c r="B344" s="30"/>
      <c r="C344" s="30"/>
      <c r="D344" s="30"/>
      <c r="H344" s="30"/>
      <c r="I344" s="30"/>
      <c r="J344" s="30"/>
      <c r="K344" s="30"/>
      <c r="L344" s="30"/>
      <c r="M344" s="30"/>
      <c r="N344" s="30"/>
      <c r="O344" s="30"/>
      <c r="P344" s="30"/>
      <c r="Q344" s="30"/>
      <c r="R344" s="30"/>
      <c r="S344" s="30"/>
      <c r="T344" s="30"/>
      <c r="U344" s="30"/>
      <c r="V344" s="30"/>
      <c r="W344" s="30"/>
      <c r="X344" s="30"/>
      <c r="Y344" s="30"/>
      <c r="Z344" s="30"/>
      <c r="AA344" s="30"/>
      <c r="AB344" s="30"/>
      <c r="AC344" s="30"/>
      <c r="AD344" s="30"/>
      <c r="AE344" s="30"/>
      <c r="AF344" s="30"/>
      <c r="AG344" s="30"/>
      <c r="AH344" s="30"/>
      <c r="AI344" s="30"/>
      <c r="AJ344" s="30"/>
      <c r="AK344" s="30"/>
      <c r="AL344" s="30"/>
      <c r="AM344" s="30"/>
    </row>
    <row r="345" spans="2:39" s="29" customFormat="1" ht="17.100000000000001" customHeight="1">
      <c r="B345" s="30"/>
      <c r="C345" s="30"/>
      <c r="D345" s="30"/>
      <c r="H345" s="30"/>
      <c r="I345" s="30"/>
      <c r="J345" s="30"/>
      <c r="K345" s="30"/>
      <c r="L345" s="30"/>
      <c r="M345" s="30"/>
      <c r="N345" s="30"/>
      <c r="O345" s="30"/>
      <c r="P345" s="30"/>
      <c r="Q345" s="30"/>
      <c r="R345" s="30"/>
      <c r="S345" s="30"/>
      <c r="T345" s="30"/>
      <c r="U345" s="30"/>
      <c r="V345" s="30"/>
      <c r="W345" s="30"/>
      <c r="X345" s="30"/>
      <c r="Y345" s="30"/>
      <c r="Z345" s="30"/>
      <c r="AA345" s="30"/>
      <c r="AB345" s="30"/>
      <c r="AC345" s="30"/>
      <c r="AD345" s="30"/>
      <c r="AE345" s="30"/>
      <c r="AF345" s="30"/>
      <c r="AG345" s="30"/>
      <c r="AH345" s="30"/>
      <c r="AI345" s="30"/>
      <c r="AJ345" s="30"/>
      <c r="AK345" s="30"/>
      <c r="AL345" s="30"/>
      <c r="AM345" s="30"/>
    </row>
    <row r="346" spans="2:39" s="29" customFormat="1" ht="17.100000000000001" customHeight="1">
      <c r="B346" s="30"/>
      <c r="C346" s="30"/>
      <c r="D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row>
    <row r="347" spans="2:39" s="29" customFormat="1" ht="17.100000000000001" customHeight="1">
      <c r="B347" s="30"/>
      <c r="C347" s="30"/>
      <c r="D347" s="30"/>
      <c r="H347" s="30"/>
      <c r="I347" s="30"/>
      <c r="J347" s="30"/>
      <c r="K347" s="30"/>
      <c r="L347" s="30"/>
      <c r="M347" s="30"/>
      <c r="N347" s="30"/>
      <c r="O347" s="30"/>
      <c r="P347" s="30"/>
      <c r="Q347" s="30"/>
      <c r="R347" s="30"/>
      <c r="S347" s="30"/>
      <c r="T347" s="30"/>
      <c r="U347" s="30"/>
      <c r="V347" s="30"/>
      <c r="W347" s="30"/>
      <c r="X347" s="30"/>
      <c r="Y347" s="30"/>
      <c r="Z347" s="30"/>
      <c r="AA347" s="30"/>
      <c r="AB347" s="30"/>
      <c r="AC347" s="30"/>
      <c r="AD347" s="30"/>
      <c r="AE347" s="30"/>
      <c r="AF347" s="30"/>
      <c r="AG347" s="30"/>
      <c r="AH347" s="30"/>
      <c r="AI347" s="30"/>
      <c r="AJ347" s="30"/>
      <c r="AK347" s="30"/>
      <c r="AL347" s="30"/>
      <c r="AM347" s="30"/>
    </row>
    <row r="348" spans="2:39" s="29" customFormat="1" ht="17.100000000000001" customHeight="1">
      <c r="B348" s="30"/>
      <c r="C348" s="30"/>
      <c r="D348" s="30"/>
      <c r="H348" s="30"/>
      <c r="I348" s="30"/>
      <c r="J348" s="30"/>
      <c r="K348" s="30"/>
      <c r="L348" s="30"/>
      <c r="M348" s="30"/>
      <c r="N348" s="30"/>
      <c r="O348" s="30"/>
      <c r="P348" s="30"/>
      <c r="Q348" s="30"/>
      <c r="R348" s="30"/>
      <c r="S348" s="30"/>
      <c r="T348" s="30"/>
      <c r="U348" s="30"/>
      <c r="V348" s="30"/>
      <c r="W348" s="30"/>
      <c r="X348" s="30"/>
      <c r="Y348" s="30"/>
      <c r="Z348" s="30"/>
      <c r="AA348" s="30"/>
      <c r="AB348" s="30"/>
      <c r="AC348" s="30"/>
      <c r="AD348" s="30"/>
      <c r="AE348" s="30"/>
      <c r="AF348" s="30"/>
      <c r="AG348" s="30"/>
      <c r="AH348" s="30"/>
      <c r="AI348" s="30"/>
      <c r="AJ348" s="30"/>
      <c r="AK348" s="30"/>
      <c r="AL348" s="30"/>
      <c r="AM348" s="30"/>
    </row>
    <row r="349" spans="2:39" s="29" customFormat="1" ht="17.100000000000001" customHeight="1">
      <c r="B349" s="30"/>
      <c r="C349" s="30"/>
      <c r="D349" s="30"/>
      <c r="H349" s="30"/>
      <c r="I349" s="30"/>
      <c r="J349" s="30"/>
      <c r="K349" s="30"/>
      <c r="L349" s="30"/>
      <c r="M349" s="30"/>
      <c r="N349" s="30"/>
      <c r="O349" s="30"/>
      <c r="P349" s="30"/>
      <c r="Q349" s="30"/>
      <c r="R349" s="30"/>
      <c r="S349" s="30"/>
      <c r="T349" s="30"/>
      <c r="U349" s="30"/>
      <c r="V349" s="30"/>
      <c r="W349" s="30"/>
      <c r="X349" s="30"/>
      <c r="Y349" s="30"/>
      <c r="Z349" s="30"/>
      <c r="AA349" s="30"/>
      <c r="AB349" s="30"/>
      <c r="AC349" s="30"/>
      <c r="AD349" s="30"/>
      <c r="AE349" s="30"/>
      <c r="AF349" s="30"/>
      <c r="AG349" s="30"/>
      <c r="AH349" s="30"/>
      <c r="AI349" s="30"/>
      <c r="AJ349" s="30"/>
      <c r="AK349" s="30"/>
      <c r="AL349" s="30"/>
      <c r="AM349" s="30"/>
    </row>
    <row r="350" spans="2:39" s="29" customFormat="1" ht="17.100000000000001" customHeight="1">
      <c r="B350" s="30"/>
      <c r="C350" s="30"/>
      <c r="D350" s="30"/>
      <c r="H350" s="30"/>
      <c r="I350" s="30"/>
      <c r="J350" s="30"/>
      <c r="K350" s="30"/>
      <c r="L350" s="30"/>
      <c r="M350" s="30"/>
      <c r="N350" s="30"/>
      <c r="O350" s="30"/>
      <c r="P350" s="30"/>
      <c r="Q350" s="30"/>
      <c r="R350" s="30"/>
      <c r="S350" s="30"/>
      <c r="T350" s="30"/>
      <c r="U350" s="30"/>
      <c r="V350" s="30"/>
      <c r="W350" s="30"/>
      <c r="X350" s="30"/>
      <c r="Y350" s="30"/>
      <c r="Z350" s="30"/>
      <c r="AA350" s="30"/>
      <c r="AB350" s="30"/>
      <c r="AC350" s="30"/>
      <c r="AD350" s="30"/>
      <c r="AE350" s="30"/>
      <c r="AF350" s="30"/>
      <c r="AG350" s="30"/>
      <c r="AH350" s="30"/>
      <c r="AI350" s="30"/>
      <c r="AJ350" s="30"/>
      <c r="AK350" s="30"/>
      <c r="AL350" s="30"/>
      <c r="AM350" s="30"/>
    </row>
    <row r="351" spans="2:39" s="29" customFormat="1" ht="17.100000000000001" customHeight="1">
      <c r="B351" s="30"/>
      <c r="C351" s="30"/>
      <c r="D351" s="30"/>
      <c r="H351" s="30"/>
      <c r="I351" s="30"/>
      <c r="J351" s="30"/>
      <c r="K351" s="30"/>
      <c r="L351" s="30"/>
      <c r="M351" s="30"/>
      <c r="N351" s="30"/>
      <c r="O351" s="30"/>
      <c r="P351" s="30"/>
      <c r="Q351" s="30"/>
      <c r="R351" s="30"/>
      <c r="S351" s="30"/>
      <c r="T351" s="30"/>
      <c r="U351" s="30"/>
      <c r="V351" s="30"/>
      <c r="W351" s="30"/>
      <c r="X351" s="30"/>
      <c r="Y351" s="30"/>
      <c r="Z351" s="30"/>
      <c r="AA351" s="30"/>
      <c r="AB351" s="30"/>
      <c r="AC351" s="30"/>
      <c r="AD351" s="30"/>
      <c r="AE351" s="30"/>
      <c r="AF351" s="30"/>
      <c r="AG351" s="30"/>
      <c r="AH351" s="30"/>
      <c r="AI351" s="30"/>
      <c r="AJ351" s="30"/>
      <c r="AK351" s="30"/>
      <c r="AL351" s="30"/>
      <c r="AM351" s="30"/>
    </row>
    <row r="352" spans="2:39" s="29" customFormat="1" ht="17.100000000000001" customHeight="1">
      <c r="B352" s="30"/>
      <c r="C352" s="30"/>
      <c r="D352" s="30"/>
      <c r="H352" s="30"/>
      <c r="I352" s="30"/>
      <c r="J352" s="30"/>
      <c r="K352" s="30"/>
      <c r="L352" s="30"/>
      <c r="M352" s="30"/>
      <c r="N352" s="30"/>
      <c r="O352" s="30"/>
      <c r="P352" s="30"/>
      <c r="Q352" s="30"/>
      <c r="R352" s="30"/>
      <c r="S352" s="30"/>
      <c r="T352" s="30"/>
      <c r="U352" s="30"/>
      <c r="V352" s="30"/>
      <c r="W352" s="30"/>
      <c r="X352" s="30"/>
      <c r="Y352" s="30"/>
      <c r="Z352" s="30"/>
      <c r="AA352" s="30"/>
      <c r="AB352" s="30"/>
      <c r="AC352" s="30"/>
      <c r="AD352" s="30"/>
      <c r="AE352" s="30"/>
      <c r="AF352" s="30"/>
      <c r="AG352" s="30"/>
      <c r="AH352" s="30"/>
      <c r="AI352" s="30"/>
      <c r="AJ352" s="30"/>
      <c r="AK352" s="30"/>
      <c r="AL352" s="30"/>
      <c r="AM352" s="30"/>
    </row>
    <row r="353" spans="2:39" s="29" customFormat="1" ht="17.100000000000001" customHeight="1">
      <c r="B353" s="30"/>
      <c r="C353" s="30"/>
      <c r="D353" s="30"/>
      <c r="H353" s="30"/>
      <c r="I353" s="30"/>
      <c r="J353" s="30"/>
      <c r="K353" s="30"/>
      <c r="L353" s="30"/>
      <c r="M353" s="30"/>
      <c r="N353" s="30"/>
      <c r="O353" s="30"/>
      <c r="P353" s="30"/>
      <c r="Q353" s="30"/>
      <c r="R353" s="30"/>
      <c r="S353" s="30"/>
      <c r="T353" s="30"/>
      <c r="U353" s="30"/>
      <c r="V353" s="30"/>
      <c r="W353" s="30"/>
      <c r="X353" s="30"/>
      <c r="Y353" s="30"/>
      <c r="Z353" s="30"/>
      <c r="AA353" s="30"/>
      <c r="AB353" s="30"/>
      <c r="AC353" s="30"/>
      <c r="AD353" s="30"/>
      <c r="AE353" s="30"/>
      <c r="AF353" s="30"/>
      <c r="AG353" s="30"/>
      <c r="AH353" s="30"/>
      <c r="AI353" s="30"/>
      <c r="AJ353" s="30"/>
      <c r="AK353" s="30"/>
      <c r="AL353" s="30"/>
      <c r="AM353" s="30"/>
    </row>
    <row r="354" spans="2:39" s="29" customFormat="1" ht="17.100000000000001" customHeight="1">
      <c r="B354" s="30"/>
      <c r="C354" s="30"/>
      <c r="D354" s="30"/>
      <c r="H354" s="30"/>
      <c r="I354" s="30"/>
      <c r="J354" s="30"/>
      <c r="K354" s="30"/>
      <c r="L354" s="30"/>
      <c r="M354" s="30"/>
      <c r="N354" s="30"/>
      <c r="O354" s="30"/>
      <c r="P354" s="30"/>
      <c r="Q354" s="30"/>
      <c r="R354" s="30"/>
      <c r="S354" s="30"/>
      <c r="T354" s="30"/>
      <c r="U354" s="30"/>
      <c r="V354" s="30"/>
      <c r="W354" s="30"/>
      <c r="X354" s="30"/>
      <c r="Y354" s="30"/>
      <c r="Z354" s="30"/>
      <c r="AA354" s="30"/>
      <c r="AB354" s="30"/>
      <c r="AC354" s="30"/>
      <c r="AD354" s="30"/>
      <c r="AE354" s="30"/>
      <c r="AF354" s="30"/>
      <c r="AG354" s="30"/>
      <c r="AH354" s="30"/>
      <c r="AI354" s="30"/>
      <c r="AJ354" s="30"/>
      <c r="AK354" s="30"/>
      <c r="AL354" s="30"/>
      <c r="AM354" s="30"/>
    </row>
    <row r="355" spans="2:39" s="29" customFormat="1" ht="17.100000000000001" customHeight="1">
      <c r="B355" s="30"/>
      <c r="C355" s="30"/>
      <c r="D355" s="30"/>
      <c r="H355" s="30"/>
      <c r="I355" s="30"/>
      <c r="J355" s="30"/>
      <c r="K355" s="30"/>
      <c r="L355" s="30"/>
      <c r="M355" s="30"/>
      <c r="N355" s="30"/>
      <c r="O355" s="30"/>
      <c r="P355" s="30"/>
      <c r="Q355" s="30"/>
      <c r="R355" s="30"/>
      <c r="S355" s="30"/>
      <c r="T355" s="30"/>
      <c r="U355" s="30"/>
      <c r="V355" s="30"/>
      <c r="W355" s="30"/>
      <c r="X355" s="30"/>
      <c r="Y355" s="30"/>
      <c r="Z355" s="30"/>
      <c r="AA355" s="30"/>
      <c r="AB355" s="30"/>
      <c r="AC355" s="30"/>
      <c r="AD355" s="30"/>
      <c r="AE355" s="30"/>
      <c r="AF355" s="30"/>
      <c r="AG355" s="30"/>
      <c r="AH355" s="30"/>
      <c r="AI355" s="30"/>
      <c r="AJ355" s="30"/>
      <c r="AK355" s="30"/>
      <c r="AL355" s="30"/>
      <c r="AM355" s="30"/>
    </row>
    <row r="356" spans="2:39" s="29" customFormat="1" ht="17.100000000000001" customHeight="1">
      <c r="B356" s="30"/>
      <c r="C356" s="30"/>
      <c r="D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row>
    <row r="357" spans="2:39" s="29" customFormat="1" ht="17.100000000000001" customHeight="1">
      <c r="B357" s="30"/>
      <c r="C357" s="30"/>
      <c r="D357" s="30"/>
      <c r="H357" s="30"/>
      <c r="I357" s="30"/>
      <c r="J357" s="30"/>
      <c r="K357" s="30"/>
      <c r="L357" s="30"/>
      <c r="M357" s="30"/>
      <c r="N357" s="30"/>
      <c r="O357" s="30"/>
      <c r="P357" s="30"/>
      <c r="Q357" s="30"/>
      <c r="R357" s="30"/>
      <c r="S357" s="30"/>
      <c r="T357" s="30"/>
      <c r="U357" s="30"/>
      <c r="V357" s="30"/>
      <c r="W357" s="30"/>
      <c r="X357" s="30"/>
      <c r="Y357" s="30"/>
      <c r="Z357" s="30"/>
      <c r="AA357" s="30"/>
      <c r="AB357" s="30"/>
      <c r="AC357" s="30"/>
      <c r="AD357" s="30"/>
      <c r="AE357" s="30"/>
      <c r="AF357" s="30"/>
      <c r="AG357" s="30"/>
      <c r="AH357" s="30"/>
      <c r="AI357" s="30"/>
      <c r="AJ357" s="30"/>
      <c r="AK357" s="30"/>
      <c r="AL357" s="30"/>
      <c r="AM357" s="30"/>
    </row>
    <row r="358" spans="2:39" s="29" customFormat="1" ht="17.100000000000001" customHeight="1">
      <c r="B358" s="30"/>
      <c r="C358" s="30"/>
      <c r="D358" s="30"/>
      <c r="H358" s="30"/>
      <c r="I358" s="30"/>
      <c r="J358" s="30"/>
      <c r="K358" s="30"/>
      <c r="L358" s="30"/>
      <c r="M358" s="30"/>
      <c r="N358" s="30"/>
      <c r="O358" s="30"/>
      <c r="P358" s="30"/>
      <c r="Q358" s="30"/>
      <c r="R358" s="30"/>
      <c r="S358" s="30"/>
      <c r="T358" s="30"/>
      <c r="U358" s="30"/>
      <c r="V358" s="30"/>
      <c r="W358" s="30"/>
      <c r="X358" s="30"/>
      <c r="Y358" s="30"/>
      <c r="Z358" s="30"/>
      <c r="AA358" s="30"/>
      <c r="AB358" s="30"/>
      <c r="AC358" s="30"/>
      <c r="AD358" s="30"/>
      <c r="AE358" s="30"/>
      <c r="AF358" s="30"/>
      <c r="AG358" s="30"/>
      <c r="AH358" s="30"/>
      <c r="AI358" s="30"/>
      <c r="AJ358" s="30"/>
      <c r="AK358" s="30"/>
      <c r="AL358" s="30"/>
      <c r="AM358" s="30"/>
    </row>
    <row r="359" spans="2:39" s="29" customFormat="1" ht="17.100000000000001" customHeight="1">
      <c r="B359" s="30"/>
      <c r="C359" s="30"/>
      <c r="D359" s="30"/>
      <c r="H359" s="30"/>
      <c r="I359" s="30"/>
      <c r="J359" s="30"/>
      <c r="K359" s="30"/>
      <c r="L359" s="30"/>
      <c r="M359" s="30"/>
      <c r="N359" s="30"/>
      <c r="O359" s="30"/>
      <c r="P359" s="30"/>
      <c r="Q359" s="30"/>
      <c r="R359" s="30"/>
      <c r="S359" s="30"/>
      <c r="T359" s="30"/>
      <c r="U359" s="30"/>
      <c r="V359" s="30"/>
      <c r="W359" s="30"/>
      <c r="X359" s="30"/>
      <c r="Y359" s="30"/>
      <c r="Z359" s="30"/>
      <c r="AA359" s="30"/>
      <c r="AB359" s="30"/>
      <c r="AC359" s="30"/>
      <c r="AD359" s="30"/>
      <c r="AE359" s="30"/>
      <c r="AF359" s="30"/>
      <c r="AG359" s="30"/>
      <c r="AH359" s="30"/>
      <c r="AI359" s="30"/>
      <c r="AJ359" s="30"/>
      <c r="AK359" s="30"/>
      <c r="AL359" s="30"/>
      <c r="AM359" s="30"/>
    </row>
    <row r="360" spans="2:39" s="29" customFormat="1" ht="17.100000000000001" customHeight="1">
      <c r="B360" s="30"/>
      <c r="C360" s="30"/>
      <c r="D360" s="30"/>
      <c r="H360" s="30"/>
      <c r="I360" s="30"/>
      <c r="J360" s="30"/>
      <c r="K360" s="30"/>
      <c r="L360" s="30"/>
      <c r="M360" s="30"/>
      <c r="N360" s="30"/>
      <c r="O360" s="30"/>
      <c r="P360" s="30"/>
      <c r="Q360" s="30"/>
      <c r="R360" s="30"/>
      <c r="S360" s="30"/>
      <c r="T360" s="30"/>
      <c r="U360" s="30"/>
      <c r="V360" s="30"/>
      <c r="W360" s="30"/>
      <c r="X360" s="30"/>
      <c r="Y360" s="30"/>
      <c r="Z360" s="30"/>
      <c r="AA360" s="30"/>
      <c r="AB360" s="30"/>
      <c r="AC360" s="30"/>
      <c r="AD360" s="30"/>
      <c r="AE360" s="30"/>
      <c r="AF360" s="30"/>
      <c r="AG360" s="30"/>
      <c r="AH360" s="30"/>
      <c r="AI360" s="30"/>
      <c r="AJ360" s="30"/>
      <c r="AK360" s="30"/>
      <c r="AL360" s="30"/>
      <c r="AM360" s="30"/>
    </row>
    <row r="361" spans="2:39" s="29" customFormat="1" ht="17.100000000000001" customHeight="1">
      <c r="B361" s="30"/>
      <c r="C361" s="30"/>
      <c r="D361" s="30"/>
      <c r="H361" s="30"/>
      <c r="I361" s="30"/>
      <c r="J361" s="30"/>
      <c r="K361" s="30"/>
      <c r="L361" s="30"/>
      <c r="M361" s="30"/>
      <c r="N361" s="30"/>
      <c r="O361" s="30"/>
      <c r="P361" s="30"/>
      <c r="Q361" s="30"/>
      <c r="R361" s="30"/>
      <c r="S361" s="30"/>
      <c r="T361" s="30"/>
      <c r="U361" s="30"/>
      <c r="V361" s="30"/>
      <c r="W361" s="30"/>
      <c r="X361" s="30"/>
      <c r="Y361" s="30"/>
      <c r="Z361" s="30"/>
      <c r="AA361" s="30"/>
      <c r="AB361" s="30"/>
      <c r="AC361" s="30"/>
      <c r="AD361" s="30"/>
      <c r="AE361" s="30"/>
      <c r="AF361" s="30"/>
      <c r="AG361" s="30"/>
      <c r="AH361" s="30"/>
      <c r="AI361" s="30"/>
      <c r="AJ361" s="30"/>
      <c r="AK361" s="30"/>
      <c r="AL361" s="30"/>
      <c r="AM361" s="30"/>
    </row>
    <row r="362" spans="2:39" s="29" customFormat="1" ht="17.100000000000001" customHeight="1">
      <c r="B362" s="30"/>
      <c r="C362" s="30"/>
      <c r="D362" s="30"/>
      <c r="H362" s="30"/>
      <c r="I362" s="30"/>
      <c r="J362" s="30"/>
      <c r="K362" s="30"/>
      <c r="L362" s="30"/>
      <c r="M362" s="30"/>
      <c r="N362" s="30"/>
      <c r="O362" s="30"/>
      <c r="P362" s="30"/>
      <c r="Q362" s="30"/>
      <c r="R362" s="30"/>
      <c r="S362" s="30"/>
      <c r="T362" s="30"/>
      <c r="U362" s="30"/>
      <c r="V362" s="30"/>
      <c r="W362" s="30"/>
      <c r="X362" s="30"/>
      <c r="Y362" s="30"/>
      <c r="Z362" s="30"/>
      <c r="AA362" s="30"/>
      <c r="AB362" s="30"/>
      <c r="AC362" s="30"/>
      <c r="AD362" s="30"/>
      <c r="AE362" s="30"/>
      <c r="AF362" s="30"/>
      <c r="AG362" s="30"/>
      <c r="AH362" s="30"/>
      <c r="AI362" s="30"/>
      <c r="AJ362" s="30"/>
      <c r="AK362" s="30"/>
      <c r="AL362" s="30"/>
      <c r="AM362" s="30"/>
    </row>
    <row r="363" spans="2:39" s="29" customFormat="1" ht="17.100000000000001" customHeight="1">
      <c r="B363" s="30"/>
      <c r="C363" s="30"/>
      <c r="D363" s="30"/>
      <c r="H363" s="30"/>
      <c r="I363" s="30"/>
      <c r="J363" s="30"/>
      <c r="K363" s="30"/>
      <c r="L363" s="30"/>
      <c r="M363" s="30"/>
      <c r="N363" s="30"/>
      <c r="O363" s="30"/>
      <c r="P363" s="30"/>
      <c r="Q363" s="30"/>
      <c r="R363" s="30"/>
      <c r="S363" s="30"/>
      <c r="T363" s="30"/>
      <c r="U363" s="30"/>
      <c r="V363" s="30"/>
      <c r="W363" s="30"/>
      <c r="X363" s="30"/>
      <c r="Y363" s="30"/>
      <c r="Z363" s="30"/>
      <c r="AA363" s="30"/>
      <c r="AB363" s="30"/>
      <c r="AC363" s="30"/>
      <c r="AD363" s="30"/>
      <c r="AE363" s="30"/>
      <c r="AF363" s="30"/>
      <c r="AG363" s="30"/>
      <c r="AH363" s="30"/>
      <c r="AI363" s="30"/>
      <c r="AJ363" s="30"/>
      <c r="AK363" s="30"/>
      <c r="AL363" s="30"/>
      <c r="AM363" s="30"/>
    </row>
    <row r="364" spans="2:39" s="29" customFormat="1" ht="17.100000000000001" customHeight="1">
      <c r="B364" s="30"/>
      <c r="C364" s="30"/>
      <c r="D364" s="30"/>
      <c r="H364" s="30"/>
      <c r="I364" s="30"/>
      <c r="J364" s="30"/>
      <c r="K364" s="30"/>
      <c r="L364" s="30"/>
      <c r="M364" s="30"/>
      <c r="N364" s="30"/>
      <c r="O364" s="30"/>
      <c r="P364" s="30"/>
      <c r="Q364" s="30"/>
      <c r="R364" s="30"/>
      <c r="S364" s="30"/>
      <c r="T364" s="30"/>
      <c r="U364" s="30"/>
      <c r="V364" s="30"/>
      <c r="W364" s="30"/>
      <c r="X364" s="30"/>
      <c r="Y364" s="30"/>
      <c r="Z364" s="30"/>
      <c r="AA364" s="30"/>
      <c r="AB364" s="30"/>
      <c r="AC364" s="30"/>
      <c r="AD364" s="30"/>
      <c r="AE364" s="30"/>
      <c r="AF364" s="30"/>
      <c r="AG364" s="30"/>
      <c r="AH364" s="30"/>
      <c r="AI364" s="30"/>
      <c r="AJ364" s="30"/>
      <c r="AK364" s="30"/>
      <c r="AL364" s="30"/>
      <c r="AM364" s="30"/>
    </row>
    <row r="365" spans="2:39" s="29" customFormat="1" ht="17.100000000000001" customHeight="1">
      <c r="B365" s="30"/>
      <c r="C365" s="30"/>
      <c r="D365" s="30"/>
      <c r="H365" s="30"/>
      <c r="I365" s="30"/>
      <c r="J365" s="30"/>
      <c r="K365" s="30"/>
      <c r="L365" s="30"/>
      <c r="M365" s="30"/>
      <c r="N365" s="30"/>
      <c r="O365" s="30"/>
      <c r="P365" s="30"/>
      <c r="Q365" s="30"/>
      <c r="R365" s="30"/>
      <c r="S365" s="30"/>
      <c r="T365" s="30"/>
      <c r="U365" s="30"/>
      <c r="V365" s="30"/>
      <c r="W365" s="30"/>
      <c r="X365" s="30"/>
      <c r="Y365" s="30"/>
      <c r="Z365" s="30"/>
      <c r="AA365" s="30"/>
      <c r="AB365" s="30"/>
      <c r="AC365" s="30"/>
      <c r="AD365" s="30"/>
      <c r="AE365" s="30"/>
      <c r="AF365" s="30"/>
      <c r="AG365" s="30"/>
      <c r="AH365" s="30"/>
      <c r="AI365" s="30"/>
      <c r="AJ365" s="30"/>
      <c r="AK365" s="30"/>
      <c r="AL365" s="30"/>
      <c r="AM365" s="30"/>
    </row>
    <row r="366" spans="2:39" s="29" customFormat="1" ht="17.100000000000001" customHeight="1">
      <c r="B366" s="30"/>
      <c r="C366" s="30"/>
      <c r="D366" s="30"/>
      <c r="H366" s="30"/>
      <c r="I366" s="30"/>
      <c r="J366" s="30"/>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0"/>
      <c r="AJ366" s="30"/>
      <c r="AK366" s="30"/>
      <c r="AL366" s="30"/>
      <c r="AM366" s="30"/>
    </row>
    <row r="367" spans="2:39" s="29" customFormat="1" ht="17.100000000000001" customHeight="1">
      <c r="B367" s="30"/>
      <c r="C367" s="30"/>
      <c r="D367" s="30"/>
      <c r="H367" s="30"/>
      <c r="I367" s="30"/>
      <c r="J367" s="30"/>
      <c r="K367" s="30"/>
      <c r="L367" s="30"/>
      <c r="M367" s="30"/>
      <c r="N367" s="30"/>
      <c r="O367" s="30"/>
      <c r="P367" s="30"/>
      <c r="Q367" s="30"/>
      <c r="R367" s="30"/>
      <c r="S367" s="30"/>
      <c r="T367" s="30"/>
      <c r="U367" s="30"/>
      <c r="V367" s="30"/>
      <c r="W367" s="30"/>
      <c r="X367" s="30"/>
      <c r="Y367" s="30"/>
      <c r="Z367" s="30"/>
      <c r="AA367" s="30"/>
      <c r="AB367" s="30"/>
      <c r="AC367" s="30"/>
      <c r="AD367" s="30"/>
      <c r="AE367" s="30"/>
      <c r="AF367" s="30"/>
      <c r="AG367" s="30"/>
      <c r="AH367" s="30"/>
      <c r="AI367" s="30"/>
      <c r="AJ367" s="30"/>
      <c r="AK367" s="30"/>
      <c r="AL367" s="30"/>
      <c r="AM367" s="30"/>
    </row>
    <row r="368" spans="2:39" s="29" customFormat="1" ht="17.100000000000001" customHeight="1">
      <c r="B368" s="30"/>
      <c r="C368" s="30"/>
      <c r="D368" s="30"/>
      <c r="H368" s="30"/>
      <c r="I368" s="30"/>
      <c r="J368" s="30"/>
      <c r="K368" s="30"/>
      <c r="L368" s="30"/>
      <c r="M368" s="30"/>
      <c r="N368" s="30"/>
      <c r="O368" s="30"/>
      <c r="P368" s="30"/>
      <c r="Q368" s="30"/>
      <c r="R368" s="30"/>
      <c r="S368" s="30"/>
      <c r="T368" s="30"/>
      <c r="U368" s="30"/>
      <c r="V368" s="30"/>
      <c r="W368" s="30"/>
      <c r="X368" s="30"/>
      <c r="Y368" s="30"/>
      <c r="Z368" s="30"/>
      <c r="AA368" s="30"/>
      <c r="AB368" s="30"/>
      <c r="AC368" s="30"/>
      <c r="AD368" s="30"/>
      <c r="AE368" s="30"/>
      <c r="AF368" s="30"/>
      <c r="AG368" s="30"/>
      <c r="AH368" s="30"/>
      <c r="AI368" s="30"/>
      <c r="AJ368" s="30"/>
      <c r="AK368" s="30"/>
      <c r="AL368" s="30"/>
      <c r="AM368" s="30"/>
    </row>
    <row r="369" spans="2:39" s="29" customFormat="1" ht="17.100000000000001" customHeight="1">
      <c r="B369" s="30"/>
      <c r="C369" s="30"/>
      <c r="D369" s="30"/>
      <c r="H369" s="30"/>
      <c r="I369" s="30"/>
      <c r="J369" s="30"/>
      <c r="K369" s="30"/>
      <c r="L369" s="30"/>
      <c r="M369" s="30"/>
      <c r="N369" s="30"/>
      <c r="O369" s="30"/>
      <c r="P369" s="30"/>
      <c r="Q369" s="30"/>
      <c r="R369" s="30"/>
      <c r="S369" s="30"/>
      <c r="T369" s="30"/>
      <c r="U369" s="30"/>
      <c r="V369" s="30"/>
      <c r="W369" s="30"/>
      <c r="X369" s="30"/>
      <c r="Y369" s="30"/>
      <c r="Z369" s="30"/>
      <c r="AA369" s="30"/>
      <c r="AB369" s="30"/>
      <c r="AC369" s="30"/>
      <c r="AD369" s="30"/>
      <c r="AE369" s="30"/>
      <c r="AF369" s="30"/>
      <c r="AG369" s="30"/>
      <c r="AH369" s="30"/>
      <c r="AI369" s="30"/>
      <c r="AJ369" s="30"/>
      <c r="AK369" s="30"/>
      <c r="AL369" s="30"/>
      <c r="AM369" s="30"/>
    </row>
    <row r="370" spans="2:39" s="29" customFormat="1" ht="17.100000000000001" customHeight="1">
      <c r="B370" s="30"/>
      <c r="C370" s="30"/>
      <c r="D370" s="30"/>
      <c r="H370" s="30"/>
      <c r="I370" s="30"/>
      <c r="J370" s="30"/>
      <c r="K370" s="30"/>
      <c r="L370" s="30"/>
      <c r="M370" s="30"/>
      <c r="N370" s="30"/>
      <c r="O370" s="30"/>
      <c r="P370" s="30"/>
      <c r="Q370" s="30"/>
      <c r="R370" s="30"/>
      <c r="S370" s="30"/>
      <c r="T370" s="30"/>
      <c r="U370" s="30"/>
      <c r="V370" s="30"/>
      <c r="W370" s="30"/>
      <c r="X370" s="30"/>
      <c r="Y370" s="30"/>
      <c r="Z370" s="30"/>
      <c r="AA370" s="30"/>
      <c r="AB370" s="30"/>
      <c r="AC370" s="30"/>
      <c r="AD370" s="30"/>
      <c r="AE370" s="30"/>
      <c r="AF370" s="30"/>
      <c r="AG370" s="30"/>
      <c r="AH370" s="30"/>
      <c r="AI370" s="30"/>
      <c r="AJ370" s="30"/>
      <c r="AK370" s="30"/>
      <c r="AL370" s="30"/>
      <c r="AM370" s="30"/>
    </row>
    <row r="371" spans="2:39" s="29" customFormat="1" ht="17.100000000000001" customHeight="1">
      <c r="B371" s="30"/>
      <c r="C371" s="30"/>
      <c r="D371" s="30"/>
      <c r="H371" s="30"/>
      <c r="I371" s="30"/>
      <c r="J371" s="30"/>
      <c r="K371" s="30"/>
      <c r="L371" s="30"/>
      <c r="M371" s="30"/>
      <c r="N371" s="30"/>
      <c r="O371" s="30"/>
      <c r="P371" s="30"/>
      <c r="Q371" s="30"/>
      <c r="R371" s="30"/>
      <c r="S371" s="30"/>
      <c r="T371" s="30"/>
      <c r="U371" s="30"/>
      <c r="V371" s="30"/>
      <c r="W371" s="30"/>
      <c r="X371" s="30"/>
      <c r="Y371" s="30"/>
      <c r="Z371" s="30"/>
      <c r="AA371" s="30"/>
      <c r="AB371" s="30"/>
      <c r="AC371" s="30"/>
      <c r="AD371" s="30"/>
      <c r="AE371" s="30"/>
      <c r="AF371" s="30"/>
      <c r="AG371" s="30"/>
      <c r="AH371" s="30"/>
      <c r="AI371" s="30"/>
      <c r="AJ371" s="30"/>
      <c r="AK371" s="30"/>
      <c r="AL371" s="30"/>
      <c r="AM371" s="30"/>
    </row>
    <row r="372" spans="2:39" s="29" customFormat="1" ht="17.100000000000001" customHeight="1">
      <c r="B372" s="30"/>
      <c r="C372" s="30"/>
      <c r="D372" s="30"/>
      <c r="H372" s="30"/>
      <c r="I372" s="30"/>
      <c r="J372" s="30"/>
      <c r="K372" s="30"/>
      <c r="L372" s="30"/>
      <c r="M372" s="30"/>
      <c r="N372" s="30"/>
      <c r="O372" s="30"/>
      <c r="P372" s="30"/>
      <c r="Q372" s="30"/>
      <c r="R372" s="30"/>
      <c r="S372" s="30"/>
      <c r="T372" s="30"/>
      <c r="U372" s="30"/>
      <c r="V372" s="30"/>
      <c r="W372" s="30"/>
      <c r="X372" s="30"/>
      <c r="Y372" s="30"/>
      <c r="Z372" s="30"/>
      <c r="AA372" s="30"/>
      <c r="AB372" s="30"/>
      <c r="AC372" s="30"/>
      <c r="AD372" s="30"/>
      <c r="AE372" s="30"/>
      <c r="AF372" s="30"/>
      <c r="AG372" s="30"/>
      <c r="AH372" s="30"/>
      <c r="AI372" s="30"/>
      <c r="AJ372" s="30"/>
      <c r="AK372" s="30"/>
      <c r="AL372" s="30"/>
      <c r="AM372" s="30"/>
    </row>
    <row r="373" spans="2:39" s="29" customFormat="1" ht="17.100000000000001" customHeight="1">
      <c r="B373" s="30"/>
      <c r="C373" s="30"/>
      <c r="D373" s="30"/>
      <c r="H373" s="30"/>
      <c r="I373" s="30"/>
      <c r="J373" s="30"/>
      <c r="K373" s="30"/>
      <c r="L373" s="30"/>
      <c r="M373" s="30"/>
      <c r="N373" s="30"/>
      <c r="O373" s="30"/>
      <c r="P373" s="30"/>
      <c r="Q373" s="30"/>
      <c r="R373" s="30"/>
      <c r="S373" s="30"/>
      <c r="T373" s="30"/>
      <c r="U373" s="30"/>
      <c r="V373" s="30"/>
      <c r="W373" s="30"/>
      <c r="X373" s="30"/>
      <c r="Y373" s="30"/>
      <c r="Z373" s="30"/>
      <c r="AA373" s="30"/>
      <c r="AB373" s="30"/>
      <c r="AC373" s="30"/>
      <c r="AD373" s="30"/>
      <c r="AE373" s="30"/>
      <c r="AF373" s="30"/>
      <c r="AG373" s="30"/>
      <c r="AH373" s="30"/>
      <c r="AI373" s="30"/>
      <c r="AJ373" s="30"/>
      <c r="AK373" s="30"/>
      <c r="AL373" s="30"/>
      <c r="AM373" s="30"/>
    </row>
    <row r="374" spans="2:39" s="29" customFormat="1" ht="17.100000000000001" customHeight="1">
      <c r="B374" s="30"/>
      <c r="C374" s="30"/>
      <c r="D374" s="30"/>
      <c r="H374" s="30"/>
      <c r="I374" s="30"/>
      <c r="J374" s="30"/>
      <c r="K374" s="30"/>
      <c r="L374" s="30"/>
      <c r="M374" s="30"/>
      <c r="N374" s="30"/>
      <c r="O374" s="30"/>
      <c r="P374" s="30"/>
      <c r="Q374" s="30"/>
      <c r="R374" s="30"/>
      <c r="S374" s="30"/>
      <c r="T374" s="30"/>
      <c r="U374" s="30"/>
      <c r="V374" s="30"/>
      <c r="W374" s="30"/>
      <c r="X374" s="30"/>
      <c r="Y374" s="30"/>
      <c r="Z374" s="30"/>
      <c r="AA374" s="30"/>
      <c r="AB374" s="30"/>
      <c r="AC374" s="30"/>
      <c r="AD374" s="30"/>
      <c r="AE374" s="30"/>
      <c r="AF374" s="30"/>
      <c r="AG374" s="30"/>
      <c r="AH374" s="30"/>
      <c r="AI374" s="30"/>
      <c r="AJ374" s="30"/>
      <c r="AK374" s="30"/>
      <c r="AL374" s="30"/>
      <c r="AM374" s="30"/>
    </row>
    <row r="375" spans="2:39" s="29" customFormat="1" ht="17.100000000000001" customHeight="1">
      <c r="B375" s="30"/>
      <c r="C375" s="30"/>
      <c r="D375" s="30"/>
      <c r="H375" s="30"/>
      <c r="I375" s="30"/>
      <c r="J375" s="30"/>
      <c r="K375" s="30"/>
      <c r="L375" s="30"/>
      <c r="M375" s="30"/>
      <c r="N375" s="30"/>
      <c r="O375" s="30"/>
      <c r="P375" s="30"/>
      <c r="Q375" s="30"/>
      <c r="R375" s="30"/>
      <c r="S375" s="30"/>
      <c r="T375" s="30"/>
      <c r="U375" s="30"/>
      <c r="V375" s="30"/>
      <c r="W375" s="30"/>
      <c r="X375" s="30"/>
      <c r="Y375" s="30"/>
      <c r="Z375" s="30"/>
      <c r="AA375" s="30"/>
      <c r="AB375" s="30"/>
      <c r="AC375" s="30"/>
      <c r="AD375" s="30"/>
      <c r="AE375" s="30"/>
      <c r="AF375" s="30"/>
      <c r="AG375" s="30"/>
      <c r="AH375" s="30"/>
      <c r="AI375" s="30"/>
      <c r="AJ375" s="30"/>
      <c r="AK375" s="30"/>
      <c r="AL375" s="30"/>
      <c r="AM375" s="30"/>
    </row>
    <row r="376" spans="2:39" s="29" customFormat="1" ht="17.100000000000001" customHeight="1">
      <c r="B376" s="30"/>
      <c r="C376" s="30"/>
      <c r="D376" s="30"/>
      <c r="H376" s="30"/>
      <c r="I376" s="30"/>
      <c r="J376" s="30"/>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0"/>
      <c r="AJ376" s="30"/>
      <c r="AK376" s="30"/>
      <c r="AL376" s="30"/>
      <c r="AM376" s="30"/>
    </row>
    <row r="377" spans="2:39" s="29" customFormat="1" ht="17.100000000000001" customHeight="1">
      <c r="B377" s="30"/>
      <c r="C377" s="30"/>
      <c r="D377" s="30"/>
      <c r="H377" s="30"/>
      <c r="I377" s="30"/>
      <c r="J377" s="30"/>
      <c r="K377" s="30"/>
      <c r="L377" s="30"/>
      <c r="M377" s="30"/>
      <c r="N377" s="30"/>
      <c r="O377" s="30"/>
      <c r="P377" s="30"/>
      <c r="Q377" s="30"/>
      <c r="R377" s="30"/>
      <c r="S377" s="30"/>
      <c r="T377" s="30"/>
      <c r="U377" s="30"/>
      <c r="V377" s="30"/>
      <c r="W377" s="30"/>
      <c r="X377" s="30"/>
      <c r="Y377" s="30"/>
      <c r="Z377" s="30"/>
      <c r="AA377" s="30"/>
      <c r="AB377" s="30"/>
      <c r="AC377" s="30"/>
      <c r="AD377" s="30"/>
      <c r="AE377" s="30"/>
      <c r="AF377" s="30"/>
      <c r="AG377" s="30"/>
      <c r="AH377" s="30"/>
      <c r="AI377" s="30"/>
      <c r="AJ377" s="30"/>
      <c r="AK377" s="30"/>
      <c r="AL377" s="30"/>
      <c r="AM377" s="30"/>
    </row>
    <row r="378" spans="2:39" s="29" customFormat="1" ht="17.100000000000001" customHeight="1">
      <c r="B378" s="30"/>
      <c r="C378" s="30"/>
      <c r="D378" s="30"/>
      <c r="H378" s="30"/>
      <c r="I378" s="30"/>
      <c r="J378" s="30"/>
      <c r="K378" s="30"/>
      <c r="L378" s="30"/>
      <c r="M378" s="30"/>
      <c r="N378" s="30"/>
      <c r="O378" s="30"/>
      <c r="P378" s="30"/>
      <c r="Q378" s="30"/>
      <c r="R378" s="30"/>
      <c r="S378" s="30"/>
      <c r="T378" s="30"/>
      <c r="U378" s="30"/>
      <c r="V378" s="30"/>
      <c r="W378" s="30"/>
      <c r="X378" s="30"/>
      <c r="Y378" s="30"/>
      <c r="Z378" s="30"/>
      <c r="AA378" s="30"/>
      <c r="AB378" s="30"/>
      <c r="AC378" s="30"/>
      <c r="AD378" s="30"/>
      <c r="AE378" s="30"/>
      <c r="AF378" s="30"/>
      <c r="AG378" s="30"/>
      <c r="AH378" s="30"/>
      <c r="AI378" s="30"/>
      <c r="AJ378" s="30"/>
      <c r="AK378" s="30"/>
      <c r="AL378" s="30"/>
      <c r="AM378" s="30"/>
    </row>
    <row r="379" spans="2:39" s="29" customFormat="1" ht="17.100000000000001" customHeight="1">
      <c r="B379" s="30"/>
      <c r="C379" s="30"/>
      <c r="D379" s="30"/>
      <c r="H379" s="30"/>
      <c r="I379" s="30"/>
      <c r="J379" s="30"/>
      <c r="K379" s="30"/>
      <c r="L379" s="30"/>
      <c r="M379" s="30"/>
      <c r="N379" s="30"/>
      <c r="O379" s="30"/>
      <c r="P379" s="30"/>
      <c r="Q379" s="30"/>
      <c r="R379" s="30"/>
      <c r="S379" s="30"/>
      <c r="T379" s="30"/>
      <c r="U379" s="30"/>
      <c r="V379" s="30"/>
      <c r="W379" s="30"/>
      <c r="X379" s="30"/>
      <c r="Y379" s="30"/>
      <c r="Z379" s="30"/>
      <c r="AA379" s="30"/>
      <c r="AB379" s="30"/>
      <c r="AC379" s="30"/>
      <c r="AD379" s="30"/>
      <c r="AE379" s="30"/>
      <c r="AF379" s="30"/>
      <c r="AG379" s="30"/>
      <c r="AH379" s="30"/>
      <c r="AI379" s="30"/>
      <c r="AJ379" s="30"/>
      <c r="AK379" s="30"/>
      <c r="AL379" s="30"/>
      <c r="AM379" s="30"/>
    </row>
    <row r="380" spans="2:39" s="29" customFormat="1" ht="17.100000000000001" customHeight="1">
      <c r="B380" s="30"/>
      <c r="C380" s="30"/>
      <c r="D380" s="30"/>
      <c r="H380" s="30"/>
      <c r="I380" s="30"/>
      <c r="J380" s="30"/>
      <c r="K380" s="30"/>
      <c r="L380" s="30"/>
      <c r="M380" s="30"/>
      <c r="N380" s="30"/>
      <c r="O380" s="30"/>
      <c r="P380" s="30"/>
      <c r="Q380" s="30"/>
      <c r="R380" s="30"/>
      <c r="S380" s="30"/>
      <c r="T380" s="30"/>
      <c r="U380" s="30"/>
      <c r="V380" s="30"/>
      <c r="W380" s="30"/>
      <c r="X380" s="30"/>
      <c r="Y380" s="30"/>
      <c r="Z380" s="30"/>
      <c r="AA380" s="30"/>
      <c r="AB380" s="30"/>
      <c r="AC380" s="30"/>
      <c r="AD380" s="30"/>
      <c r="AE380" s="30"/>
      <c r="AF380" s="30"/>
      <c r="AG380" s="30"/>
      <c r="AH380" s="30"/>
      <c r="AI380" s="30"/>
      <c r="AJ380" s="30"/>
      <c r="AK380" s="30"/>
      <c r="AL380" s="30"/>
      <c r="AM380" s="30"/>
    </row>
    <row r="381" spans="2:39" s="29" customFormat="1" ht="17.100000000000001" customHeight="1">
      <c r="B381" s="30"/>
      <c r="C381" s="30"/>
      <c r="D381" s="30"/>
      <c r="H381" s="30"/>
      <c r="I381" s="30"/>
      <c r="J381" s="30"/>
      <c r="K381" s="30"/>
      <c r="L381" s="30"/>
      <c r="M381" s="30"/>
      <c r="N381" s="30"/>
      <c r="O381" s="30"/>
      <c r="P381" s="30"/>
      <c r="Q381" s="30"/>
      <c r="R381" s="30"/>
      <c r="S381" s="30"/>
      <c r="T381" s="30"/>
      <c r="U381" s="30"/>
      <c r="V381" s="30"/>
      <c r="W381" s="30"/>
      <c r="X381" s="30"/>
      <c r="Y381" s="30"/>
      <c r="Z381" s="30"/>
      <c r="AA381" s="30"/>
      <c r="AB381" s="30"/>
      <c r="AC381" s="30"/>
      <c r="AD381" s="30"/>
      <c r="AE381" s="30"/>
      <c r="AF381" s="30"/>
      <c r="AG381" s="30"/>
      <c r="AH381" s="30"/>
      <c r="AI381" s="30"/>
      <c r="AJ381" s="30"/>
      <c r="AK381" s="30"/>
      <c r="AL381" s="30"/>
      <c r="AM381" s="30"/>
    </row>
    <row r="382" spans="2:39" s="29" customFormat="1" ht="17.100000000000001" customHeight="1">
      <c r="B382" s="30"/>
      <c r="C382" s="30"/>
      <c r="D382" s="30"/>
      <c r="H382" s="30"/>
      <c r="I382" s="30"/>
      <c r="J382" s="30"/>
      <c r="K382" s="30"/>
      <c r="L382" s="30"/>
      <c r="M382" s="30"/>
      <c r="N382" s="30"/>
      <c r="O382" s="30"/>
      <c r="P382" s="30"/>
      <c r="Q382" s="30"/>
      <c r="R382" s="30"/>
      <c r="S382" s="30"/>
      <c r="T382" s="30"/>
      <c r="U382" s="30"/>
      <c r="V382" s="30"/>
      <c r="W382" s="30"/>
      <c r="X382" s="30"/>
      <c r="Y382" s="30"/>
      <c r="Z382" s="30"/>
      <c r="AA382" s="30"/>
      <c r="AB382" s="30"/>
      <c r="AC382" s="30"/>
      <c r="AD382" s="30"/>
      <c r="AE382" s="30"/>
      <c r="AF382" s="30"/>
      <c r="AG382" s="30"/>
      <c r="AH382" s="30"/>
      <c r="AI382" s="30"/>
      <c r="AJ382" s="30"/>
      <c r="AK382" s="30"/>
      <c r="AL382" s="30"/>
      <c r="AM382" s="30"/>
    </row>
    <row r="383" spans="2:39" s="29" customFormat="1" ht="17.100000000000001" customHeight="1">
      <c r="B383" s="30"/>
      <c r="C383" s="30"/>
      <c r="D383" s="30"/>
      <c r="H383" s="30"/>
      <c r="I383" s="30"/>
      <c r="J383" s="30"/>
      <c r="K383" s="30"/>
      <c r="L383" s="30"/>
      <c r="M383" s="30"/>
      <c r="N383" s="30"/>
      <c r="O383" s="30"/>
      <c r="P383" s="30"/>
      <c r="Q383" s="30"/>
      <c r="R383" s="30"/>
      <c r="S383" s="30"/>
      <c r="T383" s="30"/>
      <c r="U383" s="30"/>
      <c r="V383" s="30"/>
      <c r="W383" s="30"/>
      <c r="X383" s="30"/>
      <c r="Y383" s="30"/>
      <c r="Z383" s="30"/>
      <c r="AA383" s="30"/>
      <c r="AB383" s="30"/>
      <c r="AC383" s="30"/>
      <c r="AD383" s="30"/>
      <c r="AE383" s="30"/>
      <c r="AF383" s="30"/>
      <c r="AG383" s="30"/>
      <c r="AH383" s="30"/>
      <c r="AI383" s="30"/>
      <c r="AJ383" s="30"/>
      <c r="AK383" s="30"/>
      <c r="AL383" s="30"/>
      <c r="AM383" s="30"/>
    </row>
    <row r="384" spans="2:39" s="29" customFormat="1" ht="17.100000000000001" customHeight="1">
      <c r="B384" s="30"/>
      <c r="C384" s="30"/>
      <c r="D384" s="30"/>
      <c r="H384" s="30"/>
      <c r="I384" s="30"/>
      <c r="J384" s="30"/>
      <c r="K384" s="30"/>
      <c r="L384" s="30"/>
      <c r="M384" s="30"/>
      <c r="N384" s="30"/>
      <c r="O384" s="30"/>
      <c r="P384" s="30"/>
      <c r="Q384" s="30"/>
      <c r="R384" s="30"/>
      <c r="S384" s="30"/>
      <c r="T384" s="30"/>
      <c r="U384" s="30"/>
      <c r="V384" s="30"/>
      <c r="W384" s="30"/>
      <c r="X384" s="30"/>
      <c r="Y384" s="30"/>
      <c r="Z384" s="30"/>
      <c r="AA384" s="30"/>
      <c r="AB384" s="30"/>
      <c r="AC384" s="30"/>
      <c r="AD384" s="30"/>
      <c r="AE384" s="30"/>
      <c r="AF384" s="30"/>
      <c r="AG384" s="30"/>
      <c r="AH384" s="30"/>
      <c r="AI384" s="30"/>
      <c r="AJ384" s="30"/>
      <c r="AK384" s="30"/>
      <c r="AL384" s="30"/>
      <c r="AM384" s="30"/>
    </row>
    <row r="385" spans="2:39" s="29" customFormat="1" ht="17.100000000000001" customHeight="1">
      <c r="B385" s="30"/>
      <c r="C385" s="30"/>
      <c r="D385" s="30"/>
      <c r="H385" s="30"/>
      <c r="I385" s="30"/>
      <c r="J385" s="30"/>
      <c r="K385" s="30"/>
      <c r="L385" s="30"/>
      <c r="M385" s="30"/>
      <c r="N385" s="30"/>
      <c r="O385" s="30"/>
      <c r="P385" s="30"/>
      <c r="Q385" s="30"/>
      <c r="R385" s="30"/>
      <c r="S385" s="30"/>
      <c r="T385" s="30"/>
      <c r="U385" s="30"/>
      <c r="V385" s="30"/>
      <c r="W385" s="30"/>
      <c r="X385" s="30"/>
      <c r="Y385" s="30"/>
      <c r="Z385" s="30"/>
      <c r="AA385" s="30"/>
      <c r="AB385" s="30"/>
      <c r="AC385" s="30"/>
      <c r="AD385" s="30"/>
      <c r="AE385" s="30"/>
      <c r="AF385" s="30"/>
      <c r="AG385" s="30"/>
      <c r="AH385" s="30"/>
      <c r="AI385" s="30"/>
      <c r="AJ385" s="30"/>
      <c r="AK385" s="30"/>
      <c r="AL385" s="30"/>
      <c r="AM385" s="30"/>
    </row>
    <row r="386" spans="2:39" s="29" customFormat="1" ht="17.100000000000001" customHeight="1">
      <c r="B386" s="30"/>
      <c r="C386" s="30"/>
      <c r="D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row>
    <row r="387" spans="2:39" s="29" customFormat="1" ht="17.100000000000001" customHeight="1">
      <c r="B387" s="30"/>
      <c r="C387" s="30"/>
      <c r="D387" s="30"/>
      <c r="H387" s="30"/>
      <c r="I387" s="30"/>
      <c r="J387" s="30"/>
      <c r="K387" s="30"/>
      <c r="L387" s="30"/>
      <c r="M387" s="30"/>
      <c r="N387" s="30"/>
      <c r="O387" s="30"/>
      <c r="P387" s="30"/>
      <c r="Q387" s="30"/>
      <c r="R387" s="30"/>
      <c r="S387" s="30"/>
      <c r="T387" s="30"/>
      <c r="U387" s="30"/>
      <c r="V387" s="30"/>
      <c r="W387" s="30"/>
      <c r="X387" s="30"/>
      <c r="Y387" s="30"/>
      <c r="Z387" s="30"/>
      <c r="AA387" s="30"/>
      <c r="AB387" s="30"/>
      <c r="AC387" s="30"/>
      <c r="AD387" s="30"/>
      <c r="AE387" s="30"/>
      <c r="AF387" s="30"/>
      <c r="AG387" s="30"/>
      <c r="AH387" s="30"/>
      <c r="AI387" s="30"/>
      <c r="AJ387" s="30"/>
      <c r="AK387" s="30"/>
      <c r="AL387" s="30"/>
      <c r="AM387" s="30"/>
    </row>
    <row r="388" spans="2:39" s="29" customFormat="1" ht="17.100000000000001" customHeight="1">
      <c r="B388" s="30"/>
      <c r="C388" s="30"/>
      <c r="D388" s="30"/>
      <c r="H388" s="30"/>
      <c r="I388" s="30"/>
      <c r="J388" s="30"/>
      <c r="K388" s="30"/>
      <c r="L388" s="30"/>
      <c r="M388" s="30"/>
      <c r="N388" s="30"/>
      <c r="O388" s="30"/>
      <c r="P388" s="30"/>
      <c r="Q388" s="30"/>
      <c r="R388" s="30"/>
      <c r="S388" s="30"/>
      <c r="T388" s="30"/>
      <c r="U388" s="30"/>
      <c r="V388" s="30"/>
      <c r="W388" s="30"/>
      <c r="X388" s="30"/>
      <c r="Y388" s="30"/>
      <c r="Z388" s="30"/>
      <c r="AA388" s="30"/>
      <c r="AB388" s="30"/>
      <c r="AC388" s="30"/>
      <c r="AD388" s="30"/>
      <c r="AE388" s="30"/>
      <c r="AF388" s="30"/>
      <c r="AG388" s="30"/>
      <c r="AH388" s="30"/>
      <c r="AI388" s="30"/>
      <c r="AJ388" s="30"/>
      <c r="AK388" s="30"/>
      <c r="AL388" s="30"/>
      <c r="AM388" s="30"/>
    </row>
    <row r="389" spans="2:39" s="29" customFormat="1" ht="17.100000000000001" customHeight="1">
      <c r="B389" s="30"/>
      <c r="C389" s="30"/>
      <c r="D389" s="30"/>
      <c r="H389" s="30"/>
      <c r="I389" s="30"/>
      <c r="J389" s="30"/>
      <c r="K389" s="30"/>
      <c r="L389" s="30"/>
      <c r="M389" s="30"/>
      <c r="N389" s="30"/>
      <c r="O389" s="30"/>
      <c r="P389" s="30"/>
      <c r="Q389" s="30"/>
      <c r="R389" s="30"/>
      <c r="S389" s="30"/>
      <c r="T389" s="30"/>
      <c r="U389" s="30"/>
      <c r="V389" s="30"/>
      <c r="W389" s="30"/>
      <c r="X389" s="30"/>
      <c r="Y389" s="30"/>
      <c r="Z389" s="30"/>
      <c r="AA389" s="30"/>
      <c r="AB389" s="30"/>
      <c r="AC389" s="30"/>
      <c r="AD389" s="30"/>
      <c r="AE389" s="30"/>
      <c r="AF389" s="30"/>
      <c r="AG389" s="30"/>
      <c r="AH389" s="30"/>
      <c r="AI389" s="30"/>
      <c r="AJ389" s="30"/>
      <c r="AK389" s="30"/>
      <c r="AL389" s="30"/>
      <c r="AM389" s="30"/>
    </row>
    <row r="390" spans="2:39" s="29" customFormat="1" ht="17.100000000000001" customHeight="1">
      <c r="B390" s="30"/>
      <c r="C390" s="30"/>
      <c r="D390" s="30"/>
      <c r="H390" s="30"/>
      <c r="I390" s="30"/>
      <c r="J390" s="30"/>
      <c r="K390" s="30"/>
      <c r="L390" s="30"/>
      <c r="M390" s="30"/>
      <c r="N390" s="30"/>
      <c r="O390" s="30"/>
      <c r="P390" s="30"/>
      <c r="Q390" s="30"/>
      <c r="R390" s="30"/>
      <c r="S390" s="30"/>
      <c r="T390" s="30"/>
      <c r="U390" s="30"/>
      <c r="V390" s="30"/>
      <c r="W390" s="30"/>
      <c r="X390" s="30"/>
      <c r="Y390" s="30"/>
      <c r="Z390" s="30"/>
      <c r="AA390" s="30"/>
      <c r="AB390" s="30"/>
      <c r="AC390" s="30"/>
      <c r="AD390" s="30"/>
      <c r="AE390" s="30"/>
      <c r="AF390" s="30"/>
      <c r="AG390" s="30"/>
      <c r="AH390" s="30"/>
      <c r="AI390" s="30"/>
      <c r="AJ390" s="30"/>
      <c r="AK390" s="30"/>
      <c r="AL390" s="30"/>
      <c r="AM390" s="30"/>
    </row>
    <row r="391" spans="2:39" s="29" customFormat="1" ht="17.100000000000001" customHeight="1">
      <c r="B391" s="30"/>
      <c r="C391" s="30"/>
      <c r="D391" s="30"/>
      <c r="H391" s="30"/>
      <c r="I391" s="30"/>
      <c r="J391" s="30"/>
      <c r="K391" s="30"/>
      <c r="L391" s="30"/>
      <c r="M391" s="30"/>
      <c r="N391" s="30"/>
      <c r="O391" s="30"/>
      <c r="P391" s="30"/>
      <c r="Q391" s="30"/>
      <c r="R391" s="30"/>
      <c r="S391" s="30"/>
      <c r="T391" s="30"/>
      <c r="U391" s="30"/>
      <c r="V391" s="30"/>
      <c r="W391" s="30"/>
      <c r="X391" s="30"/>
      <c r="Y391" s="30"/>
      <c r="Z391" s="30"/>
      <c r="AA391" s="30"/>
      <c r="AB391" s="30"/>
      <c r="AC391" s="30"/>
      <c r="AD391" s="30"/>
      <c r="AE391" s="30"/>
      <c r="AF391" s="30"/>
      <c r="AG391" s="30"/>
      <c r="AH391" s="30"/>
      <c r="AI391" s="30"/>
      <c r="AJ391" s="30"/>
      <c r="AK391" s="30"/>
      <c r="AL391" s="30"/>
      <c r="AM391" s="30"/>
    </row>
    <row r="392" spans="2:39" s="29" customFormat="1" ht="17.100000000000001" customHeight="1">
      <c r="B392" s="30"/>
      <c r="C392" s="30"/>
      <c r="D392" s="30"/>
      <c r="H392" s="30"/>
      <c r="I392" s="30"/>
      <c r="J392" s="30"/>
      <c r="K392" s="30"/>
      <c r="L392" s="30"/>
      <c r="M392" s="30"/>
      <c r="N392" s="30"/>
      <c r="O392" s="30"/>
      <c r="P392" s="30"/>
      <c r="Q392" s="30"/>
      <c r="R392" s="30"/>
      <c r="S392" s="30"/>
      <c r="T392" s="30"/>
      <c r="U392" s="30"/>
      <c r="V392" s="30"/>
      <c r="W392" s="30"/>
      <c r="X392" s="30"/>
      <c r="Y392" s="30"/>
      <c r="Z392" s="30"/>
      <c r="AA392" s="30"/>
      <c r="AB392" s="30"/>
      <c r="AC392" s="30"/>
      <c r="AD392" s="30"/>
      <c r="AE392" s="30"/>
      <c r="AF392" s="30"/>
      <c r="AG392" s="30"/>
      <c r="AH392" s="30"/>
      <c r="AI392" s="30"/>
      <c r="AJ392" s="30"/>
      <c r="AK392" s="30"/>
      <c r="AL392" s="30"/>
      <c r="AM392" s="30"/>
    </row>
    <row r="393" spans="2:39" s="29" customFormat="1" ht="17.100000000000001" customHeight="1">
      <c r="B393" s="30"/>
      <c r="C393" s="30"/>
      <c r="D393" s="30"/>
      <c r="H393" s="30"/>
      <c r="I393" s="30"/>
      <c r="J393" s="30"/>
      <c r="K393" s="30"/>
      <c r="L393" s="30"/>
      <c r="M393" s="30"/>
      <c r="N393" s="30"/>
      <c r="O393" s="30"/>
      <c r="P393" s="30"/>
      <c r="Q393" s="30"/>
      <c r="R393" s="30"/>
      <c r="S393" s="30"/>
      <c r="T393" s="30"/>
      <c r="U393" s="30"/>
      <c r="V393" s="30"/>
      <c r="W393" s="30"/>
      <c r="X393" s="30"/>
      <c r="Y393" s="30"/>
      <c r="Z393" s="30"/>
      <c r="AA393" s="30"/>
      <c r="AB393" s="30"/>
      <c r="AC393" s="30"/>
      <c r="AD393" s="30"/>
      <c r="AE393" s="30"/>
      <c r="AF393" s="30"/>
      <c r="AG393" s="30"/>
      <c r="AH393" s="30"/>
      <c r="AI393" s="30"/>
      <c r="AJ393" s="30"/>
      <c r="AK393" s="30"/>
      <c r="AL393" s="30"/>
      <c r="AM393" s="30"/>
    </row>
    <row r="394" spans="2:39" s="29" customFormat="1" ht="17.100000000000001" customHeight="1">
      <c r="B394" s="30"/>
      <c r="C394" s="30"/>
      <c r="D394" s="30"/>
      <c r="H394" s="30"/>
      <c r="I394" s="30"/>
      <c r="J394" s="30"/>
      <c r="K394" s="30"/>
      <c r="L394" s="30"/>
      <c r="M394" s="30"/>
      <c r="N394" s="30"/>
      <c r="O394" s="30"/>
      <c r="P394" s="30"/>
      <c r="Q394" s="30"/>
      <c r="R394" s="30"/>
      <c r="S394" s="30"/>
      <c r="T394" s="30"/>
      <c r="U394" s="30"/>
      <c r="V394" s="30"/>
      <c r="W394" s="30"/>
      <c r="X394" s="30"/>
      <c r="Y394" s="30"/>
      <c r="Z394" s="30"/>
      <c r="AA394" s="30"/>
      <c r="AB394" s="30"/>
      <c r="AC394" s="30"/>
      <c r="AD394" s="30"/>
      <c r="AE394" s="30"/>
      <c r="AF394" s="30"/>
      <c r="AG394" s="30"/>
      <c r="AH394" s="30"/>
      <c r="AI394" s="30"/>
      <c r="AJ394" s="30"/>
      <c r="AK394" s="30"/>
      <c r="AL394" s="30"/>
      <c r="AM394" s="30"/>
    </row>
    <row r="395" spans="2:39" s="29" customFormat="1" ht="17.100000000000001" customHeight="1">
      <c r="B395" s="30"/>
      <c r="C395" s="30"/>
      <c r="D395" s="30"/>
      <c r="H395" s="30"/>
      <c r="I395" s="30"/>
      <c r="J395" s="30"/>
      <c r="K395" s="30"/>
      <c r="L395" s="30"/>
      <c r="M395" s="30"/>
      <c r="N395" s="30"/>
      <c r="O395" s="30"/>
      <c r="P395" s="30"/>
      <c r="Q395" s="30"/>
      <c r="R395" s="30"/>
      <c r="S395" s="30"/>
      <c r="T395" s="30"/>
      <c r="U395" s="30"/>
      <c r="V395" s="30"/>
      <c r="W395" s="30"/>
      <c r="X395" s="30"/>
      <c r="Y395" s="30"/>
      <c r="Z395" s="30"/>
      <c r="AA395" s="30"/>
      <c r="AB395" s="30"/>
      <c r="AC395" s="30"/>
      <c r="AD395" s="30"/>
      <c r="AE395" s="30"/>
      <c r="AF395" s="30"/>
      <c r="AG395" s="30"/>
      <c r="AH395" s="30"/>
      <c r="AI395" s="30"/>
      <c r="AJ395" s="30"/>
      <c r="AK395" s="30"/>
      <c r="AL395" s="30"/>
      <c r="AM395" s="30"/>
    </row>
    <row r="396" spans="2:39" s="29" customFormat="1" ht="17.100000000000001" customHeight="1">
      <c r="B396" s="30"/>
      <c r="C396" s="30"/>
      <c r="D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row>
    <row r="397" spans="2:39" s="29" customFormat="1" ht="17.100000000000001" customHeight="1">
      <c r="B397" s="30"/>
      <c r="C397" s="30"/>
      <c r="D397" s="30"/>
      <c r="H397" s="30"/>
      <c r="I397" s="30"/>
      <c r="J397" s="30"/>
      <c r="K397" s="30"/>
      <c r="L397" s="30"/>
      <c r="M397" s="30"/>
      <c r="N397" s="30"/>
      <c r="O397" s="30"/>
      <c r="P397" s="30"/>
      <c r="Q397" s="30"/>
      <c r="R397" s="30"/>
      <c r="S397" s="30"/>
      <c r="T397" s="30"/>
      <c r="U397" s="30"/>
      <c r="V397" s="30"/>
      <c r="W397" s="30"/>
      <c r="X397" s="30"/>
      <c r="Y397" s="30"/>
      <c r="Z397" s="30"/>
      <c r="AA397" s="30"/>
      <c r="AB397" s="30"/>
      <c r="AC397" s="30"/>
      <c r="AD397" s="30"/>
      <c r="AE397" s="30"/>
      <c r="AF397" s="30"/>
      <c r="AG397" s="30"/>
      <c r="AH397" s="30"/>
      <c r="AI397" s="30"/>
      <c r="AJ397" s="30"/>
      <c r="AK397" s="30"/>
      <c r="AL397" s="30"/>
      <c r="AM397" s="30"/>
    </row>
    <row r="398" spans="2:39" s="29" customFormat="1" ht="17.100000000000001" customHeight="1">
      <c r="B398" s="30"/>
      <c r="C398" s="30"/>
      <c r="D398" s="30"/>
      <c r="H398" s="30"/>
      <c r="I398" s="30"/>
      <c r="J398" s="30"/>
      <c r="K398" s="30"/>
      <c r="L398" s="30"/>
      <c r="M398" s="30"/>
      <c r="N398" s="30"/>
      <c r="O398" s="30"/>
      <c r="P398" s="30"/>
      <c r="Q398" s="30"/>
      <c r="R398" s="30"/>
      <c r="S398" s="30"/>
      <c r="T398" s="30"/>
      <c r="U398" s="30"/>
      <c r="V398" s="30"/>
      <c r="W398" s="30"/>
      <c r="X398" s="30"/>
      <c r="Y398" s="30"/>
      <c r="Z398" s="30"/>
      <c r="AA398" s="30"/>
      <c r="AB398" s="30"/>
      <c r="AC398" s="30"/>
      <c r="AD398" s="30"/>
      <c r="AE398" s="30"/>
      <c r="AF398" s="30"/>
      <c r="AG398" s="30"/>
      <c r="AH398" s="30"/>
      <c r="AI398" s="30"/>
      <c r="AJ398" s="30"/>
      <c r="AK398" s="30"/>
      <c r="AL398" s="30"/>
      <c r="AM398" s="30"/>
    </row>
    <row r="399" spans="2:39" s="29" customFormat="1" ht="17.100000000000001" customHeight="1">
      <c r="B399" s="30"/>
      <c r="C399" s="30"/>
      <c r="D399" s="30"/>
      <c r="H399" s="30"/>
      <c r="I399" s="30"/>
      <c r="J399" s="30"/>
      <c r="K399" s="30"/>
      <c r="L399" s="30"/>
      <c r="M399" s="30"/>
      <c r="N399" s="30"/>
      <c r="O399" s="30"/>
      <c r="P399" s="30"/>
      <c r="Q399" s="30"/>
      <c r="R399" s="30"/>
      <c r="S399" s="30"/>
      <c r="T399" s="30"/>
      <c r="U399" s="30"/>
      <c r="V399" s="30"/>
      <c r="W399" s="30"/>
      <c r="X399" s="30"/>
      <c r="Y399" s="30"/>
      <c r="Z399" s="30"/>
      <c r="AA399" s="30"/>
      <c r="AB399" s="30"/>
      <c r="AC399" s="30"/>
      <c r="AD399" s="30"/>
      <c r="AE399" s="30"/>
      <c r="AF399" s="30"/>
      <c r="AG399" s="30"/>
      <c r="AH399" s="30"/>
      <c r="AI399" s="30"/>
      <c r="AJ399" s="30"/>
      <c r="AK399" s="30"/>
      <c r="AL399" s="30"/>
      <c r="AM399" s="30"/>
    </row>
    <row r="400" spans="2:39" s="29" customFormat="1" ht="17.100000000000001" customHeight="1">
      <c r="B400" s="30"/>
      <c r="C400" s="30"/>
      <c r="D400" s="30"/>
      <c r="H400" s="30"/>
      <c r="I400" s="30"/>
      <c r="J400" s="30"/>
      <c r="K400" s="30"/>
      <c r="L400" s="30"/>
      <c r="M400" s="30"/>
      <c r="N400" s="30"/>
      <c r="O400" s="30"/>
      <c r="P400" s="30"/>
      <c r="Q400" s="30"/>
      <c r="R400" s="30"/>
      <c r="S400" s="30"/>
      <c r="T400" s="30"/>
      <c r="U400" s="30"/>
      <c r="V400" s="30"/>
      <c r="W400" s="30"/>
      <c r="X400" s="30"/>
      <c r="Y400" s="30"/>
      <c r="Z400" s="30"/>
      <c r="AA400" s="30"/>
      <c r="AB400" s="30"/>
      <c r="AC400" s="30"/>
      <c r="AD400" s="30"/>
      <c r="AE400" s="30"/>
      <c r="AF400" s="30"/>
      <c r="AG400" s="30"/>
      <c r="AH400" s="30"/>
      <c r="AI400" s="30"/>
      <c r="AJ400" s="30"/>
      <c r="AK400" s="30"/>
      <c r="AL400" s="30"/>
      <c r="AM400" s="30"/>
    </row>
    <row r="401" spans="2:39" s="29" customFormat="1" ht="17.100000000000001" customHeight="1">
      <c r="B401" s="30"/>
      <c r="C401" s="30"/>
      <c r="D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c r="AE401" s="30"/>
      <c r="AF401" s="30"/>
      <c r="AG401" s="30"/>
      <c r="AH401" s="30"/>
      <c r="AI401" s="30"/>
      <c r="AJ401" s="30"/>
      <c r="AK401" s="30"/>
      <c r="AL401" s="30"/>
      <c r="AM401" s="30"/>
    </row>
    <row r="402" spans="2:39" s="29" customFormat="1" ht="17.100000000000001" customHeight="1">
      <c r="B402" s="30"/>
      <c r="C402" s="30"/>
      <c r="D402" s="30"/>
      <c r="H402" s="30"/>
      <c r="I402" s="30"/>
      <c r="J402" s="30"/>
      <c r="K402" s="30"/>
      <c r="L402" s="30"/>
      <c r="M402" s="30"/>
      <c r="N402" s="30"/>
      <c r="O402" s="30"/>
      <c r="P402" s="30"/>
      <c r="Q402" s="30"/>
      <c r="R402" s="30"/>
      <c r="S402" s="30"/>
      <c r="T402" s="30"/>
      <c r="U402" s="30"/>
      <c r="V402" s="30"/>
      <c r="W402" s="30"/>
      <c r="X402" s="30"/>
      <c r="Y402" s="30"/>
      <c r="Z402" s="30"/>
      <c r="AA402" s="30"/>
      <c r="AB402" s="30"/>
      <c r="AC402" s="30"/>
      <c r="AD402" s="30"/>
      <c r="AE402" s="30"/>
      <c r="AF402" s="30"/>
      <c r="AG402" s="30"/>
      <c r="AH402" s="30"/>
      <c r="AI402" s="30"/>
      <c r="AJ402" s="30"/>
      <c r="AK402" s="30"/>
      <c r="AL402" s="30"/>
      <c r="AM402" s="30"/>
    </row>
    <row r="403" spans="2:39" s="29" customFormat="1" ht="17.100000000000001" customHeight="1">
      <c r="B403" s="30"/>
      <c r="C403" s="30"/>
      <c r="D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c r="AE403" s="30"/>
      <c r="AF403" s="30"/>
      <c r="AG403" s="30"/>
      <c r="AH403" s="30"/>
      <c r="AI403" s="30"/>
      <c r="AJ403" s="30"/>
      <c r="AK403" s="30"/>
      <c r="AL403" s="30"/>
      <c r="AM403" s="30"/>
    </row>
    <row r="404" spans="2:39" s="29" customFormat="1" ht="17.100000000000001" customHeight="1">
      <c r="B404" s="30"/>
      <c r="C404" s="30"/>
      <c r="D404" s="30"/>
      <c r="H404" s="30"/>
      <c r="I404" s="30"/>
      <c r="J404" s="30"/>
      <c r="K404" s="30"/>
      <c r="L404" s="30"/>
      <c r="M404" s="30"/>
      <c r="N404" s="30"/>
      <c r="O404" s="30"/>
      <c r="P404" s="30"/>
      <c r="Q404" s="30"/>
      <c r="R404" s="30"/>
      <c r="S404" s="30"/>
      <c r="T404" s="30"/>
      <c r="U404" s="30"/>
      <c r="V404" s="30"/>
      <c r="W404" s="30"/>
      <c r="X404" s="30"/>
      <c r="Y404" s="30"/>
      <c r="Z404" s="30"/>
      <c r="AA404" s="30"/>
      <c r="AB404" s="30"/>
      <c r="AC404" s="30"/>
      <c r="AD404" s="30"/>
      <c r="AE404" s="30"/>
      <c r="AF404" s="30"/>
      <c r="AG404" s="30"/>
      <c r="AH404" s="30"/>
      <c r="AI404" s="30"/>
      <c r="AJ404" s="30"/>
      <c r="AK404" s="30"/>
      <c r="AL404" s="30"/>
      <c r="AM404" s="30"/>
    </row>
    <row r="405" spans="2:39" s="29" customFormat="1" ht="17.100000000000001" customHeight="1">
      <c r="B405" s="30"/>
      <c r="C405" s="30"/>
      <c r="D405" s="30"/>
      <c r="H405" s="30"/>
      <c r="I405" s="30"/>
      <c r="J405" s="30"/>
      <c r="K405" s="30"/>
      <c r="L405" s="30"/>
      <c r="M405" s="30"/>
      <c r="N405" s="30"/>
      <c r="O405" s="30"/>
      <c r="P405" s="30"/>
      <c r="Q405" s="30"/>
      <c r="R405" s="30"/>
      <c r="S405" s="30"/>
      <c r="T405" s="30"/>
      <c r="U405" s="30"/>
      <c r="V405" s="30"/>
      <c r="W405" s="30"/>
      <c r="X405" s="30"/>
      <c r="Y405" s="30"/>
      <c r="Z405" s="30"/>
      <c r="AA405" s="30"/>
      <c r="AB405" s="30"/>
      <c r="AC405" s="30"/>
      <c r="AD405" s="30"/>
      <c r="AE405" s="30"/>
      <c r="AF405" s="30"/>
      <c r="AG405" s="30"/>
      <c r="AH405" s="30"/>
      <c r="AI405" s="30"/>
      <c r="AJ405" s="30"/>
      <c r="AK405" s="30"/>
      <c r="AL405" s="30"/>
      <c r="AM405" s="30"/>
    </row>
    <row r="406" spans="2:39" s="29" customFormat="1" ht="17.100000000000001" customHeight="1">
      <c r="B406" s="30"/>
      <c r="C406" s="30"/>
      <c r="D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row>
    <row r="407" spans="2:39" s="29" customFormat="1" ht="17.100000000000001" customHeight="1">
      <c r="B407" s="30"/>
      <c r="C407" s="30"/>
      <c r="D407" s="30"/>
      <c r="H407" s="30"/>
      <c r="I407" s="30"/>
      <c r="J407" s="30"/>
      <c r="K407" s="30"/>
      <c r="L407" s="30"/>
      <c r="M407" s="30"/>
      <c r="N407" s="30"/>
      <c r="O407" s="30"/>
      <c r="P407" s="30"/>
      <c r="Q407" s="30"/>
      <c r="R407" s="30"/>
      <c r="S407" s="30"/>
      <c r="T407" s="30"/>
      <c r="U407" s="30"/>
      <c r="V407" s="30"/>
      <c r="W407" s="30"/>
      <c r="X407" s="30"/>
      <c r="Y407" s="30"/>
      <c r="Z407" s="30"/>
      <c r="AA407" s="30"/>
      <c r="AB407" s="30"/>
      <c r="AC407" s="30"/>
      <c r="AD407" s="30"/>
      <c r="AE407" s="30"/>
      <c r="AF407" s="30"/>
      <c r="AG407" s="30"/>
      <c r="AH407" s="30"/>
      <c r="AI407" s="30"/>
      <c r="AJ407" s="30"/>
      <c r="AK407" s="30"/>
      <c r="AL407" s="30"/>
      <c r="AM407" s="30"/>
    </row>
    <row r="408" spans="2:39" s="29" customFormat="1" ht="17.100000000000001" customHeight="1">
      <c r="B408" s="30"/>
      <c r="C408" s="30"/>
      <c r="D408" s="30"/>
      <c r="H408" s="30"/>
      <c r="I408" s="30"/>
      <c r="J408" s="30"/>
      <c r="K408" s="30"/>
      <c r="L408" s="30"/>
      <c r="M408" s="30"/>
      <c r="N408" s="30"/>
      <c r="O408" s="30"/>
      <c r="P408" s="30"/>
      <c r="Q408" s="30"/>
      <c r="R408" s="30"/>
      <c r="S408" s="30"/>
      <c r="T408" s="30"/>
      <c r="U408" s="30"/>
      <c r="V408" s="30"/>
      <c r="W408" s="30"/>
      <c r="X408" s="30"/>
      <c r="Y408" s="30"/>
      <c r="Z408" s="30"/>
      <c r="AA408" s="30"/>
      <c r="AB408" s="30"/>
      <c r="AC408" s="30"/>
      <c r="AD408" s="30"/>
      <c r="AE408" s="30"/>
      <c r="AF408" s="30"/>
      <c r="AG408" s="30"/>
      <c r="AH408" s="30"/>
      <c r="AI408" s="30"/>
      <c r="AJ408" s="30"/>
      <c r="AK408" s="30"/>
      <c r="AL408" s="30"/>
      <c r="AM408" s="30"/>
    </row>
    <row r="409" spans="2:39" s="29" customFormat="1" ht="17.100000000000001" customHeight="1">
      <c r="B409" s="30"/>
      <c r="C409" s="30"/>
      <c r="D409" s="30"/>
      <c r="H409" s="30"/>
      <c r="I409" s="30"/>
      <c r="J409" s="30"/>
      <c r="K409" s="30"/>
      <c r="L409" s="30"/>
      <c r="M409" s="30"/>
      <c r="N409" s="30"/>
      <c r="O409" s="30"/>
      <c r="P409" s="30"/>
      <c r="Q409" s="30"/>
      <c r="R409" s="30"/>
      <c r="S409" s="30"/>
      <c r="T409" s="30"/>
      <c r="U409" s="30"/>
      <c r="V409" s="30"/>
      <c r="W409" s="30"/>
      <c r="X409" s="30"/>
      <c r="Y409" s="30"/>
      <c r="Z409" s="30"/>
      <c r="AA409" s="30"/>
      <c r="AB409" s="30"/>
      <c r="AC409" s="30"/>
      <c r="AD409" s="30"/>
      <c r="AE409" s="30"/>
      <c r="AF409" s="30"/>
      <c r="AG409" s="30"/>
      <c r="AH409" s="30"/>
      <c r="AI409" s="30"/>
      <c r="AJ409" s="30"/>
      <c r="AK409" s="30"/>
      <c r="AL409" s="30"/>
      <c r="AM409" s="30"/>
    </row>
    <row r="410" spans="2:39" s="29" customFormat="1" ht="17.100000000000001" customHeight="1">
      <c r="B410" s="30"/>
      <c r="C410" s="30"/>
      <c r="D410" s="30"/>
      <c r="H410" s="30"/>
      <c r="I410" s="30"/>
      <c r="J410" s="30"/>
      <c r="K410" s="30"/>
      <c r="L410" s="30"/>
      <c r="M410" s="30"/>
      <c r="N410" s="30"/>
      <c r="O410" s="30"/>
      <c r="P410" s="30"/>
      <c r="Q410" s="30"/>
      <c r="R410" s="30"/>
      <c r="S410" s="30"/>
      <c r="T410" s="30"/>
      <c r="U410" s="30"/>
      <c r="V410" s="30"/>
      <c r="W410" s="30"/>
      <c r="X410" s="30"/>
      <c r="Y410" s="30"/>
      <c r="Z410" s="30"/>
      <c r="AA410" s="30"/>
      <c r="AB410" s="30"/>
      <c r="AC410" s="30"/>
      <c r="AD410" s="30"/>
      <c r="AE410" s="30"/>
      <c r="AF410" s="30"/>
      <c r="AG410" s="30"/>
      <c r="AH410" s="30"/>
      <c r="AI410" s="30"/>
      <c r="AJ410" s="30"/>
      <c r="AK410" s="30"/>
      <c r="AL410" s="30"/>
      <c r="AM410" s="30"/>
    </row>
    <row r="411" spans="2:39" s="29" customFormat="1" ht="17.100000000000001" customHeight="1">
      <c r="B411" s="30"/>
      <c r="C411" s="30"/>
      <c r="D411" s="30"/>
      <c r="H411" s="30"/>
      <c r="I411" s="30"/>
      <c r="J411" s="30"/>
      <c r="K411" s="30"/>
      <c r="L411" s="30"/>
      <c r="M411" s="30"/>
      <c r="N411" s="30"/>
      <c r="O411" s="30"/>
      <c r="P411" s="30"/>
      <c r="Q411" s="30"/>
      <c r="R411" s="30"/>
      <c r="S411" s="30"/>
      <c r="T411" s="30"/>
      <c r="U411" s="30"/>
      <c r="V411" s="30"/>
      <c r="W411" s="30"/>
      <c r="X411" s="30"/>
      <c r="Y411" s="30"/>
      <c r="Z411" s="30"/>
      <c r="AA411" s="30"/>
      <c r="AB411" s="30"/>
      <c r="AC411" s="30"/>
      <c r="AD411" s="30"/>
      <c r="AE411" s="30"/>
      <c r="AF411" s="30"/>
      <c r="AG411" s="30"/>
      <c r="AH411" s="30"/>
      <c r="AI411" s="30"/>
      <c r="AJ411" s="30"/>
      <c r="AK411" s="30"/>
      <c r="AL411" s="30"/>
      <c r="AM411" s="30"/>
    </row>
    <row r="412" spans="2:39" s="29" customFormat="1" ht="17.100000000000001" customHeight="1">
      <c r="B412" s="30"/>
      <c r="C412" s="30"/>
      <c r="D412" s="30"/>
      <c r="H412" s="30"/>
      <c r="I412" s="30"/>
      <c r="J412" s="30"/>
      <c r="K412" s="30"/>
      <c r="L412" s="30"/>
      <c r="M412" s="30"/>
      <c r="N412" s="30"/>
      <c r="O412" s="30"/>
      <c r="P412" s="30"/>
      <c r="Q412" s="30"/>
      <c r="R412" s="30"/>
      <c r="S412" s="30"/>
      <c r="T412" s="30"/>
      <c r="U412" s="30"/>
      <c r="V412" s="30"/>
      <c r="W412" s="30"/>
      <c r="X412" s="30"/>
      <c r="Y412" s="30"/>
      <c r="Z412" s="30"/>
      <c r="AA412" s="30"/>
      <c r="AB412" s="30"/>
      <c r="AC412" s="30"/>
      <c r="AD412" s="30"/>
      <c r="AE412" s="30"/>
      <c r="AF412" s="30"/>
      <c r="AG412" s="30"/>
      <c r="AH412" s="30"/>
      <c r="AI412" s="30"/>
      <c r="AJ412" s="30"/>
      <c r="AK412" s="30"/>
      <c r="AL412" s="30"/>
      <c r="AM412" s="30"/>
    </row>
    <row r="413" spans="2:39" s="29" customFormat="1" ht="17.100000000000001" customHeight="1">
      <c r="B413" s="30"/>
      <c r="C413" s="30"/>
      <c r="D413" s="30"/>
      <c r="H413" s="30"/>
      <c r="I413" s="30"/>
      <c r="J413" s="30"/>
      <c r="K413" s="30"/>
      <c r="L413" s="30"/>
      <c r="M413" s="30"/>
      <c r="N413" s="30"/>
      <c r="O413" s="30"/>
      <c r="P413" s="30"/>
      <c r="Q413" s="30"/>
      <c r="R413" s="30"/>
      <c r="S413" s="30"/>
      <c r="T413" s="30"/>
      <c r="U413" s="30"/>
      <c r="V413" s="30"/>
      <c r="W413" s="30"/>
      <c r="X413" s="30"/>
      <c r="Y413" s="30"/>
      <c r="Z413" s="30"/>
      <c r="AA413" s="30"/>
      <c r="AB413" s="30"/>
      <c r="AC413" s="30"/>
      <c r="AD413" s="30"/>
      <c r="AE413" s="30"/>
      <c r="AF413" s="30"/>
      <c r="AG413" s="30"/>
      <c r="AH413" s="30"/>
      <c r="AI413" s="30"/>
      <c r="AJ413" s="30"/>
      <c r="AK413" s="30"/>
      <c r="AL413" s="30"/>
      <c r="AM413" s="30"/>
    </row>
    <row r="414" spans="2:39" s="29" customFormat="1" ht="17.100000000000001" customHeight="1">
      <c r="B414" s="30"/>
      <c r="C414" s="30"/>
      <c r="D414" s="30"/>
      <c r="H414" s="30"/>
      <c r="I414" s="30"/>
      <c r="J414" s="30"/>
      <c r="K414" s="30"/>
      <c r="L414" s="30"/>
      <c r="M414" s="30"/>
      <c r="N414" s="30"/>
      <c r="O414" s="30"/>
      <c r="P414" s="30"/>
      <c r="Q414" s="30"/>
      <c r="R414" s="30"/>
      <c r="S414" s="30"/>
      <c r="T414" s="30"/>
      <c r="U414" s="30"/>
      <c r="V414" s="30"/>
      <c r="W414" s="30"/>
      <c r="X414" s="30"/>
      <c r="Y414" s="30"/>
      <c r="Z414" s="30"/>
      <c r="AA414" s="30"/>
      <c r="AB414" s="30"/>
      <c r="AC414" s="30"/>
      <c r="AD414" s="30"/>
      <c r="AE414" s="30"/>
      <c r="AF414" s="30"/>
      <c r="AG414" s="30"/>
      <c r="AH414" s="30"/>
      <c r="AI414" s="30"/>
      <c r="AJ414" s="30"/>
      <c r="AK414" s="30"/>
      <c r="AL414" s="30"/>
      <c r="AM414" s="30"/>
    </row>
    <row r="415" spans="2:39" s="29" customFormat="1" ht="17.100000000000001" customHeight="1">
      <c r="B415" s="30"/>
      <c r="C415" s="30"/>
      <c r="D415" s="30"/>
      <c r="H415" s="30"/>
      <c r="I415" s="30"/>
      <c r="J415" s="30"/>
      <c r="K415" s="30"/>
      <c r="L415" s="30"/>
      <c r="M415" s="30"/>
      <c r="N415" s="30"/>
      <c r="O415" s="30"/>
      <c r="P415" s="30"/>
      <c r="Q415" s="30"/>
      <c r="R415" s="30"/>
      <c r="S415" s="30"/>
      <c r="T415" s="30"/>
      <c r="U415" s="30"/>
      <c r="V415" s="30"/>
      <c r="W415" s="30"/>
      <c r="X415" s="30"/>
      <c r="Y415" s="30"/>
      <c r="Z415" s="30"/>
      <c r="AA415" s="30"/>
      <c r="AB415" s="30"/>
      <c r="AC415" s="30"/>
      <c r="AD415" s="30"/>
      <c r="AE415" s="30"/>
      <c r="AF415" s="30"/>
      <c r="AG415" s="30"/>
      <c r="AH415" s="30"/>
      <c r="AI415" s="30"/>
      <c r="AJ415" s="30"/>
      <c r="AK415" s="30"/>
      <c r="AL415" s="30"/>
      <c r="AM415" s="30"/>
    </row>
    <row r="416" spans="2:39" s="29" customFormat="1" ht="17.100000000000001" customHeight="1">
      <c r="B416" s="30"/>
      <c r="C416" s="30"/>
      <c r="D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c r="AF416" s="30"/>
      <c r="AG416" s="30"/>
      <c r="AH416" s="30"/>
      <c r="AI416" s="30"/>
      <c r="AJ416" s="30"/>
      <c r="AK416" s="30"/>
      <c r="AL416" s="30"/>
      <c r="AM416" s="30"/>
    </row>
    <row r="417" spans="2:39" s="29" customFormat="1" ht="17.100000000000001" customHeight="1">
      <c r="B417" s="30"/>
      <c r="C417" s="30"/>
      <c r="D417" s="30"/>
      <c r="H417" s="30"/>
      <c r="I417" s="30"/>
      <c r="J417" s="30"/>
      <c r="K417" s="30"/>
      <c r="L417" s="30"/>
      <c r="M417" s="30"/>
      <c r="N417" s="30"/>
      <c r="O417" s="30"/>
      <c r="P417" s="30"/>
      <c r="Q417" s="30"/>
      <c r="R417" s="30"/>
      <c r="S417" s="30"/>
      <c r="T417" s="30"/>
      <c r="U417" s="30"/>
      <c r="V417" s="30"/>
      <c r="W417" s="30"/>
      <c r="X417" s="30"/>
      <c r="Y417" s="30"/>
      <c r="Z417" s="30"/>
      <c r="AA417" s="30"/>
      <c r="AB417" s="30"/>
      <c r="AC417" s="30"/>
      <c r="AD417" s="30"/>
      <c r="AE417" s="30"/>
      <c r="AF417" s="30"/>
      <c r="AG417" s="30"/>
      <c r="AH417" s="30"/>
      <c r="AI417" s="30"/>
      <c r="AJ417" s="30"/>
      <c r="AK417" s="30"/>
      <c r="AL417" s="30"/>
      <c r="AM417" s="30"/>
    </row>
    <row r="418" spans="2:39" s="29" customFormat="1" ht="17.100000000000001" customHeight="1">
      <c r="B418" s="30"/>
      <c r="C418" s="30"/>
      <c r="D418" s="30"/>
      <c r="H418" s="30"/>
      <c r="I418" s="30"/>
      <c r="J418" s="30"/>
      <c r="K418" s="30"/>
      <c r="L418" s="30"/>
      <c r="M418" s="30"/>
      <c r="N418" s="30"/>
      <c r="O418" s="30"/>
      <c r="P418" s="30"/>
      <c r="Q418" s="30"/>
      <c r="R418" s="30"/>
      <c r="S418" s="30"/>
      <c r="T418" s="30"/>
      <c r="U418" s="30"/>
      <c r="V418" s="30"/>
      <c r="W418" s="30"/>
      <c r="X418" s="30"/>
      <c r="Y418" s="30"/>
      <c r="Z418" s="30"/>
      <c r="AA418" s="30"/>
      <c r="AB418" s="30"/>
      <c r="AC418" s="30"/>
      <c r="AD418" s="30"/>
      <c r="AE418" s="30"/>
      <c r="AF418" s="30"/>
      <c r="AG418" s="30"/>
      <c r="AH418" s="30"/>
      <c r="AI418" s="30"/>
      <c r="AJ418" s="30"/>
      <c r="AK418" s="30"/>
      <c r="AL418" s="30"/>
      <c r="AM418" s="30"/>
    </row>
    <row r="419" spans="2:39" s="29" customFormat="1" ht="17.100000000000001" customHeight="1">
      <c r="B419" s="30"/>
      <c r="C419" s="30"/>
      <c r="D419" s="30"/>
      <c r="H419" s="30"/>
      <c r="I419" s="30"/>
      <c r="J419" s="30"/>
      <c r="K419" s="30"/>
      <c r="L419" s="30"/>
      <c r="M419" s="30"/>
      <c r="N419" s="30"/>
      <c r="O419" s="30"/>
      <c r="P419" s="30"/>
      <c r="Q419" s="30"/>
      <c r="R419" s="30"/>
      <c r="S419" s="30"/>
      <c r="T419" s="30"/>
      <c r="U419" s="30"/>
      <c r="V419" s="30"/>
      <c r="W419" s="30"/>
      <c r="X419" s="30"/>
      <c r="Y419" s="30"/>
      <c r="Z419" s="30"/>
      <c r="AA419" s="30"/>
      <c r="AB419" s="30"/>
      <c r="AC419" s="30"/>
      <c r="AD419" s="30"/>
      <c r="AE419" s="30"/>
      <c r="AF419" s="30"/>
      <c r="AG419" s="30"/>
      <c r="AH419" s="30"/>
      <c r="AI419" s="30"/>
      <c r="AJ419" s="30"/>
      <c r="AK419" s="30"/>
      <c r="AL419" s="30"/>
      <c r="AM419" s="30"/>
    </row>
    <row r="420" spans="2:39" s="29" customFormat="1" ht="17.100000000000001" customHeight="1">
      <c r="B420" s="30"/>
      <c r="C420" s="30"/>
      <c r="D420" s="30"/>
      <c r="H420" s="30"/>
      <c r="I420" s="30"/>
      <c r="J420" s="30"/>
      <c r="K420" s="30"/>
      <c r="L420" s="30"/>
      <c r="M420" s="30"/>
      <c r="N420" s="30"/>
      <c r="O420" s="30"/>
      <c r="P420" s="30"/>
      <c r="Q420" s="30"/>
      <c r="R420" s="30"/>
      <c r="S420" s="30"/>
      <c r="T420" s="30"/>
      <c r="U420" s="30"/>
      <c r="V420" s="30"/>
      <c r="W420" s="30"/>
      <c r="X420" s="30"/>
      <c r="Y420" s="30"/>
      <c r="Z420" s="30"/>
      <c r="AA420" s="30"/>
      <c r="AB420" s="30"/>
      <c r="AC420" s="30"/>
      <c r="AD420" s="30"/>
      <c r="AE420" s="30"/>
      <c r="AF420" s="30"/>
      <c r="AG420" s="30"/>
      <c r="AH420" s="30"/>
      <c r="AI420" s="30"/>
      <c r="AJ420" s="30"/>
      <c r="AK420" s="30"/>
      <c r="AL420" s="30"/>
      <c r="AM420" s="30"/>
    </row>
    <row r="421" spans="2:39" s="29" customFormat="1" ht="17.100000000000001" customHeight="1">
      <c r="B421" s="30"/>
      <c r="C421" s="30"/>
      <c r="D421" s="30"/>
      <c r="H421" s="30"/>
      <c r="I421" s="30"/>
      <c r="J421" s="30"/>
      <c r="K421" s="30"/>
      <c r="L421" s="30"/>
      <c r="M421" s="30"/>
      <c r="N421" s="30"/>
      <c r="O421" s="30"/>
      <c r="P421" s="30"/>
      <c r="Q421" s="30"/>
      <c r="R421" s="30"/>
      <c r="S421" s="30"/>
      <c r="T421" s="30"/>
      <c r="U421" s="30"/>
      <c r="V421" s="30"/>
      <c r="W421" s="30"/>
      <c r="X421" s="30"/>
      <c r="Y421" s="30"/>
      <c r="Z421" s="30"/>
      <c r="AA421" s="30"/>
      <c r="AB421" s="30"/>
      <c r="AC421" s="30"/>
      <c r="AD421" s="30"/>
      <c r="AE421" s="30"/>
      <c r="AF421" s="30"/>
      <c r="AG421" s="30"/>
      <c r="AH421" s="30"/>
      <c r="AI421" s="30"/>
      <c r="AJ421" s="30"/>
      <c r="AK421" s="30"/>
      <c r="AL421" s="30"/>
      <c r="AM421" s="30"/>
    </row>
    <row r="422" spans="2:39" s="29" customFormat="1" ht="17.100000000000001" customHeight="1">
      <c r="B422" s="30"/>
      <c r="C422" s="30"/>
      <c r="D422" s="30"/>
      <c r="H422" s="30"/>
      <c r="I422" s="30"/>
      <c r="J422" s="30"/>
      <c r="K422" s="30"/>
      <c r="L422" s="30"/>
      <c r="M422" s="30"/>
      <c r="N422" s="30"/>
      <c r="O422" s="30"/>
      <c r="P422" s="30"/>
      <c r="Q422" s="30"/>
      <c r="R422" s="30"/>
      <c r="S422" s="30"/>
      <c r="T422" s="30"/>
      <c r="U422" s="30"/>
      <c r="V422" s="30"/>
      <c r="W422" s="30"/>
      <c r="X422" s="30"/>
      <c r="Y422" s="30"/>
      <c r="Z422" s="30"/>
      <c r="AA422" s="30"/>
      <c r="AB422" s="30"/>
      <c r="AC422" s="30"/>
      <c r="AD422" s="30"/>
      <c r="AE422" s="30"/>
      <c r="AF422" s="30"/>
      <c r="AG422" s="30"/>
      <c r="AH422" s="30"/>
      <c r="AI422" s="30"/>
      <c r="AJ422" s="30"/>
      <c r="AK422" s="30"/>
      <c r="AL422" s="30"/>
      <c r="AM422" s="30"/>
    </row>
    <row r="423" spans="2:39" s="29" customFormat="1" ht="17.100000000000001" customHeight="1">
      <c r="B423" s="30"/>
      <c r="C423" s="30"/>
      <c r="D423" s="30"/>
      <c r="H423" s="30"/>
      <c r="I423" s="30"/>
      <c r="J423" s="30"/>
      <c r="K423" s="30"/>
      <c r="L423" s="30"/>
      <c r="M423" s="30"/>
      <c r="N423" s="30"/>
      <c r="O423" s="30"/>
      <c r="P423" s="30"/>
      <c r="Q423" s="30"/>
      <c r="R423" s="30"/>
      <c r="S423" s="30"/>
      <c r="T423" s="30"/>
      <c r="U423" s="30"/>
      <c r="V423" s="30"/>
      <c r="W423" s="30"/>
      <c r="X423" s="30"/>
      <c r="Y423" s="30"/>
      <c r="Z423" s="30"/>
      <c r="AA423" s="30"/>
      <c r="AB423" s="30"/>
      <c r="AC423" s="30"/>
      <c r="AD423" s="30"/>
      <c r="AE423" s="30"/>
      <c r="AF423" s="30"/>
      <c r="AG423" s="30"/>
      <c r="AH423" s="30"/>
      <c r="AI423" s="30"/>
      <c r="AJ423" s="30"/>
      <c r="AK423" s="30"/>
      <c r="AL423" s="30"/>
      <c r="AM423" s="30"/>
    </row>
    <row r="424" spans="2:39" s="29" customFormat="1" ht="17.100000000000001" customHeight="1">
      <c r="B424" s="30"/>
      <c r="C424" s="30"/>
      <c r="D424" s="30"/>
      <c r="H424" s="30"/>
      <c r="I424" s="30"/>
      <c r="J424" s="30"/>
      <c r="K424" s="30"/>
      <c r="L424" s="30"/>
      <c r="M424" s="30"/>
      <c r="N424" s="30"/>
      <c r="O424" s="30"/>
      <c r="P424" s="30"/>
      <c r="Q424" s="30"/>
      <c r="R424" s="30"/>
      <c r="S424" s="30"/>
      <c r="T424" s="30"/>
      <c r="U424" s="30"/>
      <c r="V424" s="30"/>
      <c r="W424" s="30"/>
      <c r="X424" s="30"/>
      <c r="Y424" s="30"/>
      <c r="Z424" s="30"/>
      <c r="AA424" s="30"/>
      <c r="AB424" s="30"/>
      <c r="AC424" s="30"/>
      <c r="AD424" s="30"/>
      <c r="AE424" s="30"/>
      <c r="AF424" s="30"/>
      <c r="AG424" s="30"/>
      <c r="AH424" s="30"/>
      <c r="AI424" s="30"/>
      <c r="AJ424" s="30"/>
      <c r="AK424" s="30"/>
      <c r="AL424" s="30"/>
      <c r="AM424" s="30"/>
    </row>
    <row r="425" spans="2:39" s="29" customFormat="1" ht="17.100000000000001" customHeight="1">
      <c r="B425" s="30"/>
      <c r="C425" s="30"/>
      <c r="D425" s="30"/>
      <c r="H425" s="30"/>
      <c r="I425" s="30"/>
      <c r="J425" s="30"/>
      <c r="K425" s="30"/>
      <c r="L425" s="30"/>
      <c r="M425" s="30"/>
      <c r="N425" s="30"/>
      <c r="O425" s="30"/>
      <c r="P425" s="30"/>
      <c r="Q425" s="30"/>
      <c r="R425" s="30"/>
      <c r="S425" s="30"/>
      <c r="T425" s="30"/>
      <c r="U425" s="30"/>
      <c r="V425" s="30"/>
      <c r="W425" s="30"/>
      <c r="X425" s="30"/>
      <c r="Y425" s="30"/>
      <c r="Z425" s="30"/>
      <c r="AA425" s="30"/>
      <c r="AB425" s="30"/>
      <c r="AC425" s="30"/>
      <c r="AD425" s="30"/>
      <c r="AE425" s="30"/>
      <c r="AF425" s="30"/>
      <c r="AG425" s="30"/>
      <c r="AH425" s="30"/>
      <c r="AI425" s="30"/>
      <c r="AJ425" s="30"/>
      <c r="AK425" s="30"/>
      <c r="AL425" s="30"/>
      <c r="AM425" s="30"/>
    </row>
    <row r="426" spans="2:39" s="29" customFormat="1" ht="17.100000000000001" customHeight="1">
      <c r="B426" s="30"/>
      <c r="C426" s="30"/>
      <c r="D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row>
    <row r="427" spans="2:39" s="29" customFormat="1" ht="17.100000000000001" customHeight="1">
      <c r="B427" s="30"/>
      <c r="C427" s="30"/>
      <c r="D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c r="AF427" s="30"/>
      <c r="AG427" s="30"/>
      <c r="AH427" s="30"/>
      <c r="AI427" s="30"/>
      <c r="AJ427" s="30"/>
      <c r="AK427" s="30"/>
      <c r="AL427" s="30"/>
      <c r="AM427" s="30"/>
    </row>
    <row r="428" spans="2:39" s="29" customFormat="1" ht="17.100000000000001" customHeight="1">
      <c r="B428" s="30"/>
      <c r="C428" s="30"/>
      <c r="D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c r="AF428" s="30"/>
      <c r="AG428" s="30"/>
      <c r="AH428" s="30"/>
      <c r="AI428" s="30"/>
      <c r="AJ428" s="30"/>
      <c r="AK428" s="30"/>
      <c r="AL428" s="30"/>
      <c r="AM428" s="30"/>
    </row>
    <row r="429" spans="2:39" s="29" customFormat="1" ht="17.100000000000001" customHeight="1">
      <c r="B429" s="30"/>
      <c r="C429" s="30"/>
      <c r="D429" s="30"/>
      <c r="H429" s="30"/>
      <c r="I429" s="30"/>
      <c r="J429" s="30"/>
      <c r="K429" s="30"/>
      <c r="L429" s="30"/>
      <c r="M429" s="30"/>
      <c r="N429" s="30"/>
      <c r="O429" s="30"/>
      <c r="P429" s="30"/>
      <c r="Q429" s="30"/>
      <c r="R429" s="30"/>
      <c r="S429" s="30"/>
      <c r="T429" s="30"/>
      <c r="U429" s="30"/>
      <c r="V429" s="30"/>
      <c r="W429" s="30"/>
      <c r="X429" s="30"/>
      <c r="Y429" s="30"/>
      <c r="Z429" s="30"/>
      <c r="AA429" s="30"/>
      <c r="AB429" s="30"/>
      <c r="AC429" s="30"/>
      <c r="AD429" s="30"/>
      <c r="AE429" s="30"/>
      <c r="AF429" s="30"/>
      <c r="AG429" s="30"/>
      <c r="AH429" s="30"/>
      <c r="AI429" s="30"/>
      <c r="AJ429" s="30"/>
      <c r="AK429" s="30"/>
      <c r="AL429" s="30"/>
      <c r="AM429" s="30"/>
    </row>
    <row r="430" spans="2:39" s="29" customFormat="1" ht="17.100000000000001" customHeight="1">
      <c r="B430" s="30"/>
      <c r="C430" s="30"/>
      <c r="D430" s="30"/>
      <c r="H430" s="30"/>
      <c r="I430" s="30"/>
      <c r="J430" s="30"/>
      <c r="K430" s="30"/>
      <c r="L430" s="30"/>
      <c r="M430" s="30"/>
      <c r="N430" s="30"/>
      <c r="O430" s="30"/>
      <c r="P430" s="30"/>
      <c r="Q430" s="30"/>
      <c r="R430" s="30"/>
      <c r="S430" s="30"/>
      <c r="T430" s="30"/>
      <c r="U430" s="30"/>
      <c r="V430" s="30"/>
      <c r="W430" s="30"/>
      <c r="X430" s="30"/>
      <c r="Y430" s="30"/>
      <c r="Z430" s="30"/>
      <c r="AA430" s="30"/>
      <c r="AB430" s="30"/>
      <c r="AC430" s="30"/>
      <c r="AD430" s="30"/>
      <c r="AE430" s="30"/>
      <c r="AF430" s="30"/>
      <c r="AG430" s="30"/>
      <c r="AH430" s="30"/>
      <c r="AI430" s="30"/>
      <c r="AJ430" s="30"/>
      <c r="AK430" s="30"/>
      <c r="AL430" s="30"/>
      <c r="AM430" s="30"/>
    </row>
    <row r="431" spans="2:39" s="29" customFormat="1" ht="17.100000000000001" customHeight="1">
      <c r="B431" s="30"/>
      <c r="C431" s="30"/>
      <c r="D431" s="30"/>
      <c r="H431" s="30"/>
      <c r="I431" s="30"/>
      <c r="J431" s="30"/>
      <c r="K431" s="30"/>
      <c r="L431" s="30"/>
      <c r="M431" s="30"/>
      <c r="N431" s="30"/>
      <c r="O431" s="30"/>
      <c r="P431" s="30"/>
      <c r="Q431" s="30"/>
      <c r="R431" s="30"/>
      <c r="S431" s="30"/>
      <c r="T431" s="30"/>
      <c r="U431" s="30"/>
      <c r="V431" s="30"/>
      <c r="W431" s="30"/>
      <c r="X431" s="30"/>
      <c r="Y431" s="30"/>
      <c r="Z431" s="30"/>
      <c r="AA431" s="30"/>
      <c r="AB431" s="30"/>
      <c r="AC431" s="30"/>
      <c r="AD431" s="30"/>
      <c r="AE431" s="30"/>
      <c r="AF431" s="30"/>
      <c r="AG431" s="30"/>
      <c r="AH431" s="30"/>
      <c r="AI431" s="30"/>
      <c r="AJ431" s="30"/>
      <c r="AK431" s="30"/>
      <c r="AL431" s="30"/>
      <c r="AM431" s="30"/>
    </row>
    <row r="432" spans="2:39" s="29" customFormat="1" ht="17.100000000000001" customHeight="1">
      <c r="B432" s="30"/>
      <c r="C432" s="30"/>
      <c r="D432" s="30"/>
      <c r="H432" s="30"/>
      <c r="I432" s="30"/>
      <c r="J432" s="30"/>
      <c r="K432" s="30"/>
      <c r="L432" s="30"/>
      <c r="M432" s="30"/>
      <c r="N432" s="30"/>
      <c r="O432" s="30"/>
      <c r="P432" s="30"/>
      <c r="Q432" s="30"/>
      <c r="R432" s="30"/>
      <c r="S432" s="30"/>
      <c r="T432" s="30"/>
      <c r="U432" s="30"/>
      <c r="V432" s="30"/>
      <c r="W432" s="30"/>
      <c r="X432" s="30"/>
      <c r="Y432" s="30"/>
      <c r="Z432" s="30"/>
      <c r="AA432" s="30"/>
      <c r="AB432" s="30"/>
      <c r="AC432" s="30"/>
      <c r="AD432" s="30"/>
      <c r="AE432" s="30"/>
      <c r="AF432" s="30"/>
      <c r="AG432" s="30"/>
      <c r="AH432" s="30"/>
      <c r="AI432" s="30"/>
      <c r="AJ432" s="30"/>
      <c r="AK432" s="30"/>
      <c r="AL432" s="30"/>
      <c r="AM432" s="30"/>
    </row>
    <row r="433" spans="2:39" s="29" customFormat="1" ht="17.100000000000001" customHeight="1">
      <c r="B433" s="30"/>
      <c r="C433" s="30"/>
      <c r="D433" s="30"/>
      <c r="H433" s="30"/>
      <c r="I433" s="30"/>
      <c r="J433" s="30"/>
      <c r="K433" s="30"/>
      <c r="L433" s="30"/>
      <c r="M433" s="30"/>
      <c r="N433" s="30"/>
      <c r="O433" s="30"/>
      <c r="P433" s="30"/>
      <c r="Q433" s="30"/>
      <c r="R433" s="30"/>
      <c r="S433" s="30"/>
      <c r="T433" s="30"/>
      <c r="U433" s="30"/>
      <c r="V433" s="30"/>
      <c r="W433" s="30"/>
      <c r="X433" s="30"/>
      <c r="Y433" s="30"/>
      <c r="Z433" s="30"/>
      <c r="AA433" s="30"/>
      <c r="AB433" s="30"/>
      <c r="AC433" s="30"/>
      <c r="AD433" s="30"/>
      <c r="AE433" s="30"/>
      <c r="AF433" s="30"/>
      <c r="AG433" s="30"/>
      <c r="AH433" s="30"/>
      <c r="AI433" s="30"/>
      <c r="AJ433" s="30"/>
      <c r="AK433" s="30"/>
      <c r="AL433" s="30"/>
      <c r="AM433" s="30"/>
    </row>
    <row r="434" spans="2:39" s="29" customFormat="1" ht="17.100000000000001" customHeight="1">
      <c r="B434" s="30"/>
      <c r="C434" s="30"/>
      <c r="D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row>
    <row r="435" spans="2:39" s="29" customFormat="1" ht="17.100000000000001" customHeight="1">
      <c r="B435" s="30"/>
      <c r="C435" s="30"/>
      <c r="D435" s="30"/>
      <c r="H435" s="30"/>
      <c r="I435" s="30"/>
      <c r="J435" s="30"/>
      <c r="K435" s="30"/>
      <c r="L435" s="30"/>
      <c r="M435" s="30"/>
      <c r="N435" s="30"/>
      <c r="O435" s="30"/>
      <c r="P435" s="30"/>
      <c r="Q435" s="30"/>
      <c r="R435" s="30"/>
      <c r="S435" s="30"/>
      <c r="T435" s="30"/>
      <c r="U435" s="30"/>
      <c r="V435" s="30"/>
      <c r="W435" s="30"/>
      <c r="X435" s="30"/>
      <c r="Y435" s="30"/>
      <c r="Z435" s="30"/>
      <c r="AA435" s="30"/>
      <c r="AB435" s="30"/>
      <c r="AC435" s="30"/>
      <c r="AD435" s="30"/>
      <c r="AE435" s="30"/>
      <c r="AF435" s="30"/>
      <c r="AG435" s="30"/>
      <c r="AH435" s="30"/>
      <c r="AI435" s="30"/>
      <c r="AJ435" s="30"/>
      <c r="AK435" s="30"/>
      <c r="AL435" s="30"/>
      <c r="AM435" s="30"/>
    </row>
    <row r="436" spans="2:39" s="29" customFormat="1" ht="17.100000000000001" customHeight="1">
      <c r="B436" s="30"/>
      <c r="C436" s="30"/>
      <c r="D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c r="AG436" s="30"/>
      <c r="AH436" s="30"/>
      <c r="AI436" s="30"/>
      <c r="AJ436" s="30"/>
      <c r="AK436" s="30"/>
      <c r="AL436" s="30"/>
      <c r="AM436" s="30"/>
    </row>
    <row r="437" spans="2:39" s="29" customFormat="1" ht="17.100000000000001" customHeight="1">
      <c r="B437" s="30"/>
      <c r="C437" s="30"/>
      <c r="D437" s="30"/>
      <c r="H437" s="30"/>
      <c r="I437" s="30"/>
      <c r="J437" s="30"/>
      <c r="K437" s="30"/>
      <c r="L437" s="30"/>
      <c r="M437" s="30"/>
      <c r="N437" s="30"/>
      <c r="O437" s="30"/>
      <c r="P437" s="30"/>
      <c r="Q437" s="30"/>
      <c r="R437" s="30"/>
      <c r="S437" s="30"/>
      <c r="T437" s="30"/>
      <c r="U437" s="30"/>
      <c r="V437" s="30"/>
      <c r="W437" s="30"/>
      <c r="X437" s="30"/>
      <c r="Y437" s="30"/>
      <c r="Z437" s="30"/>
      <c r="AA437" s="30"/>
      <c r="AB437" s="30"/>
      <c r="AC437" s="30"/>
      <c r="AD437" s="30"/>
      <c r="AE437" s="30"/>
      <c r="AF437" s="30"/>
      <c r="AG437" s="30"/>
      <c r="AH437" s="30"/>
      <c r="AI437" s="30"/>
      <c r="AJ437" s="30"/>
      <c r="AK437" s="30"/>
      <c r="AL437" s="30"/>
      <c r="AM437" s="30"/>
    </row>
    <row r="438" spans="2:39" s="29" customFormat="1" ht="17.100000000000001" customHeight="1">
      <c r="B438" s="30"/>
      <c r="C438" s="30"/>
      <c r="D438" s="30"/>
      <c r="H438" s="30"/>
      <c r="I438" s="30"/>
      <c r="J438" s="30"/>
      <c r="K438" s="30"/>
      <c r="L438" s="30"/>
      <c r="M438" s="30"/>
      <c r="N438" s="30"/>
      <c r="O438" s="30"/>
      <c r="P438" s="30"/>
      <c r="Q438" s="30"/>
      <c r="R438" s="30"/>
      <c r="S438" s="30"/>
      <c r="T438" s="30"/>
      <c r="U438" s="30"/>
      <c r="V438" s="30"/>
      <c r="W438" s="30"/>
      <c r="X438" s="30"/>
      <c r="Y438" s="30"/>
      <c r="Z438" s="30"/>
      <c r="AA438" s="30"/>
      <c r="AB438" s="30"/>
      <c r="AC438" s="30"/>
      <c r="AD438" s="30"/>
      <c r="AE438" s="30"/>
      <c r="AF438" s="30"/>
      <c r="AG438" s="30"/>
      <c r="AH438" s="30"/>
      <c r="AI438" s="30"/>
      <c r="AJ438" s="30"/>
      <c r="AK438" s="30"/>
      <c r="AL438" s="30"/>
      <c r="AM438" s="30"/>
    </row>
    <row r="439" spans="2:39" s="29" customFormat="1" ht="17.100000000000001" customHeight="1">
      <c r="B439" s="30"/>
      <c r="C439" s="30"/>
      <c r="D439" s="30"/>
      <c r="H439" s="30"/>
      <c r="I439" s="30"/>
      <c r="J439" s="30"/>
      <c r="K439" s="30"/>
      <c r="L439" s="30"/>
      <c r="M439" s="30"/>
      <c r="N439" s="30"/>
      <c r="O439" s="30"/>
      <c r="P439" s="30"/>
      <c r="Q439" s="30"/>
      <c r="R439" s="30"/>
      <c r="S439" s="30"/>
      <c r="T439" s="30"/>
      <c r="U439" s="30"/>
      <c r="V439" s="30"/>
      <c r="W439" s="30"/>
      <c r="X439" s="30"/>
      <c r="Y439" s="30"/>
      <c r="Z439" s="30"/>
      <c r="AA439" s="30"/>
      <c r="AB439" s="30"/>
      <c r="AC439" s="30"/>
      <c r="AD439" s="30"/>
      <c r="AE439" s="30"/>
      <c r="AF439" s="30"/>
      <c r="AG439" s="30"/>
      <c r="AH439" s="30"/>
      <c r="AI439" s="30"/>
      <c r="AJ439" s="30"/>
      <c r="AK439" s="30"/>
      <c r="AL439" s="30"/>
      <c r="AM439" s="30"/>
    </row>
    <row r="440" spans="2:39" s="29" customFormat="1" ht="17.100000000000001" customHeight="1">
      <c r="B440" s="30"/>
      <c r="C440" s="30"/>
      <c r="D440" s="30"/>
      <c r="H440" s="30"/>
      <c r="I440" s="30"/>
      <c r="J440" s="30"/>
      <c r="K440" s="30"/>
      <c r="L440" s="30"/>
      <c r="M440" s="30"/>
      <c r="N440" s="30"/>
      <c r="O440" s="30"/>
      <c r="P440" s="30"/>
      <c r="Q440" s="30"/>
      <c r="R440" s="30"/>
      <c r="S440" s="30"/>
      <c r="T440" s="30"/>
      <c r="U440" s="30"/>
      <c r="V440" s="30"/>
      <c r="W440" s="30"/>
      <c r="X440" s="30"/>
      <c r="Y440" s="30"/>
      <c r="Z440" s="30"/>
      <c r="AA440" s="30"/>
      <c r="AB440" s="30"/>
      <c r="AC440" s="30"/>
      <c r="AD440" s="30"/>
      <c r="AE440" s="30"/>
      <c r="AF440" s="30"/>
      <c r="AG440" s="30"/>
      <c r="AH440" s="30"/>
      <c r="AI440" s="30"/>
      <c r="AJ440" s="30"/>
      <c r="AK440" s="30"/>
      <c r="AL440" s="30"/>
      <c r="AM440" s="30"/>
    </row>
    <row r="441" spans="2:39" s="29" customFormat="1" ht="17.100000000000001" customHeight="1">
      <c r="B441" s="30"/>
      <c r="C441" s="30"/>
      <c r="D441" s="30"/>
      <c r="H441" s="30"/>
      <c r="I441" s="30"/>
      <c r="J441" s="30"/>
      <c r="K441" s="30"/>
      <c r="L441" s="30"/>
      <c r="M441" s="30"/>
      <c r="N441" s="30"/>
      <c r="O441" s="30"/>
      <c r="P441" s="30"/>
      <c r="Q441" s="30"/>
      <c r="R441" s="30"/>
      <c r="S441" s="30"/>
      <c r="T441" s="30"/>
      <c r="U441" s="30"/>
      <c r="V441" s="30"/>
      <c r="W441" s="30"/>
      <c r="X441" s="30"/>
      <c r="Y441" s="30"/>
      <c r="Z441" s="30"/>
      <c r="AA441" s="30"/>
      <c r="AB441" s="30"/>
      <c r="AC441" s="30"/>
      <c r="AD441" s="30"/>
      <c r="AE441" s="30"/>
      <c r="AF441" s="30"/>
      <c r="AG441" s="30"/>
      <c r="AH441" s="30"/>
      <c r="AI441" s="30"/>
      <c r="AJ441" s="30"/>
      <c r="AK441" s="30"/>
      <c r="AL441" s="30"/>
      <c r="AM441" s="30"/>
    </row>
    <row r="442" spans="2:39" s="29" customFormat="1" ht="17.100000000000001" customHeight="1">
      <c r="B442" s="30"/>
      <c r="C442" s="30"/>
      <c r="D442" s="30"/>
      <c r="H442" s="30"/>
      <c r="I442" s="30"/>
      <c r="J442" s="30"/>
      <c r="K442" s="30"/>
      <c r="L442" s="30"/>
      <c r="M442" s="30"/>
      <c r="N442" s="30"/>
      <c r="O442" s="30"/>
      <c r="P442" s="30"/>
      <c r="Q442" s="30"/>
      <c r="R442" s="30"/>
      <c r="S442" s="30"/>
      <c r="T442" s="30"/>
      <c r="U442" s="30"/>
      <c r="V442" s="30"/>
      <c r="W442" s="30"/>
      <c r="X442" s="30"/>
      <c r="Y442" s="30"/>
      <c r="Z442" s="30"/>
      <c r="AA442" s="30"/>
      <c r="AB442" s="30"/>
      <c r="AC442" s="30"/>
      <c r="AD442" s="30"/>
      <c r="AE442" s="30"/>
      <c r="AF442" s="30"/>
      <c r="AG442" s="30"/>
      <c r="AH442" s="30"/>
      <c r="AI442" s="30"/>
      <c r="AJ442" s="30"/>
      <c r="AK442" s="30"/>
      <c r="AL442" s="30"/>
      <c r="AM442" s="30"/>
    </row>
    <row r="443" spans="2:39" s="29" customFormat="1" ht="17.100000000000001" customHeight="1">
      <c r="B443" s="30"/>
      <c r="C443" s="30"/>
      <c r="D443" s="30"/>
      <c r="H443" s="30"/>
      <c r="I443" s="30"/>
      <c r="J443" s="30"/>
      <c r="K443" s="30"/>
      <c r="L443" s="30"/>
      <c r="M443" s="30"/>
      <c r="N443" s="30"/>
      <c r="O443" s="30"/>
      <c r="P443" s="30"/>
      <c r="Q443" s="30"/>
      <c r="R443" s="30"/>
      <c r="S443" s="30"/>
      <c r="T443" s="30"/>
      <c r="U443" s="30"/>
      <c r="V443" s="30"/>
      <c r="W443" s="30"/>
      <c r="X443" s="30"/>
      <c r="Y443" s="30"/>
      <c r="Z443" s="30"/>
      <c r="AA443" s="30"/>
      <c r="AB443" s="30"/>
      <c r="AC443" s="30"/>
      <c r="AD443" s="30"/>
      <c r="AE443" s="30"/>
      <c r="AF443" s="30"/>
      <c r="AG443" s="30"/>
      <c r="AH443" s="30"/>
      <c r="AI443" s="30"/>
      <c r="AJ443" s="30"/>
      <c r="AK443" s="30"/>
      <c r="AL443" s="30"/>
      <c r="AM443" s="30"/>
    </row>
    <row r="444" spans="2:39" s="29" customFormat="1" ht="17.100000000000001" customHeight="1">
      <c r="B444" s="30"/>
      <c r="C444" s="30"/>
      <c r="D444" s="30"/>
      <c r="H444" s="30"/>
      <c r="I444" s="30"/>
      <c r="J444" s="30"/>
      <c r="K444" s="30"/>
      <c r="L444" s="30"/>
      <c r="M444" s="30"/>
      <c r="N444" s="30"/>
      <c r="O444" s="30"/>
      <c r="P444" s="30"/>
      <c r="Q444" s="30"/>
      <c r="R444" s="30"/>
      <c r="S444" s="30"/>
      <c r="T444" s="30"/>
      <c r="U444" s="30"/>
      <c r="V444" s="30"/>
      <c r="W444" s="30"/>
      <c r="X444" s="30"/>
      <c r="Y444" s="30"/>
      <c r="Z444" s="30"/>
      <c r="AA444" s="30"/>
      <c r="AB444" s="30"/>
      <c r="AC444" s="30"/>
      <c r="AD444" s="30"/>
      <c r="AE444" s="30"/>
      <c r="AF444" s="30"/>
      <c r="AG444" s="30"/>
      <c r="AH444" s="30"/>
      <c r="AI444" s="30"/>
      <c r="AJ444" s="30"/>
      <c r="AK444" s="30"/>
      <c r="AL444" s="30"/>
      <c r="AM444" s="30"/>
    </row>
    <row r="445" spans="2:39" s="29" customFormat="1" ht="17.100000000000001" customHeight="1">
      <c r="B445" s="30"/>
      <c r="C445" s="30"/>
      <c r="D445" s="30"/>
      <c r="H445" s="30"/>
      <c r="I445" s="30"/>
      <c r="J445" s="30"/>
      <c r="K445" s="30"/>
      <c r="L445" s="30"/>
      <c r="M445" s="30"/>
      <c r="N445" s="30"/>
      <c r="O445" s="30"/>
      <c r="P445" s="30"/>
      <c r="Q445" s="30"/>
      <c r="R445" s="30"/>
      <c r="S445" s="30"/>
      <c r="T445" s="30"/>
      <c r="U445" s="30"/>
      <c r="V445" s="30"/>
      <c r="W445" s="30"/>
      <c r="X445" s="30"/>
      <c r="Y445" s="30"/>
      <c r="Z445" s="30"/>
      <c r="AA445" s="30"/>
      <c r="AB445" s="30"/>
      <c r="AC445" s="30"/>
      <c r="AD445" s="30"/>
      <c r="AE445" s="30"/>
      <c r="AF445" s="30"/>
      <c r="AG445" s="30"/>
      <c r="AH445" s="30"/>
      <c r="AI445" s="30"/>
      <c r="AJ445" s="30"/>
      <c r="AK445" s="30"/>
      <c r="AL445" s="30"/>
      <c r="AM445" s="30"/>
    </row>
    <row r="446" spans="2:39" s="29" customFormat="1" ht="17.100000000000001" customHeight="1">
      <c r="B446" s="30"/>
      <c r="C446" s="30"/>
      <c r="D446" s="30"/>
      <c r="H446" s="30"/>
      <c r="I446" s="30"/>
      <c r="J446" s="30"/>
      <c r="K446" s="30"/>
      <c r="L446" s="30"/>
      <c r="M446" s="30"/>
      <c r="N446" s="30"/>
      <c r="O446" s="30"/>
      <c r="P446" s="30"/>
      <c r="Q446" s="30"/>
      <c r="R446" s="30"/>
      <c r="S446" s="30"/>
      <c r="T446" s="30"/>
      <c r="U446" s="30"/>
      <c r="V446" s="30"/>
      <c r="W446" s="30"/>
      <c r="X446" s="30"/>
      <c r="Y446" s="30"/>
      <c r="Z446" s="30"/>
      <c r="AA446" s="30"/>
      <c r="AB446" s="30"/>
      <c r="AC446" s="30"/>
      <c r="AD446" s="30"/>
      <c r="AE446" s="30"/>
      <c r="AF446" s="30"/>
      <c r="AG446" s="30"/>
      <c r="AH446" s="30"/>
      <c r="AI446" s="30"/>
      <c r="AJ446" s="30"/>
      <c r="AK446" s="30"/>
      <c r="AL446" s="30"/>
      <c r="AM446" s="30"/>
    </row>
    <row r="447" spans="2:39" s="29" customFormat="1" ht="17.100000000000001" customHeight="1">
      <c r="B447" s="30"/>
      <c r="C447" s="30"/>
      <c r="D447" s="30"/>
      <c r="H447" s="30"/>
      <c r="I447" s="30"/>
      <c r="J447" s="30"/>
      <c r="K447" s="30"/>
      <c r="L447" s="30"/>
      <c r="M447" s="30"/>
      <c r="N447" s="30"/>
      <c r="O447" s="30"/>
      <c r="P447" s="30"/>
      <c r="Q447" s="30"/>
      <c r="R447" s="30"/>
      <c r="S447" s="30"/>
      <c r="T447" s="30"/>
      <c r="U447" s="30"/>
      <c r="V447" s="30"/>
      <c r="W447" s="30"/>
      <c r="X447" s="30"/>
      <c r="Y447" s="30"/>
      <c r="Z447" s="30"/>
      <c r="AA447" s="30"/>
      <c r="AB447" s="30"/>
      <c r="AC447" s="30"/>
      <c r="AD447" s="30"/>
      <c r="AE447" s="30"/>
      <c r="AF447" s="30"/>
      <c r="AG447" s="30"/>
      <c r="AH447" s="30"/>
      <c r="AI447" s="30"/>
      <c r="AJ447" s="30"/>
      <c r="AK447" s="30"/>
      <c r="AL447" s="30"/>
      <c r="AM447" s="30"/>
    </row>
    <row r="448" spans="2:39" s="29" customFormat="1" ht="17.100000000000001" customHeight="1">
      <c r="B448" s="30"/>
      <c r="C448" s="30"/>
      <c r="D448" s="30"/>
      <c r="H448" s="30"/>
      <c r="I448" s="30"/>
      <c r="J448" s="30"/>
      <c r="K448" s="30"/>
      <c r="L448" s="30"/>
      <c r="M448" s="30"/>
      <c r="N448" s="30"/>
      <c r="O448" s="30"/>
      <c r="P448" s="30"/>
      <c r="Q448" s="30"/>
      <c r="R448" s="30"/>
      <c r="S448" s="30"/>
      <c r="T448" s="30"/>
      <c r="U448" s="30"/>
      <c r="V448" s="30"/>
      <c r="W448" s="30"/>
      <c r="X448" s="30"/>
      <c r="Y448" s="30"/>
      <c r="Z448" s="30"/>
      <c r="AA448" s="30"/>
      <c r="AB448" s="30"/>
      <c r="AC448" s="30"/>
      <c r="AD448" s="30"/>
      <c r="AE448" s="30"/>
      <c r="AF448" s="30"/>
      <c r="AG448" s="30"/>
      <c r="AH448" s="30"/>
      <c r="AI448" s="30"/>
      <c r="AJ448" s="30"/>
      <c r="AK448" s="30"/>
      <c r="AL448" s="30"/>
      <c r="AM448" s="30"/>
    </row>
    <row r="449" spans="2:39" s="29" customFormat="1" ht="17.100000000000001" customHeight="1">
      <c r="B449" s="30"/>
      <c r="C449" s="30"/>
      <c r="D449" s="30"/>
      <c r="H449" s="30"/>
      <c r="I449" s="30"/>
      <c r="J449" s="30"/>
      <c r="K449" s="30"/>
      <c r="L449" s="30"/>
      <c r="M449" s="30"/>
      <c r="N449" s="30"/>
      <c r="O449" s="30"/>
      <c r="P449" s="30"/>
      <c r="Q449" s="30"/>
      <c r="R449" s="30"/>
      <c r="S449" s="30"/>
      <c r="T449" s="30"/>
      <c r="U449" s="30"/>
      <c r="V449" s="30"/>
      <c r="W449" s="30"/>
      <c r="X449" s="30"/>
      <c r="Y449" s="30"/>
      <c r="Z449" s="30"/>
      <c r="AA449" s="30"/>
      <c r="AB449" s="30"/>
      <c r="AC449" s="30"/>
      <c r="AD449" s="30"/>
      <c r="AE449" s="30"/>
      <c r="AF449" s="30"/>
      <c r="AG449" s="30"/>
      <c r="AH449" s="30"/>
      <c r="AI449" s="30"/>
      <c r="AJ449" s="30"/>
      <c r="AK449" s="30"/>
      <c r="AL449" s="30"/>
      <c r="AM449" s="30"/>
    </row>
    <row r="450" spans="2:39" s="29" customFormat="1" ht="17.100000000000001" customHeight="1">
      <c r="B450" s="30"/>
      <c r="C450" s="30"/>
      <c r="D450" s="30"/>
      <c r="H450" s="30"/>
      <c r="I450" s="30"/>
      <c r="J450" s="30"/>
      <c r="K450" s="30"/>
      <c r="L450" s="30"/>
      <c r="M450" s="30"/>
      <c r="N450" s="30"/>
      <c r="O450" s="30"/>
      <c r="P450" s="30"/>
      <c r="Q450" s="30"/>
      <c r="R450" s="30"/>
      <c r="S450" s="30"/>
      <c r="T450" s="30"/>
      <c r="U450" s="30"/>
      <c r="V450" s="30"/>
      <c r="W450" s="30"/>
      <c r="X450" s="30"/>
      <c r="Y450" s="30"/>
      <c r="Z450" s="30"/>
      <c r="AA450" s="30"/>
      <c r="AB450" s="30"/>
      <c r="AC450" s="30"/>
      <c r="AD450" s="30"/>
      <c r="AE450" s="30"/>
      <c r="AF450" s="30"/>
      <c r="AG450" s="30"/>
      <c r="AH450" s="30"/>
      <c r="AI450" s="30"/>
      <c r="AJ450" s="30"/>
      <c r="AK450" s="30"/>
      <c r="AL450" s="30"/>
      <c r="AM450" s="30"/>
    </row>
    <row r="451" spans="2:39" s="29" customFormat="1" ht="17.100000000000001" customHeight="1">
      <c r="B451" s="30"/>
      <c r="C451" s="30"/>
      <c r="D451" s="30"/>
      <c r="H451" s="30"/>
      <c r="I451" s="30"/>
      <c r="J451" s="30"/>
      <c r="K451" s="30"/>
      <c r="L451" s="30"/>
      <c r="M451" s="30"/>
      <c r="N451" s="30"/>
      <c r="O451" s="30"/>
      <c r="P451" s="30"/>
      <c r="Q451" s="30"/>
      <c r="R451" s="30"/>
      <c r="S451" s="30"/>
      <c r="T451" s="30"/>
      <c r="U451" s="30"/>
      <c r="V451" s="30"/>
      <c r="W451" s="30"/>
      <c r="X451" s="30"/>
      <c r="Y451" s="30"/>
      <c r="Z451" s="30"/>
      <c r="AA451" s="30"/>
      <c r="AB451" s="30"/>
      <c r="AC451" s="30"/>
      <c r="AD451" s="30"/>
      <c r="AE451" s="30"/>
      <c r="AF451" s="30"/>
      <c r="AG451" s="30"/>
      <c r="AH451" s="30"/>
      <c r="AI451" s="30"/>
      <c r="AJ451" s="30"/>
      <c r="AK451" s="30"/>
      <c r="AL451" s="30"/>
      <c r="AM451" s="30"/>
    </row>
    <row r="452" spans="2:39" s="29" customFormat="1" ht="17.100000000000001" customHeight="1">
      <c r="B452" s="30"/>
      <c r="C452" s="30"/>
      <c r="D452" s="30"/>
      <c r="H452" s="30"/>
      <c r="I452" s="30"/>
      <c r="J452" s="30"/>
      <c r="K452" s="30"/>
      <c r="L452" s="30"/>
      <c r="M452" s="30"/>
      <c r="N452" s="30"/>
      <c r="O452" s="30"/>
      <c r="P452" s="30"/>
      <c r="Q452" s="30"/>
      <c r="R452" s="30"/>
      <c r="S452" s="30"/>
      <c r="T452" s="30"/>
      <c r="U452" s="30"/>
      <c r="V452" s="30"/>
      <c r="W452" s="30"/>
      <c r="X452" s="30"/>
      <c r="Y452" s="30"/>
      <c r="Z452" s="30"/>
      <c r="AA452" s="30"/>
      <c r="AB452" s="30"/>
      <c r="AC452" s="30"/>
      <c r="AD452" s="30"/>
      <c r="AE452" s="30"/>
      <c r="AF452" s="30"/>
      <c r="AG452" s="30"/>
      <c r="AH452" s="30"/>
      <c r="AI452" s="30"/>
      <c r="AJ452" s="30"/>
      <c r="AK452" s="30"/>
      <c r="AL452" s="30"/>
      <c r="AM452" s="30"/>
    </row>
    <row r="453" spans="2:39" s="29" customFormat="1" ht="17.100000000000001" customHeight="1">
      <c r="B453" s="30"/>
      <c r="C453" s="30"/>
      <c r="D453" s="30"/>
      <c r="H453" s="30"/>
      <c r="I453" s="30"/>
      <c r="J453" s="30"/>
      <c r="K453" s="30"/>
      <c r="L453" s="30"/>
      <c r="M453" s="30"/>
      <c r="N453" s="30"/>
      <c r="O453" s="30"/>
      <c r="P453" s="30"/>
      <c r="Q453" s="30"/>
      <c r="R453" s="30"/>
      <c r="S453" s="30"/>
      <c r="T453" s="30"/>
      <c r="U453" s="30"/>
      <c r="V453" s="30"/>
      <c r="W453" s="30"/>
      <c r="X453" s="30"/>
      <c r="Y453" s="30"/>
      <c r="Z453" s="30"/>
      <c r="AA453" s="30"/>
      <c r="AB453" s="30"/>
      <c r="AC453" s="30"/>
      <c r="AD453" s="30"/>
      <c r="AE453" s="30"/>
      <c r="AF453" s="30"/>
      <c r="AG453" s="30"/>
      <c r="AH453" s="30"/>
      <c r="AI453" s="30"/>
      <c r="AJ453" s="30"/>
      <c r="AK453" s="30"/>
      <c r="AL453" s="30"/>
      <c r="AM453" s="30"/>
    </row>
    <row r="454" spans="2:39" s="29" customFormat="1" ht="17.100000000000001" customHeight="1">
      <c r="B454" s="30"/>
      <c r="C454" s="30"/>
      <c r="D454" s="30"/>
      <c r="H454" s="30"/>
      <c r="I454" s="30"/>
      <c r="J454" s="30"/>
      <c r="K454" s="30"/>
      <c r="L454" s="30"/>
      <c r="M454" s="30"/>
      <c r="N454" s="30"/>
      <c r="O454" s="30"/>
      <c r="P454" s="30"/>
      <c r="Q454" s="30"/>
      <c r="R454" s="30"/>
      <c r="S454" s="30"/>
      <c r="T454" s="30"/>
      <c r="U454" s="30"/>
      <c r="V454" s="30"/>
      <c r="W454" s="30"/>
      <c r="X454" s="30"/>
      <c r="Y454" s="30"/>
      <c r="Z454" s="30"/>
      <c r="AA454" s="30"/>
      <c r="AB454" s="30"/>
      <c r="AC454" s="30"/>
      <c r="AD454" s="30"/>
      <c r="AE454" s="30"/>
      <c r="AF454" s="30"/>
      <c r="AG454" s="30"/>
      <c r="AH454" s="30"/>
      <c r="AI454" s="30"/>
      <c r="AJ454" s="30"/>
      <c r="AK454" s="30"/>
      <c r="AL454" s="30"/>
      <c r="AM454" s="30"/>
    </row>
    <row r="455" spans="2:39" s="29" customFormat="1" ht="17.100000000000001" customHeight="1">
      <c r="B455" s="30"/>
      <c r="C455" s="30"/>
      <c r="D455" s="30"/>
      <c r="H455" s="30"/>
      <c r="I455" s="30"/>
      <c r="J455" s="30"/>
      <c r="K455" s="30"/>
      <c r="L455" s="30"/>
      <c r="M455" s="30"/>
      <c r="N455" s="30"/>
      <c r="O455" s="30"/>
      <c r="P455" s="30"/>
      <c r="Q455" s="30"/>
      <c r="R455" s="30"/>
      <c r="S455" s="30"/>
      <c r="T455" s="30"/>
      <c r="U455" s="30"/>
      <c r="V455" s="30"/>
      <c r="W455" s="30"/>
      <c r="X455" s="30"/>
      <c r="Y455" s="30"/>
      <c r="Z455" s="30"/>
      <c r="AA455" s="30"/>
      <c r="AB455" s="30"/>
      <c r="AC455" s="30"/>
      <c r="AD455" s="30"/>
      <c r="AE455" s="30"/>
      <c r="AF455" s="30"/>
      <c r="AG455" s="30"/>
      <c r="AH455" s="30"/>
      <c r="AI455" s="30"/>
      <c r="AJ455" s="30"/>
      <c r="AK455" s="30"/>
      <c r="AL455" s="30"/>
      <c r="AM455" s="30"/>
    </row>
    <row r="456" spans="2:39" s="29" customFormat="1" ht="17.100000000000001" customHeight="1">
      <c r="B456" s="30"/>
      <c r="C456" s="30"/>
      <c r="D456" s="30"/>
      <c r="H456" s="30"/>
      <c r="I456" s="30"/>
      <c r="J456" s="30"/>
      <c r="K456" s="30"/>
      <c r="L456" s="30"/>
      <c r="M456" s="30"/>
      <c r="N456" s="30"/>
      <c r="O456" s="30"/>
      <c r="P456" s="30"/>
      <c r="Q456" s="30"/>
      <c r="R456" s="30"/>
      <c r="S456" s="30"/>
      <c r="T456" s="30"/>
      <c r="U456" s="30"/>
      <c r="V456" s="30"/>
      <c r="W456" s="30"/>
      <c r="X456" s="30"/>
      <c r="Y456" s="30"/>
      <c r="Z456" s="30"/>
      <c r="AA456" s="30"/>
      <c r="AB456" s="30"/>
      <c r="AC456" s="30"/>
      <c r="AD456" s="30"/>
      <c r="AE456" s="30"/>
      <c r="AF456" s="30"/>
      <c r="AG456" s="30"/>
      <c r="AH456" s="30"/>
      <c r="AI456" s="30"/>
      <c r="AJ456" s="30"/>
      <c r="AK456" s="30"/>
      <c r="AL456" s="30"/>
      <c r="AM456" s="30"/>
    </row>
  </sheetData>
  <sortState xmlns:xlrd2="http://schemas.microsoft.com/office/spreadsheetml/2017/richdata2" ref="B6:D38">
    <sortCondition ref="B6:B38"/>
  </sortState>
  <mergeCells count="9">
    <mergeCell ref="A39:A46"/>
    <mergeCell ref="A47:B47"/>
    <mergeCell ref="A28:A38"/>
    <mergeCell ref="A1:D3"/>
    <mergeCell ref="C4:D4"/>
    <mergeCell ref="A6:A10"/>
    <mergeCell ref="A11:A24"/>
    <mergeCell ref="A25:A27"/>
    <mergeCell ref="A4:B4"/>
  </mergeCells>
  <pageMargins left="0.70866141732283472" right="0.70866141732283472" top="0.74803149606299213" bottom="0.74803149606299213" header="0.31496062992125984" footer="0.31496062992125984"/>
  <pageSetup paperSize="9" scale="1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5:G640"/>
  <sheetViews>
    <sheetView showGridLines="0" workbookViewId="0">
      <pane ySplit="13" topLeftCell="A14" activePane="bottomLeft" state="frozen"/>
      <selection pane="bottomLeft" activeCell="H5" sqref="H5"/>
    </sheetView>
  </sheetViews>
  <sheetFormatPr defaultColWidth="8.7109375" defaultRowHeight="15"/>
  <cols>
    <col min="1" max="1" width="49.42578125" customWidth="1"/>
    <col min="2" max="2" width="11.5703125" customWidth="1"/>
    <col min="3" max="3" width="16.42578125" customWidth="1"/>
    <col min="4" max="4" width="22.7109375" style="152" customWidth="1"/>
    <col min="5" max="5" width="13.5703125" style="152" bestFit="1" customWidth="1"/>
    <col min="6" max="6" width="12.28515625" bestFit="1" customWidth="1"/>
    <col min="7" max="7" width="11.28515625" bestFit="1" customWidth="1"/>
  </cols>
  <sheetData>
    <row r="5" spans="1:7" ht="18" customHeight="1">
      <c r="A5" s="399" t="s">
        <v>740</v>
      </c>
      <c r="B5" s="399"/>
      <c r="C5" s="399"/>
      <c r="D5" s="399"/>
      <c r="E5" s="399"/>
      <c r="F5" s="399"/>
      <c r="G5" s="399"/>
    </row>
    <row r="6" spans="1:7" ht="18" customHeight="1">
      <c r="A6" s="202"/>
      <c r="B6" s="202"/>
      <c r="C6" s="202"/>
      <c r="D6" s="202"/>
      <c r="E6" s="202"/>
    </row>
    <row r="7" spans="1:7" ht="18" customHeight="1">
      <c r="A7" s="202"/>
      <c r="B7" s="202"/>
      <c r="C7" s="202"/>
      <c r="D7" s="202"/>
      <c r="E7" s="202"/>
    </row>
    <row r="8" spans="1:7" ht="18" customHeight="1">
      <c r="A8" s="202"/>
      <c r="B8" s="202"/>
      <c r="C8" s="202"/>
      <c r="D8" s="202"/>
      <c r="E8" s="202"/>
    </row>
    <row r="9" spans="1:7" ht="15" customHeight="1">
      <c r="A9" s="202"/>
      <c r="B9" s="202"/>
      <c r="C9" s="202"/>
      <c r="D9" s="202"/>
      <c r="E9" s="202"/>
    </row>
    <row r="10" spans="1:7" ht="18" hidden="1">
      <c r="A10" s="146" t="s">
        <v>426</v>
      </c>
      <c r="B10" t="s">
        <v>427</v>
      </c>
      <c r="C10" s="292"/>
      <c r="D10" s="292"/>
      <c r="E10" s="292"/>
    </row>
    <row r="11" spans="1:7" hidden="1">
      <c r="A11" s="146" t="s">
        <v>428</v>
      </c>
      <c r="B11" t="s">
        <v>429</v>
      </c>
    </row>
    <row r="13" spans="1:7">
      <c r="A13" s="147" t="s">
        <v>434</v>
      </c>
      <c r="B13" s="147" t="s">
        <v>432</v>
      </c>
      <c r="C13" s="147" t="s">
        <v>433</v>
      </c>
      <c r="D13" s="159" t="s">
        <v>430</v>
      </c>
      <c r="E13" s="175" t="s">
        <v>439</v>
      </c>
      <c r="F13" s="175" t="s">
        <v>440</v>
      </c>
      <c r="G13" s="179" t="s">
        <v>741</v>
      </c>
    </row>
    <row r="14" spans="1:7">
      <c r="A14" s="147" t="s">
        <v>437</v>
      </c>
      <c r="B14" s="147"/>
      <c r="C14" s="147"/>
      <c r="D14" s="147"/>
      <c r="E14" s="176"/>
      <c r="F14" s="176"/>
      <c r="G14" s="176"/>
    </row>
    <row r="15" spans="1:7">
      <c r="D15"/>
      <c r="E15"/>
    </row>
    <row r="16" spans="1:7">
      <c r="D16"/>
      <c r="E16"/>
    </row>
    <row r="17" spans="4:5">
      <c r="D17"/>
      <c r="E17"/>
    </row>
    <row r="18" spans="4:5">
      <c r="D18"/>
      <c r="E18"/>
    </row>
    <row r="19" spans="4:5">
      <c r="D19"/>
      <c r="E19"/>
    </row>
    <row r="20" spans="4:5">
      <c r="D20"/>
      <c r="E20"/>
    </row>
    <row r="21" spans="4:5">
      <c r="D21"/>
      <c r="E21"/>
    </row>
    <row r="22" spans="4:5">
      <c r="D22"/>
      <c r="E22"/>
    </row>
    <row r="23" spans="4:5">
      <c r="D23"/>
      <c r="E23"/>
    </row>
    <row r="24" spans="4:5">
      <c r="D24"/>
      <c r="E24"/>
    </row>
    <row r="25" spans="4:5">
      <c r="D25"/>
      <c r="E25"/>
    </row>
    <row r="26" spans="4:5">
      <c r="D26"/>
      <c r="E26"/>
    </row>
    <row r="27" spans="4:5">
      <c r="D27"/>
      <c r="E27"/>
    </row>
    <row r="28" spans="4:5">
      <c r="D28"/>
      <c r="E28"/>
    </row>
    <row r="29" spans="4:5">
      <c r="D29"/>
      <c r="E29"/>
    </row>
    <row r="30" spans="4:5">
      <c r="D30"/>
      <c r="E30"/>
    </row>
    <row r="31" spans="4:5">
      <c r="D31"/>
      <c r="E31"/>
    </row>
    <row r="32" spans="4:5">
      <c r="D32"/>
      <c r="E32"/>
    </row>
    <row r="33" spans="4:5">
      <c r="D33"/>
      <c r="E33"/>
    </row>
    <row r="34" spans="4:5">
      <c r="D34"/>
      <c r="E34"/>
    </row>
    <row r="35" spans="4:5">
      <c r="D35"/>
      <c r="E35"/>
    </row>
    <row r="36" spans="4:5">
      <c r="D36"/>
      <c r="E36"/>
    </row>
    <row r="37" spans="4:5">
      <c r="D37"/>
      <c r="E37"/>
    </row>
    <row r="38" spans="4:5">
      <c r="D38"/>
      <c r="E38"/>
    </row>
    <row r="39" spans="4:5">
      <c r="D39"/>
      <c r="E39"/>
    </row>
    <row r="40" spans="4:5">
      <c r="D40"/>
      <c r="E40"/>
    </row>
    <row r="41" spans="4:5">
      <c r="D41"/>
      <c r="E41"/>
    </row>
    <row r="42" spans="4:5">
      <c r="D42"/>
      <c r="E42"/>
    </row>
    <row r="43" spans="4:5">
      <c r="D43"/>
      <c r="E43"/>
    </row>
    <row r="44" spans="4:5">
      <c r="D44"/>
      <c r="E44"/>
    </row>
    <row r="45" spans="4:5">
      <c r="D45"/>
      <c r="E45"/>
    </row>
    <row r="46" spans="4:5">
      <c r="D46"/>
      <c r="E46"/>
    </row>
    <row r="47" spans="4:5">
      <c r="D47"/>
      <c r="E47"/>
    </row>
    <row r="48" spans="4:5">
      <c r="D48"/>
      <c r="E48"/>
    </row>
    <row r="49" spans="4:5">
      <c r="D49"/>
      <c r="E49"/>
    </row>
    <row r="50" spans="4:5">
      <c r="D50"/>
      <c r="E50"/>
    </row>
    <row r="51" spans="4:5">
      <c r="D51"/>
      <c r="E51"/>
    </row>
    <row r="52" spans="4:5">
      <c r="D52"/>
      <c r="E52"/>
    </row>
    <row r="53" spans="4:5">
      <c r="D53"/>
      <c r="E53"/>
    </row>
    <row r="54" spans="4:5">
      <c r="D54"/>
      <c r="E54"/>
    </row>
    <row r="55" spans="4:5">
      <c r="D55"/>
      <c r="E55"/>
    </row>
    <row r="56" spans="4:5">
      <c r="D56"/>
      <c r="E56"/>
    </row>
    <row r="57" spans="4:5">
      <c r="D57"/>
      <c r="E57"/>
    </row>
    <row r="58" spans="4:5">
      <c r="D58"/>
      <c r="E58"/>
    </row>
    <row r="59" spans="4:5">
      <c r="D59"/>
      <c r="E59"/>
    </row>
    <row r="60" spans="4:5">
      <c r="D60"/>
      <c r="E60"/>
    </row>
    <row r="61" spans="4:5">
      <c r="D61"/>
      <c r="E61"/>
    </row>
    <row r="62" spans="4:5">
      <c r="D62"/>
      <c r="E62"/>
    </row>
    <row r="63" spans="4:5">
      <c r="D63"/>
      <c r="E63"/>
    </row>
    <row r="64" spans="4:5">
      <c r="D64"/>
      <c r="E64"/>
    </row>
    <row r="65" spans="4:5">
      <c r="D65"/>
      <c r="E65"/>
    </row>
    <row r="66" spans="4:5">
      <c r="D66"/>
      <c r="E66"/>
    </row>
    <row r="67" spans="4:5">
      <c r="D67"/>
      <c r="E67"/>
    </row>
    <row r="68" spans="4:5">
      <c r="D68"/>
      <c r="E68"/>
    </row>
    <row r="69" spans="4:5">
      <c r="D69"/>
      <c r="E69"/>
    </row>
    <row r="70" spans="4:5">
      <c r="D70"/>
      <c r="E70"/>
    </row>
    <row r="71" spans="4:5">
      <c r="D71"/>
      <c r="E71"/>
    </row>
    <row r="72" spans="4:5">
      <c r="D72"/>
      <c r="E72"/>
    </row>
    <row r="73" spans="4:5">
      <c r="D73"/>
      <c r="E73"/>
    </row>
    <row r="74" spans="4:5">
      <c r="D74"/>
      <c r="E74"/>
    </row>
    <row r="75" spans="4:5">
      <c r="D75"/>
      <c r="E75"/>
    </row>
    <row r="76" spans="4:5">
      <c r="D76"/>
      <c r="E76"/>
    </row>
    <row r="77" spans="4:5">
      <c r="D77"/>
      <c r="E77"/>
    </row>
    <row r="78" spans="4:5">
      <c r="D78"/>
      <c r="E78"/>
    </row>
    <row r="79" spans="4:5">
      <c r="D79"/>
      <c r="E79"/>
    </row>
    <row r="80" spans="4:5">
      <c r="D80"/>
      <c r="E80"/>
    </row>
    <row r="81" spans="4:5">
      <c r="D81"/>
      <c r="E81"/>
    </row>
    <row r="82" spans="4:5">
      <c r="D82"/>
      <c r="E82"/>
    </row>
    <row r="83" spans="4:5">
      <c r="D83"/>
      <c r="E83"/>
    </row>
    <row r="84" spans="4:5">
      <c r="D84"/>
      <c r="E84"/>
    </row>
    <row r="85" spans="4:5">
      <c r="D85"/>
      <c r="E85"/>
    </row>
    <row r="86" spans="4:5">
      <c r="D86"/>
      <c r="E86"/>
    </row>
    <row r="87" spans="4:5">
      <c r="D87"/>
      <c r="E87"/>
    </row>
    <row r="88" spans="4:5">
      <c r="D88"/>
      <c r="E88"/>
    </row>
    <row r="89" spans="4:5">
      <c r="D89"/>
      <c r="E89"/>
    </row>
    <row r="90" spans="4:5">
      <c r="D90"/>
      <c r="E90"/>
    </row>
    <row r="91" spans="4:5">
      <c r="D91"/>
      <c r="E91"/>
    </row>
    <row r="92" spans="4:5">
      <c r="D92"/>
      <c r="E92"/>
    </row>
    <row r="93" spans="4:5">
      <c r="D93"/>
      <c r="E93"/>
    </row>
    <row r="94" spans="4:5">
      <c r="D94"/>
      <c r="E94"/>
    </row>
    <row r="95" spans="4:5">
      <c r="D95"/>
      <c r="E95"/>
    </row>
    <row r="96" spans="4:5">
      <c r="D96"/>
      <c r="E96"/>
    </row>
    <row r="97" spans="4:5">
      <c r="D97"/>
      <c r="E97"/>
    </row>
    <row r="98" spans="4:5">
      <c r="D98"/>
      <c r="E98"/>
    </row>
    <row r="99" spans="4:5">
      <c r="D99"/>
      <c r="E99"/>
    </row>
    <row r="100" spans="4:5">
      <c r="D100"/>
      <c r="E100"/>
    </row>
    <row r="101" spans="4:5">
      <c r="D101"/>
      <c r="E101"/>
    </row>
    <row r="102" spans="4:5">
      <c r="D102"/>
      <c r="E102"/>
    </row>
    <row r="103" spans="4:5">
      <c r="D103"/>
      <c r="E103"/>
    </row>
    <row r="104" spans="4:5">
      <c r="D104"/>
      <c r="E104"/>
    </row>
    <row r="105" spans="4:5">
      <c r="D105"/>
      <c r="E105"/>
    </row>
    <row r="106" spans="4:5">
      <c r="D106"/>
      <c r="E106"/>
    </row>
    <row r="107" spans="4:5">
      <c r="D107"/>
      <c r="E107"/>
    </row>
    <row r="108" spans="4:5">
      <c r="D108"/>
      <c r="E108"/>
    </row>
    <row r="109" spans="4:5">
      <c r="D109"/>
      <c r="E109"/>
    </row>
    <row r="110" spans="4:5">
      <c r="D110"/>
      <c r="E110"/>
    </row>
    <row r="111" spans="4:5">
      <c r="D111"/>
      <c r="E111"/>
    </row>
    <row r="112" spans="4:5">
      <c r="D112"/>
      <c r="E112"/>
    </row>
    <row r="113" spans="4:5">
      <c r="D113"/>
      <c r="E113"/>
    </row>
    <row r="114" spans="4:5">
      <c r="D114"/>
      <c r="E114"/>
    </row>
    <row r="115" spans="4:5">
      <c r="D115"/>
      <c r="E115"/>
    </row>
    <row r="116" spans="4:5">
      <c r="D116"/>
      <c r="E116"/>
    </row>
    <row r="117" spans="4:5">
      <c r="D117"/>
      <c r="E117"/>
    </row>
    <row r="118" spans="4:5">
      <c r="D118"/>
      <c r="E118"/>
    </row>
    <row r="119" spans="4:5">
      <c r="D119"/>
      <c r="E119"/>
    </row>
    <row r="120" spans="4:5">
      <c r="D120"/>
      <c r="E120"/>
    </row>
    <row r="121" spans="4:5">
      <c r="D121"/>
      <c r="E121"/>
    </row>
    <row r="122" spans="4:5">
      <c r="D122"/>
      <c r="E122"/>
    </row>
    <row r="123" spans="4:5">
      <c r="D123"/>
      <c r="E123"/>
    </row>
    <row r="124" spans="4:5">
      <c r="D124"/>
      <c r="E124"/>
    </row>
    <row r="125" spans="4:5">
      <c r="D125"/>
      <c r="E125"/>
    </row>
    <row r="126" spans="4:5">
      <c r="D126"/>
      <c r="E126"/>
    </row>
    <row r="127" spans="4:5">
      <c r="D127"/>
      <c r="E127"/>
    </row>
    <row r="128" spans="4:5">
      <c r="D128"/>
      <c r="E128"/>
    </row>
    <row r="129" spans="4:5">
      <c r="D129"/>
      <c r="E129"/>
    </row>
    <row r="130" spans="4:5">
      <c r="D130"/>
      <c r="E130"/>
    </row>
    <row r="131" spans="4:5">
      <c r="D131"/>
      <c r="E131"/>
    </row>
    <row r="132" spans="4:5">
      <c r="D132"/>
      <c r="E132"/>
    </row>
    <row r="133" spans="4:5">
      <c r="D133"/>
      <c r="E133"/>
    </row>
    <row r="134" spans="4:5">
      <c r="D134"/>
      <c r="E134"/>
    </row>
    <row r="135" spans="4:5">
      <c r="D135"/>
      <c r="E135"/>
    </row>
    <row r="136" spans="4:5">
      <c r="D136"/>
      <c r="E136"/>
    </row>
    <row r="137" spans="4:5">
      <c r="D137"/>
      <c r="E137"/>
    </row>
    <row r="138" spans="4:5">
      <c r="D138"/>
      <c r="E138"/>
    </row>
    <row r="139" spans="4:5">
      <c r="D139"/>
      <c r="E139"/>
    </row>
    <row r="140" spans="4:5">
      <c r="D140"/>
      <c r="E140"/>
    </row>
    <row r="141" spans="4:5">
      <c r="D141"/>
      <c r="E141"/>
    </row>
    <row r="142" spans="4:5">
      <c r="D142"/>
      <c r="E142"/>
    </row>
    <row r="143" spans="4:5">
      <c r="D143"/>
      <c r="E143"/>
    </row>
    <row r="144" spans="4:5">
      <c r="D144"/>
      <c r="E144"/>
    </row>
    <row r="145" spans="4:5">
      <c r="D145"/>
      <c r="E145"/>
    </row>
    <row r="146" spans="4:5">
      <c r="D146"/>
      <c r="E146"/>
    </row>
    <row r="147" spans="4:5">
      <c r="D147"/>
      <c r="E147"/>
    </row>
    <row r="148" spans="4:5">
      <c r="D148"/>
      <c r="E148"/>
    </row>
    <row r="149" spans="4:5">
      <c r="D149"/>
      <c r="E149"/>
    </row>
    <row r="150" spans="4:5">
      <c r="D150"/>
      <c r="E150"/>
    </row>
    <row r="151" spans="4:5">
      <c r="D151"/>
      <c r="E151"/>
    </row>
    <row r="152" spans="4:5">
      <c r="D152"/>
      <c r="E152"/>
    </row>
    <row r="153" spans="4:5">
      <c r="D153"/>
      <c r="E153"/>
    </row>
    <row r="154" spans="4:5">
      <c r="D154"/>
      <c r="E154"/>
    </row>
    <row r="155" spans="4:5">
      <c r="D155"/>
      <c r="E155"/>
    </row>
    <row r="156" spans="4:5">
      <c r="D156"/>
      <c r="E156"/>
    </row>
    <row r="157" spans="4:5">
      <c r="D157"/>
      <c r="E157"/>
    </row>
    <row r="158" spans="4:5">
      <c r="D158"/>
      <c r="E158"/>
    </row>
    <row r="159" spans="4:5">
      <c r="D159"/>
      <c r="E159"/>
    </row>
    <row r="160" spans="4:5">
      <c r="D160"/>
      <c r="E160"/>
    </row>
    <row r="161" spans="4:5">
      <c r="D161"/>
      <c r="E161"/>
    </row>
    <row r="162" spans="4:5">
      <c r="D162"/>
      <c r="E162"/>
    </row>
    <row r="163" spans="4:5">
      <c r="D163"/>
      <c r="E163"/>
    </row>
    <row r="164" spans="4:5">
      <c r="D164"/>
      <c r="E164"/>
    </row>
    <row r="165" spans="4:5">
      <c r="D165"/>
      <c r="E165"/>
    </row>
    <row r="166" spans="4:5">
      <c r="D166"/>
      <c r="E166"/>
    </row>
    <row r="167" spans="4:5">
      <c r="D167"/>
      <c r="E167"/>
    </row>
    <row r="168" spans="4:5">
      <c r="D168"/>
      <c r="E168"/>
    </row>
    <row r="169" spans="4:5">
      <c r="D169"/>
      <c r="E169"/>
    </row>
    <row r="170" spans="4:5">
      <c r="D170"/>
      <c r="E170"/>
    </row>
    <row r="171" spans="4:5">
      <c r="D171"/>
      <c r="E171"/>
    </row>
    <row r="172" spans="4:5">
      <c r="D172"/>
      <c r="E172"/>
    </row>
    <row r="173" spans="4:5">
      <c r="D173"/>
      <c r="E173"/>
    </row>
    <row r="174" spans="4:5">
      <c r="D174"/>
      <c r="E174"/>
    </row>
    <row r="175" spans="4:5">
      <c r="D175"/>
      <c r="E175"/>
    </row>
    <row r="176" spans="4:5">
      <c r="D176"/>
      <c r="E176"/>
    </row>
    <row r="177" spans="4:5">
      <c r="D177"/>
      <c r="E177"/>
    </row>
    <row r="178" spans="4:5">
      <c r="D178"/>
      <c r="E178"/>
    </row>
    <row r="179" spans="4:5">
      <c r="D179"/>
      <c r="E179"/>
    </row>
    <row r="180" spans="4:5">
      <c r="D180"/>
      <c r="E180"/>
    </row>
    <row r="181" spans="4:5">
      <c r="D181"/>
      <c r="E181"/>
    </row>
    <row r="182" spans="4:5">
      <c r="D182"/>
      <c r="E182"/>
    </row>
    <row r="183" spans="4:5">
      <c r="D183"/>
      <c r="E183"/>
    </row>
    <row r="184" spans="4:5">
      <c r="D184"/>
      <c r="E184"/>
    </row>
    <row r="185" spans="4:5">
      <c r="D185"/>
      <c r="E185"/>
    </row>
    <row r="186" spans="4:5">
      <c r="D186"/>
      <c r="E186"/>
    </row>
    <row r="187" spans="4:5">
      <c r="D187"/>
      <c r="E187"/>
    </row>
    <row r="188" spans="4:5">
      <c r="D188"/>
      <c r="E188"/>
    </row>
    <row r="189" spans="4:5">
      <c r="D189"/>
      <c r="E189"/>
    </row>
    <row r="190" spans="4:5">
      <c r="D190"/>
      <c r="E190"/>
    </row>
    <row r="191" spans="4:5">
      <c r="D191"/>
      <c r="E191"/>
    </row>
    <row r="192" spans="4:5">
      <c r="D192"/>
      <c r="E192"/>
    </row>
    <row r="193" spans="4:5">
      <c r="D193"/>
      <c r="E193"/>
    </row>
    <row r="194" spans="4:5">
      <c r="D194"/>
      <c r="E194"/>
    </row>
    <row r="195" spans="4:5">
      <c r="D195"/>
      <c r="E195"/>
    </row>
    <row r="196" spans="4:5">
      <c r="D196"/>
      <c r="E196"/>
    </row>
    <row r="197" spans="4:5">
      <c r="D197"/>
      <c r="E197"/>
    </row>
    <row r="198" spans="4:5">
      <c r="D198"/>
      <c r="E198"/>
    </row>
    <row r="199" spans="4:5">
      <c r="D199"/>
      <c r="E199"/>
    </row>
    <row r="200" spans="4:5">
      <c r="D200"/>
      <c r="E200"/>
    </row>
    <row r="201" spans="4:5">
      <c r="D201"/>
      <c r="E201"/>
    </row>
    <row r="202" spans="4:5">
      <c r="D202"/>
      <c r="E202"/>
    </row>
    <row r="203" spans="4:5">
      <c r="D203"/>
      <c r="E203"/>
    </row>
    <row r="204" spans="4:5">
      <c r="D204"/>
      <c r="E204"/>
    </row>
    <row r="205" spans="4:5">
      <c r="D205"/>
      <c r="E205"/>
    </row>
    <row r="206" spans="4:5">
      <c r="D206"/>
      <c r="E206"/>
    </row>
    <row r="207" spans="4:5">
      <c r="D207"/>
      <c r="E207"/>
    </row>
    <row r="208" spans="4:5">
      <c r="D208"/>
      <c r="E208"/>
    </row>
    <row r="209" spans="4:5">
      <c r="D209"/>
      <c r="E209"/>
    </row>
    <row r="210" spans="4:5">
      <c r="D210"/>
      <c r="E210"/>
    </row>
    <row r="211" spans="4:5">
      <c r="D211"/>
      <c r="E211"/>
    </row>
    <row r="212" spans="4:5">
      <c r="D212"/>
      <c r="E212"/>
    </row>
    <row r="213" spans="4:5">
      <c r="D213"/>
      <c r="E213"/>
    </row>
    <row r="214" spans="4:5">
      <c r="D214"/>
      <c r="E214"/>
    </row>
    <row r="215" spans="4:5">
      <c r="D215"/>
      <c r="E215"/>
    </row>
    <row r="216" spans="4:5">
      <c r="D216"/>
      <c r="E216"/>
    </row>
    <row r="217" spans="4:5">
      <c r="D217"/>
      <c r="E217"/>
    </row>
    <row r="218" spans="4:5">
      <c r="D218"/>
      <c r="E218"/>
    </row>
    <row r="219" spans="4:5">
      <c r="D219"/>
      <c r="E219"/>
    </row>
    <row r="220" spans="4:5">
      <c r="D220"/>
      <c r="E220"/>
    </row>
    <row r="221" spans="4:5">
      <c r="D221"/>
      <c r="E221"/>
    </row>
    <row r="222" spans="4:5">
      <c r="D222"/>
      <c r="E222"/>
    </row>
    <row r="223" spans="4:5">
      <c r="D223"/>
      <c r="E223"/>
    </row>
    <row r="224" spans="4:5">
      <c r="D224"/>
      <c r="E224"/>
    </row>
    <row r="225" spans="4:5">
      <c r="D225"/>
      <c r="E225"/>
    </row>
    <row r="226" spans="4:5">
      <c r="D226"/>
      <c r="E226"/>
    </row>
    <row r="227" spans="4:5">
      <c r="D227"/>
      <c r="E227"/>
    </row>
    <row r="228" spans="4:5">
      <c r="D228"/>
      <c r="E228"/>
    </row>
    <row r="229" spans="4:5">
      <c r="D229"/>
      <c r="E229"/>
    </row>
    <row r="230" spans="4:5">
      <c r="D230"/>
      <c r="E230"/>
    </row>
    <row r="231" spans="4:5">
      <c r="D231"/>
      <c r="E231"/>
    </row>
    <row r="232" spans="4:5">
      <c r="D232"/>
      <c r="E232"/>
    </row>
    <row r="233" spans="4:5">
      <c r="D233"/>
      <c r="E233"/>
    </row>
    <row r="234" spans="4:5">
      <c r="D234"/>
      <c r="E234"/>
    </row>
    <row r="235" spans="4:5">
      <c r="D235"/>
      <c r="E235"/>
    </row>
    <row r="236" spans="4:5">
      <c r="D236"/>
      <c r="E236"/>
    </row>
    <row r="237" spans="4:5">
      <c r="D237"/>
      <c r="E237"/>
    </row>
    <row r="238" spans="4:5">
      <c r="D238"/>
      <c r="E238"/>
    </row>
    <row r="239" spans="4:5">
      <c r="D239"/>
      <c r="E239"/>
    </row>
    <row r="240" spans="4:5">
      <c r="D240"/>
      <c r="E240"/>
    </row>
    <row r="241" spans="4:5">
      <c r="D241"/>
      <c r="E241"/>
    </row>
    <row r="242" spans="4:5">
      <c r="D242"/>
      <c r="E242"/>
    </row>
    <row r="243" spans="4:5">
      <c r="D243"/>
      <c r="E243"/>
    </row>
    <row r="244" spans="4:5">
      <c r="D244"/>
      <c r="E244"/>
    </row>
    <row r="245" spans="4:5">
      <c r="D245"/>
      <c r="E245"/>
    </row>
    <row r="246" spans="4:5">
      <c r="D246"/>
      <c r="E246"/>
    </row>
    <row r="247" spans="4:5">
      <c r="D247"/>
      <c r="E247"/>
    </row>
    <row r="248" spans="4:5">
      <c r="D248"/>
      <c r="E248"/>
    </row>
    <row r="249" spans="4:5">
      <c r="D249"/>
      <c r="E249"/>
    </row>
    <row r="250" spans="4:5">
      <c r="D250"/>
      <c r="E250"/>
    </row>
    <row r="251" spans="4:5">
      <c r="D251"/>
      <c r="E251"/>
    </row>
    <row r="252" spans="4:5">
      <c r="D252"/>
      <c r="E252"/>
    </row>
    <row r="253" spans="4:5">
      <c r="D253"/>
      <c r="E253"/>
    </row>
    <row r="254" spans="4:5">
      <c r="D254"/>
      <c r="E254"/>
    </row>
    <row r="255" spans="4:5">
      <c r="D255"/>
      <c r="E255"/>
    </row>
    <row r="256" spans="4:5">
      <c r="D256"/>
      <c r="E256"/>
    </row>
    <row r="257" spans="4:5">
      <c r="D257"/>
      <c r="E257"/>
    </row>
    <row r="258" spans="4:5">
      <c r="D258"/>
      <c r="E258"/>
    </row>
    <row r="259" spans="4:5">
      <c r="D259"/>
      <c r="E259"/>
    </row>
    <row r="260" spans="4:5">
      <c r="D260"/>
      <c r="E260"/>
    </row>
    <row r="261" spans="4:5">
      <c r="D261"/>
      <c r="E261"/>
    </row>
    <row r="262" spans="4:5">
      <c r="D262"/>
      <c r="E262"/>
    </row>
    <row r="263" spans="4:5">
      <c r="D263"/>
      <c r="E263"/>
    </row>
    <row r="264" spans="4:5">
      <c r="D264"/>
      <c r="E264"/>
    </row>
    <row r="265" spans="4:5">
      <c r="D265"/>
      <c r="E265"/>
    </row>
    <row r="266" spans="4:5">
      <c r="D266"/>
      <c r="E266"/>
    </row>
    <row r="267" spans="4:5">
      <c r="D267"/>
      <c r="E267"/>
    </row>
    <row r="268" spans="4:5">
      <c r="D268"/>
      <c r="E268"/>
    </row>
    <row r="269" spans="4:5">
      <c r="D269"/>
      <c r="E269"/>
    </row>
    <row r="270" spans="4:5">
      <c r="D270"/>
      <c r="E270"/>
    </row>
    <row r="271" spans="4:5">
      <c r="D271"/>
      <c r="E271"/>
    </row>
    <row r="272" spans="4:5">
      <c r="D272"/>
      <c r="E272"/>
    </row>
    <row r="273" spans="4:5">
      <c r="D273"/>
      <c r="E273"/>
    </row>
    <row r="274" spans="4:5">
      <c r="D274"/>
      <c r="E274"/>
    </row>
    <row r="275" spans="4:5">
      <c r="D275"/>
      <c r="E275"/>
    </row>
    <row r="276" spans="4:5">
      <c r="D276"/>
      <c r="E276"/>
    </row>
    <row r="277" spans="4:5">
      <c r="D277"/>
      <c r="E277"/>
    </row>
    <row r="278" spans="4:5">
      <c r="D278"/>
      <c r="E278"/>
    </row>
    <row r="279" spans="4:5">
      <c r="D279"/>
      <c r="E279"/>
    </row>
    <row r="280" spans="4:5">
      <c r="D280"/>
      <c r="E280"/>
    </row>
    <row r="281" spans="4:5">
      <c r="D281"/>
      <c r="E281"/>
    </row>
    <row r="282" spans="4:5">
      <c r="D282"/>
      <c r="E282"/>
    </row>
    <row r="283" spans="4:5">
      <c r="D283"/>
      <c r="E283"/>
    </row>
    <row r="284" spans="4:5">
      <c r="D284"/>
      <c r="E284"/>
    </row>
    <row r="285" spans="4:5">
      <c r="D285"/>
      <c r="E285"/>
    </row>
    <row r="286" spans="4:5">
      <c r="D286"/>
      <c r="E286"/>
    </row>
    <row r="287" spans="4:5">
      <c r="D287"/>
      <c r="E287"/>
    </row>
    <row r="288" spans="4:5">
      <c r="D288"/>
      <c r="E288"/>
    </row>
    <row r="289" spans="4:5">
      <c r="D289"/>
      <c r="E289"/>
    </row>
    <row r="290" spans="4:5">
      <c r="D290"/>
      <c r="E290"/>
    </row>
    <row r="291" spans="4:5">
      <c r="D291"/>
      <c r="E291"/>
    </row>
    <row r="292" spans="4:5">
      <c r="D292"/>
      <c r="E292"/>
    </row>
    <row r="293" spans="4:5">
      <c r="D293"/>
      <c r="E293"/>
    </row>
    <row r="294" spans="4:5">
      <c r="D294"/>
      <c r="E294"/>
    </row>
    <row r="295" spans="4:5">
      <c r="D295"/>
      <c r="E295"/>
    </row>
    <row r="296" spans="4:5">
      <c r="D296"/>
      <c r="E296"/>
    </row>
    <row r="297" spans="4:5">
      <c r="D297"/>
      <c r="E297"/>
    </row>
    <row r="298" spans="4:5">
      <c r="D298"/>
      <c r="E298"/>
    </row>
    <row r="299" spans="4:5">
      <c r="D299"/>
      <c r="E299"/>
    </row>
    <row r="300" spans="4:5">
      <c r="D300"/>
      <c r="E300"/>
    </row>
    <row r="301" spans="4:5">
      <c r="D301"/>
      <c r="E301"/>
    </row>
    <row r="302" spans="4:5">
      <c r="D302"/>
      <c r="E302"/>
    </row>
    <row r="303" spans="4:5">
      <c r="D303"/>
      <c r="E303"/>
    </row>
    <row r="304" spans="4:5">
      <c r="D304"/>
      <c r="E304"/>
    </row>
    <row r="305" spans="4:5">
      <c r="D305"/>
      <c r="E305"/>
    </row>
    <row r="306" spans="4:5">
      <c r="D306"/>
      <c r="E306"/>
    </row>
    <row r="307" spans="4:5">
      <c r="D307"/>
      <c r="E307"/>
    </row>
    <row r="308" spans="4:5">
      <c r="D308"/>
      <c r="E308"/>
    </row>
    <row r="309" spans="4:5">
      <c r="D309"/>
      <c r="E309"/>
    </row>
    <row r="310" spans="4:5">
      <c r="D310"/>
      <c r="E310"/>
    </row>
    <row r="311" spans="4:5">
      <c r="D311"/>
      <c r="E311"/>
    </row>
    <row r="312" spans="4:5">
      <c r="D312"/>
      <c r="E312"/>
    </row>
    <row r="313" spans="4:5">
      <c r="D313"/>
      <c r="E313"/>
    </row>
    <row r="314" spans="4:5">
      <c r="D314"/>
      <c r="E314"/>
    </row>
    <row r="315" spans="4:5">
      <c r="D315"/>
      <c r="E315"/>
    </row>
    <row r="316" spans="4:5">
      <c r="D316"/>
      <c r="E316"/>
    </row>
    <row r="317" spans="4:5">
      <c r="D317"/>
      <c r="E317"/>
    </row>
    <row r="318" spans="4:5">
      <c r="D318"/>
      <c r="E318"/>
    </row>
    <row r="319" spans="4:5">
      <c r="D319"/>
      <c r="E319"/>
    </row>
    <row r="320" spans="4:5">
      <c r="D320"/>
      <c r="E320"/>
    </row>
    <row r="321" spans="4:5">
      <c r="D321"/>
      <c r="E321"/>
    </row>
    <row r="322" spans="4:5">
      <c r="D322"/>
      <c r="E322"/>
    </row>
    <row r="323" spans="4:5">
      <c r="D323"/>
      <c r="E323"/>
    </row>
    <row r="324" spans="4:5">
      <c r="D324"/>
      <c r="E324"/>
    </row>
    <row r="325" spans="4:5">
      <c r="D325"/>
      <c r="E325"/>
    </row>
    <row r="326" spans="4:5">
      <c r="D326"/>
      <c r="E326"/>
    </row>
    <row r="327" spans="4:5">
      <c r="D327"/>
      <c r="E327"/>
    </row>
    <row r="328" spans="4:5">
      <c r="D328"/>
      <c r="E328"/>
    </row>
    <row r="329" spans="4:5">
      <c r="D329"/>
      <c r="E329"/>
    </row>
    <row r="330" spans="4:5">
      <c r="D330"/>
      <c r="E330"/>
    </row>
    <row r="331" spans="4:5">
      <c r="D331"/>
      <c r="E331"/>
    </row>
    <row r="332" spans="4:5">
      <c r="D332"/>
      <c r="E332"/>
    </row>
    <row r="333" spans="4:5">
      <c r="D333"/>
      <c r="E333"/>
    </row>
    <row r="334" spans="4:5">
      <c r="D334"/>
      <c r="E334"/>
    </row>
    <row r="335" spans="4:5">
      <c r="D335"/>
      <c r="E335"/>
    </row>
    <row r="336" spans="4:5">
      <c r="D336"/>
      <c r="E336"/>
    </row>
    <row r="337" spans="4:5">
      <c r="D337"/>
      <c r="E337"/>
    </row>
    <row r="338" spans="4:5">
      <c r="D338"/>
      <c r="E338"/>
    </row>
    <row r="339" spans="4:5">
      <c r="D339"/>
      <c r="E339"/>
    </row>
    <row r="340" spans="4:5">
      <c r="D340"/>
      <c r="E340"/>
    </row>
    <row r="341" spans="4:5">
      <c r="D341"/>
      <c r="E341"/>
    </row>
    <row r="342" spans="4:5">
      <c r="D342"/>
      <c r="E342"/>
    </row>
    <row r="343" spans="4:5">
      <c r="D343"/>
      <c r="E343"/>
    </row>
    <row r="344" spans="4:5">
      <c r="D344"/>
      <c r="E344"/>
    </row>
    <row r="345" spans="4:5">
      <c r="D345"/>
      <c r="E345"/>
    </row>
    <row r="346" spans="4:5">
      <c r="D346"/>
      <c r="E346"/>
    </row>
    <row r="347" spans="4:5">
      <c r="D347"/>
      <c r="E347"/>
    </row>
    <row r="348" spans="4:5">
      <c r="D348"/>
      <c r="E348"/>
    </row>
    <row r="349" spans="4:5">
      <c r="D349"/>
      <c r="E349"/>
    </row>
    <row r="350" spans="4:5">
      <c r="D350"/>
      <c r="E350"/>
    </row>
    <row r="351" spans="4:5">
      <c r="D351"/>
      <c r="E351"/>
    </row>
    <row r="352" spans="4:5">
      <c r="D352"/>
      <c r="E352"/>
    </row>
    <row r="353" spans="4:5">
      <c r="D353"/>
      <c r="E353"/>
    </row>
    <row r="354" spans="4:5">
      <c r="D354"/>
      <c r="E354"/>
    </row>
    <row r="355" spans="4:5">
      <c r="D355"/>
      <c r="E355"/>
    </row>
    <row r="356" spans="4:5">
      <c r="D356"/>
      <c r="E356"/>
    </row>
    <row r="357" spans="4:5">
      <c r="D357"/>
      <c r="E357"/>
    </row>
    <row r="358" spans="4:5">
      <c r="D358"/>
      <c r="E358"/>
    </row>
    <row r="359" spans="4:5">
      <c r="D359"/>
      <c r="E359"/>
    </row>
    <row r="360" spans="4:5">
      <c r="D360"/>
      <c r="E360"/>
    </row>
    <row r="361" spans="4:5">
      <c r="D361"/>
      <c r="E361"/>
    </row>
    <row r="362" spans="4:5">
      <c r="D362"/>
      <c r="E362"/>
    </row>
    <row r="363" spans="4:5">
      <c r="D363"/>
      <c r="E363"/>
    </row>
    <row r="364" spans="4:5">
      <c r="D364"/>
      <c r="E364"/>
    </row>
    <row r="365" spans="4:5">
      <c r="D365"/>
      <c r="E365"/>
    </row>
    <row r="366" spans="4:5">
      <c r="D366"/>
      <c r="E366"/>
    </row>
    <row r="367" spans="4:5">
      <c r="D367"/>
      <c r="E367"/>
    </row>
    <row r="368" spans="4:5">
      <c r="D368"/>
      <c r="E368"/>
    </row>
    <row r="369" spans="4:5">
      <c r="D369"/>
      <c r="E369"/>
    </row>
    <row r="370" spans="4:5">
      <c r="D370"/>
      <c r="E370"/>
    </row>
    <row r="371" spans="4:5">
      <c r="D371"/>
      <c r="E371"/>
    </row>
    <row r="372" spans="4:5">
      <c r="D372"/>
      <c r="E372"/>
    </row>
    <row r="373" spans="4:5">
      <c r="D373"/>
      <c r="E373"/>
    </row>
    <row r="374" spans="4:5">
      <c r="D374"/>
      <c r="E374"/>
    </row>
    <row r="375" spans="4:5">
      <c r="D375"/>
      <c r="E375"/>
    </row>
    <row r="376" spans="4:5">
      <c r="D376"/>
      <c r="E376"/>
    </row>
    <row r="377" spans="4:5">
      <c r="D377"/>
      <c r="E377"/>
    </row>
    <row r="378" spans="4:5">
      <c r="D378"/>
      <c r="E378"/>
    </row>
    <row r="379" spans="4:5">
      <c r="D379"/>
      <c r="E379"/>
    </row>
    <row r="380" spans="4:5">
      <c r="D380"/>
      <c r="E380"/>
    </row>
    <row r="381" spans="4:5">
      <c r="D381"/>
      <c r="E381"/>
    </row>
    <row r="382" spans="4:5">
      <c r="D382"/>
      <c r="E382"/>
    </row>
    <row r="383" spans="4:5">
      <c r="D383"/>
      <c r="E383"/>
    </row>
    <row r="384" spans="4:5">
      <c r="D384"/>
      <c r="E384"/>
    </row>
    <row r="385" spans="4:5">
      <c r="D385"/>
      <c r="E385"/>
    </row>
    <row r="386" spans="4:5">
      <c r="D386"/>
      <c r="E386"/>
    </row>
    <row r="387" spans="4:5">
      <c r="D387"/>
      <c r="E387"/>
    </row>
    <row r="388" spans="4:5">
      <c r="D388"/>
      <c r="E388"/>
    </row>
    <row r="389" spans="4:5">
      <c r="D389"/>
      <c r="E389"/>
    </row>
    <row r="390" spans="4:5">
      <c r="D390"/>
      <c r="E390"/>
    </row>
    <row r="391" spans="4:5">
      <c r="D391"/>
      <c r="E391"/>
    </row>
    <row r="392" spans="4:5">
      <c r="D392"/>
      <c r="E392"/>
    </row>
    <row r="393" spans="4:5">
      <c r="D393"/>
      <c r="E393"/>
    </row>
    <row r="394" spans="4:5">
      <c r="D394"/>
      <c r="E394"/>
    </row>
    <row r="395" spans="4:5">
      <c r="D395"/>
      <c r="E395"/>
    </row>
    <row r="396" spans="4:5">
      <c r="D396"/>
      <c r="E396"/>
    </row>
    <row r="397" spans="4:5">
      <c r="D397"/>
      <c r="E397"/>
    </row>
    <row r="398" spans="4:5">
      <c r="D398"/>
      <c r="E398"/>
    </row>
    <row r="399" spans="4:5">
      <c r="D399"/>
      <c r="E399"/>
    </row>
    <row r="400" spans="4:5">
      <c r="D400"/>
      <c r="E400"/>
    </row>
    <row r="401" spans="4:5">
      <c r="D401"/>
      <c r="E401"/>
    </row>
    <row r="402" spans="4:5">
      <c r="D402"/>
      <c r="E402"/>
    </row>
    <row r="403" spans="4:5">
      <c r="D403"/>
      <c r="E403"/>
    </row>
    <row r="404" spans="4:5">
      <c r="D404"/>
      <c r="E404"/>
    </row>
    <row r="405" spans="4:5">
      <c r="D405"/>
      <c r="E405"/>
    </row>
    <row r="406" spans="4:5">
      <c r="D406"/>
      <c r="E406"/>
    </row>
    <row r="407" spans="4:5">
      <c r="D407"/>
      <c r="E407"/>
    </row>
    <row r="408" spans="4:5">
      <c r="D408"/>
      <c r="E408"/>
    </row>
    <row r="409" spans="4:5">
      <c r="D409"/>
      <c r="E409"/>
    </row>
    <row r="410" spans="4:5">
      <c r="D410"/>
      <c r="E410"/>
    </row>
    <row r="411" spans="4:5">
      <c r="D411"/>
      <c r="E411"/>
    </row>
    <row r="412" spans="4:5">
      <c r="D412"/>
      <c r="E412"/>
    </row>
    <row r="413" spans="4:5">
      <c r="D413"/>
      <c r="E413"/>
    </row>
    <row r="414" spans="4:5">
      <c r="D414"/>
      <c r="E414"/>
    </row>
    <row r="415" spans="4:5">
      <c r="D415"/>
      <c r="E415"/>
    </row>
    <row r="416" spans="4:5">
      <c r="D416"/>
      <c r="E416"/>
    </row>
    <row r="417" spans="4:5">
      <c r="D417"/>
      <c r="E417"/>
    </row>
    <row r="418" spans="4:5">
      <c r="D418"/>
      <c r="E418"/>
    </row>
    <row r="419" spans="4:5">
      <c r="D419"/>
      <c r="E419"/>
    </row>
    <row r="420" spans="4:5">
      <c r="D420"/>
      <c r="E420"/>
    </row>
    <row r="421" spans="4:5">
      <c r="D421"/>
      <c r="E421"/>
    </row>
    <row r="422" spans="4:5">
      <c r="D422"/>
      <c r="E422"/>
    </row>
    <row r="423" spans="4:5">
      <c r="D423"/>
      <c r="E423"/>
    </row>
    <row r="424" spans="4:5">
      <c r="D424"/>
      <c r="E424"/>
    </row>
    <row r="425" spans="4:5">
      <c r="D425"/>
      <c r="E425"/>
    </row>
    <row r="426" spans="4:5">
      <c r="D426"/>
      <c r="E426"/>
    </row>
    <row r="427" spans="4:5">
      <c r="D427"/>
      <c r="E427"/>
    </row>
    <row r="428" spans="4:5">
      <c r="D428"/>
      <c r="E428"/>
    </row>
    <row r="429" spans="4:5">
      <c r="D429"/>
      <c r="E429"/>
    </row>
    <row r="430" spans="4:5">
      <c r="D430"/>
      <c r="E430"/>
    </row>
    <row r="431" spans="4:5">
      <c r="D431"/>
      <c r="E431"/>
    </row>
    <row r="432" spans="4:5">
      <c r="D432"/>
      <c r="E432"/>
    </row>
    <row r="433" spans="4:5">
      <c r="D433"/>
      <c r="E433"/>
    </row>
    <row r="434" spans="4:5">
      <c r="D434"/>
      <c r="E434"/>
    </row>
    <row r="435" spans="4:5">
      <c r="D435"/>
      <c r="E435"/>
    </row>
    <row r="436" spans="4:5">
      <c r="D436"/>
      <c r="E436"/>
    </row>
    <row r="437" spans="4:5">
      <c r="D437"/>
      <c r="E437"/>
    </row>
    <row r="438" spans="4:5">
      <c r="D438"/>
      <c r="E438"/>
    </row>
    <row r="439" spans="4:5">
      <c r="D439"/>
      <c r="E439"/>
    </row>
    <row r="440" spans="4:5">
      <c r="D440"/>
      <c r="E440"/>
    </row>
    <row r="441" spans="4:5">
      <c r="D441"/>
      <c r="E441"/>
    </row>
    <row r="442" spans="4:5">
      <c r="D442"/>
      <c r="E442"/>
    </row>
    <row r="443" spans="4:5">
      <c r="D443"/>
      <c r="E443"/>
    </row>
    <row r="444" spans="4:5">
      <c r="D444"/>
      <c r="E444"/>
    </row>
    <row r="445" spans="4:5">
      <c r="D445"/>
      <c r="E445"/>
    </row>
    <row r="446" spans="4:5">
      <c r="D446"/>
      <c r="E446"/>
    </row>
    <row r="447" spans="4:5">
      <c r="D447"/>
      <c r="E447"/>
    </row>
    <row r="448" spans="4:5">
      <c r="D448"/>
      <c r="E448"/>
    </row>
    <row r="449" spans="4:5">
      <c r="D449"/>
      <c r="E449"/>
    </row>
    <row r="450" spans="4:5">
      <c r="D450"/>
      <c r="E450"/>
    </row>
    <row r="451" spans="4:5">
      <c r="D451"/>
      <c r="E451"/>
    </row>
    <row r="452" spans="4:5">
      <c r="D452"/>
      <c r="E452"/>
    </row>
    <row r="453" spans="4:5">
      <c r="D453"/>
      <c r="E453"/>
    </row>
    <row r="454" spans="4:5">
      <c r="D454"/>
      <c r="E454"/>
    </row>
    <row r="455" spans="4:5">
      <c r="D455"/>
      <c r="E455"/>
    </row>
    <row r="456" spans="4:5">
      <c r="D456"/>
      <c r="E456"/>
    </row>
    <row r="457" spans="4:5">
      <c r="D457"/>
      <c r="E457"/>
    </row>
    <row r="458" spans="4:5">
      <c r="D458"/>
      <c r="E458"/>
    </row>
    <row r="459" spans="4:5">
      <c r="D459"/>
      <c r="E459"/>
    </row>
    <row r="460" spans="4:5">
      <c r="D460"/>
      <c r="E460"/>
    </row>
    <row r="461" spans="4:5">
      <c r="D461"/>
      <c r="E461"/>
    </row>
    <row r="462" spans="4:5">
      <c r="D462"/>
      <c r="E462"/>
    </row>
    <row r="463" spans="4:5">
      <c r="D463"/>
      <c r="E463"/>
    </row>
    <row r="464" spans="4:5">
      <c r="D464"/>
      <c r="E464"/>
    </row>
    <row r="465" spans="4:5">
      <c r="D465"/>
      <c r="E465"/>
    </row>
    <row r="466" spans="4:5">
      <c r="D466"/>
      <c r="E466"/>
    </row>
    <row r="467" spans="4:5">
      <c r="D467"/>
      <c r="E467"/>
    </row>
    <row r="468" spans="4:5">
      <c r="D468"/>
      <c r="E468"/>
    </row>
    <row r="469" spans="4:5">
      <c r="D469"/>
      <c r="E469"/>
    </row>
    <row r="470" spans="4:5">
      <c r="D470"/>
      <c r="E470"/>
    </row>
    <row r="471" spans="4:5">
      <c r="D471"/>
      <c r="E471"/>
    </row>
    <row r="472" spans="4:5">
      <c r="D472"/>
      <c r="E472"/>
    </row>
    <row r="473" spans="4:5">
      <c r="D473"/>
      <c r="E473"/>
    </row>
    <row r="474" spans="4:5">
      <c r="D474"/>
      <c r="E474"/>
    </row>
    <row r="475" spans="4:5">
      <c r="D475"/>
      <c r="E475"/>
    </row>
    <row r="476" spans="4:5">
      <c r="D476"/>
      <c r="E476"/>
    </row>
    <row r="477" spans="4:5">
      <c r="D477"/>
      <c r="E477"/>
    </row>
    <row r="478" spans="4:5">
      <c r="D478"/>
      <c r="E478"/>
    </row>
    <row r="479" spans="4:5">
      <c r="D479"/>
      <c r="E479"/>
    </row>
    <row r="480" spans="4:5">
      <c r="D480"/>
      <c r="E480"/>
    </row>
    <row r="481" spans="4:5">
      <c r="D481"/>
      <c r="E481"/>
    </row>
    <row r="482" spans="4:5">
      <c r="D482"/>
      <c r="E482"/>
    </row>
    <row r="483" spans="4:5">
      <c r="D483"/>
      <c r="E483"/>
    </row>
    <row r="484" spans="4:5">
      <c r="D484"/>
      <c r="E484"/>
    </row>
    <row r="485" spans="4:5">
      <c r="D485"/>
      <c r="E485"/>
    </row>
    <row r="486" spans="4:5">
      <c r="D486"/>
      <c r="E486"/>
    </row>
    <row r="487" spans="4:5">
      <c r="D487"/>
      <c r="E487"/>
    </row>
    <row r="488" spans="4:5">
      <c r="D488"/>
      <c r="E488"/>
    </row>
    <row r="489" spans="4:5">
      <c r="D489"/>
      <c r="E489"/>
    </row>
    <row r="490" spans="4:5">
      <c r="D490"/>
      <c r="E490"/>
    </row>
    <row r="491" spans="4:5">
      <c r="D491"/>
      <c r="E491"/>
    </row>
    <row r="492" spans="4:5">
      <c r="D492"/>
      <c r="E492"/>
    </row>
    <row r="493" spans="4:5">
      <c r="D493"/>
      <c r="E493"/>
    </row>
    <row r="494" spans="4:5">
      <c r="D494"/>
      <c r="E494"/>
    </row>
    <row r="495" spans="4:5">
      <c r="D495"/>
      <c r="E495"/>
    </row>
    <row r="496" spans="4:5">
      <c r="D496"/>
      <c r="E496"/>
    </row>
    <row r="497" spans="4:5">
      <c r="D497"/>
      <c r="E497"/>
    </row>
    <row r="498" spans="4:5">
      <c r="D498"/>
      <c r="E498"/>
    </row>
    <row r="499" spans="4:5">
      <c r="D499"/>
      <c r="E499"/>
    </row>
    <row r="500" spans="4:5">
      <c r="D500"/>
      <c r="E500"/>
    </row>
    <row r="501" spans="4:5">
      <c r="D501"/>
      <c r="E501"/>
    </row>
    <row r="502" spans="4:5">
      <c r="D502"/>
      <c r="E502"/>
    </row>
    <row r="503" spans="4:5">
      <c r="D503"/>
      <c r="E503"/>
    </row>
    <row r="504" spans="4:5">
      <c r="D504"/>
      <c r="E504"/>
    </row>
    <row r="505" spans="4:5">
      <c r="D505"/>
      <c r="E505"/>
    </row>
    <row r="506" spans="4:5">
      <c r="D506"/>
      <c r="E506"/>
    </row>
    <row r="507" spans="4:5">
      <c r="D507"/>
      <c r="E507"/>
    </row>
    <row r="508" spans="4:5">
      <c r="D508"/>
      <c r="E508"/>
    </row>
    <row r="509" spans="4:5">
      <c r="D509"/>
      <c r="E509"/>
    </row>
    <row r="510" spans="4:5">
      <c r="D510"/>
      <c r="E510"/>
    </row>
    <row r="511" spans="4:5">
      <c r="D511"/>
      <c r="E511"/>
    </row>
    <row r="512" spans="4:5">
      <c r="D512"/>
      <c r="E512"/>
    </row>
    <row r="513" spans="4:5">
      <c r="D513"/>
      <c r="E513"/>
    </row>
    <row r="514" spans="4:5">
      <c r="D514"/>
      <c r="E514"/>
    </row>
    <row r="515" spans="4:5">
      <c r="D515"/>
      <c r="E515"/>
    </row>
    <row r="516" spans="4:5">
      <c r="D516"/>
      <c r="E516"/>
    </row>
    <row r="517" spans="4:5">
      <c r="D517"/>
      <c r="E517"/>
    </row>
    <row r="518" spans="4:5">
      <c r="D518"/>
      <c r="E518"/>
    </row>
    <row r="519" spans="4:5">
      <c r="D519"/>
      <c r="E519"/>
    </row>
    <row r="520" spans="4:5">
      <c r="D520"/>
      <c r="E520"/>
    </row>
    <row r="521" spans="4:5">
      <c r="D521"/>
      <c r="E521"/>
    </row>
    <row r="522" spans="4:5">
      <c r="D522"/>
      <c r="E522"/>
    </row>
    <row r="523" spans="4:5">
      <c r="D523"/>
      <c r="E523"/>
    </row>
    <row r="524" spans="4:5">
      <c r="D524"/>
      <c r="E524"/>
    </row>
    <row r="525" spans="4:5">
      <c r="D525"/>
      <c r="E525"/>
    </row>
    <row r="526" spans="4:5">
      <c r="D526"/>
      <c r="E526"/>
    </row>
    <row r="527" spans="4:5">
      <c r="D527"/>
      <c r="E527"/>
    </row>
    <row r="528" spans="4:5">
      <c r="D528"/>
      <c r="E528"/>
    </row>
    <row r="529" spans="4:5">
      <c r="D529"/>
      <c r="E529"/>
    </row>
    <row r="530" spans="4:5">
      <c r="D530"/>
      <c r="E530"/>
    </row>
    <row r="531" spans="4:5">
      <c r="D531"/>
      <c r="E531"/>
    </row>
    <row r="532" spans="4:5">
      <c r="D532"/>
      <c r="E532"/>
    </row>
    <row r="533" spans="4:5">
      <c r="D533"/>
      <c r="E533"/>
    </row>
    <row r="534" spans="4:5">
      <c r="D534"/>
      <c r="E534"/>
    </row>
    <row r="535" spans="4:5">
      <c r="D535"/>
      <c r="E535"/>
    </row>
    <row r="536" spans="4:5">
      <c r="D536"/>
      <c r="E536"/>
    </row>
    <row r="537" spans="4:5">
      <c r="D537"/>
      <c r="E537"/>
    </row>
    <row r="538" spans="4:5">
      <c r="D538"/>
      <c r="E538"/>
    </row>
    <row r="539" spans="4:5">
      <c r="D539"/>
      <c r="E539"/>
    </row>
    <row r="540" spans="4:5">
      <c r="D540"/>
      <c r="E540"/>
    </row>
    <row r="541" spans="4:5">
      <c r="D541"/>
      <c r="E541"/>
    </row>
    <row r="542" spans="4:5">
      <c r="D542"/>
      <c r="E542"/>
    </row>
    <row r="543" spans="4:5">
      <c r="D543"/>
      <c r="E543"/>
    </row>
    <row r="544" spans="4:5">
      <c r="D544"/>
      <c r="E544"/>
    </row>
    <row r="545" spans="4:5">
      <c r="D545"/>
      <c r="E545"/>
    </row>
    <row r="546" spans="4:5">
      <c r="D546"/>
      <c r="E546"/>
    </row>
    <row r="547" spans="4:5">
      <c r="D547"/>
      <c r="E547"/>
    </row>
    <row r="548" spans="4:5">
      <c r="D548"/>
      <c r="E548"/>
    </row>
    <row r="549" spans="4:5">
      <c r="D549"/>
      <c r="E549"/>
    </row>
    <row r="550" spans="4:5">
      <c r="D550"/>
      <c r="E550"/>
    </row>
    <row r="551" spans="4:5">
      <c r="D551"/>
      <c r="E551"/>
    </row>
    <row r="552" spans="4:5">
      <c r="D552"/>
      <c r="E552"/>
    </row>
    <row r="553" spans="4:5">
      <c r="D553"/>
      <c r="E553"/>
    </row>
    <row r="554" spans="4:5">
      <c r="D554"/>
      <c r="E554"/>
    </row>
    <row r="555" spans="4:5">
      <c r="D555"/>
      <c r="E555"/>
    </row>
    <row r="556" spans="4:5">
      <c r="D556"/>
      <c r="E556"/>
    </row>
    <row r="557" spans="4:5">
      <c r="D557"/>
      <c r="E557"/>
    </row>
    <row r="558" spans="4:5">
      <c r="D558"/>
      <c r="E558"/>
    </row>
    <row r="559" spans="4:5">
      <c r="D559"/>
      <c r="E559"/>
    </row>
    <row r="560" spans="4:5">
      <c r="D560"/>
      <c r="E560"/>
    </row>
    <row r="561" spans="4:5">
      <c r="D561"/>
      <c r="E561"/>
    </row>
    <row r="562" spans="4:5">
      <c r="D562"/>
      <c r="E562"/>
    </row>
    <row r="563" spans="4:5">
      <c r="D563"/>
      <c r="E563"/>
    </row>
    <row r="564" spans="4:5">
      <c r="D564"/>
      <c r="E564"/>
    </row>
    <row r="565" spans="4:5">
      <c r="D565"/>
      <c r="E565"/>
    </row>
    <row r="566" spans="4:5">
      <c r="D566"/>
      <c r="E566"/>
    </row>
    <row r="567" spans="4:5">
      <c r="D567"/>
      <c r="E567"/>
    </row>
    <row r="568" spans="4:5">
      <c r="D568"/>
      <c r="E568"/>
    </row>
    <row r="569" spans="4:5">
      <c r="D569"/>
      <c r="E569"/>
    </row>
    <row r="570" spans="4:5">
      <c r="D570"/>
      <c r="E570"/>
    </row>
    <row r="571" spans="4:5">
      <c r="D571"/>
      <c r="E571"/>
    </row>
    <row r="572" spans="4:5">
      <c r="D572"/>
      <c r="E572"/>
    </row>
    <row r="573" spans="4:5">
      <c r="D573"/>
      <c r="E573"/>
    </row>
    <row r="574" spans="4:5">
      <c r="D574"/>
      <c r="E574"/>
    </row>
    <row r="575" spans="4:5">
      <c r="D575"/>
      <c r="E575"/>
    </row>
    <row r="576" spans="4:5">
      <c r="D576"/>
      <c r="E576"/>
    </row>
    <row r="577" spans="4:5">
      <c r="D577"/>
      <c r="E577"/>
    </row>
    <row r="578" spans="4:5">
      <c r="D578"/>
      <c r="E578"/>
    </row>
    <row r="579" spans="4:5">
      <c r="D579"/>
      <c r="E579"/>
    </row>
    <row r="580" spans="4:5">
      <c r="D580"/>
      <c r="E580"/>
    </row>
    <row r="581" spans="4:5">
      <c r="D581"/>
      <c r="E581"/>
    </row>
    <row r="582" spans="4:5">
      <c r="D582"/>
      <c r="E582"/>
    </row>
    <row r="583" spans="4:5">
      <c r="D583"/>
      <c r="E583"/>
    </row>
    <row r="584" spans="4:5">
      <c r="D584"/>
      <c r="E584"/>
    </row>
    <row r="585" spans="4:5">
      <c r="D585"/>
      <c r="E585"/>
    </row>
    <row r="586" spans="4:5">
      <c r="D586"/>
      <c r="E586"/>
    </row>
    <row r="587" spans="4:5">
      <c r="D587"/>
      <c r="E587"/>
    </row>
    <row r="588" spans="4:5">
      <c r="D588"/>
      <c r="E588"/>
    </row>
    <row r="589" spans="4:5">
      <c r="D589"/>
      <c r="E589"/>
    </row>
    <row r="590" spans="4:5">
      <c r="D590"/>
      <c r="E590"/>
    </row>
    <row r="591" spans="4:5">
      <c r="D591"/>
      <c r="E591"/>
    </row>
    <row r="592" spans="4:5">
      <c r="D592"/>
      <c r="E592"/>
    </row>
    <row r="593" spans="4:5">
      <c r="D593"/>
      <c r="E593"/>
    </row>
    <row r="594" spans="4:5">
      <c r="D594"/>
      <c r="E594"/>
    </row>
    <row r="595" spans="4:5">
      <c r="D595"/>
      <c r="E595"/>
    </row>
    <row r="596" spans="4:5">
      <c r="D596"/>
      <c r="E596"/>
    </row>
    <row r="597" spans="4:5">
      <c r="D597"/>
      <c r="E597"/>
    </row>
    <row r="598" spans="4:5">
      <c r="D598"/>
      <c r="E598"/>
    </row>
    <row r="599" spans="4:5">
      <c r="D599"/>
      <c r="E599"/>
    </row>
    <row r="600" spans="4:5">
      <c r="D600"/>
      <c r="E600"/>
    </row>
    <row r="601" spans="4:5">
      <c r="D601"/>
      <c r="E601"/>
    </row>
    <row r="602" spans="4:5">
      <c r="D602"/>
      <c r="E602"/>
    </row>
    <row r="603" spans="4:5">
      <c r="D603"/>
      <c r="E603"/>
    </row>
    <row r="604" spans="4:5">
      <c r="D604"/>
      <c r="E604"/>
    </row>
    <row r="605" spans="4:5">
      <c r="D605"/>
      <c r="E605"/>
    </row>
    <row r="606" spans="4:5">
      <c r="D606"/>
      <c r="E606"/>
    </row>
    <row r="607" spans="4:5">
      <c r="D607"/>
      <c r="E607"/>
    </row>
    <row r="608" spans="4:5">
      <c r="D608"/>
      <c r="E608"/>
    </row>
    <row r="609" spans="4:5">
      <c r="D609"/>
      <c r="E609"/>
    </row>
    <row r="610" spans="4:5">
      <c r="D610"/>
      <c r="E610"/>
    </row>
    <row r="611" spans="4:5">
      <c r="D611"/>
      <c r="E611"/>
    </row>
    <row r="612" spans="4:5">
      <c r="D612"/>
      <c r="E612"/>
    </row>
    <row r="613" spans="4:5">
      <c r="D613"/>
      <c r="E613"/>
    </row>
    <row r="614" spans="4:5">
      <c r="D614"/>
      <c r="E614"/>
    </row>
    <row r="615" spans="4:5">
      <c r="D615"/>
      <c r="E615"/>
    </row>
    <row r="616" spans="4:5">
      <c r="D616"/>
      <c r="E616"/>
    </row>
    <row r="617" spans="4:5">
      <c r="D617"/>
      <c r="E617"/>
    </row>
    <row r="618" spans="4:5">
      <c r="D618"/>
      <c r="E618"/>
    </row>
    <row r="619" spans="4:5">
      <c r="D619"/>
      <c r="E619"/>
    </row>
    <row r="620" spans="4:5">
      <c r="D620"/>
      <c r="E620"/>
    </row>
    <row r="621" spans="4:5">
      <c r="D621"/>
      <c r="E621"/>
    </row>
    <row r="622" spans="4:5">
      <c r="D622"/>
      <c r="E622"/>
    </row>
    <row r="623" spans="4:5">
      <c r="D623"/>
      <c r="E623"/>
    </row>
    <row r="624" spans="4:5">
      <c r="D624"/>
      <c r="E624"/>
    </row>
    <row r="625" spans="4:5">
      <c r="D625"/>
      <c r="E625"/>
    </row>
    <row r="626" spans="4:5">
      <c r="D626"/>
      <c r="E626"/>
    </row>
    <row r="627" spans="4:5">
      <c r="D627"/>
      <c r="E627"/>
    </row>
    <row r="628" spans="4:5">
      <c r="D628"/>
      <c r="E628"/>
    </row>
    <row r="629" spans="4:5">
      <c r="D629"/>
      <c r="E629"/>
    </row>
    <row r="630" spans="4:5">
      <c r="D630"/>
      <c r="E630"/>
    </row>
    <row r="631" spans="4:5">
      <c r="D631"/>
      <c r="E631"/>
    </row>
    <row r="632" spans="4:5">
      <c r="D632"/>
      <c r="E632"/>
    </row>
    <row r="633" spans="4:5">
      <c r="D633"/>
      <c r="E633"/>
    </row>
    <row r="634" spans="4:5">
      <c r="D634"/>
      <c r="E634"/>
    </row>
    <row r="635" spans="4:5">
      <c r="D635"/>
      <c r="E635"/>
    </row>
    <row r="636" spans="4:5">
      <c r="D636"/>
      <c r="E636"/>
    </row>
    <row r="637" spans="4:5">
      <c r="D637"/>
      <c r="E637"/>
    </row>
    <row r="638" spans="4:5">
      <c r="D638"/>
      <c r="E638"/>
    </row>
    <row r="639" spans="4:5">
      <c r="D639"/>
      <c r="E639"/>
    </row>
    <row r="640" spans="4:5">
      <c r="D640"/>
      <c r="E640"/>
    </row>
  </sheetData>
  <mergeCells count="1">
    <mergeCell ref="A5:G5"/>
  </mergeCells>
  <conditionalFormatting sqref="D13:E13">
    <cfRule type="cellIs" dxfId="40" priority="2" operator="between">
      <formula>0</formula>
      <formula>0</formula>
    </cfRule>
  </conditionalFormatting>
  <conditionalFormatting pivot="1" sqref="G14">
    <cfRule type="cellIs" dxfId="39" priority="1" operator="notEqual">
      <formula>0</formula>
    </cfRule>
  </conditionalFormatting>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8"/>
  <dimension ref="B9:H49"/>
  <sheetViews>
    <sheetView showGridLines="0" showRowColHeaders="0" zoomScale="110" zoomScaleNormal="110" workbookViewId="0">
      <selection activeCell="D19" sqref="D19"/>
    </sheetView>
  </sheetViews>
  <sheetFormatPr defaultColWidth="8.7109375" defaultRowHeight="14.25"/>
  <cols>
    <col min="1" max="1" width="2.42578125" style="160" customWidth="1"/>
    <col min="2" max="2" width="13.28515625" style="160" customWidth="1"/>
    <col min="3" max="3" width="76.7109375" style="160" customWidth="1"/>
    <col min="4" max="4" width="24.28515625" style="160" customWidth="1"/>
    <col min="5" max="5" width="20.28515625" style="160" customWidth="1"/>
    <col min="6" max="6" width="18.7109375" style="160" bestFit="1" customWidth="1"/>
    <col min="7" max="16384" width="8.7109375" style="160"/>
  </cols>
  <sheetData>
    <row r="9" spans="2:8" ht="15" thickBot="1">
      <c r="B9" s="241"/>
      <c r="C9" s="241"/>
      <c r="D9" s="241"/>
      <c r="E9" s="241"/>
    </row>
    <row r="10" spans="2:8" ht="8.4499999999999993" customHeight="1" thickTop="1"/>
    <row r="11" spans="2:8" ht="20.25">
      <c r="B11" s="433" t="s">
        <v>742</v>
      </c>
      <c r="C11" s="433"/>
      <c r="D11" s="433"/>
      <c r="E11" s="433"/>
      <c r="F11" s="225"/>
      <c r="G11" s="225"/>
      <c r="H11" s="225"/>
    </row>
    <row r="12" spans="2:8" ht="7.5" customHeight="1"/>
    <row r="13" spans="2:8" ht="9.6" hidden="1" customHeight="1"/>
    <row r="14" spans="2:8" hidden="1">
      <c r="C14" s="332" t="s">
        <v>426</v>
      </c>
      <c r="D14" s="333" t="s">
        <v>427</v>
      </c>
    </row>
    <row r="15" spans="2:8" hidden="1">
      <c r="C15" s="332" t="s">
        <v>430</v>
      </c>
      <c r="D15" s="333" t="s">
        <v>452</v>
      </c>
    </row>
    <row r="16" spans="2:8" hidden="1"/>
    <row r="17" spans="3:4" hidden="1">
      <c r="C17" s="332" t="s">
        <v>743</v>
      </c>
      <c r="D17" s="336" t="s">
        <v>744</v>
      </c>
    </row>
    <row r="18" spans="3:4">
      <c r="C18" s="343" t="s">
        <v>745</v>
      </c>
      <c r="D18" s="342">
        <v>0</v>
      </c>
    </row>
    <row r="19" spans="3:4">
      <c r="C19" s="339" t="s">
        <v>746</v>
      </c>
      <c r="D19" s="340">
        <v>0</v>
      </c>
    </row>
    <row r="20" spans="3:4">
      <c r="C20" s="339" t="s">
        <v>747</v>
      </c>
      <c r="D20" s="340">
        <v>0</v>
      </c>
    </row>
    <row r="21" spans="3:4">
      <c r="C21" s="339" t="s">
        <v>748</v>
      </c>
      <c r="D21" s="340">
        <v>0</v>
      </c>
    </row>
    <row r="22" spans="3:4">
      <c r="C22" s="339" t="s">
        <v>749</v>
      </c>
      <c r="D22" s="340">
        <v>0</v>
      </c>
    </row>
    <row r="23" spans="3:4">
      <c r="C23" s="339" t="s">
        <v>750</v>
      </c>
      <c r="D23" s="340">
        <v>0</v>
      </c>
    </row>
    <row r="24" spans="3:4">
      <c r="C24" s="339" t="s">
        <v>751</v>
      </c>
      <c r="D24" s="340">
        <v>0</v>
      </c>
    </row>
    <row r="25" spans="3:4">
      <c r="C25" s="339" t="s">
        <v>752</v>
      </c>
      <c r="D25" s="340">
        <v>0</v>
      </c>
    </row>
    <row r="26" spans="3:4">
      <c r="C26" s="339" t="s">
        <v>753</v>
      </c>
      <c r="D26" s="340">
        <v>0</v>
      </c>
    </row>
    <row r="27" spans="3:4">
      <c r="C27" s="339" t="s">
        <v>754</v>
      </c>
      <c r="D27" s="340">
        <v>0</v>
      </c>
    </row>
    <row r="28" spans="3:4">
      <c r="C28" s="339" t="s">
        <v>755</v>
      </c>
      <c r="D28" s="340">
        <v>0</v>
      </c>
    </row>
    <row r="29" spans="3:4">
      <c r="C29" s="339" t="s">
        <v>756</v>
      </c>
      <c r="D29" s="340">
        <v>0</v>
      </c>
    </row>
    <row r="30" spans="3:4">
      <c r="C30" s="339" t="s">
        <v>757</v>
      </c>
      <c r="D30" s="340">
        <v>0</v>
      </c>
    </row>
    <row r="31" spans="3:4">
      <c r="C31" s="341"/>
      <c r="D31" s="340"/>
    </row>
    <row r="32" spans="3:4">
      <c r="C32" s="343" t="s">
        <v>758</v>
      </c>
      <c r="D32" s="342">
        <v>0</v>
      </c>
    </row>
    <row r="33" spans="3:4">
      <c r="C33" s="339" t="s">
        <v>759</v>
      </c>
      <c r="D33" s="340">
        <v>0</v>
      </c>
    </row>
    <row r="34" spans="3:4">
      <c r="C34" s="339" t="s">
        <v>760</v>
      </c>
      <c r="D34" s="340">
        <v>0</v>
      </c>
    </row>
    <row r="35" spans="3:4">
      <c r="C35" s="339" t="s">
        <v>761</v>
      </c>
      <c r="D35" s="340">
        <v>0</v>
      </c>
    </row>
    <row r="36" spans="3:4">
      <c r="C36" s="339" t="s">
        <v>762</v>
      </c>
      <c r="D36" s="340">
        <v>0</v>
      </c>
    </row>
    <row r="37" spans="3:4">
      <c r="C37" s="339" t="s">
        <v>763</v>
      </c>
      <c r="D37" s="340">
        <v>0</v>
      </c>
    </row>
    <row r="38" spans="3:4">
      <c r="C38" s="341"/>
      <c r="D38" s="340"/>
    </row>
    <row r="39" spans="3:4" ht="15">
      <c r="C39" s="328" t="s">
        <v>764</v>
      </c>
      <c r="D39" s="329">
        <f>+GETPIVOTDATA("ImporteSig*-1",$C$17,"PyG_Nivel_2","A) RESULTADO DE EXPLOTACIÓN (Suma del 1 al 12)")+GETPIVOTDATA("ImporteSig*-1",$C$17,"PyG_Nivel_2","B) RESULTADO FINANCIERO (Suma del 13 al 17)")</f>
        <v>0</v>
      </c>
    </row>
    <row r="40" spans="3:4" hidden="1">
      <c r="C40" s="226"/>
      <c r="D40" s="167"/>
    </row>
    <row r="41" spans="3:4" hidden="1">
      <c r="C41" s="226"/>
      <c r="D41" s="167"/>
    </row>
    <row r="42" spans="3:4" hidden="1">
      <c r="C42" s="332" t="s">
        <v>426</v>
      </c>
      <c r="D42" s="333" t="s">
        <v>427</v>
      </c>
    </row>
    <row r="43" spans="3:4" hidden="1">
      <c r="C43" s="332" t="s">
        <v>430</v>
      </c>
      <c r="D43" s="333" t="s">
        <v>452</v>
      </c>
    </row>
    <row r="44" spans="3:4" ht="0.6" hidden="1" customHeight="1"/>
    <row r="45" spans="3:4" hidden="1">
      <c r="C45" s="332" t="s">
        <v>743</v>
      </c>
      <c r="D45" s="336" t="s">
        <v>744</v>
      </c>
    </row>
    <row r="46" spans="3:4" hidden="1">
      <c r="C46" s="337" t="s">
        <v>765</v>
      </c>
      <c r="D46" s="338">
        <v>0</v>
      </c>
    </row>
    <row r="47" spans="3:4">
      <c r="C47" s="339" t="s">
        <v>766</v>
      </c>
      <c r="D47" s="340">
        <v>0</v>
      </c>
    </row>
    <row r="48" spans="3:4">
      <c r="C48" s="341"/>
      <c r="D48" s="340"/>
    </row>
    <row r="49" spans="3:4" ht="15">
      <c r="C49" s="328" t="s">
        <v>767</v>
      </c>
      <c r="D49" s="329">
        <f>+D39+D47</f>
        <v>0</v>
      </c>
    </row>
  </sheetData>
  <sheetProtection autoFilter="0" pivotTables="0"/>
  <mergeCells count="1">
    <mergeCell ref="B11:E11"/>
  </mergeCell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dimension ref="B9:F42"/>
  <sheetViews>
    <sheetView showGridLines="0" workbookViewId="0">
      <selection activeCell="B11" sqref="B11:F11"/>
    </sheetView>
  </sheetViews>
  <sheetFormatPr defaultColWidth="8.7109375" defaultRowHeight="14.25"/>
  <cols>
    <col min="1" max="1" width="5.5703125" style="160" customWidth="1"/>
    <col min="2" max="2" width="49.7109375" style="160" customWidth="1"/>
    <col min="3" max="3" width="18.85546875" style="160" bestFit="1" customWidth="1"/>
    <col min="4" max="4" width="8.28515625" style="160" customWidth="1"/>
    <col min="5" max="5" width="45.5703125" style="160" customWidth="1"/>
    <col min="6" max="6" width="18.85546875" style="160" customWidth="1"/>
    <col min="7" max="7" width="20.28515625" style="160" customWidth="1"/>
    <col min="8" max="8" width="18.7109375" style="160" bestFit="1" customWidth="1"/>
    <col min="9" max="16384" width="8.7109375" style="160"/>
  </cols>
  <sheetData>
    <row r="9" spans="2:6" ht="15" thickBot="1">
      <c r="B9" s="241"/>
      <c r="C9" s="241"/>
      <c r="D9" s="241"/>
      <c r="E9" s="241"/>
      <c r="F9" s="241"/>
    </row>
    <row r="10" spans="2:6" ht="15" thickTop="1"/>
    <row r="11" spans="2:6" ht="20.25">
      <c r="B11" s="434" t="s">
        <v>768</v>
      </c>
      <c r="C11" s="434"/>
      <c r="D11" s="434"/>
      <c r="E11" s="434"/>
      <c r="F11" s="434"/>
    </row>
    <row r="13" spans="2:6" ht="15">
      <c r="E13"/>
      <c r="F13"/>
    </row>
    <row r="14" spans="2:6" hidden="1">
      <c r="B14" s="332" t="s">
        <v>426</v>
      </c>
      <c r="C14" s="333" t="s">
        <v>427</v>
      </c>
      <c r="E14" s="332" t="s">
        <v>426</v>
      </c>
      <c r="F14" s="333" t="s">
        <v>427</v>
      </c>
    </row>
    <row r="15" spans="2:6" hidden="1">
      <c r="B15" s="332" t="s">
        <v>430</v>
      </c>
      <c r="C15" s="333" t="s">
        <v>452</v>
      </c>
      <c r="E15" s="332" t="s">
        <v>430</v>
      </c>
      <c r="F15" s="333" t="s">
        <v>452</v>
      </c>
    </row>
    <row r="16" spans="2:6" hidden="1">
      <c r="B16" s="332" t="s">
        <v>769</v>
      </c>
      <c r="C16" s="333" t="s">
        <v>452</v>
      </c>
      <c r="E16" s="332" t="s">
        <v>769</v>
      </c>
      <c r="F16" s="333" t="s">
        <v>770</v>
      </c>
    </row>
    <row r="17" spans="2:6" hidden="1"/>
    <row r="18" spans="2:6">
      <c r="B18" s="344" t="s">
        <v>771</v>
      </c>
      <c r="C18" s="345" t="s">
        <v>772</v>
      </c>
      <c r="E18" s="344" t="s">
        <v>771</v>
      </c>
      <c r="F18" s="345" t="s">
        <v>773</v>
      </c>
    </row>
    <row r="19" spans="2:6">
      <c r="B19" s="343" t="s">
        <v>774</v>
      </c>
      <c r="C19" s="342">
        <v>0</v>
      </c>
      <c r="E19" s="343" t="s">
        <v>770</v>
      </c>
      <c r="F19" s="342">
        <v>0</v>
      </c>
    </row>
    <row r="20" spans="2:6">
      <c r="B20" s="339" t="s">
        <v>775</v>
      </c>
      <c r="C20" s="340">
        <v>0</v>
      </c>
      <c r="E20" s="339" t="s">
        <v>776</v>
      </c>
      <c r="F20" s="340">
        <v>0</v>
      </c>
    </row>
    <row r="21" spans="2:6">
      <c r="B21" s="346" t="s">
        <v>777</v>
      </c>
      <c r="C21" s="340">
        <v>0</v>
      </c>
      <c r="E21" s="346" t="s">
        <v>778</v>
      </c>
      <c r="F21" s="438">
        <v>0</v>
      </c>
    </row>
    <row r="22" spans="2:6">
      <c r="B22" s="346" t="s">
        <v>779</v>
      </c>
      <c r="C22" s="340">
        <v>0</v>
      </c>
      <c r="E22" s="346" t="s">
        <v>780</v>
      </c>
      <c r="F22" s="438">
        <v>0</v>
      </c>
    </row>
    <row r="23" spans="2:6">
      <c r="B23" s="346" t="s">
        <v>781</v>
      </c>
      <c r="C23" s="340">
        <v>0</v>
      </c>
      <c r="E23" s="346" t="s">
        <v>782</v>
      </c>
      <c r="F23" s="438">
        <v>0</v>
      </c>
    </row>
    <row r="24" spans="2:6">
      <c r="B24" s="346" t="s">
        <v>783</v>
      </c>
      <c r="C24" s="340">
        <v>0</v>
      </c>
      <c r="E24" s="346" t="s">
        <v>784</v>
      </c>
      <c r="F24" s="438">
        <v>0</v>
      </c>
    </row>
    <row r="25" spans="2:6">
      <c r="B25" s="346" t="s">
        <v>785</v>
      </c>
      <c r="C25" s="340">
        <v>0</v>
      </c>
      <c r="E25" s="346" t="s">
        <v>786</v>
      </c>
      <c r="F25" s="438">
        <v>0</v>
      </c>
    </row>
    <row r="26" spans="2:6">
      <c r="B26" s="339" t="s">
        <v>787</v>
      </c>
      <c r="C26" s="340">
        <v>0</v>
      </c>
      <c r="E26" s="346" t="s">
        <v>788</v>
      </c>
      <c r="F26" s="438">
        <v>0</v>
      </c>
    </row>
    <row r="27" spans="2:6">
      <c r="B27" s="346" t="s">
        <v>789</v>
      </c>
      <c r="C27" s="340">
        <v>0</v>
      </c>
      <c r="E27" s="346" t="s">
        <v>790</v>
      </c>
      <c r="F27" s="438">
        <v>0</v>
      </c>
    </row>
    <row r="28" spans="2:6">
      <c r="B28" s="346" t="s">
        <v>791</v>
      </c>
      <c r="C28" s="340">
        <v>0</v>
      </c>
      <c r="E28" s="346" t="s">
        <v>792</v>
      </c>
      <c r="F28" s="340">
        <v>0</v>
      </c>
    </row>
    <row r="29" spans="2:6">
      <c r="B29" s="346" t="s">
        <v>793</v>
      </c>
      <c r="C29" s="340">
        <v>0</v>
      </c>
      <c r="E29" s="346" t="s">
        <v>794</v>
      </c>
      <c r="F29" s="340">
        <v>0</v>
      </c>
    </row>
    <row r="30" spans="2:6">
      <c r="B30" s="346" t="s">
        <v>795</v>
      </c>
      <c r="C30" s="340">
        <v>0</v>
      </c>
      <c r="E30" s="339" t="s">
        <v>796</v>
      </c>
      <c r="F30" s="340">
        <v>0</v>
      </c>
    </row>
    <row r="31" spans="2:6">
      <c r="B31" s="346" t="s">
        <v>797</v>
      </c>
      <c r="C31" s="340">
        <v>0</v>
      </c>
      <c r="E31" s="346" t="s">
        <v>798</v>
      </c>
      <c r="F31" s="340">
        <v>0</v>
      </c>
    </row>
    <row r="32" spans="2:6">
      <c r="B32" s="346" t="s">
        <v>799</v>
      </c>
      <c r="C32" s="340">
        <v>0</v>
      </c>
      <c r="E32" s="346" t="s">
        <v>800</v>
      </c>
      <c r="F32" s="340">
        <v>0</v>
      </c>
    </row>
    <row r="33" spans="2:6" ht="15">
      <c r="B33"/>
      <c r="C33"/>
      <c r="E33" s="346" t="s">
        <v>801</v>
      </c>
      <c r="F33" s="340">
        <v>0</v>
      </c>
    </row>
    <row r="34" spans="2:6" ht="15">
      <c r="B34"/>
      <c r="C34"/>
      <c r="E34" s="346" t="s">
        <v>802</v>
      </c>
      <c r="F34" s="340">
        <v>0</v>
      </c>
    </row>
    <row r="35" spans="2:6">
      <c r="E35" s="346" t="s">
        <v>803</v>
      </c>
      <c r="F35" s="340">
        <v>0</v>
      </c>
    </row>
    <row r="36" spans="2:6">
      <c r="E36" s="339" t="s">
        <v>804</v>
      </c>
      <c r="F36" s="340">
        <v>0</v>
      </c>
    </row>
    <row r="37" spans="2:6">
      <c r="E37" s="346" t="s">
        <v>805</v>
      </c>
      <c r="F37" s="340">
        <v>0</v>
      </c>
    </row>
    <row r="38" spans="2:6">
      <c r="E38" s="346" t="s">
        <v>806</v>
      </c>
      <c r="F38" s="340">
        <v>0</v>
      </c>
    </row>
    <row r="39" spans="2:6">
      <c r="E39" s="346" t="s">
        <v>807</v>
      </c>
      <c r="F39" s="438">
        <v>0</v>
      </c>
    </row>
    <row r="40" spans="2:6">
      <c r="E40" s="346" t="s">
        <v>808</v>
      </c>
      <c r="F40" s="340">
        <v>0</v>
      </c>
    </row>
    <row r="41" spans="2:6">
      <c r="E41" s="346" t="s">
        <v>809</v>
      </c>
      <c r="F41" s="340">
        <v>0</v>
      </c>
    </row>
    <row r="42" spans="2:6">
      <c r="E42" s="346" t="s">
        <v>810</v>
      </c>
      <c r="F42" s="340">
        <v>0</v>
      </c>
    </row>
  </sheetData>
  <sheetProtection autoFilter="0" pivotTables="0"/>
  <mergeCells count="1">
    <mergeCell ref="B11:F11"/>
  </mergeCells>
  <pageMargins left="0.7" right="0.7" top="0.75" bottom="0.75" header="0.3" footer="0.3"/>
  <pageSetup orientation="portrait" r:id="rId3"/>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dimension ref="B2:L31"/>
  <sheetViews>
    <sheetView topLeftCell="H12" zoomScale="55" zoomScaleNormal="55" workbookViewId="0">
      <selection activeCell="B2" sqref="B2"/>
    </sheetView>
  </sheetViews>
  <sheetFormatPr defaultColWidth="11.42578125" defaultRowHeight="18" customHeight="1"/>
  <cols>
    <col min="1" max="1" width="2.5703125" style="120" customWidth="1"/>
    <col min="2" max="2" width="43.85546875" style="120" bestFit="1" customWidth="1"/>
    <col min="3" max="3" width="67" style="120" bestFit="1" customWidth="1"/>
    <col min="4" max="4" width="16" style="120" bestFit="1" customWidth="1"/>
    <col min="5" max="5" width="2.7109375" style="120" customWidth="1"/>
    <col min="6" max="6" width="58" style="120" bestFit="1" customWidth="1"/>
    <col min="7" max="7" width="4.42578125" style="120" customWidth="1"/>
    <col min="8" max="8" width="39.7109375" style="120" bestFit="1" customWidth="1"/>
    <col min="9" max="9" width="74.140625" style="120" bestFit="1" customWidth="1"/>
    <col min="10" max="10" width="16" style="120" bestFit="1" customWidth="1"/>
    <col min="11" max="11" width="2.7109375" style="120" customWidth="1"/>
    <col min="12" max="12" width="55" style="120" bestFit="1" customWidth="1"/>
    <col min="13" max="14" width="11.42578125" style="120"/>
    <col min="15" max="16" width="6.42578125" style="120" bestFit="1" customWidth="1"/>
    <col min="17" max="16384" width="11.42578125" style="120"/>
  </cols>
  <sheetData>
    <row r="2" spans="2:12" ht="18" customHeight="1">
      <c r="B2" s="435" t="s">
        <v>768</v>
      </c>
      <c r="C2" s="435"/>
      <c r="D2" s="435"/>
      <c r="E2" s="435"/>
      <c r="F2" s="435"/>
      <c r="G2" s="435"/>
      <c r="H2" s="435"/>
      <c r="I2" s="435"/>
      <c r="J2" s="435"/>
      <c r="K2" s="435"/>
      <c r="L2" s="435"/>
    </row>
    <row r="3" spans="2:12" ht="18" customHeight="1">
      <c r="B3" s="107" t="s">
        <v>811</v>
      </c>
      <c r="C3" s="108" t="s">
        <v>774</v>
      </c>
      <c r="D3" s="106">
        <v>45657</v>
      </c>
      <c r="E3" s="116"/>
      <c r="F3" s="108" t="s">
        <v>812</v>
      </c>
      <c r="H3" s="107" t="s">
        <v>811</v>
      </c>
      <c r="I3" s="110" t="s">
        <v>770</v>
      </c>
      <c r="J3" s="106">
        <v>45657</v>
      </c>
      <c r="K3" s="116"/>
      <c r="L3" s="108" t="s">
        <v>812</v>
      </c>
    </row>
    <row r="4" spans="2:12" ht="18" customHeight="1">
      <c r="B4" s="107"/>
      <c r="C4" s="112" t="s">
        <v>775</v>
      </c>
      <c r="D4" s="129">
        <f>SUM(D5:D10)</f>
        <v>360248</v>
      </c>
      <c r="E4" s="118"/>
      <c r="F4" s="107" t="s">
        <v>813</v>
      </c>
      <c r="H4" s="107"/>
      <c r="I4" s="114" t="s">
        <v>776</v>
      </c>
      <c r="J4" s="127">
        <f>J5+J15+J16</f>
        <v>158780.75</v>
      </c>
      <c r="K4" s="118"/>
      <c r="L4" s="107" t="s">
        <v>814</v>
      </c>
    </row>
    <row r="5" spans="2:12" ht="18" customHeight="1">
      <c r="B5" s="109" t="s">
        <v>815</v>
      </c>
      <c r="C5" s="111" t="s">
        <v>777</v>
      </c>
      <c r="D5" s="130">
        <f>5000+2120-2306</f>
        <v>4814</v>
      </c>
      <c r="E5" s="116"/>
      <c r="F5" s="109" t="s">
        <v>816</v>
      </c>
      <c r="H5" s="109"/>
      <c r="I5" s="111" t="s">
        <v>817</v>
      </c>
      <c r="J5" s="124">
        <f>SUM(J6:J14)</f>
        <v>158780.75</v>
      </c>
      <c r="K5" s="116"/>
      <c r="L5" s="109"/>
    </row>
    <row r="6" spans="2:12" ht="18" customHeight="1">
      <c r="B6" s="109" t="s">
        <v>818</v>
      </c>
      <c r="C6" s="111" t="s">
        <v>819</v>
      </c>
      <c r="D6" s="130">
        <f>200000+70000+8200+4800+1920+20000-26086-500</f>
        <v>278334</v>
      </c>
      <c r="E6" s="116"/>
      <c r="F6" s="109" t="s">
        <v>820</v>
      </c>
      <c r="H6" s="109" t="s">
        <v>821</v>
      </c>
      <c r="I6" s="111" t="s">
        <v>778</v>
      </c>
      <c r="J6" s="124">
        <f>3000</f>
        <v>3000</v>
      </c>
      <c r="K6" s="116"/>
      <c r="L6" s="122" t="s">
        <v>822</v>
      </c>
    </row>
    <row r="7" spans="2:12" ht="18" customHeight="1">
      <c r="B7" s="109" t="s">
        <v>823</v>
      </c>
      <c r="C7" s="111" t="s">
        <v>824</v>
      </c>
      <c r="D7" s="130">
        <f>60000-12900</f>
        <v>47100</v>
      </c>
      <c r="E7" s="116"/>
      <c r="F7" s="109" t="s">
        <v>825</v>
      </c>
      <c r="H7" s="109"/>
      <c r="I7" s="111" t="s">
        <v>826</v>
      </c>
      <c r="J7" s="124"/>
      <c r="K7" s="116"/>
      <c r="L7" s="109"/>
    </row>
    <row r="8" spans="2:12" ht="18" customHeight="1">
      <c r="B8" s="109"/>
      <c r="C8" s="111" t="s">
        <v>827</v>
      </c>
      <c r="D8" s="130"/>
      <c r="E8" s="116"/>
      <c r="F8" s="109"/>
      <c r="H8" s="109" t="s">
        <v>828</v>
      </c>
      <c r="I8" s="111" t="s">
        <v>782</v>
      </c>
      <c r="J8" s="124">
        <f>600+5000</f>
        <v>5600</v>
      </c>
      <c r="K8" s="116"/>
      <c r="L8" s="109" t="s">
        <v>829</v>
      </c>
    </row>
    <row r="9" spans="2:12" ht="18" customHeight="1">
      <c r="B9" s="109" t="s">
        <v>830</v>
      </c>
      <c r="C9" s="111" t="s">
        <v>831</v>
      </c>
      <c r="D9" s="130">
        <f>30000</f>
        <v>30000</v>
      </c>
      <c r="E9" s="116"/>
      <c r="F9" s="109" t="s">
        <v>832</v>
      </c>
      <c r="H9" s="109"/>
      <c r="I9" s="111" t="s">
        <v>833</v>
      </c>
      <c r="J9" s="124"/>
      <c r="K9" s="116"/>
      <c r="L9" s="109"/>
    </row>
    <row r="10" spans="2:12" ht="18" customHeight="1">
      <c r="B10" s="109"/>
      <c r="C10" s="111" t="s">
        <v>834</v>
      </c>
      <c r="D10" s="130"/>
      <c r="E10" s="116"/>
      <c r="F10" s="109"/>
      <c r="H10" s="109" t="s">
        <v>835</v>
      </c>
      <c r="I10" s="111" t="s">
        <v>786</v>
      </c>
      <c r="J10" s="124">
        <f>114900</f>
        <v>114900</v>
      </c>
      <c r="K10" s="116"/>
      <c r="L10" s="109" t="s">
        <v>836</v>
      </c>
    </row>
    <row r="11" spans="2:12" ht="18" customHeight="1">
      <c r="B11" s="107"/>
      <c r="C11" s="112" t="s">
        <v>787</v>
      </c>
      <c r="D11" s="129">
        <f>SUM(D12:D18)</f>
        <v>135116.23000000001</v>
      </c>
      <c r="E11" s="118"/>
      <c r="F11" s="107" t="s">
        <v>837</v>
      </c>
      <c r="H11" s="109"/>
      <c r="I11" s="111" t="s">
        <v>788</v>
      </c>
      <c r="J11" s="124"/>
      <c r="K11" s="116"/>
      <c r="L11" s="109"/>
    </row>
    <row r="12" spans="2:12" ht="18" customHeight="1">
      <c r="B12" s="109"/>
      <c r="C12" s="111" t="s">
        <v>789</v>
      </c>
      <c r="D12" s="130"/>
      <c r="E12" s="116"/>
      <c r="F12" s="109"/>
      <c r="H12" s="109" t="s">
        <v>838</v>
      </c>
      <c r="I12" s="111" t="s">
        <v>839</v>
      </c>
      <c r="J12" s="124">
        <f>35280.75</f>
        <v>35280.75</v>
      </c>
      <c r="K12" s="116"/>
      <c r="L12" s="109" t="s">
        <v>840</v>
      </c>
    </row>
    <row r="13" spans="2:12" ht="18" customHeight="1">
      <c r="B13" s="109" t="s">
        <v>841</v>
      </c>
      <c r="C13" s="111" t="s">
        <v>791</v>
      </c>
      <c r="D13" s="130">
        <f>30000+1500+73640</f>
        <v>105140</v>
      </c>
      <c r="E13" s="116"/>
      <c r="F13" s="109" t="s">
        <v>842</v>
      </c>
      <c r="H13" s="109"/>
      <c r="I13" s="111" t="s">
        <v>843</v>
      </c>
      <c r="J13" s="124"/>
      <c r="K13" s="116"/>
      <c r="L13" s="109"/>
    </row>
    <row r="14" spans="2:12" ht="18" customHeight="1">
      <c r="B14" s="109" t="s">
        <v>844</v>
      </c>
      <c r="C14" s="111" t="s">
        <v>793</v>
      </c>
      <c r="D14" s="130">
        <f>20508+7260</f>
        <v>27768</v>
      </c>
      <c r="E14" s="116"/>
      <c r="F14" s="109" t="s">
        <v>845</v>
      </c>
      <c r="H14" s="109"/>
      <c r="I14" s="111" t="s">
        <v>794</v>
      </c>
      <c r="J14" s="124"/>
      <c r="K14" s="116"/>
      <c r="L14" s="109"/>
    </row>
    <row r="15" spans="2:12" ht="18" customHeight="1">
      <c r="B15" s="109"/>
      <c r="C15" s="111" t="s">
        <v>846</v>
      </c>
      <c r="D15" s="130"/>
      <c r="E15" s="116"/>
      <c r="F15" s="109"/>
      <c r="H15" s="109"/>
      <c r="I15" s="111" t="s">
        <v>847</v>
      </c>
      <c r="J15" s="124"/>
      <c r="K15" s="116"/>
      <c r="L15" s="109"/>
    </row>
    <row r="16" spans="2:12" ht="18" customHeight="1">
      <c r="B16" s="109"/>
      <c r="C16" s="111" t="s">
        <v>848</v>
      </c>
      <c r="D16" s="130"/>
      <c r="E16" s="116"/>
      <c r="F16" s="109"/>
      <c r="H16" s="109"/>
      <c r="I16" s="111" t="s">
        <v>849</v>
      </c>
      <c r="J16" s="124"/>
      <c r="K16" s="116"/>
      <c r="L16" s="109"/>
    </row>
    <row r="17" spans="2:12" ht="18" customHeight="1">
      <c r="B17" s="109" t="s">
        <v>850</v>
      </c>
      <c r="C17" s="111" t="s">
        <v>851</v>
      </c>
      <c r="D17" s="130">
        <f>300</f>
        <v>300</v>
      </c>
      <c r="E17" s="116"/>
      <c r="F17" s="109" t="s">
        <v>852</v>
      </c>
      <c r="H17" s="107"/>
      <c r="I17" s="114" t="s">
        <v>796</v>
      </c>
      <c r="J17" s="127">
        <f>SUM(J18:J22)</f>
        <v>0</v>
      </c>
      <c r="K17" s="118"/>
      <c r="L17" s="107" t="s">
        <v>853</v>
      </c>
    </row>
    <row r="18" spans="2:12" ht="18" customHeight="1">
      <c r="B18" s="109" t="s">
        <v>854</v>
      </c>
      <c r="C18" s="111" t="s">
        <v>799</v>
      </c>
      <c r="D18" s="130">
        <f>897.13+1011.1</f>
        <v>1908.23</v>
      </c>
      <c r="E18" s="116"/>
      <c r="F18" s="109" t="s">
        <v>855</v>
      </c>
      <c r="H18" s="109"/>
      <c r="I18" s="111" t="s">
        <v>798</v>
      </c>
      <c r="J18" s="124"/>
      <c r="K18" s="116"/>
      <c r="L18" s="109" t="s">
        <v>856</v>
      </c>
    </row>
    <row r="19" spans="2:12" ht="18" customHeight="1">
      <c r="B19" s="107"/>
      <c r="C19" s="113" t="s">
        <v>857</v>
      </c>
      <c r="D19" s="131">
        <f>D4+D11</f>
        <v>495364.23</v>
      </c>
      <c r="E19" s="118"/>
      <c r="F19" s="107" t="s">
        <v>858</v>
      </c>
      <c r="H19" s="109"/>
      <c r="I19" s="111" t="s">
        <v>800</v>
      </c>
      <c r="J19" s="124"/>
      <c r="K19" s="116"/>
      <c r="L19" s="109"/>
    </row>
    <row r="20" spans="2:12" ht="18" customHeight="1">
      <c r="H20" s="109"/>
      <c r="I20" s="111" t="s">
        <v>801</v>
      </c>
      <c r="J20" s="124"/>
      <c r="K20" s="116"/>
      <c r="L20" s="109"/>
    </row>
    <row r="21" spans="2:12" ht="18" customHeight="1">
      <c r="H21" s="109"/>
      <c r="I21" s="111" t="s">
        <v>802</v>
      </c>
      <c r="J21" s="124"/>
      <c r="K21" s="116"/>
      <c r="L21" s="109"/>
    </row>
    <row r="22" spans="2:12" ht="18" customHeight="1">
      <c r="H22" s="109"/>
      <c r="I22" s="111" t="s">
        <v>803</v>
      </c>
      <c r="J22" s="124"/>
      <c r="K22" s="116"/>
      <c r="L22" s="109"/>
    </row>
    <row r="23" spans="2:12" ht="18" customHeight="1">
      <c r="H23" s="107"/>
      <c r="I23" s="114" t="s">
        <v>804</v>
      </c>
      <c r="J23" s="127">
        <f>SUM(J24:J29)</f>
        <v>336583.48</v>
      </c>
      <c r="K23" s="118"/>
      <c r="L23" s="107" t="s">
        <v>859</v>
      </c>
    </row>
    <row r="24" spans="2:12" ht="18" customHeight="1">
      <c r="H24" s="109"/>
      <c r="I24" s="111" t="s">
        <v>805</v>
      </c>
      <c r="J24" s="124"/>
      <c r="K24" s="116"/>
      <c r="L24" s="109"/>
    </row>
    <row r="25" spans="2:12" ht="18" customHeight="1">
      <c r="H25" s="109"/>
      <c r="I25" s="111" t="s">
        <v>806</v>
      </c>
      <c r="J25" s="124"/>
      <c r="K25" s="116"/>
      <c r="L25" s="109"/>
    </row>
    <row r="26" spans="2:12" ht="18" customHeight="1">
      <c r="H26" s="109" t="s">
        <v>860</v>
      </c>
      <c r="I26" s="111" t="s">
        <v>807</v>
      </c>
      <c r="J26" s="124">
        <f>120000+1508.2+100000+6000+4000+600</f>
        <v>232108.2</v>
      </c>
      <c r="K26" s="116"/>
      <c r="L26" s="109" t="s">
        <v>861</v>
      </c>
    </row>
    <row r="27" spans="2:12" ht="18" customHeight="1">
      <c r="H27" s="109"/>
      <c r="I27" s="111" t="s">
        <v>862</v>
      </c>
      <c r="J27" s="124"/>
      <c r="K27" s="116"/>
      <c r="L27" s="109"/>
    </row>
    <row r="28" spans="2:12" ht="18" customHeight="1">
      <c r="H28" s="109" t="s">
        <v>863</v>
      </c>
      <c r="I28" s="111" t="s">
        <v>809</v>
      </c>
      <c r="J28" s="124">
        <f>10198+8000+1800+3207.6+4000+66569.68+7200</f>
        <v>100975.28</v>
      </c>
      <c r="K28" s="116"/>
      <c r="L28" s="109" t="s">
        <v>864</v>
      </c>
    </row>
    <row r="29" spans="2:12" ht="18" customHeight="1">
      <c r="H29" s="109" t="s">
        <v>865</v>
      </c>
      <c r="I29" s="111" t="s">
        <v>810</v>
      </c>
      <c r="J29" s="124">
        <f>3500</f>
        <v>3500</v>
      </c>
      <c r="K29" s="116"/>
      <c r="L29" s="109" t="s">
        <v>866</v>
      </c>
    </row>
    <row r="30" spans="2:12" ht="18" customHeight="1" thickBot="1">
      <c r="H30" s="107"/>
      <c r="I30" s="115" t="s">
        <v>867</v>
      </c>
      <c r="J30" s="128">
        <f>J4+J17+J23</f>
        <v>495364.23</v>
      </c>
      <c r="K30" s="118"/>
      <c r="L30" s="107" t="s">
        <v>868</v>
      </c>
    </row>
    <row r="31" spans="2:12" ht="18" customHeight="1" thickTop="1"/>
  </sheetData>
  <mergeCells count="1">
    <mergeCell ref="B2:L2"/>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dimension ref="A6:G13"/>
  <sheetViews>
    <sheetView showGridLines="0" zoomScale="115" zoomScaleNormal="115" workbookViewId="0">
      <pane ySplit="12" topLeftCell="A13" activePane="bottomLeft" state="frozen"/>
      <selection pane="bottomLeft" activeCell="A6" sqref="A6:F6"/>
    </sheetView>
  </sheetViews>
  <sheetFormatPr defaultColWidth="8.7109375" defaultRowHeight="15"/>
  <cols>
    <col min="2" max="2" width="66.42578125" customWidth="1"/>
    <col min="3" max="3" width="18.85546875" customWidth="1"/>
    <col min="4" max="4" width="8.7109375" customWidth="1"/>
    <col min="5" max="5" width="15.5703125" customWidth="1"/>
  </cols>
  <sheetData>
    <row r="6" spans="1:7" ht="21">
      <c r="A6" s="436" t="s">
        <v>869</v>
      </c>
      <c r="B6" s="436"/>
      <c r="C6" s="436"/>
      <c r="D6" s="436"/>
      <c r="E6" s="436"/>
      <c r="F6" s="436"/>
      <c r="G6" s="178"/>
    </row>
    <row r="7" spans="1:7" ht="21" hidden="1">
      <c r="A7" s="295"/>
      <c r="B7" s="295"/>
      <c r="C7" s="295"/>
      <c r="D7" s="295"/>
      <c r="E7" s="295"/>
      <c r="F7" s="295"/>
      <c r="G7" s="178"/>
    </row>
    <row r="8" spans="1:7" ht="18.75" hidden="1">
      <c r="B8" s="146" t="s">
        <v>426</v>
      </c>
      <c r="C8" t="s">
        <v>427</v>
      </c>
      <c r="D8" s="295"/>
      <c r="E8" s="295"/>
      <c r="F8" s="295"/>
      <c r="G8" s="295"/>
    </row>
    <row r="9" spans="1:7" ht="18.75" hidden="1">
      <c r="B9" s="177" t="s">
        <v>430</v>
      </c>
      <c r="C9" t="s">
        <v>452</v>
      </c>
      <c r="D9" s="295"/>
      <c r="E9" s="295"/>
      <c r="F9" s="295"/>
      <c r="G9" s="295"/>
    </row>
    <row r="10" spans="1:7" hidden="1">
      <c r="B10" s="146" t="s">
        <v>428</v>
      </c>
      <c r="C10" t="s">
        <v>429</v>
      </c>
    </row>
    <row r="12" spans="1:7">
      <c r="B12" s="147" t="s">
        <v>743</v>
      </c>
      <c r="C12" s="179" t="s">
        <v>447</v>
      </c>
    </row>
    <row r="13" spans="1:7">
      <c r="B13" s="155" t="s">
        <v>437</v>
      </c>
      <c r="C13" s="145"/>
    </row>
  </sheetData>
  <mergeCells count="1">
    <mergeCell ref="A6:F6"/>
  </mergeCells>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7"/>
  <dimension ref="B2:F25"/>
  <sheetViews>
    <sheetView topLeftCell="A8" workbookViewId="0">
      <selection activeCell="C23" sqref="C23"/>
    </sheetView>
  </sheetViews>
  <sheetFormatPr defaultColWidth="11.42578125" defaultRowHeight="18" customHeight="1"/>
  <cols>
    <col min="1" max="1" width="11.42578125" style="120"/>
    <col min="2" max="2" width="35" style="120" bestFit="1" customWidth="1"/>
    <col min="3" max="3" width="83.7109375" style="120" bestFit="1" customWidth="1"/>
    <col min="4" max="4" width="16" style="126" bestFit="1" customWidth="1"/>
    <col min="5" max="5" width="2.7109375" style="120" customWidth="1"/>
    <col min="6" max="6" width="32.28515625" style="120" bestFit="1" customWidth="1"/>
    <col min="7" max="16384" width="11.42578125" style="120"/>
  </cols>
  <sheetData>
    <row r="2" spans="2:6" ht="18" customHeight="1">
      <c r="B2" s="435" t="s">
        <v>742</v>
      </c>
      <c r="C2" s="435"/>
      <c r="D2" s="435"/>
      <c r="E2" s="435"/>
      <c r="F2" s="435"/>
    </row>
    <row r="3" spans="2:6" s="121" customFormat="1" ht="18" customHeight="1">
      <c r="B3" s="107" t="s">
        <v>811</v>
      </c>
      <c r="C3" s="108" t="s">
        <v>870</v>
      </c>
      <c r="D3" s="123" t="s">
        <v>871</v>
      </c>
      <c r="E3" s="117"/>
      <c r="F3" s="108" t="s">
        <v>812</v>
      </c>
    </row>
    <row r="4" spans="2:6" ht="18" customHeight="1">
      <c r="B4" s="109" t="s">
        <v>872</v>
      </c>
      <c r="C4" s="111" t="s">
        <v>873</v>
      </c>
      <c r="D4" s="124">
        <f>-50-11+270+550+261</f>
        <v>1020</v>
      </c>
      <c r="E4" s="116"/>
      <c r="F4" s="109" t="s">
        <v>874</v>
      </c>
    </row>
    <row r="5" spans="2:6" ht="18" customHeight="1">
      <c r="B5" s="109" t="s">
        <v>875</v>
      </c>
      <c r="C5" s="111" t="s">
        <v>876</v>
      </c>
      <c r="D5" s="124">
        <f>59440</f>
        <v>59440</v>
      </c>
      <c r="E5" s="116"/>
      <c r="F5" s="109" t="s">
        <v>877</v>
      </c>
    </row>
    <row r="6" spans="2:6" ht="18" customHeight="1">
      <c r="B6" s="109"/>
      <c r="C6" s="111" t="s">
        <v>878</v>
      </c>
      <c r="D6" s="124"/>
      <c r="E6" s="116"/>
      <c r="F6" s="109"/>
    </row>
    <row r="7" spans="2:6" ht="18" customHeight="1">
      <c r="B7" s="109" t="s">
        <v>879</v>
      </c>
      <c r="C7" s="111" t="s">
        <v>880</v>
      </c>
      <c r="D7" s="124">
        <f>-300-380-500+50+200+29000</f>
        <v>28070</v>
      </c>
      <c r="E7" s="116"/>
      <c r="F7" s="109" t="s">
        <v>881</v>
      </c>
    </row>
    <row r="8" spans="2:6" ht="18" customHeight="1">
      <c r="B8" s="109" t="s">
        <v>882</v>
      </c>
      <c r="C8" s="111" t="s">
        <v>883</v>
      </c>
      <c r="D8" s="124">
        <f>100+2500</f>
        <v>2600</v>
      </c>
      <c r="E8" s="116"/>
      <c r="F8" s="109" t="s">
        <v>884</v>
      </c>
    </row>
    <row r="9" spans="2:6" ht="18" customHeight="1">
      <c r="B9" s="109" t="s">
        <v>885</v>
      </c>
      <c r="C9" s="111" t="s">
        <v>886</v>
      </c>
      <c r="D9" s="124">
        <f>-20000-6000-4000</f>
        <v>-30000</v>
      </c>
      <c r="E9" s="116"/>
      <c r="F9" s="109" t="s">
        <v>887</v>
      </c>
    </row>
    <row r="10" spans="2:6" ht="18" customHeight="1">
      <c r="B10" s="109" t="s">
        <v>888</v>
      </c>
      <c r="C10" s="111" t="s">
        <v>889</v>
      </c>
      <c r="D10" s="124">
        <f>-900-300</f>
        <v>-1200</v>
      </c>
      <c r="E10" s="116"/>
      <c r="F10" s="109" t="s">
        <v>890</v>
      </c>
    </row>
    <row r="11" spans="2:6" ht="18" customHeight="1">
      <c r="B11" s="109" t="s">
        <v>891</v>
      </c>
      <c r="C11" s="111" t="s">
        <v>892</v>
      </c>
      <c r="D11" s="124">
        <f>-5366-906-900</f>
        <v>-7172</v>
      </c>
      <c r="E11" s="116"/>
      <c r="F11" s="109" t="s">
        <v>893</v>
      </c>
    </row>
    <row r="12" spans="2:6" ht="18" customHeight="1">
      <c r="B12" s="109"/>
      <c r="C12" s="111" t="s">
        <v>894</v>
      </c>
      <c r="D12" s="124"/>
      <c r="E12" s="116"/>
      <c r="F12" s="109"/>
    </row>
    <row r="13" spans="2:6" ht="18" customHeight="1">
      <c r="B13" s="109"/>
      <c r="C13" s="111" t="s">
        <v>895</v>
      </c>
      <c r="D13" s="124"/>
      <c r="E13" s="116"/>
      <c r="F13" s="109"/>
    </row>
    <row r="14" spans="2:6" ht="18" customHeight="1">
      <c r="B14" s="109" t="s">
        <v>896</v>
      </c>
      <c r="C14" s="111" t="s">
        <v>897</v>
      </c>
      <c r="D14" s="124">
        <f>-500+80+2000</f>
        <v>1580</v>
      </c>
      <c r="E14" s="116"/>
      <c r="F14" s="109" t="s">
        <v>898</v>
      </c>
    </row>
    <row r="15" spans="2:6" ht="18" customHeight="1">
      <c r="B15" s="109" t="s">
        <v>899</v>
      </c>
      <c r="C15" s="111" t="s">
        <v>900</v>
      </c>
      <c r="D15" s="124">
        <f>-500</f>
        <v>-500</v>
      </c>
      <c r="E15" s="116"/>
      <c r="F15" s="109" t="s">
        <v>901</v>
      </c>
    </row>
    <row r="16" spans="2:6" ht="18" customHeight="1">
      <c r="B16" s="107"/>
      <c r="C16" s="119" t="s">
        <v>902</v>
      </c>
      <c r="D16" s="125">
        <f>SUM(D4:D15)</f>
        <v>53838</v>
      </c>
      <c r="E16" s="118"/>
      <c r="F16" s="107" t="s">
        <v>903</v>
      </c>
    </row>
    <row r="17" spans="2:6" ht="18" customHeight="1">
      <c r="B17" s="109" t="s">
        <v>904</v>
      </c>
      <c r="C17" s="111" t="s">
        <v>905</v>
      </c>
      <c r="D17" s="124">
        <f>1030</f>
        <v>1030</v>
      </c>
      <c r="E17" s="116"/>
      <c r="F17" s="109" t="s">
        <v>906</v>
      </c>
    </row>
    <row r="18" spans="2:6" ht="18" customHeight="1">
      <c r="B18" s="109" t="s">
        <v>907</v>
      </c>
      <c r="C18" s="111" t="s">
        <v>908</v>
      </c>
      <c r="D18" s="124">
        <f>-7827</f>
        <v>-7827</v>
      </c>
      <c r="E18" s="116"/>
      <c r="F18" s="109" t="s">
        <v>909</v>
      </c>
    </row>
    <row r="19" spans="2:6" ht="18" customHeight="1">
      <c r="B19" s="109"/>
      <c r="C19" s="111" t="s">
        <v>910</v>
      </c>
      <c r="D19" s="124"/>
      <c r="E19" s="116"/>
      <c r="F19" s="109"/>
    </row>
    <row r="20" spans="2:6" ht="18" customHeight="1">
      <c r="B20" s="109"/>
      <c r="C20" s="111" t="s">
        <v>911</v>
      </c>
      <c r="D20" s="124"/>
      <c r="E20" s="116"/>
      <c r="F20" s="109"/>
    </row>
    <row r="21" spans="2:6" ht="18" customHeight="1">
      <c r="B21" s="109"/>
      <c r="C21" s="111" t="s">
        <v>912</v>
      </c>
      <c r="D21" s="124"/>
      <c r="E21" s="116"/>
      <c r="F21" s="109"/>
    </row>
    <row r="22" spans="2:6" ht="18" customHeight="1">
      <c r="B22" s="107"/>
      <c r="C22" s="119" t="s">
        <v>913</v>
      </c>
      <c r="D22" s="125">
        <f>SUM(D17:D21)</f>
        <v>-6797</v>
      </c>
      <c r="E22" s="118"/>
      <c r="F22" s="107" t="s">
        <v>914</v>
      </c>
    </row>
    <row r="23" spans="2:6" ht="18" customHeight="1">
      <c r="B23" s="107"/>
      <c r="C23" s="119" t="s">
        <v>764</v>
      </c>
      <c r="D23" s="125">
        <f>D16+D22</f>
        <v>47041</v>
      </c>
      <c r="E23" s="118"/>
      <c r="F23" s="107" t="s">
        <v>915</v>
      </c>
    </row>
    <row r="24" spans="2:6" ht="18" customHeight="1">
      <c r="B24" s="109" t="s">
        <v>916</v>
      </c>
      <c r="C24" s="111" t="s">
        <v>917</v>
      </c>
      <c r="D24" s="124">
        <f>-25%*D23</f>
        <v>-11760.25</v>
      </c>
      <c r="E24" s="116"/>
      <c r="F24" s="109" t="s">
        <v>918</v>
      </c>
    </row>
    <row r="25" spans="2:6" ht="18" customHeight="1">
      <c r="B25" s="107"/>
      <c r="C25" s="119" t="s">
        <v>767</v>
      </c>
      <c r="D25" s="125">
        <f>D23+D24</f>
        <v>35280.75</v>
      </c>
      <c r="E25" s="118"/>
      <c r="F25" s="107" t="s">
        <v>919</v>
      </c>
    </row>
  </sheetData>
  <mergeCells count="1">
    <mergeCell ref="B2:F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9"/>
  <dimension ref="A7:H20"/>
  <sheetViews>
    <sheetView showGridLines="0" showRowColHeaders="0" zoomScale="85" zoomScaleNormal="85" workbookViewId="0">
      <selection activeCell="B9" sqref="B9:G9"/>
    </sheetView>
  </sheetViews>
  <sheetFormatPr defaultColWidth="11.42578125" defaultRowHeight="21" customHeight="1"/>
  <cols>
    <col min="1" max="1" width="2.7109375" style="30" customWidth="1"/>
    <col min="2" max="2" width="36.7109375" style="30" customWidth="1"/>
    <col min="3" max="3" width="52.42578125" style="30" customWidth="1"/>
    <col min="4" max="4" width="13.85546875" style="30" customWidth="1"/>
    <col min="5" max="5" width="14.85546875" style="30" customWidth="1"/>
    <col min="6" max="6" width="15.5703125" style="29" bestFit="1" customWidth="1"/>
    <col min="7" max="7" width="82" style="30" customWidth="1"/>
    <col min="8" max="8" width="12.28515625" style="157" customWidth="1"/>
    <col min="9" max="16384" width="11.42578125" style="30"/>
  </cols>
  <sheetData>
    <row r="7" spans="1:8" ht="12.95" customHeight="1">
      <c r="B7" s="246"/>
      <c r="C7" s="246"/>
      <c r="D7" s="246"/>
      <c r="E7" s="246"/>
      <c r="F7" s="247"/>
      <c r="G7" s="246"/>
    </row>
    <row r="8" spans="1:8" ht="6" customHeight="1"/>
    <row r="9" spans="1:8" ht="21" customHeight="1">
      <c r="A9" s="227"/>
      <c r="B9" s="437" t="s">
        <v>920</v>
      </c>
      <c r="C9" s="437"/>
      <c r="D9" s="437"/>
      <c r="E9" s="437"/>
      <c r="F9" s="437"/>
      <c r="G9" s="437"/>
      <c r="H9" s="225"/>
    </row>
    <row r="10" spans="1:8" ht="9" customHeight="1"/>
    <row r="11" spans="1:8" s="29" customFormat="1" ht="33.75" customHeight="1">
      <c r="B11" s="330" t="s">
        <v>921</v>
      </c>
      <c r="C11" s="330" t="s">
        <v>922</v>
      </c>
      <c r="D11" s="331" t="s">
        <v>923</v>
      </c>
      <c r="E11" s="331" t="s">
        <v>924</v>
      </c>
      <c r="F11" s="330" t="s">
        <v>925</v>
      </c>
      <c r="G11" s="330" t="s">
        <v>926</v>
      </c>
      <c r="H11" s="158"/>
    </row>
    <row r="12" spans="1:8" ht="60.6" customHeight="1">
      <c r="B12" s="132" t="s">
        <v>927</v>
      </c>
      <c r="C12" s="132" t="s">
        <v>928</v>
      </c>
      <c r="D12" s="211">
        <f>+'Balance de Situación'!C27</f>
        <v>0</v>
      </c>
      <c r="E12" s="211">
        <f>+'Balance de Situación'!F36</f>
        <v>0</v>
      </c>
      <c r="F12" s="134" t="str">
        <f>IFERROR(+D12/E12,"-")</f>
        <v>-</v>
      </c>
      <c r="G12" s="219" t="str">
        <f>+IF(F12&gt;1,'Interp. Ratios'!D2,IF(F12&lt;1,'Interp. Ratios'!D3,'Interp. Ratios'!D4))</f>
        <v>La empresa tiene suficientes recursos económicos a corto plazo para cubrir sus deudas a corto plazo. En principio, podría continuar operando sin problemas dentro del próximo año.</v>
      </c>
    </row>
    <row r="13" spans="1:8" ht="60.6" customHeight="1">
      <c r="B13" s="296" t="s">
        <v>929</v>
      </c>
      <c r="C13" s="296" t="s">
        <v>930</v>
      </c>
      <c r="D13" s="211">
        <f>+'Balance de Situación'!C19</f>
        <v>0</v>
      </c>
      <c r="E13" s="297">
        <f>(+'Balance de Situación'!F30+'Balance de Situación'!F36)</f>
        <v>0</v>
      </c>
      <c r="F13" s="220" t="str">
        <f>IFERROR(+D13/E13,"-")</f>
        <v>-</v>
      </c>
      <c r="G13" s="219" t="str">
        <f>+IF(F13&gt;1,'Interp. Ratios'!D5,IF(F13&lt;1,'Interp. Ratios'!D6,'Interp. Ratios'!D7))</f>
        <v>La empresa tiene suficientes recursos económicos, tanto a corto como a largo plazo, para cubrir todas sus deudas, tanto a corto como a largo plazo. Es señal de que tiene un margen de seguridad financiera.</v>
      </c>
    </row>
    <row r="14" spans="1:8" ht="60.6" customHeight="1">
      <c r="B14" s="132" t="s">
        <v>931</v>
      </c>
      <c r="C14" s="132" t="s">
        <v>932</v>
      </c>
      <c r="D14" s="211">
        <f>+('Balance de Situación'!F30+'Balance de Situación'!F36)</f>
        <v>0</v>
      </c>
      <c r="E14" s="211">
        <f>+'Balance de Situación'!F20</f>
        <v>0</v>
      </c>
      <c r="F14" s="134" t="str">
        <f>IFERROR(+D14/E14,"-")</f>
        <v>-</v>
      </c>
      <c r="G14" s="219" t="str">
        <f>+IF(F14&gt;1,'Interp. Ratios'!D8,IF(F14&lt;1,'Interp. Ratios'!D9,'Interp. Ratios'!D10))</f>
        <v>La empresa se financia en mayor medida con recursos ajenos que propios.</v>
      </c>
    </row>
    <row r="15" spans="1:8" ht="60.6" customHeight="1">
      <c r="B15" s="132" t="s">
        <v>933</v>
      </c>
      <c r="C15" s="132" t="s">
        <v>934</v>
      </c>
      <c r="D15" s="211">
        <f>+'Balance de Situación'!F36</f>
        <v>0</v>
      </c>
      <c r="E15" s="211">
        <f>+'Balance de Situación'!F20</f>
        <v>0</v>
      </c>
      <c r="F15" s="134" t="str">
        <f t="shared" ref="F15:F18" si="0">IFERROR(+D15/E15,"-")</f>
        <v>-</v>
      </c>
      <c r="G15" s="219" t="str">
        <f>+IF(F15&gt;1,'Interp. Ratios'!D11,IF(F15&lt;1,'Interp. Ratios'!D12,'Interp. Ratios'!D13))</f>
        <v>La empresa se financia en mayor medida con recursos ajenos a corto plazo que propios.</v>
      </c>
    </row>
    <row r="16" spans="1:8" ht="60.6" customHeight="1">
      <c r="B16" s="132" t="s">
        <v>935</v>
      </c>
      <c r="C16" s="132" t="s">
        <v>936</v>
      </c>
      <c r="D16" s="211">
        <f>+'Balance de Situación'!F30</f>
        <v>0</v>
      </c>
      <c r="E16" s="211">
        <f>+'Balance de Situación'!F20</f>
        <v>0</v>
      </c>
      <c r="F16" s="134" t="str">
        <f t="shared" si="0"/>
        <v>-</v>
      </c>
      <c r="G16" s="219" t="str">
        <f>+IF(F16&gt;1,'Interp. Ratios'!D14,IF(F16&lt;1,'Interp. Ratios'!D15,'Interp. Ratios'!D16))</f>
        <v>La empresa se financia en mayor medida con recursos ajenos a largo plazo que propios.</v>
      </c>
    </row>
    <row r="17" spans="2:7" ht="60.6" customHeight="1">
      <c r="B17" s="132" t="s">
        <v>937</v>
      </c>
      <c r="C17" s="132" t="s">
        <v>938</v>
      </c>
      <c r="D17" s="211">
        <f>+'Balance de Situación'!F36</f>
        <v>0</v>
      </c>
      <c r="E17" s="211">
        <f>+('Balance de Situación'!F30+'Balance de Situación'!F36)</f>
        <v>0</v>
      </c>
      <c r="F17" s="210" t="str">
        <f t="shared" si="0"/>
        <v>-</v>
      </c>
      <c r="G17" s="219" t="str">
        <f>+IF(F17&gt;50%,'Interp. Ratios'!D17,IF(F17&lt;50%,'Interp. Ratios'!D18,'Interp. Ratios'!D19))</f>
        <v xml:space="preserve">La calidad de la deuda de la empresa es mala, ya que la mayor parte es a corto plazo. </v>
      </c>
    </row>
    <row r="18" spans="2:7" ht="60.6" customHeight="1">
      <c r="B18" s="132" t="s">
        <v>939</v>
      </c>
      <c r="C18" s="132" t="s">
        <v>940</v>
      </c>
      <c r="D18" s="211">
        <f>+'Balance de Situación'!F30</f>
        <v>0</v>
      </c>
      <c r="E18" s="211">
        <f>+('Balance de Situación'!F30+'Balance de Situación'!F36)</f>
        <v>0</v>
      </c>
      <c r="F18" s="210" t="str">
        <f t="shared" si="0"/>
        <v>-</v>
      </c>
      <c r="G18" s="219" t="str">
        <f>+IF(F18&gt;50%,'Interp. Ratios'!D20,IF(F18&lt;50%,'Interp. Ratios'!D21,'Interp. Ratios'!D22))</f>
        <v xml:space="preserve">La calidad de la deuda de la empresa es buena, ya que la mayor parte es a largo plazo. </v>
      </c>
    </row>
    <row r="19" spans="2:7" ht="60.6" customHeight="1">
      <c r="B19" s="132" t="s">
        <v>941</v>
      </c>
      <c r="C19" s="132" t="s">
        <v>942</v>
      </c>
      <c r="D19" s="211">
        <f>+('Cuenta de PyG'!D39-GETPIVOTDATA("ImporteSig*-1",'Cuenta de PyG'!$C$17,"PyG_Nivel_2","B) RESULTADO FINANCIERO (Suma del 13 al 17)","PyG_Nivel_3","13. Ingresos Financieros")-GETPIVOTDATA("ImporteSig*-1",'Cuenta de PyG'!$C$17,"PyG_Nivel_2","B) RESULTADO FINANCIERO (Suma del 13 al 17)","PyG_Nivel_3","14. Gastos Financieros"))</f>
        <v>0</v>
      </c>
      <c r="E19" s="211">
        <f>+'Balance de Situación'!C19</f>
        <v>0</v>
      </c>
      <c r="F19" s="210" t="str">
        <f>IFERROR(+D19/E19,"-")</f>
        <v>-</v>
      </c>
      <c r="G19" s="219" t="str">
        <f>+IF(F19&gt;0%,'Interp. Ratios'!D23,IF(F19&lt;0%,'Interp. Ratios'!D24,'Interp. Ratios'!D25))</f>
        <v>La empresa está generando beneficios. Cuanto mayor sea este valor, mejor, ya que indica una mayor eficiencia en el uso de sus activos para generar ganancias.</v>
      </c>
    </row>
    <row r="20" spans="2:7" ht="60.6" customHeight="1">
      <c r="B20" s="132" t="s">
        <v>943</v>
      </c>
      <c r="C20" s="132" t="s">
        <v>944</v>
      </c>
      <c r="D20" s="211">
        <f>+'Cuenta de PyG'!D49</f>
        <v>0</v>
      </c>
      <c r="E20" s="211">
        <f>+'Balance de Situación'!F20</f>
        <v>0</v>
      </c>
      <c r="F20" s="210" t="str">
        <f>IFERROR(+D20/E20,"-")</f>
        <v>-</v>
      </c>
      <c r="G20" s="219" t="str">
        <f>+IF(F20&gt;0%,'Interp. Ratios'!D26,IF(F20&lt;0%,'Interp. Ratios'!D27,'Interp. Ratios'!D28))</f>
        <v>La empresa está generando beneficios. Cuanto mayor sea este valor, mejor, ya que indica una mayor eficiencia en el uso de sus recursos propios para generar ganancias.</v>
      </c>
    </row>
  </sheetData>
  <sheetProtection algorithmName="SHA-512" hashValue="ySqi776nD1J8riyWhR0Vno8qXsxVL9eBnzjwoZGIjzfGdb3RmcSKIwGrFv14sgy4k1CMvAQl5OA9mCQJdeJYMg==" saltValue="gU1qpc5unzV4ebNzFPAF+Q==" spinCount="100000" sheet="1" autoFilter="0" pivotTables="0"/>
  <mergeCells count="1">
    <mergeCell ref="B9:G9"/>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0"/>
  <dimension ref="A1:D28"/>
  <sheetViews>
    <sheetView workbookViewId="0"/>
  </sheetViews>
  <sheetFormatPr defaultColWidth="11.42578125" defaultRowHeight="15"/>
  <cols>
    <col min="1" max="1" width="28" bestFit="1" customWidth="1"/>
    <col min="2" max="2" width="50.28515625" bestFit="1" customWidth="1"/>
    <col min="4" max="4" width="191.5703125" bestFit="1" customWidth="1"/>
  </cols>
  <sheetData>
    <row r="1" spans="1:4">
      <c r="A1" s="133" t="s">
        <v>921</v>
      </c>
      <c r="B1" s="133" t="s">
        <v>922</v>
      </c>
      <c r="C1" s="133" t="s">
        <v>925</v>
      </c>
      <c r="D1" s="133" t="s">
        <v>926</v>
      </c>
    </row>
    <row r="2" spans="1:4">
      <c r="A2" s="248" t="s">
        <v>927</v>
      </c>
      <c r="B2" s="249" t="s">
        <v>928</v>
      </c>
      <c r="C2" s="249" t="s">
        <v>945</v>
      </c>
      <c r="D2" s="249" t="s">
        <v>946</v>
      </c>
    </row>
    <row r="3" spans="1:4">
      <c r="A3" s="250" t="s">
        <v>927</v>
      </c>
      <c r="B3" s="251" t="s">
        <v>928</v>
      </c>
      <c r="C3" s="251" t="s">
        <v>947</v>
      </c>
      <c r="D3" s="251" t="s">
        <v>948</v>
      </c>
    </row>
    <row r="4" spans="1:4">
      <c r="A4" s="250" t="s">
        <v>927</v>
      </c>
      <c r="B4" s="251" t="s">
        <v>928</v>
      </c>
      <c r="C4" s="251">
        <v>1</v>
      </c>
      <c r="D4" s="251" t="s">
        <v>949</v>
      </c>
    </row>
    <row r="5" spans="1:4">
      <c r="A5" s="250" t="s">
        <v>929</v>
      </c>
      <c r="B5" s="251" t="s">
        <v>930</v>
      </c>
      <c r="C5" s="251" t="s">
        <v>945</v>
      </c>
      <c r="D5" s="251" t="s">
        <v>950</v>
      </c>
    </row>
    <row r="6" spans="1:4">
      <c r="A6" s="250" t="s">
        <v>929</v>
      </c>
      <c r="B6" s="251" t="s">
        <v>930</v>
      </c>
      <c r="C6" s="251" t="s">
        <v>947</v>
      </c>
      <c r="D6" s="251" t="s">
        <v>951</v>
      </c>
    </row>
    <row r="7" spans="1:4">
      <c r="A7" s="250" t="s">
        <v>929</v>
      </c>
      <c r="B7" s="251" t="s">
        <v>930</v>
      </c>
      <c r="C7" s="251">
        <v>1</v>
      </c>
      <c r="D7" s="251" t="s">
        <v>952</v>
      </c>
    </row>
    <row r="8" spans="1:4">
      <c r="A8" s="250" t="s">
        <v>931</v>
      </c>
      <c r="B8" s="251" t="s">
        <v>932</v>
      </c>
      <c r="C8" s="251" t="s">
        <v>945</v>
      </c>
      <c r="D8" s="251" t="s">
        <v>953</v>
      </c>
    </row>
    <row r="9" spans="1:4">
      <c r="A9" s="250" t="s">
        <v>931</v>
      </c>
      <c r="B9" s="251" t="s">
        <v>932</v>
      </c>
      <c r="C9" s="251" t="s">
        <v>947</v>
      </c>
      <c r="D9" s="251" t="s">
        <v>954</v>
      </c>
    </row>
    <row r="10" spans="1:4">
      <c r="A10" s="250" t="s">
        <v>931</v>
      </c>
      <c r="B10" s="251" t="s">
        <v>932</v>
      </c>
      <c r="C10" s="251">
        <v>1</v>
      </c>
      <c r="D10" s="251" t="s">
        <v>955</v>
      </c>
    </row>
    <row r="11" spans="1:4">
      <c r="A11" s="250" t="s">
        <v>933</v>
      </c>
      <c r="B11" s="251" t="s">
        <v>934</v>
      </c>
      <c r="C11" s="251" t="s">
        <v>945</v>
      </c>
      <c r="D11" s="251" t="s">
        <v>956</v>
      </c>
    </row>
    <row r="12" spans="1:4">
      <c r="A12" s="250" t="s">
        <v>933</v>
      </c>
      <c r="B12" s="251" t="s">
        <v>934</v>
      </c>
      <c r="C12" s="251" t="s">
        <v>947</v>
      </c>
      <c r="D12" s="251" t="s">
        <v>957</v>
      </c>
    </row>
    <row r="13" spans="1:4">
      <c r="A13" s="250" t="s">
        <v>933</v>
      </c>
      <c r="B13" s="251" t="s">
        <v>934</v>
      </c>
      <c r="C13" s="251">
        <v>1</v>
      </c>
      <c r="D13" s="251" t="s">
        <v>958</v>
      </c>
    </row>
    <row r="14" spans="1:4">
      <c r="A14" s="250" t="s">
        <v>935</v>
      </c>
      <c r="B14" s="251" t="s">
        <v>936</v>
      </c>
      <c r="C14" s="251" t="s">
        <v>945</v>
      </c>
      <c r="D14" s="251" t="s">
        <v>959</v>
      </c>
    </row>
    <row r="15" spans="1:4">
      <c r="A15" s="250" t="s">
        <v>935</v>
      </c>
      <c r="B15" s="251" t="s">
        <v>936</v>
      </c>
      <c r="C15" s="251" t="s">
        <v>947</v>
      </c>
      <c r="D15" s="251" t="s">
        <v>960</v>
      </c>
    </row>
    <row r="16" spans="1:4">
      <c r="A16" s="250" t="s">
        <v>935</v>
      </c>
      <c r="B16" s="251" t="s">
        <v>936</v>
      </c>
      <c r="C16" s="251">
        <v>1</v>
      </c>
      <c r="D16" s="251" t="s">
        <v>961</v>
      </c>
    </row>
    <row r="17" spans="1:4">
      <c r="A17" s="250" t="s">
        <v>937</v>
      </c>
      <c r="B17" s="251" t="s">
        <v>938</v>
      </c>
      <c r="C17" s="251" t="s">
        <v>962</v>
      </c>
      <c r="D17" s="251" t="s">
        <v>963</v>
      </c>
    </row>
    <row r="18" spans="1:4">
      <c r="A18" s="250" t="s">
        <v>937</v>
      </c>
      <c r="B18" s="251" t="s">
        <v>938</v>
      </c>
      <c r="C18" s="251" t="s">
        <v>964</v>
      </c>
      <c r="D18" s="251" t="s">
        <v>965</v>
      </c>
    </row>
    <row r="19" spans="1:4">
      <c r="A19" s="250" t="s">
        <v>937</v>
      </c>
      <c r="B19" s="251" t="s">
        <v>938</v>
      </c>
      <c r="C19" s="252">
        <v>0.5</v>
      </c>
      <c r="D19" s="251" t="s">
        <v>966</v>
      </c>
    </row>
    <row r="20" spans="1:4">
      <c r="A20" s="250" t="s">
        <v>939</v>
      </c>
      <c r="B20" s="251" t="s">
        <v>940</v>
      </c>
      <c r="C20" s="251" t="s">
        <v>962</v>
      </c>
      <c r="D20" s="251" t="s">
        <v>967</v>
      </c>
    </row>
    <row r="21" spans="1:4">
      <c r="A21" s="250" t="s">
        <v>939</v>
      </c>
      <c r="B21" s="251" t="s">
        <v>940</v>
      </c>
      <c r="C21" s="251" t="s">
        <v>964</v>
      </c>
      <c r="D21" s="251" t="s">
        <v>968</v>
      </c>
    </row>
    <row r="22" spans="1:4">
      <c r="A22" s="250" t="s">
        <v>939</v>
      </c>
      <c r="B22" s="251" t="s">
        <v>940</v>
      </c>
      <c r="C22" s="252">
        <v>0.5</v>
      </c>
      <c r="D22" s="251" t="s">
        <v>969</v>
      </c>
    </row>
    <row r="23" spans="1:4">
      <c r="A23" s="250" t="s">
        <v>941</v>
      </c>
      <c r="B23" s="251" t="s">
        <v>942</v>
      </c>
      <c r="C23" s="251" t="s">
        <v>970</v>
      </c>
      <c r="D23" s="251" t="s">
        <v>971</v>
      </c>
    </row>
    <row r="24" spans="1:4">
      <c r="A24" s="250" t="s">
        <v>941</v>
      </c>
      <c r="B24" s="251" t="s">
        <v>942</v>
      </c>
      <c r="C24" s="251" t="s">
        <v>972</v>
      </c>
      <c r="D24" s="251" t="s">
        <v>973</v>
      </c>
    </row>
    <row r="25" spans="1:4">
      <c r="A25" s="250" t="s">
        <v>941</v>
      </c>
      <c r="B25" s="251" t="s">
        <v>942</v>
      </c>
      <c r="C25" s="252">
        <v>0</v>
      </c>
      <c r="D25" s="251" t="s">
        <v>974</v>
      </c>
    </row>
    <row r="26" spans="1:4">
      <c r="A26" s="250" t="s">
        <v>943</v>
      </c>
      <c r="B26" s="251" t="s">
        <v>944</v>
      </c>
      <c r="C26" s="251" t="s">
        <v>970</v>
      </c>
      <c r="D26" s="251" t="s">
        <v>975</v>
      </c>
    </row>
    <row r="27" spans="1:4">
      <c r="A27" s="250" t="s">
        <v>943</v>
      </c>
      <c r="B27" s="251" t="s">
        <v>944</v>
      </c>
      <c r="C27" s="251" t="s">
        <v>972</v>
      </c>
      <c r="D27" s="251" t="s">
        <v>973</v>
      </c>
    </row>
    <row r="28" spans="1:4">
      <c r="A28" s="250" t="s">
        <v>943</v>
      </c>
      <c r="B28" s="251" t="s">
        <v>944</v>
      </c>
      <c r="C28" s="251" t="s">
        <v>976</v>
      </c>
      <c r="D28" s="251" t="s">
        <v>974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4C858E"/>
  </sheetPr>
  <dimension ref="B8:P37"/>
  <sheetViews>
    <sheetView showGridLines="0" tabSelected="1" workbookViewId="0">
      <selection activeCell="Q13" sqref="Q13"/>
    </sheetView>
  </sheetViews>
  <sheetFormatPr defaultColWidth="10.85546875" defaultRowHeight="14.25"/>
  <cols>
    <col min="1" max="1" width="1.42578125" style="160" customWidth="1"/>
    <col min="2" max="11" width="10.85546875" style="160"/>
    <col min="12" max="12" width="25.5703125" style="160" bestFit="1" customWidth="1"/>
    <col min="13" max="16384" width="10.85546875" style="160"/>
  </cols>
  <sheetData>
    <row r="8" spans="2:16">
      <c r="B8" s="299"/>
      <c r="C8" s="299"/>
      <c r="D8" s="299"/>
      <c r="E8" s="299"/>
      <c r="F8" s="299"/>
      <c r="G8" s="299"/>
      <c r="H8" s="299"/>
      <c r="I8" s="299"/>
      <c r="J8" s="299"/>
      <c r="K8" s="299"/>
      <c r="L8" s="299"/>
      <c r="M8" s="299"/>
      <c r="N8" s="299"/>
    </row>
    <row r="9" spans="2:16">
      <c r="B9" s="299"/>
      <c r="C9" s="299"/>
      <c r="D9" s="299"/>
      <c r="E9" s="299"/>
      <c r="F9" s="299"/>
      <c r="G9" s="299"/>
      <c r="H9" s="299"/>
      <c r="I9" s="299"/>
      <c r="J9" s="299"/>
      <c r="K9" s="299"/>
      <c r="L9" s="299"/>
      <c r="M9" s="299"/>
      <c r="N9" s="299"/>
    </row>
    <row r="10" spans="2:16">
      <c r="B10" s="299"/>
      <c r="C10" s="299"/>
      <c r="D10" s="299"/>
      <c r="E10" s="299"/>
      <c r="F10" s="299"/>
      <c r="G10" s="299"/>
      <c r="H10" s="299"/>
      <c r="I10" s="299"/>
      <c r="J10" s="299"/>
      <c r="K10" s="299"/>
      <c r="L10" s="299"/>
      <c r="M10" s="299"/>
      <c r="N10" s="299"/>
    </row>
    <row r="12" spans="2:16" ht="15">
      <c r="B12" s="300" t="s">
        <v>145</v>
      </c>
      <c r="C12" s="301"/>
      <c r="D12" s="301"/>
      <c r="E12" s="301"/>
      <c r="F12" s="301"/>
      <c r="G12" s="301"/>
      <c r="H12" s="301"/>
      <c r="I12" s="301"/>
      <c r="J12" s="301"/>
      <c r="K12" s="301"/>
      <c r="L12" s="301"/>
      <c r="M12" s="301"/>
      <c r="N12" s="301"/>
    </row>
    <row r="13" spans="2:16" ht="93" customHeight="1">
      <c r="B13" s="362" t="s">
        <v>146</v>
      </c>
      <c r="C13" s="362"/>
      <c r="D13" s="362"/>
      <c r="E13" s="362"/>
      <c r="F13" s="362"/>
      <c r="G13" s="362"/>
      <c r="H13" s="362"/>
      <c r="I13" s="362"/>
      <c r="J13" s="362"/>
      <c r="K13" s="362"/>
      <c r="L13" s="362"/>
      <c r="M13" s="362"/>
      <c r="N13" s="362"/>
      <c r="O13" s="186"/>
      <c r="P13" s="186"/>
    </row>
    <row r="14" spans="2:16">
      <c r="B14" s="302"/>
      <c r="C14" s="302"/>
      <c r="D14" s="302"/>
      <c r="E14" s="302"/>
      <c r="F14" s="302"/>
      <c r="G14" s="302"/>
      <c r="H14" s="302"/>
      <c r="I14" s="302"/>
      <c r="J14" s="302"/>
      <c r="K14" s="302"/>
      <c r="L14" s="302"/>
      <c r="M14" s="302"/>
      <c r="N14" s="302"/>
      <c r="O14" s="187"/>
      <c r="P14" s="187"/>
    </row>
    <row r="15" spans="2:16" ht="15">
      <c r="B15" s="303" t="s">
        <v>147</v>
      </c>
      <c r="C15" s="304"/>
      <c r="D15" s="304"/>
      <c r="E15" s="304"/>
      <c r="F15" s="304"/>
      <c r="G15" s="304"/>
      <c r="H15" s="304"/>
      <c r="I15" s="304"/>
      <c r="J15" s="304"/>
      <c r="K15" s="304"/>
      <c r="L15" s="304"/>
      <c r="M15" s="304"/>
      <c r="N15" s="304"/>
      <c r="O15" s="185"/>
      <c r="P15" s="185"/>
    </row>
    <row r="16" spans="2:16" ht="9.75" customHeight="1">
      <c r="B16" s="311"/>
      <c r="C16" s="306"/>
      <c r="D16" s="306"/>
      <c r="E16" s="306"/>
      <c r="F16" s="306"/>
      <c r="G16" s="306"/>
      <c r="H16" s="306"/>
      <c r="I16" s="306"/>
      <c r="J16" s="306"/>
      <c r="K16" s="306"/>
      <c r="L16" s="306"/>
      <c r="M16" s="306"/>
      <c r="N16" s="306"/>
      <c r="O16" s="185"/>
      <c r="P16" s="185"/>
    </row>
    <row r="17" spans="2:16" ht="16.5" customHeight="1">
      <c r="B17" s="361" t="s">
        <v>148</v>
      </c>
      <c r="C17" s="361"/>
      <c r="D17" s="361"/>
      <c r="E17" s="361"/>
      <c r="F17" s="361"/>
      <c r="G17" s="361"/>
      <c r="H17" s="361"/>
      <c r="I17" s="361"/>
      <c r="J17" s="361"/>
      <c r="K17" s="361"/>
      <c r="L17" s="361"/>
      <c r="M17" s="361"/>
      <c r="N17" s="361"/>
      <c r="O17" s="190"/>
      <c r="P17" s="188"/>
    </row>
    <row r="18" spans="2:16" ht="12.75" customHeight="1">
      <c r="B18" s="363" t="s">
        <v>149</v>
      </c>
      <c r="C18" s="361"/>
      <c r="D18" s="361"/>
      <c r="E18" s="361"/>
      <c r="F18" s="361"/>
      <c r="G18" s="361"/>
      <c r="H18" s="361"/>
      <c r="I18" s="361"/>
      <c r="J18" s="361"/>
      <c r="K18" s="361"/>
      <c r="L18" s="361"/>
      <c r="M18" s="361"/>
      <c r="N18" s="361"/>
      <c r="O18" s="190"/>
      <c r="P18" s="188"/>
    </row>
    <row r="19" spans="2:16" ht="17.25" customHeight="1">
      <c r="B19" s="364" t="s">
        <v>150</v>
      </c>
      <c r="C19" s="364"/>
      <c r="D19" s="364"/>
      <c r="E19" s="364"/>
      <c r="F19" s="364"/>
      <c r="G19" s="364"/>
      <c r="H19" s="364"/>
      <c r="I19" s="364"/>
      <c r="J19" s="364"/>
      <c r="K19" s="364"/>
      <c r="L19" s="364"/>
      <c r="M19" s="364"/>
      <c r="N19" s="364"/>
      <c r="O19" s="190"/>
      <c r="P19" s="188"/>
    </row>
    <row r="20" spans="2:16" ht="18" customHeight="1">
      <c r="B20" s="363" t="s">
        <v>151</v>
      </c>
      <c r="C20" s="361"/>
      <c r="D20" s="361"/>
      <c r="E20" s="361"/>
      <c r="F20" s="361"/>
      <c r="G20" s="361"/>
      <c r="H20" s="361"/>
      <c r="I20" s="361"/>
      <c r="J20" s="361"/>
      <c r="K20" s="361"/>
      <c r="L20" s="361"/>
      <c r="M20" s="361"/>
      <c r="N20" s="361"/>
      <c r="O20" s="188"/>
      <c r="P20" s="188"/>
    </row>
    <row r="21" spans="2:16">
      <c r="B21" s="305"/>
      <c r="C21" s="305"/>
      <c r="D21" s="305"/>
      <c r="E21" s="305"/>
      <c r="F21" s="305"/>
      <c r="G21" s="305"/>
      <c r="H21" s="305"/>
      <c r="I21" s="305"/>
      <c r="J21" s="305"/>
      <c r="K21" s="305"/>
      <c r="L21" s="305"/>
      <c r="M21" s="305"/>
      <c r="N21" s="305"/>
      <c r="O21" s="189"/>
      <c r="P21" s="189"/>
    </row>
    <row r="22" spans="2:16" ht="15">
      <c r="B22" s="303" t="s">
        <v>152</v>
      </c>
      <c r="C22" s="304"/>
      <c r="D22" s="304"/>
      <c r="E22" s="304"/>
      <c r="F22" s="304"/>
      <c r="G22" s="304"/>
      <c r="H22" s="304"/>
      <c r="I22" s="304"/>
      <c r="J22" s="304"/>
      <c r="K22" s="304"/>
      <c r="L22" s="304"/>
      <c r="M22" s="304"/>
      <c r="N22" s="304"/>
      <c r="O22" s="185"/>
      <c r="P22" s="185"/>
    </row>
    <row r="23" spans="2:16" ht="9" customHeight="1">
      <c r="B23" s="311"/>
      <c r="C23" s="306"/>
      <c r="D23" s="306"/>
      <c r="E23" s="306"/>
      <c r="F23" s="306"/>
      <c r="G23" s="306"/>
      <c r="H23" s="306"/>
      <c r="I23" s="306"/>
      <c r="J23" s="306"/>
      <c r="K23" s="306"/>
      <c r="L23" s="306"/>
      <c r="M23" s="306"/>
      <c r="N23" s="306"/>
      <c r="O23" s="185"/>
      <c r="P23" s="185"/>
    </row>
    <row r="24" spans="2:16" ht="18" customHeight="1">
      <c r="B24" s="361" t="s">
        <v>153</v>
      </c>
      <c r="C24" s="361"/>
      <c r="D24" s="361"/>
      <c r="E24" s="361"/>
      <c r="F24" s="361"/>
      <c r="G24" s="361"/>
      <c r="H24" s="361"/>
      <c r="I24" s="361"/>
      <c r="J24" s="361"/>
      <c r="K24" s="361"/>
      <c r="L24" s="361"/>
      <c r="M24" s="361"/>
      <c r="N24" s="361"/>
      <c r="O24" s="185"/>
      <c r="P24" s="185"/>
    </row>
    <row r="25" spans="2:16" ht="15.6" customHeight="1">
      <c r="B25" s="361" t="s">
        <v>154</v>
      </c>
      <c r="C25" s="361"/>
      <c r="D25" s="361"/>
      <c r="E25" s="361"/>
      <c r="F25" s="361"/>
      <c r="G25" s="361"/>
      <c r="H25" s="361"/>
      <c r="I25" s="361"/>
      <c r="J25" s="361"/>
      <c r="K25" s="361"/>
      <c r="L25" s="361"/>
      <c r="M25" s="361"/>
      <c r="N25" s="361"/>
      <c r="O25" s="185"/>
      <c r="P25" s="185"/>
    </row>
    <row r="26" spans="2:16" ht="18.600000000000001" customHeight="1">
      <c r="B26" s="361" t="s">
        <v>155</v>
      </c>
      <c r="C26" s="361"/>
      <c r="D26" s="361"/>
      <c r="E26" s="361"/>
      <c r="F26" s="361"/>
      <c r="G26" s="361"/>
      <c r="H26" s="361"/>
      <c r="I26" s="361"/>
      <c r="J26" s="361"/>
      <c r="K26" s="361"/>
      <c r="L26" s="361"/>
      <c r="M26" s="361"/>
      <c r="N26" s="361"/>
      <c r="O26" s="185"/>
      <c r="P26" s="185"/>
    </row>
    <row r="27" spans="2:16" ht="15" customHeight="1">
      <c r="B27" s="361" t="s">
        <v>156</v>
      </c>
      <c r="C27" s="361"/>
      <c r="D27" s="361"/>
      <c r="E27" s="361"/>
      <c r="F27" s="361"/>
      <c r="G27" s="361"/>
      <c r="H27" s="361"/>
      <c r="I27" s="361"/>
      <c r="J27" s="361"/>
      <c r="K27" s="361"/>
      <c r="L27" s="361"/>
      <c r="M27" s="361"/>
      <c r="N27" s="361"/>
      <c r="O27" s="185"/>
      <c r="P27" s="185"/>
    </row>
    <row r="28" spans="2:16" ht="21" customHeight="1">
      <c r="B28" s="306"/>
      <c r="C28" s="306"/>
      <c r="D28" s="306"/>
      <c r="E28" s="306"/>
      <c r="F28" s="306"/>
      <c r="G28" s="306"/>
      <c r="H28" s="306"/>
      <c r="I28" s="306"/>
      <c r="J28" s="306"/>
      <c r="K28" s="306"/>
      <c r="L28" s="306"/>
      <c r="M28" s="306"/>
      <c r="N28" s="306"/>
      <c r="O28" s="185"/>
      <c r="P28" s="185"/>
    </row>
    <row r="29" spans="2:16" ht="15">
      <c r="B29" s="303" t="s">
        <v>157</v>
      </c>
      <c r="C29" s="304"/>
      <c r="D29" s="304"/>
      <c r="E29" s="304"/>
      <c r="F29" s="304"/>
      <c r="G29" s="304"/>
      <c r="H29" s="304"/>
      <c r="I29" s="304"/>
      <c r="J29" s="304"/>
      <c r="K29" s="304"/>
      <c r="L29" s="304"/>
      <c r="M29" s="304"/>
      <c r="N29" s="304"/>
      <c r="O29" s="185"/>
      <c r="P29" s="185"/>
    </row>
    <row r="30" spans="2:16" ht="9.75" customHeight="1">
      <c r="B30" s="311"/>
      <c r="C30" s="306"/>
      <c r="D30" s="306"/>
      <c r="E30" s="306"/>
      <c r="F30" s="306"/>
      <c r="G30" s="306"/>
      <c r="H30" s="306"/>
      <c r="I30" s="306"/>
      <c r="J30" s="306"/>
      <c r="K30" s="306"/>
      <c r="L30" s="306"/>
      <c r="M30" s="306"/>
      <c r="N30" s="306"/>
      <c r="O30" s="185"/>
      <c r="P30" s="185"/>
    </row>
    <row r="31" spans="2:16" ht="17.25" customHeight="1">
      <c r="B31" s="361" t="s">
        <v>158</v>
      </c>
      <c r="C31" s="361"/>
      <c r="D31" s="361"/>
      <c r="E31" s="361"/>
      <c r="F31" s="361"/>
      <c r="G31" s="361"/>
      <c r="H31" s="361"/>
      <c r="I31" s="361"/>
      <c r="J31" s="361"/>
      <c r="K31" s="361"/>
      <c r="L31" s="361"/>
      <c r="M31" s="361"/>
      <c r="N31" s="361"/>
      <c r="O31" s="188"/>
      <c r="P31" s="188"/>
    </row>
    <row r="32" spans="2:16" ht="16.5" customHeight="1">
      <c r="B32" s="361" t="s">
        <v>159</v>
      </c>
      <c r="C32" s="361"/>
      <c r="D32" s="361"/>
      <c r="E32" s="361"/>
      <c r="F32" s="361"/>
      <c r="G32" s="361"/>
      <c r="H32" s="361"/>
      <c r="I32" s="361"/>
      <c r="J32" s="361"/>
      <c r="K32" s="361"/>
      <c r="L32" s="361"/>
      <c r="M32" s="361"/>
      <c r="N32" s="361"/>
      <c r="O32" s="188"/>
      <c r="P32" s="188"/>
    </row>
    <row r="33" spans="2:16">
      <c r="B33" s="307"/>
      <c r="C33" s="307"/>
      <c r="D33" s="307"/>
      <c r="E33" s="307"/>
      <c r="F33" s="307"/>
      <c r="G33" s="307"/>
      <c r="H33" s="307"/>
      <c r="I33" s="307"/>
      <c r="J33" s="307"/>
      <c r="K33" s="307"/>
      <c r="L33" s="307"/>
      <c r="M33" s="307"/>
      <c r="N33" s="307"/>
      <c r="O33" s="188"/>
      <c r="P33" s="188"/>
    </row>
    <row r="34" spans="2:16">
      <c r="B34" s="306"/>
      <c r="C34" s="306"/>
      <c r="D34" s="306"/>
      <c r="E34" s="306"/>
      <c r="F34" s="306"/>
      <c r="G34" s="306"/>
      <c r="H34" s="306"/>
      <c r="I34" s="306"/>
      <c r="J34" s="306"/>
      <c r="K34" s="306"/>
      <c r="L34" s="306"/>
      <c r="M34" s="308"/>
      <c r="N34" s="306"/>
      <c r="O34" s="185"/>
      <c r="P34" s="185"/>
    </row>
    <row r="35" spans="2:16">
      <c r="B35" s="306"/>
      <c r="C35" s="306"/>
      <c r="D35" s="306"/>
      <c r="E35" s="306"/>
      <c r="F35" s="306"/>
      <c r="G35" s="306"/>
      <c r="H35" s="306"/>
      <c r="I35" s="306"/>
      <c r="J35" s="306"/>
      <c r="K35" s="306"/>
      <c r="L35" s="309" t="s">
        <v>160</v>
      </c>
      <c r="M35" s="308"/>
      <c r="N35" s="306"/>
      <c r="O35" s="185"/>
      <c r="P35" s="185"/>
    </row>
    <row r="36" spans="2:16">
      <c r="B36" s="306"/>
      <c r="C36" s="306"/>
      <c r="D36" s="306"/>
      <c r="E36" s="306"/>
      <c r="F36" s="306"/>
      <c r="G36" s="306"/>
      <c r="H36" s="306"/>
      <c r="I36" s="306"/>
      <c r="J36" s="306"/>
      <c r="K36" s="306"/>
      <c r="L36" s="310" t="s">
        <v>161</v>
      </c>
      <c r="M36" s="308"/>
      <c r="N36" s="306"/>
      <c r="O36" s="185"/>
      <c r="P36" s="185"/>
    </row>
    <row r="37" spans="2:16">
      <c r="B37" s="185"/>
      <c r="C37" s="185"/>
      <c r="D37" s="185"/>
      <c r="E37" s="185"/>
      <c r="F37" s="185"/>
      <c r="G37" s="185"/>
      <c r="H37" s="185"/>
      <c r="I37" s="185"/>
      <c r="J37" s="185"/>
      <c r="K37" s="185"/>
      <c r="L37" s="185"/>
      <c r="M37" s="185"/>
      <c r="N37" s="185"/>
      <c r="O37" s="185"/>
      <c r="P37" s="185"/>
    </row>
  </sheetData>
  <sheetProtection algorithmName="SHA-512" hashValue="Ya2Y2GxnlUB4nsBDJ2kq5MwJkiQl7t7596mz6HhNKSTjxF2Wk/xrJpYiWPN1b8gQqYUaPVQMpdDQXTm4Jo62lA==" saltValue="5IO5bd4KHV1MZ/2UcEA+lg==" spinCount="100000" sheet="1" autoFilter="0" pivotTables="0"/>
  <mergeCells count="11">
    <mergeCell ref="B26:N26"/>
    <mergeCell ref="B27:N27"/>
    <mergeCell ref="B31:N31"/>
    <mergeCell ref="B32:N32"/>
    <mergeCell ref="B13:N13"/>
    <mergeCell ref="B20:N20"/>
    <mergeCell ref="B24:N24"/>
    <mergeCell ref="B25:N25"/>
    <mergeCell ref="B17:N17"/>
    <mergeCell ref="B18:N18"/>
    <mergeCell ref="B19:N19"/>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1"/>
  <dimension ref="A1:C13"/>
  <sheetViews>
    <sheetView showGridLines="0" workbookViewId="0">
      <selection activeCell="C10" sqref="C10"/>
    </sheetView>
  </sheetViews>
  <sheetFormatPr defaultColWidth="8.7109375" defaultRowHeight="14.25"/>
  <cols>
    <col min="1" max="1" width="37.5703125" style="160" customWidth="1"/>
    <col min="2" max="2" width="8.7109375" style="160"/>
    <col min="3" max="3" width="36.42578125" style="160" customWidth="1"/>
    <col min="4" max="16384" width="8.7109375" style="160"/>
  </cols>
  <sheetData>
    <row r="1" spans="1:3" ht="15">
      <c r="A1" s="222" t="s">
        <v>977</v>
      </c>
      <c r="C1" s="222" t="s">
        <v>449</v>
      </c>
    </row>
    <row r="2" spans="1:3">
      <c r="A2" s="228" t="s">
        <v>264</v>
      </c>
      <c r="C2" s="229" t="s">
        <v>257</v>
      </c>
    </row>
    <row r="3" spans="1:3">
      <c r="A3" s="228" t="s">
        <v>362</v>
      </c>
      <c r="C3" s="229" t="s">
        <v>978</v>
      </c>
    </row>
    <row r="4" spans="1:3">
      <c r="A4" s="228" t="s">
        <v>369</v>
      </c>
      <c r="C4" s="229" t="s">
        <v>979</v>
      </c>
    </row>
    <row r="5" spans="1:3">
      <c r="A5" s="228" t="s">
        <v>393</v>
      </c>
      <c r="C5" s="229" t="s">
        <v>980</v>
      </c>
    </row>
    <row r="6" spans="1:3">
      <c r="A6" s="228" t="s">
        <v>375</v>
      </c>
      <c r="C6" s="229" t="s">
        <v>981</v>
      </c>
    </row>
    <row r="7" spans="1:3" ht="28.5">
      <c r="A7" s="230" t="s">
        <v>384</v>
      </c>
      <c r="C7" s="229" t="s">
        <v>982</v>
      </c>
    </row>
    <row r="8" spans="1:3">
      <c r="A8" s="228" t="s">
        <v>406</v>
      </c>
      <c r="C8" s="231" t="s">
        <v>983</v>
      </c>
    </row>
    <row r="9" spans="1:3">
      <c r="A9" s="228" t="s">
        <v>424</v>
      </c>
      <c r="C9" s="229" t="s">
        <v>984</v>
      </c>
    </row>
    <row r="10" spans="1:3">
      <c r="A10" s="228" t="s">
        <v>261</v>
      </c>
      <c r="C10" s="229" t="s">
        <v>985</v>
      </c>
    </row>
    <row r="11" spans="1:3">
      <c r="A11" s="230" t="s">
        <v>410</v>
      </c>
      <c r="C11" s="231"/>
    </row>
    <row r="12" spans="1:3">
      <c r="A12" s="230" t="s">
        <v>416</v>
      </c>
      <c r="C12" s="231"/>
    </row>
    <row r="13" spans="1:3">
      <c r="A13" s="228" t="s">
        <v>421</v>
      </c>
      <c r="C13" s="229"/>
    </row>
  </sheetData>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5"/>
  <dimension ref="A1:Y2000"/>
  <sheetViews>
    <sheetView topLeftCell="A350" workbookViewId="0">
      <selection activeCell="C358" sqref="C358"/>
    </sheetView>
  </sheetViews>
  <sheetFormatPr defaultColWidth="11.42578125" defaultRowHeight="15" customHeight="1"/>
  <cols>
    <col min="1" max="1" width="10.42578125" customWidth="1"/>
    <col min="2" max="2" width="11.42578125" style="144"/>
    <col min="3" max="3" width="53.140625" customWidth="1"/>
    <col min="4" max="4" width="16.42578125" bestFit="1" customWidth="1"/>
    <col min="5" max="5" width="16.85546875" customWidth="1"/>
    <col min="6" max="6" width="13.85546875" customWidth="1"/>
    <col min="7" max="7" width="23.85546875" customWidth="1"/>
    <col min="8" max="9" width="17.85546875" customWidth="1"/>
    <col min="10" max="10" width="13.85546875" customWidth="1"/>
    <col min="11" max="11" width="16.42578125" style="145" bestFit="1" customWidth="1"/>
    <col min="12" max="12" width="11.140625" style="145" bestFit="1" customWidth="1"/>
    <col min="13" max="13" width="69.5703125" bestFit="1" customWidth="1"/>
    <col min="14" max="14" width="71.28515625" bestFit="1" customWidth="1"/>
    <col min="15" max="15" width="23.5703125" bestFit="1" customWidth="1"/>
    <col min="16" max="16" width="30.28515625" customWidth="1"/>
    <col min="17" max="17" width="43.28515625" bestFit="1" customWidth="1"/>
    <col min="18" max="18" width="36.5703125" bestFit="1" customWidth="1"/>
    <col min="19" max="20" width="15.5703125" bestFit="1" customWidth="1"/>
    <col min="21" max="21" width="16.5703125" bestFit="1" customWidth="1"/>
    <col min="25" max="25" width="13.28515625" bestFit="1" customWidth="1"/>
  </cols>
  <sheetData>
    <row r="1" spans="1:25">
      <c r="A1" s="184"/>
      <c r="K1"/>
      <c r="L1"/>
    </row>
    <row r="2" spans="1:25">
      <c r="A2" t="s">
        <v>432</v>
      </c>
      <c r="B2" s="144" t="s">
        <v>433</v>
      </c>
      <c r="C2" t="s">
        <v>434</v>
      </c>
      <c r="D2" t="s">
        <v>871</v>
      </c>
      <c r="E2" t="s">
        <v>986</v>
      </c>
      <c r="F2" t="s">
        <v>426</v>
      </c>
      <c r="G2" s="154" t="s">
        <v>430</v>
      </c>
      <c r="H2" s="154" t="s">
        <v>987</v>
      </c>
      <c r="I2" s="154" t="s">
        <v>428</v>
      </c>
      <c r="J2" t="s">
        <v>988</v>
      </c>
      <c r="K2" t="s">
        <v>445</v>
      </c>
      <c r="L2" t="s">
        <v>446</v>
      </c>
      <c r="M2" t="s">
        <v>1</v>
      </c>
      <c r="N2" t="s">
        <v>989</v>
      </c>
      <c r="O2" t="s">
        <v>990</v>
      </c>
      <c r="P2" t="s">
        <v>991</v>
      </c>
      <c r="Q2" t="s">
        <v>992</v>
      </c>
      <c r="R2" t="s">
        <v>993</v>
      </c>
      <c r="S2" t="s">
        <v>994</v>
      </c>
      <c r="T2" t="s">
        <v>995</v>
      </c>
      <c r="U2" t="s">
        <v>996</v>
      </c>
      <c r="V2" t="s">
        <v>997</v>
      </c>
      <c r="W2" t="s">
        <v>998</v>
      </c>
      <c r="X2" t="s">
        <v>999</v>
      </c>
      <c r="Y2" t="s">
        <v>769</v>
      </c>
    </row>
    <row r="3" spans="1:25">
      <c r="A3">
        <f>+'Libro Diario'!F14</f>
        <v>0</v>
      </c>
      <c r="B3" s="144">
        <f>VALUE(IF(+'Libro Diario'!G14="","01/01/2025",+'Libro Diario'!G14))</f>
        <v>45658</v>
      </c>
      <c r="C3" t="str">
        <f>IF(ISNUMBER(+IF(IFERROR(VALUE(MID('Libro Diario'!C14,1,4)),0)&lt;&gt;0,'Libro Diario'!C14,0))=FALSE,'Libro Diario'!C14,0)</f>
        <v>200 -  Investigación</v>
      </c>
      <c r="D3" s="145">
        <f>+'Libro Diario'!B14</f>
        <v>0</v>
      </c>
      <c r="E3" s="139" t="s">
        <v>445</v>
      </c>
      <c r="F3" t="str">
        <f t="shared" ref="F3:F66" si="0">+IF(C3=0,"Sin Mov.","Con Mov.")</f>
        <v>Con Mov.</v>
      </c>
      <c r="G3" t="str">
        <f>IF(+'Libro Diario'!H14=0,"",+'Libro Diario'!H14)</f>
        <v>Estructura Balance y PyG</v>
      </c>
      <c r="H3" t="str">
        <f>IF(+'Libro Diario'!I14=0,"",+'Libro Diario'!I14)</f>
        <v>Saldo Inicial</v>
      </c>
      <c r="I3" t="str">
        <f>+IF(Table3[[#This Row],[Tipo Movimiento]]="Estructura Balance y PyG","Excluir","Incluir")</f>
        <v>Excluir</v>
      </c>
      <c r="J3" s="153">
        <f>+IF(Table3[[#This Row],[Sin cuenta]]="Con Mov.",(IF(Table3[[#This Row],[Movimiento]]="Debe",Table3[[#This Row],[Importe]],IF(Table3[[#This Row],[Movimiento]]="Haber",Table3[[#This Row],[Importe]]*-1,0))),0)</f>
        <v>0</v>
      </c>
      <c r="K3" s="145">
        <f t="shared" ref="K3:K66" si="1">+IF(E3="Debe",D3,"")</f>
        <v>0</v>
      </c>
      <c r="L3" s="145" t="str">
        <f t="shared" ref="L3:L66" si="2">+IF(E3="Haber",D3,"")</f>
        <v/>
      </c>
      <c r="M3" t="str">
        <f>_xlfn.XLOOKUP(Table3[[#This Row],[Cuenta]],Estructura_Balance[Nombre Cuenta ()],Estructura_Balance[Grupo],"",0)</f>
        <v>Grupo 2 - Activo no corriente
ANC (L/P)</v>
      </c>
      <c r="N3" t="str">
        <f>_xlfn.XLOOKUP(Table3[[#This Row],[Cuenta]],Estructura_Balance[Nombre Cuenta ()],Estructura_Balance[Nivel 1],"",0)</f>
        <v>ACTIVO</v>
      </c>
      <c r="O3" t="str">
        <f>_xlfn.XLOOKUP(Table3[[#This Row],[Cuenta]],Estructura_Balance[Nombre Cuenta ()],Estructura_Balance[Nivel 2],"",0)</f>
        <v>A) ACTIVO NO CORRIENTE</v>
      </c>
      <c r="P3" t="str">
        <f>_xlfn.XLOOKUP(Table3[[#This Row],[Cuenta]],Estructura_Balance[Nombre Cuenta ()],Estructura_Balance[Nivel 3],"",0)</f>
        <v>I. Inmovilizado Intangible</v>
      </c>
      <c r="Q3" t="str">
        <f>_xlfn.XLOOKUP(Table3[[#This Row],[Cuenta]],Estructura_Balance[Nombre Cuenta ()],Estructura_Balance[Nivel 4],"",0)</f>
        <v>1. Inmovilizado intangible</v>
      </c>
      <c r="R3" t="str">
        <f>_xlfn.XLOOKUP(Table3[[#This Row],[Cuenta]],Table8[Nombre Cuenta ()],Table8[Nivel 1],"",0)</f>
        <v/>
      </c>
      <c r="S3" t="str">
        <f>_xlfn.XLOOKUP(Table3[[#This Row],[Cuenta]],Table8[Nombre Cuenta ()],Table8[Nivel 2],"",0)</f>
        <v/>
      </c>
      <c r="T3" t="str">
        <f>_xlfn.XLOOKUP(Table3[[#This Row],[Cuenta]],Table8[Nombre Cuenta ()],Table8[Nivel 3],"",0)</f>
        <v/>
      </c>
      <c r="U3">
        <v>1</v>
      </c>
      <c r="V3">
        <f>_xlfn.XLOOKUP(Table3[[#This Row],[Cuenta]],Estructura_Balance[Nombre Cuenta ()],Estructura_Balance[Niveles:2],"",0)</f>
        <v>20</v>
      </c>
      <c r="W3">
        <f>_xlfn.XLOOKUP(Table3[[#This Row],[Cuenta]],Estructura_Balance[Nombre Cuenta ()],Estructura_Balance[Niveles:3],"",0)</f>
        <v>200</v>
      </c>
      <c r="X3" t="str">
        <f>_xlfn.XLOOKUP(Table3[[#This Row],[Cuenta]],Estructura_Balance[Nombre Cuenta ()],Estructura_Balance[Grupos],"Grupo 1",0)</f>
        <v>Grupo 2</v>
      </c>
      <c r="Y3" t="str">
        <f>+Table3[[#This Row],[BS_Nivel_1]]</f>
        <v>ACTIVO</v>
      </c>
    </row>
    <row r="4" spans="1:25">
      <c r="A4">
        <f>+'Libro Diario'!F15</f>
        <v>0</v>
      </c>
      <c r="B4" s="144">
        <f>VALUE(IF(+'Libro Diario'!G15="","01/01/2025",+'Libro Diario'!G15))</f>
        <v>45658</v>
      </c>
      <c r="C4" t="str">
        <f>IF(ISNUMBER(+IF(IFERROR(VALUE(MID('Libro Diario'!C15,1,4)),0)&lt;&gt;0,'Libro Diario'!C15,0))=FALSE,'Libro Diario'!C15,0)</f>
        <v>210 -  Terrenos y bienes naturales</v>
      </c>
      <c r="D4" s="145">
        <f>+'Libro Diario'!B15</f>
        <v>0</v>
      </c>
      <c r="E4" s="139" t="s">
        <v>445</v>
      </c>
      <c r="F4" t="str">
        <f t="shared" si="0"/>
        <v>Con Mov.</v>
      </c>
      <c r="G4" t="str">
        <f>IF(+'Libro Diario'!H15=0,"",+'Libro Diario'!H15)</f>
        <v>Estructura Balance y PyG</v>
      </c>
      <c r="H4" t="str">
        <f>IF(+'Libro Diario'!I15=0,"",+'Libro Diario'!I15)</f>
        <v>Saldo Inicial</v>
      </c>
      <c r="I4" t="str">
        <f>+IF(Table3[[#This Row],[Tipo Movimiento]]="Estructura Balance y PyG","Excluir","Incluir")</f>
        <v>Excluir</v>
      </c>
      <c r="J4" s="153">
        <f>+IF(Table3[[#This Row],[Sin cuenta]]="Con Mov.",(IF(Table3[[#This Row],[Movimiento]]="Debe",Table3[[#This Row],[Importe]],IF(Table3[[#This Row],[Movimiento]]="Haber",Table3[[#This Row],[Importe]]*-1,0))),0)</f>
        <v>0</v>
      </c>
      <c r="K4" s="145">
        <f t="shared" si="1"/>
        <v>0</v>
      </c>
      <c r="L4" s="145" t="str">
        <f t="shared" si="2"/>
        <v/>
      </c>
      <c r="M4" t="str">
        <f>_xlfn.XLOOKUP(Table3[[#This Row],[Cuenta]],Estructura_Balance[Nombre Cuenta ()],Estructura_Balance[Grupo],"",0)</f>
        <v>Grupo 2 - Activo no corriente
ANC (L/P)</v>
      </c>
      <c r="N4" t="str">
        <f>_xlfn.XLOOKUP(Table3[[#This Row],[Cuenta]],Estructura_Balance[Nombre Cuenta ()],Estructura_Balance[Nivel 1],"",0)</f>
        <v>ACTIVO</v>
      </c>
      <c r="O4" t="str">
        <f>_xlfn.XLOOKUP(Table3[[#This Row],[Cuenta]],Estructura_Balance[Nombre Cuenta ()],Estructura_Balance[Nivel 2],"",0)</f>
        <v>A) ACTIVO NO CORRIENTE</v>
      </c>
      <c r="P4" t="str">
        <f>_xlfn.XLOOKUP(Table3[[#This Row],[Cuenta]],Estructura_Balance[Nombre Cuenta ()],Estructura_Balance[Nivel 3],"",0)</f>
        <v>II. Inmovilizado material</v>
      </c>
      <c r="Q4" t="str">
        <f>_xlfn.XLOOKUP(Table3[[#This Row],[Cuenta]],Estructura_Balance[Nombre Cuenta ()],Estructura_Balance[Nivel 4],"",0)</f>
        <v>1. Inmovilizado material</v>
      </c>
      <c r="R4" t="str">
        <f>_xlfn.XLOOKUP(Table3[[#This Row],[Cuenta]],Table8[Nombre Cuenta ()],Table8[Nivel 1],"",0)</f>
        <v/>
      </c>
      <c r="S4" t="str">
        <f>_xlfn.XLOOKUP(Table3[[#This Row],[Cuenta]],Table8[Nombre Cuenta ()],Table8[Nivel 2],"",0)</f>
        <v/>
      </c>
      <c r="T4" t="str">
        <f>_xlfn.XLOOKUP(Table3[[#This Row],[Cuenta]],Table8[Nombre Cuenta ()],Table8[Nivel 3],"",0)</f>
        <v/>
      </c>
      <c r="U4">
        <v>2</v>
      </c>
      <c r="V4" t="str">
        <f>_xlfn.XLOOKUP(Table3[[#This Row],[Cuenta]],Estructura_Balance[Nombre Cuenta ()],Estructura_Balance[Niveles:2],"",0)</f>
        <v>21</v>
      </c>
      <c r="W4" t="str">
        <f>_xlfn.XLOOKUP(Table3[[#This Row],[Cuenta]],Estructura_Balance[Nombre Cuenta ()],Estructura_Balance[Niveles:3],"",0)</f>
        <v>210</v>
      </c>
      <c r="X4" t="str">
        <f>_xlfn.XLOOKUP(Table3[[#This Row],[Cuenta]],Estructura_Balance[Nombre Cuenta ()],Estructura_Balance[Grupos],"Grupo 1",0)</f>
        <v>Grupo 2</v>
      </c>
      <c r="Y4" t="str">
        <f>+Table3[[#This Row],[BS_Nivel_1]]</f>
        <v>ACTIVO</v>
      </c>
    </row>
    <row r="5" spans="1:25">
      <c r="A5">
        <f>+'Libro Diario'!F16</f>
        <v>0</v>
      </c>
      <c r="B5" s="144">
        <f>VALUE(IF(+'Libro Diario'!G16="","01/01/2025",+'Libro Diario'!G16))</f>
        <v>45658</v>
      </c>
      <c r="C5" t="str">
        <f>IF(ISNUMBER(+IF(IFERROR(VALUE(MID('Libro Diario'!C16,1,4)),0)&lt;&gt;0,'Libro Diario'!C16,0))=FALSE,'Libro Diario'!C16,0)</f>
        <v>220 -  Inversiones en terrenos y bienes naturales</v>
      </c>
      <c r="D5" s="145">
        <f>+'Libro Diario'!B16</f>
        <v>0</v>
      </c>
      <c r="E5" s="139" t="s">
        <v>445</v>
      </c>
      <c r="F5" t="str">
        <f t="shared" si="0"/>
        <v>Con Mov.</v>
      </c>
      <c r="G5" t="str">
        <f>IF(+'Libro Diario'!H16=0,"",+'Libro Diario'!H16)</f>
        <v>Estructura Balance y PyG</v>
      </c>
      <c r="H5" t="str">
        <f>IF(+'Libro Diario'!I16=0,"",+'Libro Diario'!I16)</f>
        <v>Saldo Inicial</v>
      </c>
      <c r="I5" t="str">
        <f>+IF(Table3[[#This Row],[Tipo Movimiento]]="Estructura Balance y PyG","Excluir","Incluir")</f>
        <v>Excluir</v>
      </c>
      <c r="J5" s="153">
        <f>+IF(Table3[[#This Row],[Sin cuenta]]="Con Mov.",(IF(Table3[[#This Row],[Movimiento]]="Debe",Table3[[#This Row],[Importe]],IF(Table3[[#This Row],[Movimiento]]="Haber",Table3[[#This Row],[Importe]]*-1,0))),0)</f>
        <v>0</v>
      </c>
      <c r="K5" s="145">
        <f t="shared" si="1"/>
        <v>0</v>
      </c>
      <c r="L5" s="145" t="str">
        <f t="shared" si="2"/>
        <v/>
      </c>
      <c r="M5" t="str">
        <f>_xlfn.XLOOKUP(Table3[[#This Row],[Cuenta]],Estructura_Balance[Nombre Cuenta ()],Estructura_Balance[Grupo],"",0)</f>
        <v>Grupo 2 - Activo no corriente
ANC (L/P)</v>
      </c>
      <c r="N5" t="str">
        <f>_xlfn.XLOOKUP(Table3[[#This Row],[Cuenta]],Estructura_Balance[Nombre Cuenta ()],Estructura_Balance[Nivel 1],"",0)</f>
        <v>ACTIVO</v>
      </c>
      <c r="O5" t="str">
        <f>_xlfn.XLOOKUP(Table3[[#This Row],[Cuenta]],Estructura_Balance[Nombre Cuenta ()],Estructura_Balance[Nivel 2],"",0)</f>
        <v>A) ACTIVO NO CORRIENTE</v>
      </c>
      <c r="P5" t="str">
        <f>_xlfn.XLOOKUP(Table3[[#This Row],[Cuenta]],Estructura_Balance[Nombre Cuenta ()],Estructura_Balance[Nivel 3],"",0)</f>
        <v>III. Inversiones inmobiliarias</v>
      </c>
      <c r="Q5" t="str">
        <f>_xlfn.XLOOKUP(Table3[[#This Row],[Cuenta]],Estructura_Balance[Nombre Cuenta ()],Estructura_Balance[Nivel 4],"",0)</f>
        <v>1. Inversiones inmobiliarias</v>
      </c>
      <c r="R5" t="str">
        <f>_xlfn.XLOOKUP(Table3[[#This Row],[Cuenta]],Table8[Nombre Cuenta ()],Table8[Nivel 1],"",0)</f>
        <v/>
      </c>
      <c r="S5" t="str">
        <f>_xlfn.XLOOKUP(Table3[[#This Row],[Cuenta]],Table8[Nombre Cuenta ()],Table8[Nivel 2],"",0)</f>
        <v/>
      </c>
      <c r="T5" t="str">
        <f>_xlfn.XLOOKUP(Table3[[#This Row],[Cuenta]],Table8[Nombre Cuenta ()],Table8[Nivel 3],"",0)</f>
        <v/>
      </c>
      <c r="U5">
        <v>3</v>
      </c>
      <c r="V5">
        <f>_xlfn.XLOOKUP(Table3[[#This Row],[Cuenta]],Estructura_Balance[Nombre Cuenta ()],Estructura_Balance[Niveles:2],"",0)</f>
        <v>22</v>
      </c>
      <c r="W5">
        <f>_xlfn.XLOOKUP(Table3[[#This Row],[Cuenta]],Estructura_Balance[Nombre Cuenta ()],Estructura_Balance[Niveles:3],"",0)</f>
        <v>220</v>
      </c>
      <c r="X5" t="str">
        <f>_xlfn.XLOOKUP(Table3[[#This Row],[Cuenta]],Estructura_Balance[Nombre Cuenta ()],Estructura_Balance[Grupos],"Grupo 1",0)</f>
        <v>Grupo 2</v>
      </c>
      <c r="Y5" t="str">
        <f>+Table3[[#This Row],[BS_Nivel_1]]</f>
        <v>ACTIVO</v>
      </c>
    </row>
    <row r="6" spans="1:25">
      <c r="A6">
        <f>+'Libro Diario'!F17</f>
        <v>0</v>
      </c>
      <c r="B6" s="144">
        <f>VALUE(IF(+'Libro Diario'!G17="","01/01/2025",+'Libro Diario'!G17))</f>
        <v>45658</v>
      </c>
      <c r="C6" t="str">
        <f>IF(ISNUMBER(+IF(IFERROR(VALUE(MID('Libro Diario'!C17,1,4)),0)&lt;&gt;0,'Libro Diario'!C17,0))=FALSE,'Libro Diario'!C17,0)</f>
        <v>240 -  Participaciones a largo plazo en partes vinculadas</v>
      </c>
      <c r="D6" s="145">
        <f>+'Libro Diario'!B17</f>
        <v>0</v>
      </c>
      <c r="E6" s="139" t="s">
        <v>445</v>
      </c>
      <c r="F6" t="str">
        <f t="shared" si="0"/>
        <v>Con Mov.</v>
      </c>
      <c r="G6" t="str">
        <f>IF(+'Libro Diario'!H17=0,"",+'Libro Diario'!H17)</f>
        <v>Estructura Balance y PyG</v>
      </c>
      <c r="H6" t="str">
        <f>IF(+'Libro Diario'!I17=0,"",+'Libro Diario'!I17)</f>
        <v>Saldo Inicial</v>
      </c>
      <c r="I6" t="str">
        <f>+IF(Table3[[#This Row],[Tipo Movimiento]]="Estructura Balance y PyG","Excluir","Incluir")</f>
        <v>Excluir</v>
      </c>
      <c r="J6" s="153">
        <f>+IF(Table3[[#This Row],[Sin cuenta]]="Con Mov.",(IF(Table3[[#This Row],[Movimiento]]="Debe",Table3[[#This Row],[Importe]],IF(Table3[[#This Row],[Movimiento]]="Haber",Table3[[#This Row],[Importe]]*-1,0))),0)</f>
        <v>0</v>
      </c>
      <c r="K6" s="145">
        <f t="shared" si="1"/>
        <v>0</v>
      </c>
      <c r="L6" s="145" t="str">
        <f t="shared" si="2"/>
        <v/>
      </c>
      <c r="M6" t="str">
        <f>_xlfn.XLOOKUP(Table3[[#This Row],[Cuenta]],Estructura_Balance[Nombre Cuenta ()],Estructura_Balance[Grupo],"",0)</f>
        <v>Grupo 2 - Activo no corriente
ANC (L/P)</v>
      </c>
      <c r="N6" t="str">
        <f>_xlfn.XLOOKUP(Table3[[#This Row],[Cuenta]],Estructura_Balance[Nombre Cuenta ()],Estructura_Balance[Nivel 1],"",0)</f>
        <v>ACTIVO</v>
      </c>
      <c r="O6" t="str">
        <f>_xlfn.XLOOKUP(Table3[[#This Row],[Cuenta]],Estructura_Balance[Nombre Cuenta ()],Estructura_Balance[Nivel 2],"",0)</f>
        <v>A) ACTIVO NO CORRIENTE</v>
      </c>
      <c r="P6" t="str">
        <f>_xlfn.XLOOKUP(Table3[[#This Row],[Cuenta]],Estructura_Balance[Nombre Cuenta ()],Estructura_Balance[Nivel 3],"",0)</f>
        <v>IV. Inversiones empresas del grupo y asociadas a L/P</v>
      </c>
      <c r="Q6" t="str">
        <f>_xlfn.XLOOKUP(Table3[[#This Row],[Cuenta]],Estructura_Balance[Nombre Cuenta ()],Estructura_Balance[Nivel 4],"",0)</f>
        <v>1. Inversiones en empresas del grupo y asociadas a L/P</v>
      </c>
      <c r="R6" t="str">
        <f>_xlfn.XLOOKUP(Table3[[#This Row],[Cuenta]],Table8[Nombre Cuenta ()],Table8[Nivel 1],"",0)</f>
        <v/>
      </c>
      <c r="S6" t="str">
        <f>_xlfn.XLOOKUP(Table3[[#This Row],[Cuenta]],Table8[Nombre Cuenta ()],Table8[Nivel 2],"",0)</f>
        <v/>
      </c>
      <c r="T6" t="str">
        <f>_xlfn.XLOOKUP(Table3[[#This Row],[Cuenta]],Table8[Nombre Cuenta ()],Table8[Nivel 3],"",0)</f>
        <v/>
      </c>
      <c r="U6">
        <v>4</v>
      </c>
      <c r="V6">
        <f>_xlfn.XLOOKUP(Table3[[#This Row],[Cuenta]],Estructura_Balance[Nombre Cuenta ()],Estructura_Balance[Niveles:2],"",0)</f>
        <v>24</v>
      </c>
      <c r="W6">
        <f>_xlfn.XLOOKUP(Table3[[#This Row],[Cuenta]],Estructura_Balance[Nombre Cuenta ()],Estructura_Balance[Niveles:3],"",0)</f>
        <v>240</v>
      </c>
      <c r="X6" t="str">
        <f>_xlfn.XLOOKUP(Table3[[#This Row],[Cuenta]],Estructura_Balance[Nombre Cuenta ()],Estructura_Balance[Grupos],"Grupo 1",0)</f>
        <v>Grupo 2</v>
      </c>
      <c r="Y6" t="str">
        <f>+Table3[[#This Row],[BS_Nivel_1]]</f>
        <v>ACTIVO</v>
      </c>
    </row>
    <row r="7" spans="1:25">
      <c r="A7">
        <f>+'Libro Diario'!F18</f>
        <v>0</v>
      </c>
      <c r="B7" s="144">
        <f>VALUE(IF(+'Libro Diario'!G18="","01/01/2025",+'Libro Diario'!G18))</f>
        <v>45658</v>
      </c>
      <c r="C7" t="str">
        <f>IF(ISNUMBER(+IF(IFERROR(VALUE(MID('Libro Diario'!C18,1,4)),0)&lt;&gt;0,'Libro Diario'!C18,0))=FALSE,'Libro Diario'!C18,0)</f>
        <v xml:space="preserve">242 -  Créditos a largo plazo a partes vinculadas </v>
      </c>
      <c r="D7" s="145">
        <f>+'Libro Diario'!B18</f>
        <v>0</v>
      </c>
      <c r="E7" s="139" t="s">
        <v>445</v>
      </c>
      <c r="F7" t="str">
        <f t="shared" si="0"/>
        <v>Con Mov.</v>
      </c>
      <c r="G7" t="str">
        <f>IF(+'Libro Diario'!H18=0,"",+'Libro Diario'!H18)</f>
        <v>Estructura Balance y PyG</v>
      </c>
      <c r="H7" t="str">
        <f>IF(+'Libro Diario'!I18=0,"",+'Libro Diario'!I18)</f>
        <v>Saldo Inicial</v>
      </c>
      <c r="I7" t="str">
        <f>+IF(Table3[[#This Row],[Tipo Movimiento]]="Estructura Balance y PyG","Excluir","Incluir")</f>
        <v>Excluir</v>
      </c>
      <c r="J7" s="153">
        <f>+IF(Table3[[#This Row],[Sin cuenta]]="Con Mov.",(IF(Table3[[#This Row],[Movimiento]]="Debe",Table3[[#This Row],[Importe]],IF(Table3[[#This Row],[Movimiento]]="Haber",Table3[[#This Row],[Importe]]*-1,0))),0)</f>
        <v>0</v>
      </c>
      <c r="K7" s="145">
        <f t="shared" si="1"/>
        <v>0</v>
      </c>
      <c r="L7" s="145" t="str">
        <f t="shared" si="2"/>
        <v/>
      </c>
      <c r="M7" t="str">
        <f>_xlfn.XLOOKUP(Table3[[#This Row],[Cuenta]],Estructura_Balance[Nombre Cuenta ()],Estructura_Balance[Grupo],"",0)</f>
        <v>Grupo 2 - Activo no corriente
ANC (L/P)</v>
      </c>
      <c r="N7" t="str">
        <f>_xlfn.XLOOKUP(Table3[[#This Row],[Cuenta]],Estructura_Balance[Nombre Cuenta ()],Estructura_Balance[Nivel 1],"",0)</f>
        <v>ACTIVO</v>
      </c>
      <c r="O7" t="str">
        <f>_xlfn.XLOOKUP(Table3[[#This Row],[Cuenta]],Estructura_Balance[Nombre Cuenta ()],Estructura_Balance[Nivel 2],"",0)</f>
        <v>A) ACTIVO NO CORRIENTE</v>
      </c>
      <c r="P7" t="str">
        <f>_xlfn.XLOOKUP(Table3[[#This Row],[Cuenta]],Estructura_Balance[Nombre Cuenta ()],Estructura_Balance[Nivel 3],"",0)</f>
        <v>IV. Inversiones empresas del grupo y asociadas a L/P</v>
      </c>
      <c r="Q7" t="str">
        <f>_xlfn.XLOOKUP(Table3[[#This Row],[Cuenta]],Estructura_Balance[Nombre Cuenta ()],Estructura_Balance[Nivel 4],"",0)</f>
        <v>1. Inversiones en empresas del grupo y asociadas a L/P</v>
      </c>
      <c r="R7" t="str">
        <f>_xlfn.XLOOKUP(Table3[[#This Row],[Cuenta]],Table8[Nombre Cuenta ()],Table8[Nivel 1],"",0)</f>
        <v/>
      </c>
      <c r="S7" t="str">
        <f>_xlfn.XLOOKUP(Table3[[#This Row],[Cuenta]],Table8[Nombre Cuenta ()],Table8[Nivel 2],"",0)</f>
        <v/>
      </c>
      <c r="T7" t="str">
        <f>_xlfn.XLOOKUP(Table3[[#This Row],[Cuenta]],Table8[Nombre Cuenta ()],Table8[Nivel 3],"",0)</f>
        <v/>
      </c>
      <c r="U7">
        <v>5</v>
      </c>
      <c r="V7">
        <f>_xlfn.XLOOKUP(Table3[[#This Row],[Cuenta]],Estructura_Balance[Nombre Cuenta ()],Estructura_Balance[Niveles:2],"",0)</f>
        <v>24</v>
      </c>
      <c r="W7">
        <f>_xlfn.XLOOKUP(Table3[[#This Row],[Cuenta]],Estructura_Balance[Nombre Cuenta ()],Estructura_Balance[Niveles:3],"",0)</f>
        <v>242</v>
      </c>
      <c r="X7" t="str">
        <f>_xlfn.XLOOKUP(Table3[[#This Row],[Cuenta]],Estructura_Balance[Nombre Cuenta ()],Estructura_Balance[Grupos],"Grupo 1",0)</f>
        <v>Grupo 2</v>
      </c>
      <c r="Y7" t="str">
        <f>+Table3[[#This Row],[BS_Nivel_1]]</f>
        <v>ACTIVO</v>
      </c>
    </row>
    <row r="8" spans="1:25">
      <c r="A8">
        <f>+'Libro Diario'!F19</f>
        <v>0</v>
      </c>
      <c r="B8" s="144">
        <f>VALUE(IF(+'Libro Diario'!G19="","01/01/2025",+'Libro Diario'!G19))</f>
        <v>45658</v>
      </c>
      <c r="C8" t="str">
        <f>IF(ISNUMBER(+IF(IFERROR(VALUE(MID('Libro Diario'!C19,1,4)),0)&lt;&gt;0,'Libro Diario'!C19,0))=FALSE,'Libro Diario'!C19,0)</f>
        <v>474 -  Activos por impuesto diferido</v>
      </c>
      <c r="D8" s="145">
        <f>+'Libro Diario'!B19</f>
        <v>0</v>
      </c>
      <c r="E8" s="139" t="s">
        <v>445</v>
      </c>
      <c r="F8" t="str">
        <f t="shared" si="0"/>
        <v>Con Mov.</v>
      </c>
      <c r="G8" t="str">
        <f>IF(+'Libro Diario'!H19=0,"",+'Libro Diario'!H19)</f>
        <v>Estructura Balance y PyG</v>
      </c>
      <c r="H8" t="str">
        <f>IF(+'Libro Diario'!I19=0,"",+'Libro Diario'!I19)</f>
        <v>Saldo Inicial</v>
      </c>
      <c r="I8" t="str">
        <f>+IF(Table3[[#This Row],[Tipo Movimiento]]="Estructura Balance y PyG","Excluir","Incluir")</f>
        <v>Excluir</v>
      </c>
      <c r="J8" s="153">
        <f>+IF(Table3[[#This Row],[Sin cuenta]]="Con Mov.",(IF(Table3[[#This Row],[Movimiento]]="Debe",Table3[[#This Row],[Importe]],IF(Table3[[#This Row],[Movimiento]]="Haber",Table3[[#This Row],[Importe]]*-1,0))),0)</f>
        <v>0</v>
      </c>
      <c r="K8" s="145">
        <f t="shared" si="1"/>
        <v>0</v>
      </c>
      <c r="L8" s="145" t="str">
        <f t="shared" si="2"/>
        <v/>
      </c>
      <c r="M8" t="str">
        <f>_xlfn.XLOOKUP(Table3[[#This Row],[Cuenta]],Estructura_Balance[Nombre Cuenta ()],Estructura_Balance[Grupo],"",0)</f>
        <v>Grupo 4 - Acreedores y deudores por operaciones comerciales
AC (C/P) y PC (C/P)</v>
      </c>
      <c r="N8" t="str">
        <f>_xlfn.XLOOKUP(Table3[[#This Row],[Cuenta]],Estructura_Balance[Nombre Cuenta ()],Estructura_Balance[Nivel 1],"",0)</f>
        <v>ACTIVO</v>
      </c>
      <c r="O8" t="str">
        <f>_xlfn.XLOOKUP(Table3[[#This Row],[Cuenta]],Estructura_Balance[Nombre Cuenta ()],Estructura_Balance[Nivel 2],"",0)</f>
        <v>A) ACTIVO NO CORRIENTE</v>
      </c>
      <c r="P8" t="str">
        <f>_xlfn.XLOOKUP(Table3[[#This Row],[Cuenta]],Estructura_Balance[Nombre Cuenta ()],Estructura_Balance[Nivel 3],"",0)</f>
        <v>VI. Activos por impuesto diferido</v>
      </c>
      <c r="Q8" t="str">
        <f>_xlfn.XLOOKUP(Table3[[#This Row],[Cuenta]],Estructura_Balance[Nombre Cuenta ()],Estructura_Balance[Nivel 4],"",0)</f>
        <v>1. Activos por Impuesto diferido</v>
      </c>
      <c r="R8" t="str">
        <f>_xlfn.XLOOKUP(Table3[[#This Row],[Cuenta]],Table8[Nombre Cuenta ()],Table8[Nivel 1],"",0)</f>
        <v/>
      </c>
      <c r="S8" t="str">
        <f>_xlfn.XLOOKUP(Table3[[#This Row],[Cuenta]],Table8[Nombre Cuenta ()],Table8[Nivel 2],"",0)</f>
        <v/>
      </c>
      <c r="T8" t="str">
        <f>_xlfn.XLOOKUP(Table3[[#This Row],[Cuenta]],Table8[Nombre Cuenta ()],Table8[Nivel 3],"",0)</f>
        <v/>
      </c>
      <c r="U8">
        <v>6</v>
      </c>
      <c r="V8">
        <f>_xlfn.XLOOKUP(Table3[[#This Row],[Cuenta]],Estructura_Balance[Nombre Cuenta ()],Estructura_Balance[Niveles:2],"",0)</f>
        <v>47</v>
      </c>
      <c r="W8">
        <f>_xlfn.XLOOKUP(Table3[[#This Row],[Cuenta]],Estructura_Balance[Nombre Cuenta ()],Estructura_Balance[Niveles:3],"",0)</f>
        <v>474</v>
      </c>
      <c r="X8" t="str">
        <f>_xlfn.XLOOKUP(Table3[[#This Row],[Cuenta]],Estructura_Balance[Nombre Cuenta ()],Estructura_Balance[Grupos],"Grupo 1",0)</f>
        <v>Grupo 4</v>
      </c>
      <c r="Y8" t="str">
        <f>+Table3[[#This Row],[BS_Nivel_1]]</f>
        <v>ACTIVO</v>
      </c>
    </row>
    <row r="9" spans="1:25">
      <c r="A9">
        <f>+'Libro Diario'!F20</f>
        <v>0</v>
      </c>
      <c r="B9" s="144">
        <f>VALUE(IF(+'Libro Diario'!G20="","01/01/2025",+'Libro Diario'!G20))</f>
        <v>45658</v>
      </c>
      <c r="C9" t="str">
        <f>IF(ISNUMBER(+IF(IFERROR(VALUE(MID('Libro Diario'!C20,1,4)),0)&lt;&gt;0,'Libro Diario'!C20,0))=FALSE,'Libro Diario'!C20,0)</f>
        <v>580 -  Inmovilizado</v>
      </c>
      <c r="D9" s="145">
        <f>+'Libro Diario'!B20</f>
        <v>0</v>
      </c>
      <c r="E9" s="139" t="s">
        <v>445</v>
      </c>
      <c r="F9" t="str">
        <f t="shared" si="0"/>
        <v>Con Mov.</v>
      </c>
      <c r="G9" t="str">
        <f>IF(+'Libro Diario'!H20=0,"",+'Libro Diario'!H20)</f>
        <v>Estructura Balance y PyG</v>
      </c>
      <c r="H9" t="str">
        <f>IF(+'Libro Diario'!I20=0,"",+'Libro Diario'!I20)</f>
        <v>Saldo Inicial</v>
      </c>
      <c r="I9" t="str">
        <f>+IF(Table3[[#This Row],[Tipo Movimiento]]="Estructura Balance y PyG","Excluir","Incluir")</f>
        <v>Excluir</v>
      </c>
      <c r="J9" s="153">
        <f>+IF(Table3[[#This Row],[Sin cuenta]]="Con Mov.",(IF(Table3[[#This Row],[Movimiento]]="Debe",Table3[[#This Row],[Importe]],IF(Table3[[#This Row],[Movimiento]]="Haber",Table3[[#This Row],[Importe]]*-1,0))),0)</f>
        <v>0</v>
      </c>
      <c r="K9" s="145">
        <f t="shared" si="1"/>
        <v>0</v>
      </c>
      <c r="L9" s="145" t="str">
        <f t="shared" si="2"/>
        <v/>
      </c>
      <c r="M9" t="str">
        <f>_xlfn.XLOOKUP(Table3[[#This Row],[Cuenta]],Estructura_Balance[Nombre Cuenta ()],Estructura_Balance[Grupo],"",0)</f>
        <v>Grupo 5 - Cuentas financieras
AC (C/P) y PC (L/P)</v>
      </c>
      <c r="N9" t="str">
        <f>_xlfn.XLOOKUP(Table3[[#This Row],[Cuenta]],Estructura_Balance[Nombre Cuenta ()],Estructura_Balance[Nivel 1],"",0)</f>
        <v>ACTIVO</v>
      </c>
      <c r="O9" t="str">
        <f>_xlfn.XLOOKUP(Table3[[#This Row],[Cuenta]],Estructura_Balance[Nombre Cuenta ()],Estructura_Balance[Nivel 2],"",0)</f>
        <v>B) ACTIVO CORRIENTE</v>
      </c>
      <c r="P9" t="str">
        <f>_xlfn.XLOOKUP(Table3[[#This Row],[Cuenta]],Estructura_Balance[Nombre Cuenta ()],Estructura_Balance[Nivel 3],"",0)</f>
        <v>I. Activos no corrientes mantenidos para la venta</v>
      </c>
      <c r="Q9" t="str">
        <f>_xlfn.XLOOKUP(Table3[[#This Row],[Cuenta]],Estructura_Balance[Nombre Cuenta ()],Estructura_Balance[Nivel 4],"",0)</f>
        <v>1. Activos no corrientes mantenidos para la venta</v>
      </c>
      <c r="R9" t="str">
        <f>_xlfn.XLOOKUP(Table3[[#This Row],[Cuenta]],Table8[Nombre Cuenta ()],Table8[Nivel 1],"",0)</f>
        <v/>
      </c>
      <c r="S9" t="str">
        <f>_xlfn.XLOOKUP(Table3[[#This Row],[Cuenta]],Table8[Nombre Cuenta ()],Table8[Nivel 2],"",0)</f>
        <v/>
      </c>
      <c r="T9" t="str">
        <f>_xlfn.XLOOKUP(Table3[[#This Row],[Cuenta]],Table8[Nombre Cuenta ()],Table8[Nivel 3],"",0)</f>
        <v/>
      </c>
      <c r="U9">
        <v>7</v>
      </c>
      <c r="V9">
        <f>_xlfn.XLOOKUP(Table3[[#This Row],[Cuenta]],Estructura_Balance[Nombre Cuenta ()],Estructura_Balance[Niveles:2],"",0)</f>
        <v>58</v>
      </c>
      <c r="W9">
        <f>_xlfn.XLOOKUP(Table3[[#This Row],[Cuenta]],Estructura_Balance[Nombre Cuenta ()],Estructura_Balance[Niveles:3],"",0)</f>
        <v>580</v>
      </c>
      <c r="X9" t="str">
        <f>_xlfn.XLOOKUP(Table3[[#This Row],[Cuenta]],Estructura_Balance[Nombre Cuenta ()],Estructura_Balance[Grupos],"Grupo 1",0)</f>
        <v>Grupo 5</v>
      </c>
      <c r="Y9" t="str">
        <f>+Table3[[#This Row],[BS_Nivel_1]]</f>
        <v>ACTIVO</v>
      </c>
    </row>
    <row r="10" spans="1:25">
      <c r="A10">
        <f>+'Libro Diario'!F21</f>
        <v>0</v>
      </c>
      <c r="B10" s="144">
        <f>VALUE(IF(+'Libro Diario'!G21="","01/01/2025",+'Libro Diario'!G21))</f>
        <v>45658</v>
      </c>
      <c r="C10" t="str">
        <f>IF(ISNUMBER(+IF(IFERROR(VALUE(MID('Libro Diario'!C21,1,4)),0)&lt;&gt;0,'Libro Diario'!C21,0))=FALSE,'Libro Diario'!C21,0)</f>
        <v>300 -  Mercaderías</v>
      </c>
      <c r="D10" s="145">
        <f>+'Libro Diario'!B21</f>
        <v>0</v>
      </c>
      <c r="E10" s="139" t="s">
        <v>445</v>
      </c>
      <c r="F10" t="str">
        <f t="shared" si="0"/>
        <v>Con Mov.</v>
      </c>
      <c r="G10" t="str">
        <f>IF(+'Libro Diario'!H21=0,"",+'Libro Diario'!H21)</f>
        <v>Estructura Balance y PyG</v>
      </c>
      <c r="H10" t="str">
        <f>IF(+'Libro Diario'!I21=0,"",+'Libro Diario'!I21)</f>
        <v>Saldo Inicial</v>
      </c>
      <c r="I10" t="str">
        <f>+IF(Table3[[#This Row],[Tipo Movimiento]]="Estructura Balance y PyG","Excluir","Incluir")</f>
        <v>Excluir</v>
      </c>
      <c r="J10" s="153">
        <f>+IF(Table3[[#This Row],[Sin cuenta]]="Con Mov.",(IF(Table3[[#This Row],[Movimiento]]="Debe",Table3[[#This Row],[Importe]],IF(Table3[[#This Row],[Movimiento]]="Haber",Table3[[#This Row],[Importe]]*-1,0))),0)</f>
        <v>0</v>
      </c>
      <c r="K10" s="145">
        <f t="shared" si="1"/>
        <v>0</v>
      </c>
      <c r="L10" s="145" t="str">
        <f t="shared" si="2"/>
        <v/>
      </c>
      <c r="M10" t="str">
        <f>_xlfn.XLOOKUP(Table3[[#This Row],[Cuenta]],Estructura_Balance[Nombre Cuenta ()],Estructura_Balance[Grupo],"",0)</f>
        <v>Grupo 3 - Existencias
AC (C/P)</v>
      </c>
      <c r="N10" t="str">
        <f>_xlfn.XLOOKUP(Table3[[#This Row],[Cuenta]],Estructura_Balance[Nombre Cuenta ()],Estructura_Balance[Nivel 1],"",0)</f>
        <v>ACTIVO</v>
      </c>
      <c r="O10" t="str">
        <f>_xlfn.XLOOKUP(Table3[[#This Row],[Cuenta]],Estructura_Balance[Nombre Cuenta ()],Estructura_Balance[Nivel 2],"",0)</f>
        <v>B) ACTIVO CORRIENTE</v>
      </c>
      <c r="P10" t="str">
        <f>_xlfn.XLOOKUP(Table3[[#This Row],[Cuenta]],Estructura_Balance[Nombre Cuenta ()],Estructura_Balance[Nivel 3],"",0)</f>
        <v>II. Existencias</v>
      </c>
      <c r="Q10" t="str">
        <f>_xlfn.XLOOKUP(Table3[[#This Row],[Cuenta]],Estructura_Balance[Nombre Cuenta ()],Estructura_Balance[Nivel 4],"",0)</f>
        <v>1. Existencias</v>
      </c>
      <c r="R10" t="str">
        <f>_xlfn.XLOOKUP(Table3[[#This Row],[Cuenta]],Table8[Nombre Cuenta ()],Table8[Nivel 1],"",0)</f>
        <v/>
      </c>
      <c r="S10" t="str">
        <f>_xlfn.XLOOKUP(Table3[[#This Row],[Cuenta]],Table8[Nombre Cuenta ()],Table8[Nivel 2],"",0)</f>
        <v/>
      </c>
      <c r="T10" t="str">
        <f>_xlfn.XLOOKUP(Table3[[#This Row],[Cuenta]],Table8[Nombre Cuenta ()],Table8[Nivel 3],"",0)</f>
        <v/>
      </c>
      <c r="U10">
        <v>8</v>
      </c>
      <c r="V10" t="str">
        <f>_xlfn.XLOOKUP(Table3[[#This Row],[Cuenta]],Estructura_Balance[Nombre Cuenta ()],Estructura_Balance[Niveles:2],"",0)</f>
        <v>30</v>
      </c>
      <c r="W10" t="str">
        <f>_xlfn.XLOOKUP(Table3[[#This Row],[Cuenta]],Estructura_Balance[Nombre Cuenta ()],Estructura_Balance[Niveles:3],"",0)</f>
        <v>300</v>
      </c>
      <c r="X10" t="str">
        <f>_xlfn.XLOOKUP(Table3[[#This Row],[Cuenta]],Estructura_Balance[Nombre Cuenta ()],Estructura_Balance[Grupos],"Grupo 1",0)</f>
        <v>Grupo 3</v>
      </c>
      <c r="Y10" t="str">
        <f>+Table3[[#This Row],[BS_Nivel_1]]</f>
        <v>ACTIVO</v>
      </c>
    </row>
    <row r="11" spans="1:25">
      <c r="A11">
        <f>+'Libro Diario'!F22</f>
        <v>0</v>
      </c>
      <c r="B11" s="144">
        <f>VALUE(IF(+'Libro Diario'!G22="","01/01/2025",+'Libro Diario'!G22))</f>
        <v>45658</v>
      </c>
      <c r="C11" t="str">
        <f>IF(ISNUMBER(+IF(IFERROR(VALUE(MID('Libro Diario'!C22,1,4)),0)&lt;&gt;0,'Libro Diario'!C22,0))=FALSE,'Libro Diario'!C22,0)</f>
        <v>430 -  Clientes</v>
      </c>
      <c r="D11" s="145">
        <f>+'Libro Diario'!B22</f>
        <v>0</v>
      </c>
      <c r="E11" s="139" t="s">
        <v>445</v>
      </c>
      <c r="F11" t="str">
        <f t="shared" si="0"/>
        <v>Con Mov.</v>
      </c>
      <c r="G11" t="str">
        <f>IF(+'Libro Diario'!H22=0,"",+'Libro Diario'!H22)</f>
        <v>Estructura Balance y PyG</v>
      </c>
      <c r="H11" t="str">
        <f>IF(+'Libro Diario'!I22=0,"",+'Libro Diario'!I22)</f>
        <v>Saldo Inicial</v>
      </c>
      <c r="I11" t="str">
        <f>+IF(Table3[[#This Row],[Tipo Movimiento]]="Estructura Balance y PyG","Excluir","Incluir")</f>
        <v>Excluir</v>
      </c>
      <c r="J11" s="153">
        <f>+IF(Table3[[#This Row],[Sin cuenta]]="Con Mov.",(IF(Table3[[#This Row],[Movimiento]]="Debe",Table3[[#This Row],[Importe]],IF(Table3[[#This Row],[Movimiento]]="Haber",Table3[[#This Row],[Importe]]*-1,0))),0)</f>
        <v>0</v>
      </c>
      <c r="K11" s="145">
        <f t="shared" si="1"/>
        <v>0</v>
      </c>
      <c r="L11" s="145" t="str">
        <f t="shared" si="2"/>
        <v/>
      </c>
      <c r="M11" t="str">
        <f>_xlfn.XLOOKUP(Table3[[#This Row],[Cuenta]],Estructura_Balance[Nombre Cuenta ()],Estructura_Balance[Grupo],"",0)</f>
        <v>Grupo 4 - Acreedores y deudores por operaciones comerciales
AC (C/P) y PC (C/P)</v>
      </c>
      <c r="N11" t="str">
        <f>_xlfn.XLOOKUP(Table3[[#This Row],[Cuenta]],Estructura_Balance[Nombre Cuenta ()],Estructura_Balance[Nivel 1],"",0)</f>
        <v>ACTIVO</v>
      </c>
      <c r="O11" t="str">
        <f>_xlfn.XLOOKUP(Table3[[#This Row],[Cuenta]],Estructura_Balance[Nombre Cuenta ()],Estructura_Balance[Nivel 2],"",0)</f>
        <v>B) ACTIVO CORRIENTE</v>
      </c>
      <c r="P11" t="str">
        <f>_xlfn.XLOOKUP(Table3[[#This Row],[Cuenta]],Estructura_Balance[Nombre Cuenta ()],Estructura_Balance[Nivel 3],"",0)</f>
        <v>III. Deudores comerciales y otras cuentas a cobrar</v>
      </c>
      <c r="Q11" t="str">
        <f>_xlfn.XLOOKUP(Table3[[#This Row],[Cuenta]],Estructura_Balance[Nombre Cuenta ()],Estructura_Balance[Nivel 4],"",0)</f>
        <v>1. Clientes por ventas y prestaciones de servicios</v>
      </c>
      <c r="R11" t="str">
        <f>_xlfn.XLOOKUP(Table3[[#This Row],[Cuenta]],Table8[Nombre Cuenta ()],Table8[Nivel 1],"",0)</f>
        <v/>
      </c>
      <c r="S11" t="str">
        <f>_xlfn.XLOOKUP(Table3[[#This Row],[Cuenta]],Table8[Nombre Cuenta ()],Table8[Nivel 2],"",0)</f>
        <v/>
      </c>
      <c r="T11" t="str">
        <f>_xlfn.XLOOKUP(Table3[[#This Row],[Cuenta]],Table8[Nombre Cuenta ()],Table8[Nivel 3],"",0)</f>
        <v/>
      </c>
      <c r="U11">
        <v>9</v>
      </c>
      <c r="V11" t="str">
        <f>_xlfn.XLOOKUP(Table3[[#This Row],[Cuenta]],Estructura_Balance[Nombre Cuenta ()],Estructura_Balance[Niveles:2],"",0)</f>
        <v>43</v>
      </c>
      <c r="W11" t="str">
        <f>_xlfn.XLOOKUP(Table3[[#This Row],[Cuenta]],Estructura_Balance[Nombre Cuenta ()],Estructura_Balance[Niveles:3],"",0)</f>
        <v>430</v>
      </c>
      <c r="X11" t="str">
        <f>_xlfn.XLOOKUP(Table3[[#This Row],[Cuenta]],Estructura_Balance[Nombre Cuenta ()],Estructura_Balance[Grupos],"Grupo 1",0)</f>
        <v>Grupo 4</v>
      </c>
      <c r="Y11" t="str">
        <f>+Table3[[#This Row],[BS_Nivel_1]]</f>
        <v>ACTIVO</v>
      </c>
    </row>
    <row r="12" spans="1:25">
      <c r="A12">
        <f>+'Libro Diario'!F23</f>
        <v>0</v>
      </c>
      <c r="B12" s="144">
        <f>VALUE(IF(+'Libro Diario'!G23="","01/01/2025",+'Libro Diario'!G23))</f>
        <v>45658</v>
      </c>
      <c r="C12" t="str">
        <f>IF(ISNUMBER(+IF(IFERROR(VALUE(MID('Libro Diario'!C23,1,4)),0)&lt;&gt;0,'Libro Diario'!C23,0))=FALSE,'Libro Diario'!C23,0)</f>
        <v>530 -  Participaciones a corto plazo en partes vinculadas</v>
      </c>
      <c r="D12" s="145">
        <f>+'Libro Diario'!B23</f>
        <v>0</v>
      </c>
      <c r="E12" s="139" t="s">
        <v>445</v>
      </c>
      <c r="F12" t="str">
        <f t="shared" si="0"/>
        <v>Con Mov.</v>
      </c>
      <c r="G12" t="str">
        <f>IF(+'Libro Diario'!H23=0,"",+'Libro Diario'!H23)</f>
        <v>Estructura Balance y PyG</v>
      </c>
      <c r="H12" t="str">
        <f>IF(+'Libro Diario'!I23=0,"",+'Libro Diario'!I23)</f>
        <v>Saldo Inicial</v>
      </c>
      <c r="I12" t="str">
        <f>+IF(Table3[[#This Row],[Tipo Movimiento]]="Estructura Balance y PyG","Excluir","Incluir")</f>
        <v>Excluir</v>
      </c>
      <c r="J12" s="153">
        <f>+IF(Table3[[#This Row],[Sin cuenta]]="Con Mov.",(IF(Table3[[#This Row],[Movimiento]]="Debe",Table3[[#This Row],[Importe]],IF(Table3[[#This Row],[Movimiento]]="Haber",Table3[[#This Row],[Importe]]*-1,0))),0)</f>
        <v>0</v>
      </c>
      <c r="K12" s="145">
        <f t="shared" si="1"/>
        <v>0</v>
      </c>
      <c r="L12" s="145" t="str">
        <f t="shared" si="2"/>
        <v/>
      </c>
      <c r="M12" t="str">
        <f>_xlfn.XLOOKUP(Table3[[#This Row],[Cuenta]],Estructura_Balance[Nombre Cuenta ()],Estructura_Balance[Grupo],"",0)</f>
        <v>Grupo 5 - Cuentas financieras
AC (C/P) y PC (L/P)</v>
      </c>
      <c r="N12" t="str">
        <f>_xlfn.XLOOKUP(Table3[[#This Row],[Cuenta]],Estructura_Balance[Nombre Cuenta ()],Estructura_Balance[Nivel 1],"",0)</f>
        <v>ACTIVO</v>
      </c>
      <c r="O12" t="str">
        <f>_xlfn.XLOOKUP(Table3[[#This Row],[Cuenta]],Estructura_Balance[Nombre Cuenta ()],Estructura_Balance[Nivel 2],"",0)</f>
        <v>B) ACTIVO CORRIENTE</v>
      </c>
      <c r="P12" t="str">
        <f>_xlfn.XLOOKUP(Table3[[#This Row],[Cuenta]],Estructura_Balance[Nombre Cuenta ()],Estructura_Balance[Nivel 3],"",0)</f>
        <v>IV. Inversiones empresas del grupo y asociadas a corto plazo</v>
      </c>
      <c r="Q12" t="str">
        <f>_xlfn.XLOOKUP(Table3[[#This Row],[Cuenta]],Estructura_Balance[Nombre Cuenta ()],Estructura_Balance[Nivel 4],"",0)</f>
        <v>1. Inversiones en empresas del grupo y asociadas a corto plazo</v>
      </c>
      <c r="R12" t="str">
        <f>_xlfn.XLOOKUP(Table3[[#This Row],[Cuenta]],Table8[Nombre Cuenta ()],Table8[Nivel 1],"",0)</f>
        <v/>
      </c>
      <c r="S12" t="str">
        <f>_xlfn.XLOOKUP(Table3[[#This Row],[Cuenta]],Table8[Nombre Cuenta ()],Table8[Nivel 2],"",0)</f>
        <v/>
      </c>
      <c r="T12" t="str">
        <f>_xlfn.XLOOKUP(Table3[[#This Row],[Cuenta]],Table8[Nombre Cuenta ()],Table8[Nivel 3],"",0)</f>
        <v/>
      </c>
      <c r="U12">
        <v>10</v>
      </c>
      <c r="V12">
        <f>_xlfn.XLOOKUP(Table3[[#This Row],[Cuenta]],Estructura_Balance[Nombre Cuenta ()],Estructura_Balance[Niveles:2],"",0)</f>
        <v>53</v>
      </c>
      <c r="W12">
        <f>_xlfn.XLOOKUP(Table3[[#This Row],[Cuenta]],Estructura_Balance[Nombre Cuenta ()],Estructura_Balance[Niveles:3],"",0)</f>
        <v>530</v>
      </c>
      <c r="X12" t="str">
        <f>_xlfn.XLOOKUP(Table3[[#This Row],[Cuenta]],Estructura_Balance[Nombre Cuenta ()],Estructura_Balance[Grupos],"Grupo 1",0)</f>
        <v>Grupo 5</v>
      </c>
      <c r="Y12" t="str">
        <f>+Table3[[#This Row],[BS_Nivel_1]]</f>
        <v>ACTIVO</v>
      </c>
    </row>
    <row r="13" spans="1:25">
      <c r="A13">
        <f>+'Libro Diario'!F24</f>
        <v>0</v>
      </c>
      <c r="B13" s="144">
        <f>VALUE(IF(+'Libro Diario'!G24="","01/01/2025",+'Libro Diario'!G24))</f>
        <v>45658</v>
      </c>
      <c r="C13" t="str">
        <f>IF(ISNUMBER(+IF(IFERROR(VALUE(MID('Libro Diario'!C24,1,4)),0)&lt;&gt;0,'Libro Diario'!C24,0))=FALSE,'Libro Diario'!C24,0)</f>
        <v>532 -  Créditos a corto plazo a partes vinculadas</v>
      </c>
      <c r="D13" s="145">
        <f>+'Libro Diario'!B24</f>
        <v>0</v>
      </c>
      <c r="E13" s="139" t="s">
        <v>445</v>
      </c>
      <c r="F13" t="str">
        <f t="shared" si="0"/>
        <v>Con Mov.</v>
      </c>
      <c r="G13" t="str">
        <f>IF(+'Libro Diario'!H24=0,"",+'Libro Diario'!H24)</f>
        <v>Estructura Balance y PyG</v>
      </c>
      <c r="H13" t="str">
        <f>IF(+'Libro Diario'!I24=0,"",+'Libro Diario'!I24)</f>
        <v>Saldo Inicial</v>
      </c>
      <c r="I13" t="str">
        <f>+IF(Table3[[#This Row],[Tipo Movimiento]]="Estructura Balance y PyG","Excluir","Incluir")</f>
        <v>Excluir</v>
      </c>
      <c r="J13" s="153">
        <f>+IF(Table3[[#This Row],[Sin cuenta]]="Con Mov.",(IF(Table3[[#This Row],[Movimiento]]="Debe",Table3[[#This Row],[Importe]],IF(Table3[[#This Row],[Movimiento]]="Haber",Table3[[#This Row],[Importe]]*-1,0))),0)</f>
        <v>0</v>
      </c>
      <c r="K13" s="145">
        <f t="shared" si="1"/>
        <v>0</v>
      </c>
      <c r="L13" s="145" t="str">
        <f t="shared" si="2"/>
        <v/>
      </c>
      <c r="M13" t="str">
        <f>_xlfn.XLOOKUP(Table3[[#This Row],[Cuenta]],Estructura_Balance[Nombre Cuenta ()],Estructura_Balance[Grupo],"",0)</f>
        <v>Grupo 5 - Cuentas financieras
AC (C/P) y PC (L/P)</v>
      </c>
      <c r="N13" t="str">
        <f>_xlfn.XLOOKUP(Table3[[#This Row],[Cuenta]],Estructura_Balance[Nombre Cuenta ()],Estructura_Balance[Nivel 1],"",0)</f>
        <v>ACTIVO</v>
      </c>
      <c r="O13" t="str">
        <f>_xlfn.XLOOKUP(Table3[[#This Row],[Cuenta]],Estructura_Balance[Nombre Cuenta ()],Estructura_Balance[Nivel 2],"",0)</f>
        <v>B) ACTIVO CORRIENTE</v>
      </c>
      <c r="P13" t="str">
        <f>_xlfn.XLOOKUP(Table3[[#This Row],[Cuenta]],Estructura_Balance[Nombre Cuenta ()],Estructura_Balance[Nivel 3],"",0)</f>
        <v>IV. Inversiones empresas del grupo y asociadas a corto plazo</v>
      </c>
      <c r="Q13" t="str">
        <f>_xlfn.XLOOKUP(Table3[[#This Row],[Cuenta]],Estructura_Balance[Nombre Cuenta ()],Estructura_Balance[Nivel 4],"",0)</f>
        <v>1. Inversiones en empresas del grupo y asociadas a corto plazo</v>
      </c>
      <c r="R13" t="str">
        <f>_xlfn.XLOOKUP(Table3[[#This Row],[Cuenta]],Table8[Nombre Cuenta ()],Table8[Nivel 1],"",0)</f>
        <v/>
      </c>
      <c r="S13" t="str">
        <f>_xlfn.XLOOKUP(Table3[[#This Row],[Cuenta]],Table8[Nombre Cuenta ()],Table8[Nivel 2],"",0)</f>
        <v/>
      </c>
      <c r="T13" t="str">
        <f>_xlfn.XLOOKUP(Table3[[#This Row],[Cuenta]],Table8[Nombre Cuenta ()],Table8[Nivel 3],"",0)</f>
        <v/>
      </c>
      <c r="U13">
        <v>11</v>
      </c>
      <c r="V13">
        <f>_xlfn.XLOOKUP(Table3[[#This Row],[Cuenta]],Estructura_Balance[Nombre Cuenta ()],Estructura_Balance[Niveles:2],"",0)</f>
        <v>53</v>
      </c>
      <c r="W13">
        <f>_xlfn.XLOOKUP(Table3[[#This Row],[Cuenta]],Estructura_Balance[Nombre Cuenta ()],Estructura_Balance[Niveles:3],"",0)</f>
        <v>532</v>
      </c>
      <c r="X13" t="str">
        <f>_xlfn.XLOOKUP(Table3[[#This Row],[Cuenta]],Estructura_Balance[Nombre Cuenta ()],Estructura_Balance[Grupos],"Grupo 1",0)</f>
        <v>Grupo 5</v>
      </c>
      <c r="Y13" t="str">
        <f>+Table3[[#This Row],[BS_Nivel_1]]</f>
        <v>ACTIVO</v>
      </c>
    </row>
    <row r="14" spans="1:25">
      <c r="A14">
        <f>+'Libro Diario'!F25</f>
        <v>0</v>
      </c>
      <c r="B14" s="144">
        <f>VALUE(IF(+'Libro Diario'!G25="","01/01/2025",+'Libro Diario'!G25))</f>
        <v>45658</v>
      </c>
      <c r="C14" t="str">
        <f>IF(ISNUMBER(+IF(IFERROR(VALUE(MID('Libro Diario'!C25,1,4)),0)&lt;&gt;0,'Libro Diario'!C25,0))=FALSE,'Libro Diario'!C25,0)</f>
        <v>480 -  Gastos anticipados</v>
      </c>
      <c r="D14" s="145">
        <f>+'Libro Diario'!B25</f>
        <v>0</v>
      </c>
      <c r="E14" s="139" t="s">
        <v>445</v>
      </c>
      <c r="F14" t="str">
        <f t="shared" si="0"/>
        <v>Con Mov.</v>
      </c>
      <c r="G14" t="str">
        <f>IF(+'Libro Diario'!H25=0,"",+'Libro Diario'!H25)</f>
        <v>Estructura Balance y PyG</v>
      </c>
      <c r="H14" t="str">
        <f>IF(+'Libro Diario'!I25=0,"",+'Libro Diario'!I25)</f>
        <v>Saldo Inicial</v>
      </c>
      <c r="I14" t="str">
        <f>+IF(Table3[[#This Row],[Tipo Movimiento]]="Estructura Balance y PyG","Excluir","Incluir")</f>
        <v>Excluir</v>
      </c>
      <c r="J14" s="153">
        <f>+IF(Table3[[#This Row],[Sin cuenta]]="Con Mov.",(IF(Table3[[#This Row],[Movimiento]]="Debe",Table3[[#This Row],[Importe]],IF(Table3[[#This Row],[Movimiento]]="Haber",Table3[[#This Row],[Importe]]*-1,0))),0)</f>
        <v>0</v>
      </c>
      <c r="K14" s="145">
        <f t="shared" si="1"/>
        <v>0</v>
      </c>
      <c r="L14" s="145" t="str">
        <f t="shared" si="2"/>
        <v/>
      </c>
      <c r="M14" t="str">
        <f>_xlfn.XLOOKUP(Table3[[#This Row],[Cuenta]],Estructura_Balance[Nombre Cuenta ()],Estructura_Balance[Grupo],"",0)</f>
        <v>Grupo 4 - Acreedores y deudores por operaciones comerciales
AC (C/P) y PC (C/P)</v>
      </c>
      <c r="N14" t="str">
        <f>_xlfn.XLOOKUP(Table3[[#This Row],[Cuenta]],Estructura_Balance[Nombre Cuenta ()],Estructura_Balance[Nivel 1],"",0)</f>
        <v>ACTIVO</v>
      </c>
      <c r="O14" t="str">
        <f>_xlfn.XLOOKUP(Table3[[#This Row],[Cuenta]],Estructura_Balance[Nombre Cuenta ()],Estructura_Balance[Nivel 2],"",0)</f>
        <v>B) ACTIVO CORRIENTE</v>
      </c>
      <c r="P14" t="str">
        <f>_xlfn.XLOOKUP(Table3[[#This Row],[Cuenta]],Estructura_Balance[Nombre Cuenta ()],Estructura_Balance[Nivel 3],"",0)</f>
        <v>VI. Periodificaciones a corto plazo.</v>
      </c>
      <c r="Q14" t="str">
        <f>_xlfn.XLOOKUP(Table3[[#This Row],[Cuenta]],Estructura_Balance[Nombre Cuenta ()],Estructura_Balance[Nivel 4],"",0)</f>
        <v>1. Periodificaciones a corto plazo.</v>
      </c>
      <c r="R14" t="str">
        <f>_xlfn.XLOOKUP(Table3[[#This Row],[Cuenta]],Table8[Nombre Cuenta ()],Table8[Nivel 1],"",0)</f>
        <v/>
      </c>
      <c r="S14" t="str">
        <f>_xlfn.XLOOKUP(Table3[[#This Row],[Cuenta]],Table8[Nombre Cuenta ()],Table8[Nivel 2],"",0)</f>
        <v/>
      </c>
      <c r="T14" t="str">
        <f>_xlfn.XLOOKUP(Table3[[#This Row],[Cuenta]],Table8[Nombre Cuenta ()],Table8[Nivel 3],"",0)</f>
        <v/>
      </c>
      <c r="U14">
        <v>12</v>
      </c>
      <c r="V14" t="str">
        <f>_xlfn.XLOOKUP(Table3[[#This Row],[Cuenta]],Estructura_Balance[Nombre Cuenta ()],Estructura_Balance[Niveles:2],"",0)</f>
        <v>48</v>
      </c>
      <c r="W14" t="str">
        <f>_xlfn.XLOOKUP(Table3[[#This Row],[Cuenta]],Estructura_Balance[Nombre Cuenta ()],Estructura_Balance[Niveles:3],"",0)</f>
        <v>480</v>
      </c>
      <c r="X14" t="str">
        <f>_xlfn.XLOOKUP(Table3[[#This Row],[Cuenta]],Estructura_Balance[Nombre Cuenta ()],Estructura_Balance[Grupos],"Grupo 1",0)</f>
        <v>Grupo 4</v>
      </c>
      <c r="Y14" t="str">
        <f>+Table3[[#This Row],[BS_Nivel_1]]</f>
        <v>ACTIVO</v>
      </c>
    </row>
    <row r="15" spans="1:25">
      <c r="A15">
        <f>+'Libro Diario'!F26</f>
        <v>0</v>
      </c>
      <c r="B15" s="144">
        <f>VALUE(IF(+'Libro Diario'!G26="","01/01/2025",+'Libro Diario'!G26))</f>
        <v>45658</v>
      </c>
      <c r="C15" t="str">
        <f>IF(ISNUMBER(+IF(IFERROR(VALUE(MID('Libro Diario'!C26,1,4)),0)&lt;&gt;0,'Libro Diario'!C26,0))=FALSE,'Libro Diario'!C26,0)</f>
        <v>570 -  Caja, euros</v>
      </c>
      <c r="D15" s="145">
        <f>+'Libro Diario'!B26</f>
        <v>0</v>
      </c>
      <c r="E15" s="139" t="s">
        <v>445</v>
      </c>
      <c r="F15" t="str">
        <f t="shared" si="0"/>
        <v>Con Mov.</v>
      </c>
      <c r="G15" t="str">
        <f>IF(+'Libro Diario'!H26=0,"",+'Libro Diario'!H26)</f>
        <v>Estructura Balance y PyG</v>
      </c>
      <c r="H15" t="str">
        <f>IF(+'Libro Diario'!I26=0,"",+'Libro Diario'!I26)</f>
        <v>Saldo Inicial</v>
      </c>
      <c r="I15" t="str">
        <f>+IF(Table3[[#This Row],[Tipo Movimiento]]="Estructura Balance y PyG","Excluir","Incluir")</f>
        <v>Excluir</v>
      </c>
      <c r="J15" s="153">
        <f>+IF(Table3[[#This Row],[Sin cuenta]]="Con Mov.",(IF(Table3[[#This Row],[Movimiento]]="Debe",Table3[[#This Row],[Importe]],IF(Table3[[#This Row],[Movimiento]]="Haber",Table3[[#This Row],[Importe]]*-1,0))),0)</f>
        <v>0</v>
      </c>
      <c r="K15" s="145">
        <f t="shared" si="1"/>
        <v>0</v>
      </c>
      <c r="L15" s="145" t="str">
        <f t="shared" si="2"/>
        <v/>
      </c>
      <c r="M15" t="str">
        <f>_xlfn.XLOOKUP(Table3[[#This Row],[Cuenta]],Estructura_Balance[Nombre Cuenta ()],Estructura_Balance[Grupo],"",0)</f>
        <v>Grupo 5 - Cuentas financieras
AC (C/P) y PC (L/P)</v>
      </c>
      <c r="N15" t="str">
        <f>_xlfn.XLOOKUP(Table3[[#This Row],[Cuenta]],Estructura_Balance[Nombre Cuenta ()],Estructura_Balance[Nivel 1],"",0)</f>
        <v>ACTIVO</v>
      </c>
      <c r="O15" t="str">
        <f>_xlfn.XLOOKUP(Table3[[#This Row],[Cuenta]],Estructura_Balance[Nombre Cuenta ()],Estructura_Balance[Nivel 2],"",0)</f>
        <v>B) ACTIVO CORRIENTE</v>
      </c>
      <c r="P15" t="str">
        <f>_xlfn.XLOOKUP(Table3[[#This Row],[Cuenta]],Estructura_Balance[Nombre Cuenta ()],Estructura_Balance[Nivel 3],"",0)</f>
        <v>VII. Efectivo y otros activos líquidos equivalentes</v>
      </c>
      <c r="Q15" t="str">
        <f>_xlfn.XLOOKUP(Table3[[#This Row],[Cuenta]],Estructura_Balance[Nombre Cuenta ()],Estructura_Balance[Nivel 4],"",0)</f>
        <v>1. Efectivo y otros activos líquidos equivalentes</v>
      </c>
      <c r="R15" t="str">
        <f>_xlfn.XLOOKUP(Table3[[#This Row],[Cuenta]],Table8[Nombre Cuenta ()],Table8[Nivel 1],"",0)</f>
        <v/>
      </c>
      <c r="S15" t="str">
        <f>_xlfn.XLOOKUP(Table3[[#This Row],[Cuenta]],Table8[Nombre Cuenta ()],Table8[Nivel 2],"",0)</f>
        <v/>
      </c>
      <c r="T15" t="str">
        <f>_xlfn.XLOOKUP(Table3[[#This Row],[Cuenta]],Table8[Nombre Cuenta ()],Table8[Nivel 3],"",0)</f>
        <v/>
      </c>
      <c r="U15">
        <v>13</v>
      </c>
      <c r="V15" t="str">
        <f>_xlfn.XLOOKUP(Table3[[#This Row],[Cuenta]],Estructura_Balance[Nombre Cuenta ()],Estructura_Balance[Niveles:2],"",0)</f>
        <v>57</v>
      </c>
      <c r="W15" t="str">
        <f>_xlfn.XLOOKUP(Table3[[#This Row],[Cuenta]],Estructura_Balance[Nombre Cuenta ()],Estructura_Balance[Niveles:3],"",0)</f>
        <v>570</v>
      </c>
      <c r="X15" t="str">
        <f>_xlfn.XLOOKUP(Table3[[#This Row],[Cuenta]],Estructura_Balance[Nombre Cuenta ()],Estructura_Balance[Grupos],"Grupo 1",0)</f>
        <v>Grupo 5</v>
      </c>
      <c r="Y15" t="str">
        <f>+Table3[[#This Row],[BS_Nivel_1]]</f>
        <v>ACTIVO</v>
      </c>
    </row>
    <row r="16" spans="1:25">
      <c r="A16">
        <f>+'Libro Diario'!F27</f>
        <v>0</v>
      </c>
      <c r="B16" s="144">
        <f>VALUE(IF(+'Libro Diario'!G27="","01/01/2025",+'Libro Diario'!G27))</f>
        <v>45658</v>
      </c>
      <c r="C16">
        <f>IF(ISNUMBER(+IF(IFERROR(VALUE(MID('Libro Diario'!C27,1,4)),0)&lt;&gt;0,'Libro Diario'!C27,0))=FALSE,'Libro Diario'!C27,0)</f>
        <v>0</v>
      </c>
      <c r="D16" s="145">
        <f>+'Libro Diario'!B27</f>
        <v>0</v>
      </c>
      <c r="E16" s="139" t="s">
        <v>445</v>
      </c>
      <c r="F16" t="str">
        <f t="shared" si="0"/>
        <v>Sin Mov.</v>
      </c>
      <c r="G16" t="str">
        <f>IF(+'Libro Diario'!H27=0,"",+'Libro Diario'!H27)</f>
        <v>Estructura Balance y PyG</v>
      </c>
      <c r="H16" t="str">
        <f>IF(+'Libro Diario'!I27=0,"",+'Libro Diario'!I27)</f>
        <v>Saldo Inicial</v>
      </c>
      <c r="I16" t="str">
        <f>+IF(Table3[[#This Row],[Tipo Movimiento]]="Estructura Balance y PyG","Excluir","Incluir")</f>
        <v>Excluir</v>
      </c>
      <c r="J16" s="153">
        <f>+IF(Table3[[#This Row],[Sin cuenta]]="Con Mov.",(IF(Table3[[#This Row],[Movimiento]]="Debe",Table3[[#This Row],[Importe]],IF(Table3[[#This Row],[Movimiento]]="Haber",Table3[[#This Row],[Importe]]*-1,0))),0)</f>
        <v>0</v>
      </c>
      <c r="K16" s="145">
        <f t="shared" si="1"/>
        <v>0</v>
      </c>
      <c r="L16" s="145" t="str">
        <f t="shared" si="2"/>
        <v/>
      </c>
      <c r="M16" t="str">
        <f>_xlfn.XLOOKUP(Table3[[#This Row],[Cuenta]],Estructura_Balance[Nombre Cuenta ()],Estructura_Balance[Grupo],"",0)</f>
        <v/>
      </c>
      <c r="N16" t="str">
        <f>_xlfn.XLOOKUP(Table3[[#This Row],[Cuenta]],Estructura_Balance[Nombre Cuenta ()],Estructura_Balance[Nivel 1],"",0)</f>
        <v/>
      </c>
      <c r="O16" t="str">
        <f>_xlfn.XLOOKUP(Table3[[#This Row],[Cuenta]],Estructura_Balance[Nombre Cuenta ()],Estructura_Balance[Nivel 2],"",0)</f>
        <v/>
      </c>
      <c r="P16" t="str">
        <f>_xlfn.XLOOKUP(Table3[[#This Row],[Cuenta]],Estructura_Balance[Nombre Cuenta ()],Estructura_Balance[Nivel 3],"",0)</f>
        <v/>
      </c>
      <c r="Q16" t="str">
        <f>_xlfn.XLOOKUP(Table3[[#This Row],[Cuenta]],Estructura_Balance[Nombre Cuenta ()],Estructura_Balance[Nivel 4],"",0)</f>
        <v/>
      </c>
      <c r="R16" t="str">
        <f>_xlfn.XLOOKUP(Table3[[#This Row],[Cuenta]],Table8[Nombre Cuenta ()],Table8[Nivel 1],"",0)</f>
        <v/>
      </c>
      <c r="S16" t="str">
        <f>_xlfn.XLOOKUP(Table3[[#This Row],[Cuenta]],Table8[Nombre Cuenta ()],Table8[Nivel 2],"",0)</f>
        <v/>
      </c>
      <c r="T16" t="str">
        <f>_xlfn.XLOOKUP(Table3[[#This Row],[Cuenta]],Table8[Nombre Cuenta ()],Table8[Nivel 3],"",0)</f>
        <v/>
      </c>
      <c r="U16">
        <v>14</v>
      </c>
      <c r="V16" t="str">
        <f>_xlfn.XLOOKUP(Table3[[#This Row],[Cuenta]],Estructura_Balance[Nombre Cuenta ()],Estructura_Balance[Niveles:2],"",0)</f>
        <v/>
      </c>
      <c r="W16" t="str">
        <f>_xlfn.XLOOKUP(Table3[[#This Row],[Cuenta]],Estructura_Balance[Nombre Cuenta ()],Estructura_Balance[Niveles:3],"",0)</f>
        <v/>
      </c>
      <c r="X16" t="str">
        <f>_xlfn.XLOOKUP(Table3[[#This Row],[Cuenta]],Estructura_Balance[Nombre Cuenta ()],Estructura_Balance[Grupos],"Grupo 1",0)</f>
        <v>Grupo 1</v>
      </c>
      <c r="Y16" t="str">
        <f>+Table3[[#This Row],[BS_Nivel_1]]</f>
        <v/>
      </c>
    </row>
    <row r="17" spans="1:25">
      <c r="A17">
        <f>+'Libro Diario'!F28</f>
        <v>0</v>
      </c>
      <c r="B17" s="144">
        <f>VALUE(IF(+'Libro Diario'!G28="","01/01/2025",+'Libro Diario'!G28))</f>
        <v>45658</v>
      </c>
      <c r="C17">
        <f>IF(ISNUMBER(+IF(IFERROR(VALUE(MID('Libro Diario'!C28,1,4)),0)&lt;&gt;0,'Libro Diario'!C28,0))=FALSE,'Libro Diario'!C28,0)</f>
        <v>0</v>
      </c>
      <c r="D17" s="145">
        <f>+'Libro Diario'!B28</f>
        <v>0</v>
      </c>
      <c r="E17" s="139" t="s">
        <v>445</v>
      </c>
      <c r="F17" t="str">
        <f t="shared" si="0"/>
        <v>Sin Mov.</v>
      </c>
      <c r="G17" t="str">
        <f>IF(+'Libro Diario'!H28=0,"",+'Libro Diario'!H28)</f>
        <v>Estructura Balance y PyG</v>
      </c>
      <c r="H17" t="str">
        <f>IF(+'Libro Diario'!I28=0,"",+'Libro Diario'!I28)</f>
        <v>Saldo Inicial</v>
      </c>
      <c r="I17" t="str">
        <f>+IF(Table3[[#This Row],[Tipo Movimiento]]="Estructura Balance y PyG","Excluir","Incluir")</f>
        <v>Excluir</v>
      </c>
      <c r="J17" s="153">
        <f>+IF(Table3[[#This Row],[Sin cuenta]]="Con Mov.",(IF(Table3[[#This Row],[Movimiento]]="Debe",Table3[[#This Row],[Importe]],IF(Table3[[#This Row],[Movimiento]]="Haber",Table3[[#This Row],[Importe]]*-1,0))),0)</f>
        <v>0</v>
      </c>
      <c r="K17" s="145">
        <f t="shared" si="1"/>
        <v>0</v>
      </c>
      <c r="L17" s="145" t="str">
        <f t="shared" si="2"/>
        <v/>
      </c>
      <c r="M17" t="str">
        <f>_xlfn.XLOOKUP(Table3[[#This Row],[Cuenta]],Estructura_Balance[Nombre Cuenta ()],Estructura_Balance[Grupo],"",0)</f>
        <v/>
      </c>
      <c r="N17" t="str">
        <f>_xlfn.XLOOKUP(Table3[[#This Row],[Cuenta]],Estructura_Balance[Nombre Cuenta ()],Estructura_Balance[Nivel 1],"",0)</f>
        <v/>
      </c>
      <c r="O17" t="str">
        <f>_xlfn.XLOOKUP(Table3[[#This Row],[Cuenta]],Estructura_Balance[Nombre Cuenta ()],Estructura_Balance[Nivel 2],"",0)</f>
        <v/>
      </c>
      <c r="P17" t="str">
        <f>_xlfn.XLOOKUP(Table3[[#This Row],[Cuenta]],Estructura_Balance[Nombre Cuenta ()],Estructura_Balance[Nivel 3],"",0)</f>
        <v/>
      </c>
      <c r="Q17" t="str">
        <f>_xlfn.XLOOKUP(Table3[[#This Row],[Cuenta]],Estructura_Balance[Nombre Cuenta ()],Estructura_Balance[Nivel 4],"",0)</f>
        <v/>
      </c>
      <c r="R17" t="str">
        <f>_xlfn.XLOOKUP(Table3[[#This Row],[Cuenta]],Table8[Nombre Cuenta ()],Table8[Nivel 1],"",0)</f>
        <v/>
      </c>
      <c r="S17" t="str">
        <f>_xlfn.XLOOKUP(Table3[[#This Row],[Cuenta]],Table8[Nombre Cuenta ()],Table8[Nivel 2],"",0)</f>
        <v/>
      </c>
      <c r="T17" t="str">
        <f>_xlfn.XLOOKUP(Table3[[#This Row],[Cuenta]],Table8[Nombre Cuenta ()],Table8[Nivel 3],"",0)</f>
        <v/>
      </c>
      <c r="U17">
        <v>15</v>
      </c>
      <c r="V17" t="str">
        <f>_xlfn.XLOOKUP(Table3[[#This Row],[Cuenta]],Estructura_Balance[Nombre Cuenta ()],Estructura_Balance[Niveles:2],"",0)</f>
        <v/>
      </c>
      <c r="W17" t="str">
        <f>_xlfn.XLOOKUP(Table3[[#This Row],[Cuenta]],Estructura_Balance[Nombre Cuenta ()],Estructura_Balance[Niveles:3],"",0)</f>
        <v/>
      </c>
      <c r="X17" t="str">
        <f>_xlfn.XLOOKUP(Table3[[#This Row],[Cuenta]],Estructura_Balance[Nombre Cuenta ()],Estructura_Balance[Grupos],"Grupo 1",0)</f>
        <v>Grupo 1</v>
      </c>
      <c r="Y17" t="str">
        <f>+Table3[[#This Row],[BS_Nivel_1]]</f>
        <v/>
      </c>
    </row>
    <row r="18" spans="1:25">
      <c r="A18">
        <f>+'Libro Diario'!F29</f>
        <v>0</v>
      </c>
      <c r="B18" s="144">
        <f>VALUE(IF(+'Libro Diario'!G29="","01/01/2025",+'Libro Diario'!G29))</f>
        <v>45658</v>
      </c>
      <c r="C18">
        <f>IF(ISNUMBER(+IF(IFERROR(VALUE(MID('Libro Diario'!C29,1,4)),0)&lt;&gt;0,'Libro Diario'!C29,0))=FALSE,'Libro Diario'!C29,0)</f>
        <v>0</v>
      </c>
      <c r="D18" s="145">
        <f>+'Libro Diario'!B29</f>
        <v>0</v>
      </c>
      <c r="E18" s="139" t="s">
        <v>445</v>
      </c>
      <c r="F18" t="str">
        <f t="shared" si="0"/>
        <v>Sin Mov.</v>
      </c>
      <c r="G18" t="str">
        <f>IF(+'Libro Diario'!H29=0,"",+'Libro Diario'!H29)</f>
        <v>Estructura Balance y PyG</v>
      </c>
      <c r="H18" t="str">
        <f>IF(+'Libro Diario'!I29=0,"",+'Libro Diario'!I29)</f>
        <v>Saldo Inicial</v>
      </c>
      <c r="I18" t="str">
        <f>+IF(Table3[[#This Row],[Tipo Movimiento]]="Estructura Balance y PyG","Excluir","Incluir")</f>
        <v>Excluir</v>
      </c>
      <c r="J18" s="153">
        <f>+IF(Table3[[#This Row],[Sin cuenta]]="Con Mov.",(IF(Table3[[#This Row],[Movimiento]]="Debe",Table3[[#This Row],[Importe]],IF(Table3[[#This Row],[Movimiento]]="Haber",Table3[[#This Row],[Importe]]*-1,0))),0)</f>
        <v>0</v>
      </c>
      <c r="K18" s="145">
        <f t="shared" si="1"/>
        <v>0</v>
      </c>
      <c r="L18" s="145" t="str">
        <f t="shared" si="2"/>
        <v/>
      </c>
      <c r="M18" t="str">
        <f>_xlfn.XLOOKUP(Table3[[#This Row],[Cuenta]],Estructura_Balance[Nombre Cuenta ()],Estructura_Balance[Grupo],"",0)</f>
        <v/>
      </c>
      <c r="N18" t="str">
        <f>_xlfn.XLOOKUP(Table3[[#This Row],[Cuenta]],Estructura_Balance[Nombre Cuenta ()],Estructura_Balance[Nivel 1],"",0)</f>
        <v/>
      </c>
      <c r="O18" t="str">
        <f>_xlfn.XLOOKUP(Table3[[#This Row],[Cuenta]],Estructura_Balance[Nombre Cuenta ()],Estructura_Balance[Nivel 2],"",0)</f>
        <v/>
      </c>
      <c r="P18" t="str">
        <f>_xlfn.XLOOKUP(Table3[[#This Row],[Cuenta]],Estructura_Balance[Nombre Cuenta ()],Estructura_Balance[Nivel 3],"",0)</f>
        <v/>
      </c>
      <c r="Q18" t="str">
        <f>_xlfn.XLOOKUP(Table3[[#This Row],[Cuenta]],Estructura_Balance[Nombre Cuenta ()],Estructura_Balance[Nivel 4],"",0)</f>
        <v/>
      </c>
      <c r="R18" t="str">
        <f>_xlfn.XLOOKUP(Table3[[#This Row],[Cuenta]],Table8[Nombre Cuenta ()],Table8[Nivel 1],"",0)</f>
        <v/>
      </c>
      <c r="S18" t="str">
        <f>_xlfn.XLOOKUP(Table3[[#This Row],[Cuenta]],Table8[Nombre Cuenta ()],Table8[Nivel 2],"",0)</f>
        <v/>
      </c>
      <c r="T18" t="str">
        <f>_xlfn.XLOOKUP(Table3[[#This Row],[Cuenta]],Table8[Nombre Cuenta ()],Table8[Nivel 3],"",0)</f>
        <v/>
      </c>
      <c r="U18">
        <v>16</v>
      </c>
      <c r="V18" t="str">
        <f>_xlfn.XLOOKUP(Table3[[#This Row],[Cuenta]],Estructura_Balance[Nombre Cuenta ()],Estructura_Balance[Niveles:2],"",0)</f>
        <v/>
      </c>
      <c r="W18" t="str">
        <f>_xlfn.XLOOKUP(Table3[[#This Row],[Cuenta]],Estructura_Balance[Nombre Cuenta ()],Estructura_Balance[Niveles:3],"",0)</f>
        <v/>
      </c>
      <c r="X18" t="str">
        <f>_xlfn.XLOOKUP(Table3[[#This Row],[Cuenta]],Estructura_Balance[Nombre Cuenta ()],Estructura_Balance[Grupos],"Grupo 1",0)</f>
        <v>Grupo 1</v>
      </c>
      <c r="Y18" t="str">
        <f>+Table3[[#This Row],[BS_Nivel_1]]</f>
        <v/>
      </c>
    </row>
    <row r="19" spans="1:25">
      <c r="A19">
        <f>+'Libro Diario'!F30</f>
        <v>0</v>
      </c>
      <c r="B19" s="144">
        <f>VALUE(IF(+'Libro Diario'!G30="","01/01/2025",+'Libro Diario'!G30))</f>
        <v>45658</v>
      </c>
      <c r="C19">
        <f>IF(ISNUMBER(+IF(IFERROR(VALUE(MID('Libro Diario'!C30,1,4)),0)&lt;&gt;0,'Libro Diario'!C30,0))=FALSE,'Libro Diario'!C30,0)</f>
        <v>0</v>
      </c>
      <c r="D19" s="145">
        <f>+'Libro Diario'!B30</f>
        <v>0</v>
      </c>
      <c r="E19" s="139" t="s">
        <v>445</v>
      </c>
      <c r="F19" t="str">
        <f t="shared" si="0"/>
        <v>Sin Mov.</v>
      </c>
      <c r="G19" t="str">
        <f>IF(+'Libro Diario'!H30=0,"",+'Libro Diario'!H30)</f>
        <v>Estructura Balance y PyG</v>
      </c>
      <c r="H19" t="str">
        <f>IF(+'Libro Diario'!I30=0,"",+'Libro Diario'!I30)</f>
        <v>Saldo Inicial</v>
      </c>
      <c r="I19" t="str">
        <f>+IF(Table3[[#This Row],[Tipo Movimiento]]="Estructura Balance y PyG","Excluir","Incluir")</f>
        <v>Excluir</v>
      </c>
      <c r="J19" s="153">
        <f>+IF(Table3[[#This Row],[Sin cuenta]]="Con Mov.",(IF(Table3[[#This Row],[Movimiento]]="Debe",Table3[[#This Row],[Importe]],IF(Table3[[#This Row],[Movimiento]]="Haber",Table3[[#This Row],[Importe]]*-1,0))),0)</f>
        <v>0</v>
      </c>
      <c r="K19" s="145">
        <f t="shared" si="1"/>
        <v>0</v>
      </c>
      <c r="L19" s="145" t="str">
        <f t="shared" si="2"/>
        <v/>
      </c>
      <c r="M19" t="str">
        <f>_xlfn.XLOOKUP(Table3[[#This Row],[Cuenta]],Estructura_Balance[Nombre Cuenta ()],Estructura_Balance[Grupo],"",0)</f>
        <v/>
      </c>
      <c r="N19" t="str">
        <f>_xlfn.XLOOKUP(Table3[[#This Row],[Cuenta]],Estructura_Balance[Nombre Cuenta ()],Estructura_Balance[Nivel 1],"",0)</f>
        <v/>
      </c>
      <c r="O19" t="str">
        <f>_xlfn.XLOOKUP(Table3[[#This Row],[Cuenta]],Estructura_Balance[Nombre Cuenta ()],Estructura_Balance[Nivel 2],"",0)</f>
        <v/>
      </c>
      <c r="P19" t="str">
        <f>_xlfn.XLOOKUP(Table3[[#This Row],[Cuenta]],Estructura_Balance[Nombre Cuenta ()],Estructura_Balance[Nivel 3],"",0)</f>
        <v/>
      </c>
      <c r="Q19" t="str">
        <f>_xlfn.XLOOKUP(Table3[[#This Row],[Cuenta]],Estructura_Balance[Nombre Cuenta ()],Estructura_Balance[Nivel 4],"",0)</f>
        <v/>
      </c>
      <c r="R19" t="str">
        <f>_xlfn.XLOOKUP(Table3[[#This Row],[Cuenta]],Table8[Nombre Cuenta ()],Table8[Nivel 1],"",0)</f>
        <v/>
      </c>
      <c r="S19" t="str">
        <f>_xlfn.XLOOKUP(Table3[[#This Row],[Cuenta]],Table8[Nombre Cuenta ()],Table8[Nivel 2],"",0)</f>
        <v/>
      </c>
      <c r="T19" t="str">
        <f>_xlfn.XLOOKUP(Table3[[#This Row],[Cuenta]],Table8[Nombre Cuenta ()],Table8[Nivel 3],"",0)</f>
        <v/>
      </c>
      <c r="U19">
        <v>17</v>
      </c>
      <c r="V19" t="str">
        <f>_xlfn.XLOOKUP(Table3[[#This Row],[Cuenta]],Estructura_Balance[Nombre Cuenta ()],Estructura_Balance[Niveles:2],"",0)</f>
        <v/>
      </c>
      <c r="W19" t="str">
        <f>_xlfn.XLOOKUP(Table3[[#This Row],[Cuenta]],Estructura_Balance[Nombre Cuenta ()],Estructura_Balance[Niveles:3],"",0)</f>
        <v/>
      </c>
      <c r="X19" t="str">
        <f>_xlfn.XLOOKUP(Table3[[#This Row],[Cuenta]],Estructura_Balance[Nombre Cuenta ()],Estructura_Balance[Grupos],"Grupo 1",0)</f>
        <v>Grupo 1</v>
      </c>
      <c r="Y19" t="str">
        <f>+Table3[[#This Row],[BS_Nivel_1]]</f>
        <v/>
      </c>
    </row>
    <row r="20" spans="1:25">
      <c r="A20">
        <f>+'Libro Diario'!F31</f>
        <v>0</v>
      </c>
      <c r="B20" s="144">
        <f>VALUE(IF(+'Libro Diario'!G31="","01/01/2025",+'Libro Diario'!G31))</f>
        <v>45658</v>
      </c>
      <c r="C20">
        <f>IF(ISNUMBER(+IF(IFERROR(VALUE(MID('Libro Diario'!C31,1,4)),0)&lt;&gt;0,'Libro Diario'!C31,0))=FALSE,'Libro Diario'!C31,0)</f>
        <v>0</v>
      </c>
      <c r="D20" s="145">
        <f>+'Libro Diario'!B31</f>
        <v>0</v>
      </c>
      <c r="E20" s="139" t="s">
        <v>445</v>
      </c>
      <c r="F20" t="str">
        <f t="shared" si="0"/>
        <v>Sin Mov.</v>
      </c>
      <c r="G20" t="str">
        <f>IF(+'Libro Diario'!H31=0,"",+'Libro Diario'!H31)</f>
        <v>Estructura Balance y PyG</v>
      </c>
      <c r="H20" t="str">
        <f>IF(+'Libro Diario'!I31=0,"",+'Libro Diario'!I31)</f>
        <v>Saldo Inicial</v>
      </c>
      <c r="I20" t="str">
        <f>+IF(Table3[[#This Row],[Tipo Movimiento]]="Estructura Balance y PyG","Excluir","Incluir")</f>
        <v>Excluir</v>
      </c>
      <c r="J20" s="153">
        <f>+IF(Table3[[#This Row],[Sin cuenta]]="Con Mov.",(IF(Table3[[#This Row],[Movimiento]]="Debe",Table3[[#This Row],[Importe]],IF(Table3[[#This Row],[Movimiento]]="Haber",Table3[[#This Row],[Importe]]*-1,0))),0)</f>
        <v>0</v>
      </c>
      <c r="K20" s="145">
        <f t="shared" si="1"/>
        <v>0</v>
      </c>
      <c r="L20" s="145" t="str">
        <f t="shared" si="2"/>
        <v/>
      </c>
      <c r="M20" t="str">
        <f>_xlfn.XLOOKUP(Table3[[#This Row],[Cuenta]],Estructura_Balance[Nombre Cuenta ()],Estructura_Balance[Grupo],"",0)</f>
        <v/>
      </c>
      <c r="N20" t="str">
        <f>_xlfn.XLOOKUP(Table3[[#This Row],[Cuenta]],Estructura_Balance[Nombre Cuenta ()],Estructura_Balance[Nivel 1],"",0)</f>
        <v/>
      </c>
      <c r="O20" t="str">
        <f>_xlfn.XLOOKUP(Table3[[#This Row],[Cuenta]],Estructura_Balance[Nombre Cuenta ()],Estructura_Balance[Nivel 2],"",0)</f>
        <v/>
      </c>
      <c r="P20" t="str">
        <f>_xlfn.XLOOKUP(Table3[[#This Row],[Cuenta]],Estructura_Balance[Nombre Cuenta ()],Estructura_Balance[Nivel 3],"",0)</f>
        <v/>
      </c>
      <c r="Q20" t="str">
        <f>_xlfn.XLOOKUP(Table3[[#This Row],[Cuenta]],Estructura_Balance[Nombre Cuenta ()],Estructura_Balance[Nivel 4],"",0)</f>
        <v/>
      </c>
      <c r="R20" t="str">
        <f>_xlfn.XLOOKUP(Table3[[#This Row],[Cuenta]],Table8[Nombre Cuenta ()],Table8[Nivel 1],"",0)</f>
        <v/>
      </c>
      <c r="S20" t="str">
        <f>_xlfn.XLOOKUP(Table3[[#This Row],[Cuenta]],Table8[Nombre Cuenta ()],Table8[Nivel 2],"",0)</f>
        <v/>
      </c>
      <c r="T20" t="str">
        <f>_xlfn.XLOOKUP(Table3[[#This Row],[Cuenta]],Table8[Nombre Cuenta ()],Table8[Nivel 3],"",0)</f>
        <v/>
      </c>
      <c r="U20">
        <v>18</v>
      </c>
      <c r="V20" t="str">
        <f>_xlfn.XLOOKUP(Table3[[#This Row],[Cuenta]],Estructura_Balance[Nombre Cuenta ()],Estructura_Balance[Niveles:2],"",0)</f>
        <v/>
      </c>
      <c r="W20" t="str">
        <f>_xlfn.XLOOKUP(Table3[[#This Row],[Cuenta]],Estructura_Balance[Nombre Cuenta ()],Estructura_Balance[Niveles:3],"",0)</f>
        <v/>
      </c>
      <c r="X20" t="str">
        <f>_xlfn.XLOOKUP(Table3[[#This Row],[Cuenta]],Estructura_Balance[Nombre Cuenta ()],Estructura_Balance[Grupos],"Grupo 1",0)</f>
        <v>Grupo 1</v>
      </c>
      <c r="Y20" t="str">
        <f>+Table3[[#This Row],[BS_Nivel_1]]</f>
        <v/>
      </c>
    </row>
    <row r="21" spans="1:25">
      <c r="A21">
        <f>+'Libro Diario'!F32</f>
        <v>0</v>
      </c>
      <c r="B21" s="144">
        <f>VALUE(IF(+'Libro Diario'!G32="","01/01/2025",+'Libro Diario'!G32))</f>
        <v>45658</v>
      </c>
      <c r="C21">
        <f>IF(ISNUMBER(+IF(IFERROR(VALUE(MID('Libro Diario'!C32,1,4)),0)&lt;&gt;0,'Libro Diario'!C32,0))=FALSE,'Libro Diario'!C32,0)</f>
        <v>0</v>
      </c>
      <c r="D21" s="145">
        <f>+'Libro Diario'!B32</f>
        <v>0</v>
      </c>
      <c r="E21" s="139" t="s">
        <v>445</v>
      </c>
      <c r="F21" t="str">
        <f t="shared" si="0"/>
        <v>Sin Mov.</v>
      </c>
      <c r="G21" t="str">
        <f>IF(+'Libro Diario'!H32=0,"",+'Libro Diario'!H32)</f>
        <v>Estructura Balance y PyG</v>
      </c>
      <c r="H21" t="str">
        <f>IF(+'Libro Diario'!I32=0,"",+'Libro Diario'!I32)</f>
        <v>Saldo Inicial</v>
      </c>
      <c r="I21" t="str">
        <f>+IF(Table3[[#This Row],[Tipo Movimiento]]="Estructura Balance y PyG","Excluir","Incluir")</f>
        <v>Excluir</v>
      </c>
      <c r="J21" s="153">
        <f>+IF(Table3[[#This Row],[Sin cuenta]]="Con Mov.",(IF(Table3[[#This Row],[Movimiento]]="Debe",Table3[[#This Row],[Importe]],IF(Table3[[#This Row],[Movimiento]]="Haber",Table3[[#This Row],[Importe]]*-1,0))),0)</f>
        <v>0</v>
      </c>
      <c r="K21" s="145">
        <f t="shared" si="1"/>
        <v>0</v>
      </c>
      <c r="L21" s="145" t="str">
        <f t="shared" si="2"/>
        <v/>
      </c>
      <c r="M21" t="str">
        <f>_xlfn.XLOOKUP(Table3[[#This Row],[Cuenta]],Estructura_Balance[Nombre Cuenta ()],Estructura_Balance[Grupo],"",0)</f>
        <v/>
      </c>
      <c r="N21" t="str">
        <f>_xlfn.XLOOKUP(Table3[[#This Row],[Cuenta]],Estructura_Balance[Nombre Cuenta ()],Estructura_Balance[Nivel 1],"",0)</f>
        <v/>
      </c>
      <c r="O21" t="str">
        <f>_xlfn.XLOOKUP(Table3[[#This Row],[Cuenta]],Estructura_Balance[Nombre Cuenta ()],Estructura_Balance[Nivel 2],"",0)</f>
        <v/>
      </c>
      <c r="P21" t="str">
        <f>_xlfn.XLOOKUP(Table3[[#This Row],[Cuenta]],Estructura_Balance[Nombre Cuenta ()],Estructura_Balance[Nivel 3],"",0)</f>
        <v/>
      </c>
      <c r="Q21" t="str">
        <f>_xlfn.XLOOKUP(Table3[[#This Row],[Cuenta]],Estructura_Balance[Nombre Cuenta ()],Estructura_Balance[Nivel 4],"",0)</f>
        <v/>
      </c>
      <c r="R21" t="str">
        <f>_xlfn.XLOOKUP(Table3[[#This Row],[Cuenta]],Table8[Nombre Cuenta ()],Table8[Nivel 1],"",0)</f>
        <v/>
      </c>
      <c r="S21" t="str">
        <f>_xlfn.XLOOKUP(Table3[[#This Row],[Cuenta]],Table8[Nombre Cuenta ()],Table8[Nivel 2],"",0)</f>
        <v/>
      </c>
      <c r="T21" t="str">
        <f>_xlfn.XLOOKUP(Table3[[#This Row],[Cuenta]],Table8[Nombre Cuenta ()],Table8[Nivel 3],"",0)</f>
        <v/>
      </c>
      <c r="U21">
        <v>19</v>
      </c>
      <c r="V21" t="str">
        <f>_xlfn.XLOOKUP(Table3[[#This Row],[Cuenta]],Estructura_Balance[Nombre Cuenta ()],Estructura_Balance[Niveles:2],"",0)</f>
        <v/>
      </c>
      <c r="W21" t="str">
        <f>_xlfn.XLOOKUP(Table3[[#This Row],[Cuenta]],Estructura_Balance[Nombre Cuenta ()],Estructura_Balance[Niveles:3],"",0)</f>
        <v/>
      </c>
      <c r="X21" t="str">
        <f>_xlfn.XLOOKUP(Table3[[#This Row],[Cuenta]],Estructura_Balance[Nombre Cuenta ()],Estructura_Balance[Grupos],"Grupo 1",0)</f>
        <v>Grupo 1</v>
      </c>
      <c r="Y21" t="str">
        <f>+Table3[[#This Row],[BS_Nivel_1]]</f>
        <v/>
      </c>
    </row>
    <row r="22" spans="1:25">
      <c r="A22">
        <f>+'Libro Diario'!F33</f>
        <v>0</v>
      </c>
      <c r="B22" s="144">
        <f>VALUE(IF(+'Libro Diario'!G33="","01/01/2025",+'Libro Diario'!G33))</f>
        <v>45658</v>
      </c>
      <c r="C22">
        <f>IF(ISNUMBER(+IF(IFERROR(VALUE(MID('Libro Diario'!C33,1,4)),0)&lt;&gt;0,'Libro Diario'!C33,0))=FALSE,'Libro Diario'!C33,0)</f>
        <v>0</v>
      </c>
      <c r="D22" s="145">
        <f>+'Libro Diario'!B33</f>
        <v>0</v>
      </c>
      <c r="E22" s="139" t="s">
        <v>445</v>
      </c>
      <c r="F22" t="str">
        <f t="shared" si="0"/>
        <v>Sin Mov.</v>
      </c>
      <c r="G22" t="str">
        <f>IF(+'Libro Diario'!H33=0,"",+'Libro Diario'!H33)</f>
        <v>Estructura Balance y PyG</v>
      </c>
      <c r="H22" t="str">
        <f>IF(+'Libro Diario'!I33=0,"",+'Libro Diario'!I33)</f>
        <v>Saldo Inicial</v>
      </c>
      <c r="I22" t="str">
        <f>+IF(Table3[[#This Row],[Tipo Movimiento]]="Estructura Balance y PyG","Excluir","Incluir")</f>
        <v>Excluir</v>
      </c>
      <c r="J22" s="153">
        <f>+IF(Table3[[#This Row],[Sin cuenta]]="Con Mov.",(IF(Table3[[#This Row],[Movimiento]]="Debe",Table3[[#This Row],[Importe]],IF(Table3[[#This Row],[Movimiento]]="Haber",Table3[[#This Row],[Importe]]*-1,0))),0)</f>
        <v>0</v>
      </c>
      <c r="K22" s="145">
        <f t="shared" si="1"/>
        <v>0</v>
      </c>
      <c r="L22" s="145" t="str">
        <f t="shared" si="2"/>
        <v/>
      </c>
      <c r="M22" t="str">
        <f>_xlfn.XLOOKUP(Table3[[#This Row],[Cuenta]],Estructura_Balance[Nombre Cuenta ()],Estructura_Balance[Grupo],"",0)</f>
        <v/>
      </c>
      <c r="N22" t="str">
        <f>_xlfn.XLOOKUP(Table3[[#This Row],[Cuenta]],Estructura_Balance[Nombre Cuenta ()],Estructura_Balance[Nivel 1],"",0)</f>
        <v/>
      </c>
      <c r="O22" t="str">
        <f>_xlfn.XLOOKUP(Table3[[#This Row],[Cuenta]],Estructura_Balance[Nombre Cuenta ()],Estructura_Balance[Nivel 2],"",0)</f>
        <v/>
      </c>
      <c r="P22" t="str">
        <f>_xlfn.XLOOKUP(Table3[[#This Row],[Cuenta]],Estructura_Balance[Nombre Cuenta ()],Estructura_Balance[Nivel 3],"",0)</f>
        <v/>
      </c>
      <c r="Q22" t="str">
        <f>_xlfn.XLOOKUP(Table3[[#This Row],[Cuenta]],Estructura_Balance[Nombre Cuenta ()],Estructura_Balance[Nivel 4],"",0)</f>
        <v/>
      </c>
      <c r="R22" t="str">
        <f>_xlfn.XLOOKUP(Table3[[#This Row],[Cuenta]],Table8[Nombre Cuenta ()],Table8[Nivel 1],"",0)</f>
        <v/>
      </c>
      <c r="S22" t="str">
        <f>_xlfn.XLOOKUP(Table3[[#This Row],[Cuenta]],Table8[Nombre Cuenta ()],Table8[Nivel 2],"",0)</f>
        <v/>
      </c>
      <c r="T22" t="str">
        <f>_xlfn.XLOOKUP(Table3[[#This Row],[Cuenta]],Table8[Nombre Cuenta ()],Table8[Nivel 3],"",0)</f>
        <v/>
      </c>
      <c r="U22">
        <v>20</v>
      </c>
      <c r="V22" t="str">
        <f>_xlfn.XLOOKUP(Table3[[#This Row],[Cuenta]],Estructura_Balance[Nombre Cuenta ()],Estructura_Balance[Niveles:2],"",0)</f>
        <v/>
      </c>
      <c r="W22" t="str">
        <f>_xlfn.XLOOKUP(Table3[[#This Row],[Cuenta]],Estructura_Balance[Nombre Cuenta ()],Estructura_Balance[Niveles:3],"",0)</f>
        <v/>
      </c>
      <c r="X22" t="str">
        <f>_xlfn.XLOOKUP(Table3[[#This Row],[Cuenta]],Estructura_Balance[Nombre Cuenta ()],Estructura_Balance[Grupos],"Grupo 1",0)</f>
        <v>Grupo 1</v>
      </c>
      <c r="Y22" t="str">
        <f>+Table3[[#This Row],[BS_Nivel_1]]</f>
        <v/>
      </c>
    </row>
    <row r="23" spans="1:25">
      <c r="A23">
        <f>+'Libro Diario'!F34</f>
        <v>0</v>
      </c>
      <c r="B23" s="144">
        <f>VALUE(IF(+'Libro Diario'!G34="","01/01/2025",+'Libro Diario'!G34))</f>
        <v>45658</v>
      </c>
      <c r="C23">
        <f>IF(ISNUMBER(+IF(IFERROR(VALUE(MID('Libro Diario'!C34,1,4)),0)&lt;&gt;0,'Libro Diario'!C34,0))=FALSE,'Libro Diario'!C34,0)</f>
        <v>0</v>
      </c>
      <c r="D23" s="145">
        <f>+'Libro Diario'!B34</f>
        <v>0</v>
      </c>
      <c r="E23" s="139" t="s">
        <v>445</v>
      </c>
      <c r="F23" t="str">
        <f t="shared" si="0"/>
        <v>Sin Mov.</v>
      </c>
      <c r="G23" t="str">
        <f>IF(+'Libro Diario'!H34=0,"",+'Libro Diario'!H34)</f>
        <v>Estructura Balance y PyG</v>
      </c>
      <c r="H23" t="str">
        <f>IF(+'Libro Diario'!I34=0,"",+'Libro Diario'!I34)</f>
        <v>Saldo Inicial</v>
      </c>
      <c r="I23" t="str">
        <f>+IF(Table3[[#This Row],[Tipo Movimiento]]="Estructura Balance y PyG","Excluir","Incluir")</f>
        <v>Excluir</v>
      </c>
      <c r="J23" s="153">
        <f>+IF(Table3[[#This Row],[Sin cuenta]]="Con Mov.",(IF(Table3[[#This Row],[Movimiento]]="Debe",Table3[[#This Row],[Importe]],IF(Table3[[#This Row],[Movimiento]]="Haber",Table3[[#This Row],[Importe]]*-1,0))),0)</f>
        <v>0</v>
      </c>
      <c r="K23" s="145">
        <f t="shared" si="1"/>
        <v>0</v>
      </c>
      <c r="L23" s="145" t="str">
        <f t="shared" si="2"/>
        <v/>
      </c>
      <c r="M23" t="str">
        <f>_xlfn.XLOOKUP(Table3[[#This Row],[Cuenta]],Estructura_Balance[Nombre Cuenta ()],Estructura_Balance[Grupo],"",0)</f>
        <v/>
      </c>
      <c r="N23" t="str">
        <f>_xlfn.XLOOKUP(Table3[[#This Row],[Cuenta]],Estructura_Balance[Nombre Cuenta ()],Estructura_Balance[Nivel 1],"",0)</f>
        <v/>
      </c>
      <c r="O23" t="str">
        <f>_xlfn.XLOOKUP(Table3[[#This Row],[Cuenta]],Estructura_Balance[Nombre Cuenta ()],Estructura_Balance[Nivel 2],"",0)</f>
        <v/>
      </c>
      <c r="P23" t="str">
        <f>_xlfn.XLOOKUP(Table3[[#This Row],[Cuenta]],Estructura_Balance[Nombre Cuenta ()],Estructura_Balance[Nivel 3],"",0)</f>
        <v/>
      </c>
      <c r="Q23" t="str">
        <f>_xlfn.XLOOKUP(Table3[[#This Row],[Cuenta]],Estructura_Balance[Nombre Cuenta ()],Estructura_Balance[Nivel 4],"",0)</f>
        <v/>
      </c>
      <c r="R23" t="str">
        <f>_xlfn.XLOOKUP(Table3[[#This Row],[Cuenta]],Table8[Nombre Cuenta ()],Table8[Nivel 1],"",0)</f>
        <v/>
      </c>
      <c r="S23" t="str">
        <f>_xlfn.XLOOKUP(Table3[[#This Row],[Cuenta]],Table8[Nombre Cuenta ()],Table8[Nivel 2],"",0)</f>
        <v/>
      </c>
      <c r="T23" t="str">
        <f>_xlfn.XLOOKUP(Table3[[#This Row],[Cuenta]],Table8[Nombre Cuenta ()],Table8[Nivel 3],"",0)</f>
        <v/>
      </c>
      <c r="U23">
        <v>21</v>
      </c>
      <c r="V23" t="str">
        <f>_xlfn.XLOOKUP(Table3[[#This Row],[Cuenta]],Estructura_Balance[Nombre Cuenta ()],Estructura_Balance[Niveles:2],"",0)</f>
        <v/>
      </c>
      <c r="W23" t="str">
        <f>_xlfn.XLOOKUP(Table3[[#This Row],[Cuenta]],Estructura_Balance[Nombre Cuenta ()],Estructura_Balance[Niveles:3],"",0)</f>
        <v/>
      </c>
      <c r="X23" t="str">
        <f>_xlfn.XLOOKUP(Table3[[#This Row],[Cuenta]],Estructura_Balance[Nombre Cuenta ()],Estructura_Balance[Grupos],"Grupo 1",0)</f>
        <v>Grupo 1</v>
      </c>
      <c r="Y23" t="str">
        <f>+Table3[[#This Row],[BS_Nivel_1]]</f>
        <v/>
      </c>
    </row>
    <row r="24" spans="1:25">
      <c r="A24">
        <f>+'Libro Diario'!F35</f>
        <v>0</v>
      </c>
      <c r="B24" s="144">
        <f>VALUE(IF(+'Libro Diario'!G35="","01/01/2025",+'Libro Diario'!G35))</f>
        <v>45658</v>
      </c>
      <c r="C24">
        <f>IF(ISNUMBER(+IF(IFERROR(VALUE(MID('Libro Diario'!C35,1,4)),0)&lt;&gt;0,'Libro Diario'!C35,0))=FALSE,'Libro Diario'!C35,0)</f>
        <v>0</v>
      </c>
      <c r="D24" s="145">
        <f>+'Libro Diario'!B35</f>
        <v>0</v>
      </c>
      <c r="E24" s="139" t="s">
        <v>445</v>
      </c>
      <c r="F24" t="str">
        <f t="shared" si="0"/>
        <v>Sin Mov.</v>
      </c>
      <c r="G24" t="str">
        <f>IF(+'Libro Diario'!H35=0,"",+'Libro Diario'!H35)</f>
        <v>Estructura Balance y PyG</v>
      </c>
      <c r="H24" t="str">
        <f>IF(+'Libro Diario'!I35=0,"",+'Libro Diario'!I35)</f>
        <v>Saldo Inicial</v>
      </c>
      <c r="I24" t="str">
        <f>+IF(Table3[[#This Row],[Tipo Movimiento]]="Estructura Balance y PyG","Excluir","Incluir")</f>
        <v>Excluir</v>
      </c>
      <c r="J24" s="153">
        <f>+IF(Table3[[#This Row],[Sin cuenta]]="Con Mov.",(IF(Table3[[#This Row],[Movimiento]]="Debe",Table3[[#This Row],[Importe]],IF(Table3[[#This Row],[Movimiento]]="Haber",Table3[[#This Row],[Importe]]*-1,0))),0)</f>
        <v>0</v>
      </c>
      <c r="K24" s="145">
        <f t="shared" si="1"/>
        <v>0</v>
      </c>
      <c r="L24" s="145" t="str">
        <f t="shared" si="2"/>
        <v/>
      </c>
      <c r="M24" t="str">
        <f>_xlfn.XLOOKUP(Table3[[#This Row],[Cuenta]],Estructura_Balance[Nombre Cuenta ()],Estructura_Balance[Grupo],"",0)</f>
        <v/>
      </c>
      <c r="N24" t="str">
        <f>_xlfn.XLOOKUP(Table3[[#This Row],[Cuenta]],Estructura_Balance[Nombre Cuenta ()],Estructura_Balance[Nivel 1],"",0)</f>
        <v/>
      </c>
      <c r="O24" t="str">
        <f>_xlfn.XLOOKUP(Table3[[#This Row],[Cuenta]],Estructura_Balance[Nombre Cuenta ()],Estructura_Balance[Nivel 2],"",0)</f>
        <v/>
      </c>
      <c r="P24" t="str">
        <f>_xlfn.XLOOKUP(Table3[[#This Row],[Cuenta]],Estructura_Balance[Nombre Cuenta ()],Estructura_Balance[Nivel 3],"",0)</f>
        <v/>
      </c>
      <c r="Q24" t="str">
        <f>_xlfn.XLOOKUP(Table3[[#This Row],[Cuenta]],Estructura_Balance[Nombre Cuenta ()],Estructura_Balance[Nivel 4],"",0)</f>
        <v/>
      </c>
      <c r="R24" t="str">
        <f>_xlfn.XLOOKUP(Table3[[#This Row],[Cuenta]],Table8[Nombre Cuenta ()],Table8[Nivel 1],"",0)</f>
        <v/>
      </c>
      <c r="S24" t="str">
        <f>_xlfn.XLOOKUP(Table3[[#This Row],[Cuenta]],Table8[Nombre Cuenta ()],Table8[Nivel 2],"",0)</f>
        <v/>
      </c>
      <c r="T24" t="str">
        <f>_xlfn.XLOOKUP(Table3[[#This Row],[Cuenta]],Table8[Nombre Cuenta ()],Table8[Nivel 3],"",0)</f>
        <v/>
      </c>
      <c r="U24">
        <v>22</v>
      </c>
      <c r="V24" t="str">
        <f>_xlfn.XLOOKUP(Table3[[#This Row],[Cuenta]],Estructura_Balance[Nombre Cuenta ()],Estructura_Balance[Niveles:2],"",0)</f>
        <v/>
      </c>
      <c r="W24" t="str">
        <f>_xlfn.XLOOKUP(Table3[[#This Row],[Cuenta]],Estructura_Balance[Nombre Cuenta ()],Estructura_Balance[Niveles:3],"",0)</f>
        <v/>
      </c>
      <c r="X24" t="str">
        <f>_xlfn.XLOOKUP(Table3[[#This Row],[Cuenta]],Estructura_Balance[Nombre Cuenta ()],Estructura_Balance[Grupos],"Grupo 1",0)</f>
        <v>Grupo 1</v>
      </c>
      <c r="Y24" t="str">
        <f>+Table3[[#This Row],[BS_Nivel_1]]</f>
        <v/>
      </c>
    </row>
    <row r="25" spans="1:25">
      <c r="A25">
        <f>+'Libro Diario'!F36</f>
        <v>0</v>
      </c>
      <c r="B25" s="144">
        <f>VALUE(IF(+'Libro Diario'!G36="","01/01/2025",+'Libro Diario'!G36))</f>
        <v>45658</v>
      </c>
      <c r="C25">
        <f>IF(ISNUMBER(+IF(IFERROR(VALUE(MID('Libro Diario'!C36,1,4)),0)&lt;&gt;0,'Libro Diario'!C36,0))=FALSE,'Libro Diario'!C36,0)</f>
        <v>0</v>
      </c>
      <c r="D25" s="145">
        <f>+'Libro Diario'!B36</f>
        <v>0</v>
      </c>
      <c r="E25" s="139" t="s">
        <v>445</v>
      </c>
      <c r="F25" t="str">
        <f t="shared" si="0"/>
        <v>Sin Mov.</v>
      </c>
      <c r="G25" t="str">
        <f>IF(+'Libro Diario'!H36=0,"",+'Libro Diario'!H36)</f>
        <v>Estructura Balance y PyG</v>
      </c>
      <c r="H25" t="str">
        <f>IF(+'Libro Diario'!I36=0,"",+'Libro Diario'!I36)</f>
        <v>Saldo Inicial</v>
      </c>
      <c r="I25" t="str">
        <f>+IF(Table3[[#This Row],[Tipo Movimiento]]="Estructura Balance y PyG","Excluir","Incluir")</f>
        <v>Excluir</v>
      </c>
      <c r="J25" s="153">
        <f>+IF(Table3[[#This Row],[Sin cuenta]]="Con Mov.",(IF(Table3[[#This Row],[Movimiento]]="Debe",Table3[[#This Row],[Importe]],IF(Table3[[#This Row],[Movimiento]]="Haber",Table3[[#This Row],[Importe]]*-1,0))),0)</f>
        <v>0</v>
      </c>
      <c r="K25" s="145">
        <f t="shared" si="1"/>
        <v>0</v>
      </c>
      <c r="L25" s="145" t="str">
        <f t="shared" si="2"/>
        <v/>
      </c>
      <c r="M25" t="str">
        <f>_xlfn.XLOOKUP(Table3[[#This Row],[Cuenta]],Estructura_Balance[Nombre Cuenta ()],Estructura_Balance[Grupo],"",0)</f>
        <v/>
      </c>
      <c r="N25" t="str">
        <f>_xlfn.XLOOKUP(Table3[[#This Row],[Cuenta]],Estructura_Balance[Nombre Cuenta ()],Estructura_Balance[Nivel 1],"",0)</f>
        <v/>
      </c>
      <c r="O25" t="str">
        <f>_xlfn.XLOOKUP(Table3[[#This Row],[Cuenta]],Estructura_Balance[Nombre Cuenta ()],Estructura_Balance[Nivel 2],"",0)</f>
        <v/>
      </c>
      <c r="P25" t="str">
        <f>_xlfn.XLOOKUP(Table3[[#This Row],[Cuenta]],Estructura_Balance[Nombre Cuenta ()],Estructura_Balance[Nivel 3],"",0)</f>
        <v/>
      </c>
      <c r="Q25" t="str">
        <f>_xlfn.XLOOKUP(Table3[[#This Row],[Cuenta]],Estructura_Balance[Nombre Cuenta ()],Estructura_Balance[Nivel 4],"",0)</f>
        <v/>
      </c>
      <c r="R25" t="str">
        <f>_xlfn.XLOOKUP(Table3[[#This Row],[Cuenta]],Table8[Nombre Cuenta ()],Table8[Nivel 1],"",0)</f>
        <v/>
      </c>
      <c r="S25" t="str">
        <f>_xlfn.XLOOKUP(Table3[[#This Row],[Cuenta]],Table8[Nombre Cuenta ()],Table8[Nivel 2],"",0)</f>
        <v/>
      </c>
      <c r="T25" t="str">
        <f>_xlfn.XLOOKUP(Table3[[#This Row],[Cuenta]],Table8[Nombre Cuenta ()],Table8[Nivel 3],"",0)</f>
        <v/>
      </c>
      <c r="U25">
        <v>23</v>
      </c>
      <c r="V25" t="str">
        <f>_xlfn.XLOOKUP(Table3[[#This Row],[Cuenta]],Estructura_Balance[Nombre Cuenta ()],Estructura_Balance[Niveles:2],"",0)</f>
        <v/>
      </c>
      <c r="W25" t="str">
        <f>_xlfn.XLOOKUP(Table3[[#This Row],[Cuenta]],Estructura_Balance[Nombre Cuenta ()],Estructura_Balance[Niveles:3],"",0)</f>
        <v/>
      </c>
      <c r="X25" t="str">
        <f>_xlfn.XLOOKUP(Table3[[#This Row],[Cuenta]],Estructura_Balance[Nombre Cuenta ()],Estructura_Balance[Grupos],"Grupo 1",0)</f>
        <v>Grupo 1</v>
      </c>
      <c r="Y25" t="str">
        <f>+Table3[[#This Row],[BS_Nivel_1]]</f>
        <v/>
      </c>
    </row>
    <row r="26" spans="1:25">
      <c r="A26">
        <f>+'Libro Diario'!F37</f>
        <v>0</v>
      </c>
      <c r="B26" s="144">
        <f>VALUE(IF(+'Libro Diario'!G37="","01/01/2025",+'Libro Diario'!G37))</f>
        <v>45658</v>
      </c>
      <c r="C26">
        <f>IF(ISNUMBER(+IF(IFERROR(VALUE(MID('Libro Diario'!C37,1,4)),0)&lt;&gt;0,'Libro Diario'!C37,0))=FALSE,'Libro Diario'!C37,0)</f>
        <v>0</v>
      </c>
      <c r="D26" s="145">
        <f>+'Libro Diario'!B37</f>
        <v>0</v>
      </c>
      <c r="E26" s="139" t="s">
        <v>445</v>
      </c>
      <c r="F26" t="str">
        <f t="shared" si="0"/>
        <v>Sin Mov.</v>
      </c>
      <c r="G26" t="str">
        <f>IF(+'Libro Diario'!H37=0,"",+'Libro Diario'!H37)</f>
        <v>Estructura Balance y PyG</v>
      </c>
      <c r="H26" t="str">
        <f>IF(+'Libro Diario'!I37=0,"",+'Libro Diario'!I37)</f>
        <v>Saldo Inicial</v>
      </c>
      <c r="I26" t="str">
        <f>+IF(Table3[[#This Row],[Tipo Movimiento]]="Estructura Balance y PyG","Excluir","Incluir")</f>
        <v>Excluir</v>
      </c>
      <c r="J26" s="153">
        <f>+IF(Table3[[#This Row],[Sin cuenta]]="Con Mov.",(IF(Table3[[#This Row],[Movimiento]]="Debe",Table3[[#This Row],[Importe]],IF(Table3[[#This Row],[Movimiento]]="Haber",Table3[[#This Row],[Importe]]*-1,0))),0)</f>
        <v>0</v>
      </c>
      <c r="K26" s="145">
        <f t="shared" si="1"/>
        <v>0</v>
      </c>
      <c r="L26" s="145" t="str">
        <f t="shared" si="2"/>
        <v/>
      </c>
      <c r="M26" t="str">
        <f>_xlfn.XLOOKUP(Table3[[#This Row],[Cuenta]],Estructura_Balance[Nombre Cuenta ()],Estructura_Balance[Grupo],"",0)</f>
        <v/>
      </c>
      <c r="N26" t="str">
        <f>_xlfn.XLOOKUP(Table3[[#This Row],[Cuenta]],Estructura_Balance[Nombre Cuenta ()],Estructura_Balance[Nivel 1],"",0)</f>
        <v/>
      </c>
      <c r="O26" t="str">
        <f>_xlfn.XLOOKUP(Table3[[#This Row],[Cuenta]],Estructura_Balance[Nombre Cuenta ()],Estructura_Balance[Nivel 2],"",0)</f>
        <v/>
      </c>
      <c r="P26" t="str">
        <f>_xlfn.XLOOKUP(Table3[[#This Row],[Cuenta]],Estructura_Balance[Nombre Cuenta ()],Estructura_Balance[Nivel 3],"",0)</f>
        <v/>
      </c>
      <c r="Q26" t="str">
        <f>_xlfn.XLOOKUP(Table3[[#This Row],[Cuenta]],Estructura_Balance[Nombre Cuenta ()],Estructura_Balance[Nivel 4],"",0)</f>
        <v/>
      </c>
      <c r="R26" t="str">
        <f>_xlfn.XLOOKUP(Table3[[#This Row],[Cuenta]],Table8[Nombre Cuenta ()],Table8[Nivel 1],"",0)</f>
        <v/>
      </c>
      <c r="S26" t="str">
        <f>_xlfn.XLOOKUP(Table3[[#This Row],[Cuenta]],Table8[Nombre Cuenta ()],Table8[Nivel 2],"",0)</f>
        <v/>
      </c>
      <c r="T26" t="str">
        <f>_xlfn.XLOOKUP(Table3[[#This Row],[Cuenta]],Table8[Nombre Cuenta ()],Table8[Nivel 3],"",0)</f>
        <v/>
      </c>
      <c r="U26">
        <v>24</v>
      </c>
      <c r="V26" t="str">
        <f>_xlfn.XLOOKUP(Table3[[#This Row],[Cuenta]],Estructura_Balance[Nombre Cuenta ()],Estructura_Balance[Niveles:2],"",0)</f>
        <v/>
      </c>
      <c r="W26" t="str">
        <f>_xlfn.XLOOKUP(Table3[[#This Row],[Cuenta]],Estructura_Balance[Nombre Cuenta ()],Estructura_Balance[Niveles:3],"",0)</f>
        <v/>
      </c>
      <c r="X26" t="str">
        <f>_xlfn.XLOOKUP(Table3[[#This Row],[Cuenta]],Estructura_Balance[Nombre Cuenta ()],Estructura_Balance[Grupos],"Grupo 1",0)</f>
        <v>Grupo 1</v>
      </c>
      <c r="Y26" t="str">
        <f>+Table3[[#This Row],[BS_Nivel_1]]</f>
        <v/>
      </c>
    </row>
    <row r="27" spans="1:25">
      <c r="A27">
        <f>+'Libro Diario'!F38</f>
        <v>0</v>
      </c>
      <c r="B27" s="144">
        <f>VALUE(IF(+'Libro Diario'!G38="","01/01/2025",+'Libro Diario'!G38))</f>
        <v>45658</v>
      </c>
      <c r="C27">
        <f>IF(ISNUMBER(+IF(IFERROR(VALUE(MID('Libro Diario'!C38,1,4)),0)&lt;&gt;0,'Libro Diario'!C38,0))=FALSE,'Libro Diario'!C38,0)</f>
        <v>0</v>
      </c>
      <c r="D27" s="145">
        <f>+'Libro Diario'!B38</f>
        <v>0</v>
      </c>
      <c r="E27" s="139" t="s">
        <v>445</v>
      </c>
      <c r="F27" t="str">
        <f t="shared" si="0"/>
        <v>Sin Mov.</v>
      </c>
      <c r="G27" t="str">
        <f>IF(+'Libro Diario'!H38=0,"",+'Libro Diario'!H38)</f>
        <v>Estructura Balance y PyG</v>
      </c>
      <c r="H27" t="str">
        <f>IF(+'Libro Diario'!I38=0,"",+'Libro Diario'!I38)</f>
        <v>Saldo Inicial</v>
      </c>
      <c r="I27" t="str">
        <f>+IF(Table3[[#This Row],[Tipo Movimiento]]="Estructura Balance y PyG","Excluir","Incluir")</f>
        <v>Excluir</v>
      </c>
      <c r="J27" s="153">
        <f>+IF(Table3[[#This Row],[Sin cuenta]]="Con Mov.",(IF(Table3[[#This Row],[Movimiento]]="Debe",Table3[[#This Row],[Importe]],IF(Table3[[#This Row],[Movimiento]]="Haber",Table3[[#This Row],[Importe]]*-1,0))),0)</f>
        <v>0</v>
      </c>
      <c r="K27" s="145">
        <f t="shared" si="1"/>
        <v>0</v>
      </c>
      <c r="L27" s="145" t="str">
        <f t="shared" si="2"/>
        <v/>
      </c>
      <c r="M27" t="str">
        <f>_xlfn.XLOOKUP(Table3[[#This Row],[Cuenta]],Estructura_Balance[Nombre Cuenta ()],Estructura_Balance[Grupo],"",0)</f>
        <v/>
      </c>
      <c r="N27" t="str">
        <f>_xlfn.XLOOKUP(Table3[[#This Row],[Cuenta]],Estructura_Balance[Nombre Cuenta ()],Estructura_Balance[Nivel 1],"",0)</f>
        <v/>
      </c>
      <c r="O27" t="str">
        <f>_xlfn.XLOOKUP(Table3[[#This Row],[Cuenta]],Estructura_Balance[Nombre Cuenta ()],Estructura_Balance[Nivel 2],"",0)</f>
        <v/>
      </c>
      <c r="P27" t="str">
        <f>_xlfn.XLOOKUP(Table3[[#This Row],[Cuenta]],Estructura_Balance[Nombre Cuenta ()],Estructura_Balance[Nivel 3],"",0)</f>
        <v/>
      </c>
      <c r="Q27" t="str">
        <f>_xlfn.XLOOKUP(Table3[[#This Row],[Cuenta]],Estructura_Balance[Nombre Cuenta ()],Estructura_Balance[Nivel 4],"",0)</f>
        <v/>
      </c>
      <c r="R27" t="str">
        <f>_xlfn.XLOOKUP(Table3[[#This Row],[Cuenta]],Table8[Nombre Cuenta ()],Table8[Nivel 1],"",0)</f>
        <v/>
      </c>
      <c r="S27" t="str">
        <f>_xlfn.XLOOKUP(Table3[[#This Row],[Cuenta]],Table8[Nombre Cuenta ()],Table8[Nivel 2],"",0)</f>
        <v/>
      </c>
      <c r="T27" t="str">
        <f>_xlfn.XLOOKUP(Table3[[#This Row],[Cuenta]],Table8[Nombre Cuenta ()],Table8[Nivel 3],"",0)</f>
        <v/>
      </c>
      <c r="U27">
        <v>25</v>
      </c>
      <c r="V27" t="str">
        <f>_xlfn.XLOOKUP(Table3[[#This Row],[Cuenta]],Estructura_Balance[Nombre Cuenta ()],Estructura_Balance[Niveles:2],"",0)</f>
        <v/>
      </c>
      <c r="W27" t="str">
        <f>_xlfn.XLOOKUP(Table3[[#This Row],[Cuenta]],Estructura_Balance[Nombre Cuenta ()],Estructura_Balance[Niveles:3],"",0)</f>
        <v/>
      </c>
      <c r="X27" t="str">
        <f>_xlfn.XLOOKUP(Table3[[#This Row],[Cuenta]],Estructura_Balance[Nombre Cuenta ()],Estructura_Balance[Grupos],"Grupo 1",0)</f>
        <v>Grupo 1</v>
      </c>
      <c r="Y27" t="str">
        <f>+Table3[[#This Row],[BS_Nivel_1]]</f>
        <v/>
      </c>
    </row>
    <row r="28" spans="1:25">
      <c r="A28">
        <f>+'Libro Diario'!F39</f>
        <v>0</v>
      </c>
      <c r="B28" s="144">
        <f>VALUE(IF(+'Libro Diario'!G39="","01/01/2025",+'Libro Diario'!G39))</f>
        <v>45658</v>
      </c>
      <c r="C28">
        <f>IF(ISNUMBER(+IF(IFERROR(VALUE(MID('Libro Diario'!C39,1,4)),0)&lt;&gt;0,'Libro Diario'!C39,0))=FALSE,'Libro Diario'!C39,0)</f>
        <v>0</v>
      </c>
      <c r="D28" s="145">
        <f>+'Libro Diario'!B39</f>
        <v>0</v>
      </c>
      <c r="E28" s="139" t="s">
        <v>445</v>
      </c>
      <c r="F28" t="str">
        <f t="shared" si="0"/>
        <v>Sin Mov.</v>
      </c>
      <c r="G28" t="str">
        <f>IF(+'Libro Diario'!H39=0,"",+'Libro Diario'!H39)</f>
        <v>Estructura Balance y PyG</v>
      </c>
      <c r="H28" t="str">
        <f>IF(+'Libro Diario'!I39=0,"",+'Libro Diario'!I39)</f>
        <v>Saldo Inicial</v>
      </c>
      <c r="I28" t="str">
        <f>+IF(Table3[[#This Row],[Tipo Movimiento]]="Estructura Balance y PyG","Excluir","Incluir")</f>
        <v>Excluir</v>
      </c>
      <c r="J28" s="153">
        <f>+IF(Table3[[#This Row],[Sin cuenta]]="Con Mov.",(IF(Table3[[#This Row],[Movimiento]]="Debe",Table3[[#This Row],[Importe]],IF(Table3[[#This Row],[Movimiento]]="Haber",Table3[[#This Row],[Importe]]*-1,0))),0)</f>
        <v>0</v>
      </c>
      <c r="K28" s="145">
        <f t="shared" si="1"/>
        <v>0</v>
      </c>
      <c r="L28" s="145" t="str">
        <f t="shared" si="2"/>
        <v/>
      </c>
      <c r="M28" t="str">
        <f>_xlfn.XLOOKUP(Table3[[#This Row],[Cuenta]],Estructura_Balance[Nombre Cuenta ()],Estructura_Balance[Grupo],"",0)</f>
        <v/>
      </c>
      <c r="N28" t="str">
        <f>_xlfn.XLOOKUP(Table3[[#This Row],[Cuenta]],Estructura_Balance[Nombre Cuenta ()],Estructura_Balance[Nivel 1],"",0)</f>
        <v/>
      </c>
      <c r="O28" t="str">
        <f>_xlfn.XLOOKUP(Table3[[#This Row],[Cuenta]],Estructura_Balance[Nombre Cuenta ()],Estructura_Balance[Nivel 2],"",0)</f>
        <v/>
      </c>
      <c r="P28" t="str">
        <f>_xlfn.XLOOKUP(Table3[[#This Row],[Cuenta]],Estructura_Balance[Nombre Cuenta ()],Estructura_Balance[Nivel 3],"",0)</f>
        <v/>
      </c>
      <c r="Q28" t="str">
        <f>_xlfn.XLOOKUP(Table3[[#This Row],[Cuenta]],Estructura_Balance[Nombre Cuenta ()],Estructura_Balance[Nivel 4],"",0)</f>
        <v/>
      </c>
      <c r="R28" t="str">
        <f>_xlfn.XLOOKUP(Table3[[#This Row],[Cuenta]],Table8[Nombre Cuenta ()],Table8[Nivel 1],"",0)</f>
        <v/>
      </c>
      <c r="S28" t="str">
        <f>_xlfn.XLOOKUP(Table3[[#This Row],[Cuenta]],Table8[Nombre Cuenta ()],Table8[Nivel 2],"",0)</f>
        <v/>
      </c>
      <c r="T28" t="str">
        <f>_xlfn.XLOOKUP(Table3[[#This Row],[Cuenta]],Table8[Nombre Cuenta ()],Table8[Nivel 3],"",0)</f>
        <v/>
      </c>
      <c r="U28">
        <v>26</v>
      </c>
      <c r="V28" t="str">
        <f>_xlfn.XLOOKUP(Table3[[#This Row],[Cuenta]],Estructura_Balance[Nombre Cuenta ()],Estructura_Balance[Niveles:2],"",0)</f>
        <v/>
      </c>
      <c r="W28" t="str">
        <f>_xlfn.XLOOKUP(Table3[[#This Row],[Cuenta]],Estructura_Balance[Nombre Cuenta ()],Estructura_Balance[Niveles:3],"",0)</f>
        <v/>
      </c>
      <c r="X28" t="str">
        <f>_xlfn.XLOOKUP(Table3[[#This Row],[Cuenta]],Estructura_Balance[Nombre Cuenta ()],Estructura_Balance[Grupos],"Grupo 1",0)</f>
        <v>Grupo 1</v>
      </c>
      <c r="Y28" t="str">
        <f>+Table3[[#This Row],[BS_Nivel_1]]</f>
        <v/>
      </c>
    </row>
    <row r="29" spans="1:25">
      <c r="A29">
        <f>+'Libro Diario'!F40</f>
        <v>0</v>
      </c>
      <c r="B29" s="144">
        <f>VALUE(IF(+'Libro Diario'!G40="","01/01/2025",+'Libro Diario'!G40))</f>
        <v>45658</v>
      </c>
      <c r="C29">
        <f>IF(ISNUMBER(+IF(IFERROR(VALUE(MID('Libro Diario'!C40,1,4)),0)&lt;&gt;0,'Libro Diario'!C40,0))=FALSE,'Libro Diario'!C40,0)</f>
        <v>0</v>
      </c>
      <c r="D29" s="145">
        <f>+'Libro Diario'!B40</f>
        <v>0</v>
      </c>
      <c r="E29" s="139" t="s">
        <v>445</v>
      </c>
      <c r="F29" t="str">
        <f t="shared" si="0"/>
        <v>Sin Mov.</v>
      </c>
      <c r="G29" t="str">
        <f>IF(+'Libro Diario'!H40=0,"",+'Libro Diario'!H40)</f>
        <v>Estructura Balance y PyG</v>
      </c>
      <c r="H29" t="str">
        <f>IF(+'Libro Diario'!I40=0,"",+'Libro Diario'!I40)</f>
        <v>Saldo Inicial</v>
      </c>
      <c r="I29" t="str">
        <f>+IF(Table3[[#This Row],[Tipo Movimiento]]="Estructura Balance y PyG","Excluir","Incluir")</f>
        <v>Excluir</v>
      </c>
      <c r="J29" s="153">
        <f>+IF(Table3[[#This Row],[Sin cuenta]]="Con Mov.",(IF(Table3[[#This Row],[Movimiento]]="Debe",Table3[[#This Row],[Importe]],IF(Table3[[#This Row],[Movimiento]]="Haber",Table3[[#This Row],[Importe]]*-1,0))),0)</f>
        <v>0</v>
      </c>
      <c r="K29" s="145">
        <f t="shared" si="1"/>
        <v>0</v>
      </c>
      <c r="L29" s="145" t="str">
        <f t="shared" si="2"/>
        <v/>
      </c>
      <c r="M29" t="str">
        <f>_xlfn.XLOOKUP(Table3[[#This Row],[Cuenta]],Estructura_Balance[Nombre Cuenta ()],Estructura_Balance[Grupo],"",0)</f>
        <v/>
      </c>
      <c r="N29" t="str">
        <f>_xlfn.XLOOKUP(Table3[[#This Row],[Cuenta]],Estructura_Balance[Nombre Cuenta ()],Estructura_Balance[Nivel 1],"",0)</f>
        <v/>
      </c>
      <c r="O29" t="str">
        <f>_xlfn.XLOOKUP(Table3[[#This Row],[Cuenta]],Estructura_Balance[Nombre Cuenta ()],Estructura_Balance[Nivel 2],"",0)</f>
        <v/>
      </c>
      <c r="P29" t="str">
        <f>_xlfn.XLOOKUP(Table3[[#This Row],[Cuenta]],Estructura_Balance[Nombre Cuenta ()],Estructura_Balance[Nivel 3],"",0)</f>
        <v/>
      </c>
      <c r="Q29" t="str">
        <f>_xlfn.XLOOKUP(Table3[[#This Row],[Cuenta]],Estructura_Balance[Nombre Cuenta ()],Estructura_Balance[Nivel 4],"",0)</f>
        <v/>
      </c>
      <c r="R29" t="str">
        <f>_xlfn.XLOOKUP(Table3[[#This Row],[Cuenta]],Table8[Nombre Cuenta ()],Table8[Nivel 1],"",0)</f>
        <v/>
      </c>
      <c r="S29" t="str">
        <f>_xlfn.XLOOKUP(Table3[[#This Row],[Cuenta]],Table8[Nombre Cuenta ()],Table8[Nivel 2],"",0)</f>
        <v/>
      </c>
      <c r="T29" t="str">
        <f>_xlfn.XLOOKUP(Table3[[#This Row],[Cuenta]],Table8[Nombre Cuenta ()],Table8[Nivel 3],"",0)</f>
        <v/>
      </c>
      <c r="U29">
        <v>27</v>
      </c>
      <c r="V29" t="str">
        <f>_xlfn.XLOOKUP(Table3[[#This Row],[Cuenta]],Estructura_Balance[Nombre Cuenta ()],Estructura_Balance[Niveles:2],"",0)</f>
        <v/>
      </c>
      <c r="W29" t="str">
        <f>_xlfn.XLOOKUP(Table3[[#This Row],[Cuenta]],Estructura_Balance[Nombre Cuenta ()],Estructura_Balance[Niveles:3],"",0)</f>
        <v/>
      </c>
      <c r="X29" t="str">
        <f>_xlfn.XLOOKUP(Table3[[#This Row],[Cuenta]],Estructura_Balance[Nombre Cuenta ()],Estructura_Balance[Grupos],"Grupo 1",0)</f>
        <v>Grupo 1</v>
      </c>
      <c r="Y29" t="str">
        <f>+Table3[[#This Row],[BS_Nivel_1]]</f>
        <v/>
      </c>
    </row>
    <row r="30" spans="1:25">
      <c r="A30">
        <f>+'Libro Diario'!F41</f>
        <v>0</v>
      </c>
      <c r="B30" s="144">
        <f>VALUE(IF(+'Libro Diario'!G41="","01/01/2025",+'Libro Diario'!G41))</f>
        <v>45658</v>
      </c>
      <c r="C30">
        <f>IF(ISNUMBER(+IF(IFERROR(VALUE(MID('Libro Diario'!C41,1,4)),0)&lt;&gt;0,'Libro Diario'!C41,0))=FALSE,'Libro Diario'!C41,0)</f>
        <v>0</v>
      </c>
      <c r="D30" s="145">
        <f>+'Libro Diario'!B41</f>
        <v>0</v>
      </c>
      <c r="E30" s="139" t="s">
        <v>445</v>
      </c>
      <c r="F30" t="str">
        <f t="shared" si="0"/>
        <v>Sin Mov.</v>
      </c>
      <c r="G30" t="str">
        <f>IF(+'Libro Diario'!H41=0,"",+'Libro Diario'!H41)</f>
        <v>Estructura Balance y PyG</v>
      </c>
      <c r="H30" t="str">
        <f>IF(+'Libro Diario'!I41=0,"",+'Libro Diario'!I41)</f>
        <v>Saldo Inicial</v>
      </c>
      <c r="I30" t="str">
        <f>+IF(Table3[[#This Row],[Tipo Movimiento]]="Estructura Balance y PyG","Excluir","Incluir")</f>
        <v>Excluir</v>
      </c>
      <c r="J30" s="153">
        <f>+IF(Table3[[#This Row],[Sin cuenta]]="Con Mov.",(IF(Table3[[#This Row],[Movimiento]]="Debe",Table3[[#This Row],[Importe]],IF(Table3[[#This Row],[Movimiento]]="Haber",Table3[[#This Row],[Importe]]*-1,0))),0)</f>
        <v>0</v>
      </c>
      <c r="K30" s="145">
        <f t="shared" si="1"/>
        <v>0</v>
      </c>
      <c r="L30" s="145" t="str">
        <f t="shared" si="2"/>
        <v/>
      </c>
      <c r="M30" t="str">
        <f>_xlfn.XLOOKUP(Table3[[#This Row],[Cuenta]],Estructura_Balance[Nombre Cuenta ()],Estructura_Balance[Grupo],"",0)</f>
        <v/>
      </c>
      <c r="N30" t="str">
        <f>_xlfn.XLOOKUP(Table3[[#This Row],[Cuenta]],Estructura_Balance[Nombre Cuenta ()],Estructura_Balance[Nivel 1],"",0)</f>
        <v/>
      </c>
      <c r="O30" t="str">
        <f>_xlfn.XLOOKUP(Table3[[#This Row],[Cuenta]],Estructura_Balance[Nombre Cuenta ()],Estructura_Balance[Nivel 2],"",0)</f>
        <v/>
      </c>
      <c r="P30" t="str">
        <f>_xlfn.XLOOKUP(Table3[[#This Row],[Cuenta]],Estructura_Balance[Nombre Cuenta ()],Estructura_Balance[Nivel 3],"",0)</f>
        <v/>
      </c>
      <c r="Q30" t="str">
        <f>_xlfn.XLOOKUP(Table3[[#This Row],[Cuenta]],Estructura_Balance[Nombre Cuenta ()],Estructura_Balance[Nivel 4],"",0)</f>
        <v/>
      </c>
      <c r="R30" t="str">
        <f>_xlfn.XLOOKUP(Table3[[#This Row],[Cuenta]],Table8[Nombre Cuenta ()],Table8[Nivel 1],"",0)</f>
        <v/>
      </c>
      <c r="S30" t="str">
        <f>_xlfn.XLOOKUP(Table3[[#This Row],[Cuenta]],Table8[Nombre Cuenta ()],Table8[Nivel 2],"",0)</f>
        <v/>
      </c>
      <c r="T30" t="str">
        <f>_xlfn.XLOOKUP(Table3[[#This Row],[Cuenta]],Table8[Nombre Cuenta ()],Table8[Nivel 3],"",0)</f>
        <v/>
      </c>
      <c r="U30">
        <v>28</v>
      </c>
      <c r="V30" t="str">
        <f>_xlfn.XLOOKUP(Table3[[#This Row],[Cuenta]],Estructura_Balance[Nombre Cuenta ()],Estructura_Balance[Niveles:2],"",0)</f>
        <v/>
      </c>
      <c r="W30" t="str">
        <f>_xlfn.XLOOKUP(Table3[[#This Row],[Cuenta]],Estructura_Balance[Nombre Cuenta ()],Estructura_Balance[Niveles:3],"",0)</f>
        <v/>
      </c>
      <c r="X30" t="str">
        <f>_xlfn.XLOOKUP(Table3[[#This Row],[Cuenta]],Estructura_Balance[Nombre Cuenta ()],Estructura_Balance[Grupos],"Grupo 1",0)</f>
        <v>Grupo 1</v>
      </c>
      <c r="Y30" t="str">
        <f>+Table3[[#This Row],[BS_Nivel_1]]</f>
        <v/>
      </c>
    </row>
    <row r="31" spans="1:25">
      <c r="A31">
        <f>+'Libro Diario'!F42</f>
        <v>0</v>
      </c>
      <c r="B31" s="144">
        <f>VALUE(IF(+'Libro Diario'!G42="","01/01/2025",+'Libro Diario'!G42))</f>
        <v>45658</v>
      </c>
      <c r="C31">
        <f>IF(ISNUMBER(+IF(IFERROR(VALUE(MID('Libro Diario'!C42,1,4)),0)&lt;&gt;0,'Libro Diario'!C42,0))=FALSE,'Libro Diario'!C42,0)</f>
        <v>0</v>
      </c>
      <c r="D31" s="145">
        <f>+'Libro Diario'!B42</f>
        <v>0</v>
      </c>
      <c r="E31" s="139" t="s">
        <v>445</v>
      </c>
      <c r="F31" t="str">
        <f t="shared" si="0"/>
        <v>Sin Mov.</v>
      </c>
      <c r="G31" t="str">
        <f>IF(+'Libro Diario'!H42=0,"",+'Libro Diario'!H42)</f>
        <v>Estructura Balance y PyG</v>
      </c>
      <c r="H31" t="str">
        <f>IF(+'Libro Diario'!I42=0,"",+'Libro Diario'!I42)</f>
        <v>Saldo Inicial</v>
      </c>
      <c r="I31" t="str">
        <f>+IF(Table3[[#This Row],[Tipo Movimiento]]="Estructura Balance y PyG","Excluir","Incluir")</f>
        <v>Excluir</v>
      </c>
      <c r="J31" s="153">
        <f>+IF(Table3[[#This Row],[Sin cuenta]]="Con Mov.",(IF(Table3[[#This Row],[Movimiento]]="Debe",Table3[[#This Row],[Importe]],IF(Table3[[#This Row],[Movimiento]]="Haber",Table3[[#This Row],[Importe]]*-1,0))),0)</f>
        <v>0</v>
      </c>
      <c r="K31" s="145">
        <f t="shared" si="1"/>
        <v>0</v>
      </c>
      <c r="L31" s="145" t="str">
        <f t="shared" si="2"/>
        <v/>
      </c>
      <c r="M31" t="str">
        <f>_xlfn.XLOOKUP(Table3[[#This Row],[Cuenta]],Estructura_Balance[Nombre Cuenta ()],Estructura_Balance[Grupo],"",0)</f>
        <v/>
      </c>
      <c r="N31" t="str">
        <f>_xlfn.XLOOKUP(Table3[[#This Row],[Cuenta]],Estructura_Balance[Nombre Cuenta ()],Estructura_Balance[Nivel 1],"",0)</f>
        <v/>
      </c>
      <c r="O31" t="str">
        <f>_xlfn.XLOOKUP(Table3[[#This Row],[Cuenta]],Estructura_Balance[Nombre Cuenta ()],Estructura_Balance[Nivel 2],"",0)</f>
        <v/>
      </c>
      <c r="P31" t="str">
        <f>_xlfn.XLOOKUP(Table3[[#This Row],[Cuenta]],Estructura_Balance[Nombre Cuenta ()],Estructura_Balance[Nivel 3],"",0)</f>
        <v/>
      </c>
      <c r="Q31" t="str">
        <f>_xlfn.XLOOKUP(Table3[[#This Row],[Cuenta]],Estructura_Balance[Nombre Cuenta ()],Estructura_Balance[Nivel 4],"",0)</f>
        <v/>
      </c>
      <c r="R31" t="str">
        <f>_xlfn.XLOOKUP(Table3[[#This Row],[Cuenta]],Table8[Nombre Cuenta ()],Table8[Nivel 1],"",0)</f>
        <v/>
      </c>
      <c r="S31" t="str">
        <f>_xlfn.XLOOKUP(Table3[[#This Row],[Cuenta]],Table8[Nombre Cuenta ()],Table8[Nivel 2],"",0)</f>
        <v/>
      </c>
      <c r="T31" t="str">
        <f>_xlfn.XLOOKUP(Table3[[#This Row],[Cuenta]],Table8[Nombre Cuenta ()],Table8[Nivel 3],"",0)</f>
        <v/>
      </c>
      <c r="U31">
        <v>29</v>
      </c>
      <c r="V31" t="str">
        <f>_xlfn.XLOOKUP(Table3[[#This Row],[Cuenta]],Estructura_Balance[Nombre Cuenta ()],Estructura_Balance[Niveles:2],"",0)</f>
        <v/>
      </c>
      <c r="W31" t="str">
        <f>_xlfn.XLOOKUP(Table3[[#This Row],[Cuenta]],Estructura_Balance[Nombre Cuenta ()],Estructura_Balance[Niveles:3],"",0)</f>
        <v/>
      </c>
      <c r="X31" t="str">
        <f>_xlfn.XLOOKUP(Table3[[#This Row],[Cuenta]],Estructura_Balance[Nombre Cuenta ()],Estructura_Balance[Grupos],"Grupo 1",0)</f>
        <v>Grupo 1</v>
      </c>
      <c r="Y31" t="str">
        <f>+Table3[[#This Row],[BS_Nivel_1]]</f>
        <v/>
      </c>
    </row>
    <row r="32" spans="1:25">
      <c r="A32">
        <f>+'Libro Diario'!F43</f>
        <v>0</v>
      </c>
      <c r="B32" s="144">
        <f>VALUE(IF(+'Libro Diario'!G43="","01/01/2025",+'Libro Diario'!G43))</f>
        <v>45658</v>
      </c>
      <c r="C32">
        <f>IF(ISNUMBER(+IF(IFERROR(VALUE(MID('Libro Diario'!C43,1,4)),0)&lt;&gt;0,'Libro Diario'!C43,0))=FALSE,'Libro Diario'!C43,0)</f>
        <v>0</v>
      </c>
      <c r="D32" s="145">
        <f>+'Libro Diario'!B43</f>
        <v>0</v>
      </c>
      <c r="E32" s="139" t="s">
        <v>445</v>
      </c>
      <c r="F32" t="str">
        <f t="shared" si="0"/>
        <v>Sin Mov.</v>
      </c>
      <c r="G32" t="str">
        <f>IF(+'Libro Diario'!H43=0,"",+'Libro Diario'!H43)</f>
        <v>Estructura Balance y PyG</v>
      </c>
      <c r="H32" t="str">
        <f>IF(+'Libro Diario'!I43=0,"",+'Libro Diario'!I43)</f>
        <v>Saldo Inicial</v>
      </c>
      <c r="I32" t="str">
        <f>+IF(Table3[[#This Row],[Tipo Movimiento]]="Estructura Balance y PyG","Excluir","Incluir")</f>
        <v>Excluir</v>
      </c>
      <c r="J32" s="153">
        <f>+IF(Table3[[#This Row],[Sin cuenta]]="Con Mov.",(IF(Table3[[#This Row],[Movimiento]]="Debe",Table3[[#This Row],[Importe]],IF(Table3[[#This Row],[Movimiento]]="Haber",Table3[[#This Row],[Importe]]*-1,0))),0)</f>
        <v>0</v>
      </c>
      <c r="K32" s="145">
        <f t="shared" si="1"/>
        <v>0</v>
      </c>
      <c r="L32" s="145" t="str">
        <f t="shared" si="2"/>
        <v/>
      </c>
      <c r="M32" t="str">
        <f>_xlfn.XLOOKUP(Table3[[#This Row],[Cuenta]],Estructura_Balance[Nombre Cuenta ()],Estructura_Balance[Grupo],"",0)</f>
        <v/>
      </c>
      <c r="N32" t="str">
        <f>_xlfn.XLOOKUP(Table3[[#This Row],[Cuenta]],Estructura_Balance[Nombre Cuenta ()],Estructura_Balance[Nivel 1],"",0)</f>
        <v/>
      </c>
      <c r="O32" t="str">
        <f>_xlfn.XLOOKUP(Table3[[#This Row],[Cuenta]],Estructura_Balance[Nombre Cuenta ()],Estructura_Balance[Nivel 2],"",0)</f>
        <v/>
      </c>
      <c r="P32" t="str">
        <f>_xlfn.XLOOKUP(Table3[[#This Row],[Cuenta]],Estructura_Balance[Nombre Cuenta ()],Estructura_Balance[Nivel 3],"",0)</f>
        <v/>
      </c>
      <c r="Q32" t="str">
        <f>_xlfn.XLOOKUP(Table3[[#This Row],[Cuenta]],Estructura_Balance[Nombre Cuenta ()],Estructura_Balance[Nivel 4],"",0)</f>
        <v/>
      </c>
      <c r="R32" t="str">
        <f>_xlfn.XLOOKUP(Table3[[#This Row],[Cuenta]],Table8[Nombre Cuenta ()],Table8[Nivel 1],"",0)</f>
        <v/>
      </c>
      <c r="S32" t="str">
        <f>_xlfn.XLOOKUP(Table3[[#This Row],[Cuenta]],Table8[Nombre Cuenta ()],Table8[Nivel 2],"",0)</f>
        <v/>
      </c>
      <c r="T32" t="str">
        <f>_xlfn.XLOOKUP(Table3[[#This Row],[Cuenta]],Table8[Nombre Cuenta ()],Table8[Nivel 3],"",0)</f>
        <v/>
      </c>
      <c r="U32">
        <v>30</v>
      </c>
      <c r="V32" t="str">
        <f>_xlfn.XLOOKUP(Table3[[#This Row],[Cuenta]],Estructura_Balance[Nombre Cuenta ()],Estructura_Balance[Niveles:2],"",0)</f>
        <v/>
      </c>
      <c r="W32" t="str">
        <f>_xlfn.XLOOKUP(Table3[[#This Row],[Cuenta]],Estructura_Balance[Nombre Cuenta ()],Estructura_Balance[Niveles:3],"",0)</f>
        <v/>
      </c>
      <c r="X32" t="str">
        <f>_xlfn.XLOOKUP(Table3[[#This Row],[Cuenta]],Estructura_Balance[Nombre Cuenta ()],Estructura_Balance[Grupos],"Grupo 1",0)</f>
        <v>Grupo 1</v>
      </c>
      <c r="Y32" t="str">
        <f>+Table3[[#This Row],[BS_Nivel_1]]</f>
        <v/>
      </c>
    </row>
    <row r="33" spans="1:25">
      <c r="A33">
        <f>+'Libro Diario'!F44</f>
        <v>0</v>
      </c>
      <c r="B33" s="144">
        <f>VALUE(IF(+'Libro Diario'!G44="","01/01/2025",+'Libro Diario'!G44))</f>
        <v>45658</v>
      </c>
      <c r="C33">
        <f>IF(ISNUMBER(+IF(IFERROR(VALUE(MID('Libro Diario'!C44,1,4)),0)&lt;&gt;0,'Libro Diario'!C44,0))=FALSE,'Libro Diario'!C44,0)</f>
        <v>0</v>
      </c>
      <c r="D33" s="145">
        <f>+'Libro Diario'!B44</f>
        <v>0</v>
      </c>
      <c r="E33" s="139" t="s">
        <v>445</v>
      </c>
      <c r="F33" t="str">
        <f t="shared" si="0"/>
        <v>Sin Mov.</v>
      </c>
      <c r="G33" t="str">
        <f>IF(+'Libro Diario'!H44=0,"",+'Libro Diario'!H44)</f>
        <v>Estructura Balance y PyG</v>
      </c>
      <c r="H33" t="str">
        <f>IF(+'Libro Diario'!I44=0,"",+'Libro Diario'!I44)</f>
        <v>Saldo Inicial</v>
      </c>
      <c r="I33" t="str">
        <f>+IF(Table3[[#This Row],[Tipo Movimiento]]="Estructura Balance y PyG","Excluir","Incluir")</f>
        <v>Excluir</v>
      </c>
      <c r="J33" s="153">
        <f>+IF(Table3[[#This Row],[Sin cuenta]]="Con Mov.",(IF(Table3[[#This Row],[Movimiento]]="Debe",Table3[[#This Row],[Importe]],IF(Table3[[#This Row],[Movimiento]]="Haber",Table3[[#This Row],[Importe]]*-1,0))),0)</f>
        <v>0</v>
      </c>
      <c r="K33" s="145">
        <f t="shared" si="1"/>
        <v>0</v>
      </c>
      <c r="L33" s="145" t="str">
        <f t="shared" si="2"/>
        <v/>
      </c>
      <c r="M33" t="str">
        <f>_xlfn.XLOOKUP(Table3[[#This Row],[Cuenta]],Estructura_Balance[Nombre Cuenta ()],Estructura_Balance[Grupo],"",0)</f>
        <v/>
      </c>
      <c r="N33" t="str">
        <f>_xlfn.XLOOKUP(Table3[[#This Row],[Cuenta]],Estructura_Balance[Nombre Cuenta ()],Estructura_Balance[Nivel 1],"",0)</f>
        <v/>
      </c>
      <c r="O33" t="str">
        <f>_xlfn.XLOOKUP(Table3[[#This Row],[Cuenta]],Estructura_Balance[Nombre Cuenta ()],Estructura_Balance[Nivel 2],"",0)</f>
        <v/>
      </c>
      <c r="P33" t="str">
        <f>_xlfn.XLOOKUP(Table3[[#This Row],[Cuenta]],Estructura_Balance[Nombre Cuenta ()],Estructura_Balance[Nivel 3],"",0)</f>
        <v/>
      </c>
      <c r="Q33" t="str">
        <f>_xlfn.XLOOKUP(Table3[[#This Row],[Cuenta]],Estructura_Balance[Nombre Cuenta ()],Estructura_Balance[Nivel 4],"",0)</f>
        <v/>
      </c>
      <c r="R33" t="str">
        <f>_xlfn.XLOOKUP(Table3[[#This Row],[Cuenta]],Table8[Nombre Cuenta ()],Table8[Nivel 1],"",0)</f>
        <v/>
      </c>
      <c r="S33" t="str">
        <f>_xlfn.XLOOKUP(Table3[[#This Row],[Cuenta]],Table8[Nombre Cuenta ()],Table8[Nivel 2],"",0)</f>
        <v/>
      </c>
      <c r="T33" t="str">
        <f>_xlfn.XLOOKUP(Table3[[#This Row],[Cuenta]],Table8[Nombre Cuenta ()],Table8[Nivel 3],"",0)</f>
        <v/>
      </c>
      <c r="U33">
        <v>31</v>
      </c>
      <c r="V33" t="str">
        <f>_xlfn.XLOOKUP(Table3[[#This Row],[Cuenta]],Estructura_Balance[Nombre Cuenta ()],Estructura_Balance[Niveles:2],"",0)</f>
        <v/>
      </c>
      <c r="W33" t="str">
        <f>_xlfn.XLOOKUP(Table3[[#This Row],[Cuenta]],Estructura_Balance[Nombre Cuenta ()],Estructura_Balance[Niveles:3],"",0)</f>
        <v/>
      </c>
      <c r="X33" t="str">
        <f>_xlfn.XLOOKUP(Table3[[#This Row],[Cuenta]],Estructura_Balance[Nombre Cuenta ()],Estructura_Balance[Grupos],"Grupo 1",0)</f>
        <v>Grupo 1</v>
      </c>
      <c r="Y33" t="str">
        <f>+Table3[[#This Row],[BS_Nivel_1]]</f>
        <v/>
      </c>
    </row>
    <row r="34" spans="1:25">
      <c r="A34">
        <f>+'Libro Diario'!F45</f>
        <v>0</v>
      </c>
      <c r="B34" s="144">
        <f>VALUE(IF(+'Libro Diario'!G45="","01/01/2025",+'Libro Diario'!G45))</f>
        <v>45658</v>
      </c>
      <c r="C34">
        <f>IF(ISNUMBER(+IF(IFERROR(VALUE(MID('Libro Diario'!C45,1,4)),0)&lt;&gt;0,'Libro Diario'!C45,0))=FALSE,'Libro Diario'!C45,0)</f>
        <v>0</v>
      </c>
      <c r="D34" s="145">
        <f>+'Libro Diario'!B45</f>
        <v>0</v>
      </c>
      <c r="E34" s="139" t="s">
        <v>445</v>
      </c>
      <c r="F34" t="str">
        <f t="shared" si="0"/>
        <v>Sin Mov.</v>
      </c>
      <c r="G34" t="str">
        <f>IF(+'Libro Diario'!H45=0,"",+'Libro Diario'!H45)</f>
        <v>Estructura Balance y PyG</v>
      </c>
      <c r="H34" t="str">
        <f>IF(+'Libro Diario'!I45=0,"",+'Libro Diario'!I45)</f>
        <v>Saldo Inicial</v>
      </c>
      <c r="I34" t="str">
        <f>+IF(Table3[[#This Row],[Tipo Movimiento]]="Estructura Balance y PyG","Excluir","Incluir")</f>
        <v>Excluir</v>
      </c>
      <c r="J34" s="153">
        <f>+IF(Table3[[#This Row],[Sin cuenta]]="Con Mov.",(IF(Table3[[#This Row],[Movimiento]]="Debe",Table3[[#This Row],[Importe]],IF(Table3[[#This Row],[Movimiento]]="Haber",Table3[[#This Row],[Importe]]*-1,0))),0)</f>
        <v>0</v>
      </c>
      <c r="K34" s="145">
        <f t="shared" si="1"/>
        <v>0</v>
      </c>
      <c r="L34" s="145" t="str">
        <f t="shared" si="2"/>
        <v/>
      </c>
      <c r="M34" t="str">
        <f>_xlfn.XLOOKUP(Table3[[#This Row],[Cuenta]],Estructura_Balance[Nombre Cuenta ()],Estructura_Balance[Grupo],"",0)</f>
        <v/>
      </c>
      <c r="N34" t="str">
        <f>_xlfn.XLOOKUP(Table3[[#This Row],[Cuenta]],Estructura_Balance[Nombre Cuenta ()],Estructura_Balance[Nivel 1],"",0)</f>
        <v/>
      </c>
      <c r="O34" t="str">
        <f>_xlfn.XLOOKUP(Table3[[#This Row],[Cuenta]],Estructura_Balance[Nombre Cuenta ()],Estructura_Balance[Nivel 2],"",0)</f>
        <v/>
      </c>
      <c r="P34" t="str">
        <f>_xlfn.XLOOKUP(Table3[[#This Row],[Cuenta]],Estructura_Balance[Nombre Cuenta ()],Estructura_Balance[Nivel 3],"",0)</f>
        <v/>
      </c>
      <c r="Q34" t="str">
        <f>_xlfn.XLOOKUP(Table3[[#This Row],[Cuenta]],Estructura_Balance[Nombre Cuenta ()],Estructura_Balance[Nivel 4],"",0)</f>
        <v/>
      </c>
      <c r="R34" t="str">
        <f>_xlfn.XLOOKUP(Table3[[#This Row],[Cuenta]],Table8[Nombre Cuenta ()],Table8[Nivel 1],"",0)</f>
        <v/>
      </c>
      <c r="S34" t="str">
        <f>_xlfn.XLOOKUP(Table3[[#This Row],[Cuenta]],Table8[Nombre Cuenta ()],Table8[Nivel 2],"",0)</f>
        <v/>
      </c>
      <c r="T34" t="str">
        <f>_xlfn.XLOOKUP(Table3[[#This Row],[Cuenta]],Table8[Nombre Cuenta ()],Table8[Nivel 3],"",0)</f>
        <v/>
      </c>
      <c r="U34">
        <v>32</v>
      </c>
      <c r="V34" t="str">
        <f>_xlfn.XLOOKUP(Table3[[#This Row],[Cuenta]],Estructura_Balance[Nombre Cuenta ()],Estructura_Balance[Niveles:2],"",0)</f>
        <v/>
      </c>
      <c r="W34" t="str">
        <f>_xlfn.XLOOKUP(Table3[[#This Row],[Cuenta]],Estructura_Balance[Nombre Cuenta ()],Estructura_Balance[Niveles:3],"",0)</f>
        <v/>
      </c>
      <c r="X34" t="str">
        <f>_xlfn.XLOOKUP(Table3[[#This Row],[Cuenta]],Estructura_Balance[Nombre Cuenta ()],Estructura_Balance[Grupos],"Grupo 1",0)</f>
        <v>Grupo 1</v>
      </c>
      <c r="Y34" t="str">
        <f>+Table3[[#This Row],[BS_Nivel_1]]</f>
        <v/>
      </c>
    </row>
    <row r="35" spans="1:25">
      <c r="A35">
        <f>+'Libro Diario'!F46</f>
        <v>0</v>
      </c>
      <c r="B35" s="144">
        <f>VALUE(IF(+'Libro Diario'!G46="","01/01/2025",+'Libro Diario'!G46))</f>
        <v>45658</v>
      </c>
      <c r="C35">
        <f>IF(ISNUMBER(+IF(IFERROR(VALUE(MID('Libro Diario'!C46,1,4)),0)&lt;&gt;0,'Libro Diario'!C46,0))=FALSE,'Libro Diario'!C46,0)</f>
        <v>0</v>
      </c>
      <c r="D35" s="145">
        <f>+'Libro Diario'!B46</f>
        <v>0</v>
      </c>
      <c r="E35" s="139" t="s">
        <v>445</v>
      </c>
      <c r="F35" t="str">
        <f t="shared" si="0"/>
        <v>Sin Mov.</v>
      </c>
      <c r="G35" t="str">
        <f>IF(+'Libro Diario'!H46=0,"",+'Libro Diario'!H46)</f>
        <v>Estructura Balance y PyG</v>
      </c>
      <c r="H35" t="str">
        <f>IF(+'Libro Diario'!I46=0,"",+'Libro Diario'!I46)</f>
        <v>Saldo Inicial</v>
      </c>
      <c r="I35" t="str">
        <f>+IF(Table3[[#This Row],[Tipo Movimiento]]="Estructura Balance y PyG","Excluir","Incluir")</f>
        <v>Excluir</v>
      </c>
      <c r="J35" s="153">
        <f>+IF(Table3[[#This Row],[Sin cuenta]]="Con Mov.",(IF(Table3[[#This Row],[Movimiento]]="Debe",Table3[[#This Row],[Importe]],IF(Table3[[#This Row],[Movimiento]]="Haber",Table3[[#This Row],[Importe]]*-1,0))),0)</f>
        <v>0</v>
      </c>
      <c r="K35" s="145">
        <f t="shared" si="1"/>
        <v>0</v>
      </c>
      <c r="L35" s="145" t="str">
        <f t="shared" si="2"/>
        <v/>
      </c>
      <c r="M35" t="str">
        <f>_xlfn.XLOOKUP(Table3[[#This Row],[Cuenta]],Estructura_Balance[Nombre Cuenta ()],Estructura_Balance[Grupo],"",0)</f>
        <v/>
      </c>
      <c r="N35" t="str">
        <f>_xlfn.XLOOKUP(Table3[[#This Row],[Cuenta]],Estructura_Balance[Nombre Cuenta ()],Estructura_Balance[Nivel 1],"",0)</f>
        <v/>
      </c>
      <c r="O35" t="str">
        <f>_xlfn.XLOOKUP(Table3[[#This Row],[Cuenta]],Estructura_Balance[Nombre Cuenta ()],Estructura_Balance[Nivel 2],"",0)</f>
        <v/>
      </c>
      <c r="P35" t="str">
        <f>_xlfn.XLOOKUP(Table3[[#This Row],[Cuenta]],Estructura_Balance[Nombre Cuenta ()],Estructura_Balance[Nivel 3],"",0)</f>
        <v/>
      </c>
      <c r="Q35" t="str">
        <f>_xlfn.XLOOKUP(Table3[[#This Row],[Cuenta]],Estructura_Balance[Nombre Cuenta ()],Estructura_Balance[Nivel 4],"",0)</f>
        <v/>
      </c>
      <c r="R35" t="str">
        <f>_xlfn.XLOOKUP(Table3[[#This Row],[Cuenta]],Table8[Nombre Cuenta ()],Table8[Nivel 1],"",0)</f>
        <v/>
      </c>
      <c r="S35" t="str">
        <f>_xlfn.XLOOKUP(Table3[[#This Row],[Cuenta]],Table8[Nombre Cuenta ()],Table8[Nivel 2],"",0)</f>
        <v/>
      </c>
      <c r="T35" t="str">
        <f>_xlfn.XLOOKUP(Table3[[#This Row],[Cuenta]],Table8[Nombre Cuenta ()],Table8[Nivel 3],"",0)</f>
        <v/>
      </c>
      <c r="U35">
        <v>33</v>
      </c>
      <c r="V35" t="str">
        <f>_xlfn.XLOOKUP(Table3[[#This Row],[Cuenta]],Estructura_Balance[Nombre Cuenta ()],Estructura_Balance[Niveles:2],"",0)</f>
        <v/>
      </c>
      <c r="W35" t="str">
        <f>_xlfn.XLOOKUP(Table3[[#This Row],[Cuenta]],Estructura_Balance[Nombre Cuenta ()],Estructura_Balance[Niveles:3],"",0)</f>
        <v/>
      </c>
      <c r="X35" t="str">
        <f>_xlfn.XLOOKUP(Table3[[#This Row],[Cuenta]],Estructura_Balance[Nombre Cuenta ()],Estructura_Balance[Grupos],"Grupo 1",0)</f>
        <v>Grupo 1</v>
      </c>
      <c r="Y35" t="str">
        <f>+Table3[[#This Row],[BS_Nivel_1]]</f>
        <v/>
      </c>
    </row>
    <row r="36" spans="1:25">
      <c r="A36">
        <f>+'Libro Diario'!F47</f>
        <v>0</v>
      </c>
      <c r="B36" s="144">
        <f>VALUE(IF(+'Libro Diario'!G47="","01/01/2025",+'Libro Diario'!G47))</f>
        <v>45658</v>
      </c>
      <c r="C36">
        <f>IF(ISNUMBER(+IF(IFERROR(VALUE(MID('Libro Diario'!C47,1,4)),0)&lt;&gt;0,'Libro Diario'!C47,0))=FALSE,'Libro Diario'!C47,0)</f>
        <v>0</v>
      </c>
      <c r="D36" s="145">
        <f>+'Libro Diario'!B47</f>
        <v>0</v>
      </c>
      <c r="E36" s="139" t="s">
        <v>445</v>
      </c>
      <c r="F36" t="str">
        <f t="shared" si="0"/>
        <v>Sin Mov.</v>
      </c>
      <c r="G36" t="str">
        <f>IF(+'Libro Diario'!H47=0,"",+'Libro Diario'!H47)</f>
        <v>Estructura Balance y PyG</v>
      </c>
      <c r="H36" t="str">
        <f>IF(+'Libro Diario'!I47=0,"",+'Libro Diario'!I47)</f>
        <v>Saldo Inicial</v>
      </c>
      <c r="I36" t="str">
        <f>+IF(Table3[[#This Row],[Tipo Movimiento]]="Estructura Balance y PyG","Excluir","Incluir")</f>
        <v>Excluir</v>
      </c>
      <c r="J36" s="153">
        <f>+IF(Table3[[#This Row],[Sin cuenta]]="Con Mov.",(IF(Table3[[#This Row],[Movimiento]]="Debe",Table3[[#This Row],[Importe]],IF(Table3[[#This Row],[Movimiento]]="Haber",Table3[[#This Row],[Importe]]*-1,0))),0)</f>
        <v>0</v>
      </c>
      <c r="K36" s="145">
        <f t="shared" si="1"/>
        <v>0</v>
      </c>
      <c r="L36" s="145" t="str">
        <f t="shared" si="2"/>
        <v/>
      </c>
      <c r="M36" t="str">
        <f>_xlfn.XLOOKUP(Table3[[#This Row],[Cuenta]],Estructura_Balance[Nombre Cuenta ()],Estructura_Balance[Grupo],"",0)</f>
        <v/>
      </c>
      <c r="N36" t="str">
        <f>_xlfn.XLOOKUP(Table3[[#This Row],[Cuenta]],Estructura_Balance[Nombre Cuenta ()],Estructura_Balance[Nivel 1],"",0)</f>
        <v/>
      </c>
      <c r="O36" t="str">
        <f>_xlfn.XLOOKUP(Table3[[#This Row],[Cuenta]],Estructura_Balance[Nombre Cuenta ()],Estructura_Balance[Nivel 2],"",0)</f>
        <v/>
      </c>
      <c r="P36" t="str">
        <f>_xlfn.XLOOKUP(Table3[[#This Row],[Cuenta]],Estructura_Balance[Nombre Cuenta ()],Estructura_Balance[Nivel 3],"",0)</f>
        <v/>
      </c>
      <c r="Q36" t="str">
        <f>_xlfn.XLOOKUP(Table3[[#This Row],[Cuenta]],Estructura_Balance[Nombre Cuenta ()],Estructura_Balance[Nivel 4],"",0)</f>
        <v/>
      </c>
      <c r="R36" t="str">
        <f>_xlfn.XLOOKUP(Table3[[#This Row],[Cuenta]],Table8[Nombre Cuenta ()],Table8[Nivel 1],"",0)</f>
        <v/>
      </c>
      <c r="S36" t="str">
        <f>_xlfn.XLOOKUP(Table3[[#This Row],[Cuenta]],Table8[Nombre Cuenta ()],Table8[Nivel 2],"",0)</f>
        <v/>
      </c>
      <c r="T36" t="str">
        <f>_xlfn.XLOOKUP(Table3[[#This Row],[Cuenta]],Table8[Nombre Cuenta ()],Table8[Nivel 3],"",0)</f>
        <v/>
      </c>
      <c r="U36">
        <v>34</v>
      </c>
      <c r="V36" t="str">
        <f>_xlfn.XLOOKUP(Table3[[#This Row],[Cuenta]],Estructura_Balance[Nombre Cuenta ()],Estructura_Balance[Niveles:2],"",0)</f>
        <v/>
      </c>
      <c r="W36" t="str">
        <f>_xlfn.XLOOKUP(Table3[[#This Row],[Cuenta]],Estructura_Balance[Nombre Cuenta ()],Estructura_Balance[Niveles:3],"",0)</f>
        <v/>
      </c>
      <c r="X36" t="str">
        <f>_xlfn.XLOOKUP(Table3[[#This Row],[Cuenta]],Estructura_Balance[Nombre Cuenta ()],Estructura_Balance[Grupos],"Grupo 1",0)</f>
        <v>Grupo 1</v>
      </c>
      <c r="Y36" t="str">
        <f>+Table3[[#This Row],[BS_Nivel_1]]</f>
        <v/>
      </c>
    </row>
    <row r="37" spans="1:25">
      <c r="A37">
        <f>+'Libro Diario'!F48</f>
        <v>0</v>
      </c>
      <c r="B37" s="144">
        <f>VALUE(IF(+'Libro Diario'!G48="","01/01/2025",+'Libro Diario'!G48))</f>
        <v>45658</v>
      </c>
      <c r="C37">
        <f>IF(ISNUMBER(+IF(IFERROR(VALUE(MID('Libro Diario'!C48,1,4)),0)&lt;&gt;0,'Libro Diario'!C48,0))=FALSE,'Libro Diario'!C48,0)</f>
        <v>0</v>
      </c>
      <c r="D37" s="145">
        <f>+'Libro Diario'!B48</f>
        <v>0</v>
      </c>
      <c r="E37" s="139" t="s">
        <v>445</v>
      </c>
      <c r="F37" t="str">
        <f t="shared" si="0"/>
        <v>Sin Mov.</v>
      </c>
      <c r="G37" t="str">
        <f>IF(+'Libro Diario'!H48=0,"",+'Libro Diario'!H48)</f>
        <v>Estructura Balance y PyG</v>
      </c>
      <c r="H37" t="str">
        <f>IF(+'Libro Diario'!I48=0,"",+'Libro Diario'!I48)</f>
        <v>Saldo Inicial</v>
      </c>
      <c r="I37" t="str">
        <f>+IF(Table3[[#This Row],[Tipo Movimiento]]="Estructura Balance y PyG","Excluir","Incluir")</f>
        <v>Excluir</v>
      </c>
      <c r="J37" s="153">
        <f>+IF(Table3[[#This Row],[Sin cuenta]]="Con Mov.",(IF(Table3[[#This Row],[Movimiento]]="Debe",Table3[[#This Row],[Importe]],IF(Table3[[#This Row],[Movimiento]]="Haber",Table3[[#This Row],[Importe]]*-1,0))),0)</f>
        <v>0</v>
      </c>
      <c r="K37" s="145">
        <f t="shared" si="1"/>
        <v>0</v>
      </c>
      <c r="L37" s="145" t="str">
        <f t="shared" si="2"/>
        <v/>
      </c>
      <c r="M37" t="str">
        <f>_xlfn.XLOOKUP(Table3[[#This Row],[Cuenta]],Estructura_Balance[Nombre Cuenta ()],Estructura_Balance[Grupo],"",0)</f>
        <v/>
      </c>
      <c r="N37" t="str">
        <f>_xlfn.XLOOKUP(Table3[[#This Row],[Cuenta]],Estructura_Balance[Nombre Cuenta ()],Estructura_Balance[Nivel 1],"",0)</f>
        <v/>
      </c>
      <c r="O37" t="str">
        <f>_xlfn.XLOOKUP(Table3[[#This Row],[Cuenta]],Estructura_Balance[Nombre Cuenta ()],Estructura_Balance[Nivel 2],"",0)</f>
        <v/>
      </c>
      <c r="P37" t="str">
        <f>_xlfn.XLOOKUP(Table3[[#This Row],[Cuenta]],Estructura_Balance[Nombre Cuenta ()],Estructura_Balance[Nivel 3],"",0)</f>
        <v/>
      </c>
      <c r="Q37" t="str">
        <f>_xlfn.XLOOKUP(Table3[[#This Row],[Cuenta]],Estructura_Balance[Nombre Cuenta ()],Estructura_Balance[Nivel 4],"",0)</f>
        <v/>
      </c>
      <c r="R37" t="str">
        <f>_xlfn.XLOOKUP(Table3[[#This Row],[Cuenta]],Table8[Nombre Cuenta ()],Table8[Nivel 1],"",0)</f>
        <v/>
      </c>
      <c r="S37" t="str">
        <f>_xlfn.XLOOKUP(Table3[[#This Row],[Cuenta]],Table8[Nombre Cuenta ()],Table8[Nivel 2],"",0)</f>
        <v/>
      </c>
      <c r="T37" t="str">
        <f>_xlfn.XLOOKUP(Table3[[#This Row],[Cuenta]],Table8[Nombre Cuenta ()],Table8[Nivel 3],"",0)</f>
        <v/>
      </c>
      <c r="U37">
        <v>35</v>
      </c>
      <c r="V37" t="str">
        <f>_xlfn.XLOOKUP(Table3[[#This Row],[Cuenta]],Estructura_Balance[Nombre Cuenta ()],Estructura_Balance[Niveles:2],"",0)</f>
        <v/>
      </c>
      <c r="W37" t="str">
        <f>_xlfn.XLOOKUP(Table3[[#This Row],[Cuenta]],Estructura_Balance[Nombre Cuenta ()],Estructura_Balance[Niveles:3],"",0)</f>
        <v/>
      </c>
      <c r="X37" t="str">
        <f>_xlfn.XLOOKUP(Table3[[#This Row],[Cuenta]],Estructura_Balance[Nombre Cuenta ()],Estructura_Balance[Grupos],"Grupo 1",0)</f>
        <v>Grupo 1</v>
      </c>
      <c r="Y37" t="str">
        <f>+Table3[[#This Row],[BS_Nivel_1]]</f>
        <v/>
      </c>
    </row>
    <row r="38" spans="1:25">
      <c r="A38">
        <f>+'Libro Diario'!F49</f>
        <v>0</v>
      </c>
      <c r="B38" s="144">
        <f>VALUE(IF(+'Libro Diario'!G49="","01/01/2025",+'Libro Diario'!G49))</f>
        <v>45658</v>
      </c>
      <c r="C38">
        <f>IF(ISNUMBER(+IF(IFERROR(VALUE(MID('Libro Diario'!C49,1,4)),0)&lt;&gt;0,'Libro Diario'!C49,0))=FALSE,'Libro Diario'!C49,0)</f>
        <v>0</v>
      </c>
      <c r="D38" s="145">
        <f>+'Libro Diario'!B49</f>
        <v>0</v>
      </c>
      <c r="E38" s="139" t="s">
        <v>445</v>
      </c>
      <c r="F38" t="str">
        <f t="shared" si="0"/>
        <v>Sin Mov.</v>
      </c>
      <c r="G38" t="str">
        <f>IF(+'Libro Diario'!H49=0,"",+'Libro Diario'!H49)</f>
        <v>Estructura Balance y PyG</v>
      </c>
      <c r="H38" t="str">
        <f>IF(+'Libro Diario'!I49=0,"",+'Libro Diario'!I49)</f>
        <v>Saldo Inicial</v>
      </c>
      <c r="I38" t="str">
        <f>+IF(Table3[[#This Row],[Tipo Movimiento]]="Estructura Balance y PyG","Excluir","Incluir")</f>
        <v>Excluir</v>
      </c>
      <c r="J38" s="153">
        <f>+IF(Table3[[#This Row],[Sin cuenta]]="Con Mov.",(IF(Table3[[#This Row],[Movimiento]]="Debe",Table3[[#This Row],[Importe]],IF(Table3[[#This Row],[Movimiento]]="Haber",Table3[[#This Row],[Importe]]*-1,0))),0)</f>
        <v>0</v>
      </c>
      <c r="K38" s="145">
        <f t="shared" si="1"/>
        <v>0</v>
      </c>
      <c r="L38" s="145" t="str">
        <f t="shared" si="2"/>
        <v/>
      </c>
      <c r="M38" t="str">
        <f>_xlfn.XLOOKUP(Table3[[#This Row],[Cuenta]],Estructura_Balance[Nombre Cuenta ()],Estructura_Balance[Grupo],"",0)</f>
        <v/>
      </c>
      <c r="N38" t="str">
        <f>_xlfn.XLOOKUP(Table3[[#This Row],[Cuenta]],Estructura_Balance[Nombre Cuenta ()],Estructura_Balance[Nivel 1],"",0)</f>
        <v/>
      </c>
      <c r="O38" t="str">
        <f>_xlfn.XLOOKUP(Table3[[#This Row],[Cuenta]],Estructura_Balance[Nombre Cuenta ()],Estructura_Balance[Nivel 2],"",0)</f>
        <v/>
      </c>
      <c r="P38" t="str">
        <f>_xlfn.XLOOKUP(Table3[[#This Row],[Cuenta]],Estructura_Balance[Nombre Cuenta ()],Estructura_Balance[Nivel 3],"",0)</f>
        <v/>
      </c>
      <c r="Q38" t="str">
        <f>_xlfn.XLOOKUP(Table3[[#This Row],[Cuenta]],Estructura_Balance[Nombre Cuenta ()],Estructura_Balance[Nivel 4],"",0)</f>
        <v/>
      </c>
      <c r="R38" t="str">
        <f>_xlfn.XLOOKUP(Table3[[#This Row],[Cuenta]],Table8[Nombre Cuenta ()],Table8[Nivel 1],"",0)</f>
        <v/>
      </c>
      <c r="S38" t="str">
        <f>_xlfn.XLOOKUP(Table3[[#This Row],[Cuenta]],Table8[Nombre Cuenta ()],Table8[Nivel 2],"",0)</f>
        <v/>
      </c>
      <c r="T38" t="str">
        <f>_xlfn.XLOOKUP(Table3[[#This Row],[Cuenta]],Table8[Nombre Cuenta ()],Table8[Nivel 3],"",0)</f>
        <v/>
      </c>
      <c r="U38">
        <v>36</v>
      </c>
      <c r="V38" t="str">
        <f>_xlfn.XLOOKUP(Table3[[#This Row],[Cuenta]],Estructura_Balance[Nombre Cuenta ()],Estructura_Balance[Niveles:2],"",0)</f>
        <v/>
      </c>
      <c r="W38" t="str">
        <f>_xlfn.XLOOKUP(Table3[[#This Row],[Cuenta]],Estructura_Balance[Nombre Cuenta ()],Estructura_Balance[Niveles:3],"",0)</f>
        <v/>
      </c>
      <c r="X38" t="str">
        <f>_xlfn.XLOOKUP(Table3[[#This Row],[Cuenta]],Estructura_Balance[Nombre Cuenta ()],Estructura_Balance[Grupos],"Grupo 1",0)</f>
        <v>Grupo 1</v>
      </c>
      <c r="Y38" t="str">
        <f>+Table3[[#This Row],[BS_Nivel_1]]</f>
        <v/>
      </c>
    </row>
    <row r="39" spans="1:25">
      <c r="A39">
        <f>+'Libro Diario'!F50</f>
        <v>0</v>
      </c>
      <c r="B39" s="144">
        <f>VALUE(IF(+'Libro Diario'!G50="","01/01/2025",+'Libro Diario'!G50))</f>
        <v>45658</v>
      </c>
      <c r="C39">
        <f>IF(ISNUMBER(+IF(IFERROR(VALUE(MID('Libro Diario'!C50,1,4)),0)&lt;&gt;0,'Libro Diario'!C50,0))=FALSE,'Libro Diario'!C50,0)</f>
        <v>0</v>
      </c>
      <c r="D39" s="145">
        <f>+'Libro Diario'!B50</f>
        <v>0</v>
      </c>
      <c r="E39" s="139" t="s">
        <v>445</v>
      </c>
      <c r="F39" t="str">
        <f t="shared" si="0"/>
        <v>Sin Mov.</v>
      </c>
      <c r="G39" t="str">
        <f>IF(+'Libro Diario'!H50=0,"",+'Libro Diario'!H50)</f>
        <v>Estructura Balance y PyG</v>
      </c>
      <c r="H39" t="str">
        <f>IF(+'Libro Diario'!I50=0,"",+'Libro Diario'!I50)</f>
        <v>Saldo Inicial</v>
      </c>
      <c r="I39" t="str">
        <f>+IF(Table3[[#This Row],[Tipo Movimiento]]="Estructura Balance y PyG","Excluir","Incluir")</f>
        <v>Excluir</v>
      </c>
      <c r="J39" s="153">
        <f>+IF(Table3[[#This Row],[Sin cuenta]]="Con Mov.",(IF(Table3[[#This Row],[Movimiento]]="Debe",Table3[[#This Row],[Importe]],IF(Table3[[#This Row],[Movimiento]]="Haber",Table3[[#This Row],[Importe]]*-1,0))),0)</f>
        <v>0</v>
      </c>
      <c r="K39" s="145">
        <f t="shared" si="1"/>
        <v>0</v>
      </c>
      <c r="L39" s="145" t="str">
        <f t="shared" si="2"/>
        <v/>
      </c>
      <c r="M39" t="str">
        <f>_xlfn.XLOOKUP(Table3[[#This Row],[Cuenta]],Estructura_Balance[Nombre Cuenta ()],Estructura_Balance[Grupo],"",0)</f>
        <v/>
      </c>
      <c r="N39" t="str">
        <f>_xlfn.XLOOKUP(Table3[[#This Row],[Cuenta]],Estructura_Balance[Nombre Cuenta ()],Estructura_Balance[Nivel 1],"",0)</f>
        <v/>
      </c>
      <c r="O39" t="str">
        <f>_xlfn.XLOOKUP(Table3[[#This Row],[Cuenta]],Estructura_Balance[Nombre Cuenta ()],Estructura_Balance[Nivel 2],"",0)</f>
        <v/>
      </c>
      <c r="P39" t="str">
        <f>_xlfn.XLOOKUP(Table3[[#This Row],[Cuenta]],Estructura_Balance[Nombre Cuenta ()],Estructura_Balance[Nivel 3],"",0)</f>
        <v/>
      </c>
      <c r="Q39" t="str">
        <f>_xlfn.XLOOKUP(Table3[[#This Row],[Cuenta]],Estructura_Balance[Nombre Cuenta ()],Estructura_Balance[Nivel 4],"",0)</f>
        <v/>
      </c>
      <c r="R39" t="str">
        <f>_xlfn.XLOOKUP(Table3[[#This Row],[Cuenta]],Table8[Nombre Cuenta ()],Table8[Nivel 1],"",0)</f>
        <v/>
      </c>
      <c r="S39" t="str">
        <f>_xlfn.XLOOKUP(Table3[[#This Row],[Cuenta]],Table8[Nombre Cuenta ()],Table8[Nivel 2],"",0)</f>
        <v/>
      </c>
      <c r="T39" t="str">
        <f>_xlfn.XLOOKUP(Table3[[#This Row],[Cuenta]],Table8[Nombre Cuenta ()],Table8[Nivel 3],"",0)</f>
        <v/>
      </c>
      <c r="U39">
        <v>37</v>
      </c>
      <c r="V39" t="str">
        <f>_xlfn.XLOOKUP(Table3[[#This Row],[Cuenta]],Estructura_Balance[Nombre Cuenta ()],Estructura_Balance[Niveles:2],"",0)</f>
        <v/>
      </c>
      <c r="W39" t="str">
        <f>_xlfn.XLOOKUP(Table3[[#This Row],[Cuenta]],Estructura_Balance[Nombre Cuenta ()],Estructura_Balance[Niveles:3],"",0)</f>
        <v/>
      </c>
      <c r="X39" t="str">
        <f>_xlfn.XLOOKUP(Table3[[#This Row],[Cuenta]],Estructura_Balance[Nombre Cuenta ()],Estructura_Balance[Grupos],"Grupo 1",0)</f>
        <v>Grupo 1</v>
      </c>
      <c r="Y39" t="str">
        <f>+Table3[[#This Row],[BS_Nivel_1]]</f>
        <v/>
      </c>
    </row>
    <row r="40" spans="1:25">
      <c r="A40">
        <f>+'Libro Diario'!F51</f>
        <v>0</v>
      </c>
      <c r="B40" s="144">
        <f>VALUE(IF(+'Libro Diario'!G51="","01/01/2025",+'Libro Diario'!G51))</f>
        <v>45658</v>
      </c>
      <c r="C40">
        <f>IF(ISNUMBER(+IF(IFERROR(VALUE(MID('Libro Diario'!C51,1,4)),0)&lt;&gt;0,'Libro Diario'!C51,0))=FALSE,'Libro Diario'!C51,0)</f>
        <v>0</v>
      </c>
      <c r="D40" s="145">
        <f>+'Libro Diario'!B51</f>
        <v>0</v>
      </c>
      <c r="E40" s="139" t="s">
        <v>445</v>
      </c>
      <c r="F40" t="str">
        <f t="shared" si="0"/>
        <v>Sin Mov.</v>
      </c>
      <c r="G40" t="str">
        <f>IF(+'Libro Diario'!H51=0,"",+'Libro Diario'!H51)</f>
        <v>Estructura Balance y PyG</v>
      </c>
      <c r="H40" t="str">
        <f>IF(+'Libro Diario'!I51=0,"",+'Libro Diario'!I51)</f>
        <v>Saldo Inicial</v>
      </c>
      <c r="I40" t="str">
        <f>+IF(Table3[[#This Row],[Tipo Movimiento]]="Estructura Balance y PyG","Excluir","Incluir")</f>
        <v>Excluir</v>
      </c>
      <c r="J40" s="153">
        <f>+IF(Table3[[#This Row],[Sin cuenta]]="Con Mov.",(IF(Table3[[#This Row],[Movimiento]]="Debe",Table3[[#This Row],[Importe]],IF(Table3[[#This Row],[Movimiento]]="Haber",Table3[[#This Row],[Importe]]*-1,0))),0)</f>
        <v>0</v>
      </c>
      <c r="K40" s="145">
        <f t="shared" si="1"/>
        <v>0</v>
      </c>
      <c r="L40" s="145" t="str">
        <f t="shared" si="2"/>
        <v/>
      </c>
      <c r="M40" t="str">
        <f>_xlfn.XLOOKUP(Table3[[#This Row],[Cuenta]],Estructura_Balance[Nombre Cuenta ()],Estructura_Balance[Grupo],"",0)</f>
        <v/>
      </c>
      <c r="N40" t="str">
        <f>_xlfn.XLOOKUP(Table3[[#This Row],[Cuenta]],Estructura_Balance[Nombre Cuenta ()],Estructura_Balance[Nivel 1],"",0)</f>
        <v/>
      </c>
      <c r="O40" t="str">
        <f>_xlfn.XLOOKUP(Table3[[#This Row],[Cuenta]],Estructura_Balance[Nombre Cuenta ()],Estructura_Balance[Nivel 2],"",0)</f>
        <v/>
      </c>
      <c r="P40" t="str">
        <f>_xlfn.XLOOKUP(Table3[[#This Row],[Cuenta]],Estructura_Balance[Nombre Cuenta ()],Estructura_Balance[Nivel 3],"",0)</f>
        <v/>
      </c>
      <c r="Q40" t="str">
        <f>_xlfn.XLOOKUP(Table3[[#This Row],[Cuenta]],Estructura_Balance[Nombre Cuenta ()],Estructura_Balance[Nivel 4],"",0)</f>
        <v/>
      </c>
      <c r="R40" t="str">
        <f>_xlfn.XLOOKUP(Table3[[#This Row],[Cuenta]],Table8[Nombre Cuenta ()],Table8[Nivel 1],"",0)</f>
        <v/>
      </c>
      <c r="S40" t="str">
        <f>_xlfn.XLOOKUP(Table3[[#This Row],[Cuenta]],Table8[Nombre Cuenta ()],Table8[Nivel 2],"",0)</f>
        <v/>
      </c>
      <c r="T40" t="str">
        <f>_xlfn.XLOOKUP(Table3[[#This Row],[Cuenta]],Table8[Nombre Cuenta ()],Table8[Nivel 3],"",0)</f>
        <v/>
      </c>
      <c r="U40">
        <v>38</v>
      </c>
      <c r="V40" t="str">
        <f>_xlfn.XLOOKUP(Table3[[#This Row],[Cuenta]],Estructura_Balance[Nombre Cuenta ()],Estructura_Balance[Niveles:2],"",0)</f>
        <v/>
      </c>
      <c r="W40" t="str">
        <f>_xlfn.XLOOKUP(Table3[[#This Row],[Cuenta]],Estructura_Balance[Nombre Cuenta ()],Estructura_Balance[Niveles:3],"",0)</f>
        <v/>
      </c>
      <c r="X40" t="str">
        <f>_xlfn.XLOOKUP(Table3[[#This Row],[Cuenta]],Estructura_Balance[Nombre Cuenta ()],Estructura_Balance[Grupos],"Grupo 1",0)</f>
        <v>Grupo 1</v>
      </c>
      <c r="Y40" t="str">
        <f>+Table3[[#This Row],[BS_Nivel_1]]</f>
        <v/>
      </c>
    </row>
    <row r="41" spans="1:25">
      <c r="A41">
        <f>+'Libro Diario'!F52</f>
        <v>0</v>
      </c>
      <c r="B41" s="144">
        <f>VALUE(IF(+'Libro Diario'!G52="","01/01/2025",+'Libro Diario'!G52))</f>
        <v>45658</v>
      </c>
      <c r="C41">
        <f>IF(ISNUMBER(+IF(IFERROR(VALUE(MID('Libro Diario'!C52,1,4)),0)&lt;&gt;0,'Libro Diario'!C52,0))=FALSE,'Libro Diario'!C52,0)</f>
        <v>0</v>
      </c>
      <c r="D41" s="145">
        <f>+'Libro Diario'!B52</f>
        <v>0</v>
      </c>
      <c r="E41" s="139" t="s">
        <v>445</v>
      </c>
      <c r="F41" t="str">
        <f t="shared" si="0"/>
        <v>Sin Mov.</v>
      </c>
      <c r="G41" t="str">
        <f>IF(+'Libro Diario'!H52=0,"",+'Libro Diario'!H52)</f>
        <v>Estructura Balance y PyG</v>
      </c>
      <c r="H41" t="str">
        <f>IF(+'Libro Diario'!I52=0,"",+'Libro Diario'!I52)</f>
        <v>Saldo Inicial</v>
      </c>
      <c r="I41" t="str">
        <f>+IF(Table3[[#This Row],[Tipo Movimiento]]="Estructura Balance y PyG","Excluir","Incluir")</f>
        <v>Excluir</v>
      </c>
      <c r="J41" s="153">
        <f>+IF(Table3[[#This Row],[Sin cuenta]]="Con Mov.",(IF(Table3[[#This Row],[Movimiento]]="Debe",Table3[[#This Row],[Importe]],IF(Table3[[#This Row],[Movimiento]]="Haber",Table3[[#This Row],[Importe]]*-1,0))),0)</f>
        <v>0</v>
      </c>
      <c r="K41" s="145">
        <f t="shared" si="1"/>
        <v>0</v>
      </c>
      <c r="L41" s="145" t="str">
        <f t="shared" si="2"/>
        <v/>
      </c>
      <c r="M41" t="str">
        <f>_xlfn.XLOOKUP(Table3[[#This Row],[Cuenta]],Estructura_Balance[Nombre Cuenta ()],Estructura_Balance[Grupo],"",0)</f>
        <v/>
      </c>
      <c r="N41" t="str">
        <f>_xlfn.XLOOKUP(Table3[[#This Row],[Cuenta]],Estructura_Balance[Nombre Cuenta ()],Estructura_Balance[Nivel 1],"",0)</f>
        <v/>
      </c>
      <c r="O41" t="str">
        <f>_xlfn.XLOOKUP(Table3[[#This Row],[Cuenta]],Estructura_Balance[Nombre Cuenta ()],Estructura_Balance[Nivel 2],"",0)</f>
        <v/>
      </c>
      <c r="P41" t="str">
        <f>_xlfn.XLOOKUP(Table3[[#This Row],[Cuenta]],Estructura_Balance[Nombre Cuenta ()],Estructura_Balance[Nivel 3],"",0)</f>
        <v/>
      </c>
      <c r="Q41" t="str">
        <f>_xlfn.XLOOKUP(Table3[[#This Row],[Cuenta]],Estructura_Balance[Nombre Cuenta ()],Estructura_Balance[Nivel 4],"",0)</f>
        <v/>
      </c>
      <c r="R41" t="str">
        <f>_xlfn.XLOOKUP(Table3[[#This Row],[Cuenta]],Table8[Nombre Cuenta ()],Table8[Nivel 1],"",0)</f>
        <v/>
      </c>
      <c r="S41" t="str">
        <f>_xlfn.XLOOKUP(Table3[[#This Row],[Cuenta]],Table8[Nombre Cuenta ()],Table8[Nivel 2],"",0)</f>
        <v/>
      </c>
      <c r="T41" t="str">
        <f>_xlfn.XLOOKUP(Table3[[#This Row],[Cuenta]],Table8[Nombre Cuenta ()],Table8[Nivel 3],"",0)</f>
        <v/>
      </c>
      <c r="U41">
        <v>39</v>
      </c>
      <c r="V41" t="str">
        <f>_xlfn.XLOOKUP(Table3[[#This Row],[Cuenta]],Estructura_Balance[Nombre Cuenta ()],Estructura_Balance[Niveles:2],"",0)</f>
        <v/>
      </c>
      <c r="W41" t="str">
        <f>_xlfn.XLOOKUP(Table3[[#This Row],[Cuenta]],Estructura_Balance[Nombre Cuenta ()],Estructura_Balance[Niveles:3],"",0)</f>
        <v/>
      </c>
      <c r="X41" t="str">
        <f>_xlfn.XLOOKUP(Table3[[#This Row],[Cuenta]],Estructura_Balance[Nombre Cuenta ()],Estructura_Balance[Grupos],"Grupo 1",0)</f>
        <v>Grupo 1</v>
      </c>
      <c r="Y41" t="str">
        <f>+Table3[[#This Row],[BS_Nivel_1]]</f>
        <v/>
      </c>
    </row>
    <row r="42" spans="1:25">
      <c r="A42">
        <f>+'Libro Diario'!F53</f>
        <v>0</v>
      </c>
      <c r="B42" s="144">
        <f>VALUE(IF(+'Libro Diario'!G53="","01/01/2025",+'Libro Diario'!G53))</f>
        <v>45658</v>
      </c>
      <c r="C42">
        <f>IF(ISNUMBER(+IF(IFERROR(VALUE(MID('Libro Diario'!C53,1,4)),0)&lt;&gt;0,'Libro Diario'!C53,0))=FALSE,'Libro Diario'!C53,0)</f>
        <v>0</v>
      </c>
      <c r="D42" s="145" t="str">
        <f>+'Libro Diario'!B53</f>
        <v>Estructura Balance y PyG</v>
      </c>
      <c r="E42" s="139" t="s">
        <v>445</v>
      </c>
      <c r="F42" t="str">
        <f t="shared" si="0"/>
        <v>Sin Mov.</v>
      </c>
      <c r="G42" t="str">
        <f>IF(+'Libro Diario'!H53=0,"",+'Libro Diario'!H53)</f>
        <v/>
      </c>
      <c r="H42" t="str">
        <f>IF(+'Libro Diario'!I53=0,"",+'Libro Diario'!I53)</f>
        <v/>
      </c>
      <c r="I42" t="str">
        <f>+IF(Table3[[#This Row],[Tipo Movimiento]]="Estructura Balance y PyG","Excluir","Incluir")</f>
        <v>Incluir</v>
      </c>
      <c r="J42" s="153">
        <f>+IF(Table3[[#This Row],[Sin cuenta]]="Con Mov.",(IF(Table3[[#This Row],[Movimiento]]="Debe",Table3[[#This Row],[Importe]],IF(Table3[[#This Row],[Movimiento]]="Haber",Table3[[#This Row],[Importe]]*-1,0))),0)</f>
        <v>0</v>
      </c>
      <c r="K42" s="145" t="str">
        <f t="shared" si="1"/>
        <v>Estructura Balance y PyG</v>
      </c>
      <c r="L42" s="145" t="str">
        <f t="shared" si="2"/>
        <v/>
      </c>
      <c r="M42" t="str">
        <f>_xlfn.XLOOKUP(Table3[[#This Row],[Cuenta]],Estructura_Balance[Nombre Cuenta ()],Estructura_Balance[Grupo],"",0)</f>
        <v/>
      </c>
      <c r="N42" t="str">
        <f>_xlfn.XLOOKUP(Table3[[#This Row],[Cuenta]],Estructura_Balance[Nombre Cuenta ()],Estructura_Balance[Nivel 1],"",0)</f>
        <v/>
      </c>
      <c r="O42" t="str">
        <f>_xlfn.XLOOKUP(Table3[[#This Row],[Cuenta]],Estructura_Balance[Nombre Cuenta ()],Estructura_Balance[Nivel 2],"",0)</f>
        <v/>
      </c>
      <c r="P42" t="str">
        <f>_xlfn.XLOOKUP(Table3[[#This Row],[Cuenta]],Estructura_Balance[Nombre Cuenta ()],Estructura_Balance[Nivel 3],"",0)</f>
        <v/>
      </c>
      <c r="Q42" t="str">
        <f>_xlfn.XLOOKUP(Table3[[#This Row],[Cuenta]],Estructura_Balance[Nombre Cuenta ()],Estructura_Balance[Nivel 4],"",0)</f>
        <v/>
      </c>
      <c r="R42" t="str">
        <f>_xlfn.XLOOKUP(Table3[[#This Row],[Cuenta]],Table8[Nombre Cuenta ()],Table8[Nivel 1],"",0)</f>
        <v/>
      </c>
      <c r="S42" t="str">
        <f>_xlfn.XLOOKUP(Table3[[#This Row],[Cuenta]],Table8[Nombre Cuenta ()],Table8[Nivel 2],"",0)</f>
        <v/>
      </c>
      <c r="T42" t="str">
        <f>_xlfn.XLOOKUP(Table3[[#This Row],[Cuenta]],Table8[Nombre Cuenta ()],Table8[Nivel 3],"",0)</f>
        <v/>
      </c>
      <c r="U42">
        <v>40</v>
      </c>
      <c r="V42" t="str">
        <f>_xlfn.XLOOKUP(Table3[[#This Row],[Cuenta]],Estructura_Balance[Nombre Cuenta ()],Estructura_Balance[Niveles:2],"",0)</f>
        <v/>
      </c>
      <c r="W42" t="str">
        <f>_xlfn.XLOOKUP(Table3[[#This Row],[Cuenta]],Estructura_Balance[Nombre Cuenta ()],Estructura_Balance[Niveles:3],"",0)</f>
        <v/>
      </c>
      <c r="X42" t="str">
        <f>_xlfn.XLOOKUP(Table3[[#This Row],[Cuenta]],Estructura_Balance[Nombre Cuenta ()],Estructura_Balance[Grupos],"Grupo 1",0)</f>
        <v>Grupo 1</v>
      </c>
      <c r="Y42" t="str">
        <f>+Table3[[#This Row],[BS_Nivel_1]]</f>
        <v/>
      </c>
    </row>
    <row r="43" spans="1:25">
      <c r="A43">
        <f>+'Libro Diario'!F54</f>
        <v>0</v>
      </c>
      <c r="B43" s="144">
        <f>VALUE(IF(+'Libro Diario'!G54="","01/01/2025",+'Libro Diario'!G54))</f>
        <v>45658</v>
      </c>
      <c r="C43">
        <f>IF(ISNUMBER(+IF(IFERROR(VALUE(MID('Libro Diario'!C54,1,4)),0)&lt;&gt;0,'Libro Diario'!C54,0))=FALSE,'Libro Diario'!C54,0)</f>
        <v>0</v>
      </c>
      <c r="D43" s="145" t="str">
        <f>+'Libro Diario'!B54</f>
        <v>Asiento Cuadrado</v>
      </c>
      <c r="E43" s="139" t="s">
        <v>445</v>
      </c>
      <c r="F43" t="str">
        <f t="shared" si="0"/>
        <v>Sin Mov.</v>
      </c>
      <c r="G43" t="str">
        <f>IF(+'Libro Diario'!H54=0,"",+'Libro Diario'!H54)</f>
        <v/>
      </c>
      <c r="H43" t="str">
        <f>IF(+'Libro Diario'!I54=0,"",+'Libro Diario'!I54)</f>
        <v/>
      </c>
      <c r="I43" t="str">
        <f>+IF(Table3[[#This Row],[Tipo Movimiento]]="Estructura Balance y PyG","Excluir","Incluir")</f>
        <v>Incluir</v>
      </c>
      <c r="J43" s="153">
        <f>+IF(Table3[[#This Row],[Sin cuenta]]="Con Mov.",(IF(Table3[[#This Row],[Movimiento]]="Debe",Table3[[#This Row],[Importe]],IF(Table3[[#This Row],[Movimiento]]="Haber",Table3[[#This Row],[Importe]]*-1,0))),0)</f>
        <v>0</v>
      </c>
      <c r="K43" s="145" t="str">
        <f t="shared" si="1"/>
        <v>Asiento Cuadrado</v>
      </c>
      <c r="L43" s="145" t="str">
        <f t="shared" si="2"/>
        <v/>
      </c>
      <c r="M43" t="str">
        <f>_xlfn.XLOOKUP(Table3[[#This Row],[Cuenta]],Estructura_Balance[Nombre Cuenta ()],Estructura_Balance[Grupo],"",0)</f>
        <v/>
      </c>
      <c r="N43" t="str">
        <f>_xlfn.XLOOKUP(Table3[[#This Row],[Cuenta]],Estructura_Balance[Nombre Cuenta ()],Estructura_Balance[Nivel 1],"",0)</f>
        <v/>
      </c>
      <c r="O43" t="str">
        <f>_xlfn.XLOOKUP(Table3[[#This Row],[Cuenta]],Estructura_Balance[Nombre Cuenta ()],Estructura_Balance[Nivel 2],"",0)</f>
        <v/>
      </c>
      <c r="P43" t="str">
        <f>_xlfn.XLOOKUP(Table3[[#This Row],[Cuenta]],Estructura_Balance[Nombre Cuenta ()],Estructura_Balance[Nivel 3],"",0)</f>
        <v/>
      </c>
      <c r="Q43" t="str">
        <f>_xlfn.XLOOKUP(Table3[[#This Row],[Cuenta]],Estructura_Balance[Nombre Cuenta ()],Estructura_Balance[Nivel 4],"",0)</f>
        <v/>
      </c>
      <c r="R43" t="str">
        <f>_xlfn.XLOOKUP(Table3[[#This Row],[Cuenta]],Table8[Nombre Cuenta ()],Table8[Nivel 1],"",0)</f>
        <v/>
      </c>
      <c r="S43" t="str">
        <f>_xlfn.XLOOKUP(Table3[[#This Row],[Cuenta]],Table8[Nombre Cuenta ()],Table8[Nivel 2],"",0)</f>
        <v/>
      </c>
      <c r="T43" t="str">
        <f>_xlfn.XLOOKUP(Table3[[#This Row],[Cuenta]],Table8[Nombre Cuenta ()],Table8[Nivel 3],"",0)</f>
        <v/>
      </c>
      <c r="U43">
        <v>41</v>
      </c>
      <c r="V43" t="str">
        <f>_xlfn.XLOOKUP(Table3[[#This Row],[Cuenta]],Estructura_Balance[Nombre Cuenta ()],Estructura_Balance[Niveles:2],"",0)</f>
        <v/>
      </c>
      <c r="W43" t="str">
        <f>_xlfn.XLOOKUP(Table3[[#This Row],[Cuenta]],Estructura_Balance[Nombre Cuenta ()],Estructura_Balance[Niveles:3],"",0)</f>
        <v/>
      </c>
      <c r="X43" t="str">
        <f>_xlfn.XLOOKUP(Table3[[#This Row],[Cuenta]],Estructura_Balance[Nombre Cuenta ()],Estructura_Balance[Grupos],"Grupo 1",0)</f>
        <v>Grupo 1</v>
      </c>
      <c r="Y43" t="str">
        <f>+Table3[[#This Row],[BS_Nivel_1]]</f>
        <v/>
      </c>
    </row>
    <row r="44" spans="1:25">
      <c r="A44">
        <f>+'Libro Diario'!F55</f>
        <v>0</v>
      </c>
      <c r="B44" s="144">
        <f>VALUE(IF(+'Libro Diario'!G55="","01/01/2025",+'Libro Diario'!G55))</f>
        <v>45658</v>
      </c>
      <c r="C44">
        <f>IF(ISNUMBER(+IF(IFERROR(VALUE(MID('Libro Diario'!C55,1,4)),0)&lt;&gt;0,'Libro Diario'!C55,0))=FALSE,'Libro Diario'!C55,0)</f>
        <v>0</v>
      </c>
      <c r="D44" s="145">
        <f>+'Libro Diario'!B55</f>
        <v>0</v>
      </c>
      <c r="E44" s="139" t="s">
        <v>445</v>
      </c>
      <c r="F44" t="str">
        <f t="shared" si="0"/>
        <v>Sin Mov.</v>
      </c>
      <c r="G44" t="str">
        <f>IF(+'Libro Diario'!H55=0,"",+'Libro Diario'!H55)</f>
        <v/>
      </c>
      <c r="H44" t="str">
        <f>IF(+'Libro Diario'!I55=0,"",+'Libro Diario'!I55)</f>
        <v/>
      </c>
      <c r="I44" t="str">
        <f>+IF(Table3[[#This Row],[Tipo Movimiento]]="Estructura Balance y PyG","Excluir","Incluir")</f>
        <v>Incluir</v>
      </c>
      <c r="J44" s="153">
        <f>+IF(Table3[[#This Row],[Sin cuenta]]="Con Mov.",(IF(Table3[[#This Row],[Movimiento]]="Debe",Table3[[#This Row],[Importe]],IF(Table3[[#This Row],[Movimiento]]="Haber",Table3[[#This Row],[Importe]]*-1,0))),0)</f>
        <v>0</v>
      </c>
      <c r="K44" s="145">
        <f t="shared" si="1"/>
        <v>0</v>
      </c>
      <c r="L44" s="145" t="str">
        <f t="shared" si="2"/>
        <v/>
      </c>
      <c r="M44" t="str">
        <f>_xlfn.XLOOKUP(Table3[[#This Row],[Cuenta]],Estructura_Balance[Nombre Cuenta ()],Estructura_Balance[Grupo],"",0)</f>
        <v/>
      </c>
      <c r="N44" t="str">
        <f>_xlfn.XLOOKUP(Table3[[#This Row],[Cuenta]],Estructura_Balance[Nombre Cuenta ()],Estructura_Balance[Nivel 1],"",0)</f>
        <v/>
      </c>
      <c r="O44" t="str">
        <f>_xlfn.XLOOKUP(Table3[[#This Row],[Cuenta]],Estructura_Balance[Nombre Cuenta ()],Estructura_Balance[Nivel 2],"",0)</f>
        <v/>
      </c>
      <c r="P44" t="str">
        <f>_xlfn.XLOOKUP(Table3[[#This Row],[Cuenta]],Estructura_Balance[Nombre Cuenta ()],Estructura_Balance[Nivel 3],"",0)</f>
        <v/>
      </c>
      <c r="Q44" t="str">
        <f>_xlfn.XLOOKUP(Table3[[#This Row],[Cuenta]],Estructura_Balance[Nombre Cuenta ()],Estructura_Balance[Nivel 4],"",0)</f>
        <v/>
      </c>
      <c r="R44" t="str">
        <f>_xlfn.XLOOKUP(Table3[[#This Row],[Cuenta]],Table8[Nombre Cuenta ()],Table8[Nivel 1],"",0)</f>
        <v/>
      </c>
      <c r="S44" t="str">
        <f>_xlfn.XLOOKUP(Table3[[#This Row],[Cuenta]],Table8[Nombre Cuenta ()],Table8[Nivel 2],"",0)</f>
        <v/>
      </c>
      <c r="T44" t="str">
        <f>_xlfn.XLOOKUP(Table3[[#This Row],[Cuenta]],Table8[Nombre Cuenta ()],Table8[Nivel 3],"",0)</f>
        <v/>
      </c>
      <c r="U44">
        <v>42</v>
      </c>
      <c r="V44" t="str">
        <f>_xlfn.XLOOKUP(Table3[[#This Row],[Cuenta]],Estructura_Balance[Nombre Cuenta ()],Estructura_Balance[Niveles:2],"",0)</f>
        <v/>
      </c>
      <c r="W44" t="str">
        <f>_xlfn.XLOOKUP(Table3[[#This Row],[Cuenta]],Estructura_Balance[Nombre Cuenta ()],Estructura_Balance[Niveles:3],"",0)</f>
        <v/>
      </c>
      <c r="X44" t="str">
        <f>_xlfn.XLOOKUP(Table3[[#This Row],[Cuenta]],Estructura_Balance[Nombre Cuenta ()],Estructura_Balance[Grupos],"Grupo 1",0)</f>
        <v>Grupo 1</v>
      </c>
      <c r="Y44" t="str">
        <f>+Table3[[#This Row],[BS_Nivel_1]]</f>
        <v/>
      </c>
    </row>
    <row r="45" spans="1:25">
      <c r="A45">
        <f>+'Libro Diario'!F56</f>
        <v>0</v>
      </c>
      <c r="B45" s="144">
        <f>VALUE(IF(+'Libro Diario'!G56="","01/01/2025",+'Libro Diario'!G56))</f>
        <v>45658</v>
      </c>
      <c r="C45">
        <f>IF(ISNUMBER(+IF(IFERROR(VALUE(MID('Libro Diario'!C56,1,4)),0)&lt;&gt;0,'Libro Diario'!C56,0))=FALSE,'Libro Diario'!C56,0)</f>
        <v>0</v>
      </c>
      <c r="D45" s="145">
        <f>+'Libro Diario'!B56</f>
        <v>0</v>
      </c>
      <c r="E45" s="139" t="s">
        <v>445</v>
      </c>
      <c r="F45" t="str">
        <f t="shared" si="0"/>
        <v>Sin Mov.</v>
      </c>
      <c r="G45" t="str">
        <f>IF(+'Libro Diario'!H56=0,"",+'Libro Diario'!H56)</f>
        <v/>
      </c>
      <c r="H45" t="str">
        <f>IF(+'Libro Diario'!I56=0,"",+'Libro Diario'!I56)</f>
        <v/>
      </c>
      <c r="I45" t="str">
        <f>+IF(Table3[[#This Row],[Tipo Movimiento]]="Estructura Balance y PyG","Excluir","Incluir")</f>
        <v>Incluir</v>
      </c>
      <c r="J45" s="153">
        <f>+IF(Table3[[#This Row],[Sin cuenta]]="Con Mov.",(IF(Table3[[#This Row],[Movimiento]]="Debe",Table3[[#This Row],[Importe]],IF(Table3[[#This Row],[Movimiento]]="Haber",Table3[[#This Row],[Importe]]*-1,0))),0)</f>
        <v>0</v>
      </c>
      <c r="K45" s="145">
        <f t="shared" si="1"/>
        <v>0</v>
      </c>
      <c r="L45" s="145" t="str">
        <f t="shared" si="2"/>
        <v/>
      </c>
      <c r="M45" t="str">
        <f>_xlfn.XLOOKUP(Table3[[#This Row],[Cuenta]],Estructura_Balance[Nombre Cuenta ()],Estructura_Balance[Grupo],"",0)</f>
        <v/>
      </c>
      <c r="N45" t="str">
        <f>_xlfn.XLOOKUP(Table3[[#This Row],[Cuenta]],Estructura_Balance[Nombre Cuenta ()],Estructura_Balance[Nivel 1],"",0)</f>
        <v/>
      </c>
      <c r="O45" t="str">
        <f>_xlfn.XLOOKUP(Table3[[#This Row],[Cuenta]],Estructura_Balance[Nombre Cuenta ()],Estructura_Balance[Nivel 2],"",0)</f>
        <v/>
      </c>
      <c r="P45" t="str">
        <f>_xlfn.XLOOKUP(Table3[[#This Row],[Cuenta]],Estructura_Balance[Nombre Cuenta ()],Estructura_Balance[Nivel 3],"",0)</f>
        <v/>
      </c>
      <c r="Q45" t="str">
        <f>_xlfn.XLOOKUP(Table3[[#This Row],[Cuenta]],Estructura_Balance[Nombre Cuenta ()],Estructura_Balance[Nivel 4],"",0)</f>
        <v/>
      </c>
      <c r="R45" t="str">
        <f>_xlfn.XLOOKUP(Table3[[#This Row],[Cuenta]],Table8[Nombre Cuenta ()],Table8[Nivel 1],"",0)</f>
        <v/>
      </c>
      <c r="S45" t="str">
        <f>_xlfn.XLOOKUP(Table3[[#This Row],[Cuenta]],Table8[Nombre Cuenta ()],Table8[Nivel 2],"",0)</f>
        <v/>
      </c>
      <c r="T45" t="str">
        <f>_xlfn.XLOOKUP(Table3[[#This Row],[Cuenta]],Table8[Nombre Cuenta ()],Table8[Nivel 3],"",0)</f>
        <v/>
      </c>
      <c r="U45">
        <v>43</v>
      </c>
      <c r="V45" t="str">
        <f>_xlfn.XLOOKUP(Table3[[#This Row],[Cuenta]],Estructura_Balance[Nombre Cuenta ()],Estructura_Balance[Niveles:2],"",0)</f>
        <v/>
      </c>
      <c r="W45" t="str">
        <f>_xlfn.XLOOKUP(Table3[[#This Row],[Cuenta]],Estructura_Balance[Nombre Cuenta ()],Estructura_Balance[Niveles:3],"",0)</f>
        <v/>
      </c>
      <c r="X45" t="str">
        <f>_xlfn.XLOOKUP(Table3[[#This Row],[Cuenta]],Estructura_Balance[Nombre Cuenta ()],Estructura_Balance[Grupos],"Grupo 1",0)</f>
        <v>Grupo 1</v>
      </c>
      <c r="Y45" t="str">
        <f>+Table3[[#This Row],[BS_Nivel_1]]</f>
        <v/>
      </c>
    </row>
    <row r="46" spans="1:25">
      <c r="A46">
        <f>+'Libro Diario'!F57</f>
        <v>0</v>
      </c>
      <c r="B46" s="144">
        <f>VALUE(IF(+'Libro Diario'!G57="","01/01/2025",+'Libro Diario'!G57))</f>
        <v>45658</v>
      </c>
      <c r="C46">
        <f>IF(ISNUMBER(+IF(IFERROR(VALUE(MID('Libro Diario'!C57,1,4)),0)&lt;&gt;0,'Libro Diario'!C57,0))=FALSE,'Libro Diario'!C57,0)</f>
        <v>0</v>
      </c>
      <c r="D46" s="145" t="str">
        <f>+'Libro Diario'!B57</f>
        <v>DEBE</v>
      </c>
      <c r="E46" s="139" t="s">
        <v>445</v>
      </c>
      <c r="F46" t="str">
        <f t="shared" si="0"/>
        <v>Sin Mov.</v>
      </c>
      <c r="G46" t="str">
        <f>IF(+'Libro Diario'!H57=0,"",+'Libro Diario'!H57)</f>
        <v/>
      </c>
      <c r="H46" t="str">
        <f>IF(+'Libro Diario'!I57=0,"",+'Libro Diario'!I57)</f>
        <v/>
      </c>
      <c r="I46" t="str">
        <f>+IF(Table3[[#This Row],[Tipo Movimiento]]="Estructura Balance y PyG","Excluir","Incluir")</f>
        <v>Incluir</v>
      </c>
      <c r="J46" s="153">
        <f>+IF(Table3[[#This Row],[Sin cuenta]]="Con Mov.",(IF(Table3[[#This Row],[Movimiento]]="Debe",Table3[[#This Row],[Importe]],IF(Table3[[#This Row],[Movimiento]]="Haber",Table3[[#This Row],[Importe]]*-1,0))),0)</f>
        <v>0</v>
      </c>
      <c r="K46" s="145" t="str">
        <f t="shared" si="1"/>
        <v>DEBE</v>
      </c>
      <c r="L46" s="145" t="str">
        <f t="shared" si="2"/>
        <v/>
      </c>
      <c r="M46" t="str">
        <f>_xlfn.XLOOKUP(Table3[[#This Row],[Cuenta]],Estructura_Balance[Nombre Cuenta ()],Estructura_Balance[Grupo],"",0)</f>
        <v/>
      </c>
      <c r="N46" t="str">
        <f>_xlfn.XLOOKUP(Table3[[#This Row],[Cuenta]],Estructura_Balance[Nombre Cuenta ()],Estructura_Balance[Nivel 1],"",0)</f>
        <v/>
      </c>
      <c r="O46" t="str">
        <f>_xlfn.XLOOKUP(Table3[[#This Row],[Cuenta]],Estructura_Balance[Nombre Cuenta ()],Estructura_Balance[Nivel 2],"",0)</f>
        <v/>
      </c>
      <c r="P46" t="str">
        <f>_xlfn.XLOOKUP(Table3[[#This Row],[Cuenta]],Estructura_Balance[Nombre Cuenta ()],Estructura_Balance[Nivel 3],"",0)</f>
        <v/>
      </c>
      <c r="Q46" t="str">
        <f>_xlfn.XLOOKUP(Table3[[#This Row],[Cuenta]],Estructura_Balance[Nombre Cuenta ()],Estructura_Balance[Nivel 4],"",0)</f>
        <v/>
      </c>
      <c r="R46" t="str">
        <f>_xlfn.XLOOKUP(Table3[[#This Row],[Cuenta]],Table8[Nombre Cuenta ()],Table8[Nivel 1],"",0)</f>
        <v/>
      </c>
      <c r="S46" t="str">
        <f>_xlfn.XLOOKUP(Table3[[#This Row],[Cuenta]],Table8[Nombre Cuenta ()],Table8[Nivel 2],"",0)</f>
        <v/>
      </c>
      <c r="T46" t="str">
        <f>_xlfn.XLOOKUP(Table3[[#This Row],[Cuenta]],Table8[Nombre Cuenta ()],Table8[Nivel 3],"",0)</f>
        <v/>
      </c>
      <c r="U46">
        <v>44</v>
      </c>
      <c r="V46" t="str">
        <f>_xlfn.XLOOKUP(Table3[[#This Row],[Cuenta]],Estructura_Balance[Nombre Cuenta ()],Estructura_Balance[Niveles:2],"",0)</f>
        <v/>
      </c>
      <c r="W46" t="str">
        <f>_xlfn.XLOOKUP(Table3[[#This Row],[Cuenta]],Estructura_Balance[Nombre Cuenta ()],Estructura_Balance[Niveles:3],"",0)</f>
        <v/>
      </c>
      <c r="X46" t="str">
        <f>_xlfn.XLOOKUP(Table3[[#This Row],[Cuenta]],Estructura_Balance[Nombre Cuenta ()],Estructura_Balance[Grupos],"Grupo 1",0)</f>
        <v>Grupo 1</v>
      </c>
      <c r="Y46" t="str">
        <f>+Table3[[#This Row],[BS_Nivel_1]]</f>
        <v/>
      </c>
    </row>
    <row r="47" spans="1:25">
      <c r="A47">
        <f>+'Libro Diario'!F58</f>
        <v>0</v>
      </c>
      <c r="B47" s="144">
        <f>VALUE(IF(+'Libro Diario'!G58="","01/01/2025",+'Libro Diario'!G58))</f>
        <v>45658</v>
      </c>
      <c r="C47">
        <f>IF(ISNUMBER(+IF(IFERROR(VALUE(MID('Libro Diario'!C58,1,4)),0)&lt;&gt;0,'Libro Diario'!C58,0))=FALSE,'Libro Diario'!C58,0)</f>
        <v>0</v>
      </c>
      <c r="D47" s="145">
        <f>+'Libro Diario'!B58</f>
        <v>0</v>
      </c>
      <c r="E47" s="139" t="s">
        <v>445</v>
      </c>
      <c r="F47" t="str">
        <f t="shared" si="0"/>
        <v>Sin Mov.</v>
      </c>
      <c r="G47" t="str">
        <f>IF(+'Libro Diario'!H58=0,"",+'Libro Diario'!H58)</f>
        <v/>
      </c>
      <c r="H47" t="str">
        <f>IF(+'Libro Diario'!I58=0,"",+'Libro Diario'!I58)</f>
        <v/>
      </c>
      <c r="I47" t="str">
        <f>+IF(Table3[[#This Row],[Tipo Movimiento]]="Estructura Balance y PyG","Excluir","Incluir")</f>
        <v>Incluir</v>
      </c>
      <c r="J47" s="153">
        <f>+IF(Table3[[#This Row],[Sin cuenta]]="Con Mov.",(IF(Table3[[#This Row],[Movimiento]]="Debe",Table3[[#This Row],[Importe]],IF(Table3[[#This Row],[Movimiento]]="Haber",Table3[[#This Row],[Importe]]*-1,0))),0)</f>
        <v>0</v>
      </c>
      <c r="K47" s="145">
        <f t="shared" si="1"/>
        <v>0</v>
      </c>
      <c r="L47" s="145" t="str">
        <f t="shared" si="2"/>
        <v/>
      </c>
      <c r="M47" t="str">
        <f>_xlfn.XLOOKUP(Table3[[#This Row],[Cuenta]],Estructura_Balance[Nombre Cuenta ()],Estructura_Balance[Grupo],"",0)</f>
        <v/>
      </c>
      <c r="N47" t="str">
        <f>_xlfn.XLOOKUP(Table3[[#This Row],[Cuenta]],Estructura_Balance[Nombre Cuenta ()],Estructura_Balance[Nivel 1],"",0)</f>
        <v/>
      </c>
      <c r="O47" t="str">
        <f>_xlfn.XLOOKUP(Table3[[#This Row],[Cuenta]],Estructura_Balance[Nombre Cuenta ()],Estructura_Balance[Nivel 2],"",0)</f>
        <v/>
      </c>
      <c r="P47" t="str">
        <f>_xlfn.XLOOKUP(Table3[[#This Row],[Cuenta]],Estructura_Balance[Nombre Cuenta ()],Estructura_Balance[Nivel 3],"",0)</f>
        <v/>
      </c>
      <c r="Q47" t="str">
        <f>_xlfn.XLOOKUP(Table3[[#This Row],[Cuenta]],Estructura_Balance[Nombre Cuenta ()],Estructura_Balance[Nivel 4],"",0)</f>
        <v/>
      </c>
      <c r="R47" t="str">
        <f>_xlfn.XLOOKUP(Table3[[#This Row],[Cuenta]],Table8[Nombre Cuenta ()],Table8[Nivel 1],"",0)</f>
        <v/>
      </c>
      <c r="S47" t="str">
        <f>_xlfn.XLOOKUP(Table3[[#This Row],[Cuenta]],Table8[Nombre Cuenta ()],Table8[Nivel 2],"",0)</f>
        <v/>
      </c>
      <c r="T47" t="str">
        <f>_xlfn.XLOOKUP(Table3[[#This Row],[Cuenta]],Table8[Nombre Cuenta ()],Table8[Nivel 3],"",0)</f>
        <v/>
      </c>
      <c r="U47">
        <v>45</v>
      </c>
      <c r="V47" t="str">
        <f>_xlfn.XLOOKUP(Table3[[#This Row],[Cuenta]],Estructura_Balance[Nombre Cuenta ()],Estructura_Balance[Niveles:2],"",0)</f>
        <v/>
      </c>
      <c r="W47" t="str">
        <f>_xlfn.XLOOKUP(Table3[[#This Row],[Cuenta]],Estructura_Balance[Nombre Cuenta ()],Estructura_Balance[Niveles:3],"",0)</f>
        <v/>
      </c>
      <c r="X47" t="str">
        <f>_xlfn.XLOOKUP(Table3[[#This Row],[Cuenta]],Estructura_Balance[Nombre Cuenta ()],Estructura_Balance[Grupos],"Grupo 1",0)</f>
        <v>Grupo 1</v>
      </c>
      <c r="Y47" t="str">
        <f>+Table3[[#This Row],[BS_Nivel_1]]</f>
        <v/>
      </c>
    </row>
    <row r="48" spans="1:25">
      <c r="A48">
        <f>+'Libro Diario'!F78</f>
        <v>0</v>
      </c>
      <c r="B48" s="144">
        <f>VALUE(IF(+'Libro Diario'!G78="","01/01/2025",+'Libro Diario'!G78))</f>
        <v>45658</v>
      </c>
      <c r="C48">
        <f>IF(ISNUMBER(+IF(IFERROR(VALUE(MID('Libro Diario'!C78,1,4)),0)&lt;&gt;0,'Libro Diario'!C78,0))=FALSE,'Libro Diario'!C78,0)</f>
        <v>0</v>
      </c>
      <c r="D48" s="145" t="str">
        <f>+'Libro Diario'!B78</f>
        <v>Asiento de Apertura</v>
      </c>
      <c r="E48" s="139" t="s">
        <v>445</v>
      </c>
      <c r="F48" t="str">
        <f t="shared" si="0"/>
        <v>Sin Mov.</v>
      </c>
      <c r="G48" t="str">
        <f>IF(+'Libro Diario'!H78=0,"",+'Libro Diario'!H78)</f>
        <v/>
      </c>
      <c r="H48" t="str">
        <f>IF(+'Libro Diario'!I78=0,"",+'Libro Diario'!I78)</f>
        <v/>
      </c>
      <c r="I48" t="str">
        <f>+IF(Table3[[#This Row],[Tipo Movimiento]]="Estructura Balance y PyG","Excluir","Incluir")</f>
        <v>Incluir</v>
      </c>
      <c r="J48" s="153">
        <f>+IF(Table3[[#This Row],[Sin cuenta]]="Con Mov.",(IF(Table3[[#This Row],[Movimiento]]="Debe",Table3[[#This Row],[Importe]],IF(Table3[[#This Row],[Movimiento]]="Haber",Table3[[#This Row],[Importe]]*-1,0))),0)</f>
        <v>0</v>
      </c>
      <c r="K48" s="145" t="str">
        <f t="shared" si="1"/>
        <v>Asiento de Apertura</v>
      </c>
      <c r="L48" s="145" t="str">
        <f t="shared" si="2"/>
        <v/>
      </c>
      <c r="M48" t="str">
        <f>_xlfn.XLOOKUP(Table3[[#This Row],[Cuenta]],Estructura_Balance[Nombre Cuenta ()],Estructura_Balance[Grupo],"",0)</f>
        <v/>
      </c>
      <c r="N48" t="str">
        <f>_xlfn.XLOOKUP(Table3[[#This Row],[Cuenta]],Estructura_Balance[Nombre Cuenta ()],Estructura_Balance[Nivel 1],"",0)</f>
        <v/>
      </c>
      <c r="O48" t="str">
        <f>_xlfn.XLOOKUP(Table3[[#This Row],[Cuenta]],Estructura_Balance[Nombre Cuenta ()],Estructura_Balance[Nivel 2],"",0)</f>
        <v/>
      </c>
      <c r="P48" t="str">
        <f>_xlfn.XLOOKUP(Table3[[#This Row],[Cuenta]],Estructura_Balance[Nombre Cuenta ()],Estructura_Balance[Nivel 3],"",0)</f>
        <v/>
      </c>
      <c r="Q48" t="str">
        <f>_xlfn.XLOOKUP(Table3[[#This Row],[Cuenta]],Estructura_Balance[Nombre Cuenta ()],Estructura_Balance[Nivel 4],"",0)</f>
        <v/>
      </c>
      <c r="R48" t="str">
        <f>_xlfn.XLOOKUP(Table3[[#This Row],[Cuenta]],Table8[Nombre Cuenta ()],Table8[Nivel 1],"",0)</f>
        <v/>
      </c>
      <c r="S48" t="str">
        <f>_xlfn.XLOOKUP(Table3[[#This Row],[Cuenta]],Table8[Nombre Cuenta ()],Table8[Nivel 2],"",0)</f>
        <v/>
      </c>
      <c r="T48" t="str">
        <f>_xlfn.XLOOKUP(Table3[[#This Row],[Cuenta]],Table8[Nombre Cuenta ()],Table8[Nivel 3],"",0)</f>
        <v/>
      </c>
      <c r="U48">
        <v>90</v>
      </c>
      <c r="V48" t="str">
        <f>_xlfn.XLOOKUP(Table3[[#This Row],[Cuenta]],Estructura_Balance[Nombre Cuenta ()],Estructura_Balance[Niveles:2],"",0)</f>
        <v/>
      </c>
      <c r="W48" t="str">
        <f>_xlfn.XLOOKUP(Table3[[#This Row],[Cuenta]],Estructura_Balance[Nombre Cuenta ()],Estructura_Balance[Niveles:3],"",0)</f>
        <v/>
      </c>
      <c r="X48" t="str">
        <f>_xlfn.XLOOKUP(Table3[[#This Row],[Cuenta]],Estructura_Balance[Nombre Cuenta ()],Estructura_Balance[Grupos],"Grupo 1",0)</f>
        <v>Grupo 1</v>
      </c>
      <c r="Y48" t="str">
        <f>+Table3[[#This Row],[BS_Nivel_1]]</f>
        <v/>
      </c>
    </row>
    <row r="49" spans="1:25">
      <c r="A49">
        <f>+'Libro Diario'!F79</f>
        <v>0</v>
      </c>
      <c r="B49" s="144">
        <f>VALUE(IF(+'Libro Diario'!G79="","01/01/2025",+'Libro Diario'!G79))</f>
        <v>45658</v>
      </c>
      <c r="C49">
        <f>IF(ISNUMBER(+IF(IFERROR(VALUE(MID('Libro Diario'!C79,1,4)),0)&lt;&gt;0,'Libro Diario'!C79,0))=FALSE,'Libro Diario'!C79,0)</f>
        <v>0</v>
      </c>
      <c r="D49" s="145" t="str">
        <f>+'Libro Diario'!B79</f>
        <v>Asiento Cuadrado</v>
      </c>
      <c r="E49" s="139" t="s">
        <v>445</v>
      </c>
      <c r="F49" t="str">
        <f t="shared" si="0"/>
        <v>Sin Mov.</v>
      </c>
      <c r="G49" t="str">
        <f>IF(+'Libro Diario'!H79=0,"",+'Libro Diario'!H79)</f>
        <v/>
      </c>
      <c r="H49" t="str">
        <f>IF(+'Libro Diario'!I79=0,"",+'Libro Diario'!I79)</f>
        <v/>
      </c>
      <c r="I49" t="str">
        <f>+IF(Table3[[#This Row],[Tipo Movimiento]]="Estructura Balance y PyG","Excluir","Incluir")</f>
        <v>Incluir</v>
      </c>
      <c r="J49" s="153">
        <f>+IF(Table3[[#This Row],[Sin cuenta]]="Con Mov.",(IF(Table3[[#This Row],[Movimiento]]="Debe",Table3[[#This Row],[Importe]],IF(Table3[[#This Row],[Movimiento]]="Haber",Table3[[#This Row],[Importe]]*-1,0))),0)</f>
        <v>0</v>
      </c>
      <c r="K49" s="145" t="str">
        <f t="shared" si="1"/>
        <v>Asiento Cuadrado</v>
      </c>
      <c r="L49" s="145" t="str">
        <f t="shared" si="2"/>
        <v/>
      </c>
      <c r="M49" t="str">
        <f>_xlfn.XLOOKUP(Table3[[#This Row],[Cuenta]],Estructura_Balance[Nombre Cuenta ()],Estructura_Balance[Grupo],"",0)</f>
        <v/>
      </c>
      <c r="N49" t="str">
        <f>_xlfn.XLOOKUP(Table3[[#This Row],[Cuenta]],Estructura_Balance[Nombre Cuenta ()],Estructura_Balance[Nivel 1],"",0)</f>
        <v/>
      </c>
      <c r="O49" t="str">
        <f>_xlfn.XLOOKUP(Table3[[#This Row],[Cuenta]],Estructura_Balance[Nombre Cuenta ()],Estructura_Balance[Nivel 2],"",0)</f>
        <v/>
      </c>
      <c r="P49" t="str">
        <f>_xlfn.XLOOKUP(Table3[[#This Row],[Cuenta]],Estructura_Balance[Nombre Cuenta ()],Estructura_Balance[Nivel 3],"",0)</f>
        <v/>
      </c>
      <c r="Q49" t="str">
        <f>_xlfn.XLOOKUP(Table3[[#This Row],[Cuenta]],Estructura_Balance[Nombre Cuenta ()],Estructura_Balance[Nivel 4],"",0)</f>
        <v/>
      </c>
      <c r="R49" t="str">
        <f>_xlfn.XLOOKUP(Table3[[#This Row],[Cuenta]],Table8[Nombre Cuenta ()],Table8[Nivel 1],"",0)</f>
        <v/>
      </c>
      <c r="S49" t="str">
        <f>_xlfn.XLOOKUP(Table3[[#This Row],[Cuenta]],Table8[Nombre Cuenta ()],Table8[Nivel 2],"",0)</f>
        <v/>
      </c>
      <c r="T49" t="str">
        <f>_xlfn.XLOOKUP(Table3[[#This Row],[Cuenta]],Table8[Nombre Cuenta ()],Table8[Nivel 3],"",0)</f>
        <v/>
      </c>
      <c r="U49">
        <v>94</v>
      </c>
      <c r="V49" t="str">
        <f>_xlfn.XLOOKUP(Table3[[#This Row],[Cuenta]],Estructura_Balance[Nombre Cuenta ()],Estructura_Balance[Niveles:2],"",0)</f>
        <v/>
      </c>
      <c r="W49" t="str">
        <f>_xlfn.XLOOKUP(Table3[[#This Row],[Cuenta]],Estructura_Balance[Nombre Cuenta ()],Estructura_Balance[Niveles:3],"",0)</f>
        <v/>
      </c>
      <c r="X49" t="str">
        <f>_xlfn.XLOOKUP(Table3[[#This Row],[Cuenta]],Estructura_Balance[Nombre Cuenta ()],Estructura_Balance[Grupos],"Grupo 1",0)</f>
        <v>Grupo 1</v>
      </c>
      <c r="Y49" t="str">
        <f>+Table3[[#This Row],[BS_Nivel_1]]</f>
        <v/>
      </c>
    </row>
    <row r="50" spans="1:25">
      <c r="A50">
        <f>+'Libro Diario'!F80</f>
        <v>0</v>
      </c>
      <c r="B50" s="144">
        <f>VALUE(IF(+'Libro Diario'!G80="","01/01/2025",+'Libro Diario'!G80))</f>
        <v>45658</v>
      </c>
      <c r="C50">
        <f>IF(ISNUMBER(+IF(IFERROR(VALUE(MID('Libro Diario'!C80,1,4)),0)&lt;&gt;0,'Libro Diario'!C80,0))=FALSE,'Libro Diario'!C80,0)</f>
        <v>0</v>
      </c>
      <c r="D50" s="145">
        <f>+'Libro Diario'!B80</f>
        <v>0</v>
      </c>
      <c r="E50" s="139" t="s">
        <v>445</v>
      </c>
      <c r="F50" t="str">
        <f t="shared" si="0"/>
        <v>Sin Mov.</v>
      </c>
      <c r="G50" t="str">
        <f>IF(+'Libro Diario'!H80=0,"",+'Libro Diario'!H80)</f>
        <v/>
      </c>
      <c r="H50" t="str">
        <f>IF(+'Libro Diario'!I80=0,"",+'Libro Diario'!I80)</f>
        <v/>
      </c>
      <c r="I50" t="str">
        <f>+IF(Table3[[#This Row],[Tipo Movimiento]]="Estructura Balance y PyG","Excluir","Incluir")</f>
        <v>Incluir</v>
      </c>
      <c r="J50" s="153">
        <f>+IF(Table3[[#This Row],[Sin cuenta]]="Con Mov.",(IF(Table3[[#This Row],[Movimiento]]="Debe",Table3[[#This Row],[Importe]],IF(Table3[[#This Row],[Movimiento]]="Haber",Table3[[#This Row],[Importe]]*-1,0))),0)</f>
        <v>0</v>
      </c>
      <c r="K50" s="145">
        <f t="shared" si="1"/>
        <v>0</v>
      </c>
      <c r="L50" s="145" t="str">
        <f t="shared" si="2"/>
        <v/>
      </c>
      <c r="M50" t="str">
        <f>_xlfn.XLOOKUP(Table3[[#This Row],[Cuenta]],Estructura_Balance[Nombre Cuenta ()],Estructura_Balance[Grupo],"",0)</f>
        <v/>
      </c>
      <c r="N50" t="str">
        <f>_xlfn.XLOOKUP(Table3[[#This Row],[Cuenta]],Estructura_Balance[Nombre Cuenta ()],Estructura_Balance[Nivel 1],"",0)</f>
        <v/>
      </c>
      <c r="O50" t="str">
        <f>_xlfn.XLOOKUP(Table3[[#This Row],[Cuenta]],Estructura_Balance[Nombre Cuenta ()],Estructura_Balance[Nivel 2],"",0)</f>
        <v/>
      </c>
      <c r="P50" t="str">
        <f>_xlfn.XLOOKUP(Table3[[#This Row],[Cuenta]],Estructura_Balance[Nombre Cuenta ()],Estructura_Balance[Nivel 3],"",0)</f>
        <v/>
      </c>
      <c r="Q50" t="str">
        <f>_xlfn.XLOOKUP(Table3[[#This Row],[Cuenta]],Estructura_Balance[Nombre Cuenta ()],Estructura_Balance[Nivel 4],"",0)</f>
        <v/>
      </c>
      <c r="R50" t="str">
        <f>_xlfn.XLOOKUP(Table3[[#This Row],[Cuenta]],Table8[Nombre Cuenta ()],Table8[Nivel 1],"",0)</f>
        <v/>
      </c>
      <c r="S50" t="str">
        <f>_xlfn.XLOOKUP(Table3[[#This Row],[Cuenta]],Table8[Nombre Cuenta ()],Table8[Nivel 2],"",0)</f>
        <v/>
      </c>
      <c r="T50" t="str">
        <f>_xlfn.XLOOKUP(Table3[[#This Row],[Cuenta]],Table8[Nombre Cuenta ()],Table8[Nivel 3],"",0)</f>
        <v/>
      </c>
      <c r="U50">
        <v>95</v>
      </c>
      <c r="V50" t="str">
        <f>_xlfn.XLOOKUP(Table3[[#This Row],[Cuenta]],Estructura_Balance[Nombre Cuenta ()],Estructura_Balance[Niveles:2],"",0)</f>
        <v/>
      </c>
      <c r="W50" t="str">
        <f>_xlfn.XLOOKUP(Table3[[#This Row],[Cuenta]],Estructura_Balance[Nombre Cuenta ()],Estructura_Balance[Niveles:3],"",0)</f>
        <v/>
      </c>
      <c r="X50" t="str">
        <f>_xlfn.XLOOKUP(Table3[[#This Row],[Cuenta]],Estructura_Balance[Nombre Cuenta ()],Estructura_Balance[Grupos],"Grupo 1",0)</f>
        <v>Grupo 1</v>
      </c>
      <c r="Y50" t="str">
        <f>+Table3[[#This Row],[BS_Nivel_1]]</f>
        <v/>
      </c>
    </row>
    <row r="51" spans="1:25">
      <c r="A51">
        <f>+'Libro Diario'!F81</f>
        <v>0</v>
      </c>
      <c r="B51" s="144">
        <f>VALUE(IF(+'Libro Diario'!G81="","01/01/2025",+'Libro Diario'!G81))</f>
        <v>45658</v>
      </c>
      <c r="C51">
        <f>IF(ISNUMBER(+IF(IFERROR(VALUE(MID('Libro Diario'!C81,1,4)),0)&lt;&gt;0,'Libro Diario'!C81,0))=FALSE,'Libro Diario'!C81,0)</f>
        <v>0</v>
      </c>
      <c r="D51" s="145" t="str">
        <f>+'Libro Diario'!B81</f>
        <v>DEBE</v>
      </c>
      <c r="E51" s="139" t="s">
        <v>445</v>
      </c>
      <c r="F51" t="str">
        <f t="shared" si="0"/>
        <v>Sin Mov.</v>
      </c>
      <c r="G51" t="str">
        <f>IF(+'Libro Diario'!H81=0,"",+'Libro Diario'!H81)</f>
        <v/>
      </c>
      <c r="H51" t="str">
        <f>IF(+'Libro Diario'!I81=0,"",+'Libro Diario'!I81)</f>
        <v/>
      </c>
      <c r="I51" t="str">
        <f>+IF(Table3[[#This Row],[Tipo Movimiento]]="Estructura Balance y PyG","Excluir","Incluir")</f>
        <v>Incluir</v>
      </c>
      <c r="J51" s="153">
        <f>+IF(Table3[[#This Row],[Sin cuenta]]="Con Mov.",(IF(Table3[[#This Row],[Movimiento]]="Debe",Table3[[#This Row],[Importe]],IF(Table3[[#This Row],[Movimiento]]="Haber",Table3[[#This Row],[Importe]]*-1,0))),0)</f>
        <v>0</v>
      </c>
      <c r="K51" s="145" t="str">
        <f t="shared" si="1"/>
        <v>DEBE</v>
      </c>
      <c r="L51" s="145" t="str">
        <f t="shared" si="2"/>
        <v/>
      </c>
      <c r="M51" t="str">
        <f>_xlfn.XLOOKUP(Table3[[#This Row],[Cuenta]],Estructura_Balance[Nombre Cuenta ()],Estructura_Balance[Grupo],"",0)</f>
        <v/>
      </c>
      <c r="N51" t="str">
        <f>_xlfn.XLOOKUP(Table3[[#This Row],[Cuenta]],Estructura_Balance[Nombre Cuenta ()],Estructura_Balance[Nivel 1],"",0)</f>
        <v/>
      </c>
      <c r="O51" t="str">
        <f>_xlfn.XLOOKUP(Table3[[#This Row],[Cuenta]],Estructura_Balance[Nombre Cuenta ()],Estructura_Balance[Nivel 2],"",0)</f>
        <v/>
      </c>
      <c r="P51" t="str">
        <f>_xlfn.XLOOKUP(Table3[[#This Row],[Cuenta]],Estructura_Balance[Nombre Cuenta ()],Estructura_Balance[Nivel 3],"",0)</f>
        <v/>
      </c>
      <c r="Q51" t="str">
        <f>_xlfn.XLOOKUP(Table3[[#This Row],[Cuenta]],Estructura_Balance[Nombre Cuenta ()],Estructura_Balance[Nivel 4],"",0)</f>
        <v/>
      </c>
      <c r="R51" t="str">
        <f>_xlfn.XLOOKUP(Table3[[#This Row],[Cuenta]],Table8[Nombre Cuenta ()],Table8[Nivel 1],"",0)</f>
        <v/>
      </c>
      <c r="S51" t="str">
        <f>_xlfn.XLOOKUP(Table3[[#This Row],[Cuenta]],Table8[Nombre Cuenta ()],Table8[Nivel 2],"",0)</f>
        <v/>
      </c>
      <c r="T51" t="str">
        <f>_xlfn.XLOOKUP(Table3[[#This Row],[Cuenta]],Table8[Nombre Cuenta ()],Table8[Nivel 3],"",0)</f>
        <v/>
      </c>
      <c r="U51">
        <v>96</v>
      </c>
      <c r="V51" t="str">
        <f>_xlfn.XLOOKUP(Table3[[#This Row],[Cuenta]],Estructura_Balance[Nombre Cuenta ()],Estructura_Balance[Niveles:2],"",0)</f>
        <v/>
      </c>
      <c r="W51" t="str">
        <f>_xlfn.XLOOKUP(Table3[[#This Row],[Cuenta]],Estructura_Balance[Nombre Cuenta ()],Estructura_Balance[Niveles:3],"",0)</f>
        <v/>
      </c>
      <c r="X51" t="str">
        <f>_xlfn.XLOOKUP(Table3[[#This Row],[Cuenta]],Estructura_Balance[Nombre Cuenta ()],Estructura_Balance[Grupos],"Grupo 1",0)</f>
        <v>Grupo 1</v>
      </c>
      <c r="Y51" t="str">
        <f>+Table3[[#This Row],[BS_Nivel_1]]</f>
        <v/>
      </c>
    </row>
    <row r="52" spans="1:25">
      <c r="A52">
        <f>+'Libro Diario'!F82</f>
        <v>0</v>
      </c>
      <c r="B52" s="144">
        <f>VALUE(IF(+'Libro Diario'!G82="","01/01/2025",+'Libro Diario'!G82))</f>
        <v>45658</v>
      </c>
      <c r="C52">
        <f>IF(ISNUMBER(+IF(IFERROR(VALUE(MID('Libro Diario'!C82,1,4)),0)&lt;&gt;0,'Libro Diario'!C82,0))=FALSE,'Libro Diario'!C82,0)</f>
        <v>0</v>
      </c>
      <c r="D52" s="145">
        <f>+'Libro Diario'!B82</f>
        <v>0</v>
      </c>
      <c r="E52" s="139" t="s">
        <v>445</v>
      </c>
      <c r="F52" t="str">
        <f t="shared" si="0"/>
        <v>Sin Mov.</v>
      </c>
      <c r="G52" t="str">
        <f>IF(+'Libro Diario'!H82=0,"",+'Libro Diario'!H82)</f>
        <v/>
      </c>
      <c r="H52" t="str">
        <f>IF(+'Libro Diario'!I82=0,"",+'Libro Diario'!I82)</f>
        <v/>
      </c>
      <c r="I52" t="str">
        <f>+IF(Table3[[#This Row],[Tipo Movimiento]]="Estructura Balance y PyG","Excluir","Incluir")</f>
        <v>Incluir</v>
      </c>
      <c r="J52" s="153">
        <f>+IF(Table3[[#This Row],[Sin cuenta]]="Con Mov.",(IF(Table3[[#This Row],[Movimiento]]="Debe",Table3[[#This Row],[Importe]],IF(Table3[[#This Row],[Movimiento]]="Haber",Table3[[#This Row],[Importe]]*-1,0))),0)</f>
        <v>0</v>
      </c>
      <c r="K52" s="145">
        <f t="shared" si="1"/>
        <v>0</v>
      </c>
      <c r="L52" s="145" t="str">
        <f t="shared" si="2"/>
        <v/>
      </c>
      <c r="M52" t="str">
        <f>_xlfn.XLOOKUP(Table3[[#This Row],[Cuenta]],Estructura_Balance[Nombre Cuenta ()],Estructura_Balance[Grupo],"",0)</f>
        <v/>
      </c>
      <c r="N52" t="str">
        <f>_xlfn.XLOOKUP(Table3[[#This Row],[Cuenta]],Estructura_Balance[Nombre Cuenta ()],Estructura_Balance[Nivel 1],"",0)</f>
        <v/>
      </c>
      <c r="O52" t="str">
        <f>_xlfn.XLOOKUP(Table3[[#This Row],[Cuenta]],Estructura_Balance[Nombre Cuenta ()],Estructura_Balance[Nivel 2],"",0)</f>
        <v/>
      </c>
      <c r="P52" t="str">
        <f>_xlfn.XLOOKUP(Table3[[#This Row],[Cuenta]],Estructura_Balance[Nombre Cuenta ()],Estructura_Balance[Nivel 3],"",0)</f>
        <v/>
      </c>
      <c r="Q52" t="str">
        <f>_xlfn.XLOOKUP(Table3[[#This Row],[Cuenta]],Estructura_Balance[Nombre Cuenta ()],Estructura_Balance[Nivel 4],"",0)</f>
        <v/>
      </c>
      <c r="R52" t="str">
        <f>_xlfn.XLOOKUP(Table3[[#This Row],[Cuenta]],Table8[Nombre Cuenta ()],Table8[Nivel 1],"",0)</f>
        <v/>
      </c>
      <c r="S52" t="str">
        <f>_xlfn.XLOOKUP(Table3[[#This Row],[Cuenta]],Table8[Nombre Cuenta ()],Table8[Nivel 2],"",0)</f>
        <v/>
      </c>
      <c r="T52" t="str">
        <f>_xlfn.XLOOKUP(Table3[[#This Row],[Cuenta]],Table8[Nombre Cuenta ()],Table8[Nivel 3],"",0)</f>
        <v/>
      </c>
      <c r="U52">
        <v>97</v>
      </c>
      <c r="V52" t="str">
        <f>_xlfn.XLOOKUP(Table3[[#This Row],[Cuenta]],Estructura_Balance[Nombre Cuenta ()],Estructura_Balance[Niveles:2],"",0)</f>
        <v/>
      </c>
      <c r="W52" t="str">
        <f>_xlfn.XLOOKUP(Table3[[#This Row],[Cuenta]],Estructura_Balance[Nombre Cuenta ()],Estructura_Balance[Niveles:3],"",0)</f>
        <v/>
      </c>
      <c r="X52" t="str">
        <f>_xlfn.XLOOKUP(Table3[[#This Row],[Cuenta]],Estructura_Balance[Nombre Cuenta ()],Estructura_Balance[Grupos],"Grupo 1",0)</f>
        <v>Grupo 1</v>
      </c>
      <c r="Y52" t="str">
        <f>+Table3[[#This Row],[BS_Nivel_1]]</f>
        <v/>
      </c>
    </row>
    <row r="53" spans="1:25">
      <c r="A53">
        <f>+'Libro Diario'!F85</f>
        <v>0</v>
      </c>
      <c r="B53" s="144">
        <f>VALUE(IF(+'Libro Diario'!G85="","01/01/2025",+'Libro Diario'!G85))</f>
        <v>45658</v>
      </c>
      <c r="C53">
        <f>IF(ISNUMBER(+IF(IFERROR(VALUE(MID('Libro Diario'!C85,1,4)),0)&lt;&gt;0,'Libro Diario'!C85,0))=FALSE,'Libro Diario'!C85,0)</f>
        <v>0</v>
      </c>
      <c r="D53" s="145" t="str">
        <f>+'Libro Diario'!B85</f>
        <v>Operaciones del Ejercicio</v>
      </c>
      <c r="E53" s="139" t="s">
        <v>445</v>
      </c>
      <c r="F53" t="str">
        <f t="shared" si="0"/>
        <v>Sin Mov.</v>
      </c>
      <c r="G53" t="str">
        <f>IF(+'Libro Diario'!H85=0,"",+'Libro Diario'!H85)</f>
        <v/>
      </c>
      <c r="H53" t="str">
        <f>IF(+'Libro Diario'!I85=0,"",+'Libro Diario'!I85)</f>
        <v/>
      </c>
      <c r="I53" t="str">
        <f>+IF(Table3[[#This Row],[Tipo Movimiento]]="Estructura Balance y PyG","Excluir","Incluir")</f>
        <v>Incluir</v>
      </c>
      <c r="J53" s="153">
        <f>+IF(Table3[[#This Row],[Sin cuenta]]="Con Mov.",(IF(Table3[[#This Row],[Movimiento]]="Debe",Table3[[#This Row],[Importe]],IF(Table3[[#This Row],[Movimiento]]="Haber",Table3[[#This Row],[Importe]]*-1,0))),0)</f>
        <v>0</v>
      </c>
      <c r="K53" s="145" t="str">
        <f t="shared" si="1"/>
        <v>Operaciones del Ejercicio</v>
      </c>
      <c r="L53" s="145" t="str">
        <f t="shared" si="2"/>
        <v/>
      </c>
      <c r="M53" t="str">
        <f>_xlfn.XLOOKUP(Table3[[#This Row],[Cuenta]],Estructura_Balance[Nombre Cuenta ()],Estructura_Balance[Grupo],"",0)</f>
        <v/>
      </c>
      <c r="N53" t="str">
        <f>_xlfn.XLOOKUP(Table3[[#This Row],[Cuenta]],Estructura_Balance[Nombre Cuenta ()],Estructura_Balance[Nivel 1],"",0)</f>
        <v/>
      </c>
      <c r="O53" t="str">
        <f>_xlfn.XLOOKUP(Table3[[#This Row],[Cuenta]],Estructura_Balance[Nombre Cuenta ()],Estructura_Balance[Nivel 2],"",0)</f>
        <v/>
      </c>
      <c r="P53" t="str">
        <f>_xlfn.XLOOKUP(Table3[[#This Row],[Cuenta]],Estructura_Balance[Nombre Cuenta ()],Estructura_Balance[Nivel 3],"",0)</f>
        <v/>
      </c>
      <c r="Q53" t="str">
        <f>_xlfn.XLOOKUP(Table3[[#This Row],[Cuenta]],Estructura_Balance[Nombre Cuenta ()],Estructura_Balance[Nivel 4],"",0)</f>
        <v/>
      </c>
      <c r="R53" t="str">
        <f>_xlfn.XLOOKUP(Table3[[#This Row],[Cuenta]],Table8[Nombre Cuenta ()],Table8[Nivel 1],"",0)</f>
        <v/>
      </c>
      <c r="S53" t="str">
        <f>_xlfn.XLOOKUP(Table3[[#This Row],[Cuenta]],Table8[Nombre Cuenta ()],Table8[Nivel 2],"",0)</f>
        <v/>
      </c>
      <c r="T53" t="str">
        <f>_xlfn.XLOOKUP(Table3[[#This Row],[Cuenta]],Table8[Nombre Cuenta ()],Table8[Nivel 3],"",0)</f>
        <v/>
      </c>
      <c r="U53">
        <v>103</v>
      </c>
      <c r="V53" t="str">
        <f>_xlfn.XLOOKUP(Table3[[#This Row],[Cuenta]],Estructura_Balance[Nombre Cuenta ()],Estructura_Balance[Niveles:2],"",0)</f>
        <v/>
      </c>
      <c r="W53" t="str">
        <f>_xlfn.XLOOKUP(Table3[[#This Row],[Cuenta]],Estructura_Balance[Nombre Cuenta ()],Estructura_Balance[Niveles:3],"",0)</f>
        <v/>
      </c>
      <c r="X53" t="str">
        <f>_xlfn.XLOOKUP(Table3[[#This Row],[Cuenta]],Estructura_Balance[Nombre Cuenta ()],Estructura_Balance[Grupos],"Grupo 1",0)</f>
        <v>Grupo 1</v>
      </c>
      <c r="Y53" t="str">
        <f>+Table3[[#This Row],[BS_Nivel_1]]</f>
        <v/>
      </c>
    </row>
    <row r="54" spans="1:25">
      <c r="A54">
        <f>+'Libro Diario'!F86</f>
        <v>0</v>
      </c>
      <c r="B54" s="144">
        <f>VALUE(IF(+'Libro Diario'!G86="","01/01/2025",+'Libro Diario'!G86))</f>
        <v>45658</v>
      </c>
      <c r="C54">
        <f>IF(ISNUMBER(+IF(IFERROR(VALUE(MID('Libro Diario'!C86,1,4)),0)&lt;&gt;0,'Libro Diario'!C86,0))=FALSE,'Libro Diario'!C86,0)</f>
        <v>0</v>
      </c>
      <c r="D54" s="145" t="str">
        <f>+'Libro Diario'!B86</f>
        <v>Asiento Cuadrado</v>
      </c>
      <c r="E54" s="139" t="s">
        <v>445</v>
      </c>
      <c r="F54" t="str">
        <f t="shared" si="0"/>
        <v>Sin Mov.</v>
      </c>
      <c r="G54" t="str">
        <f>IF(+'Libro Diario'!H86=0,"",+'Libro Diario'!H86)</f>
        <v/>
      </c>
      <c r="H54" t="str">
        <f>IF(+'Libro Diario'!I86=0,"",+'Libro Diario'!I86)</f>
        <v/>
      </c>
      <c r="I54" t="str">
        <f>+IF(Table3[[#This Row],[Tipo Movimiento]]="Estructura Balance y PyG","Excluir","Incluir")</f>
        <v>Incluir</v>
      </c>
      <c r="J54" s="153">
        <f>+IF(Table3[[#This Row],[Sin cuenta]]="Con Mov.",(IF(Table3[[#This Row],[Movimiento]]="Debe",Table3[[#This Row],[Importe]],IF(Table3[[#This Row],[Movimiento]]="Haber",Table3[[#This Row],[Importe]]*-1,0))),0)</f>
        <v>0</v>
      </c>
      <c r="K54" s="145" t="str">
        <f t="shared" si="1"/>
        <v>Asiento Cuadrado</v>
      </c>
      <c r="L54" s="145" t="str">
        <f t="shared" si="2"/>
        <v/>
      </c>
      <c r="M54" t="str">
        <f>_xlfn.XLOOKUP(Table3[[#This Row],[Cuenta]],Estructura_Balance[Nombre Cuenta ()],Estructura_Balance[Grupo],"",0)</f>
        <v/>
      </c>
      <c r="N54" t="str">
        <f>_xlfn.XLOOKUP(Table3[[#This Row],[Cuenta]],Estructura_Balance[Nombre Cuenta ()],Estructura_Balance[Nivel 1],"",0)</f>
        <v/>
      </c>
      <c r="O54" t="str">
        <f>_xlfn.XLOOKUP(Table3[[#This Row],[Cuenta]],Estructura_Balance[Nombre Cuenta ()],Estructura_Balance[Nivel 2],"",0)</f>
        <v/>
      </c>
      <c r="P54" t="str">
        <f>_xlfn.XLOOKUP(Table3[[#This Row],[Cuenta]],Estructura_Balance[Nombre Cuenta ()],Estructura_Balance[Nivel 3],"",0)</f>
        <v/>
      </c>
      <c r="Q54" t="str">
        <f>_xlfn.XLOOKUP(Table3[[#This Row],[Cuenta]],Estructura_Balance[Nombre Cuenta ()],Estructura_Balance[Nivel 4],"",0)</f>
        <v/>
      </c>
      <c r="R54" t="str">
        <f>_xlfn.XLOOKUP(Table3[[#This Row],[Cuenta]],Table8[Nombre Cuenta ()],Table8[Nivel 1],"",0)</f>
        <v/>
      </c>
      <c r="S54" t="str">
        <f>_xlfn.XLOOKUP(Table3[[#This Row],[Cuenta]],Table8[Nombre Cuenta ()],Table8[Nivel 2],"",0)</f>
        <v/>
      </c>
      <c r="T54" t="str">
        <f>_xlfn.XLOOKUP(Table3[[#This Row],[Cuenta]],Table8[Nombre Cuenta ()],Table8[Nivel 3],"",0)</f>
        <v/>
      </c>
      <c r="U54">
        <v>104</v>
      </c>
      <c r="V54" t="str">
        <f>_xlfn.XLOOKUP(Table3[[#This Row],[Cuenta]],Estructura_Balance[Nombre Cuenta ()],Estructura_Balance[Niveles:2],"",0)</f>
        <v/>
      </c>
      <c r="W54" t="str">
        <f>_xlfn.XLOOKUP(Table3[[#This Row],[Cuenta]],Estructura_Balance[Nombre Cuenta ()],Estructura_Balance[Niveles:3],"",0)</f>
        <v/>
      </c>
      <c r="X54" t="str">
        <f>_xlfn.XLOOKUP(Table3[[#This Row],[Cuenta]],Estructura_Balance[Nombre Cuenta ()],Estructura_Balance[Grupos],"Grupo 1",0)</f>
        <v>Grupo 1</v>
      </c>
      <c r="Y54" t="str">
        <f>+Table3[[#This Row],[BS_Nivel_1]]</f>
        <v/>
      </c>
    </row>
    <row r="55" spans="1:25">
      <c r="A55">
        <f>+'Libro Diario'!F87</f>
        <v>0</v>
      </c>
      <c r="B55" s="144">
        <f>VALUE(IF(+'Libro Diario'!G87="","01/01/2025",+'Libro Diario'!G87))</f>
        <v>45658</v>
      </c>
      <c r="C55">
        <f>IF(ISNUMBER(+IF(IFERROR(VALUE(MID('Libro Diario'!C87,1,4)),0)&lt;&gt;0,'Libro Diario'!C87,0))=FALSE,'Libro Diario'!C87,0)</f>
        <v>0</v>
      </c>
      <c r="D55" s="145">
        <f>+'Libro Diario'!B87</f>
        <v>0</v>
      </c>
      <c r="E55" s="139" t="s">
        <v>445</v>
      </c>
      <c r="F55" t="str">
        <f t="shared" si="0"/>
        <v>Sin Mov.</v>
      </c>
      <c r="G55" t="str">
        <f>IF(+'Libro Diario'!H87=0,"",+'Libro Diario'!H87)</f>
        <v/>
      </c>
      <c r="H55" t="str">
        <f>IF(+'Libro Diario'!I87=0,"",+'Libro Diario'!I87)</f>
        <v/>
      </c>
      <c r="I55" t="str">
        <f>+IF(Table3[[#This Row],[Tipo Movimiento]]="Estructura Balance y PyG","Excluir","Incluir")</f>
        <v>Incluir</v>
      </c>
      <c r="J55" s="153">
        <f>+IF(Table3[[#This Row],[Sin cuenta]]="Con Mov.",(IF(Table3[[#This Row],[Movimiento]]="Debe",Table3[[#This Row],[Importe]],IF(Table3[[#This Row],[Movimiento]]="Haber",Table3[[#This Row],[Importe]]*-1,0))),0)</f>
        <v>0</v>
      </c>
      <c r="K55" s="145">
        <f t="shared" si="1"/>
        <v>0</v>
      </c>
      <c r="L55" s="145" t="str">
        <f t="shared" si="2"/>
        <v/>
      </c>
      <c r="M55" t="str">
        <f>_xlfn.XLOOKUP(Table3[[#This Row],[Cuenta]],Estructura_Balance[Nombre Cuenta ()],Estructura_Balance[Grupo],"",0)</f>
        <v/>
      </c>
      <c r="N55" t="str">
        <f>_xlfn.XLOOKUP(Table3[[#This Row],[Cuenta]],Estructura_Balance[Nombre Cuenta ()],Estructura_Balance[Nivel 1],"",0)</f>
        <v/>
      </c>
      <c r="O55" t="str">
        <f>_xlfn.XLOOKUP(Table3[[#This Row],[Cuenta]],Estructura_Balance[Nombre Cuenta ()],Estructura_Balance[Nivel 2],"",0)</f>
        <v/>
      </c>
      <c r="P55" t="str">
        <f>_xlfn.XLOOKUP(Table3[[#This Row],[Cuenta]],Estructura_Balance[Nombre Cuenta ()],Estructura_Balance[Nivel 3],"",0)</f>
        <v/>
      </c>
      <c r="Q55" t="str">
        <f>_xlfn.XLOOKUP(Table3[[#This Row],[Cuenta]],Estructura_Balance[Nombre Cuenta ()],Estructura_Balance[Nivel 4],"",0)</f>
        <v/>
      </c>
      <c r="R55" t="str">
        <f>_xlfn.XLOOKUP(Table3[[#This Row],[Cuenta]],Table8[Nombre Cuenta ()],Table8[Nivel 1],"",0)</f>
        <v/>
      </c>
      <c r="S55" t="str">
        <f>_xlfn.XLOOKUP(Table3[[#This Row],[Cuenta]],Table8[Nombre Cuenta ()],Table8[Nivel 2],"",0)</f>
        <v/>
      </c>
      <c r="T55" t="str">
        <f>_xlfn.XLOOKUP(Table3[[#This Row],[Cuenta]],Table8[Nombre Cuenta ()],Table8[Nivel 3],"",0)</f>
        <v/>
      </c>
      <c r="U55">
        <v>105</v>
      </c>
      <c r="V55" t="str">
        <f>_xlfn.XLOOKUP(Table3[[#This Row],[Cuenta]],Estructura_Balance[Nombre Cuenta ()],Estructura_Balance[Niveles:2],"",0)</f>
        <v/>
      </c>
      <c r="W55" t="str">
        <f>_xlfn.XLOOKUP(Table3[[#This Row],[Cuenta]],Estructura_Balance[Nombre Cuenta ()],Estructura_Balance[Niveles:3],"",0)</f>
        <v/>
      </c>
      <c r="X55" t="str">
        <f>_xlfn.XLOOKUP(Table3[[#This Row],[Cuenta]],Estructura_Balance[Nombre Cuenta ()],Estructura_Balance[Grupos],"Grupo 1",0)</f>
        <v>Grupo 1</v>
      </c>
      <c r="Y55" t="str">
        <f>+Table3[[#This Row],[BS_Nivel_1]]</f>
        <v/>
      </c>
    </row>
    <row r="56" spans="1:25">
      <c r="A56">
        <f>+'Libro Diario'!F88</f>
        <v>0</v>
      </c>
      <c r="B56" s="144">
        <f>VALUE(IF(+'Libro Diario'!G88="","01/01/2025",+'Libro Diario'!G88))</f>
        <v>45658</v>
      </c>
      <c r="C56">
        <f>IF(ISNUMBER(+IF(IFERROR(VALUE(MID('Libro Diario'!C88,1,4)),0)&lt;&gt;0,'Libro Diario'!C88,0))=FALSE,'Libro Diario'!C88,0)</f>
        <v>0</v>
      </c>
      <c r="D56" s="145" t="str">
        <f>+'Libro Diario'!B88</f>
        <v>DEBE</v>
      </c>
      <c r="E56" s="139" t="s">
        <v>445</v>
      </c>
      <c r="F56" t="str">
        <f t="shared" si="0"/>
        <v>Sin Mov.</v>
      </c>
      <c r="G56" t="str">
        <f>IF(+'Libro Diario'!H88=0,"",+'Libro Diario'!H88)</f>
        <v/>
      </c>
      <c r="H56" t="str">
        <f>IF(+'Libro Diario'!I88=0,"",+'Libro Diario'!I88)</f>
        <v/>
      </c>
      <c r="I56" t="str">
        <f>+IF(Table3[[#This Row],[Tipo Movimiento]]="Estructura Balance y PyG","Excluir","Incluir")</f>
        <v>Incluir</v>
      </c>
      <c r="J56" s="153">
        <f>+IF(Table3[[#This Row],[Sin cuenta]]="Con Mov.",(IF(Table3[[#This Row],[Movimiento]]="Debe",Table3[[#This Row],[Importe]],IF(Table3[[#This Row],[Movimiento]]="Haber",Table3[[#This Row],[Importe]]*-1,0))),0)</f>
        <v>0</v>
      </c>
      <c r="K56" s="145" t="str">
        <f t="shared" si="1"/>
        <v>DEBE</v>
      </c>
      <c r="L56" s="145" t="str">
        <f t="shared" si="2"/>
        <v/>
      </c>
      <c r="M56" t="str">
        <f>_xlfn.XLOOKUP(Table3[[#This Row],[Cuenta]],Estructura_Balance[Nombre Cuenta ()],Estructura_Balance[Grupo],"",0)</f>
        <v/>
      </c>
      <c r="N56" t="str">
        <f>_xlfn.XLOOKUP(Table3[[#This Row],[Cuenta]],Estructura_Balance[Nombre Cuenta ()],Estructura_Balance[Nivel 1],"",0)</f>
        <v/>
      </c>
      <c r="O56" t="str">
        <f>_xlfn.XLOOKUP(Table3[[#This Row],[Cuenta]],Estructura_Balance[Nombre Cuenta ()],Estructura_Balance[Nivel 2],"",0)</f>
        <v/>
      </c>
      <c r="P56" t="str">
        <f>_xlfn.XLOOKUP(Table3[[#This Row],[Cuenta]],Estructura_Balance[Nombre Cuenta ()],Estructura_Balance[Nivel 3],"",0)</f>
        <v/>
      </c>
      <c r="Q56" t="str">
        <f>_xlfn.XLOOKUP(Table3[[#This Row],[Cuenta]],Estructura_Balance[Nombre Cuenta ()],Estructura_Balance[Nivel 4],"",0)</f>
        <v/>
      </c>
      <c r="R56" t="str">
        <f>_xlfn.XLOOKUP(Table3[[#This Row],[Cuenta]],Table8[Nombre Cuenta ()],Table8[Nivel 1],"",0)</f>
        <v/>
      </c>
      <c r="S56" t="str">
        <f>_xlfn.XLOOKUP(Table3[[#This Row],[Cuenta]],Table8[Nombre Cuenta ()],Table8[Nivel 2],"",0)</f>
        <v/>
      </c>
      <c r="T56" t="str">
        <f>_xlfn.XLOOKUP(Table3[[#This Row],[Cuenta]],Table8[Nombre Cuenta ()],Table8[Nivel 3],"",0)</f>
        <v/>
      </c>
      <c r="U56">
        <v>106</v>
      </c>
      <c r="V56" t="str">
        <f>_xlfn.XLOOKUP(Table3[[#This Row],[Cuenta]],Estructura_Balance[Nombre Cuenta ()],Estructura_Balance[Niveles:2],"",0)</f>
        <v/>
      </c>
      <c r="W56" t="str">
        <f>_xlfn.XLOOKUP(Table3[[#This Row],[Cuenta]],Estructura_Balance[Nombre Cuenta ()],Estructura_Balance[Niveles:3],"",0)</f>
        <v/>
      </c>
      <c r="X56" t="str">
        <f>_xlfn.XLOOKUP(Table3[[#This Row],[Cuenta]],Estructura_Balance[Nombre Cuenta ()],Estructura_Balance[Grupos],"Grupo 1",0)</f>
        <v>Grupo 1</v>
      </c>
      <c r="Y56" t="str">
        <f>+Table3[[#This Row],[BS_Nivel_1]]</f>
        <v/>
      </c>
    </row>
    <row r="57" spans="1:25">
      <c r="A57">
        <f>+'Libro Diario'!F89</f>
        <v>0</v>
      </c>
      <c r="B57" s="144">
        <f>VALUE(IF(+'Libro Diario'!G89="","01/01/2025",+'Libro Diario'!G89))</f>
        <v>45658</v>
      </c>
      <c r="C57">
        <f>IF(ISNUMBER(+IF(IFERROR(VALUE(MID('Libro Diario'!C89,1,4)),0)&lt;&gt;0,'Libro Diario'!C89,0))=FALSE,'Libro Diario'!C89,0)</f>
        <v>0</v>
      </c>
      <c r="D57" s="145">
        <f>+'Libro Diario'!B89</f>
        <v>0</v>
      </c>
      <c r="E57" s="139" t="s">
        <v>445</v>
      </c>
      <c r="F57" t="str">
        <f t="shared" si="0"/>
        <v>Sin Mov.</v>
      </c>
      <c r="G57" t="str">
        <f>IF(+'Libro Diario'!H89=0,"",+'Libro Diario'!H89)</f>
        <v/>
      </c>
      <c r="H57" t="str">
        <f>IF(+'Libro Diario'!I89=0,"",+'Libro Diario'!I89)</f>
        <v/>
      </c>
      <c r="I57" t="str">
        <f>+IF(Table3[[#This Row],[Tipo Movimiento]]="Estructura Balance y PyG","Excluir","Incluir")</f>
        <v>Incluir</v>
      </c>
      <c r="J57" s="153">
        <f>+IF(Table3[[#This Row],[Sin cuenta]]="Con Mov.",(IF(Table3[[#This Row],[Movimiento]]="Debe",Table3[[#This Row],[Importe]],IF(Table3[[#This Row],[Movimiento]]="Haber",Table3[[#This Row],[Importe]]*-1,0))),0)</f>
        <v>0</v>
      </c>
      <c r="K57" s="145">
        <f t="shared" si="1"/>
        <v>0</v>
      </c>
      <c r="L57" s="145" t="str">
        <f t="shared" si="2"/>
        <v/>
      </c>
      <c r="M57" t="str">
        <f>_xlfn.XLOOKUP(Table3[[#This Row],[Cuenta]],Estructura_Balance[Nombre Cuenta ()],Estructura_Balance[Grupo],"",0)</f>
        <v/>
      </c>
      <c r="N57" t="str">
        <f>_xlfn.XLOOKUP(Table3[[#This Row],[Cuenta]],Estructura_Balance[Nombre Cuenta ()],Estructura_Balance[Nivel 1],"",0)</f>
        <v/>
      </c>
      <c r="O57" t="str">
        <f>_xlfn.XLOOKUP(Table3[[#This Row],[Cuenta]],Estructura_Balance[Nombre Cuenta ()],Estructura_Balance[Nivel 2],"",0)</f>
        <v/>
      </c>
      <c r="P57" t="str">
        <f>_xlfn.XLOOKUP(Table3[[#This Row],[Cuenta]],Estructura_Balance[Nombre Cuenta ()],Estructura_Balance[Nivel 3],"",0)</f>
        <v/>
      </c>
      <c r="Q57" t="str">
        <f>_xlfn.XLOOKUP(Table3[[#This Row],[Cuenta]],Estructura_Balance[Nombre Cuenta ()],Estructura_Balance[Nivel 4],"",0)</f>
        <v/>
      </c>
      <c r="R57" t="str">
        <f>_xlfn.XLOOKUP(Table3[[#This Row],[Cuenta]],Table8[Nombre Cuenta ()],Table8[Nivel 1],"",0)</f>
        <v/>
      </c>
      <c r="S57" t="str">
        <f>_xlfn.XLOOKUP(Table3[[#This Row],[Cuenta]],Table8[Nombre Cuenta ()],Table8[Nivel 2],"",0)</f>
        <v/>
      </c>
      <c r="T57" t="str">
        <f>_xlfn.XLOOKUP(Table3[[#This Row],[Cuenta]],Table8[Nombre Cuenta ()],Table8[Nivel 3],"",0)</f>
        <v/>
      </c>
      <c r="U57">
        <v>109</v>
      </c>
      <c r="V57" t="str">
        <f>_xlfn.XLOOKUP(Table3[[#This Row],[Cuenta]],Estructura_Balance[Nombre Cuenta ()],Estructura_Balance[Niveles:2],"",0)</f>
        <v/>
      </c>
      <c r="W57" t="str">
        <f>_xlfn.XLOOKUP(Table3[[#This Row],[Cuenta]],Estructura_Balance[Nombre Cuenta ()],Estructura_Balance[Niveles:3],"",0)</f>
        <v/>
      </c>
      <c r="X57" t="str">
        <f>_xlfn.XLOOKUP(Table3[[#This Row],[Cuenta]],Estructura_Balance[Nombre Cuenta ()],Estructura_Balance[Grupos],"Grupo 1",0)</f>
        <v>Grupo 1</v>
      </c>
      <c r="Y57" t="str">
        <f>+Table3[[#This Row],[BS_Nivel_1]]</f>
        <v/>
      </c>
    </row>
    <row r="58" spans="1:25">
      <c r="A58">
        <f>+'Libro Diario'!F92</f>
        <v>0</v>
      </c>
      <c r="B58" s="144">
        <f>VALUE(IF(+'Libro Diario'!G92="","01/01/2025",+'Libro Diario'!G92))</f>
        <v>45658</v>
      </c>
      <c r="C58">
        <f>IF(ISNUMBER(+IF(IFERROR(VALUE(MID('Libro Diario'!C92,1,4)),0)&lt;&gt;0,'Libro Diario'!C92,0))=FALSE,'Libro Diario'!C92,0)</f>
        <v>0</v>
      </c>
      <c r="D58" s="145" t="str">
        <f>+'Libro Diario'!B92</f>
        <v>Operaciones del Ejercicio</v>
      </c>
      <c r="E58" s="139" t="s">
        <v>445</v>
      </c>
      <c r="F58" t="str">
        <f t="shared" si="0"/>
        <v>Sin Mov.</v>
      </c>
      <c r="G58" t="str">
        <f>IF(+'Libro Diario'!H92=0,"",+'Libro Diario'!H92)</f>
        <v/>
      </c>
      <c r="H58" t="str">
        <f>IF(+'Libro Diario'!I92=0,"",+'Libro Diario'!I92)</f>
        <v/>
      </c>
      <c r="I58" t="str">
        <f>+IF(Table3[[#This Row],[Tipo Movimiento]]="Estructura Balance y PyG","Excluir","Incluir")</f>
        <v>Incluir</v>
      </c>
      <c r="J58" s="153">
        <f>+IF(Table3[[#This Row],[Sin cuenta]]="Con Mov.",(IF(Table3[[#This Row],[Movimiento]]="Debe",Table3[[#This Row],[Importe]],IF(Table3[[#This Row],[Movimiento]]="Haber",Table3[[#This Row],[Importe]]*-1,0))),0)</f>
        <v>0</v>
      </c>
      <c r="K58" s="145" t="str">
        <f t="shared" si="1"/>
        <v>Operaciones del Ejercicio</v>
      </c>
      <c r="L58" s="145" t="str">
        <f t="shared" si="2"/>
        <v/>
      </c>
      <c r="M58" t="str">
        <f>_xlfn.XLOOKUP(Table3[[#This Row],[Cuenta]],Estructura_Balance[Nombre Cuenta ()],Estructura_Balance[Grupo],"",0)</f>
        <v/>
      </c>
      <c r="N58" t="str">
        <f>_xlfn.XLOOKUP(Table3[[#This Row],[Cuenta]],Estructura_Balance[Nombre Cuenta ()],Estructura_Balance[Nivel 1],"",0)</f>
        <v/>
      </c>
      <c r="O58" t="str">
        <f>_xlfn.XLOOKUP(Table3[[#This Row],[Cuenta]],Estructura_Balance[Nombre Cuenta ()],Estructura_Balance[Nivel 2],"",0)</f>
        <v/>
      </c>
      <c r="P58" t="str">
        <f>_xlfn.XLOOKUP(Table3[[#This Row],[Cuenta]],Estructura_Balance[Nombre Cuenta ()],Estructura_Balance[Nivel 3],"",0)</f>
        <v/>
      </c>
      <c r="Q58" t="str">
        <f>_xlfn.XLOOKUP(Table3[[#This Row],[Cuenta]],Estructura_Balance[Nombre Cuenta ()],Estructura_Balance[Nivel 4],"",0)</f>
        <v/>
      </c>
      <c r="R58" t="str">
        <f>_xlfn.XLOOKUP(Table3[[#This Row],[Cuenta]],Table8[Nombre Cuenta ()],Table8[Nivel 1],"",0)</f>
        <v/>
      </c>
      <c r="S58" t="str">
        <f>_xlfn.XLOOKUP(Table3[[#This Row],[Cuenta]],Table8[Nombre Cuenta ()],Table8[Nivel 2],"",0)</f>
        <v/>
      </c>
      <c r="T58" t="str">
        <f>_xlfn.XLOOKUP(Table3[[#This Row],[Cuenta]],Table8[Nombre Cuenta ()],Table8[Nivel 3],"",0)</f>
        <v/>
      </c>
      <c r="U58">
        <v>112</v>
      </c>
      <c r="V58" t="str">
        <f>_xlfn.XLOOKUP(Table3[[#This Row],[Cuenta]],Estructura_Balance[Nombre Cuenta ()],Estructura_Balance[Niveles:2],"",0)</f>
        <v/>
      </c>
      <c r="W58" t="str">
        <f>_xlfn.XLOOKUP(Table3[[#This Row],[Cuenta]],Estructura_Balance[Nombre Cuenta ()],Estructura_Balance[Niveles:3],"",0)</f>
        <v/>
      </c>
      <c r="X58" t="str">
        <f>_xlfn.XLOOKUP(Table3[[#This Row],[Cuenta]],Estructura_Balance[Nombre Cuenta ()],Estructura_Balance[Grupos],"Grupo 1",0)</f>
        <v>Grupo 1</v>
      </c>
      <c r="Y58" t="str">
        <f>+Table3[[#This Row],[BS_Nivel_1]]</f>
        <v/>
      </c>
    </row>
    <row r="59" spans="1:25">
      <c r="A59">
        <f>+'Libro Diario'!F93</f>
        <v>0</v>
      </c>
      <c r="B59" s="144">
        <f>VALUE(IF(+'Libro Diario'!G93="","01/01/2025",+'Libro Diario'!G93))</f>
        <v>45658</v>
      </c>
      <c r="C59">
        <f>IF(ISNUMBER(+IF(IFERROR(VALUE(MID('Libro Diario'!C93,1,4)),0)&lt;&gt;0,'Libro Diario'!C93,0))=FALSE,'Libro Diario'!C93,0)</f>
        <v>0</v>
      </c>
      <c r="D59" s="145" t="str">
        <f>+'Libro Diario'!B93</f>
        <v>Asiento Cuadrado</v>
      </c>
      <c r="E59" s="139" t="s">
        <v>445</v>
      </c>
      <c r="F59" t="str">
        <f t="shared" si="0"/>
        <v>Sin Mov.</v>
      </c>
      <c r="G59" t="str">
        <f>IF(+'Libro Diario'!H93=0,"",+'Libro Diario'!H93)</f>
        <v/>
      </c>
      <c r="H59" t="str">
        <f>IF(+'Libro Diario'!I93=0,"",+'Libro Diario'!I93)</f>
        <v/>
      </c>
      <c r="I59" t="str">
        <f>+IF(Table3[[#This Row],[Tipo Movimiento]]="Estructura Balance y PyG","Excluir","Incluir")</f>
        <v>Incluir</v>
      </c>
      <c r="J59" s="153">
        <f>+IF(Table3[[#This Row],[Sin cuenta]]="Con Mov.",(IF(Table3[[#This Row],[Movimiento]]="Debe",Table3[[#This Row],[Importe]],IF(Table3[[#This Row],[Movimiento]]="Haber",Table3[[#This Row],[Importe]]*-1,0))),0)</f>
        <v>0</v>
      </c>
      <c r="K59" s="145" t="str">
        <f t="shared" si="1"/>
        <v>Asiento Cuadrado</v>
      </c>
      <c r="L59" s="145" t="str">
        <f t="shared" si="2"/>
        <v/>
      </c>
      <c r="M59" t="str">
        <f>_xlfn.XLOOKUP(Table3[[#This Row],[Cuenta]],Estructura_Balance[Nombre Cuenta ()],Estructura_Balance[Grupo],"",0)</f>
        <v/>
      </c>
      <c r="N59" t="str">
        <f>_xlfn.XLOOKUP(Table3[[#This Row],[Cuenta]],Estructura_Balance[Nombre Cuenta ()],Estructura_Balance[Nivel 1],"",0)</f>
        <v/>
      </c>
      <c r="O59" t="str">
        <f>_xlfn.XLOOKUP(Table3[[#This Row],[Cuenta]],Estructura_Balance[Nombre Cuenta ()],Estructura_Balance[Nivel 2],"",0)</f>
        <v/>
      </c>
      <c r="P59" t="str">
        <f>_xlfn.XLOOKUP(Table3[[#This Row],[Cuenta]],Estructura_Balance[Nombre Cuenta ()],Estructura_Balance[Nivel 3],"",0)</f>
        <v/>
      </c>
      <c r="Q59" t="str">
        <f>_xlfn.XLOOKUP(Table3[[#This Row],[Cuenta]],Estructura_Balance[Nombre Cuenta ()],Estructura_Balance[Nivel 4],"",0)</f>
        <v/>
      </c>
      <c r="R59" t="str">
        <f>_xlfn.XLOOKUP(Table3[[#This Row],[Cuenta]],Table8[Nombre Cuenta ()],Table8[Nivel 1],"",0)</f>
        <v/>
      </c>
      <c r="S59" t="str">
        <f>_xlfn.XLOOKUP(Table3[[#This Row],[Cuenta]],Table8[Nombre Cuenta ()],Table8[Nivel 2],"",0)</f>
        <v/>
      </c>
      <c r="T59" t="str">
        <f>_xlfn.XLOOKUP(Table3[[#This Row],[Cuenta]],Table8[Nombre Cuenta ()],Table8[Nivel 3],"",0)</f>
        <v/>
      </c>
      <c r="U59">
        <v>113</v>
      </c>
      <c r="V59" t="str">
        <f>_xlfn.XLOOKUP(Table3[[#This Row],[Cuenta]],Estructura_Balance[Nombre Cuenta ()],Estructura_Balance[Niveles:2],"",0)</f>
        <v/>
      </c>
      <c r="W59" t="str">
        <f>_xlfn.XLOOKUP(Table3[[#This Row],[Cuenta]],Estructura_Balance[Nombre Cuenta ()],Estructura_Balance[Niveles:3],"",0)</f>
        <v/>
      </c>
      <c r="X59" t="str">
        <f>_xlfn.XLOOKUP(Table3[[#This Row],[Cuenta]],Estructura_Balance[Nombre Cuenta ()],Estructura_Balance[Grupos],"Grupo 1",0)</f>
        <v>Grupo 1</v>
      </c>
      <c r="Y59" t="str">
        <f>+Table3[[#This Row],[BS_Nivel_1]]</f>
        <v/>
      </c>
    </row>
    <row r="60" spans="1:25">
      <c r="A60">
        <f>+'Libro Diario'!F94</f>
        <v>0</v>
      </c>
      <c r="B60" s="144">
        <f>VALUE(IF(+'Libro Diario'!G94="","01/01/2025",+'Libro Diario'!G94))</f>
        <v>45658</v>
      </c>
      <c r="C60">
        <f>IF(ISNUMBER(+IF(IFERROR(VALUE(MID('Libro Diario'!C94,1,4)),0)&lt;&gt;0,'Libro Diario'!C94,0))=FALSE,'Libro Diario'!C94,0)</f>
        <v>0</v>
      </c>
      <c r="D60" s="145">
        <f>+'Libro Diario'!B94</f>
        <v>0</v>
      </c>
      <c r="E60" s="139" t="s">
        <v>445</v>
      </c>
      <c r="F60" t="str">
        <f t="shared" si="0"/>
        <v>Sin Mov.</v>
      </c>
      <c r="G60" t="str">
        <f>IF(+'Libro Diario'!H94=0,"",+'Libro Diario'!H94)</f>
        <v/>
      </c>
      <c r="H60" t="str">
        <f>IF(+'Libro Diario'!I94=0,"",+'Libro Diario'!I94)</f>
        <v/>
      </c>
      <c r="I60" t="str">
        <f>+IF(Table3[[#This Row],[Tipo Movimiento]]="Estructura Balance y PyG","Excluir","Incluir")</f>
        <v>Incluir</v>
      </c>
      <c r="J60" s="153">
        <f>+IF(Table3[[#This Row],[Sin cuenta]]="Con Mov.",(IF(Table3[[#This Row],[Movimiento]]="Debe",Table3[[#This Row],[Importe]],IF(Table3[[#This Row],[Movimiento]]="Haber",Table3[[#This Row],[Importe]]*-1,0))),0)</f>
        <v>0</v>
      </c>
      <c r="K60" s="145">
        <f t="shared" si="1"/>
        <v>0</v>
      </c>
      <c r="L60" s="145" t="str">
        <f t="shared" si="2"/>
        <v/>
      </c>
      <c r="M60" t="str">
        <f>_xlfn.XLOOKUP(Table3[[#This Row],[Cuenta]],Estructura_Balance[Nombre Cuenta ()],Estructura_Balance[Grupo],"",0)</f>
        <v/>
      </c>
      <c r="N60" t="str">
        <f>_xlfn.XLOOKUP(Table3[[#This Row],[Cuenta]],Estructura_Balance[Nombre Cuenta ()],Estructura_Balance[Nivel 1],"",0)</f>
        <v/>
      </c>
      <c r="O60" t="str">
        <f>_xlfn.XLOOKUP(Table3[[#This Row],[Cuenta]],Estructura_Balance[Nombre Cuenta ()],Estructura_Balance[Nivel 2],"",0)</f>
        <v/>
      </c>
      <c r="P60" t="str">
        <f>_xlfn.XLOOKUP(Table3[[#This Row],[Cuenta]],Estructura_Balance[Nombre Cuenta ()],Estructura_Balance[Nivel 3],"",0)</f>
        <v/>
      </c>
      <c r="Q60" t="str">
        <f>_xlfn.XLOOKUP(Table3[[#This Row],[Cuenta]],Estructura_Balance[Nombre Cuenta ()],Estructura_Balance[Nivel 4],"",0)</f>
        <v/>
      </c>
      <c r="R60" t="str">
        <f>_xlfn.XLOOKUP(Table3[[#This Row],[Cuenta]],Table8[Nombre Cuenta ()],Table8[Nivel 1],"",0)</f>
        <v/>
      </c>
      <c r="S60" t="str">
        <f>_xlfn.XLOOKUP(Table3[[#This Row],[Cuenta]],Table8[Nombre Cuenta ()],Table8[Nivel 2],"",0)</f>
        <v/>
      </c>
      <c r="T60" t="str">
        <f>_xlfn.XLOOKUP(Table3[[#This Row],[Cuenta]],Table8[Nombre Cuenta ()],Table8[Nivel 3],"",0)</f>
        <v/>
      </c>
      <c r="U60">
        <v>116</v>
      </c>
      <c r="V60" t="str">
        <f>_xlfn.XLOOKUP(Table3[[#This Row],[Cuenta]],Estructura_Balance[Nombre Cuenta ()],Estructura_Balance[Niveles:2],"",0)</f>
        <v/>
      </c>
      <c r="W60" t="str">
        <f>_xlfn.XLOOKUP(Table3[[#This Row],[Cuenta]],Estructura_Balance[Nombre Cuenta ()],Estructura_Balance[Niveles:3],"",0)</f>
        <v/>
      </c>
      <c r="X60" t="str">
        <f>_xlfn.XLOOKUP(Table3[[#This Row],[Cuenta]],Estructura_Balance[Nombre Cuenta ()],Estructura_Balance[Grupos],"Grupo 1",0)</f>
        <v>Grupo 1</v>
      </c>
      <c r="Y60" t="str">
        <f>+Table3[[#This Row],[BS_Nivel_1]]</f>
        <v/>
      </c>
    </row>
    <row r="61" spans="1:25">
      <c r="A61">
        <f>+'Libro Diario'!F95</f>
        <v>0</v>
      </c>
      <c r="B61" s="144">
        <f>VALUE(IF(+'Libro Diario'!G95="","01/01/2025",+'Libro Diario'!G95))</f>
        <v>45658</v>
      </c>
      <c r="C61">
        <f>IF(ISNUMBER(+IF(IFERROR(VALUE(MID('Libro Diario'!C95,1,4)),0)&lt;&gt;0,'Libro Diario'!C95,0))=FALSE,'Libro Diario'!C95,0)</f>
        <v>0</v>
      </c>
      <c r="D61" s="145" t="str">
        <f>+'Libro Diario'!B95</f>
        <v>DEBE</v>
      </c>
      <c r="E61" s="139" t="s">
        <v>445</v>
      </c>
      <c r="F61" t="str">
        <f t="shared" si="0"/>
        <v>Sin Mov.</v>
      </c>
      <c r="G61" t="str">
        <f>IF(+'Libro Diario'!H95=0,"",+'Libro Diario'!H95)</f>
        <v/>
      </c>
      <c r="H61" t="str">
        <f>IF(+'Libro Diario'!I95=0,"",+'Libro Diario'!I95)</f>
        <v/>
      </c>
      <c r="I61" t="str">
        <f>+IF(Table3[[#This Row],[Tipo Movimiento]]="Estructura Balance y PyG","Excluir","Incluir")</f>
        <v>Incluir</v>
      </c>
      <c r="J61" s="153">
        <f>+IF(Table3[[#This Row],[Sin cuenta]]="Con Mov.",(IF(Table3[[#This Row],[Movimiento]]="Debe",Table3[[#This Row],[Importe]],IF(Table3[[#This Row],[Movimiento]]="Haber",Table3[[#This Row],[Importe]]*-1,0))),0)</f>
        <v>0</v>
      </c>
      <c r="K61" s="145" t="str">
        <f t="shared" si="1"/>
        <v>DEBE</v>
      </c>
      <c r="L61" s="145" t="str">
        <f t="shared" si="2"/>
        <v/>
      </c>
      <c r="M61" t="str">
        <f>_xlfn.XLOOKUP(Table3[[#This Row],[Cuenta]],Estructura_Balance[Nombre Cuenta ()],Estructura_Balance[Grupo],"",0)</f>
        <v/>
      </c>
      <c r="N61" t="str">
        <f>_xlfn.XLOOKUP(Table3[[#This Row],[Cuenta]],Estructura_Balance[Nombre Cuenta ()],Estructura_Balance[Nivel 1],"",0)</f>
        <v/>
      </c>
      <c r="O61" t="str">
        <f>_xlfn.XLOOKUP(Table3[[#This Row],[Cuenta]],Estructura_Balance[Nombre Cuenta ()],Estructura_Balance[Nivel 2],"",0)</f>
        <v/>
      </c>
      <c r="P61" t="str">
        <f>_xlfn.XLOOKUP(Table3[[#This Row],[Cuenta]],Estructura_Balance[Nombre Cuenta ()],Estructura_Balance[Nivel 3],"",0)</f>
        <v/>
      </c>
      <c r="Q61" t="str">
        <f>_xlfn.XLOOKUP(Table3[[#This Row],[Cuenta]],Estructura_Balance[Nombre Cuenta ()],Estructura_Balance[Nivel 4],"",0)</f>
        <v/>
      </c>
      <c r="R61" t="str">
        <f>_xlfn.XLOOKUP(Table3[[#This Row],[Cuenta]],Table8[Nombre Cuenta ()],Table8[Nivel 1],"",0)</f>
        <v/>
      </c>
      <c r="S61" t="str">
        <f>_xlfn.XLOOKUP(Table3[[#This Row],[Cuenta]],Table8[Nombre Cuenta ()],Table8[Nivel 2],"",0)</f>
        <v/>
      </c>
      <c r="T61" t="str">
        <f>_xlfn.XLOOKUP(Table3[[#This Row],[Cuenta]],Table8[Nombre Cuenta ()],Table8[Nivel 3],"",0)</f>
        <v/>
      </c>
      <c r="U61">
        <v>117</v>
      </c>
      <c r="V61" t="str">
        <f>_xlfn.XLOOKUP(Table3[[#This Row],[Cuenta]],Estructura_Balance[Nombre Cuenta ()],Estructura_Balance[Niveles:2],"",0)</f>
        <v/>
      </c>
      <c r="W61" t="str">
        <f>_xlfn.XLOOKUP(Table3[[#This Row],[Cuenta]],Estructura_Balance[Nombre Cuenta ()],Estructura_Balance[Niveles:3],"",0)</f>
        <v/>
      </c>
      <c r="X61" t="str">
        <f>_xlfn.XLOOKUP(Table3[[#This Row],[Cuenta]],Estructura_Balance[Nombre Cuenta ()],Estructura_Balance[Grupos],"Grupo 1",0)</f>
        <v>Grupo 1</v>
      </c>
      <c r="Y61" t="str">
        <f>+Table3[[#This Row],[BS_Nivel_1]]</f>
        <v/>
      </c>
    </row>
    <row r="62" spans="1:25">
      <c r="A62">
        <f>+'Libro Diario'!F96</f>
        <v>0</v>
      </c>
      <c r="B62" s="144">
        <f>VALUE(IF(+'Libro Diario'!G96="","01/01/2025",+'Libro Diario'!G96))</f>
        <v>45658</v>
      </c>
      <c r="C62">
        <f>IF(ISNUMBER(+IF(IFERROR(VALUE(MID('Libro Diario'!C96,1,4)),0)&lt;&gt;0,'Libro Diario'!C96,0))=FALSE,'Libro Diario'!C96,0)</f>
        <v>0</v>
      </c>
      <c r="D62" s="145">
        <f>+'Libro Diario'!B96</f>
        <v>0</v>
      </c>
      <c r="E62" s="139" t="s">
        <v>445</v>
      </c>
      <c r="F62" t="str">
        <f t="shared" si="0"/>
        <v>Sin Mov.</v>
      </c>
      <c r="G62" t="str">
        <f>IF(+'Libro Diario'!H96=0,"",+'Libro Diario'!H96)</f>
        <v/>
      </c>
      <c r="H62" t="str">
        <f>IF(+'Libro Diario'!I96=0,"",+'Libro Diario'!I96)</f>
        <v/>
      </c>
      <c r="I62" t="str">
        <f>+IF(Table3[[#This Row],[Tipo Movimiento]]="Estructura Balance y PyG","Excluir","Incluir")</f>
        <v>Incluir</v>
      </c>
      <c r="J62" s="153">
        <f>+IF(Table3[[#This Row],[Sin cuenta]]="Con Mov.",(IF(Table3[[#This Row],[Movimiento]]="Debe",Table3[[#This Row],[Importe]],IF(Table3[[#This Row],[Movimiento]]="Haber",Table3[[#This Row],[Importe]]*-1,0))),0)</f>
        <v>0</v>
      </c>
      <c r="K62" s="145">
        <f t="shared" si="1"/>
        <v>0</v>
      </c>
      <c r="L62" s="145" t="str">
        <f t="shared" si="2"/>
        <v/>
      </c>
      <c r="M62" t="str">
        <f>_xlfn.XLOOKUP(Table3[[#This Row],[Cuenta]],Estructura_Balance[Nombre Cuenta ()],Estructura_Balance[Grupo],"",0)</f>
        <v/>
      </c>
      <c r="N62" t="str">
        <f>_xlfn.XLOOKUP(Table3[[#This Row],[Cuenta]],Estructura_Balance[Nombre Cuenta ()],Estructura_Balance[Nivel 1],"",0)</f>
        <v/>
      </c>
      <c r="O62" t="str">
        <f>_xlfn.XLOOKUP(Table3[[#This Row],[Cuenta]],Estructura_Balance[Nombre Cuenta ()],Estructura_Balance[Nivel 2],"",0)</f>
        <v/>
      </c>
      <c r="P62" t="str">
        <f>_xlfn.XLOOKUP(Table3[[#This Row],[Cuenta]],Estructura_Balance[Nombre Cuenta ()],Estructura_Balance[Nivel 3],"",0)</f>
        <v/>
      </c>
      <c r="Q62" t="str">
        <f>_xlfn.XLOOKUP(Table3[[#This Row],[Cuenta]],Estructura_Balance[Nombre Cuenta ()],Estructura_Balance[Nivel 4],"",0)</f>
        <v/>
      </c>
      <c r="R62" t="str">
        <f>_xlfn.XLOOKUP(Table3[[#This Row],[Cuenta]],Table8[Nombre Cuenta ()],Table8[Nivel 1],"",0)</f>
        <v/>
      </c>
      <c r="S62" t="str">
        <f>_xlfn.XLOOKUP(Table3[[#This Row],[Cuenta]],Table8[Nombre Cuenta ()],Table8[Nivel 2],"",0)</f>
        <v/>
      </c>
      <c r="T62" t="str">
        <f>_xlfn.XLOOKUP(Table3[[#This Row],[Cuenta]],Table8[Nombre Cuenta ()],Table8[Nivel 3],"",0)</f>
        <v/>
      </c>
      <c r="U62">
        <v>118</v>
      </c>
      <c r="V62" t="str">
        <f>_xlfn.XLOOKUP(Table3[[#This Row],[Cuenta]],Estructura_Balance[Nombre Cuenta ()],Estructura_Balance[Niveles:2],"",0)</f>
        <v/>
      </c>
      <c r="W62" t="str">
        <f>_xlfn.XLOOKUP(Table3[[#This Row],[Cuenta]],Estructura_Balance[Nombre Cuenta ()],Estructura_Balance[Niveles:3],"",0)</f>
        <v/>
      </c>
      <c r="X62" t="str">
        <f>_xlfn.XLOOKUP(Table3[[#This Row],[Cuenta]],Estructura_Balance[Nombre Cuenta ()],Estructura_Balance[Grupos],"Grupo 1",0)</f>
        <v>Grupo 1</v>
      </c>
      <c r="Y62" t="str">
        <f>+Table3[[#This Row],[BS_Nivel_1]]</f>
        <v/>
      </c>
    </row>
    <row r="63" spans="1:25">
      <c r="A63">
        <f>+'Libro Diario'!F99</f>
        <v>0</v>
      </c>
      <c r="B63" s="144">
        <f>VALUE(IF(+'Libro Diario'!G99="","01/01/2025",+'Libro Diario'!G99))</f>
        <v>45658</v>
      </c>
      <c r="C63">
        <f>IF(ISNUMBER(+IF(IFERROR(VALUE(MID('Libro Diario'!C99,1,4)),0)&lt;&gt;0,'Libro Diario'!C99,0))=FALSE,'Libro Diario'!C99,0)</f>
        <v>0</v>
      </c>
      <c r="D63" s="145" t="str">
        <f>+'Libro Diario'!B99</f>
        <v>Operaciones del Ejercicio</v>
      </c>
      <c r="E63" s="139" t="s">
        <v>445</v>
      </c>
      <c r="F63" t="str">
        <f t="shared" si="0"/>
        <v>Sin Mov.</v>
      </c>
      <c r="G63" t="str">
        <f>IF(+'Libro Diario'!H99=0,"",+'Libro Diario'!H99)</f>
        <v/>
      </c>
      <c r="H63" t="str">
        <f>IF(+'Libro Diario'!I99=0,"",+'Libro Diario'!I99)</f>
        <v/>
      </c>
      <c r="I63" t="str">
        <f>+IF(Table3[[#This Row],[Tipo Movimiento]]="Estructura Balance y PyG","Excluir","Incluir")</f>
        <v>Incluir</v>
      </c>
      <c r="J63" s="153">
        <f>+IF(Table3[[#This Row],[Sin cuenta]]="Con Mov.",(IF(Table3[[#This Row],[Movimiento]]="Debe",Table3[[#This Row],[Importe]],IF(Table3[[#This Row],[Movimiento]]="Haber",Table3[[#This Row],[Importe]]*-1,0))),0)</f>
        <v>0</v>
      </c>
      <c r="K63" s="145" t="str">
        <f t="shared" si="1"/>
        <v>Operaciones del Ejercicio</v>
      </c>
      <c r="L63" s="145" t="str">
        <f t="shared" si="2"/>
        <v/>
      </c>
      <c r="M63" t="str">
        <f>_xlfn.XLOOKUP(Table3[[#This Row],[Cuenta]],Estructura_Balance[Nombre Cuenta ()],Estructura_Balance[Grupo],"",0)</f>
        <v/>
      </c>
      <c r="N63" t="str">
        <f>_xlfn.XLOOKUP(Table3[[#This Row],[Cuenta]],Estructura_Balance[Nombre Cuenta ()],Estructura_Balance[Nivel 1],"",0)</f>
        <v/>
      </c>
      <c r="O63" t="str">
        <f>_xlfn.XLOOKUP(Table3[[#This Row],[Cuenta]],Estructura_Balance[Nombre Cuenta ()],Estructura_Balance[Nivel 2],"",0)</f>
        <v/>
      </c>
      <c r="P63" t="str">
        <f>_xlfn.XLOOKUP(Table3[[#This Row],[Cuenta]],Estructura_Balance[Nombre Cuenta ()],Estructura_Balance[Nivel 3],"",0)</f>
        <v/>
      </c>
      <c r="Q63" t="str">
        <f>_xlfn.XLOOKUP(Table3[[#This Row],[Cuenta]],Estructura_Balance[Nombre Cuenta ()],Estructura_Balance[Nivel 4],"",0)</f>
        <v/>
      </c>
      <c r="R63" t="str">
        <f>_xlfn.XLOOKUP(Table3[[#This Row],[Cuenta]],Table8[Nombre Cuenta ()],Table8[Nivel 1],"",0)</f>
        <v/>
      </c>
      <c r="S63" t="str">
        <f>_xlfn.XLOOKUP(Table3[[#This Row],[Cuenta]],Table8[Nombre Cuenta ()],Table8[Nivel 2],"",0)</f>
        <v/>
      </c>
      <c r="T63" t="str">
        <f>_xlfn.XLOOKUP(Table3[[#This Row],[Cuenta]],Table8[Nombre Cuenta ()],Table8[Nivel 3],"",0)</f>
        <v/>
      </c>
      <c r="U63">
        <v>123</v>
      </c>
      <c r="V63" t="str">
        <f>_xlfn.XLOOKUP(Table3[[#This Row],[Cuenta]],Estructura_Balance[Nombre Cuenta ()],Estructura_Balance[Niveles:2],"",0)</f>
        <v/>
      </c>
      <c r="W63" t="str">
        <f>_xlfn.XLOOKUP(Table3[[#This Row],[Cuenta]],Estructura_Balance[Nombre Cuenta ()],Estructura_Balance[Niveles:3],"",0)</f>
        <v/>
      </c>
      <c r="X63" t="str">
        <f>_xlfn.XLOOKUP(Table3[[#This Row],[Cuenta]],Estructura_Balance[Nombre Cuenta ()],Estructura_Balance[Grupos],"Grupo 1",0)</f>
        <v>Grupo 1</v>
      </c>
      <c r="Y63" t="str">
        <f>+Table3[[#This Row],[BS_Nivel_1]]</f>
        <v/>
      </c>
    </row>
    <row r="64" spans="1:25">
      <c r="A64">
        <f>+'Libro Diario'!F100</f>
        <v>0</v>
      </c>
      <c r="B64" s="144">
        <f>VALUE(IF(+'Libro Diario'!G100="","01/01/2025",+'Libro Diario'!G100))</f>
        <v>45658</v>
      </c>
      <c r="C64">
        <f>IF(ISNUMBER(+IF(IFERROR(VALUE(MID('Libro Diario'!C100,1,4)),0)&lt;&gt;0,'Libro Diario'!C100,0))=FALSE,'Libro Diario'!C100,0)</f>
        <v>0</v>
      </c>
      <c r="D64" s="145" t="str">
        <f>+'Libro Diario'!B100</f>
        <v>Asiento Cuadrado</v>
      </c>
      <c r="E64" s="139" t="s">
        <v>445</v>
      </c>
      <c r="F64" t="str">
        <f t="shared" si="0"/>
        <v>Sin Mov.</v>
      </c>
      <c r="G64" t="str">
        <f>IF(+'Libro Diario'!H100=0,"",+'Libro Diario'!H100)</f>
        <v/>
      </c>
      <c r="H64" t="str">
        <f>IF(+'Libro Diario'!I100=0,"",+'Libro Diario'!I100)</f>
        <v/>
      </c>
      <c r="I64" t="str">
        <f>+IF(Table3[[#This Row],[Tipo Movimiento]]="Estructura Balance y PyG","Excluir","Incluir")</f>
        <v>Incluir</v>
      </c>
      <c r="J64" s="153">
        <f>+IF(Table3[[#This Row],[Sin cuenta]]="Con Mov.",(IF(Table3[[#This Row],[Movimiento]]="Debe",Table3[[#This Row],[Importe]],IF(Table3[[#This Row],[Movimiento]]="Haber",Table3[[#This Row],[Importe]]*-1,0))),0)</f>
        <v>0</v>
      </c>
      <c r="K64" s="145" t="str">
        <f t="shared" si="1"/>
        <v>Asiento Cuadrado</v>
      </c>
      <c r="L64" s="145" t="str">
        <f t="shared" si="2"/>
        <v/>
      </c>
      <c r="M64" t="str">
        <f>_xlfn.XLOOKUP(Table3[[#This Row],[Cuenta]],Estructura_Balance[Nombre Cuenta ()],Estructura_Balance[Grupo],"",0)</f>
        <v/>
      </c>
      <c r="N64" t="str">
        <f>_xlfn.XLOOKUP(Table3[[#This Row],[Cuenta]],Estructura_Balance[Nombre Cuenta ()],Estructura_Balance[Nivel 1],"",0)</f>
        <v/>
      </c>
      <c r="O64" t="str">
        <f>_xlfn.XLOOKUP(Table3[[#This Row],[Cuenta]],Estructura_Balance[Nombre Cuenta ()],Estructura_Balance[Nivel 2],"",0)</f>
        <v/>
      </c>
      <c r="P64" t="str">
        <f>_xlfn.XLOOKUP(Table3[[#This Row],[Cuenta]],Estructura_Balance[Nombre Cuenta ()],Estructura_Balance[Nivel 3],"",0)</f>
        <v/>
      </c>
      <c r="Q64" t="str">
        <f>_xlfn.XLOOKUP(Table3[[#This Row],[Cuenta]],Estructura_Balance[Nombre Cuenta ()],Estructura_Balance[Nivel 4],"",0)</f>
        <v/>
      </c>
      <c r="R64" t="str">
        <f>_xlfn.XLOOKUP(Table3[[#This Row],[Cuenta]],Table8[Nombre Cuenta ()],Table8[Nivel 1],"",0)</f>
        <v/>
      </c>
      <c r="S64" t="str">
        <f>_xlfn.XLOOKUP(Table3[[#This Row],[Cuenta]],Table8[Nombre Cuenta ()],Table8[Nivel 2],"",0)</f>
        <v/>
      </c>
      <c r="T64" t="str">
        <f>_xlfn.XLOOKUP(Table3[[#This Row],[Cuenta]],Table8[Nombre Cuenta ()],Table8[Nivel 3],"",0)</f>
        <v/>
      </c>
      <c r="U64">
        <v>124</v>
      </c>
      <c r="V64" t="str">
        <f>_xlfn.XLOOKUP(Table3[[#This Row],[Cuenta]],Estructura_Balance[Nombre Cuenta ()],Estructura_Balance[Niveles:2],"",0)</f>
        <v/>
      </c>
      <c r="W64" t="str">
        <f>_xlfn.XLOOKUP(Table3[[#This Row],[Cuenta]],Estructura_Balance[Nombre Cuenta ()],Estructura_Balance[Niveles:3],"",0)</f>
        <v/>
      </c>
      <c r="X64" t="str">
        <f>_xlfn.XLOOKUP(Table3[[#This Row],[Cuenta]],Estructura_Balance[Nombre Cuenta ()],Estructura_Balance[Grupos],"Grupo 1",0)</f>
        <v>Grupo 1</v>
      </c>
      <c r="Y64" t="str">
        <f>+Table3[[#This Row],[BS_Nivel_1]]</f>
        <v/>
      </c>
    </row>
    <row r="65" spans="1:25">
      <c r="A65">
        <f>+'Libro Diario'!F101</f>
        <v>0</v>
      </c>
      <c r="B65" s="144">
        <f>VALUE(IF(+'Libro Diario'!G101="","01/01/2025",+'Libro Diario'!G101))</f>
        <v>45658</v>
      </c>
      <c r="C65">
        <f>IF(ISNUMBER(+IF(IFERROR(VALUE(MID('Libro Diario'!C101,1,4)),0)&lt;&gt;0,'Libro Diario'!C101,0))=FALSE,'Libro Diario'!C101,0)</f>
        <v>0</v>
      </c>
      <c r="D65" s="145">
        <f>+'Libro Diario'!B101</f>
        <v>0</v>
      </c>
      <c r="E65" s="139" t="s">
        <v>445</v>
      </c>
      <c r="F65" t="str">
        <f t="shared" si="0"/>
        <v>Sin Mov.</v>
      </c>
      <c r="G65" t="str">
        <f>IF(+'Libro Diario'!H101=0,"",+'Libro Diario'!H101)</f>
        <v/>
      </c>
      <c r="H65" t="str">
        <f>IF(+'Libro Diario'!I101=0,"",+'Libro Diario'!I101)</f>
        <v/>
      </c>
      <c r="I65" t="str">
        <f>+IF(Table3[[#This Row],[Tipo Movimiento]]="Estructura Balance y PyG","Excluir","Incluir")</f>
        <v>Incluir</v>
      </c>
      <c r="J65" s="153">
        <f>+IF(Table3[[#This Row],[Sin cuenta]]="Con Mov.",(IF(Table3[[#This Row],[Movimiento]]="Debe",Table3[[#This Row],[Importe]],IF(Table3[[#This Row],[Movimiento]]="Haber",Table3[[#This Row],[Importe]]*-1,0))),0)</f>
        <v>0</v>
      </c>
      <c r="K65" s="145">
        <f t="shared" si="1"/>
        <v>0</v>
      </c>
      <c r="L65" s="145" t="str">
        <f t="shared" si="2"/>
        <v/>
      </c>
      <c r="M65" t="str">
        <f>_xlfn.XLOOKUP(Table3[[#This Row],[Cuenta]],Estructura_Balance[Nombre Cuenta ()],Estructura_Balance[Grupo],"",0)</f>
        <v/>
      </c>
      <c r="N65" t="str">
        <f>_xlfn.XLOOKUP(Table3[[#This Row],[Cuenta]],Estructura_Balance[Nombre Cuenta ()],Estructura_Balance[Nivel 1],"",0)</f>
        <v/>
      </c>
      <c r="O65" t="str">
        <f>_xlfn.XLOOKUP(Table3[[#This Row],[Cuenta]],Estructura_Balance[Nombre Cuenta ()],Estructura_Balance[Nivel 2],"",0)</f>
        <v/>
      </c>
      <c r="P65" t="str">
        <f>_xlfn.XLOOKUP(Table3[[#This Row],[Cuenta]],Estructura_Balance[Nombre Cuenta ()],Estructura_Balance[Nivel 3],"",0)</f>
        <v/>
      </c>
      <c r="Q65" t="str">
        <f>_xlfn.XLOOKUP(Table3[[#This Row],[Cuenta]],Estructura_Balance[Nombre Cuenta ()],Estructura_Balance[Nivel 4],"",0)</f>
        <v/>
      </c>
      <c r="R65" t="str">
        <f>_xlfn.XLOOKUP(Table3[[#This Row],[Cuenta]],Table8[Nombre Cuenta ()],Table8[Nivel 1],"",0)</f>
        <v/>
      </c>
      <c r="S65" t="str">
        <f>_xlfn.XLOOKUP(Table3[[#This Row],[Cuenta]],Table8[Nombre Cuenta ()],Table8[Nivel 2],"",0)</f>
        <v/>
      </c>
      <c r="T65" t="str">
        <f>_xlfn.XLOOKUP(Table3[[#This Row],[Cuenta]],Table8[Nombre Cuenta ()],Table8[Nivel 3],"",0)</f>
        <v/>
      </c>
      <c r="U65">
        <v>125</v>
      </c>
      <c r="V65" t="str">
        <f>_xlfn.XLOOKUP(Table3[[#This Row],[Cuenta]],Estructura_Balance[Nombre Cuenta ()],Estructura_Balance[Niveles:2],"",0)</f>
        <v/>
      </c>
      <c r="W65" t="str">
        <f>_xlfn.XLOOKUP(Table3[[#This Row],[Cuenta]],Estructura_Balance[Nombre Cuenta ()],Estructura_Balance[Niveles:3],"",0)</f>
        <v/>
      </c>
      <c r="X65" t="str">
        <f>_xlfn.XLOOKUP(Table3[[#This Row],[Cuenta]],Estructura_Balance[Nombre Cuenta ()],Estructura_Balance[Grupos],"Grupo 1",0)</f>
        <v>Grupo 1</v>
      </c>
      <c r="Y65" t="str">
        <f>+Table3[[#This Row],[BS_Nivel_1]]</f>
        <v/>
      </c>
    </row>
    <row r="66" spans="1:25">
      <c r="A66">
        <f>+'Libro Diario'!F102</f>
        <v>0</v>
      </c>
      <c r="B66" s="144">
        <f>VALUE(IF(+'Libro Diario'!G102="","01/01/2025",+'Libro Diario'!G102))</f>
        <v>45658</v>
      </c>
      <c r="C66">
        <f>IF(ISNUMBER(+IF(IFERROR(VALUE(MID('Libro Diario'!C102,1,4)),0)&lt;&gt;0,'Libro Diario'!C102,0))=FALSE,'Libro Diario'!C102,0)</f>
        <v>0</v>
      </c>
      <c r="D66" s="145" t="str">
        <f>+'Libro Diario'!B102</f>
        <v>DEBE</v>
      </c>
      <c r="E66" s="139" t="s">
        <v>445</v>
      </c>
      <c r="F66" t="str">
        <f t="shared" si="0"/>
        <v>Sin Mov.</v>
      </c>
      <c r="G66" t="str">
        <f>IF(+'Libro Diario'!H102=0,"",+'Libro Diario'!H102)</f>
        <v/>
      </c>
      <c r="H66" t="str">
        <f>IF(+'Libro Diario'!I102=0,"",+'Libro Diario'!I102)</f>
        <v/>
      </c>
      <c r="I66" t="str">
        <f>+IF(Table3[[#This Row],[Tipo Movimiento]]="Estructura Balance y PyG","Excluir","Incluir")</f>
        <v>Incluir</v>
      </c>
      <c r="J66" s="153">
        <f>+IF(Table3[[#This Row],[Sin cuenta]]="Con Mov.",(IF(Table3[[#This Row],[Movimiento]]="Debe",Table3[[#This Row],[Importe]],IF(Table3[[#This Row],[Movimiento]]="Haber",Table3[[#This Row],[Importe]]*-1,0))),0)</f>
        <v>0</v>
      </c>
      <c r="K66" s="145" t="str">
        <f t="shared" si="1"/>
        <v>DEBE</v>
      </c>
      <c r="L66" s="145" t="str">
        <f t="shared" si="2"/>
        <v/>
      </c>
      <c r="M66" t="str">
        <f>_xlfn.XLOOKUP(Table3[[#This Row],[Cuenta]],Estructura_Balance[Nombre Cuenta ()],Estructura_Balance[Grupo],"",0)</f>
        <v/>
      </c>
      <c r="N66" t="str">
        <f>_xlfn.XLOOKUP(Table3[[#This Row],[Cuenta]],Estructura_Balance[Nombre Cuenta ()],Estructura_Balance[Nivel 1],"",0)</f>
        <v/>
      </c>
      <c r="O66" t="str">
        <f>_xlfn.XLOOKUP(Table3[[#This Row],[Cuenta]],Estructura_Balance[Nombre Cuenta ()],Estructura_Balance[Nivel 2],"",0)</f>
        <v/>
      </c>
      <c r="P66" t="str">
        <f>_xlfn.XLOOKUP(Table3[[#This Row],[Cuenta]],Estructura_Balance[Nombre Cuenta ()],Estructura_Balance[Nivel 3],"",0)</f>
        <v/>
      </c>
      <c r="Q66" t="str">
        <f>_xlfn.XLOOKUP(Table3[[#This Row],[Cuenta]],Estructura_Balance[Nombre Cuenta ()],Estructura_Balance[Nivel 4],"",0)</f>
        <v/>
      </c>
      <c r="R66" t="str">
        <f>_xlfn.XLOOKUP(Table3[[#This Row],[Cuenta]],Table8[Nombre Cuenta ()],Table8[Nivel 1],"",0)</f>
        <v/>
      </c>
      <c r="S66" t="str">
        <f>_xlfn.XLOOKUP(Table3[[#This Row],[Cuenta]],Table8[Nombre Cuenta ()],Table8[Nivel 2],"",0)</f>
        <v/>
      </c>
      <c r="T66" t="str">
        <f>_xlfn.XLOOKUP(Table3[[#This Row],[Cuenta]],Table8[Nombre Cuenta ()],Table8[Nivel 3],"",0)</f>
        <v/>
      </c>
      <c r="U66">
        <v>126</v>
      </c>
      <c r="V66" t="str">
        <f>_xlfn.XLOOKUP(Table3[[#This Row],[Cuenta]],Estructura_Balance[Nombre Cuenta ()],Estructura_Balance[Niveles:2],"",0)</f>
        <v/>
      </c>
      <c r="W66" t="str">
        <f>_xlfn.XLOOKUP(Table3[[#This Row],[Cuenta]],Estructura_Balance[Nombre Cuenta ()],Estructura_Balance[Niveles:3],"",0)</f>
        <v/>
      </c>
      <c r="X66" t="str">
        <f>_xlfn.XLOOKUP(Table3[[#This Row],[Cuenta]],Estructura_Balance[Nombre Cuenta ()],Estructura_Balance[Grupos],"Grupo 1",0)</f>
        <v>Grupo 1</v>
      </c>
      <c r="Y66" t="str">
        <f>+Table3[[#This Row],[BS_Nivel_1]]</f>
        <v/>
      </c>
    </row>
    <row r="67" spans="1:25">
      <c r="A67">
        <f>+'Libro Diario'!F103</f>
        <v>0</v>
      </c>
      <c r="B67" s="144">
        <f>VALUE(IF(+'Libro Diario'!G103="","01/01/2025",+'Libro Diario'!G103))</f>
        <v>45658</v>
      </c>
      <c r="C67">
        <f>IF(ISNUMBER(+IF(IFERROR(VALUE(MID('Libro Diario'!C103,1,4)),0)&lt;&gt;0,'Libro Diario'!C103,0))=FALSE,'Libro Diario'!C103,0)</f>
        <v>0</v>
      </c>
      <c r="D67" s="145">
        <f>+'Libro Diario'!B103</f>
        <v>0</v>
      </c>
      <c r="E67" s="139" t="s">
        <v>445</v>
      </c>
      <c r="F67" t="str">
        <f t="shared" ref="F67:F130" si="3">+IF(C67=0,"Sin Mov.","Con Mov.")</f>
        <v>Sin Mov.</v>
      </c>
      <c r="G67" t="str">
        <f>IF(+'Libro Diario'!H103=0,"",+'Libro Diario'!H103)</f>
        <v/>
      </c>
      <c r="H67" t="str">
        <f>IF(+'Libro Diario'!I103=0,"",+'Libro Diario'!I103)</f>
        <v/>
      </c>
      <c r="I67" t="str">
        <f>+IF(Table3[[#This Row],[Tipo Movimiento]]="Estructura Balance y PyG","Excluir","Incluir")</f>
        <v>Incluir</v>
      </c>
      <c r="J67" s="153">
        <f>+IF(Table3[[#This Row],[Sin cuenta]]="Con Mov.",(IF(Table3[[#This Row],[Movimiento]]="Debe",Table3[[#This Row],[Importe]],IF(Table3[[#This Row],[Movimiento]]="Haber",Table3[[#This Row],[Importe]]*-1,0))),0)</f>
        <v>0</v>
      </c>
      <c r="K67" s="145">
        <f t="shared" ref="K67:K130" si="4">+IF(E67="Debe",D67,"")</f>
        <v>0</v>
      </c>
      <c r="L67" s="145" t="str">
        <f t="shared" ref="L67:L130" si="5">+IF(E67="Haber",D67,"")</f>
        <v/>
      </c>
      <c r="M67" t="str">
        <f>_xlfn.XLOOKUP(Table3[[#This Row],[Cuenta]],Estructura_Balance[Nombre Cuenta ()],Estructura_Balance[Grupo],"",0)</f>
        <v/>
      </c>
      <c r="N67" t="str">
        <f>_xlfn.XLOOKUP(Table3[[#This Row],[Cuenta]],Estructura_Balance[Nombre Cuenta ()],Estructura_Balance[Nivel 1],"",0)</f>
        <v/>
      </c>
      <c r="O67" t="str">
        <f>_xlfn.XLOOKUP(Table3[[#This Row],[Cuenta]],Estructura_Balance[Nombre Cuenta ()],Estructura_Balance[Nivel 2],"",0)</f>
        <v/>
      </c>
      <c r="P67" t="str">
        <f>_xlfn.XLOOKUP(Table3[[#This Row],[Cuenta]],Estructura_Balance[Nombre Cuenta ()],Estructura_Balance[Nivel 3],"",0)</f>
        <v/>
      </c>
      <c r="Q67" t="str">
        <f>_xlfn.XLOOKUP(Table3[[#This Row],[Cuenta]],Estructura_Balance[Nombre Cuenta ()],Estructura_Balance[Nivel 4],"",0)</f>
        <v/>
      </c>
      <c r="R67" t="str">
        <f>_xlfn.XLOOKUP(Table3[[#This Row],[Cuenta]],Table8[Nombre Cuenta ()],Table8[Nivel 1],"",0)</f>
        <v/>
      </c>
      <c r="S67" t="str">
        <f>_xlfn.XLOOKUP(Table3[[#This Row],[Cuenta]],Table8[Nombre Cuenta ()],Table8[Nivel 2],"",0)</f>
        <v/>
      </c>
      <c r="T67" t="str">
        <f>_xlfn.XLOOKUP(Table3[[#This Row],[Cuenta]],Table8[Nombre Cuenta ()],Table8[Nivel 3],"",0)</f>
        <v/>
      </c>
      <c r="U67">
        <v>127</v>
      </c>
      <c r="V67" t="str">
        <f>_xlfn.XLOOKUP(Table3[[#This Row],[Cuenta]],Estructura_Balance[Nombre Cuenta ()],Estructura_Balance[Niveles:2],"",0)</f>
        <v/>
      </c>
      <c r="W67" t="str">
        <f>_xlfn.XLOOKUP(Table3[[#This Row],[Cuenta]],Estructura_Balance[Nombre Cuenta ()],Estructura_Balance[Niveles:3],"",0)</f>
        <v/>
      </c>
      <c r="X67" t="str">
        <f>_xlfn.XLOOKUP(Table3[[#This Row],[Cuenta]],Estructura_Balance[Nombre Cuenta ()],Estructura_Balance[Grupos],"Grupo 1",0)</f>
        <v>Grupo 1</v>
      </c>
      <c r="Y67" t="str">
        <f>+Table3[[#This Row],[BS_Nivel_1]]</f>
        <v/>
      </c>
    </row>
    <row r="68" spans="1:25">
      <c r="A68">
        <f>+'Libro Diario'!F107</f>
        <v>0</v>
      </c>
      <c r="B68" s="144">
        <f>VALUE(IF(+'Libro Diario'!G107="","01/01/2025",+'Libro Diario'!G107))</f>
        <v>45658</v>
      </c>
      <c r="C68">
        <f>IF(ISNUMBER(+IF(IFERROR(VALUE(MID('Libro Diario'!C107,1,4)),0)&lt;&gt;0,'Libro Diario'!C107,0))=FALSE,'Libro Diario'!C107,0)</f>
        <v>0</v>
      </c>
      <c r="D68" s="145" t="str">
        <f>+'Libro Diario'!B107</f>
        <v>Operaciones del Ejercicio</v>
      </c>
      <c r="E68" s="139" t="s">
        <v>445</v>
      </c>
      <c r="F68" t="str">
        <f t="shared" si="3"/>
        <v>Sin Mov.</v>
      </c>
      <c r="G68" t="str">
        <f>IF(+'Libro Diario'!H107=0,"",+'Libro Diario'!H107)</f>
        <v/>
      </c>
      <c r="H68" t="str">
        <f>IF(+'Libro Diario'!I107=0,"",+'Libro Diario'!I107)</f>
        <v/>
      </c>
      <c r="I68" t="str">
        <f>+IF(Table3[[#This Row],[Tipo Movimiento]]="Estructura Balance y PyG","Excluir","Incluir")</f>
        <v>Incluir</v>
      </c>
      <c r="J68" s="153">
        <f>+IF(Table3[[#This Row],[Sin cuenta]]="Con Mov.",(IF(Table3[[#This Row],[Movimiento]]="Debe",Table3[[#This Row],[Importe]],IF(Table3[[#This Row],[Movimiento]]="Haber",Table3[[#This Row],[Importe]]*-1,0))),0)</f>
        <v>0</v>
      </c>
      <c r="K68" s="145" t="str">
        <f t="shared" si="4"/>
        <v>Operaciones del Ejercicio</v>
      </c>
      <c r="L68" s="145" t="str">
        <f t="shared" si="5"/>
        <v/>
      </c>
      <c r="M68" t="str">
        <f>_xlfn.XLOOKUP(Table3[[#This Row],[Cuenta]],Estructura_Balance[Nombre Cuenta ()],Estructura_Balance[Grupo],"",0)</f>
        <v/>
      </c>
      <c r="N68" t="str">
        <f>_xlfn.XLOOKUP(Table3[[#This Row],[Cuenta]],Estructura_Balance[Nombre Cuenta ()],Estructura_Balance[Nivel 1],"",0)</f>
        <v/>
      </c>
      <c r="O68" t="str">
        <f>_xlfn.XLOOKUP(Table3[[#This Row],[Cuenta]],Estructura_Balance[Nombre Cuenta ()],Estructura_Balance[Nivel 2],"",0)</f>
        <v/>
      </c>
      <c r="P68" t="str">
        <f>_xlfn.XLOOKUP(Table3[[#This Row],[Cuenta]],Estructura_Balance[Nombre Cuenta ()],Estructura_Balance[Nivel 3],"",0)</f>
        <v/>
      </c>
      <c r="Q68" t="str">
        <f>_xlfn.XLOOKUP(Table3[[#This Row],[Cuenta]],Estructura_Balance[Nombre Cuenta ()],Estructura_Balance[Nivel 4],"",0)</f>
        <v/>
      </c>
      <c r="R68" t="str">
        <f>_xlfn.XLOOKUP(Table3[[#This Row],[Cuenta]],Table8[Nombre Cuenta ()],Table8[Nivel 1],"",0)</f>
        <v/>
      </c>
      <c r="S68" t="str">
        <f>_xlfn.XLOOKUP(Table3[[#This Row],[Cuenta]],Table8[Nombre Cuenta ()],Table8[Nivel 2],"",0)</f>
        <v/>
      </c>
      <c r="T68" t="str">
        <f>_xlfn.XLOOKUP(Table3[[#This Row],[Cuenta]],Table8[Nombre Cuenta ()],Table8[Nivel 3],"",0)</f>
        <v/>
      </c>
      <c r="U68">
        <v>133</v>
      </c>
      <c r="V68" t="str">
        <f>_xlfn.XLOOKUP(Table3[[#This Row],[Cuenta]],Estructura_Balance[Nombre Cuenta ()],Estructura_Balance[Niveles:2],"",0)</f>
        <v/>
      </c>
      <c r="W68" t="str">
        <f>_xlfn.XLOOKUP(Table3[[#This Row],[Cuenta]],Estructura_Balance[Nombre Cuenta ()],Estructura_Balance[Niveles:3],"",0)</f>
        <v/>
      </c>
      <c r="X68" t="str">
        <f>_xlfn.XLOOKUP(Table3[[#This Row],[Cuenta]],Estructura_Balance[Nombre Cuenta ()],Estructura_Balance[Grupos],"Grupo 1",0)</f>
        <v>Grupo 1</v>
      </c>
      <c r="Y68" t="str">
        <f>+Table3[[#This Row],[BS_Nivel_1]]</f>
        <v/>
      </c>
    </row>
    <row r="69" spans="1:25">
      <c r="A69">
        <f>+'Libro Diario'!F108</f>
        <v>0</v>
      </c>
      <c r="B69" s="144">
        <f>VALUE(IF(+'Libro Diario'!G108="","01/01/2025",+'Libro Diario'!G108))</f>
        <v>45658</v>
      </c>
      <c r="C69">
        <f>IF(ISNUMBER(+IF(IFERROR(VALUE(MID('Libro Diario'!C108,1,4)),0)&lt;&gt;0,'Libro Diario'!C108,0))=FALSE,'Libro Diario'!C108,0)</f>
        <v>0</v>
      </c>
      <c r="D69" s="145" t="str">
        <f>+'Libro Diario'!B108</f>
        <v>Asiento Cuadrado</v>
      </c>
      <c r="E69" s="139" t="s">
        <v>445</v>
      </c>
      <c r="F69" t="str">
        <f t="shared" si="3"/>
        <v>Sin Mov.</v>
      </c>
      <c r="G69" t="str">
        <f>IF(+'Libro Diario'!H108=0,"",+'Libro Diario'!H108)</f>
        <v/>
      </c>
      <c r="H69" t="str">
        <f>IF(+'Libro Diario'!I108=0,"",+'Libro Diario'!I108)</f>
        <v/>
      </c>
      <c r="I69" t="str">
        <f>+IF(Table3[[#This Row],[Tipo Movimiento]]="Estructura Balance y PyG","Excluir","Incluir")</f>
        <v>Incluir</v>
      </c>
      <c r="J69" s="153">
        <f>+IF(Table3[[#This Row],[Sin cuenta]]="Con Mov.",(IF(Table3[[#This Row],[Movimiento]]="Debe",Table3[[#This Row],[Importe]],IF(Table3[[#This Row],[Movimiento]]="Haber",Table3[[#This Row],[Importe]]*-1,0))),0)</f>
        <v>0</v>
      </c>
      <c r="K69" s="145" t="str">
        <f t="shared" si="4"/>
        <v>Asiento Cuadrado</v>
      </c>
      <c r="L69" s="145" t="str">
        <f t="shared" si="5"/>
        <v/>
      </c>
      <c r="M69" t="str">
        <f>_xlfn.XLOOKUP(Table3[[#This Row],[Cuenta]],Estructura_Balance[Nombre Cuenta ()],Estructura_Balance[Grupo],"",0)</f>
        <v/>
      </c>
      <c r="N69" t="str">
        <f>_xlfn.XLOOKUP(Table3[[#This Row],[Cuenta]],Estructura_Balance[Nombre Cuenta ()],Estructura_Balance[Nivel 1],"",0)</f>
        <v/>
      </c>
      <c r="O69" t="str">
        <f>_xlfn.XLOOKUP(Table3[[#This Row],[Cuenta]],Estructura_Balance[Nombre Cuenta ()],Estructura_Balance[Nivel 2],"",0)</f>
        <v/>
      </c>
      <c r="P69" t="str">
        <f>_xlfn.XLOOKUP(Table3[[#This Row],[Cuenta]],Estructura_Balance[Nombre Cuenta ()],Estructura_Balance[Nivel 3],"",0)</f>
        <v/>
      </c>
      <c r="Q69" t="str">
        <f>_xlfn.XLOOKUP(Table3[[#This Row],[Cuenta]],Estructura_Balance[Nombre Cuenta ()],Estructura_Balance[Nivel 4],"",0)</f>
        <v/>
      </c>
      <c r="R69" t="str">
        <f>_xlfn.XLOOKUP(Table3[[#This Row],[Cuenta]],Table8[Nombre Cuenta ()],Table8[Nivel 1],"",0)</f>
        <v/>
      </c>
      <c r="S69" t="str">
        <f>_xlfn.XLOOKUP(Table3[[#This Row],[Cuenta]],Table8[Nombre Cuenta ()],Table8[Nivel 2],"",0)</f>
        <v/>
      </c>
      <c r="T69" t="str">
        <f>_xlfn.XLOOKUP(Table3[[#This Row],[Cuenta]],Table8[Nombre Cuenta ()],Table8[Nivel 3],"",0)</f>
        <v/>
      </c>
      <c r="U69">
        <v>134</v>
      </c>
      <c r="V69" t="str">
        <f>_xlfn.XLOOKUP(Table3[[#This Row],[Cuenta]],Estructura_Balance[Nombre Cuenta ()],Estructura_Balance[Niveles:2],"",0)</f>
        <v/>
      </c>
      <c r="W69" t="str">
        <f>_xlfn.XLOOKUP(Table3[[#This Row],[Cuenta]],Estructura_Balance[Nombre Cuenta ()],Estructura_Balance[Niveles:3],"",0)</f>
        <v/>
      </c>
      <c r="X69" t="str">
        <f>_xlfn.XLOOKUP(Table3[[#This Row],[Cuenta]],Estructura_Balance[Nombre Cuenta ()],Estructura_Balance[Grupos],"Grupo 1",0)</f>
        <v>Grupo 1</v>
      </c>
      <c r="Y69" t="str">
        <f>+Table3[[#This Row],[BS_Nivel_1]]</f>
        <v/>
      </c>
    </row>
    <row r="70" spans="1:25">
      <c r="A70">
        <f>+'Libro Diario'!F109</f>
        <v>0</v>
      </c>
      <c r="B70" s="144">
        <f>VALUE(IF(+'Libro Diario'!G109="","01/01/2025",+'Libro Diario'!G109))</f>
        <v>45658</v>
      </c>
      <c r="C70">
        <f>IF(ISNUMBER(+IF(IFERROR(VALUE(MID('Libro Diario'!C109,1,4)),0)&lt;&gt;0,'Libro Diario'!C109,0))=FALSE,'Libro Diario'!C109,0)</f>
        <v>0</v>
      </c>
      <c r="D70" s="145">
        <f>+'Libro Diario'!B109</f>
        <v>0</v>
      </c>
      <c r="E70" s="139" t="s">
        <v>445</v>
      </c>
      <c r="F70" t="str">
        <f t="shared" si="3"/>
        <v>Sin Mov.</v>
      </c>
      <c r="G70" t="str">
        <f>IF(+'Libro Diario'!H109=0,"",+'Libro Diario'!H109)</f>
        <v/>
      </c>
      <c r="H70" t="str">
        <f>IF(+'Libro Diario'!I109=0,"",+'Libro Diario'!I109)</f>
        <v/>
      </c>
      <c r="I70" t="str">
        <f>+IF(Table3[[#This Row],[Tipo Movimiento]]="Estructura Balance y PyG","Excluir","Incluir")</f>
        <v>Incluir</v>
      </c>
      <c r="J70" s="153">
        <f>+IF(Table3[[#This Row],[Sin cuenta]]="Con Mov.",(IF(Table3[[#This Row],[Movimiento]]="Debe",Table3[[#This Row],[Importe]],IF(Table3[[#This Row],[Movimiento]]="Haber",Table3[[#This Row],[Importe]]*-1,0))),0)</f>
        <v>0</v>
      </c>
      <c r="K70" s="145">
        <f t="shared" si="4"/>
        <v>0</v>
      </c>
      <c r="L70" s="145" t="str">
        <f t="shared" si="5"/>
        <v/>
      </c>
      <c r="M70" t="str">
        <f>_xlfn.XLOOKUP(Table3[[#This Row],[Cuenta]],Estructura_Balance[Nombre Cuenta ()],Estructura_Balance[Grupo],"",0)</f>
        <v/>
      </c>
      <c r="N70" t="str">
        <f>_xlfn.XLOOKUP(Table3[[#This Row],[Cuenta]],Estructura_Balance[Nombre Cuenta ()],Estructura_Balance[Nivel 1],"",0)</f>
        <v/>
      </c>
      <c r="O70" t="str">
        <f>_xlfn.XLOOKUP(Table3[[#This Row],[Cuenta]],Estructura_Balance[Nombre Cuenta ()],Estructura_Balance[Nivel 2],"",0)</f>
        <v/>
      </c>
      <c r="P70" t="str">
        <f>_xlfn.XLOOKUP(Table3[[#This Row],[Cuenta]],Estructura_Balance[Nombre Cuenta ()],Estructura_Balance[Nivel 3],"",0)</f>
        <v/>
      </c>
      <c r="Q70" t="str">
        <f>_xlfn.XLOOKUP(Table3[[#This Row],[Cuenta]],Estructura_Balance[Nombre Cuenta ()],Estructura_Balance[Nivel 4],"",0)</f>
        <v/>
      </c>
      <c r="R70" t="str">
        <f>_xlfn.XLOOKUP(Table3[[#This Row],[Cuenta]],Table8[Nombre Cuenta ()],Table8[Nivel 1],"",0)</f>
        <v/>
      </c>
      <c r="S70" t="str">
        <f>_xlfn.XLOOKUP(Table3[[#This Row],[Cuenta]],Table8[Nombre Cuenta ()],Table8[Nivel 2],"",0)</f>
        <v/>
      </c>
      <c r="T70" t="str">
        <f>_xlfn.XLOOKUP(Table3[[#This Row],[Cuenta]],Table8[Nombre Cuenta ()],Table8[Nivel 3],"",0)</f>
        <v/>
      </c>
      <c r="U70">
        <v>137</v>
      </c>
      <c r="V70" t="str">
        <f>_xlfn.XLOOKUP(Table3[[#This Row],[Cuenta]],Estructura_Balance[Nombre Cuenta ()],Estructura_Balance[Niveles:2],"",0)</f>
        <v/>
      </c>
      <c r="W70" t="str">
        <f>_xlfn.XLOOKUP(Table3[[#This Row],[Cuenta]],Estructura_Balance[Nombre Cuenta ()],Estructura_Balance[Niveles:3],"",0)</f>
        <v/>
      </c>
      <c r="X70" t="str">
        <f>_xlfn.XLOOKUP(Table3[[#This Row],[Cuenta]],Estructura_Balance[Nombre Cuenta ()],Estructura_Balance[Grupos],"Grupo 1",0)</f>
        <v>Grupo 1</v>
      </c>
      <c r="Y70" t="str">
        <f>+Table3[[#This Row],[BS_Nivel_1]]</f>
        <v/>
      </c>
    </row>
    <row r="71" spans="1:25">
      <c r="A71">
        <f>+'Libro Diario'!F110</f>
        <v>0</v>
      </c>
      <c r="B71" s="144">
        <f>VALUE(IF(+'Libro Diario'!G110="","01/01/2025",+'Libro Diario'!G110))</f>
        <v>45658</v>
      </c>
      <c r="C71">
        <f>IF(ISNUMBER(+IF(IFERROR(VALUE(MID('Libro Diario'!C110,1,4)),0)&lt;&gt;0,'Libro Diario'!C110,0))=FALSE,'Libro Diario'!C110,0)</f>
        <v>0</v>
      </c>
      <c r="D71" s="145" t="str">
        <f>+'Libro Diario'!B110</f>
        <v>DEBE</v>
      </c>
      <c r="E71" s="139" t="s">
        <v>445</v>
      </c>
      <c r="F71" t="str">
        <f t="shared" si="3"/>
        <v>Sin Mov.</v>
      </c>
      <c r="G71" t="str">
        <f>IF(+'Libro Diario'!H110=0,"",+'Libro Diario'!H110)</f>
        <v/>
      </c>
      <c r="H71" t="str">
        <f>IF(+'Libro Diario'!I110=0,"",+'Libro Diario'!I110)</f>
        <v/>
      </c>
      <c r="I71" t="str">
        <f>+IF(Table3[[#This Row],[Tipo Movimiento]]="Estructura Balance y PyG","Excluir","Incluir")</f>
        <v>Incluir</v>
      </c>
      <c r="J71" s="153">
        <f>+IF(Table3[[#This Row],[Sin cuenta]]="Con Mov.",(IF(Table3[[#This Row],[Movimiento]]="Debe",Table3[[#This Row],[Importe]],IF(Table3[[#This Row],[Movimiento]]="Haber",Table3[[#This Row],[Importe]]*-1,0))),0)</f>
        <v>0</v>
      </c>
      <c r="K71" s="145" t="str">
        <f t="shared" si="4"/>
        <v>DEBE</v>
      </c>
      <c r="L71" s="145" t="str">
        <f t="shared" si="5"/>
        <v/>
      </c>
      <c r="M71" t="str">
        <f>_xlfn.XLOOKUP(Table3[[#This Row],[Cuenta]],Estructura_Balance[Nombre Cuenta ()],Estructura_Balance[Grupo],"",0)</f>
        <v/>
      </c>
      <c r="N71" t="str">
        <f>_xlfn.XLOOKUP(Table3[[#This Row],[Cuenta]],Estructura_Balance[Nombre Cuenta ()],Estructura_Balance[Nivel 1],"",0)</f>
        <v/>
      </c>
      <c r="O71" t="str">
        <f>_xlfn.XLOOKUP(Table3[[#This Row],[Cuenta]],Estructura_Balance[Nombre Cuenta ()],Estructura_Balance[Nivel 2],"",0)</f>
        <v/>
      </c>
      <c r="P71" t="str">
        <f>_xlfn.XLOOKUP(Table3[[#This Row],[Cuenta]],Estructura_Balance[Nombre Cuenta ()],Estructura_Balance[Nivel 3],"",0)</f>
        <v/>
      </c>
      <c r="Q71" t="str">
        <f>_xlfn.XLOOKUP(Table3[[#This Row],[Cuenta]],Estructura_Balance[Nombre Cuenta ()],Estructura_Balance[Nivel 4],"",0)</f>
        <v/>
      </c>
      <c r="R71" t="str">
        <f>_xlfn.XLOOKUP(Table3[[#This Row],[Cuenta]],Table8[Nombre Cuenta ()],Table8[Nivel 1],"",0)</f>
        <v/>
      </c>
      <c r="S71" t="str">
        <f>_xlfn.XLOOKUP(Table3[[#This Row],[Cuenta]],Table8[Nombre Cuenta ()],Table8[Nivel 2],"",0)</f>
        <v/>
      </c>
      <c r="T71" t="str">
        <f>_xlfn.XLOOKUP(Table3[[#This Row],[Cuenta]],Table8[Nombre Cuenta ()],Table8[Nivel 3],"",0)</f>
        <v/>
      </c>
      <c r="U71">
        <v>138</v>
      </c>
      <c r="V71" t="str">
        <f>_xlfn.XLOOKUP(Table3[[#This Row],[Cuenta]],Estructura_Balance[Nombre Cuenta ()],Estructura_Balance[Niveles:2],"",0)</f>
        <v/>
      </c>
      <c r="W71" t="str">
        <f>_xlfn.XLOOKUP(Table3[[#This Row],[Cuenta]],Estructura_Balance[Nombre Cuenta ()],Estructura_Balance[Niveles:3],"",0)</f>
        <v/>
      </c>
      <c r="X71" t="str">
        <f>_xlfn.XLOOKUP(Table3[[#This Row],[Cuenta]],Estructura_Balance[Nombre Cuenta ()],Estructura_Balance[Grupos],"Grupo 1",0)</f>
        <v>Grupo 1</v>
      </c>
      <c r="Y71" t="str">
        <f>+Table3[[#This Row],[BS_Nivel_1]]</f>
        <v/>
      </c>
    </row>
    <row r="72" spans="1:25">
      <c r="A72">
        <f>+'Libro Diario'!F111</f>
        <v>0</v>
      </c>
      <c r="B72" s="144">
        <f>VALUE(IF(+'Libro Diario'!G111="","01/01/2025",+'Libro Diario'!G111))</f>
        <v>45658</v>
      </c>
      <c r="C72">
        <f>IF(ISNUMBER(+IF(IFERROR(VALUE(MID('Libro Diario'!C111,1,4)),0)&lt;&gt;0,'Libro Diario'!C111,0))=FALSE,'Libro Diario'!C111,0)</f>
        <v>0</v>
      </c>
      <c r="D72" s="145">
        <f>+'Libro Diario'!B111</f>
        <v>0</v>
      </c>
      <c r="E72" s="139" t="s">
        <v>445</v>
      </c>
      <c r="F72" t="str">
        <f t="shared" si="3"/>
        <v>Sin Mov.</v>
      </c>
      <c r="G72" t="str">
        <f>IF(+'Libro Diario'!H111=0,"",+'Libro Diario'!H111)</f>
        <v/>
      </c>
      <c r="H72" t="str">
        <f>IF(+'Libro Diario'!I111=0,"",+'Libro Diario'!I111)</f>
        <v/>
      </c>
      <c r="I72" t="str">
        <f>+IF(Table3[[#This Row],[Tipo Movimiento]]="Estructura Balance y PyG","Excluir","Incluir")</f>
        <v>Incluir</v>
      </c>
      <c r="J72" s="153">
        <f>+IF(Table3[[#This Row],[Sin cuenta]]="Con Mov.",(IF(Table3[[#This Row],[Movimiento]]="Debe",Table3[[#This Row],[Importe]],IF(Table3[[#This Row],[Movimiento]]="Haber",Table3[[#This Row],[Importe]]*-1,0))),0)</f>
        <v>0</v>
      </c>
      <c r="K72" s="145">
        <f t="shared" si="4"/>
        <v>0</v>
      </c>
      <c r="L72" s="145" t="str">
        <f t="shared" si="5"/>
        <v/>
      </c>
      <c r="M72" t="str">
        <f>_xlfn.XLOOKUP(Table3[[#This Row],[Cuenta]],Estructura_Balance[Nombre Cuenta ()],Estructura_Balance[Grupo],"",0)</f>
        <v/>
      </c>
      <c r="N72" t="str">
        <f>_xlfn.XLOOKUP(Table3[[#This Row],[Cuenta]],Estructura_Balance[Nombre Cuenta ()],Estructura_Balance[Nivel 1],"",0)</f>
        <v/>
      </c>
      <c r="O72" t="str">
        <f>_xlfn.XLOOKUP(Table3[[#This Row],[Cuenta]],Estructura_Balance[Nombre Cuenta ()],Estructura_Balance[Nivel 2],"",0)</f>
        <v/>
      </c>
      <c r="P72" t="str">
        <f>_xlfn.XLOOKUP(Table3[[#This Row],[Cuenta]],Estructura_Balance[Nombre Cuenta ()],Estructura_Balance[Nivel 3],"",0)</f>
        <v/>
      </c>
      <c r="Q72" t="str">
        <f>_xlfn.XLOOKUP(Table3[[#This Row],[Cuenta]],Estructura_Balance[Nombre Cuenta ()],Estructura_Balance[Nivel 4],"",0)</f>
        <v/>
      </c>
      <c r="R72" t="str">
        <f>_xlfn.XLOOKUP(Table3[[#This Row],[Cuenta]],Table8[Nombre Cuenta ()],Table8[Nivel 1],"",0)</f>
        <v/>
      </c>
      <c r="S72" t="str">
        <f>_xlfn.XLOOKUP(Table3[[#This Row],[Cuenta]],Table8[Nombre Cuenta ()],Table8[Nivel 2],"",0)</f>
        <v/>
      </c>
      <c r="T72" t="str">
        <f>_xlfn.XLOOKUP(Table3[[#This Row],[Cuenta]],Table8[Nombre Cuenta ()],Table8[Nivel 3],"",0)</f>
        <v/>
      </c>
      <c r="U72">
        <v>139</v>
      </c>
      <c r="V72" t="str">
        <f>_xlfn.XLOOKUP(Table3[[#This Row],[Cuenta]],Estructura_Balance[Nombre Cuenta ()],Estructura_Balance[Niveles:2],"",0)</f>
        <v/>
      </c>
      <c r="W72" t="str">
        <f>_xlfn.XLOOKUP(Table3[[#This Row],[Cuenta]],Estructura_Balance[Nombre Cuenta ()],Estructura_Balance[Niveles:3],"",0)</f>
        <v/>
      </c>
      <c r="X72" t="str">
        <f>_xlfn.XLOOKUP(Table3[[#This Row],[Cuenta]],Estructura_Balance[Nombre Cuenta ()],Estructura_Balance[Grupos],"Grupo 1",0)</f>
        <v>Grupo 1</v>
      </c>
      <c r="Y72" t="str">
        <f>+Table3[[#This Row],[BS_Nivel_1]]</f>
        <v/>
      </c>
    </row>
    <row r="73" spans="1:25">
      <c r="A73">
        <f>+'Libro Diario'!F115</f>
        <v>0</v>
      </c>
      <c r="B73" s="144">
        <f>VALUE(IF(+'Libro Diario'!G115="","01/01/2025",+'Libro Diario'!G115))</f>
        <v>45658</v>
      </c>
      <c r="C73">
        <f>IF(ISNUMBER(+IF(IFERROR(VALUE(MID('Libro Diario'!C115,1,4)),0)&lt;&gt;0,'Libro Diario'!C115,0))=FALSE,'Libro Diario'!C115,0)</f>
        <v>0</v>
      </c>
      <c r="D73" s="145" t="str">
        <f>+'Libro Diario'!B115</f>
        <v>Operaciones del Ejercicio</v>
      </c>
      <c r="E73" s="139" t="s">
        <v>445</v>
      </c>
      <c r="F73" t="str">
        <f t="shared" si="3"/>
        <v>Sin Mov.</v>
      </c>
      <c r="G73" t="str">
        <f>IF(+'Libro Diario'!H115=0,"",+'Libro Diario'!H115)</f>
        <v/>
      </c>
      <c r="H73" t="str">
        <f>IF(+'Libro Diario'!I115=0,"",+'Libro Diario'!I115)</f>
        <v/>
      </c>
      <c r="I73" t="str">
        <f>+IF(Table3[[#This Row],[Tipo Movimiento]]="Estructura Balance y PyG","Excluir","Incluir")</f>
        <v>Incluir</v>
      </c>
      <c r="J73" s="153">
        <f>+IF(Table3[[#This Row],[Sin cuenta]]="Con Mov.",(IF(Table3[[#This Row],[Movimiento]]="Debe",Table3[[#This Row],[Importe]],IF(Table3[[#This Row],[Movimiento]]="Haber",Table3[[#This Row],[Importe]]*-1,0))),0)</f>
        <v>0</v>
      </c>
      <c r="K73" s="145" t="str">
        <f t="shared" si="4"/>
        <v>Operaciones del Ejercicio</v>
      </c>
      <c r="L73" s="145" t="str">
        <f t="shared" si="5"/>
        <v/>
      </c>
      <c r="M73" t="str">
        <f>_xlfn.XLOOKUP(Table3[[#This Row],[Cuenta]],Estructura_Balance[Nombre Cuenta ()],Estructura_Balance[Grupo],"",0)</f>
        <v/>
      </c>
      <c r="N73" t="str">
        <f>_xlfn.XLOOKUP(Table3[[#This Row],[Cuenta]],Estructura_Balance[Nombre Cuenta ()],Estructura_Balance[Nivel 1],"",0)</f>
        <v/>
      </c>
      <c r="O73" t="str">
        <f>_xlfn.XLOOKUP(Table3[[#This Row],[Cuenta]],Estructura_Balance[Nombre Cuenta ()],Estructura_Balance[Nivel 2],"",0)</f>
        <v/>
      </c>
      <c r="P73" t="str">
        <f>_xlfn.XLOOKUP(Table3[[#This Row],[Cuenta]],Estructura_Balance[Nombre Cuenta ()],Estructura_Balance[Nivel 3],"",0)</f>
        <v/>
      </c>
      <c r="Q73" t="str">
        <f>_xlfn.XLOOKUP(Table3[[#This Row],[Cuenta]],Estructura_Balance[Nombre Cuenta ()],Estructura_Balance[Nivel 4],"",0)</f>
        <v/>
      </c>
      <c r="R73" t="str">
        <f>_xlfn.XLOOKUP(Table3[[#This Row],[Cuenta]],Table8[Nombre Cuenta ()],Table8[Nivel 1],"",0)</f>
        <v/>
      </c>
      <c r="S73" t="str">
        <f>_xlfn.XLOOKUP(Table3[[#This Row],[Cuenta]],Table8[Nombre Cuenta ()],Table8[Nivel 2],"",0)</f>
        <v/>
      </c>
      <c r="T73" t="str">
        <f>_xlfn.XLOOKUP(Table3[[#This Row],[Cuenta]],Table8[Nombre Cuenta ()],Table8[Nivel 3],"",0)</f>
        <v/>
      </c>
      <c r="U73">
        <v>145</v>
      </c>
      <c r="V73" t="str">
        <f>_xlfn.XLOOKUP(Table3[[#This Row],[Cuenta]],Estructura_Balance[Nombre Cuenta ()],Estructura_Balance[Niveles:2],"",0)</f>
        <v/>
      </c>
      <c r="W73" t="str">
        <f>_xlfn.XLOOKUP(Table3[[#This Row],[Cuenta]],Estructura_Balance[Nombre Cuenta ()],Estructura_Balance[Niveles:3],"",0)</f>
        <v/>
      </c>
      <c r="X73" t="str">
        <f>_xlfn.XLOOKUP(Table3[[#This Row],[Cuenta]],Estructura_Balance[Nombre Cuenta ()],Estructura_Balance[Grupos],"Grupo 1",0)</f>
        <v>Grupo 1</v>
      </c>
      <c r="Y73" t="str">
        <f>+Table3[[#This Row],[BS_Nivel_1]]</f>
        <v/>
      </c>
    </row>
    <row r="74" spans="1:25">
      <c r="A74">
        <f>+'Libro Diario'!F116</f>
        <v>0</v>
      </c>
      <c r="B74" s="144">
        <f>VALUE(IF(+'Libro Diario'!G116="","01/01/2025",+'Libro Diario'!G116))</f>
        <v>45658</v>
      </c>
      <c r="C74">
        <f>IF(ISNUMBER(+IF(IFERROR(VALUE(MID('Libro Diario'!C116,1,4)),0)&lt;&gt;0,'Libro Diario'!C116,0))=FALSE,'Libro Diario'!C116,0)</f>
        <v>0</v>
      </c>
      <c r="D74" s="145" t="str">
        <f>+'Libro Diario'!B116</f>
        <v>Asiento Cuadrado</v>
      </c>
      <c r="E74" s="139" t="s">
        <v>445</v>
      </c>
      <c r="F74" t="str">
        <f t="shared" si="3"/>
        <v>Sin Mov.</v>
      </c>
      <c r="G74" t="str">
        <f>IF(+'Libro Diario'!H116=0,"",+'Libro Diario'!H116)</f>
        <v/>
      </c>
      <c r="H74" t="str">
        <f>IF(+'Libro Diario'!I116=0,"",+'Libro Diario'!I116)</f>
        <v/>
      </c>
      <c r="I74" t="str">
        <f>+IF(Table3[[#This Row],[Tipo Movimiento]]="Estructura Balance y PyG","Excluir","Incluir")</f>
        <v>Incluir</v>
      </c>
      <c r="J74" s="153">
        <f>+IF(Table3[[#This Row],[Sin cuenta]]="Con Mov.",(IF(Table3[[#This Row],[Movimiento]]="Debe",Table3[[#This Row],[Importe]],IF(Table3[[#This Row],[Movimiento]]="Haber",Table3[[#This Row],[Importe]]*-1,0))),0)</f>
        <v>0</v>
      </c>
      <c r="K74" s="145" t="str">
        <f t="shared" si="4"/>
        <v>Asiento Cuadrado</v>
      </c>
      <c r="L74" s="145" t="str">
        <f t="shared" si="5"/>
        <v/>
      </c>
      <c r="M74" t="str">
        <f>_xlfn.XLOOKUP(Table3[[#This Row],[Cuenta]],Estructura_Balance[Nombre Cuenta ()],Estructura_Balance[Grupo],"",0)</f>
        <v/>
      </c>
      <c r="N74" t="str">
        <f>_xlfn.XLOOKUP(Table3[[#This Row],[Cuenta]],Estructura_Balance[Nombre Cuenta ()],Estructura_Balance[Nivel 1],"",0)</f>
        <v/>
      </c>
      <c r="O74" t="str">
        <f>_xlfn.XLOOKUP(Table3[[#This Row],[Cuenta]],Estructura_Balance[Nombre Cuenta ()],Estructura_Balance[Nivel 2],"",0)</f>
        <v/>
      </c>
      <c r="P74" t="str">
        <f>_xlfn.XLOOKUP(Table3[[#This Row],[Cuenta]],Estructura_Balance[Nombre Cuenta ()],Estructura_Balance[Nivel 3],"",0)</f>
        <v/>
      </c>
      <c r="Q74" t="str">
        <f>_xlfn.XLOOKUP(Table3[[#This Row],[Cuenta]],Estructura_Balance[Nombre Cuenta ()],Estructura_Balance[Nivel 4],"",0)</f>
        <v/>
      </c>
      <c r="R74" t="str">
        <f>_xlfn.XLOOKUP(Table3[[#This Row],[Cuenta]],Table8[Nombre Cuenta ()],Table8[Nivel 1],"",0)</f>
        <v/>
      </c>
      <c r="S74" t="str">
        <f>_xlfn.XLOOKUP(Table3[[#This Row],[Cuenta]],Table8[Nombre Cuenta ()],Table8[Nivel 2],"",0)</f>
        <v/>
      </c>
      <c r="T74" t="str">
        <f>_xlfn.XLOOKUP(Table3[[#This Row],[Cuenta]],Table8[Nombre Cuenta ()],Table8[Nivel 3],"",0)</f>
        <v/>
      </c>
      <c r="U74">
        <v>146</v>
      </c>
      <c r="V74" t="str">
        <f>_xlfn.XLOOKUP(Table3[[#This Row],[Cuenta]],Estructura_Balance[Nombre Cuenta ()],Estructura_Balance[Niveles:2],"",0)</f>
        <v/>
      </c>
      <c r="W74" t="str">
        <f>_xlfn.XLOOKUP(Table3[[#This Row],[Cuenta]],Estructura_Balance[Nombre Cuenta ()],Estructura_Balance[Niveles:3],"",0)</f>
        <v/>
      </c>
      <c r="X74" t="str">
        <f>_xlfn.XLOOKUP(Table3[[#This Row],[Cuenta]],Estructura_Balance[Nombre Cuenta ()],Estructura_Balance[Grupos],"Grupo 1",0)</f>
        <v>Grupo 1</v>
      </c>
      <c r="Y74" t="str">
        <f>+Table3[[#This Row],[BS_Nivel_1]]</f>
        <v/>
      </c>
    </row>
    <row r="75" spans="1:25">
      <c r="A75">
        <f>+'Libro Diario'!F117</f>
        <v>0</v>
      </c>
      <c r="B75" s="144">
        <f>VALUE(IF(+'Libro Diario'!G117="","01/01/2025",+'Libro Diario'!G117))</f>
        <v>45658</v>
      </c>
      <c r="C75">
        <f>IF(ISNUMBER(+IF(IFERROR(VALUE(MID('Libro Diario'!C117,1,4)),0)&lt;&gt;0,'Libro Diario'!C117,0))=FALSE,'Libro Diario'!C117,0)</f>
        <v>0</v>
      </c>
      <c r="D75" s="145">
        <f>+'Libro Diario'!B117</f>
        <v>0</v>
      </c>
      <c r="E75" s="139" t="s">
        <v>445</v>
      </c>
      <c r="F75" t="str">
        <f t="shared" si="3"/>
        <v>Sin Mov.</v>
      </c>
      <c r="G75" t="str">
        <f>IF(+'Libro Diario'!H117=0,"",+'Libro Diario'!H117)</f>
        <v/>
      </c>
      <c r="H75" t="str">
        <f>IF(+'Libro Diario'!I117=0,"",+'Libro Diario'!I117)</f>
        <v/>
      </c>
      <c r="I75" t="str">
        <f>+IF(Table3[[#This Row],[Tipo Movimiento]]="Estructura Balance y PyG","Excluir","Incluir")</f>
        <v>Incluir</v>
      </c>
      <c r="J75" s="153">
        <f>+IF(Table3[[#This Row],[Sin cuenta]]="Con Mov.",(IF(Table3[[#This Row],[Movimiento]]="Debe",Table3[[#This Row],[Importe]],IF(Table3[[#This Row],[Movimiento]]="Haber",Table3[[#This Row],[Importe]]*-1,0))),0)</f>
        <v>0</v>
      </c>
      <c r="K75" s="145">
        <f t="shared" si="4"/>
        <v>0</v>
      </c>
      <c r="L75" s="145" t="str">
        <f t="shared" si="5"/>
        <v/>
      </c>
      <c r="M75" t="str">
        <f>_xlfn.XLOOKUP(Table3[[#This Row],[Cuenta]],Estructura_Balance[Nombre Cuenta ()],Estructura_Balance[Grupo],"",0)</f>
        <v/>
      </c>
      <c r="N75" t="str">
        <f>_xlfn.XLOOKUP(Table3[[#This Row],[Cuenta]],Estructura_Balance[Nombre Cuenta ()],Estructura_Balance[Nivel 1],"",0)</f>
        <v/>
      </c>
      <c r="O75" t="str">
        <f>_xlfn.XLOOKUP(Table3[[#This Row],[Cuenta]],Estructura_Balance[Nombre Cuenta ()],Estructura_Balance[Nivel 2],"",0)</f>
        <v/>
      </c>
      <c r="P75" t="str">
        <f>_xlfn.XLOOKUP(Table3[[#This Row],[Cuenta]],Estructura_Balance[Nombre Cuenta ()],Estructura_Balance[Nivel 3],"",0)</f>
        <v/>
      </c>
      <c r="Q75" t="str">
        <f>_xlfn.XLOOKUP(Table3[[#This Row],[Cuenta]],Estructura_Balance[Nombre Cuenta ()],Estructura_Balance[Nivel 4],"",0)</f>
        <v/>
      </c>
      <c r="R75" t="str">
        <f>_xlfn.XLOOKUP(Table3[[#This Row],[Cuenta]],Table8[Nombre Cuenta ()],Table8[Nivel 1],"",0)</f>
        <v/>
      </c>
      <c r="S75" t="str">
        <f>_xlfn.XLOOKUP(Table3[[#This Row],[Cuenta]],Table8[Nombre Cuenta ()],Table8[Nivel 2],"",0)</f>
        <v/>
      </c>
      <c r="T75" t="str">
        <f>_xlfn.XLOOKUP(Table3[[#This Row],[Cuenta]],Table8[Nombre Cuenta ()],Table8[Nivel 3],"",0)</f>
        <v/>
      </c>
      <c r="U75">
        <v>147</v>
      </c>
      <c r="V75" t="str">
        <f>_xlfn.XLOOKUP(Table3[[#This Row],[Cuenta]],Estructura_Balance[Nombre Cuenta ()],Estructura_Balance[Niveles:2],"",0)</f>
        <v/>
      </c>
      <c r="W75" t="str">
        <f>_xlfn.XLOOKUP(Table3[[#This Row],[Cuenta]],Estructura_Balance[Nombre Cuenta ()],Estructura_Balance[Niveles:3],"",0)</f>
        <v/>
      </c>
      <c r="X75" t="str">
        <f>_xlfn.XLOOKUP(Table3[[#This Row],[Cuenta]],Estructura_Balance[Nombre Cuenta ()],Estructura_Balance[Grupos],"Grupo 1",0)</f>
        <v>Grupo 1</v>
      </c>
      <c r="Y75" t="str">
        <f>+Table3[[#This Row],[BS_Nivel_1]]</f>
        <v/>
      </c>
    </row>
    <row r="76" spans="1:25">
      <c r="A76">
        <f>+'Libro Diario'!F118</f>
        <v>0</v>
      </c>
      <c r="B76" s="144">
        <f>VALUE(IF(+'Libro Diario'!G118="","01/01/2025",+'Libro Diario'!G118))</f>
        <v>45658</v>
      </c>
      <c r="C76">
        <f>IF(ISNUMBER(+IF(IFERROR(VALUE(MID('Libro Diario'!C118,1,4)),0)&lt;&gt;0,'Libro Diario'!C118,0))=FALSE,'Libro Diario'!C118,0)</f>
        <v>0</v>
      </c>
      <c r="D76" s="145" t="str">
        <f>+'Libro Diario'!B118</f>
        <v>DEBE</v>
      </c>
      <c r="E76" s="139" t="s">
        <v>445</v>
      </c>
      <c r="F76" t="str">
        <f t="shared" si="3"/>
        <v>Sin Mov.</v>
      </c>
      <c r="G76" t="str">
        <f>IF(+'Libro Diario'!H118=0,"",+'Libro Diario'!H118)</f>
        <v/>
      </c>
      <c r="H76" t="str">
        <f>IF(+'Libro Diario'!I118=0,"",+'Libro Diario'!I118)</f>
        <v/>
      </c>
      <c r="I76" t="str">
        <f>+IF(Table3[[#This Row],[Tipo Movimiento]]="Estructura Balance y PyG","Excluir","Incluir")</f>
        <v>Incluir</v>
      </c>
      <c r="J76" s="153">
        <f>+IF(Table3[[#This Row],[Sin cuenta]]="Con Mov.",(IF(Table3[[#This Row],[Movimiento]]="Debe",Table3[[#This Row],[Importe]],IF(Table3[[#This Row],[Movimiento]]="Haber",Table3[[#This Row],[Importe]]*-1,0))),0)</f>
        <v>0</v>
      </c>
      <c r="K76" s="145" t="str">
        <f t="shared" si="4"/>
        <v>DEBE</v>
      </c>
      <c r="L76" s="145" t="str">
        <f t="shared" si="5"/>
        <v/>
      </c>
      <c r="M76" t="str">
        <f>_xlfn.XLOOKUP(Table3[[#This Row],[Cuenta]],Estructura_Balance[Nombre Cuenta ()],Estructura_Balance[Grupo],"",0)</f>
        <v/>
      </c>
      <c r="N76" t="str">
        <f>_xlfn.XLOOKUP(Table3[[#This Row],[Cuenta]],Estructura_Balance[Nombre Cuenta ()],Estructura_Balance[Nivel 1],"",0)</f>
        <v/>
      </c>
      <c r="O76" t="str">
        <f>_xlfn.XLOOKUP(Table3[[#This Row],[Cuenta]],Estructura_Balance[Nombre Cuenta ()],Estructura_Balance[Nivel 2],"",0)</f>
        <v/>
      </c>
      <c r="P76" t="str">
        <f>_xlfn.XLOOKUP(Table3[[#This Row],[Cuenta]],Estructura_Balance[Nombre Cuenta ()],Estructura_Balance[Nivel 3],"",0)</f>
        <v/>
      </c>
      <c r="Q76" t="str">
        <f>_xlfn.XLOOKUP(Table3[[#This Row],[Cuenta]],Estructura_Balance[Nombre Cuenta ()],Estructura_Balance[Nivel 4],"",0)</f>
        <v/>
      </c>
      <c r="R76" t="str">
        <f>_xlfn.XLOOKUP(Table3[[#This Row],[Cuenta]],Table8[Nombre Cuenta ()],Table8[Nivel 1],"",0)</f>
        <v/>
      </c>
      <c r="S76" t="str">
        <f>_xlfn.XLOOKUP(Table3[[#This Row],[Cuenta]],Table8[Nombre Cuenta ()],Table8[Nivel 2],"",0)</f>
        <v/>
      </c>
      <c r="T76" t="str">
        <f>_xlfn.XLOOKUP(Table3[[#This Row],[Cuenta]],Table8[Nombre Cuenta ()],Table8[Nivel 3],"",0)</f>
        <v/>
      </c>
      <c r="U76">
        <v>148</v>
      </c>
      <c r="V76" t="str">
        <f>_xlfn.XLOOKUP(Table3[[#This Row],[Cuenta]],Estructura_Balance[Nombre Cuenta ()],Estructura_Balance[Niveles:2],"",0)</f>
        <v/>
      </c>
      <c r="W76" t="str">
        <f>_xlfn.XLOOKUP(Table3[[#This Row],[Cuenta]],Estructura_Balance[Nombre Cuenta ()],Estructura_Balance[Niveles:3],"",0)</f>
        <v/>
      </c>
      <c r="X76" t="str">
        <f>_xlfn.XLOOKUP(Table3[[#This Row],[Cuenta]],Estructura_Balance[Nombre Cuenta ()],Estructura_Balance[Grupos],"Grupo 1",0)</f>
        <v>Grupo 1</v>
      </c>
      <c r="Y76" t="str">
        <f>+Table3[[#This Row],[BS_Nivel_1]]</f>
        <v/>
      </c>
    </row>
    <row r="77" spans="1:25">
      <c r="A77">
        <f>+'Libro Diario'!F119</f>
        <v>0</v>
      </c>
      <c r="B77" s="144">
        <f>VALUE(IF(+'Libro Diario'!G119="","01/01/2025",+'Libro Diario'!G119))</f>
        <v>45658</v>
      </c>
      <c r="C77">
        <f>IF(ISNUMBER(+IF(IFERROR(VALUE(MID('Libro Diario'!C119,1,4)),0)&lt;&gt;0,'Libro Diario'!C119,0))=FALSE,'Libro Diario'!C119,0)</f>
        <v>0</v>
      </c>
      <c r="D77" s="145">
        <f>+'Libro Diario'!B119</f>
        <v>0</v>
      </c>
      <c r="E77" s="139" t="s">
        <v>445</v>
      </c>
      <c r="F77" t="str">
        <f t="shared" si="3"/>
        <v>Sin Mov.</v>
      </c>
      <c r="G77" t="str">
        <f>IF(+'Libro Diario'!H119=0,"",+'Libro Diario'!H119)</f>
        <v/>
      </c>
      <c r="H77" t="str">
        <f>IF(+'Libro Diario'!I119=0,"",+'Libro Diario'!I119)</f>
        <v/>
      </c>
      <c r="I77" t="str">
        <f>+IF(Table3[[#This Row],[Tipo Movimiento]]="Estructura Balance y PyG","Excluir","Incluir")</f>
        <v>Incluir</v>
      </c>
      <c r="J77" s="153">
        <f>+IF(Table3[[#This Row],[Sin cuenta]]="Con Mov.",(IF(Table3[[#This Row],[Movimiento]]="Debe",Table3[[#This Row],[Importe]],IF(Table3[[#This Row],[Movimiento]]="Haber",Table3[[#This Row],[Importe]]*-1,0))),0)</f>
        <v>0</v>
      </c>
      <c r="K77" s="145">
        <f t="shared" si="4"/>
        <v>0</v>
      </c>
      <c r="L77" s="145" t="str">
        <f t="shared" si="5"/>
        <v/>
      </c>
      <c r="M77" t="str">
        <f>_xlfn.XLOOKUP(Table3[[#This Row],[Cuenta]],Estructura_Balance[Nombre Cuenta ()],Estructura_Balance[Grupo],"",0)</f>
        <v/>
      </c>
      <c r="N77" t="str">
        <f>_xlfn.XLOOKUP(Table3[[#This Row],[Cuenta]],Estructura_Balance[Nombre Cuenta ()],Estructura_Balance[Nivel 1],"",0)</f>
        <v/>
      </c>
      <c r="O77" t="str">
        <f>_xlfn.XLOOKUP(Table3[[#This Row],[Cuenta]],Estructura_Balance[Nombre Cuenta ()],Estructura_Balance[Nivel 2],"",0)</f>
        <v/>
      </c>
      <c r="P77" t="str">
        <f>_xlfn.XLOOKUP(Table3[[#This Row],[Cuenta]],Estructura_Balance[Nombre Cuenta ()],Estructura_Balance[Nivel 3],"",0)</f>
        <v/>
      </c>
      <c r="Q77" t="str">
        <f>_xlfn.XLOOKUP(Table3[[#This Row],[Cuenta]],Estructura_Balance[Nombre Cuenta ()],Estructura_Balance[Nivel 4],"",0)</f>
        <v/>
      </c>
      <c r="R77" t="str">
        <f>_xlfn.XLOOKUP(Table3[[#This Row],[Cuenta]],Table8[Nombre Cuenta ()],Table8[Nivel 1],"",0)</f>
        <v/>
      </c>
      <c r="S77" t="str">
        <f>_xlfn.XLOOKUP(Table3[[#This Row],[Cuenta]],Table8[Nombre Cuenta ()],Table8[Nivel 2],"",0)</f>
        <v/>
      </c>
      <c r="T77" t="str">
        <f>_xlfn.XLOOKUP(Table3[[#This Row],[Cuenta]],Table8[Nombre Cuenta ()],Table8[Nivel 3],"",0)</f>
        <v/>
      </c>
      <c r="U77">
        <v>152</v>
      </c>
      <c r="V77" t="str">
        <f>_xlfn.XLOOKUP(Table3[[#This Row],[Cuenta]],Estructura_Balance[Nombre Cuenta ()],Estructura_Balance[Niveles:2],"",0)</f>
        <v/>
      </c>
      <c r="W77" t="str">
        <f>_xlfn.XLOOKUP(Table3[[#This Row],[Cuenta]],Estructura_Balance[Nombre Cuenta ()],Estructura_Balance[Niveles:3],"",0)</f>
        <v/>
      </c>
      <c r="X77" t="str">
        <f>_xlfn.XLOOKUP(Table3[[#This Row],[Cuenta]],Estructura_Balance[Nombre Cuenta ()],Estructura_Balance[Grupos],"Grupo 1",0)</f>
        <v>Grupo 1</v>
      </c>
      <c r="Y77" t="str">
        <f>+Table3[[#This Row],[BS_Nivel_1]]</f>
        <v/>
      </c>
    </row>
    <row r="78" spans="1:25">
      <c r="A78">
        <f>+'Libro Diario'!F122</f>
        <v>0</v>
      </c>
      <c r="B78" s="144">
        <f>VALUE(IF(+'Libro Diario'!G122="","01/01/2025",+'Libro Diario'!G122))</f>
        <v>45658</v>
      </c>
      <c r="C78">
        <f>IF(ISNUMBER(+IF(IFERROR(VALUE(MID('Libro Diario'!C122,1,4)),0)&lt;&gt;0,'Libro Diario'!C122,0))=FALSE,'Libro Diario'!C122,0)</f>
        <v>0</v>
      </c>
      <c r="D78" s="145" t="str">
        <f>+'Libro Diario'!B122</f>
        <v>Operaciones del Ejercicio</v>
      </c>
      <c r="E78" s="139" t="s">
        <v>445</v>
      </c>
      <c r="F78" t="str">
        <f t="shared" si="3"/>
        <v>Sin Mov.</v>
      </c>
      <c r="G78" t="str">
        <f>IF(+'Libro Diario'!H122=0,"",+'Libro Diario'!H122)</f>
        <v/>
      </c>
      <c r="H78" t="str">
        <f>IF(+'Libro Diario'!I122=0,"",+'Libro Diario'!I122)</f>
        <v/>
      </c>
      <c r="I78" t="str">
        <f>+IF(Table3[[#This Row],[Tipo Movimiento]]="Estructura Balance y PyG","Excluir","Incluir")</f>
        <v>Incluir</v>
      </c>
      <c r="J78" s="153">
        <f>+IF(Table3[[#This Row],[Sin cuenta]]="Con Mov.",(IF(Table3[[#This Row],[Movimiento]]="Debe",Table3[[#This Row],[Importe]],IF(Table3[[#This Row],[Movimiento]]="Haber",Table3[[#This Row],[Importe]]*-1,0))),0)</f>
        <v>0</v>
      </c>
      <c r="K78" s="145" t="str">
        <f t="shared" si="4"/>
        <v>Operaciones del Ejercicio</v>
      </c>
      <c r="L78" s="145" t="str">
        <f t="shared" si="5"/>
        <v/>
      </c>
      <c r="M78" t="str">
        <f>_xlfn.XLOOKUP(Table3[[#This Row],[Cuenta]],Estructura_Balance[Nombre Cuenta ()],Estructura_Balance[Grupo],"",0)</f>
        <v/>
      </c>
      <c r="N78" t="str">
        <f>_xlfn.XLOOKUP(Table3[[#This Row],[Cuenta]],Estructura_Balance[Nombre Cuenta ()],Estructura_Balance[Nivel 1],"",0)</f>
        <v/>
      </c>
      <c r="O78" t="str">
        <f>_xlfn.XLOOKUP(Table3[[#This Row],[Cuenta]],Estructura_Balance[Nombre Cuenta ()],Estructura_Balance[Nivel 2],"",0)</f>
        <v/>
      </c>
      <c r="P78" t="str">
        <f>_xlfn.XLOOKUP(Table3[[#This Row],[Cuenta]],Estructura_Balance[Nombre Cuenta ()],Estructura_Balance[Nivel 3],"",0)</f>
        <v/>
      </c>
      <c r="Q78" t="str">
        <f>_xlfn.XLOOKUP(Table3[[#This Row],[Cuenta]],Estructura_Balance[Nombre Cuenta ()],Estructura_Balance[Nivel 4],"",0)</f>
        <v/>
      </c>
      <c r="R78" t="str">
        <f>_xlfn.XLOOKUP(Table3[[#This Row],[Cuenta]],Table8[Nombre Cuenta ()],Table8[Nivel 1],"",0)</f>
        <v/>
      </c>
      <c r="S78" t="str">
        <f>_xlfn.XLOOKUP(Table3[[#This Row],[Cuenta]],Table8[Nombre Cuenta ()],Table8[Nivel 2],"",0)</f>
        <v/>
      </c>
      <c r="T78" t="str">
        <f>_xlfn.XLOOKUP(Table3[[#This Row],[Cuenta]],Table8[Nombre Cuenta ()],Table8[Nivel 3],"",0)</f>
        <v/>
      </c>
      <c r="U78">
        <v>155</v>
      </c>
      <c r="V78" t="str">
        <f>_xlfn.XLOOKUP(Table3[[#This Row],[Cuenta]],Estructura_Balance[Nombre Cuenta ()],Estructura_Balance[Niveles:2],"",0)</f>
        <v/>
      </c>
      <c r="W78" t="str">
        <f>_xlfn.XLOOKUP(Table3[[#This Row],[Cuenta]],Estructura_Balance[Nombre Cuenta ()],Estructura_Balance[Niveles:3],"",0)</f>
        <v/>
      </c>
      <c r="X78" t="str">
        <f>_xlfn.XLOOKUP(Table3[[#This Row],[Cuenta]],Estructura_Balance[Nombre Cuenta ()],Estructura_Balance[Grupos],"Grupo 1",0)</f>
        <v>Grupo 1</v>
      </c>
      <c r="Y78" t="str">
        <f>+Table3[[#This Row],[BS_Nivel_1]]</f>
        <v/>
      </c>
    </row>
    <row r="79" spans="1:25">
      <c r="A79">
        <f>+'Libro Diario'!F123</f>
        <v>0</v>
      </c>
      <c r="B79" s="144">
        <f>VALUE(IF(+'Libro Diario'!G123="","01/01/2025",+'Libro Diario'!G123))</f>
        <v>45658</v>
      </c>
      <c r="C79">
        <f>IF(ISNUMBER(+IF(IFERROR(VALUE(MID('Libro Diario'!C123,1,4)),0)&lt;&gt;0,'Libro Diario'!C123,0))=FALSE,'Libro Diario'!C123,0)</f>
        <v>0</v>
      </c>
      <c r="D79" s="145" t="str">
        <f>+'Libro Diario'!B123</f>
        <v>Asiento Cuadrado</v>
      </c>
      <c r="E79" s="139" t="s">
        <v>445</v>
      </c>
      <c r="F79" t="str">
        <f t="shared" si="3"/>
        <v>Sin Mov.</v>
      </c>
      <c r="G79" t="str">
        <f>IF(+'Libro Diario'!H123=0,"",+'Libro Diario'!H123)</f>
        <v/>
      </c>
      <c r="H79" t="str">
        <f>IF(+'Libro Diario'!I123=0,"",+'Libro Diario'!I123)</f>
        <v/>
      </c>
      <c r="I79" t="str">
        <f>+IF(Table3[[#This Row],[Tipo Movimiento]]="Estructura Balance y PyG","Excluir","Incluir")</f>
        <v>Incluir</v>
      </c>
      <c r="J79" s="153">
        <f>+IF(Table3[[#This Row],[Sin cuenta]]="Con Mov.",(IF(Table3[[#This Row],[Movimiento]]="Debe",Table3[[#This Row],[Importe]],IF(Table3[[#This Row],[Movimiento]]="Haber",Table3[[#This Row],[Importe]]*-1,0))),0)</f>
        <v>0</v>
      </c>
      <c r="K79" s="145" t="str">
        <f t="shared" si="4"/>
        <v>Asiento Cuadrado</v>
      </c>
      <c r="L79" s="145" t="str">
        <f t="shared" si="5"/>
        <v/>
      </c>
      <c r="M79" t="str">
        <f>_xlfn.XLOOKUP(Table3[[#This Row],[Cuenta]],Estructura_Balance[Nombre Cuenta ()],Estructura_Balance[Grupo],"",0)</f>
        <v/>
      </c>
      <c r="N79" t="str">
        <f>_xlfn.XLOOKUP(Table3[[#This Row],[Cuenta]],Estructura_Balance[Nombre Cuenta ()],Estructura_Balance[Nivel 1],"",0)</f>
        <v/>
      </c>
      <c r="O79" t="str">
        <f>_xlfn.XLOOKUP(Table3[[#This Row],[Cuenta]],Estructura_Balance[Nombre Cuenta ()],Estructura_Balance[Nivel 2],"",0)</f>
        <v/>
      </c>
      <c r="P79" t="str">
        <f>_xlfn.XLOOKUP(Table3[[#This Row],[Cuenta]],Estructura_Balance[Nombre Cuenta ()],Estructura_Balance[Nivel 3],"",0)</f>
        <v/>
      </c>
      <c r="Q79" t="str">
        <f>_xlfn.XLOOKUP(Table3[[#This Row],[Cuenta]],Estructura_Balance[Nombre Cuenta ()],Estructura_Balance[Nivel 4],"",0)</f>
        <v/>
      </c>
      <c r="R79" t="str">
        <f>_xlfn.XLOOKUP(Table3[[#This Row],[Cuenta]],Table8[Nombre Cuenta ()],Table8[Nivel 1],"",0)</f>
        <v/>
      </c>
      <c r="S79" t="str">
        <f>_xlfn.XLOOKUP(Table3[[#This Row],[Cuenta]],Table8[Nombre Cuenta ()],Table8[Nivel 2],"",0)</f>
        <v/>
      </c>
      <c r="T79" t="str">
        <f>_xlfn.XLOOKUP(Table3[[#This Row],[Cuenta]],Table8[Nombre Cuenta ()],Table8[Nivel 3],"",0)</f>
        <v/>
      </c>
      <c r="U79">
        <v>156</v>
      </c>
      <c r="V79" t="str">
        <f>_xlfn.XLOOKUP(Table3[[#This Row],[Cuenta]],Estructura_Balance[Nombre Cuenta ()],Estructura_Balance[Niveles:2],"",0)</f>
        <v/>
      </c>
      <c r="W79" t="str">
        <f>_xlfn.XLOOKUP(Table3[[#This Row],[Cuenta]],Estructura_Balance[Nombre Cuenta ()],Estructura_Balance[Niveles:3],"",0)</f>
        <v/>
      </c>
      <c r="X79" t="str">
        <f>_xlfn.XLOOKUP(Table3[[#This Row],[Cuenta]],Estructura_Balance[Nombre Cuenta ()],Estructura_Balance[Grupos],"Grupo 1",0)</f>
        <v>Grupo 1</v>
      </c>
      <c r="Y79" t="str">
        <f>+Table3[[#This Row],[BS_Nivel_1]]</f>
        <v/>
      </c>
    </row>
    <row r="80" spans="1:25">
      <c r="A80">
        <f>+'Libro Diario'!F124</f>
        <v>0</v>
      </c>
      <c r="B80" s="144">
        <f>VALUE(IF(+'Libro Diario'!G124="","01/01/2025",+'Libro Diario'!G124))</f>
        <v>45658</v>
      </c>
      <c r="C80">
        <f>IF(ISNUMBER(+IF(IFERROR(VALUE(MID('Libro Diario'!C124,1,4)),0)&lt;&gt;0,'Libro Diario'!C124,0))=FALSE,'Libro Diario'!C124,0)</f>
        <v>0</v>
      </c>
      <c r="D80" s="145">
        <f>+'Libro Diario'!B124</f>
        <v>0</v>
      </c>
      <c r="E80" s="139" t="s">
        <v>445</v>
      </c>
      <c r="F80" t="str">
        <f t="shared" si="3"/>
        <v>Sin Mov.</v>
      </c>
      <c r="G80" t="str">
        <f>IF(+'Libro Diario'!H124=0,"",+'Libro Diario'!H124)</f>
        <v/>
      </c>
      <c r="H80" t="str">
        <f>IF(+'Libro Diario'!I124=0,"",+'Libro Diario'!I124)</f>
        <v/>
      </c>
      <c r="I80" t="str">
        <f>+IF(Table3[[#This Row],[Tipo Movimiento]]="Estructura Balance y PyG","Excluir","Incluir")</f>
        <v>Incluir</v>
      </c>
      <c r="J80" s="153">
        <f>+IF(Table3[[#This Row],[Sin cuenta]]="Con Mov.",(IF(Table3[[#This Row],[Movimiento]]="Debe",Table3[[#This Row],[Importe]],IF(Table3[[#This Row],[Movimiento]]="Haber",Table3[[#This Row],[Importe]]*-1,0))),0)</f>
        <v>0</v>
      </c>
      <c r="K80" s="145">
        <f t="shared" si="4"/>
        <v>0</v>
      </c>
      <c r="L80" s="145" t="str">
        <f t="shared" si="5"/>
        <v/>
      </c>
      <c r="M80" t="str">
        <f>_xlfn.XLOOKUP(Table3[[#This Row],[Cuenta]],Estructura_Balance[Nombre Cuenta ()],Estructura_Balance[Grupo],"",0)</f>
        <v/>
      </c>
      <c r="N80" t="str">
        <f>_xlfn.XLOOKUP(Table3[[#This Row],[Cuenta]],Estructura_Balance[Nombre Cuenta ()],Estructura_Balance[Nivel 1],"",0)</f>
        <v/>
      </c>
      <c r="O80" t="str">
        <f>_xlfn.XLOOKUP(Table3[[#This Row],[Cuenta]],Estructura_Balance[Nombre Cuenta ()],Estructura_Balance[Nivel 2],"",0)</f>
        <v/>
      </c>
      <c r="P80" t="str">
        <f>_xlfn.XLOOKUP(Table3[[#This Row],[Cuenta]],Estructura_Balance[Nombre Cuenta ()],Estructura_Balance[Nivel 3],"",0)</f>
        <v/>
      </c>
      <c r="Q80" t="str">
        <f>_xlfn.XLOOKUP(Table3[[#This Row],[Cuenta]],Estructura_Balance[Nombre Cuenta ()],Estructura_Balance[Nivel 4],"",0)</f>
        <v/>
      </c>
      <c r="R80" t="str">
        <f>_xlfn.XLOOKUP(Table3[[#This Row],[Cuenta]],Table8[Nombre Cuenta ()],Table8[Nivel 1],"",0)</f>
        <v/>
      </c>
      <c r="S80" t="str">
        <f>_xlfn.XLOOKUP(Table3[[#This Row],[Cuenta]],Table8[Nombre Cuenta ()],Table8[Nivel 2],"",0)</f>
        <v/>
      </c>
      <c r="T80" t="str">
        <f>_xlfn.XLOOKUP(Table3[[#This Row],[Cuenta]],Table8[Nombre Cuenta ()],Table8[Nivel 3],"",0)</f>
        <v/>
      </c>
      <c r="U80">
        <v>159</v>
      </c>
      <c r="V80" t="str">
        <f>_xlfn.XLOOKUP(Table3[[#This Row],[Cuenta]],Estructura_Balance[Nombre Cuenta ()],Estructura_Balance[Niveles:2],"",0)</f>
        <v/>
      </c>
      <c r="W80" t="str">
        <f>_xlfn.XLOOKUP(Table3[[#This Row],[Cuenta]],Estructura_Balance[Nombre Cuenta ()],Estructura_Balance[Niveles:3],"",0)</f>
        <v/>
      </c>
      <c r="X80" t="str">
        <f>_xlfn.XLOOKUP(Table3[[#This Row],[Cuenta]],Estructura_Balance[Nombre Cuenta ()],Estructura_Balance[Grupos],"Grupo 1",0)</f>
        <v>Grupo 1</v>
      </c>
      <c r="Y80" t="str">
        <f>+Table3[[#This Row],[BS_Nivel_1]]</f>
        <v/>
      </c>
    </row>
    <row r="81" spans="1:25">
      <c r="A81">
        <f>+'Libro Diario'!F125</f>
        <v>0</v>
      </c>
      <c r="B81" s="144">
        <f>VALUE(IF(+'Libro Diario'!G125="","01/01/2025",+'Libro Diario'!G125))</f>
        <v>45658</v>
      </c>
      <c r="C81">
        <f>IF(ISNUMBER(+IF(IFERROR(VALUE(MID('Libro Diario'!C125,1,4)),0)&lt;&gt;0,'Libro Diario'!C125,0))=FALSE,'Libro Diario'!C125,0)</f>
        <v>0</v>
      </c>
      <c r="D81" s="145" t="str">
        <f>+'Libro Diario'!B125</f>
        <v>DEBE</v>
      </c>
      <c r="E81" s="139" t="s">
        <v>445</v>
      </c>
      <c r="F81" t="str">
        <f t="shared" si="3"/>
        <v>Sin Mov.</v>
      </c>
      <c r="G81" t="str">
        <f>IF(+'Libro Diario'!H125=0,"",+'Libro Diario'!H125)</f>
        <v/>
      </c>
      <c r="H81" t="str">
        <f>IF(+'Libro Diario'!I125=0,"",+'Libro Diario'!I125)</f>
        <v/>
      </c>
      <c r="I81" t="str">
        <f>+IF(Table3[[#This Row],[Tipo Movimiento]]="Estructura Balance y PyG","Excluir","Incluir")</f>
        <v>Incluir</v>
      </c>
      <c r="J81" s="153">
        <f>+IF(Table3[[#This Row],[Sin cuenta]]="Con Mov.",(IF(Table3[[#This Row],[Movimiento]]="Debe",Table3[[#This Row],[Importe]],IF(Table3[[#This Row],[Movimiento]]="Haber",Table3[[#This Row],[Importe]]*-1,0))),0)</f>
        <v>0</v>
      </c>
      <c r="K81" s="145" t="str">
        <f t="shared" si="4"/>
        <v>DEBE</v>
      </c>
      <c r="L81" s="145" t="str">
        <f t="shared" si="5"/>
        <v/>
      </c>
      <c r="M81" t="str">
        <f>_xlfn.XLOOKUP(Table3[[#This Row],[Cuenta]],Estructura_Balance[Nombre Cuenta ()],Estructura_Balance[Grupo],"",0)</f>
        <v/>
      </c>
      <c r="N81" t="str">
        <f>_xlfn.XLOOKUP(Table3[[#This Row],[Cuenta]],Estructura_Balance[Nombre Cuenta ()],Estructura_Balance[Nivel 1],"",0)</f>
        <v/>
      </c>
      <c r="O81" t="str">
        <f>_xlfn.XLOOKUP(Table3[[#This Row],[Cuenta]],Estructura_Balance[Nombre Cuenta ()],Estructura_Balance[Nivel 2],"",0)</f>
        <v/>
      </c>
      <c r="P81" t="str">
        <f>_xlfn.XLOOKUP(Table3[[#This Row],[Cuenta]],Estructura_Balance[Nombre Cuenta ()],Estructura_Balance[Nivel 3],"",0)</f>
        <v/>
      </c>
      <c r="Q81" t="str">
        <f>_xlfn.XLOOKUP(Table3[[#This Row],[Cuenta]],Estructura_Balance[Nombre Cuenta ()],Estructura_Balance[Nivel 4],"",0)</f>
        <v/>
      </c>
      <c r="R81" t="str">
        <f>_xlfn.XLOOKUP(Table3[[#This Row],[Cuenta]],Table8[Nombre Cuenta ()],Table8[Nivel 1],"",0)</f>
        <v/>
      </c>
      <c r="S81" t="str">
        <f>_xlfn.XLOOKUP(Table3[[#This Row],[Cuenta]],Table8[Nombre Cuenta ()],Table8[Nivel 2],"",0)</f>
        <v/>
      </c>
      <c r="T81" t="str">
        <f>_xlfn.XLOOKUP(Table3[[#This Row],[Cuenta]],Table8[Nombre Cuenta ()],Table8[Nivel 3],"",0)</f>
        <v/>
      </c>
      <c r="U81">
        <v>160</v>
      </c>
      <c r="V81" t="str">
        <f>_xlfn.XLOOKUP(Table3[[#This Row],[Cuenta]],Estructura_Balance[Nombre Cuenta ()],Estructura_Balance[Niveles:2],"",0)</f>
        <v/>
      </c>
      <c r="W81" t="str">
        <f>_xlfn.XLOOKUP(Table3[[#This Row],[Cuenta]],Estructura_Balance[Nombre Cuenta ()],Estructura_Balance[Niveles:3],"",0)</f>
        <v/>
      </c>
      <c r="X81" t="str">
        <f>_xlfn.XLOOKUP(Table3[[#This Row],[Cuenta]],Estructura_Balance[Nombre Cuenta ()],Estructura_Balance[Grupos],"Grupo 1",0)</f>
        <v>Grupo 1</v>
      </c>
      <c r="Y81" t="str">
        <f>+Table3[[#This Row],[BS_Nivel_1]]</f>
        <v/>
      </c>
    </row>
    <row r="82" spans="1:25">
      <c r="A82">
        <f>+'Libro Diario'!F126</f>
        <v>0</v>
      </c>
      <c r="B82" s="144">
        <f>VALUE(IF(+'Libro Diario'!G126="","01/01/2025",+'Libro Diario'!G126))</f>
        <v>45658</v>
      </c>
      <c r="C82">
        <f>IF(ISNUMBER(+IF(IFERROR(VALUE(MID('Libro Diario'!C126,1,4)),0)&lt;&gt;0,'Libro Diario'!C126,0))=FALSE,'Libro Diario'!C126,0)</f>
        <v>0</v>
      </c>
      <c r="D82" s="145">
        <f>+'Libro Diario'!B126</f>
        <v>0</v>
      </c>
      <c r="E82" s="139" t="s">
        <v>445</v>
      </c>
      <c r="F82" t="str">
        <f t="shared" si="3"/>
        <v>Sin Mov.</v>
      </c>
      <c r="G82" t="str">
        <f>IF(+'Libro Diario'!H126=0,"",+'Libro Diario'!H126)</f>
        <v/>
      </c>
      <c r="H82" t="str">
        <f>IF(+'Libro Diario'!I126=0,"",+'Libro Diario'!I126)</f>
        <v/>
      </c>
      <c r="I82" t="str">
        <f>+IF(Table3[[#This Row],[Tipo Movimiento]]="Estructura Balance y PyG","Excluir","Incluir")</f>
        <v>Incluir</v>
      </c>
      <c r="J82" s="153">
        <f>+IF(Table3[[#This Row],[Sin cuenta]]="Con Mov.",(IF(Table3[[#This Row],[Movimiento]]="Debe",Table3[[#This Row],[Importe]],IF(Table3[[#This Row],[Movimiento]]="Haber",Table3[[#This Row],[Importe]]*-1,0))),0)</f>
        <v>0</v>
      </c>
      <c r="K82" s="145">
        <f t="shared" si="4"/>
        <v>0</v>
      </c>
      <c r="L82" s="145" t="str">
        <f t="shared" si="5"/>
        <v/>
      </c>
      <c r="M82" t="str">
        <f>_xlfn.XLOOKUP(Table3[[#This Row],[Cuenta]],Estructura_Balance[Nombre Cuenta ()],Estructura_Balance[Grupo],"",0)</f>
        <v/>
      </c>
      <c r="N82" t="str">
        <f>_xlfn.XLOOKUP(Table3[[#This Row],[Cuenta]],Estructura_Balance[Nombre Cuenta ()],Estructura_Balance[Nivel 1],"",0)</f>
        <v/>
      </c>
      <c r="O82" t="str">
        <f>_xlfn.XLOOKUP(Table3[[#This Row],[Cuenta]],Estructura_Balance[Nombre Cuenta ()],Estructura_Balance[Nivel 2],"",0)</f>
        <v/>
      </c>
      <c r="P82" t="str">
        <f>_xlfn.XLOOKUP(Table3[[#This Row],[Cuenta]],Estructura_Balance[Nombre Cuenta ()],Estructura_Balance[Nivel 3],"",0)</f>
        <v/>
      </c>
      <c r="Q82" t="str">
        <f>_xlfn.XLOOKUP(Table3[[#This Row],[Cuenta]],Estructura_Balance[Nombre Cuenta ()],Estructura_Balance[Nivel 4],"",0)</f>
        <v/>
      </c>
      <c r="R82" t="str">
        <f>_xlfn.XLOOKUP(Table3[[#This Row],[Cuenta]],Table8[Nombre Cuenta ()],Table8[Nivel 1],"",0)</f>
        <v/>
      </c>
      <c r="S82" t="str">
        <f>_xlfn.XLOOKUP(Table3[[#This Row],[Cuenta]],Table8[Nombre Cuenta ()],Table8[Nivel 2],"",0)</f>
        <v/>
      </c>
      <c r="T82" t="str">
        <f>_xlfn.XLOOKUP(Table3[[#This Row],[Cuenta]],Table8[Nombre Cuenta ()],Table8[Nivel 3],"",0)</f>
        <v/>
      </c>
      <c r="U82">
        <v>161</v>
      </c>
      <c r="V82" t="str">
        <f>_xlfn.XLOOKUP(Table3[[#This Row],[Cuenta]],Estructura_Balance[Nombre Cuenta ()],Estructura_Balance[Niveles:2],"",0)</f>
        <v/>
      </c>
      <c r="W82" t="str">
        <f>_xlfn.XLOOKUP(Table3[[#This Row],[Cuenta]],Estructura_Balance[Nombre Cuenta ()],Estructura_Balance[Niveles:3],"",0)</f>
        <v/>
      </c>
      <c r="X82" t="str">
        <f>_xlfn.XLOOKUP(Table3[[#This Row],[Cuenta]],Estructura_Balance[Nombre Cuenta ()],Estructura_Balance[Grupos],"Grupo 1",0)</f>
        <v>Grupo 1</v>
      </c>
      <c r="Y82" t="str">
        <f>+Table3[[#This Row],[BS_Nivel_1]]</f>
        <v/>
      </c>
    </row>
    <row r="83" spans="1:25">
      <c r="A83">
        <f>+'Libro Diario'!F129</f>
        <v>0</v>
      </c>
      <c r="B83" s="144">
        <f>VALUE(IF(+'Libro Diario'!G129="","01/01/2025",+'Libro Diario'!G129))</f>
        <v>45658</v>
      </c>
      <c r="C83">
        <f>IF(ISNUMBER(+IF(IFERROR(VALUE(MID('Libro Diario'!C129,1,4)),0)&lt;&gt;0,'Libro Diario'!C129,0))=FALSE,'Libro Diario'!C129,0)</f>
        <v>0</v>
      </c>
      <c r="D83" s="145" t="str">
        <f>+'Libro Diario'!B129</f>
        <v>Operaciones del Ejercicio</v>
      </c>
      <c r="E83" s="139" t="s">
        <v>445</v>
      </c>
      <c r="F83" t="str">
        <f t="shared" si="3"/>
        <v>Sin Mov.</v>
      </c>
      <c r="G83" t="str">
        <f>IF(+'Libro Diario'!H129=0,"",+'Libro Diario'!H129)</f>
        <v/>
      </c>
      <c r="H83" t="str">
        <f>IF(+'Libro Diario'!I129=0,"",+'Libro Diario'!I129)</f>
        <v/>
      </c>
      <c r="I83" t="str">
        <f>+IF(Table3[[#This Row],[Tipo Movimiento]]="Estructura Balance y PyG","Excluir","Incluir")</f>
        <v>Incluir</v>
      </c>
      <c r="J83" s="153">
        <f>+IF(Table3[[#This Row],[Sin cuenta]]="Con Mov.",(IF(Table3[[#This Row],[Movimiento]]="Debe",Table3[[#This Row],[Importe]],IF(Table3[[#This Row],[Movimiento]]="Haber",Table3[[#This Row],[Importe]]*-1,0))),0)</f>
        <v>0</v>
      </c>
      <c r="K83" s="145" t="str">
        <f t="shared" si="4"/>
        <v>Operaciones del Ejercicio</v>
      </c>
      <c r="L83" s="145" t="str">
        <f t="shared" si="5"/>
        <v/>
      </c>
      <c r="M83" t="str">
        <f>_xlfn.XLOOKUP(Table3[[#This Row],[Cuenta]],Estructura_Balance[Nombre Cuenta ()],Estructura_Balance[Grupo],"",0)</f>
        <v/>
      </c>
      <c r="N83" t="str">
        <f>_xlfn.XLOOKUP(Table3[[#This Row],[Cuenta]],Estructura_Balance[Nombre Cuenta ()],Estructura_Balance[Nivel 1],"",0)</f>
        <v/>
      </c>
      <c r="O83" t="str">
        <f>_xlfn.XLOOKUP(Table3[[#This Row],[Cuenta]],Estructura_Balance[Nombre Cuenta ()],Estructura_Balance[Nivel 2],"",0)</f>
        <v/>
      </c>
      <c r="P83" t="str">
        <f>_xlfn.XLOOKUP(Table3[[#This Row],[Cuenta]],Estructura_Balance[Nombre Cuenta ()],Estructura_Balance[Nivel 3],"",0)</f>
        <v/>
      </c>
      <c r="Q83" t="str">
        <f>_xlfn.XLOOKUP(Table3[[#This Row],[Cuenta]],Estructura_Balance[Nombre Cuenta ()],Estructura_Balance[Nivel 4],"",0)</f>
        <v/>
      </c>
      <c r="R83" t="str">
        <f>_xlfn.XLOOKUP(Table3[[#This Row],[Cuenta]],Table8[Nombre Cuenta ()],Table8[Nivel 1],"",0)</f>
        <v/>
      </c>
      <c r="S83" t="str">
        <f>_xlfn.XLOOKUP(Table3[[#This Row],[Cuenta]],Table8[Nombre Cuenta ()],Table8[Nivel 2],"",0)</f>
        <v/>
      </c>
      <c r="T83" t="str">
        <f>_xlfn.XLOOKUP(Table3[[#This Row],[Cuenta]],Table8[Nombre Cuenta ()],Table8[Nivel 3],"",0)</f>
        <v/>
      </c>
      <c r="U83">
        <v>166</v>
      </c>
      <c r="V83" t="str">
        <f>_xlfn.XLOOKUP(Table3[[#This Row],[Cuenta]],Estructura_Balance[Nombre Cuenta ()],Estructura_Balance[Niveles:2],"",0)</f>
        <v/>
      </c>
      <c r="W83" t="str">
        <f>_xlfn.XLOOKUP(Table3[[#This Row],[Cuenta]],Estructura_Balance[Nombre Cuenta ()],Estructura_Balance[Niveles:3],"",0)</f>
        <v/>
      </c>
      <c r="X83" t="str">
        <f>_xlfn.XLOOKUP(Table3[[#This Row],[Cuenta]],Estructura_Balance[Nombre Cuenta ()],Estructura_Balance[Grupos],"Grupo 1",0)</f>
        <v>Grupo 1</v>
      </c>
      <c r="Y83" t="str">
        <f>+Table3[[#This Row],[BS_Nivel_1]]</f>
        <v/>
      </c>
    </row>
    <row r="84" spans="1:25">
      <c r="A84">
        <f>+'Libro Diario'!F130</f>
        <v>0</v>
      </c>
      <c r="B84" s="144">
        <f>VALUE(IF(+'Libro Diario'!G130="","01/01/2025",+'Libro Diario'!G130))</f>
        <v>45658</v>
      </c>
      <c r="C84">
        <f>IF(ISNUMBER(+IF(IFERROR(VALUE(MID('Libro Diario'!C130,1,4)),0)&lt;&gt;0,'Libro Diario'!C130,0))=FALSE,'Libro Diario'!C130,0)</f>
        <v>0</v>
      </c>
      <c r="D84" s="145" t="str">
        <f>+'Libro Diario'!B130</f>
        <v>Asiento Cuadrado</v>
      </c>
      <c r="E84" s="139" t="s">
        <v>445</v>
      </c>
      <c r="F84" t="str">
        <f t="shared" si="3"/>
        <v>Sin Mov.</v>
      </c>
      <c r="G84" t="str">
        <f>IF(+'Libro Diario'!H130=0,"",+'Libro Diario'!H130)</f>
        <v/>
      </c>
      <c r="H84" t="str">
        <f>IF(+'Libro Diario'!I130=0,"",+'Libro Diario'!I130)</f>
        <v/>
      </c>
      <c r="I84" t="str">
        <f>+IF(Table3[[#This Row],[Tipo Movimiento]]="Estructura Balance y PyG","Excluir","Incluir")</f>
        <v>Incluir</v>
      </c>
      <c r="J84" s="153">
        <f>+IF(Table3[[#This Row],[Sin cuenta]]="Con Mov.",(IF(Table3[[#This Row],[Movimiento]]="Debe",Table3[[#This Row],[Importe]],IF(Table3[[#This Row],[Movimiento]]="Haber",Table3[[#This Row],[Importe]]*-1,0))),0)</f>
        <v>0</v>
      </c>
      <c r="K84" s="145" t="str">
        <f t="shared" si="4"/>
        <v>Asiento Cuadrado</v>
      </c>
      <c r="L84" s="145" t="str">
        <f t="shared" si="5"/>
        <v/>
      </c>
      <c r="M84" t="str">
        <f>_xlfn.XLOOKUP(Table3[[#This Row],[Cuenta]],Estructura_Balance[Nombre Cuenta ()],Estructura_Balance[Grupo],"",0)</f>
        <v/>
      </c>
      <c r="N84" t="str">
        <f>_xlfn.XLOOKUP(Table3[[#This Row],[Cuenta]],Estructura_Balance[Nombre Cuenta ()],Estructura_Balance[Nivel 1],"",0)</f>
        <v/>
      </c>
      <c r="O84" t="str">
        <f>_xlfn.XLOOKUP(Table3[[#This Row],[Cuenta]],Estructura_Balance[Nombre Cuenta ()],Estructura_Balance[Nivel 2],"",0)</f>
        <v/>
      </c>
      <c r="P84" t="str">
        <f>_xlfn.XLOOKUP(Table3[[#This Row],[Cuenta]],Estructura_Balance[Nombre Cuenta ()],Estructura_Balance[Nivel 3],"",0)</f>
        <v/>
      </c>
      <c r="Q84" t="str">
        <f>_xlfn.XLOOKUP(Table3[[#This Row],[Cuenta]],Estructura_Balance[Nombre Cuenta ()],Estructura_Balance[Nivel 4],"",0)</f>
        <v/>
      </c>
      <c r="R84" t="str">
        <f>_xlfn.XLOOKUP(Table3[[#This Row],[Cuenta]],Table8[Nombre Cuenta ()],Table8[Nivel 1],"",0)</f>
        <v/>
      </c>
      <c r="S84" t="str">
        <f>_xlfn.XLOOKUP(Table3[[#This Row],[Cuenta]],Table8[Nombre Cuenta ()],Table8[Nivel 2],"",0)</f>
        <v/>
      </c>
      <c r="T84" t="str">
        <f>_xlfn.XLOOKUP(Table3[[#This Row],[Cuenta]],Table8[Nombre Cuenta ()],Table8[Nivel 3],"",0)</f>
        <v/>
      </c>
      <c r="U84">
        <v>167</v>
      </c>
      <c r="V84" t="str">
        <f>_xlfn.XLOOKUP(Table3[[#This Row],[Cuenta]],Estructura_Balance[Nombre Cuenta ()],Estructura_Balance[Niveles:2],"",0)</f>
        <v/>
      </c>
      <c r="W84" t="str">
        <f>_xlfn.XLOOKUP(Table3[[#This Row],[Cuenta]],Estructura_Balance[Nombre Cuenta ()],Estructura_Balance[Niveles:3],"",0)</f>
        <v/>
      </c>
      <c r="X84" t="str">
        <f>_xlfn.XLOOKUP(Table3[[#This Row],[Cuenta]],Estructura_Balance[Nombre Cuenta ()],Estructura_Balance[Grupos],"Grupo 1",0)</f>
        <v>Grupo 1</v>
      </c>
      <c r="Y84" t="str">
        <f>+Table3[[#This Row],[BS_Nivel_1]]</f>
        <v/>
      </c>
    </row>
    <row r="85" spans="1:25">
      <c r="A85">
        <f>+'Libro Diario'!F131</f>
        <v>0</v>
      </c>
      <c r="B85" s="144">
        <f>VALUE(IF(+'Libro Diario'!G131="","01/01/2025",+'Libro Diario'!G131))</f>
        <v>45658</v>
      </c>
      <c r="C85">
        <f>IF(ISNUMBER(+IF(IFERROR(VALUE(MID('Libro Diario'!C131,1,4)),0)&lt;&gt;0,'Libro Diario'!C131,0))=FALSE,'Libro Diario'!C131,0)</f>
        <v>0</v>
      </c>
      <c r="D85" s="145">
        <f>+'Libro Diario'!B131</f>
        <v>0</v>
      </c>
      <c r="E85" s="139" t="s">
        <v>445</v>
      </c>
      <c r="F85" t="str">
        <f t="shared" si="3"/>
        <v>Sin Mov.</v>
      </c>
      <c r="G85" t="str">
        <f>IF(+'Libro Diario'!H131=0,"",+'Libro Diario'!H131)</f>
        <v/>
      </c>
      <c r="H85" t="str">
        <f>IF(+'Libro Diario'!I131=0,"",+'Libro Diario'!I131)</f>
        <v/>
      </c>
      <c r="I85" t="str">
        <f>+IF(Table3[[#This Row],[Tipo Movimiento]]="Estructura Balance y PyG","Excluir","Incluir")</f>
        <v>Incluir</v>
      </c>
      <c r="J85" s="153">
        <f>+IF(Table3[[#This Row],[Sin cuenta]]="Con Mov.",(IF(Table3[[#This Row],[Movimiento]]="Debe",Table3[[#This Row],[Importe]],IF(Table3[[#This Row],[Movimiento]]="Haber",Table3[[#This Row],[Importe]]*-1,0))),0)</f>
        <v>0</v>
      </c>
      <c r="K85" s="145">
        <f t="shared" si="4"/>
        <v>0</v>
      </c>
      <c r="L85" s="145" t="str">
        <f t="shared" si="5"/>
        <v/>
      </c>
      <c r="M85" t="str">
        <f>_xlfn.XLOOKUP(Table3[[#This Row],[Cuenta]],Estructura_Balance[Nombre Cuenta ()],Estructura_Balance[Grupo],"",0)</f>
        <v/>
      </c>
      <c r="N85" t="str">
        <f>_xlfn.XLOOKUP(Table3[[#This Row],[Cuenta]],Estructura_Balance[Nombre Cuenta ()],Estructura_Balance[Nivel 1],"",0)</f>
        <v/>
      </c>
      <c r="O85" t="str">
        <f>_xlfn.XLOOKUP(Table3[[#This Row],[Cuenta]],Estructura_Balance[Nombre Cuenta ()],Estructura_Balance[Nivel 2],"",0)</f>
        <v/>
      </c>
      <c r="P85" t="str">
        <f>_xlfn.XLOOKUP(Table3[[#This Row],[Cuenta]],Estructura_Balance[Nombre Cuenta ()],Estructura_Balance[Nivel 3],"",0)</f>
        <v/>
      </c>
      <c r="Q85" t="str">
        <f>_xlfn.XLOOKUP(Table3[[#This Row],[Cuenta]],Estructura_Balance[Nombre Cuenta ()],Estructura_Balance[Nivel 4],"",0)</f>
        <v/>
      </c>
      <c r="R85" t="str">
        <f>_xlfn.XLOOKUP(Table3[[#This Row],[Cuenta]],Table8[Nombre Cuenta ()],Table8[Nivel 1],"",0)</f>
        <v/>
      </c>
      <c r="S85" t="str">
        <f>_xlfn.XLOOKUP(Table3[[#This Row],[Cuenta]],Table8[Nombre Cuenta ()],Table8[Nivel 2],"",0)</f>
        <v/>
      </c>
      <c r="T85" t="str">
        <f>_xlfn.XLOOKUP(Table3[[#This Row],[Cuenta]],Table8[Nombre Cuenta ()],Table8[Nivel 3],"",0)</f>
        <v/>
      </c>
      <c r="U85">
        <v>168</v>
      </c>
      <c r="V85" t="str">
        <f>_xlfn.XLOOKUP(Table3[[#This Row],[Cuenta]],Estructura_Balance[Nombre Cuenta ()],Estructura_Balance[Niveles:2],"",0)</f>
        <v/>
      </c>
      <c r="W85" t="str">
        <f>_xlfn.XLOOKUP(Table3[[#This Row],[Cuenta]],Estructura_Balance[Nombre Cuenta ()],Estructura_Balance[Niveles:3],"",0)</f>
        <v/>
      </c>
      <c r="X85" t="str">
        <f>_xlfn.XLOOKUP(Table3[[#This Row],[Cuenta]],Estructura_Balance[Nombre Cuenta ()],Estructura_Balance[Grupos],"Grupo 1",0)</f>
        <v>Grupo 1</v>
      </c>
      <c r="Y85" t="str">
        <f>+Table3[[#This Row],[BS_Nivel_1]]</f>
        <v/>
      </c>
    </row>
    <row r="86" spans="1:25">
      <c r="A86">
        <f>+'Libro Diario'!F132</f>
        <v>0</v>
      </c>
      <c r="B86" s="144">
        <f>VALUE(IF(+'Libro Diario'!G132="","01/01/2025",+'Libro Diario'!G132))</f>
        <v>45658</v>
      </c>
      <c r="C86">
        <f>IF(ISNUMBER(+IF(IFERROR(VALUE(MID('Libro Diario'!C132,1,4)),0)&lt;&gt;0,'Libro Diario'!C132,0))=FALSE,'Libro Diario'!C132,0)</f>
        <v>0</v>
      </c>
      <c r="D86" s="145" t="str">
        <f>+'Libro Diario'!B132</f>
        <v>DEBE</v>
      </c>
      <c r="E86" s="139" t="s">
        <v>445</v>
      </c>
      <c r="F86" t="str">
        <f t="shared" si="3"/>
        <v>Sin Mov.</v>
      </c>
      <c r="G86" t="str">
        <f>IF(+'Libro Diario'!H132=0,"",+'Libro Diario'!H132)</f>
        <v/>
      </c>
      <c r="H86" t="str">
        <f>IF(+'Libro Diario'!I132=0,"",+'Libro Diario'!I132)</f>
        <v/>
      </c>
      <c r="I86" t="str">
        <f>+IF(Table3[[#This Row],[Tipo Movimiento]]="Estructura Balance y PyG","Excluir","Incluir")</f>
        <v>Incluir</v>
      </c>
      <c r="J86" s="153">
        <f>+IF(Table3[[#This Row],[Sin cuenta]]="Con Mov.",(IF(Table3[[#This Row],[Movimiento]]="Debe",Table3[[#This Row],[Importe]],IF(Table3[[#This Row],[Movimiento]]="Haber",Table3[[#This Row],[Importe]]*-1,0))),0)</f>
        <v>0</v>
      </c>
      <c r="K86" s="145" t="str">
        <f t="shared" si="4"/>
        <v>DEBE</v>
      </c>
      <c r="L86" s="145" t="str">
        <f t="shared" si="5"/>
        <v/>
      </c>
      <c r="M86" t="str">
        <f>_xlfn.XLOOKUP(Table3[[#This Row],[Cuenta]],Estructura_Balance[Nombre Cuenta ()],Estructura_Balance[Grupo],"",0)</f>
        <v/>
      </c>
      <c r="N86" t="str">
        <f>_xlfn.XLOOKUP(Table3[[#This Row],[Cuenta]],Estructura_Balance[Nombre Cuenta ()],Estructura_Balance[Nivel 1],"",0)</f>
        <v/>
      </c>
      <c r="O86" t="str">
        <f>_xlfn.XLOOKUP(Table3[[#This Row],[Cuenta]],Estructura_Balance[Nombre Cuenta ()],Estructura_Balance[Nivel 2],"",0)</f>
        <v/>
      </c>
      <c r="P86" t="str">
        <f>_xlfn.XLOOKUP(Table3[[#This Row],[Cuenta]],Estructura_Balance[Nombre Cuenta ()],Estructura_Balance[Nivel 3],"",0)</f>
        <v/>
      </c>
      <c r="Q86" t="str">
        <f>_xlfn.XLOOKUP(Table3[[#This Row],[Cuenta]],Estructura_Balance[Nombre Cuenta ()],Estructura_Balance[Nivel 4],"",0)</f>
        <v/>
      </c>
      <c r="R86" t="str">
        <f>_xlfn.XLOOKUP(Table3[[#This Row],[Cuenta]],Table8[Nombre Cuenta ()],Table8[Nivel 1],"",0)</f>
        <v/>
      </c>
      <c r="S86" t="str">
        <f>_xlfn.XLOOKUP(Table3[[#This Row],[Cuenta]],Table8[Nombre Cuenta ()],Table8[Nivel 2],"",0)</f>
        <v/>
      </c>
      <c r="T86" t="str">
        <f>_xlfn.XLOOKUP(Table3[[#This Row],[Cuenta]],Table8[Nombre Cuenta ()],Table8[Nivel 3],"",0)</f>
        <v/>
      </c>
      <c r="U86">
        <v>169</v>
      </c>
      <c r="V86" t="str">
        <f>_xlfn.XLOOKUP(Table3[[#This Row],[Cuenta]],Estructura_Balance[Nombre Cuenta ()],Estructura_Balance[Niveles:2],"",0)</f>
        <v/>
      </c>
      <c r="W86" t="str">
        <f>_xlfn.XLOOKUP(Table3[[#This Row],[Cuenta]],Estructura_Balance[Nombre Cuenta ()],Estructura_Balance[Niveles:3],"",0)</f>
        <v/>
      </c>
      <c r="X86" t="str">
        <f>_xlfn.XLOOKUP(Table3[[#This Row],[Cuenta]],Estructura_Balance[Nombre Cuenta ()],Estructura_Balance[Grupos],"Grupo 1",0)</f>
        <v>Grupo 1</v>
      </c>
      <c r="Y86" t="str">
        <f>+Table3[[#This Row],[BS_Nivel_1]]</f>
        <v/>
      </c>
    </row>
    <row r="87" spans="1:25">
      <c r="A87">
        <f>+'Libro Diario'!F133</f>
        <v>0</v>
      </c>
      <c r="B87" s="144">
        <f>VALUE(IF(+'Libro Diario'!G133="","01/01/2025",+'Libro Diario'!G133))</f>
        <v>45658</v>
      </c>
      <c r="C87">
        <f>IF(ISNUMBER(+IF(IFERROR(VALUE(MID('Libro Diario'!C133,1,4)),0)&lt;&gt;0,'Libro Diario'!C133,0))=FALSE,'Libro Diario'!C133,0)</f>
        <v>0</v>
      </c>
      <c r="D87" s="145">
        <f>+'Libro Diario'!B133</f>
        <v>0</v>
      </c>
      <c r="E87" s="139" t="s">
        <v>445</v>
      </c>
      <c r="F87" t="str">
        <f t="shared" si="3"/>
        <v>Sin Mov.</v>
      </c>
      <c r="G87" t="str">
        <f>IF(+'Libro Diario'!H133=0,"",+'Libro Diario'!H133)</f>
        <v/>
      </c>
      <c r="H87" t="str">
        <f>IF(+'Libro Diario'!I133=0,"",+'Libro Diario'!I133)</f>
        <v/>
      </c>
      <c r="I87" t="str">
        <f>+IF(Table3[[#This Row],[Tipo Movimiento]]="Estructura Balance y PyG","Excluir","Incluir")</f>
        <v>Incluir</v>
      </c>
      <c r="J87" s="153">
        <f>+IF(Table3[[#This Row],[Sin cuenta]]="Con Mov.",(IF(Table3[[#This Row],[Movimiento]]="Debe",Table3[[#This Row],[Importe]],IF(Table3[[#This Row],[Movimiento]]="Haber",Table3[[#This Row],[Importe]]*-1,0))),0)</f>
        <v>0</v>
      </c>
      <c r="K87" s="145">
        <f t="shared" si="4"/>
        <v>0</v>
      </c>
      <c r="L87" s="145" t="str">
        <f t="shared" si="5"/>
        <v/>
      </c>
      <c r="M87" t="str">
        <f>_xlfn.XLOOKUP(Table3[[#This Row],[Cuenta]],Estructura_Balance[Nombre Cuenta ()],Estructura_Balance[Grupo],"",0)</f>
        <v/>
      </c>
      <c r="N87" t="str">
        <f>_xlfn.XLOOKUP(Table3[[#This Row],[Cuenta]],Estructura_Balance[Nombre Cuenta ()],Estructura_Balance[Nivel 1],"",0)</f>
        <v/>
      </c>
      <c r="O87" t="str">
        <f>_xlfn.XLOOKUP(Table3[[#This Row],[Cuenta]],Estructura_Balance[Nombre Cuenta ()],Estructura_Balance[Nivel 2],"",0)</f>
        <v/>
      </c>
      <c r="P87" t="str">
        <f>_xlfn.XLOOKUP(Table3[[#This Row],[Cuenta]],Estructura_Balance[Nombre Cuenta ()],Estructura_Balance[Nivel 3],"",0)</f>
        <v/>
      </c>
      <c r="Q87" t="str">
        <f>_xlfn.XLOOKUP(Table3[[#This Row],[Cuenta]],Estructura_Balance[Nombre Cuenta ()],Estructura_Balance[Nivel 4],"",0)</f>
        <v/>
      </c>
      <c r="R87" t="str">
        <f>_xlfn.XLOOKUP(Table3[[#This Row],[Cuenta]],Table8[Nombre Cuenta ()],Table8[Nivel 1],"",0)</f>
        <v/>
      </c>
      <c r="S87" t="str">
        <f>_xlfn.XLOOKUP(Table3[[#This Row],[Cuenta]],Table8[Nombre Cuenta ()],Table8[Nivel 2],"",0)</f>
        <v/>
      </c>
      <c r="T87" t="str">
        <f>_xlfn.XLOOKUP(Table3[[#This Row],[Cuenta]],Table8[Nombre Cuenta ()],Table8[Nivel 3],"",0)</f>
        <v/>
      </c>
      <c r="U87">
        <v>170</v>
      </c>
      <c r="V87" t="str">
        <f>_xlfn.XLOOKUP(Table3[[#This Row],[Cuenta]],Estructura_Balance[Nombre Cuenta ()],Estructura_Balance[Niveles:2],"",0)</f>
        <v/>
      </c>
      <c r="W87" t="str">
        <f>_xlfn.XLOOKUP(Table3[[#This Row],[Cuenta]],Estructura_Balance[Nombre Cuenta ()],Estructura_Balance[Niveles:3],"",0)</f>
        <v/>
      </c>
      <c r="X87" t="str">
        <f>_xlfn.XLOOKUP(Table3[[#This Row],[Cuenta]],Estructura_Balance[Nombre Cuenta ()],Estructura_Balance[Grupos],"Grupo 1",0)</f>
        <v>Grupo 1</v>
      </c>
      <c r="Y87" t="str">
        <f>+Table3[[#This Row],[BS_Nivel_1]]</f>
        <v/>
      </c>
    </row>
    <row r="88" spans="1:25">
      <c r="A88">
        <f>+'Libro Diario'!F136</f>
        <v>0</v>
      </c>
      <c r="B88" s="144">
        <f>VALUE(IF(+'Libro Diario'!G136="","01/01/2025",+'Libro Diario'!G136))</f>
        <v>45658</v>
      </c>
      <c r="C88">
        <f>IF(ISNUMBER(+IF(IFERROR(VALUE(MID('Libro Diario'!C136,1,4)),0)&lt;&gt;0,'Libro Diario'!C136,0))=FALSE,'Libro Diario'!C136,0)</f>
        <v>0</v>
      </c>
      <c r="D88" s="145" t="str">
        <f>+'Libro Diario'!B136</f>
        <v>Operaciones del Ejercicio</v>
      </c>
      <c r="E88" s="139" t="s">
        <v>445</v>
      </c>
      <c r="F88" t="str">
        <f t="shared" si="3"/>
        <v>Sin Mov.</v>
      </c>
      <c r="G88" t="str">
        <f>IF(+'Libro Diario'!H136=0,"",+'Libro Diario'!H136)</f>
        <v/>
      </c>
      <c r="H88" t="str">
        <f>IF(+'Libro Diario'!I136=0,"",+'Libro Diario'!I136)</f>
        <v/>
      </c>
      <c r="I88" t="str">
        <f>+IF(Table3[[#This Row],[Tipo Movimiento]]="Estructura Balance y PyG","Excluir","Incluir")</f>
        <v>Incluir</v>
      </c>
      <c r="J88" s="153">
        <f>+IF(Table3[[#This Row],[Sin cuenta]]="Con Mov.",(IF(Table3[[#This Row],[Movimiento]]="Debe",Table3[[#This Row],[Importe]],IF(Table3[[#This Row],[Movimiento]]="Haber",Table3[[#This Row],[Importe]]*-1,0))),0)</f>
        <v>0</v>
      </c>
      <c r="K88" s="145" t="str">
        <f t="shared" si="4"/>
        <v>Operaciones del Ejercicio</v>
      </c>
      <c r="L88" s="145" t="str">
        <f t="shared" si="5"/>
        <v/>
      </c>
      <c r="M88" t="str">
        <f>_xlfn.XLOOKUP(Table3[[#This Row],[Cuenta]],Estructura_Balance[Nombre Cuenta ()],Estructura_Balance[Grupo],"",0)</f>
        <v/>
      </c>
      <c r="N88" t="str">
        <f>_xlfn.XLOOKUP(Table3[[#This Row],[Cuenta]],Estructura_Balance[Nombre Cuenta ()],Estructura_Balance[Nivel 1],"",0)</f>
        <v/>
      </c>
      <c r="O88" t="str">
        <f>_xlfn.XLOOKUP(Table3[[#This Row],[Cuenta]],Estructura_Balance[Nombre Cuenta ()],Estructura_Balance[Nivel 2],"",0)</f>
        <v/>
      </c>
      <c r="P88" t="str">
        <f>_xlfn.XLOOKUP(Table3[[#This Row],[Cuenta]],Estructura_Balance[Nombre Cuenta ()],Estructura_Balance[Nivel 3],"",0)</f>
        <v/>
      </c>
      <c r="Q88" t="str">
        <f>_xlfn.XLOOKUP(Table3[[#This Row],[Cuenta]],Estructura_Balance[Nombre Cuenta ()],Estructura_Balance[Nivel 4],"",0)</f>
        <v/>
      </c>
      <c r="R88" t="str">
        <f>_xlfn.XLOOKUP(Table3[[#This Row],[Cuenta]],Table8[Nombre Cuenta ()],Table8[Nivel 1],"",0)</f>
        <v/>
      </c>
      <c r="S88" t="str">
        <f>_xlfn.XLOOKUP(Table3[[#This Row],[Cuenta]],Table8[Nombre Cuenta ()],Table8[Nivel 2],"",0)</f>
        <v/>
      </c>
      <c r="T88" t="str">
        <f>_xlfn.XLOOKUP(Table3[[#This Row],[Cuenta]],Table8[Nombre Cuenta ()],Table8[Nivel 3],"",0)</f>
        <v/>
      </c>
      <c r="U88">
        <v>175</v>
      </c>
      <c r="V88" t="str">
        <f>_xlfn.XLOOKUP(Table3[[#This Row],[Cuenta]],Estructura_Balance[Nombre Cuenta ()],Estructura_Balance[Niveles:2],"",0)</f>
        <v/>
      </c>
      <c r="W88" t="str">
        <f>_xlfn.XLOOKUP(Table3[[#This Row],[Cuenta]],Estructura_Balance[Nombre Cuenta ()],Estructura_Balance[Niveles:3],"",0)</f>
        <v/>
      </c>
      <c r="X88" t="str">
        <f>_xlfn.XLOOKUP(Table3[[#This Row],[Cuenta]],Estructura_Balance[Nombre Cuenta ()],Estructura_Balance[Grupos],"Grupo 1",0)</f>
        <v>Grupo 1</v>
      </c>
      <c r="Y88" t="str">
        <f>+Table3[[#This Row],[BS_Nivel_1]]</f>
        <v/>
      </c>
    </row>
    <row r="89" spans="1:25">
      <c r="A89">
        <f>+'Libro Diario'!F137</f>
        <v>0</v>
      </c>
      <c r="B89" s="144">
        <f>VALUE(IF(+'Libro Diario'!G137="","01/01/2025",+'Libro Diario'!G137))</f>
        <v>45658</v>
      </c>
      <c r="C89">
        <f>IF(ISNUMBER(+IF(IFERROR(VALUE(MID('Libro Diario'!C137,1,4)),0)&lt;&gt;0,'Libro Diario'!C137,0))=FALSE,'Libro Diario'!C137,0)</f>
        <v>0</v>
      </c>
      <c r="D89" s="145" t="str">
        <f>+'Libro Diario'!B137</f>
        <v>Asiento Cuadrado</v>
      </c>
      <c r="E89" s="139" t="s">
        <v>445</v>
      </c>
      <c r="F89" t="str">
        <f t="shared" si="3"/>
        <v>Sin Mov.</v>
      </c>
      <c r="G89" t="str">
        <f>IF(+'Libro Diario'!H137=0,"",+'Libro Diario'!H137)</f>
        <v/>
      </c>
      <c r="H89" t="str">
        <f>IF(+'Libro Diario'!I137=0,"",+'Libro Diario'!I137)</f>
        <v/>
      </c>
      <c r="I89" t="str">
        <f>+IF(Table3[[#This Row],[Tipo Movimiento]]="Estructura Balance y PyG","Excluir","Incluir")</f>
        <v>Incluir</v>
      </c>
      <c r="J89" s="153">
        <f>+IF(Table3[[#This Row],[Sin cuenta]]="Con Mov.",(IF(Table3[[#This Row],[Movimiento]]="Debe",Table3[[#This Row],[Importe]],IF(Table3[[#This Row],[Movimiento]]="Haber",Table3[[#This Row],[Importe]]*-1,0))),0)</f>
        <v>0</v>
      </c>
      <c r="K89" s="145" t="str">
        <f t="shared" si="4"/>
        <v>Asiento Cuadrado</v>
      </c>
      <c r="L89" s="145" t="str">
        <f t="shared" si="5"/>
        <v/>
      </c>
      <c r="M89" t="str">
        <f>_xlfn.XLOOKUP(Table3[[#This Row],[Cuenta]],Estructura_Balance[Nombre Cuenta ()],Estructura_Balance[Grupo],"",0)</f>
        <v/>
      </c>
      <c r="N89" t="str">
        <f>_xlfn.XLOOKUP(Table3[[#This Row],[Cuenta]],Estructura_Balance[Nombre Cuenta ()],Estructura_Balance[Nivel 1],"",0)</f>
        <v/>
      </c>
      <c r="O89" t="str">
        <f>_xlfn.XLOOKUP(Table3[[#This Row],[Cuenta]],Estructura_Balance[Nombre Cuenta ()],Estructura_Balance[Nivel 2],"",0)</f>
        <v/>
      </c>
      <c r="P89" t="str">
        <f>_xlfn.XLOOKUP(Table3[[#This Row],[Cuenta]],Estructura_Balance[Nombre Cuenta ()],Estructura_Balance[Nivel 3],"",0)</f>
        <v/>
      </c>
      <c r="Q89" t="str">
        <f>_xlfn.XLOOKUP(Table3[[#This Row],[Cuenta]],Estructura_Balance[Nombre Cuenta ()],Estructura_Balance[Nivel 4],"",0)</f>
        <v/>
      </c>
      <c r="R89" t="str">
        <f>_xlfn.XLOOKUP(Table3[[#This Row],[Cuenta]],Table8[Nombre Cuenta ()],Table8[Nivel 1],"",0)</f>
        <v/>
      </c>
      <c r="S89" t="str">
        <f>_xlfn.XLOOKUP(Table3[[#This Row],[Cuenta]],Table8[Nombre Cuenta ()],Table8[Nivel 2],"",0)</f>
        <v/>
      </c>
      <c r="T89" t="str">
        <f>_xlfn.XLOOKUP(Table3[[#This Row],[Cuenta]],Table8[Nombre Cuenta ()],Table8[Nivel 3],"",0)</f>
        <v/>
      </c>
      <c r="U89">
        <v>176</v>
      </c>
      <c r="V89" t="str">
        <f>_xlfn.XLOOKUP(Table3[[#This Row],[Cuenta]],Estructura_Balance[Nombre Cuenta ()],Estructura_Balance[Niveles:2],"",0)</f>
        <v/>
      </c>
      <c r="W89" t="str">
        <f>_xlfn.XLOOKUP(Table3[[#This Row],[Cuenta]],Estructura_Balance[Nombre Cuenta ()],Estructura_Balance[Niveles:3],"",0)</f>
        <v/>
      </c>
      <c r="X89" t="str">
        <f>_xlfn.XLOOKUP(Table3[[#This Row],[Cuenta]],Estructura_Balance[Nombre Cuenta ()],Estructura_Balance[Grupos],"Grupo 1",0)</f>
        <v>Grupo 1</v>
      </c>
      <c r="Y89" t="str">
        <f>+Table3[[#This Row],[BS_Nivel_1]]</f>
        <v/>
      </c>
    </row>
    <row r="90" spans="1:25">
      <c r="A90">
        <f>+'Libro Diario'!F138</f>
        <v>0</v>
      </c>
      <c r="B90" s="144">
        <f>VALUE(IF(+'Libro Diario'!G138="","01/01/2025",+'Libro Diario'!G138))</f>
        <v>45658</v>
      </c>
      <c r="C90">
        <f>IF(ISNUMBER(+IF(IFERROR(VALUE(MID('Libro Diario'!C138,1,4)),0)&lt;&gt;0,'Libro Diario'!C138,0))=FALSE,'Libro Diario'!C138,0)</f>
        <v>0</v>
      </c>
      <c r="D90" s="145">
        <f>+'Libro Diario'!B138</f>
        <v>0</v>
      </c>
      <c r="E90" s="139" t="s">
        <v>445</v>
      </c>
      <c r="F90" t="str">
        <f t="shared" si="3"/>
        <v>Sin Mov.</v>
      </c>
      <c r="G90" t="str">
        <f>IF(+'Libro Diario'!H138=0,"",+'Libro Diario'!H138)</f>
        <v/>
      </c>
      <c r="H90" t="str">
        <f>IF(+'Libro Diario'!I138=0,"",+'Libro Diario'!I138)</f>
        <v/>
      </c>
      <c r="I90" t="str">
        <f>+IF(Table3[[#This Row],[Tipo Movimiento]]="Estructura Balance y PyG","Excluir","Incluir")</f>
        <v>Incluir</v>
      </c>
      <c r="J90" s="153">
        <f>+IF(Table3[[#This Row],[Sin cuenta]]="Con Mov.",(IF(Table3[[#This Row],[Movimiento]]="Debe",Table3[[#This Row],[Importe]],IF(Table3[[#This Row],[Movimiento]]="Haber",Table3[[#This Row],[Importe]]*-1,0))),0)</f>
        <v>0</v>
      </c>
      <c r="K90" s="145">
        <f t="shared" si="4"/>
        <v>0</v>
      </c>
      <c r="L90" s="145" t="str">
        <f t="shared" si="5"/>
        <v/>
      </c>
      <c r="M90" t="str">
        <f>_xlfn.XLOOKUP(Table3[[#This Row],[Cuenta]],Estructura_Balance[Nombre Cuenta ()],Estructura_Balance[Grupo],"",0)</f>
        <v/>
      </c>
      <c r="N90" t="str">
        <f>_xlfn.XLOOKUP(Table3[[#This Row],[Cuenta]],Estructura_Balance[Nombre Cuenta ()],Estructura_Balance[Nivel 1],"",0)</f>
        <v/>
      </c>
      <c r="O90" t="str">
        <f>_xlfn.XLOOKUP(Table3[[#This Row],[Cuenta]],Estructura_Balance[Nombre Cuenta ()],Estructura_Balance[Nivel 2],"",0)</f>
        <v/>
      </c>
      <c r="P90" t="str">
        <f>_xlfn.XLOOKUP(Table3[[#This Row],[Cuenta]],Estructura_Balance[Nombre Cuenta ()],Estructura_Balance[Nivel 3],"",0)</f>
        <v/>
      </c>
      <c r="Q90" t="str">
        <f>_xlfn.XLOOKUP(Table3[[#This Row],[Cuenta]],Estructura_Balance[Nombre Cuenta ()],Estructura_Balance[Nivel 4],"",0)</f>
        <v/>
      </c>
      <c r="R90" t="str">
        <f>_xlfn.XLOOKUP(Table3[[#This Row],[Cuenta]],Table8[Nombre Cuenta ()],Table8[Nivel 1],"",0)</f>
        <v/>
      </c>
      <c r="S90" t="str">
        <f>_xlfn.XLOOKUP(Table3[[#This Row],[Cuenta]],Table8[Nombre Cuenta ()],Table8[Nivel 2],"",0)</f>
        <v/>
      </c>
      <c r="T90" t="str">
        <f>_xlfn.XLOOKUP(Table3[[#This Row],[Cuenta]],Table8[Nombre Cuenta ()],Table8[Nivel 3],"",0)</f>
        <v/>
      </c>
      <c r="U90">
        <v>177</v>
      </c>
      <c r="V90" t="str">
        <f>_xlfn.XLOOKUP(Table3[[#This Row],[Cuenta]],Estructura_Balance[Nombre Cuenta ()],Estructura_Balance[Niveles:2],"",0)</f>
        <v/>
      </c>
      <c r="W90" t="str">
        <f>_xlfn.XLOOKUP(Table3[[#This Row],[Cuenta]],Estructura_Balance[Nombre Cuenta ()],Estructura_Balance[Niveles:3],"",0)</f>
        <v/>
      </c>
      <c r="X90" t="str">
        <f>_xlfn.XLOOKUP(Table3[[#This Row],[Cuenta]],Estructura_Balance[Nombre Cuenta ()],Estructura_Balance[Grupos],"Grupo 1",0)</f>
        <v>Grupo 1</v>
      </c>
      <c r="Y90" t="str">
        <f>+Table3[[#This Row],[BS_Nivel_1]]</f>
        <v/>
      </c>
    </row>
    <row r="91" spans="1:25">
      <c r="A91">
        <f>+'Libro Diario'!F139</f>
        <v>0</v>
      </c>
      <c r="B91" s="144">
        <f>VALUE(IF(+'Libro Diario'!G139="","01/01/2025",+'Libro Diario'!G139))</f>
        <v>45658</v>
      </c>
      <c r="C91">
        <f>IF(ISNUMBER(+IF(IFERROR(VALUE(MID('Libro Diario'!C139,1,4)),0)&lt;&gt;0,'Libro Diario'!C139,0))=FALSE,'Libro Diario'!C139,0)</f>
        <v>0</v>
      </c>
      <c r="D91" s="145" t="str">
        <f>+'Libro Diario'!B139</f>
        <v>DEBE</v>
      </c>
      <c r="E91" s="139" t="s">
        <v>445</v>
      </c>
      <c r="F91" t="str">
        <f t="shared" si="3"/>
        <v>Sin Mov.</v>
      </c>
      <c r="G91" t="str">
        <f>IF(+'Libro Diario'!H139=0,"",+'Libro Diario'!H139)</f>
        <v/>
      </c>
      <c r="H91" t="str">
        <f>IF(+'Libro Diario'!I139=0,"",+'Libro Diario'!I139)</f>
        <v/>
      </c>
      <c r="I91" t="str">
        <f>+IF(Table3[[#This Row],[Tipo Movimiento]]="Estructura Balance y PyG","Excluir","Incluir")</f>
        <v>Incluir</v>
      </c>
      <c r="J91" s="153">
        <f>+IF(Table3[[#This Row],[Sin cuenta]]="Con Mov.",(IF(Table3[[#This Row],[Movimiento]]="Debe",Table3[[#This Row],[Importe]],IF(Table3[[#This Row],[Movimiento]]="Haber",Table3[[#This Row],[Importe]]*-1,0))),0)</f>
        <v>0</v>
      </c>
      <c r="K91" s="145" t="str">
        <f t="shared" si="4"/>
        <v>DEBE</v>
      </c>
      <c r="L91" s="145" t="str">
        <f t="shared" si="5"/>
        <v/>
      </c>
      <c r="M91" t="str">
        <f>_xlfn.XLOOKUP(Table3[[#This Row],[Cuenta]],Estructura_Balance[Nombre Cuenta ()],Estructura_Balance[Grupo],"",0)</f>
        <v/>
      </c>
      <c r="N91" t="str">
        <f>_xlfn.XLOOKUP(Table3[[#This Row],[Cuenta]],Estructura_Balance[Nombre Cuenta ()],Estructura_Balance[Nivel 1],"",0)</f>
        <v/>
      </c>
      <c r="O91" t="str">
        <f>_xlfn.XLOOKUP(Table3[[#This Row],[Cuenta]],Estructura_Balance[Nombre Cuenta ()],Estructura_Balance[Nivel 2],"",0)</f>
        <v/>
      </c>
      <c r="P91" t="str">
        <f>_xlfn.XLOOKUP(Table3[[#This Row],[Cuenta]],Estructura_Balance[Nombre Cuenta ()],Estructura_Balance[Nivel 3],"",0)</f>
        <v/>
      </c>
      <c r="Q91" t="str">
        <f>_xlfn.XLOOKUP(Table3[[#This Row],[Cuenta]],Estructura_Balance[Nombre Cuenta ()],Estructura_Balance[Nivel 4],"",0)</f>
        <v/>
      </c>
      <c r="R91" t="str">
        <f>_xlfn.XLOOKUP(Table3[[#This Row],[Cuenta]],Table8[Nombre Cuenta ()],Table8[Nivel 1],"",0)</f>
        <v/>
      </c>
      <c r="S91" t="str">
        <f>_xlfn.XLOOKUP(Table3[[#This Row],[Cuenta]],Table8[Nombre Cuenta ()],Table8[Nivel 2],"",0)</f>
        <v/>
      </c>
      <c r="T91" t="str">
        <f>_xlfn.XLOOKUP(Table3[[#This Row],[Cuenta]],Table8[Nombre Cuenta ()],Table8[Nivel 3],"",0)</f>
        <v/>
      </c>
      <c r="U91">
        <v>180</v>
      </c>
      <c r="V91" t="str">
        <f>_xlfn.XLOOKUP(Table3[[#This Row],[Cuenta]],Estructura_Balance[Nombre Cuenta ()],Estructura_Balance[Niveles:2],"",0)</f>
        <v/>
      </c>
      <c r="W91" t="str">
        <f>_xlfn.XLOOKUP(Table3[[#This Row],[Cuenta]],Estructura_Balance[Nombre Cuenta ()],Estructura_Balance[Niveles:3],"",0)</f>
        <v/>
      </c>
      <c r="X91" t="str">
        <f>_xlfn.XLOOKUP(Table3[[#This Row],[Cuenta]],Estructura_Balance[Nombre Cuenta ()],Estructura_Balance[Grupos],"Grupo 1",0)</f>
        <v>Grupo 1</v>
      </c>
      <c r="Y91" t="str">
        <f>+Table3[[#This Row],[BS_Nivel_1]]</f>
        <v/>
      </c>
    </row>
    <row r="92" spans="1:25">
      <c r="A92">
        <f>+'Libro Diario'!F140</f>
        <v>0</v>
      </c>
      <c r="B92" s="144">
        <f>VALUE(IF(+'Libro Diario'!G140="","01/01/2025",+'Libro Diario'!G140))</f>
        <v>45658</v>
      </c>
      <c r="C92">
        <f>IF(ISNUMBER(+IF(IFERROR(VALUE(MID('Libro Diario'!C140,1,4)),0)&lt;&gt;0,'Libro Diario'!C140,0))=FALSE,'Libro Diario'!C140,0)</f>
        <v>0</v>
      </c>
      <c r="D92" s="145">
        <f>+'Libro Diario'!B140</f>
        <v>0</v>
      </c>
      <c r="E92" s="139" t="s">
        <v>445</v>
      </c>
      <c r="F92" t="str">
        <f t="shared" si="3"/>
        <v>Sin Mov.</v>
      </c>
      <c r="G92" t="str">
        <f>IF(+'Libro Diario'!H140=0,"",+'Libro Diario'!H140)</f>
        <v/>
      </c>
      <c r="H92" t="str">
        <f>IF(+'Libro Diario'!I140=0,"",+'Libro Diario'!I140)</f>
        <v/>
      </c>
      <c r="I92" t="str">
        <f>+IF(Table3[[#This Row],[Tipo Movimiento]]="Estructura Balance y PyG","Excluir","Incluir")</f>
        <v>Incluir</v>
      </c>
      <c r="J92" s="153">
        <f>+IF(Table3[[#This Row],[Sin cuenta]]="Con Mov.",(IF(Table3[[#This Row],[Movimiento]]="Debe",Table3[[#This Row],[Importe]],IF(Table3[[#This Row],[Movimiento]]="Haber",Table3[[#This Row],[Importe]]*-1,0))),0)</f>
        <v>0</v>
      </c>
      <c r="K92" s="145">
        <f t="shared" si="4"/>
        <v>0</v>
      </c>
      <c r="L92" s="145" t="str">
        <f t="shared" si="5"/>
        <v/>
      </c>
      <c r="M92" t="str">
        <f>_xlfn.XLOOKUP(Table3[[#This Row],[Cuenta]],Estructura_Balance[Nombre Cuenta ()],Estructura_Balance[Grupo],"",0)</f>
        <v/>
      </c>
      <c r="N92" t="str">
        <f>_xlfn.XLOOKUP(Table3[[#This Row],[Cuenta]],Estructura_Balance[Nombre Cuenta ()],Estructura_Balance[Nivel 1],"",0)</f>
        <v/>
      </c>
      <c r="O92" t="str">
        <f>_xlfn.XLOOKUP(Table3[[#This Row],[Cuenta]],Estructura_Balance[Nombre Cuenta ()],Estructura_Balance[Nivel 2],"",0)</f>
        <v/>
      </c>
      <c r="P92" t="str">
        <f>_xlfn.XLOOKUP(Table3[[#This Row],[Cuenta]],Estructura_Balance[Nombre Cuenta ()],Estructura_Balance[Nivel 3],"",0)</f>
        <v/>
      </c>
      <c r="Q92" t="str">
        <f>_xlfn.XLOOKUP(Table3[[#This Row],[Cuenta]],Estructura_Balance[Nombre Cuenta ()],Estructura_Balance[Nivel 4],"",0)</f>
        <v/>
      </c>
      <c r="R92" t="str">
        <f>_xlfn.XLOOKUP(Table3[[#This Row],[Cuenta]],Table8[Nombre Cuenta ()],Table8[Nivel 1],"",0)</f>
        <v/>
      </c>
      <c r="S92" t="str">
        <f>_xlfn.XLOOKUP(Table3[[#This Row],[Cuenta]],Table8[Nombre Cuenta ()],Table8[Nivel 2],"",0)</f>
        <v/>
      </c>
      <c r="T92" t="str">
        <f>_xlfn.XLOOKUP(Table3[[#This Row],[Cuenta]],Table8[Nombre Cuenta ()],Table8[Nivel 3],"",0)</f>
        <v/>
      </c>
      <c r="U92">
        <v>181</v>
      </c>
      <c r="V92" t="str">
        <f>_xlfn.XLOOKUP(Table3[[#This Row],[Cuenta]],Estructura_Balance[Nombre Cuenta ()],Estructura_Balance[Niveles:2],"",0)</f>
        <v/>
      </c>
      <c r="W92" t="str">
        <f>_xlfn.XLOOKUP(Table3[[#This Row],[Cuenta]],Estructura_Balance[Nombre Cuenta ()],Estructura_Balance[Niveles:3],"",0)</f>
        <v/>
      </c>
      <c r="X92" t="str">
        <f>_xlfn.XLOOKUP(Table3[[#This Row],[Cuenta]],Estructura_Balance[Nombre Cuenta ()],Estructura_Balance[Grupos],"Grupo 1",0)</f>
        <v>Grupo 1</v>
      </c>
      <c r="Y92" t="str">
        <f>+Table3[[#This Row],[BS_Nivel_1]]</f>
        <v/>
      </c>
    </row>
    <row r="93" spans="1:25">
      <c r="A93">
        <f>+'Libro Diario'!F143</f>
        <v>0</v>
      </c>
      <c r="B93" s="144">
        <f>VALUE(IF(+'Libro Diario'!G143="","01/01/2025",+'Libro Diario'!G143))</f>
        <v>45658</v>
      </c>
      <c r="C93">
        <f>IF(ISNUMBER(+IF(IFERROR(VALUE(MID('Libro Diario'!C143,1,4)),0)&lt;&gt;0,'Libro Diario'!C143,0))=FALSE,'Libro Diario'!C143,0)</f>
        <v>0</v>
      </c>
      <c r="D93" s="145" t="str">
        <f>+'Libro Diario'!B143</f>
        <v>Operaciones del Ejercicio</v>
      </c>
      <c r="E93" s="139" t="s">
        <v>445</v>
      </c>
      <c r="F93" t="str">
        <f t="shared" si="3"/>
        <v>Sin Mov.</v>
      </c>
      <c r="G93" t="str">
        <f>IF(+'Libro Diario'!H143=0,"",+'Libro Diario'!H143)</f>
        <v/>
      </c>
      <c r="H93" t="str">
        <f>IF(+'Libro Diario'!I143=0,"",+'Libro Diario'!I143)</f>
        <v/>
      </c>
      <c r="I93" t="str">
        <f>+IF(Table3[[#This Row],[Tipo Movimiento]]="Estructura Balance y PyG","Excluir","Incluir")</f>
        <v>Incluir</v>
      </c>
      <c r="J93" s="153">
        <f>+IF(Table3[[#This Row],[Sin cuenta]]="Con Mov.",(IF(Table3[[#This Row],[Movimiento]]="Debe",Table3[[#This Row],[Importe]],IF(Table3[[#This Row],[Movimiento]]="Haber",Table3[[#This Row],[Importe]]*-1,0))),0)</f>
        <v>0</v>
      </c>
      <c r="K93" s="145" t="str">
        <f t="shared" si="4"/>
        <v>Operaciones del Ejercicio</v>
      </c>
      <c r="L93" s="145" t="str">
        <f t="shared" si="5"/>
        <v/>
      </c>
      <c r="M93" t="str">
        <f>_xlfn.XLOOKUP(Table3[[#This Row],[Cuenta]],Estructura_Balance[Nombre Cuenta ()],Estructura_Balance[Grupo],"",0)</f>
        <v/>
      </c>
      <c r="N93" t="str">
        <f>_xlfn.XLOOKUP(Table3[[#This Row],[Cuenta]],Estructura_Balance[Nombre Cuenta ()],Estructura_Balance[Nivel 1],"",0)</f>
        <v/>
      </c>
      <c r="O93" t="str">
        <f>_xlfn.XLOOKUP(Table3[[#This Row],[Cuenta]],Estructura_Balance[Nombre Cuenta ()],Estructura_Balance[Nivel 2],"",0)</f>
        <v/>
      </c>
      <c r="P93" t="str">
        <f>_xlfn.XLOOKUP(Table3[[#This Row],[Cuenta]],Estructura_Balance[Nombre Cuenta ()],Estructura_Balance[Nivel 3],"",0)</f>
        <v/>
      </c>
      <c r="Q93" t="str">
        <f>_xlfn.XLOOKUP(Table3[[#This Row],[Cuenta]],Estructura_Balance[Nombre Cuenta ()],Estructura_Balance[Nivel 4],"",0)</f>
        <v/>
      </c>
      <c r="R93" t="str">
        <f>_xlfn.XLOOKUP(Table3[[#This Row],[Cuenta]],Table8[Nombre Cuenta ()],Table8[Nivel 1],"",0)</f>
        <v/>
      </c>
      <c r="S93" t="str">
        <f>_xlfn.XLOOKUP(Table3[[#This Row],[Cuenta]],Table8[Nombre Cuenta ()],Table8[Nivel 2],"",0)</f>
        <v/>
      </c>
      <c r="T93" t="str">
        <f>_xlfn.XLOOKUP(Table3[[#This Row],[Cuenta]],Table8[Nombre Cuenta ()],Table8[Nivel 3],"",0)</f>
        <v/>
      </c>
      <c r="U93">
        <v>184</v>
      </c>
      <c r="V93" t="str">
        <f>_xlfn.XLOOKUP(Table3[[#This Row],[Cuenta]],Estructura_Balance[Nombre Cuenta ()],Estructura_Balance[Niveles:2],"",0)</f>
        <v/>
      </c>
      <c r="W93" t="str">
        <f>_xlfn.XLOOKUP(Table3[[#This Row],[Cuenta]],Estructura_Balance[Nombre Cuenta ()],Estructura_Balance[Niveles:3],"",0)</f>
        <v/>
      </c>
      <c r="X93" t="str">
        <f>_xlfn.XLOOKUP(Table3[[#This Row],[Cuenta]],Estructura_Balance[Nombre Cuenta ()],Estructura_Balance[Grupos],"Grupo 1",0)</f>
        <v>Grupo 1</v>
      </c>
      <c r="Y93" t="str">
        <f>+Table3[[#This Row],[BS_Nivel_1]]</f>
        <v/>
      </c>
    </row>
    <row r="94" spans="1:25">
      <c r="A94">
        <f>+'Libro Diario'!F144</f>
        <v>0</v>
      </c>
      <c r="B94" s="144">
        <f>VALUE(IF(+'Libro Diario'!G144="","01/01/2025",+'Libro Diario'!G144))</f>
        <v>45658</v>
      </c>
      <c r="C94">
        <f>IF(ISNUMBER(+IF(IFERROR(VALUE(MID('Libro Diario'!C144,1,4)),0)&lt;&gt;0,'Libro Diario'!C144,0))=FALSE,'Libro Diario'!C144,0)</f>
        <v>0</v>
      </c>
      <c r="D94" s="145" t="str">
        <f>+'Libro Diario'!B144</f>
        <v>Asiento Cuadrado</v>
      </c>
      <c r="E94" s="139" t="s">
        <v>445</v>
      </c>
      <c r="F94" t="str">
        <f t="shared" si="3"/>
        <v>Sin Mov.</v>
      </c>
      <c r="G94" t="str">
        <f>IF(+'Libro Diario'!H144=0,"",+'Libro Diario'!H144)</f>
        <v/>
      </c>
      <c r="H94" t="str">
        <f>IF(+'Libro Diario'!I144=0,"",+'Libro Diario'!I144)</f>
        <v/>
      </c>
      <c r="I94" t="str">
        <f>+IF(Table3[[#This Row],[Tipo Movimiento]]="Estructura Balance y PyG","Excluir","Incluir")</f>
        <v>Incluir</v>
      </c>
      <c r="J94" s="153">
        <f>+IF(Table3[[#This Row],[Sin cuenta]]="Con Mov.",(IF(Table3[[#This Row],[Movimiento]]="Debe",Table3[[#This Row],[Importe]],IF(Table3[[#This Row],[Movimiento]]="Haber",Table3[[#This Row],[Importe]]*-1,0))),0)</f>
        <v>0</v>
      </c>
      <c r="K94" s="145" t="str">
        <f t="shared" si="4"/>
        <v>Asiento Cuadrado</v>
      </c>
      <c r="L94" s="145" t="str">
        <f t="shared" si="5"/>
        <v/>
      </c>
      <c r="M94" t="str">
        <f>_xlfn.XLOOKUP(Table3[[#This Row],[Cuenta]],Estructura_Balance[Nombre Cuenta ()],Estructura_Balance[Grupo],"",0)</f>
        <v/>
      </c>
      <c r="N94" t="str">
        <f>_xlfn.XLOOKUP(Table3[[#This Row],[Cuenta]],Estructura_Balance[Nombre Cuenta ()],Estructura_Balance[Nivel 1],"",0)</f>
        <v/>
      </c>
      <c r="O94" t="str">
        <f>_xlfn.XLOOKUP(Table3[[#This Row],[Cuenta]],Estructura_Balance[Nombre Cuenta ()],Estructura_Balance[Nivel 2],"",0)</f>
        <v/>
      </c>
      <c r="P94" t="str">
        <f>_xlfn.XLOOKUP(Table3[[#This Row],[Cuenta]],Estructura_Balance[Nombre Cuenta ()],Estructura_Balance[Nivel 3],"",0)</f>
        <v/>
      </c>
      <c r="Q94" t="str">
        <f>_xlfn.XLOOKUP(Table3[[#This Row],[Cuenta]],Estructura_Balance[Nombre Cuenta ()],Estructura_Balance[Nivel 4],"",0)</f>
        <v/>
      </c>
      <c r="R94" t="str">
        <f>_xlfn.XLOOKUP(Table3[[#This Row],[Cuenta]],Table8[Nombre Cuenta ()],Table8[Nivel 1],"",0)</f>
        <v/>
      </c>
      <c r="S94" t="str">
        <f>_xlfn.XLOOKUP(Table3[[#This Row],[Cuenta]],Table8[Nombre Cuenta ()],Table8[Nivel 2],"",0)</f>
        <v/>
      </c>
      <c r="T94" t="str">
        <f>_xlfn.XLOOKUP(Table3[[#This Row],[Cuenta]],Table8[Nombre Cuenta ()],Table8[Nivel 3],"",0)</f>
        <v/>
      </c>
      <c r="U94">
        <v>189</v>
      </c>
      <c r="V94" t="str">
        <f>_xlfn.XLOOKUP(Table3[[#This Row],[Cuenta]],Estructura_Balance[Nombre Cuenta ()],Estructura_Balance[Niveles:2],"",0)</f>
        <v/>
      </c>
      <c r="W94" t="str">
        <f>_xlfn.XLOOKUP(Table3[[#This Row],[Cuenta]],Estructura_Balance[Nombre Cuenta ()],Estructura_Balance[Niveles:3],"",0)</f>
        <v/>
      </c>
      <c r="X94" t="str">
        <f>_xlfn.XLOOKUP(Table3[[#This Row],[Cuenta]],Estructura_Balance[Nombre Cuenta ()],Estructura_Balance[Grupos],"Grupo 1",0)</f>
        <v>Grupo 1</v>
      </c>
      <c r="Y94" t="str">
        <f>+Table3[[#This Row],[BS_Nivel_1]]</f>
        <v/>
      </c>
    </row>
    <row r="95" spans="1:25">
      <c r="A95">
        <f>+'Libro Diario'!F145</f>
        <v>0</v>
      </c>
      <c r="B95" s="144">
        <f>VALUE(IF(+'Libro Diario'!G145="","01/01/2025",+'Libro Diario'!G145))</f>
        <v>45658</v>
      </c>
      <c r="C95">
        <f>IF(ISNUMBER(+IF(IFERROR(VALUE(MID('Libro Diario'!C145,1,4)),0)&lt;&gt;0,'Libro Diario'!C145,0))=FALSE,'Libro Diario'!C145,0)</f>
        <v>0</v>
      </c>
      <c r="D95" s="145">
        <f>+'Libro Diario'!B145</f>
        <v>0</v>
      </c>
      <c r="E95" s="139" t="s">
        <v>445</v>
      </c>
      <c r="F95" t="str">
        <f t="shared" si="3"/>
        <v>Sin Mov.</v>
      </c>
      <c r="G95" t="str">
        <f>IF(+'Libro Diario'!H145=0,"",+'Libro Diario'!H145)</f>
        <v/>
      </c>
      <c r="H95" t="str">
        <f>IF(+'Libro Diario'!I145=0,"",+'Libro Diario'!I145)</f>
        <v/>
      </c>
      <c r="I95" t="str">
        <f>+IF(Table3[[#This Row],[Tipo Movimiento]]="Estructura Balance y PyG","Excluir","Incluir")</f>
        <v>Incluir</v>
      </c>
      <c r="J95" s="153">
        <f>+IF(Table3[[#This Row],[Sin cuenta]]="Con Mov.",(IF(Table3[[#This Row],[Movimiento]]="Debe",Table3[[#This Row],[Importe]],IF(Table3[[#This Row],[Movimiento]]="Haber",Table3[[#This Row],[Importe]]*-1,0))),0)</f>
        <v>0</v>
      </c>
      <c r="K95" s="145">
        <f t="shared" si="4"/>
        <v>0</v>
      </c>
      <c r="L95" s="145" t="str">
        <f t="shared" si="5"/>
        <v/>
      </c>
      <c r="M95" t="str">
        <f>_xlfn.XLOOKUP(Table3[[#This Row],[Cuenta]],Estructura_Balance[Nombre Cuenta ()],Estructura_Balance[Grupo],"",0)</f>
        <v/>
      </c>
      <c r="N95" t="str">
        <f>_xlfn.XLOOKUP(Table3[[#This Row],[Cuenta]],Estructura_Balance[Nombre Cuenta ()],Estructura_Balance[Nivel 1],"",0)</f>
        <v/>
      </c>
      <c r="O95" t="str">
        <f>_xlfn.XLOOKUP(Table3[[#This Row],[Cuenta]],Estructura_Balance[Nombre Cuenta ()],Estructura_Balance[Nivel 2],"",0)</f>
        <v/>
      </c>
      <c r="P95" t="str">
        <f>_xlfn.XLOOKUP(Table3[[#This Row],[Cuenta]],Estructura_Balance[Nombre Cuenta ()],Estructura_Balance[Nivel 3],"",0)</f>
        <v/>
      </c>
      <c r="Q95" t="str">
        <f>_xlfn.XLOOKUP(Table3[[#This Row],[Cuenta]],Estructura_Balance[Nombre Cuenta ()],Estructura_Balance[Nivel 4],"",0)</f>
        <v/>
      </c>
      <c r="R95" t="str">
        <f>_xlfn.XLOOKUP(Table3[[#This Row],[Cuenta]],Table8[Nombre Cuenta ()],Table8[Nivel 1],"",0)</f>
        <v/>
      </c>
      <c r="S95" t="str">
        <f>_xlfn.XLOOKUP(Table3[[#This Row],[Cuenta]],Table8[Nombre Cuenta ()],Table8[Nivel 2],"",0)</f>
        <v/>
      </c>
      <c r="T95" t="str">
        <f>_xlfn.XLOOKUP(Table3[[#This Row],[Cuenta]],Table8[Nombre Cuenta ()],Table8[Nivel 3],"",0)</f>
        <v/>
      </c>
      <c r="U95">
        <v>190</v>
      </c>
      <c r="V95" t="str">
        <f>_xlfn.XLOOKUP(Table3[[#This Row],[Cuenta]],Estructura_Balance[Nombre Cuenta ()],Estructura_Balance[Niveles:2],"",0)</f>
        <v/>
      </c>
      <c r="W95" t="str">
        <f>_xlfn.XLOOKUP(Table3[[#This Row],[Cuenta]],Estructura_Balance[Nombre Cuenta ()],Estructura_Balance[Niveles:3],"",0)</f>
        <v/>
      </c>
      <c r="X95" t="str">
        <f>_xlfn.XLOOKUP(Table3[[#This Row],[Cuenta]],Estructura_Balance[Nombre Cuenta ()],Estructura_Balance[Grupos],"Grupo 1",0)</f>
        <v>Grupo 1</v>
      </c>
      <c r="Y95" t="str">
        <f>+Table3[[#This Row],[BS_Nivel_1]]</f>
        <v/>
      </c>
    </row>
    <row r="96" spans="1:25">
      <c r="A96">
        <f>+'Libro Diario'!F146</f>
        <v>0</v>
      </c>
      <c r="B96" s="144">
        <f>VALUE(IF(+'Libro Diario'!G146="","01/01/2025",+'Libro Diario'!G146))</f>
        <v>45658</v>
      </c>
      <c r="C96">
        <f>IF(ISNUMBER(+IF(IFERROR(VALUE(MID('Libro Diario'!C146,1,4)),0)&lt;&gt;0,'Libro Diario'!C146,0))=FALSE,'Libro Diario'!C146,0)</f>
        <v>0</v>
      </c>
      <c r="D96" s="145" t="str">
        <f>+'Libro Diario'!B146</f>
        <v>DEBE</v>
      </c>
      <c r="E96" s="139" t="s">
        <v>445</v>
      </c>
      <c r="F96" t="str">
        <f t="shared" si="3"/>
        <v>Sin Mov.</v>
      </c>
      <c r="G96" t="str">
        <f>IF(+'Libro Diario'!H146=0,"",+'Libro Diario'!H146)</f>
        <v/>
      </c>
      <c r="H96" t="str">
        <f>IF(+'Libro Diario'!I146=0,"",+'Libro Diario'!I146)</f>
        <v/>
      </c>
      <c r="I96" t="str">
        <f>+IF(Table3[[#This Row],[Tipo Movimiento]]="Estructura Balance y PyG","Excluir","Incluir")</f>
        <v>Incluir</v>
      </c>
      <c r="J96" s="153">
        <f>+IF(Table3[[#This Row],[Sin cuenta]]="Con Mov.",(IF(Table3[[#This Row],[Movimiento]]="Debe",Table3[[#This Row],[Importe]],IF(Table3[[#This Row],[Movimiento]]="Haber",Table3[[#This Row],[Importe]]*-1,0))),0)</f>
        <v>0</v>
      </c>
      <c r="K96" s="145" t="str">
        <f t="shared" si="4"/>
        <v>DEBE</v>
      </c>
      <c r="L96" s="145" t="str">
        <f t="shared" si="5"/>
        <v/>
      </c>
      <c r="M96" t="str">
        <f>_xlfn.XLOOKUP(Table3[[#This Row],[Cuenta]],Estructura_Balance[Nombre Cuenta ()],Estructura_Balance[Grupo],"",0)</f>
        <v/>
      </c>
      <c r="N96" t="str">
        <f>_xlfn.XLOOKUP(Table3[[#This Row],[Cuenta]],Estructura_Balance[Nombre Cuenta ()],Estructura_Balance[Nivel 1],"",0)</f>
        <v/>
      </c>
      <c r="O96" t="str">
        <f>_xlfn.XLOOKUP(Table3[[#This Row],[Cuenta]],Estructura_Balance[Nombre Cuenta ()],Estructura_Balance[Nivel 2],"",0)</f>
        <v/>
      </c>
      <c r="P96" t="str">
        <f>_xlfn.XLOOKUP(Table3[[#This Row],[Cuenta]],Estructura_Balance[Nombre Cuenta ()],Estructura_Balance[Nivel 3],"",0)</f>
        <v/>
      </c>
      <c r="Q96" t="str">
        <f>_xlfn.XLOOKUP(Table3[[#This Row],[Cuenta]],Estructura_Balance[Nombre Cuenta ()],Estructura_Balance[Nivel 4],"",0)</f>
        <v/>
      </c>
      <c r="R96" t="str">
        <f>_xlfn.XLOOKUP(Table3[[#This Row],[Cuenta]],Table8[Nombre Cuenta ()],Table8[Nivel 1],"",0)</f>
        <v/>
      </c>
      <c r="S96" t="str">
        <f>_xlfn.XLOOKUP(Table3[[#This Row],[Cuenta]],Table8[Nombre Cuenta ()],Table8[Nivel 2],"",0)</f>
        <v/>
      </c>
      <c r="T96" t="str">
        <f>_xlfn.XLOOKUP(Table3[[#This Row],[Cuenta]],Table8[Nombre Cuenta ()],Table8[Nivel 3],"",0)</f>
        <v/>
      </c>
      <c r="U96">
        <v>191</v>
      </c>
      <c r="V96" t="str">
        <f>_xlfn.XLOOKUP(Table3[[#This Row],[Cuenta]],Estructura_Balance[Nombre Cuenta ()],Estructura_Balance[Niveles:2],"",0)</f>
        <v/>
      </c>
      <c r="W96" t="str">
        <f>_xlfn.XLOOKUP(Table3[[#This Row],[Cuenta]],Estructura_Balance[Nombre Cuenta ()],Estructura_Balance[Niveles:3],"",0)</f>
        <v/>
      </c>
      <c r="X96" t="str">
        <f>_xlfn.XLOOKUP(Table3[[#This Row],[Cuenta]],Estructura_Balance[Nombre Cuenta ()],Estructura_Balance[Grupos],"Grupo 1",0)</f>
        <v>Grupo 1</v>
      </c>
      <c r="Y96" t="str">
        <f>+Table3[[#This Row],[BS_Nivel_1]]</f>
        <v/>
      </c>
    </row>
    <row r="97" spans="1:25">
      <c r="A97">
        <f>+'Libro Diario'!F147</f>
        <v>0</v>
      </c>
      <c r="B97" s="144">
        <f>VALUE(IF(+'Libro Diario'!G147="","01/01/2025",+'Libro Diario'!G147))</f>
        <v>45658</v>
      </c>
      <c r="C97">
        <f>IF(ISNUMBER(+IF(IFERROR(VALUE(MID('Libro Diario'!C147,1,4)),0)&lt;&gt;0,'Libro Diario'!C147,0))=FALSE,'Libro Diario'!C147,0)</f>
        <v>0</v>
      </c>
      <c r="D97" s="145">
        <f>+'Libro Diario'!B147</f>
        <v>0</v>
      </c>
      <c r="E97" s="139" t="s">
        <v>445</v>
      </c>
      <c r="F97" t="str">
        <f t="shared" si="3"/>
        <v>Sin Mov.</v>
      </c>
      <c r="G97" t="str">
        <f>IF(+'Libro Diario'!H147=0,"",+'Libro Diario'!H147)</f>
        <v/>
      </c>
      <c r="H97" t="str">
        <f>IF(+'Libro Diario'!I147=0,"",+'Libro Diario'!I147)</f>
        <v/>
      </c>
      <c r="I97" t="str">
        <f>+IF(Table3[[#This Row],[Tipo Movimiento]]="Estructura Balance y PyG","Excluir","Incluir")</f>
        <v>Incluir</v>
      </c>
      <c r="J97" s="153">
        <f>+IF(Table3[[#This Row],[Sin cuenta]]="Con Mov.",(IF(Table3[[#This Row],[Movimiento]]="Debe",Table3[[#This Row],[Importe]],IF(Table3[[#This Row],[Movimiento]]="Haber",Table3[[#This Row],[Importe]]*-1,0))),0)</f>
        <v>0</v>
      </c>
      <c r="K97" s="145">
        <f t="shared" si="4"/>
        <v>0</v>
      </c>
      <c r="L97" s="145" t="str">
        <f t="shared" si="5"/>
        <v/>
      </c>
      <c r="M97" t="str">
        <f>_xlfn.XLOOKUP(Table3[[#This Row],[Cuenta]],Estructura_Balance[Nombre Cuenta ()],Estructura_Balance[Grupo],"",0)</f>
        <v/>
      </c>
      <c r="N97" t="str">
        <f>_xlfn.XLOOKUP(Table3[[#This Row],[Cuenta]],Estructura_Balance[Nombre Cuenta ()],Estructura_Balance[Nivel 1],"",0)</f>
        <v/>
      </c>
      <c r="O97" t="str">
        <f>_xlfn.XLOOKUP(Table3[[#This Row],[Cuenta]],Estructura_Balance[Nombre Cuenta ()],Estructura_Balance[Nivel 2],"",0)</f>
        <v/>
      </c>
      <c r="P97" t="str">
        <f>_xlfn.XLOOKUP(Table3[[#This Row],[Cuenta]],Estructura_Balance[Nombre Cuenta ()],Estructura_Balance[Nivel 3],"",0)</f>
        <v/>
      </c>
      <c r="Q97" t="str">
        <f>_xlfn.XLOOKUP(Table3[[#This Row],[Cuenta]],Estructura_Balance[Nombre Cuenta ()],Estructura_Balance[Nivel 4],"",0)</f>
        <v/>
      </c>
      <c r="R97" t="str">
        <f>_xlfn.XLOOKUP(Table3[[#This Row],[Cuenta]],Table8[Nombre Cuenta ()],Table8[Nivel 1],"",0)</f>
        <v/>
      </c>
      <c r="S97" t="str">
        <f>_xlfn.XLOOKUP(Table3[[#This Row],[Cuenta]],Table8[Nombre Cuenta ()],Table8[Nivel 2],"",0)</f>
        <v/>
      </c>
      <c r="T97" t="str">
        <f>_xlfn.XLOOKUP(Table3[[#This Row],[Cuenta]],Table8[Nombre Cuenta ()],Table8[Nivel 3],"",0)</f>
        <v/>
      </c>
      <c r="U97">
        <v>192</v>
      </c>
      <c r="V97" t="str">
        <f>_xlfn.XLOOKUP(Table3[[#This Row],[Cuenta]],Estructura_Balance[Nombre Cuenta ()],Estructura_Balance[Niveles:2],"",0)</f>
        <v/>
      </c>
      <c r="W97" t="str">
        <f>_xlfn.XLOOKUP(Table3[[#This Row],[Cuenta]],Estructura_Balance[Nombre Cuenta ()],Estructura_Balance[Niveles:3],"",0)</f>
        <v/>
      </c>
      <c r="X97" t="str">
        <f>_xlfn.XLOOKUP(Table3[[#This Row],[Cuenta]],Estructura_Balance[Nombre Cuenta ()],Estructura_Balance[Grupos],"Grupo 1",0)</f>
        <v>Grupo 1</v>
      </c>
      <c r="Y97" t="str">
        <f>+Table3[[#This Row],[BS_Nivel_1]]</f>
        <v/>
      </c>
    </row>
    <row r="98" spans="1:25">
      <c r="A98">
        <f>+'Libro Diario'!F150</f>
        <v>0</v>
      </c>
      <c r="B98" s="144">
        <f>VALUE(IF(+'Libro Diario'!G150="","01/01/2025",+'Libro Diario'!G150))</f>
        <v>45658</v>
      </c>
      <c r="C98">
        <f>IF(ISNUMBER(+IF(IFERROR(VALUE(MID('Libro Diario'!C150,1,4)),0)&lt;&gt;0,'Libro Diario'!C150,0))=FALSE,'Libro Diario'!C150,0)</f>
        <v>0</v>
      </c>
      <c r="D98" s="145" t="str">
        <f>+'Libro Diario'!B150</f>
        <v>Operaciones del Ejercicio</v>
      </c>
      <c r="E98" s="139" t="s">
        <v>445</v>
      </c>
      <c r="F98" t="str">
        <f t="shared" si="3"/>
        <v>Sin Mov.</v>
      </c>
      <c r="G98" t="str">
        <f>IF(+'Libro Diario'!H150=0,"",+'Libro Diario'!H150)</f>
        <v/>
      </c>
      <c r="H98" t="str">
        <f>IF(+'Libro Diario'!I150=0,"",+'Libro Diario'!I150)</f>
        <v/>
      </c>
      <c r="I98" t="str">
        <f>+IF(Table3[[#This Row],[Tipo Movimiento]]="Estructura Balance y PyG","Excluir","Incluir")</f>
        <v>Incluir</v>
      </c>
      <c r="J98" s="153">
        <f>+IF(Table3[[#This Row],[Sin cuenta]]="Con Mov.",(IF(Table3[[#This Row],[Movimiento]]="Debe",Table3[[#This Row],[Importe]],IF(Table3[[#This Row],[Movimiento]]="Haber",Table3[[#This Row],[Importe]]*-1,0))),0)</f>
        <v>0</v>
      </c>
      <c r="K98" s="145" t="str">
        <f t="shared" si="4"/>
        <v>Operaciones del Ejercicio</v>
      </c>
      <c r="L98" s="145" t="str">
        <f t="shared" si="5"/>
        <v/>
      </c>
      <c r="M98" t="str">
        <f>_xlfn.XLOOKUP(Table3[[#This Row],[Cuenta]],Estructura_Balance[Nombre Cuenta ()],Estructura_Balance[Grupo],"",0)</f>
        <v/>
      </c>
      <c r="N98" t="str">
        <f>_xlfn.XLOOKUP(Table3[[#This Row],[Cuenta]],Estructura_Balance[Nombre Cuenta ()],Estructura_Balance[Nivel 1],"",0)</f>
        <v/>
      </c>
      <c r="O98" t="str">
        <f>_xlfn.XLOOKUP(Table3[[#This Row],[Cuenta]],Estructura_Balance[Nombre Cuenta ()],Estructura_Balance[Nivel 2],"",0)</f>
        <v/>
      </c>
      <c r="P98" t="str">
        <f>_xlfn.XLOOKUP(Table3[[#This Row],[Cuenta]],Estructura_Balance[Nombre Cuenta ()],Estructura_Balance[Nivel 3],"",0)</f>
        <v/>
      </c>
      <c r="Q98" t="str">
        <f>_xlfn.XLOOKUP(Table3[[#This Row],[Cuenta]],Estructura_Balance[Nombre Cuenta ()],Estructura_Balance[Nivel 4],"",0)</f>
        <v/>
      </c>
      <c r="R98" t="str">
        <f>_xlfn.XLOOKUP(Table3[[#This Row],[Cuenta]],Table8[Nombre Cuenta ()],Table8[Nivel 1],"",0)</f>
        <v/>
      </c>
      <c r="S98" t="str">
        <f>_xlfn.XLOOKUP(Table3[[#This Row],[Cuenta]],Table8[Nombre Cuenta ()],Table8[Nivel 2],"",0)</f>
        <v/>
      </c>
      <c r="T98" t="str">
        <f>_xlfn.XLOOKUP(Table3[[#This Row],[Cuenta]],Table8[Nombre Cuenta ()],Table8[Nivel 3],"",0)</f>
        <v/>
      </c>
      <c r="U98">
        <v>197</v>
      </c>
      <c r="V98" t="str">
        <f>_xlfn.XLOOKUP(Table3[[#This Row],[Cuenta]],Estructura_Balance[Nombre Cuenta ()],Estructura_Balance[Niveles:2],"",0)</f>
        <v/>
      </c>
      <c r="W98" t="str">
        <f>_xlfn.XLOOKUP(Table3[[#This Row],[Cuenta]],Estructura_Balance[Nombre Cuenta ()],Estructura_Balance[Niveles:3],"",0)</f>
        <v/>
      </c>
      <c r="X98" t="str">
        <f>_xlfn.XLOOKUP(Table3[[#This Row],[Cuenta]],Estructura_Balance[Nombre Cuenta ()],Estructura_Balance[Grupos],"Grupo 1",0)</f>
        <v>Grupo 1</v>
      </c>
      <c r="Y98" t="str">
        <f>+Table3[[#This Row],[BS_Nivel_1]]</f>
        <v/>
      </c>
    </row>
    <row r="99" spans="1:25">
      <c r="A99">
        <f>+'Libro Diario'!F151</f>
        <v>0</v>
      </c>
      <c r="B99" s="144">
        <f>VALUE(IF(+'Libro Diario'!G151="","01/01/2025",+'Libro Diario'!G151))</f>
        <v>45658</v>
      </c>
      <c r="C99">
        <f>IF(ISNUMBER(+IF(IFERROR(VALUE(MID('Libro Diario'!C151,1,4)),0)&lt;&gt;0,'Libro Diario'!C151,0))=FALSE,'Libro Diario'!C151,0)</f>
        <v>0</v>
      </c>
      <c r="D99" s="145" t="str">
        <f>+'Libro Diario'!B151</f>
        <v>Asiento Cuadrado</v>
      </c>
      <c r="E99" s="139" t="s">
        <v>445</v>
      </c>
      <c r="F99" t="str">
        <f t="shared" si="3"/>
        <v>Sin Mov.</v>
      </c>
      <c r="G99" t="str">
        <f>IF(+'Libro Diario'!H151=0,"",+'Libro Diario'!H151)</f>
        <v/>
      </c>
      <c r="H99" t="str">
        <f>IF(+'Libro Diario'!I151=0,"",+'Libro Diario'!I151)</f>
        <v/>
      </c>
      <c r="I99" t="str">
        <f>+IF(Table3[[#This Row],[Tipo Movimiento]]="Estructura Balance y PyG","Excluir","Incluir")</f>
        <v>Incluir</v>
      </c>
      <c r="J99" s="153">
        <f>+IF(Table3[[#This Row],[Sin cuenta]]="Con Mov.",(IF(Table3[[#This Row],[Movimiento]]="Debe",Table3[[#This Row],[Importe]],IF(Table3[[#This Row],[Movimiento]]="Haber",Table3[[#This Row],[Importe]]*-1,0))),0)</f>
        <v>0</v>
      </c>
      <c r="K99" s="145" t="str">
        <f t="shared" si="4"/>
        <v>Asiento Cuadrado</v>
      </c>
      <c r="L99" s="145" t="str">
        <f t="shared" si="5"/>
        <v/>
      </c>
      <c r="M99" t="str">
        <f>_xlfn.XLOOKUP(Table3[[#This Row],[Cuenta]],Estructura_Balance[Nombre Cuenta ()],Estructura_Balance[Grupo],"",0)</f>
        <v/>
      </c>
      <c r="N99" t="str">
        <f>_xlfn.XLOOKUP(Table3[[#This Row],[Cuenta]],Estructura_Balance[Nombre Cuenta ()],Estructura_Balance[Nivel 1],"",0)</f>
        <v/>
      </c>
      <c r="O99" t="str">
        <f>_xlfn.XLOOKUP(Table3[[#This Row],[Cuenta]],Estructura_Balance[Nombre Cuenta ()],Estructura_Balance[Nivel 2],"",0)</f>
        <v/>
      </c>
      <c r="P99" t="str">
        <f>_xlfn.XLOOKUP(Table3[[#This Row],[Cuenta]],Estructura_Balance[Nombre Cuenta ()],Estructura_Balance[Nivel 3],"",0)</f>
        <v/>
      </c>
      <c r="Q99" t="str">
        <f>_xlfn.XLOOKUP(Table3[[#This Row],[Cuenta]],Estructura_Balance[Nombre Cuenta ()],Estructura_Balance[Nivel 4],"",0)</f>
        <v/>
      </c>
      <c r="R99" t="str">
        <f>_xlfn.XLOOKUP(Table3[[#This Row],[Cuenta]],Table8[Nombre Cuenta ()],Table8[Nivel 1],"",0)</f>
        <v/>
      </c>
      <c r="S99" t="str">
        <f>_xlfn.XLOOKUP(Table3[[#This Row],[Cuenta]],Table8[Nombre Cuenta ()],Table8[Nivel 2],"",0)</f>
        <v/>
      </c>
      <c r="T99" t="str">
        <f>_xlfn.XLOOKUP(Table3[[#This Row],[Cuenta]],Table8[Nombre Cuenta ()],Table8[Nivel 3],"",0)</f>
        <v/>
      </c>
      <c r="U99">
        <v>198</v>
      </c>
      <c r="V99" t="str">
        <f>_xlfn.XLOOKUP(Table3[[#This Row],[Cuenta]],Estructura_Balance[Nombre Cuenta ()],Estructura_Balance[Niveles:2],"",0)</f>
        <v/>
      </c>
      <c r="W99" t="str">
        <f>_xlfn.XLOOKUP(Table3[[#This Row],[Cuenta]],Estructura_Balance[Nombre Cuenta ()],Estructura_Balance[Niveles:3],"",0)</f>
        <v/>
      </c>
      <c r="X99" t="str">
        <f>_xlfn.XLOOKUP(Table3[[#This Row],[Cuenta]],Estructura_Balance[Nombre Cuenta ()],Estructura_Balance[Grupos],"Grupo 1",0)</f>
        <v>Grupo 1</v>
      </c>
      <c r="Y99" t="str">
        <f>+Table3[[#This Row],[BS_Nivel_1]]</f>
        <v/>
      </c>
    </row>
    <row r="100" spans="1:25">
      <c r="A100">
        <f>+'Libro Diario'!F152</f>
        <v>0</v>
      </c>
      <c r="B100" s="144">
        <f>VALUE(IF(+'Libro Diario'!G152="","01/01/2025",+'Libro Diario'!G152))</f>
        <v>45658</v>
      </c>
      <c r="C100">
        <f>IF(ISNUMBER(+IF(IFERROR(VALUE(MID('Libro Diario'!C152,1,4)),0)&lt;&gt;0,'Libro Diario'!C152,0))=FALSE,'Libro Diario'!C152,0)</f>
        <v>0</v>
      </c>
      <c r="D100" s="145">
        <f>+'Libro Diario'!B152</f>
        <v>0</v>
      </c>
      <c r="E100" s="139" t="s">
        <v>445</v>
      </c>
      <c r="F100" t="str">
        <f t="shared" si="3"/>
        <v>Sin Mov.</v>
      </c>
      <c r="G100" t="str">
        <f>IF(+'Libro Diario'!H152=0,"",+'Libro Diario'!H152)</f>
        <v/>
      </c>
      <c r="H100" t="str">
        <f>IF(+'Libro Diario'!I152=0,"",+'Libro Diario'!I152)</f>
        <v/>
      </c>
      <c r="I100" t="str">
        <f>+IF(Table3[[#This Row],[Tipo Movimiento]]="Estructura Balance y PyG","Excluir","Incluir")</f>
        <v>Incluir</v>
      </c>
      <c r="J100" s="153">
        <f>+IF(Table3[[#This Row],[Sin cuenta]]="Con Mov.",(IF(Table3[[#This Row],[Movimiento]]="Debe",Table3[[#This Row],[Importe]],IF(Table3[[#This Row],[Movimiento]]="Haber",Table3[[#This Row],[Importe]]*-1,0))),0)</f>
        <v>0</v>
      </c>
      <c r="K100" s="145">
        <f t="shared" si="4"/>
        <v>0</v>
      </c>
      <c r="L100" s="145" t="str">
        <f t="shared" si="5"/>
        <v/>
      </c>
      <c r="M100" t="str">
        <f>_xlfn.XLOOKUP(Table3[[#This Row],[Cuenta]],Estructura_Balance[Nombre Cuenta ()],Estructura_Balance[Grupo],"",0)</f>
        <v/>
      </c>
      <c r="N100" t="str">
        <f>_xlfn.XLOOKUP(Table3[[#This Row],[Cuenta]],Estructura_Balance[Nombre Cuenta ()],Estructura_Balance[Nivel 1],"",0)</f>
        <v/>
      </c>
      <c r="O100" t="str">
        <f>_xlfn.XLOOKUP(Table3[[#This Row],[Cuenta]],Estructura_Balance[Nombre Cuenta ()],Estructura_Balance[Nivel 2],"",0)</f>
        <v/>
      </c>
      <c r="P100" t="str">
        <f>_xlfn.XLOOKUP(Table3[[#This Row],[Cuenta]],Estructura_Balance[Nombre Cuenta ()],Estructura_Balance[Nivel 3],"",0)</f>
        <v/>
      </c>
      <c r="Q100" t="str">
        <f>_xlfn.XLOOKUP(Table3[[#This Row],[Cuenta]],Estructura_Balance[Nombre Cuenta ()],Estructura_Balance[Nivel 4],"",0)</f>
        <v/>
      </c>
      <c r="R100" t="str">
        <f>_xlfn.XLOOKUP(Table3[[#This Row],[Cuenta]],Table8[Nombre Cuenta ()],Table8[Nivel 1],"",0)</f>
        <v/>
      </c>
      <c r="S100" t="str">
        <f>_xlfn.XLOOKUP(Table3[[#This Row],[Cuenta]],Table8[Nombre Cuenta ()],Table8[Nivel 2],"",0)</f>
        <v/>
      </c>
      <c r="T100" t="str">
        <f>_xlfn.XLOOKUP(Table3[[#This Row],[Cuenta]],Table8[Nombre Cuenta ()],Table8[Nivel 3],"",0)</f>
        <v/>
      </c>
      <c r="U100">
        <v>199</v>
      </c>
      <c r="V100" t="str">
        <f>_xlfn.XLOOKUP(Table3[[#This Row],[Cuenta]],Estructura_Balance[Nombre Cuenta ()],Estructura_Balance[Niveles:2],"",0)</f>
        <v/>
      </c>
      <c r="W100" t="str">
        <f>_xlfn.XLOOKUP(Table3[[#This Row],[Cuenta]],Estructura_Balance[Nombre Cuenta ()],Estructura_Balance[Niveles:3],"",0)</f>
        <v/>
      </c>
      <c r="X100" t="str">
        <f>_xlfn.XLOOKUP(Table3[[#This Row],[Cuenta]],Estructura_Balance[Nombre Cuenta ()],Estructura_Balance[Grupos],"Grupo 1",0)</f>
        <v>Grupo 1</v>
      </c>
      <c r="Y100" t="str">
        <f>+Table3[[#This Row],[BS_Nivel_1]]</f>
        <v/>
      </c>
    </row>
    <row r="101" spans="1:25">
      <c r="A101">
        <f>+'Libro Diario'!F153</f>
        <v>0</v>
      </c>
      <c r="B101" s="144">
        <f>VALUE(IF(+'Libro Diario'!G153="","01/01/2025",+'Libro Diario'!G153))</f>
        <v>45658</v>
      </c>
      <c r="C101">
        <f>IF(ISNUMBER(+IF(IFERROR(VALUE(MID('Libro Diario'!C153,1,4)),0)&lt;&gt;0,'Libro Diario'!C153,0))=FALSE,'Libro Diario'!C153,0)</f>
        <v>0</v>
      </c>
      <c r="D101" s="145" t="str">
        <f>+'Libro Diario'!B153</f>
        <v>DEBE</v>
      </c>
      <c r="E101" s="139" t="s">
        <v>445</v>
      </c>
      <c r="F101" t="str">
        <f t="shared" si="3"/>
        <v>Sin Mov.</v>
      </c>
      <c r="G101" t="str">
        <f>IF(+'Libro Diario'!H153=0,"",+'Libro Diario'!H153)</f>
        <v/>
      </c>
      <c r="H101" t="str">
        <f>IF(+'Libro Diario'!I153=0,"",+'Libro Diario'!I153)</f>
        <v/>
      </c>
      <c r="I101" t="str">
        <f>+IF(Table3[[#This Row],[Tipo Movimiento]]="Estructura Balance y PyG","Excluir","Incluir")</f>
        <v>Incluir</v>
      </c>
      <c r="J101" s="153">
        <f>+IF(Table3[[#This Row],[Sin cuenta]]="Con Mov.",(IF(Table3[[#This Row],[Movimiento]]="Debe",Table3[[#This Row],[Importe]],IF(Table3[[#This Row],[Movimiento]]="Haber",Table3[[#This Row],[Importe]]*-1,0))),0)</f>
        <v>0</v>
      </c>
      <c r="K101" s="145" t="str">
        <f t="shared" si="4"/>
        <v>DEBE</v>
      </c>
      <c r="L101" s="145" t="str">
        <f t="shared" si="5"/>
        <v/>
      </c>
      <c r="M101" t="str">
        <f>_xlfn.XLOOKUP(Table3[[#This Row],[Cuenta]],Estructura_Balance[Nombre Cuenta ()],Estructura_Balance[Grupo],"",0)</f>
        <v/>
      </c>
      <c r="N101" t="str">
        <f>_xlfn.XLOOKUP(Table3[[#This Row],[Cuenta]],Estructura_Balance[Nombre Cuenta ()],Estructura_Balance[Nivel 1],"",0)</f>
        <v/>
      </c>
      <c r="O101" t="str">
        <f>_xlfn.XLOOKUP(Table3[[#This Row],[Cuenta]],Estructura_Balance[Nombre Cuenta ()],Estructura_Balance[Nivel 2],"",0)</f>
        <v/>
      </c>
      <c r="P101" t="str">
        <f>_xlfn.XLOOKUP(Table3[[#This Row],[Cuenta]],Estructura_Balance[Nombre Cuenta ()],Estructura_Balance[Nivel 3],"",0)</f>
        <v/>
      </c>
      <c r="Q101" t="str">
        <f>_xlfn.XLOOKUP(Table3[[#This Row],[Cuenta]],Estructura_Balance[Nombre Cuenta ()],Estructura_Balance[Nivel 4],"",0)</f>
        <v/>
      </c>
      <c r="R101" t="str">
        <f>_xlfn.XLOOKUP(Table3[[#This Row],[Cuenta]],Table8[Nombre Cuenta ()],Table8[Nivel 1],"",0)</f>
        <v/>
      </c>
      <c r="S101" t="str">
        <f>_xlfn.XLOOKUP(Table3[[#This Row],[Cuenta]],Table8[Nombre Cuenta ()],Table8[Nivel 2],"",0)</f>
        <v/>
      </c>
      <c r="T101" t="str">
        <f>_xlfn.XLOOKUP(Table3[[#This Row],[Cuenta]],Table8[Nombre Cuenta ()],Table8[Nivel 3],"",0)</f>
        <v/>
      </c>
      <c r="U101">
        <v>200</v>
      </c>
      <c r="V101" t="str">
        <f>_xlfn.XLOOKUP(Table3[[#This Row],[Cuenta]],Estructura_Balance[Nombre Cuenta ()],Estructura_Balance[Niveles:2],"",0)</f>
        <v/>
      </c>
      <c r="W101" t="str">
        <f>_xlfn.XLOOKUP(Table3[[#This Row],[Cuenta]],Estructura_Balance[Nombre Cuenta ()],Estructura_Balance[Niveles:3],"",0)</f>
        <v/>
      </c>
      <c r="X101" t="str">
        <f>_xlfn.XLOOKUP(Table3[[#This Row],[Cuenta]],Estructura_Balance[Nombre Cuenta ()],Estructura_Balance[Grupos],"Grupo 1",0)</f>
        <v>Grupo 1</v>
      </c>
      <c r="Y101" t="str">
        <f>+Table3[[#This Row],[BS_Nivel_1]]</f>
        <v/>
      </c>
    </row>
    <row r="102" spans="1:25">
      <c r="A102">
        <f>+'Libro Diario'!F154</f>
        <v>0</v>
      </c>
      <c r="B102" s="144">
        <f>VALUE(IF(+'Libro Diario'!G154="","01/01/2025",+'Libro Diario'!G154))</f>
        <v>45658</v>
      </c>
      <c r="C102">
        <f>IF(ISNUMBER(+IF(IFERROR(VALUE(MID('Libro Diario'!C154,1,4)),0)&lt;&gt;0,'Libro Diario'!C154,0))=FALSE,'Libro Diario'!C154,0)</f>
        <v>0</v>
      </c>
      <c r="D102" s="145">
        <f>+'Libro Diario'!B154</f>
        <v>0</v>
      </c>
      <c r="E102" s="139" t="s">
        <v>445</v>
      </c>
      <c r="F102" t="str">
        <f t="shared" si="3"/>
        <v>Sin Mov.</v>
      </c>
      <c r="G102" t="str">
        <f>IF(+'Libro Diario'!H154=0,"",+'Libro Diario'!H154)</f>
        <v/>
      </c>
      <c r="H102" t="str">
        <f>IF(+'Libro Diario'!I154=0,"",+'Libro Diario'!I154)</f>
        <v/>
      </c>
      <c r="I102" t="str">
        <f>+IF(Table3[[#This Row],[Tipo Movimiento]]="Estructura Balance y PyG","Excluir","Incluir")</f>
        <v>Incluir</v>
      </c>
      <c r="J102" s="153">
        <f>+IF(Table3[[#This Row],[Sin cuenta]]="Con Mov.",(IF(Table3[[#This Row],[Movimiento]]="Debe",Table3[[#This Row],[Importe]],IF(Table3[[#This Row],[Movimiento]]="Haber",Table3[[#This Row],[Importe]]*-1,0))),0)</f>
        <v>0</v>
      </c>
      <c r="K102" s="145">
        <f t="shared" si="4"/>
        <v>0</v>
      </c>
      <c r="L102" s="145" t="str">
        <f t="shared" si="5"/>
        <v/>
      </c>
      <c r="M102" t="str">
        <f>_xlfn.XLOOKUP(Table3[[#This Row],[Cuenta]],Estructura_Balance[Nombre Cuenta ()],Estructura_Balance[Grupo],"",0)</f>
        <v/>
      </c>
      <c r="N102" t="str">
        <f>_xlfn.XLOOKUP(Table3[[#This Row],[Cuenta]],Estructura_Balance[Nombre Cuenta ()],Estructura_Balance[Nivel 1],"",0)</f>
        <v/>
      </c>
      <c r="O102" t="str">
        <f>_xlfn.XLOOKUP(Table3[[#This Row],[Cuenta]],Estructura_Balance[Nombre Cuenta ()],Estructura_Balance[Nivel 2],"",0)</f>
        <v/>
      </c>
      <c r="P102" t="str">
        <f>_xlfn.XLOOKUP(Table3[[#This Row],[Cuenta]],Estructura_Balance[Nombre Cuenta ()],Estructura_Balance[Nivel 3],"",0)</f>
        <v/>
      </c>
      <c r="Q102" t="str">
        <f>_xlfn.XLOOKUP(Table3[[#This Row],[Cuenta]],Estructura_Balance[Nombre Cuenta ()],Estructura_Balance[Nivel 4],"",0)</f>
        <v/>
      </c>
      <c r="R102" t="str">
        <f>_xlfn.XLOOKUP(Table3[[#This Row],[Cuenta]],Table8[Nombre Cuenta ()],Table8[Nivel 1],"",0)</f>
        <v/>
      </c>
      <c r="S102" t="str">
        <f>_xlfn.XLOOKUP(Table3[[#This Row],[Cuenta]],Table8[Nombre Cuenta ()],Table8[Nivel 2],"",0)</f>
        <v/>
      </c>
      <c r="T102" t="str">
        <f>_xlfn.XLOOKUP(Table3[[#This Row],[Cuenta]],Table8[Nombre Cuenta ()],Table8[Nivel 3],"",0)</f>
        <v/>
      </c>
      <c r="U102">
        <v>203</v>
      </c>
      <c r="V102" t="str">
        <f>_xlfn.XLOOKUP(Table3[[#This Row],[Cuenta]],Estructura_Balance[Nombre Cuenta ()],Estructura_Balance[Niveles:2],"",0)</f>
        <v/>
      </c>
      <c r="W102" t="str">
        <f>_xlfn.XLOOKUP(Table3[[#This Row],[Cuenta]],Estructura_Balance[Nombre Cuenta ()],Estructura_Balance[Niveles:3],"",0)</f>
        <v/>
      </c>
      <c r="X102" t="str">
        <f>_xlfn.XLOOKUP(Table3[[#This Row],[Cuenta]],Estructura_Balance[Nombre Cuenta ()],Estructura_Balance[Grupos],"Grupo 1",0)</f>
        <v>Grupo 1</v>
      </c>
      <c r="Y102" t="str">
        <f>+Table3[[#This Row],[BS_Nivel_1]]</f>
        <v/>
      </c>
    </row>
    <row r="103" spans="1:25">
      <c r="A103">
        <f>+'Libro Diario'!F157</f>
        <v>0</v>
      </c>
      <c r="B103" s="144">
        <f>VALUE(IF(+'Libro Diario'!G157="","01/01/2025",+'Libro Diario'!G157))</f>
        <v>45658</v>
      </c>
      <c r="C103">
        <f>IF(ISNUMBER(+IF(IFERROR(VALUE(MID('Libro Diario'!C157,1,4)),0)&lt;&gt;0,'Libro Diario'!C157,0))=FALSE,'Libro Diario'!C157,0)</f>
        <v>0</v>
      </c>
      <c r="D103" s="145" t="str">
        <f>+'Libro Diario'!B157</f>
        <v>Operaciones del Ejercicio</v>
      </c>
      <c r="E103" s="139" t="s">
        <v>445</v>
      </c>
      <c r="F103" t="str">
        <f t="shared" si="3"/>
        <v>Sin Mov.</v>
      </c>
      <c r="G103" t="str">
        <f>IF(+'Libro Diario'!H157=0,"",+'Libro Diario'!H157)</f>
        <v/>
      </c>
      <c r="H103" t="str">
        <f>IF(+'Libro Diario'!I157=0,"",+'Libro Diario'!I157)</f>
        <v/>
      </c>
      <c r="I103" t="str">
        <f>+IF(Table3[[#This Row],[Tipo Movimiento]]="Estructura Balance y PyG","Excluir","Incluir")</f>
        <v>Incluir</v>
      </c>
      <c r="J103" s="153">
        <f>+IF(Table3[[#This Row],[Sin cuenta]]="Con Mov.",(IF(Table3[[#This Row],[Movimiento]]="Debe",Table3[[#This Row],[Importe]],IF(Table3[[#This Row],[Movimiento]]="Haber",Table3[[#This Row],[Importe]]*-1,0))),0)</f>
        <v>0</v>
      </c>
      <c r="K103" s="145" t="str">
        <f t="shared" si="4"/>
        <v>Operaciones del Ejercicio</v>
      </c>
      <c r="L103" s="145" t="str">
        <f t="shared" si="5"/>
        <v/>
      </c>
      <c r="M103" t="str">
        <f>_xlfn.XLOOKUP(Table3[[#This Row],[Cuenta]],Estructura_Balance[Nombre Cuenta ()],Estructura_Balance[Grupo],"",0)</f>
        <v/>
      </c>
      <c r="N103" t="str">
        <f>_xlfn.XLOOKUP(Table3[[#This Row],[Cuenta]],Estructura_Balance[Nombre Cuenta ()],Estructura_Balance[Nivel 1],"",0)</f>
        <v/>
      </c>
      <c r="O103" t="str">
        <f>_xlfn.XLOOKUP(Table3[[#This Row],[Cuenta]],Estructura_Balance[Nombre Cuenta ()],Estructura_Balance[Nivel 2],"",0)</f>
        <v/>
      </c>
      <c r="P103" t="str">
        <f>_xlfn.XLOOKUP(Table3[[#This Row],[Cuenta]],Estructura_Balance[Nombre Cuenta ()],Estructura_Balance[Nivel 3],"",0)</f>
        <v/>
      </c>
      <c r="Q103" t="str">
        <f>_xlfn.XLOOKUP(Table3[[#This Row],[Cuenta]],Estructura_Balance[Nombre Cuenta ()],Estructura_Balance[Nivel 4],"",0)</f>
        <v/>
      </c>
      <c r="R103" t="str">
        <f>_xlfn.XLOOKUP(Table3[[#This Row],[Cuenta]],Table8[Nombre Cuenta ()],Table8[Nivel 1],"",0)</f>
        <v/>
      </c>
      <c r="S103" t="str">
        <f>_xlfn.XLOOKUP(Table3[[#This Row],[Cuenta]],Table8[Nombre Cuenta ()],Table8[Nivel 2],"",0)</f>
        <v/>
      </c>
      <c r="T103" t="str">
        <f>_xlfn.XLOOKUP(Table3[[#This Row],[Cuenta]],Table8[Nombre Cuenta ()],Table8[Nivel 3],"",0)</f>
        <v/>
      </c>
      <c r="U103">
        <v>206</v>
      </c>
      <c r="V103" t="str">
        <f>_xlfn.XLOOKUP(Table3[[#This Row],[Cuenta]],Estructura_Balance[Nombre Cuenta ()],Estructura_Balance[Niveles:2],"",0)</f>
        <v/>
      </c>
      <c r="W103" t="str">
        <f>_xlfn.XLOOKUP(Table3[[#This Row],[Cuenta]],Estructura_Balance[Nombre Cuenta ()],Estructura_Balance[Niveles:3],"",0)</f>
        <v/>
      </c>
      <c r="X103" t="str">
        <f>_xlfn.XLOOKUP(Table3[[#This Row],[Cuenta]],Estructura_Balance[Nombre Cuenta ()],Estructura_Balance[Grupos],"Grupo 1",0)</f>
        <v>Grupo 1</v>
      </c>
      <c r="Y103" t="str">
        <f>+Table3[[#This Row],[BS_Nivel_1]]</f>
        <v/>
      </c>
    </row>
    <row r="104" spans="1:25">
      <c r="A104">
        <f>+'Libro Diario'!F158</f>
        <v>0</v>
      </c>
      <c r="B104" s="144">
        <f>VALUE(IF(+'Libro Diario'!G158="","01/01/2025",+'Libro Diario'!G158))</f>
        <v>45658</v>
      </c>
      <c r="C104">
        <f>IF(ISNUMBER(+IF(IFERROR(VALUE(MID('Libro Diario'!C158,1,4)),0)&lt;&gt;0,'Libro Diario'!C158,0))=FALSE,'Libro Diario'!C158,0)</f>
        <v>0</v>
      </c>
      <c r="D104" s="145" t="str">
        <f>+'Libro Diario'!B158</f>
        <v>Asiento Cuadrado</v>
      </c>
      <c r="E104" s="139" t="s">
        <v>445</v>
      </c>
      <c r="F104" t="str">
        <f t="shared" si="3"/>
        <v>Sin Mov.</v>
      </c>
      <c r="G104" t="str">
        <f>IF(+'Libro Diario'!H158=0,"",+'Libro Diario'!H158)</f>
        <v/>
      </c>
      <c r="H104" t="str">
        <f>IF(+'Libro Diario'!I158=0,"",+'Libro Diario'!I158)</f>
        <v/>
      </c>
      <c r="I104" t="str">
        <f>+IF(Table3[[#This Row],[Tipo Movimiento]]="Estructura Balance y PyG","Excluir","Incluir")</f>
        <v>Incluir</v>
      </c>
      <c r="J104" s="153">
        <f>+IF(Table3[[#This Row],[Sin cuenta]]="Con Mov.",(IF(Table3[[#This Row],[Movimiento]]="Debe",Table3[[#This Row],[Importe]],IF(Table3[[#This Row],[Movimiento]]="Haber",Table3[[#This Row],[Importe]]*-1,0))),0)</f>
        <v>0</v>
      </c>
      <c r="K104" s="145" t="str">
        <f t="shared" si="4"/>
        <v>Asiento Cuadrado</v>
      </c>
      <c r="L104" s="145" t="str">
        <f t="shared" si="5"/>
        <v/>
      </c>
      <c r="M104" t="str">
        <f>_xlfn.XLOOKUP(Table3[[#This Row],[Cuenta]],Estructura_Balance[Nombre Cuenta ()],Estructura_Balance[Grupo],"",0)</f>
        <v/>
      </c>
      <c r="N104" t="str">
        <f>_xlfn.XLOOKUP(Table3[[#This Row],[Cuenta]],Estructura_Balance[Nombre Cuenta ()],Estructura_Balance[Nivel 1],"",0)</f>
        <v/>
      </c>
      <c r="O104" t="str">
        <f>_xlfn.XLOOKUP(Table3[[#This Row],[Cuenta]],Estructura_Balance[Nombre Cuenta ()],Estructura_Balance[Nivel 2],"",0)</f>
        <v/>
      </c>
      <c r="P104" t="str">
        <f>_xlfn.XLOOKUP(Table3[[#This Row],[Cuenta]],Estructura_Balance[Nombre Cuenta ()],Estructura_Balance[Nivel 3],"",0)</f>
        <v/>
      </c>
      <c r="Q104" t="str">
        <f>_xlfn.XLOOKUP(Table3[[#This Row],[Cuenta]],Estructura_Balance[Nombre Cuenta ()],Estructura_Balance[Nivel 4],"",0)</f>
        <v/>
      </c>
      <c r="R104" t="str">
        <f>_xlfn.XLOOKUP(Table3[[#This Row],[Cuenta]],Table8[Nombre Cuenta ()],Table8[Nivel 1],"",0)</f>
        <v/>
      </c>
      <c r="S104" t="str">
        <f>_xlfn.XLOOKUP(Table3[[#This Row],[Cuenta]],Table8[Nombre Cuenta ()],Table8[Nivel 2],"",0)</f>
        <v/>
      </c>
      <c r="T104" t="str">
        <f>_xlfn.XLOOKUP(Table3[[#This Row],[Cuenta]],Table8[Nombre Cuenta ()],Table8[Nivel 3],"",0)</f>
        <v/>
      </c>
      <c r="U104">
        <v>207</v>
      </c>
      <c r="V104" t="str">
        <f>_xlfn.XLOOKUP(Table3[[#This Row],[Cuenta]],Estructura_Balance[Nombre Cuenta ()],Estructura_Balance[Niveles:2],"",0)</f>
        <v/>
      </c>
      <c r="W104" t="str">
        <f>_xlfn.XLOOKUP(Table3[[#This Row],[Cuenta]],Estructura_Balance[Nombre Cuenta ()],Estructura_Balance[Niveles:3],"",0)</f>
        <v/>
      </c>
      <c r="X104" t="str">
        <f>_xlfn.XLOOKUP(Table3[[#This Row],[Cuenta]],Estructura_Balance[Nombre Cuenta ()],Estructura_Balance[Grupos],"Grupo 1",0)</f>
        <v>Grupo 1</v>
      </c>
      <c r="Y104" t="str">
        <f>+Table3[[#This Row],[BS_Nivel_1]]</f>
        <v/>
      </c>
    </row>
    <row r="105" spans="1:25">
      <c r="A105">
        <f>+'Libro Diario'!F159</f>
        <v>0</v>
      </c>
      <c r="B105" s="144">
        <f>VALUE(IF(+'Libro Diario'!G159="","01/01/2025",+'Libro Diario'!G159))</f>
        <v>45658</v>
      </c>
      <c r="C105">
        <f>IF(ISNUMBER(+IF(IFERROR(VALUE(MID('Libro Diario'!C159,1,4)),0)&lt;&gt;0,'Libro Diario'!C159,0))=FALSE,'Libro Diario'!C159,0)</f>
        <v>0</v>
      </c>
      <c r="D105" s="145">
        <f>+'Libro Diario'!B159</f>
        <v>0</v>
      </c>
      <c r="E105" s="139" t="s">
        <v>445</v>
      </c>
      <c r="F105" t="str">
        <f t="shared" si="3"/>
        <v>Sin Mov.</v>
      </c>
      <c r="G105" t="str">
        <f>IF(+'Libro Diario'!H159=0,"",+'Libro Diario'!H159)</f>
        <v/>
      </c>
      <c r="H105" t="str">
        <f>IF(+'Libro Diario'!I159=0,"",+'Libro Diario'!I159)</f>
        <v/>
      </c>
      <c r="I105" t="str">
        <f>+IF(Table3[[#This Row],[Tipo Movimiento]]="Estructura Balance y PyG","Excluir","Incluir")</f>
        <v>Incluir</v>
      </c>
      <c r="J105" s="153">
        <f>+IF(Table3[[#This Row],[Sin cuenta]]="Con Mov.",(IF(Table3[[#This Row],[Movimiento]]="Debe",Table3[[#This Row],[Importe]],IF(Table3[[#This Row],[Movimiento]]="Haber",Table3[[#This Row],[Importe]]*-1,0))),0)</f>
        <v>0</v>
      </c>
      <c r="K105" s="145">
        <f t="shared" si="4"/>
        <v>0</v>
      </c>
      <c r="L105" s="145" t="str">
        <f t="shared" si="5"/>
        <v/>
      </c>
      <c r="M105" t="str">
        <f>_xlfn.XLOOKUP(Table3[[#This Row],[Cuenta]],Estructura_Balance[Nombre Cuenta ()],Estructura_Balance[Grupo],"",0)</f>
        <v/>
      </c>
      <c r="N105" t="str">
        <f>_xlfn.XLOOKUP(Table3[[#This Row],[Cuenta]],Estructura_Balance[Nombre Cuenta ()],Estructura_Balance[Nivel 1],"",0)</f>
        <v/>
      </c>
      <c r="O105" t="str">
        <f>_xlfn.XLOOKUP(Table3[[#This Row],[Cuenta]],Estructura_Balance[Nombre Cuenta ()],Estructura_Balance[Nivel 2],"",0)</f>
        <v/>
      </c>
      <c r="P105" t="str">
        <f>_xlfn.XLOOKUP(Table3[[#This Row],[Cuenta]],Estructura_Balance[Nombre Cuenta ()],Estructura_Balance[Nivel 3],"",0)</f>
        <v/>
      </c>
      <c r="Q105" t="str">
        <f>_xlfn.XLOOKUP(Table3[[#This Row],[Cuenta]],Estructura_Balance[Nombre Cuenta ()],Estructura_Balance[Nivel 4],"",0)</f>
        <v/>
      </c>
      <c r="R105" t="str">
        <f>_xlfn.XLOOKUP(Table3[[#This Row],[Cuenta]],Table8[Nombre Cuenta ()],Table8[Nivel 1],"",0)</f>
        <v/>
      </c>
      <c r="S105" t="str">
        <f>_xlfn.XLOOKUP(Table3[[#This Row],[Cuenta]],Table8[Nombre Cuenta ()],Table8[Nivel 2],"",0)</f>
        <v/>
      </c>
      <c r="T105" t="str">
        <f>_xlfn.XLOOKUP(Table3[[#This Row],[Cuenta]],Table8[Nombre Cuenta ()],Table8[Nivel 3],"",0)</f>
        <v/>
      </c>
      <c r="U105">
        <v>210</v>
      </c>
      <c r="V105" t="str">
        <f>_xlfn.XLOOKUP(Table3[[#This Row],[Cuenta]],Estructura_Balance[Nombre Cuenta ()],Estructura_Balance[Niveles:2],"",0)</f>
        <v/>
      </c>
      <c r="W105" t="str">
        <f>_xlfn.XLOOKUP(Table3[[#This Row],[Cuenta]],Estructura_Balance[Nombre Cuenta ()],Estructura_Balance[Niveles:3],"",0)</f>
        <v/>
      </c>
      <c r="X105" t="str">
        <f>_xlfn.XLOOKUP(Table3[[#This Row],[Cuenta]],Estructura_Balance[Nombre Cuenta ()],Estructura_Balance[Grupos],"Grupo 1",0)</f>
        <v>Grupo 1</v>
      </c>
      <c r="Y105" t="str">
        <f>+Table3[[#This Row],[BS_Nivel_1]]</f>
        <v/>
      </c>
    </row>
    <row r="106" spans="1:25">
      <c r="A106">
        <f>+'Libro Diario'!F160</f>
        <v>0</v>
      </c>
      <c r="B106" s="144">
        <f>VALUE(IF(+'Libro Diario'!G160="","01/01/2025",+'Libro Diario'!G160))</f>
        <v>45658</v>
      </c>
      <c r="C106">
        <f>IF(ISNUMBER(+IF(IFERROR(VALUE(MID('Libro Diario'!C160,1,4)),0)&lt;&gt;0,'Libro Diario'!C160,0))=FALSE,'Libro Diario'!C160,0)</f>
        <v>0</v>
      </c>
      <c r="D106" s="145" t="str">
        <f>+'Libro Diario'!B160</f>
        <v>DEBE</v>
      </c>
      <c r="E106" s="139" t="s">
        <v>445</v>
      </c>
      <c r="F106" t="str">
        <f t="shared" si="3"/>
        <v>Sin Mov.</v>
      </c>
      <c r="G106" t="str">
        <f>IF(+'Libro Diario'!H160=0,"",+'Libro Diario'!H160)</f>
        <v/>
      </c>
      <c r="H106" t="str">
        <f>IF(+'Libro Diario'!I160=0,"",+'Libro Diario'!I160)</f>
        <v/>
      </c>
      <c r="I106" t="str">
        <f>+IF(Table3[[#This Row],[Tipo Movimiento]]="Estructura Balance y PyG","Excluir","Incluir")</f>
        <v>Incluir</v>
      </c>
      <c r="J106" s="153">
        <f>+IF(Table3[[#This Row],[Sin cuenta]]="Con Mov.",(IF(Table3[[#This Row],[Movimiento]]="Debe",Table3[[#This Row],[Importe]],IF(Table3[[#This Row],[Movimiento]]="Haber",Table3[[#This Row],[Importe]]*-1,0))),0)</f>
        <v>0</v>
      </c>
      <c r="K106" s="145" t="str">
        <f t="shared" si="4"/>
        <v>DEBE</v>
      </c>
      <c r="L106" s="145" t="str">
        <f t="shared" si="5"/>
        <v/>
      </c>
      <c r="M106" t="str">
        <f>_xlfn.XLOOKUP(Table3[[#This Row],[Cuenta]],Estructura_Balance[Nombre Cuenta ()],Estructura_Balance[Grupo],"",0)</f>
        <v/>
      </c>
      <c r="N106" t="str">
        <f>_xlfn.XLOOKUP(Table3[[#This Row],[Cuenta]],Estructura_Balance[Nombre Cuenta ()],Estructura_Balance[Nivel 1],"",0)</f>
        <v/>
      </c>
      <c r="O106" t="str">
        <f>_xlfn.XLOOKUP(Table3[[#This Row],[Cuenta]],Estructura_Balance[Nombre Cuenta ()],Estructura_Balance[Nivel 2],"",0)</f>
        <v/>
      </c>
      <c r="P106" t="str">
        <f>_xlfn.XLOOKUP(Table3[[#This Row],[Cuenta]],Estructura_Balance[Nombre Cuenta ()],Estructura_Balance[Nivel 3],"",0)</f>
        <v/>
      </c>
      <c r="Q106" t="str">
        <f>_xlfn.XLOOKUP(Table3[[#This Row],[Cuenta]],Estructura_Balance[Nombre Cuenta ()],Estructura_Balance[Nivel 4],"",0)</f>
        <v/>
      </c>
      <c r="R106" t="str">
        <f>_xlfn.XLOOKUP(Table3[[#This Row],[Cuenta]],Table8[Nombre Cuenta ()],Table8[Nivel 1],"",0)</f>
        <v/>
      </c>
      <c r="S106" t="str">
        <f>_xlfn.XLOOKUP(Table3[[#This Row],[Cuenta]],Table8[Nombre Cuenta ()],Table8[Nivel 2],"",0)</f>
        <v/>
      </c>
      <c r="T106" t="str">
        <f>_xlfn.XLOOKUP(Table3[[#This Row],[Cuenta]],Table8[Nombre Cuenta ()],Table8[Nivel 3],"",0)</f>
        <v/>
      </c>
      <c r="U106">
        <v>211</v>
      </c>
      <c r="V106" t="str">
        <f>_xlfn.XLOOKUP(Table3[[#This Row],[Cuenta]],Estructura_Balance[Nombre Cuenta ()],Estructura_Balance[Niveles:2],"",0)</f>
        <v/>
      </c>
      <c r="W106" t="str">
        <f>_xlfn.XLOOKUP(Table3[[#This Row],[Cuenta]],Estructura_Balance[Nombre Cuenta ()],Estructura_Balance[Niveles:3],"",0)</f>
        <v/>
      </c>
      <c r="X106" t="str">
        <f>_xlfn.XLOOKUP(Table3[[#This Row],[Cuenta]],Estructura_Balance[Nombre Cuenta ()],Estructura_Balance[Grupos],"Grupo 1",0)</f>
        <v>Grupo 1</v>
      </c>
      <c r="Y106" t="str">
        <f>+Table3[[#This Row],[BS_Nivel_1]]</f>
        <v/>
      </c>
    </row>
    <row r="107" spans="1:25">
      <c r="A107">
        <f>+'Libro Diario'!F161</f>
        <v>0</v>
      </c>
      <c r="B107" s="144">
        <f>VALUE(IF(+'Libro Diario'!G161="","01/01/2025",+'Libro Diario'!G161))</f>
        <v>45658</v>
      </c>
      <c r="C107">
        <f>IF(ISNUMBER(+IF(IFERROR(VALUE(MID('Libro Diario'!C161,1,4)),0)&lt;&gt;0,'Libro Diario'!C161,0))=FALSE,'Libro Diario'!C161,0)</f>
        <v>0</v>
      </c>
      <c r="D107" s="145">
        <f>+'Libro Diario'!B161</f>
        <v>0</v>
      </c>
      <c r="E107" s="139" t="s">
        <v>445</v>
      </c>
      <c r="F107" t="str">
        <f t="shared" si="3"/>
        <v>Sin Mov.</v>
      </c>
      <c r="G107" t="str">
        <f>IF(+'Libro Diario'!H161=0,"",+'Libro Diario'!H161)</f>
        <v/>
      </c>
      <c r="H107" t="str">
        <f>IF(+'Libro Diario'!I161=0,"",+'Libro Diario'!I161)</f>
        <v/>
      </c>
      <c r="I107" t="str">
        <f>+IF(Table3[[#This Row],[Tipo Movimiento]]="Estructura Balance y PyG","Excluir","Incluir")</f>
        <v>Incluir</v>
      </c>
      <c r="J107" s="153">
        <f>+IF(Table3[[#This Row],[Sin cuenta]]="Con Mov.",(IF(Table3[[#This Row],[Movimiento]]="Debe",Table3[[#This Row],[Importe]],IF(Table3[[#This Row],[Movimiento]]="Haber",Table3[[#This Row],[Importe]]*-1,0))),0)</f>
        <v>0</v>
      </c>
      <c r="K107" s="145">
        <f t="shared" si="4"/>
        <v>0</v>
      </c>
      <c r="L107" s="145" t="str">
        <f t="shared" si="5"/>
        <v/>
      </c>
      <c r="M107" t="str">
        <f>_xlfn.XLOOKUP(Table3[[#This Row],[Cuenta]],Estructura_Balance[Nombre Cuenta ()],Estructura_Balance[Grupo],"",0)</f>
        <v/>
      </c>
      <c r="N107" t="str">
        <f>_xlfn.XLOOKUP(Table3[[#This Row],[Cuenta]],Estructura_Balance[Nombre Cuenta ()],Estructura_Balance[Nivel 1],"",0)</f>
        <v/>
      </c>
      <c r="O107" t="str">
        <f>_xlfn.XLOOKUP(Table3[[#This Row],[Cuenta]],Estructura_Balance[Nombre Cuenta ()],Estructura_Balance[Nivel 2],"",0)</f>
        <v/>
      </c>
      <c r="P107" t="str">
        <f>_xlfn.XLOOKUP(Table3[[#This Row],[Cuenta]],Estructura_Balance[Nombre Cuenta ()],Estructura_Balance[Nivel 3],"",0)</f>
        <v/>
      </c>
      <c r="Q107" t="str">
        <f>_xlfn.XLOOKUP(Table3[[#This Row],[Cuenta]],Estructura_Balance[Nombre Cuenta ()],Estructura_Balance[Nivel 4],"",0)</f>
        <v/>
      </c>
      <c r="R107" t="str">
        <f>_xlfn.XLOOKUP(Table3[[#This Row],[Cuenta]],Table8[Nombre Cuenta ()],Table8[Nivel 1],"",0)</f>
        <v/>
      </c>
      <c r="S107" t="str">
        <f>_xlfn.XLOOKUP(Table3[[#This Row],[Cuenta]],Table8[Nombre Cuenta ()],Table8[Nivel 2],"",0)</f>
        <v/>
      </c>
      <c r="T107" t="str">
        <f>_xlfn.XLOOKUP(Table3[[#This Row],[Cuenta]],Table8[Nombre Cuenta ()],Table8[Nivel 3],"",0)</f>
        <v/>
      </c>
      <c r="U107">
        <v>212</v>
      </c>
      <c r="V107" t="str">
        <f>_xlfn.XLOOKUP(Table3[[#This Row],[Cuenta]],Estructura_Balance[Nombre Cuenta ()],Estructura_Balance[Niveles:2],"",0)</f>
        <v/>
      </c>
      <c r="W107" t="str">
        <f>_xlfn.XLOOKUP(Table3[[#This Row],[Cuenta]],Estructura_Balance[Nombre Cuenta ()],Estructura_Balance[Niveles:3],"",0)</f>
        <v/>
      </c>
      <c r="X107" t="str">
        <f>_xlfn.XLOOKUP(Table3[[#This Row],[Cuenta]],Estructura_Balance[Nombre Cuenta ()],Estructura_Balance[Grupos],"Grupo 1",0)</f>
        <v>Grupo 1</v>
      </c>
      <c r="Y107" t="str">
        <f>+Table3[[#This Row],[BS_Nivel_1]]</f>
        <v/>
      </c>
    </row>
    <row r="108" spans="1:25">
      <c r="A108">
        <f>+'Libro Diario'!F165</f>
        <v>0</v>
      </c>
      <c r="B108" s="144">
        <f>VALUE(IF(+'Libro Diario'!G165="","01/01/2025",+'Libro Diario'!G165))</f>
        <v>45658</v>
      </c>
      <c r="C108">
        <f>IF(ISNUMBER(+IF(IFERROR(VALUE(MID('Libro Diario'!C165,1,4)),0)&lt;&gt;0,'Libro Diario'!C165,0))=FALSE,'Libro Diario'!C165,0)</f>
        <v>0</v>
      </c>
      <c r="D108" s="145" t="str">
        <f>+'Libro Diario'!B165</f>
        <v>Operaciones del Ejercicio</v>
      </c>
      <c r="E108" s="139" t="s">
        <v>445</v>
      </c>
      <c r="F108" t="str">
        <f t="shared" si="3"/>
        <v>Sin Mov.</v>
      </c>
      <c r="G108" t="str">
        <f>IF(+'Libro Diario'!H165=0,"",+'Libro Diario'!H165)</f>
        <v/>
      </c>
      <c r="H108" t="str">
        <f>IF(+'Libro Diario'!I165=0,"",+'Libro Diario'!I165)</f>
        <v/>
      </c>
      <c r="I108" t="str">
        <f>+IF(Table3[[#This Row],[Tipo Movimiento]]="Estructura Balance y PyG","Excluir","Incluir")</f>
        <v>Incluir</v>
      </c>
      <c r="J108" s="153">
        <f>+IF(Table3[[#This Row],[Sin cuenta]]="Con Mov.",(IF(Table3[[#This Row],[Movimiento]]="Debe",Table3[[#This Row],[Importe]],IF(Table3[[#This Row],[Movimiento]]="Haber",Table3[[#This Row],[Importe]]*-1,0))),0)</f>
        <v>0</v>
      </c>
      <c r="K108" s="145" t="str">
        <f t="shared" si="4"/>
        <v>Operaciones del Ejercicio</v>
      </c>
      <c r="L108" s="145" t="str">
        <f t="shared" si="5"/>
        <v/>
      </c>
      <c r="M108" t="str">
        <f>_xlfn.XLOOKUP(Table3[[#This Row],[Cuenta]],Estructura_Balance[Nombre Cuenta ()],Estructura_Balance[Grupo],"",0)</f>
        <v/>
      </c>
      <c r="N108" t="str">
        <f>_xlfn.XLOOKUP(Table3[[#This Row],[Cuenta]],Estructura_Balance[Nombre Cuenta ()],Estructura_Balance[Nivel 1],"",0)</f>
        <v/>
      </c>
      <c r="O108" t="str">
        <f>_xlfn.XLOOKUP(Table3[[#This Row],[Cuenta]],Estructura_Balance[Nombre Cuenta ()],Estructura_Balance[Nivel 2],"",0)</f>
        <v/>
      </c>
      <c r="P108" t="str">
        <f>_xlfn.XLOOKUP(Table3[[#This Row],[Cuenta]],Estructura_Balance[Nombre Cuenta ()],Estructura_Balance[Nivel 3],"",0)</f>
        <v/>
      </c>
      <c r="Q108" t="str">
        <f>_xlfn.XLOOKUP(Table3[[#This Row],[Cuenta]],Estructura_Balance[Nombre Cuenta ()],Estructura_Balance[Nivel 4],"",0)</f>
        <v/>
      </c>
      <c r="R108" t="str">
        <f>_xlfn.XLOOKUP(Table3[[#This Row],[Cuenta]],Table8[Nombre Cuenta ()],Table8[Nivel 1],"",0)</f>
        <v/>
      </c>
      <c r="S108" t="str">
        <f>_xlfn.XLOOKUP(Table3[[#This Row],[Cuenta]],Table8[Nombre Cuenta ()],Table8[Nivel 2],"",0)</f>
        <v/>
      </c>
      <c r="T108" t="str">
        <f>_xlfn.XLOOKUP(Table3[[#This Row],[Cuenta]],Table8[Nombre Cuenta ()],Table8[Nivel 3],"",0)</f>
        <v/>
      </c>
      <c r="U108">
        <v>218</v>
      </c>
      <c r="V108" t="str">
        <f>_xlfn.XLOOKUP(Table3[[#This Row],[Cuenta]],Estructura_Balance[Nombre Cuenta ()],Estructura_Balance[Niveles:2],"",0)</f>
        <v/>
      </c>
      <c r="W108" t="str">
        <f>_xlfn.XLOOKUP(Table3[[#This Row],[Cuenta]],Estructura_Balance[Nombre Cuenta ()],Estructura_Balance[Niveles:3],"",0)</f>
        <v/>
      </c>
      <c r="X108" t="str">
        <f>_xlfn.XLOOKUP(Table3[[#This Row],[Cuenta]],Estructura_Balance[Nombre Cuenta ()],Estructura_Balance[Grupos],"Grupo 1",0)</f>
        <v>Grupo 1</v>
      </c>
      <c r="Y108" t="str">
        <f>+Table3[[#This Row],[BS_Nivel_1]]</f>
        <v/>
      </c>
    </row>
    <row r="109" spans="1:25">
      <c r="A109">
        <f>+'Libro Diario'!F166</f>
        <v>0</v>
      </c>
      <c r="B109" s="144">
        <f>VALUE(IF(+'Libro Diario'!G166="","01/01/2025",+'Libro Diario'!G166))</f>
        <v>45658</v>
      </c>
      <c r="C109">
        <f>IF(ISNUMBER(+IF(IFERROR(VALUE(MID('Libro Diario'!C166,1,4)),0)&lt;&gt;0,'Libro Diario'!C166,0))=FALSE,'Libro Diario'!C166,0)</f>
        <v>0</v>
      </c>
      <c r="D109" s="145" t="str">
        <f>+'Libro Diario'!B166</f>
        <v>Asiento Cuadrado</v>
      </c>
      <c r="E109" s="139" t="s">
        <v>445</v>
      </c>
      <c r="F109" t="str">
        <f t="shared" si="3"/>
        <v>Sin Mov.</v>
      </c>
      <c r="G109" t="str">
        <f>IF(+'Libro Diario'!H166=0,"",+'Libro Diario'!H166)</f>
        <v/>
      </c>
      <c r="H109" t="str">
        <f>IF(+'Libro Diario'!I166=0,"",+'Libro Diario'!I166)</f>
        <v/>
      </c>
      <c r="I109" t="str">
        <f>+IF(Table3[[#This Row],[Tipo Movimiento]]="Estructura Balance y PyG","Excluir","Incluir")</f>
        <v>Incluir</v>
      </c>
      <c r="J109" s="153">
        <f>+IF(Table3[[#This Row],[Sin cuenta]]="Con Mov.",(IF(Table3[[#This Row],[Movimiento]]="Debe",Table3[[#This Row],[Importe]],IF(Table3[[#This Row],[Movimiento]]="Haber",Table3[[#This Row],[Importe]]*-1,0))),0)</f>
        <v>0</v>
      </c>
      <c r="K109" s="145" t="str">
        <f t="shared" si="4"/>
        <v>Asiento Cuadrado</v>
      </c>
      <c r="L109" s="145" t="str">
        <f t="shared" si="5"/>
        <v/>
      </c>
      <c r="M109" t="str">
        <f>_xlfn.XLOOKUP(Table3[[#This Row],[Cuenta]],Estructura_Balance[Nombre Cuenta ()],Estructura_Balance[Grupo],"",0)</f>
        <v/>
      </c>
      <c r="N109" t="str">
        <f>_xlfn.XLOOKUP(Table3[[#This Row],[Cuenta]],Estructura_Balance[Nombre Cuenta ()],Estructura_Balance[Nivel 1],"",0)</f>
        <v/>
      </c>
      <c r="O109" t="str">
        <f>_xlfn.XLOOKUP(Table3[[#This Row],[Cuenta]],Estructura_Balance[Nombre Cuenta ()],Estructura_Balance[Nivel 2],"",0)</f>
        <v/>
      </c>
      <c r="P109" t="str">
        <f>_xlfn.XLOOKUP(Table3[[#This Row],[Cuenta]],Estructura_Balance[Nombre Cuenta ()],Estructura_Balance[Nivel 3],"",0)</f>
        <v/>
      </c>
      <c r="Q109" t="str">
        <f>_xlfn.XLOOKUP(Table3[[#This Row],[Cuenta]],Estructura_Balance[Nombre Cuenta ()],Estructura_Balance[Nivel 4],"",0)</f>
        <v/>
      </c>
      <c r="R109" t="str">
        <f>_xlfn.XLOOKUP(Table3[[#This Row],[Cuenta]],Table8[Nombre Cuenta ()],Table8[Nivel 1],"",0)</f>
        <v/>
      </c>
      <c r="S109" t="str">
        <f>_xlfn.XLOOKUP(Table3[[#This Row],[Cuenta]],Table8[Nombre Cuenta ()],Table8[Nivel 2],"",0)</f>
        <v/>
      </c>
      <c r="T109" t="str">
        <f>_xlfn.XLOOKUP(Table3[[#This Row],[Cuenta]],Table8[Nombre Cuenta ()],Table8[Nivel 3],"",0)</f>
        <v/>
      </c>
      <c r="U109">
        <v>219</v>
      </c>
      <c r="V109" t="str">
        <f>_xlfn.XLOOKUP(Table3[[#This Row],[Cuenta]],Estructura_Balance[Nombre Cuenta ()],Estructura_Balance[Niveles:2],"",0)</f>
        <v/>
      </c>
      <c r="W109" t="str">
        <f>_xlfn.XLOOKUP(Table3[[#This Row],[Cuenta]],Estructura_Balance[Nombre Cuenta ()],Estructura_Balance[Niveles:3],"",0)</f>
        <v/>
      </c>
      <c r="X109" t="str">
        <f>_xlfn.XLOOKUP(Table3[[#This Row],[Cuenta]],Estructura_Balance[Nombre Cuenta ()],Estructura_Balance[Grupos],"Grupo 1",0)</f>
        <v>Grupo 1</v>
      </c>
      <c r="Y109" t="str">
        <f>+Table3[[#This Row],[BS_Nivel_1]]</f>
        <v/>
      </c>
    </row>
    <row r="110" spans="1:25">
      <c r="A110">
        <f>+'Libro Diario'!F167</f>
        <v>0</v>
      </c>
      <c r="B110" s="144">
        <f>VALUE(IF(+'Libro Diario'!G167="","01/01/2025",+'Libro Diario'!G167))</f>
        <v>45658</v>
      </c>
      <c r="C110">
        <f>IF(ISNUMBER(+IF(IFERROR(VALUE(MID('Libro Diario'!C167,1,4)),0)&lt;&gt;0,'Libro Diario'!C167,0))=FALSE,'Libro Diario'!C167,0)</f>
        <v>0</v>
      </c>
      <c r="D110" s="145">
        <f>+'Libro Diario'!B167</f>
        <v>0</v>
      </c>
      <c r="E110" s="139" t="s">
        <v>445</v>
      </c>
      <c r="F110" t="str">
        <f t="shared" si="3"/>
        <v>Sin Mov.</v>
      </c>
      <c r="G110" t="str">
        <f>IF(+'Libro Diario'!H167=0,"",+'Libro Diario'!H167)</f>
        <v/>
      </c>
      <c r="H110" t="str">
        <f>IF(+'Libro Diario'!I167=0,"",+'Libro Diario'!I167)</f>
        <v/>
      </c>
      <c r="I110" t="str">
        <f>+IF(Table3[[#This Row],[Tipo Movimiento]]="Estructura Balance y PyG","Excluir","Incluir")</f>
        <v>Incluir</v>
      </c>
      <c r="J110" s="153">
        <f>+IF(Table3[[#This Row],[Sin cuenta]]="Con Mov.",(IF(Table3[[#This Row],[Movimiento]]="Debe",Table3[[#This Row],[Importe]],IF(Table3[[#This Row],[Movimiento]]="Haber",Table3[[#This Row],[Importe]]*-1,0))),0)</f>
        <v>0</v>
      </c>
      <c r="K110" s="145">
        <f t="shared" si="4"/>
        <v>0</v>
      </c>
      <c r="L110" s="145" t="str">
        <f t="shared" si="5"/>
        <v/>
      </c>
      <c r="M110" t="str">
        <f>_xlfn.XLOOKUP(Table3[[#This Row],[Cuenta]],Estructura_Balance[Nombre Cuenta ()],Estructura_Balance[Grupo],"",0)</f>
        <v/>
      </c>
      <c r="N110" t="str">
        <f>_xlfn.XLOOKUP(Table3[[#This Row],[Cuenta]],Estructura_Balance[Nombre Cuenta ()],Estructura_Balance[Nivel 1],"",0)</f>
        <v/>
      </c>
      <c r="O110" t="str">
        <f>_xlfn.XLOOKUP(Table3[[#This Row],[Cuenta]],Estructura_Balance[Nombre Cuenta ()],Estructura_Balance[Nivel 2],"",0)</f>
        <v/>
      </c>
      <c r="P110" t="str">
        <f>_xlfn.XLOOKUP(Table3[[#This Row],[Cuenta]],Estructura_Balance[Nombre Cuenta ()],Estructura_Balance[Nivel 3],"",0)</f>
        <v/>
      </c>
      <c r="Q110" t="str">
        <f>_xlfn.XLOOKUP(Table3[[#This Row],[Cuenta]],Estructura_Balance[Nombre Cuenta ()],Estructura_Balance[Nivel 4],"",0)</f>
        <v/>
      </c>
      <c r="R110" t="str">
        <f>_xlfn.XLOOKUP(Table3[[#This Row],[Cuenta]],Table8[Nombre Cuenta ()],Table8[Nivel 1],"",0)</f>
        <v/>
      </c>
      <c r="S110" t="str">
        <f>_xlfn.XLOOKUP(Table3[[#This Row],[Cuenta]],Table8[Nombre Cuenta ()],Table8[Nivel 2],"",0)</f>
        <v/>
      </c>
      <c r="T110" t="str">
        <f>_xlfn.XLOOKUP(Table3[[#This Row],[Cuenta]],Table8[Nombre Cuenta ()],Table8[Nivel 3],"",0)</f>
        <v/>
      </c>
      <c r="U110">
        <v>220</v>
      </c>
      <c r="V110" t="str">
        <f>_xlfn.XLOOKUP(Table3[[#This Row],[Cuenta]],Estructura_Balance[Nombre Cuenta ()],Estructura_Balance[Niveles:2],"",0)</f>
        <v/>
      </c>
      <c r="W110" t="str">
        <f>_xlfn.XLOOKUP(Table3[[#This Row],[Cuenta]],Estructura_Balance[Nombre Cuenta ()],Estructura_Balance[Niveles:3],"",0)</f>
        <v/>
      </c>
      <c r="X110" t="str">
        <f>_xlfn.XLOOKUP(Table3[[#This Row],[Cuenta]],Estructura_Balance[Nombre Cuenta ()],Estructura_Balance[Grupos],"Grupo 1",0)</f>
        <v>Grupo 1</v>
      </c>
      <c r="Y110" t="str">
        <f>+Table3[[#This Row],[BS_Nivel_1]]</f>
        <v/>
      </c>
    </row>
    <row r="111" spans="1:25">
      <c r="A111">
        <f>+'Libro Diario'!F168</f>
        <v>0</v>
      </c>
      <c r="B111" s="144">
        <f>VALUE(IF(+'Libro Diario'!G168="","01/01/2025",+'Libro Diario'!G168))</f>
        <v>45658</v>
      </c>
      <c r="C111">
        <f>IF(ISNUMBER(+IF(IFERROR(VALUE(MID('Libro Diario'!C168,1,4)),0)&lt;&gt;0,'Libro Diario'!C168,0))=FALSE,'Libro Diario'!C168,0)</f>
        <v>0</v>
      </c>
      <c r="D111" s="145" t="str">
        <f>+'Libro Diario'!B168</f>
        <v>DEBE</v>
      </c>
      <c r="E111" s="139" t="s">
        <v>445</v>
      </c>
      <c r="F111" t="str">
        <f t="shared" si="3"/>
        <v>Sin Mov.</v>
      </c>
      <c r="G111" t="str">
        <f>IF(+'Libro Diario'!H168=0,"",+'Libro Diario'!H168)</f>
        <v/>
      </c>
      <c r="H111" t="str">
        <f>IF(+'Libro Diario'!I168=0,"",+'Libro Diario'!I168)</f>
        <v/>
      </c>
      <c r="I111" t="str">
        <f>+IF(Table3[[#This Row],[Tipo Movimiento]]="Estructura Balance y PyG","Excluir","Incluir")</f>
        <v>Incluir</v>
      </c>
      <c r="J111" s="153">
        <f>+IF(Table3[[#This Row],[Sin cuenta]]="Con Mov.",(IF(Table3[[#This Row],[Movimiento]]="Debe",Table3[[#This Row],[Importe]],IF(Table3[[#This Row],[Movimiento]]="Haber",Table3[[#This Row],[Importe]]*-1,0))),0)</f>
        <v>0</v>
      </c>
      <c r="K111" s="145" t="str">
        <f t="shared" si="4"/>
        <v>DEBE</v>
      </c>
      <c r="L111" s="145" t="str">
        <f t="shared" si="5"/>
        <v/>
      </c>
      <c r="M111" t="str">
        <f>_xlfn.XLOOKUP(Table3[[#This Row],[Cuenta]],Estructura_Balance[Nombre Cuenta ()],Estructura_Balance[Grupo],"",0)</f>
        <v/>
      </c>
      <c r="N111" t="str">
        <f>_xlfn.XLOOKUP(Table3[[#This Row],[Cuenta]],Estructura_Balance[Nombre Cuenta ()],Estructura_Balance[Nivel 1],"",0)</f>
        <v/>
      </c>
      <c r="O111" t="str">
        <f>_xlfn.XLOOKUP(Table3[[#This Row],[Cuenta]],Estructura_Balance[Nombre Cuenta ()],Estructura_Balance[Nivel 2],"",0)</f>
        <v/>
      </c>
      <c r="P111" t="str">
        <f>_xlfn.XLOOKUP(Table3[[#This Row],[Cuenta]],Estructura_Balance[Nombre Cuenta ()],Estructura_Balance[Nivel 3],"",0)</f>
        <v/>
      </c>
      <c r="Q111" t="str">
        <f>_xlfn.XLOOKUP(Table3[[#This Row],[Cuenta]],Estructura_Balance[Nombre Cuenta ()],Estructura_Balance[Nivel 4],"",0)</f>
        <v/>
      </c>
      <c r="R111" t="str">
        <f>_xlfn.XLOOKUP(Table3[[#This Row],[Cuenta]],Table8[Nombre Cuenta ()],Table8[Nivel 1],"",0)</f>
        <v/>
      </c>
      <c r="S111" t="str">
        <f>_xlfn.XLOOKUP(Table3[[#This Row],[Cuenta]],Table8[Nombre Cuenta ()],Table8[Nivel 2],"",0)</f>
        <v/>
      </c>
      <c r="T111" t="str">
        <f>_xlfn.XLOOKUP(Table3[[#This Row],[Cuenta]],Table8[Nombre Cuenta ()],Table8[Nivel 3],"",0)</f>
        <v/>
      </c>
      <c r="U111">
        <v>221</v>
      </c>
      <c r="V111" t="str">
        <f>_xlfn.XLOOKUP(Table3[[#This Row],[Cuenta]],Estructura_Balance[Nombre Cuenta ()],Estructura_Balance[Niveles:2],"",0)</f>
        <v/>
      </c>
      <c r="W111" t="str">
        <f>_xlfn.XLOOKUP(Table3[[#This Row],[Cuenta]],Estructura_Balance[Nombre Cuenta ()],Estructura_Balance[Niveles:3],"",0)</f>
        <v/>
      </c>
      <c r="X111" t="str">
        <f>_xlfn.XLOOKUP(Table3[[#This Row],[Cuenta]],Estructura_Balance[Nombre Cuenta ()],Estructura_Balance[Grupos],"Grupo 1",0)</f>
        <v>Grupo 1</v>
      </c>
      <c r="Y111" t="str">
        <f>+Table3[[#This Row],[BS_Nivel_1]]</f>
        <v/>
      </c>
    </row>
    <row r="112" spans="1:25">
      <c r="A112">
        <f>+'Libro Diario'!F169</f>
        <v>0</v>
      </c>
      <c r="B112" s="144">
        <f>VALUE(IF(+'Libro Diario'!G169="","01/01/2025",+'Libro Diario'!G169))</f>
        <v>45658</v>
      </c>
      <c r="C112">
        <f>IF(ISNUMBER(+IF(IFERROR(VALUE(MID('Libro Diario'!C169,1,4)),0)&lt;&gt;0,'Libro Diario'!C169,0))=FALSE,'Libro Diario'!C169,0)</f>
        <v>0</v>
      </c>
      <c r="D112" s="145">
        <f>+'Libro Diario'!B169</f>
        <v>0</v>
      </c>
      <c r="E112" s="139" t="s">
        <v>445</v>
      </c>
      <c r="F112" t="str">
        <f t="shared" si="3"/>
        <v>Sin Mov.</v>
      </c>
      <c r="G112" t="str">
        <f>IF(+'Libro Diario'!H169=0,"",+'Libro Diario'!H169)</f>
        <v/>
      </c>
      <c r="H112" t="str">
        <f>IF(+'Libro Diario'!I169=0,"",+'Libro Diario'!I169)</f>
        <v/>
      </c>
      <c r="I112" t="str">
        <f>+IF(Table3[[#This Row],[Tipo Movimiento]]="Estructura Balance y PyG","Excluir","Incluir")</f>
        <v>Incluir</v>
      </c>
      <c r="J112" s="153">
        <f>+IF(Table3[[#This Row],[Sin cuenta]]="Con Mov.",(IF(Table3[[#This Row],[Movimiento]]="Debe",Table3[[#This Row],[Importe]],IF(Table3[[#This Row],[Movimiento]]="Haber",Table3[[#This Row],[Importe]]*-1,0))),0)</f>
        <v>0</v>
      </c>
      <c r="K112" s="145">
        <f t="shared" si="4"/>
        <v>0</v>
      </c>
      <c r="L112" s="145" t="str">
        <f t="shared" si="5"/>
        <v/>
      </c>
      <c r="M112" t="str">
        <f>_xlfn.XLOOKUP(Table3[[#This Row],[Cuenta]],Estructura_Balance[Nombre Cuenta ()],Estructura_Balance[Grupo],"",0)</f>
        <v/>
      </c>
      <c r="N112" t="str">
        <f>_xlfn.XLOOKUP(Table3[[#This Row],[Cuenta]],Estructura_Balance[Nombre Cuenta ()],Estructura_Balance[Nivel 1],"",0)</f>
        <v/>
      </c>
      <c r="O112" t="str">
        <f>_xlfn.XLOOKUP(Table3[[#This Row],[Cuenta]],Estructura_Balance[Nombre Cuenta ()],Estructura_Balance[Nivel 2],"",0)</f>
        <v/>
      </c>
      <c r="P112" t="str">
        <f>_xlfn.XLOOKUP(Table3[[#This Row],[Cuenta]],Estructura_Balance[Nombre Cuenta ()],Estructura_Balance[Nivel 3],"",0)</f>
        <v/>
      </c>
      <c r="Q112" t="str">
        <f>_xlfn.XLOOKUP(Table3[[#This Row],[Cuenta]],Estructura_Balance[Nombre Cuenta ()],Estructura_Balance[Nivel 4],"",0)</f>
        <v/>
      </c>
      <c r="R112" t="str">
        <f>_xlfn.XLOOKUP(Table3[[#This Row],[Cuenta]],Table8[Nombre Cuenta ()],Table8[Nivel 1],"",0)</f>
        <v/>
      </c>
      <c r="S112" t="str">
        <f>_xlfn.XLOOKUP(Table3[[#This Row],[Cuenta]],Table8[Nombre Cuenta ()],Table8[Nivel 2],"",0)</f>
        <v/>
      </c>
      <c r="T112" t="str">
        <f>_xlfn.XLOOKUP(Table3[[#This Row],[Cuenta]],Table8[Nombre Cuenta ()],Table8[Nivel 3],"",0)</f>
        <v/>
      </c>
      <c r="U112">
        <v>224</v>
      </c>
      <c r="V112" t="str">
        <f>_xlfn.XLOOKUP(Table3[[#This Row],[Cuenta]],Estructura_Balance[Nombre Cuenta ()],Estructura_Balance[Niveles:2],"",0)</f>
        <v/>
      </c>
      <c r="W112" t="str">
        <f>_xlfn.XLOOKUP(Table3[[#This Row],[Cuenta]],Estructura_Balance[Nombre Cuenta ()],Estructura_Balance[Niveles:3],"",0)</f>
        <v/>
      </c>
      <c r="X112" t="str">
        <f>_xlfn.XLOOKUP(Table3[[#This Row],[Cuenta]],Estructura_Balance[Nombre Cuenta ()],Estructura_Balance[Grupos],"Grupo 1",0)</f>
        <v>Grupo 1</v>
      </c>
      <c r="Y112" t="str">
        <f>+Table3[[#This Row],[BS_Nivel_1]]</f>
        <v/>
      </c>
    </row>
    <row r="113" spans="1:25">
      <c r="A113">
        <f>+'Libro Diario'!F172</f>
        <v>0</v>
      </c>
      <c r="B113" s="144">
        <f>VALUE(IF(+'Libro Diario'!G172="","01/01/2025",+'Libro Diario'!G172))</f>
        <v>45658</v>
      </c>
      <c r="C113">
        <f>IF(ISNUMBER(+IF(IFERROR(VALUE(MID('Libro Diario'!C172,1,4)),0)&lt;&gt;0,'Libro Diario'!C172,0))=FALSE,'Libro Diario'!C172,0)</f>
        <v>0</v>
      </c>
      <c r="D113" s="145" t="str">
        <f>+'Libro Diario'!B172</f>
        <v>Operaciones del Ejercicio</v>
      </c>
      <c r="E113" s="139" t="s">
        <v>445</v>
      </c>
      <c r="F113" t="str">
        <f t="shared" si="3"/>
        <v>Sin Mov.</v>
      </c>
      <c r="G113" t="str">
        <f>IF(+'Libro Diario'!H172=0,"",+'Libro Diario'!H172)</f>
        <v/>
      </c>
      <c r="H113" t="str">
        <f>IF(+'Libro Diario'!I172=0,"",+'Libro Diario'!I172)</f>
        <v/>
      </c>
      <c r="I113" t="str">
        <f>+IF(Table3[[#This Row],[Tipo Movimiento]]="Estructura Balance y PyG","Excluir","Incluir")</f>
        <v>Incluir</v>
      </c>
      <c r="J113" s="153">
        <f>+IF(Table3[[#This Row],[Sin cuenta]]="Con Mov.",(IF(Table3[[#This Row],[Movimiento]]="Debe",Table3[[#This Row],[Importe]],IF(Table3[[#This Row],[Movimiento]]="Haber",Table3[[#This Row],[Importe]]*-1,0))),0)</f>
        <v>0</v>
      </c>
      <c r="K113" s="145" t="str">
        <f t="shared" si="4"/>
        <v>Operaciones del Ejercicio</v>
      </c>
      <c r="L113" s="145" t="str">
        <f t="shared" si="5"/>
        <v/>
      </c>
      <c r="M113" t="str">
        <f>_xlfn.XLOOKUP(Table3[[#This Row],[Cuenta]],Estructura_Balance[Nombre Cuenta ()],Estructura_Balance[Grupo],"",0)</f>
        <v/>
      </c>
      <c r="N113" t="str">
        <f>_xlfn.XLOOKUP(Table3[[#This Row],[Cuenta]],Estructura_Balance[Nombre Cuenta ()],Estructura_Balance[Nivel 1],"",0)</f>
        <v/>
      </c>
      <c r="O113" t="str">
        <f>_xlfn.XLOOKUP(Table3[[#This Row],[Cuenta]],Estructura_Balance[Nombre Cuenta ()],Estructura_Balance[Nivel 2],"",0)</f>
        <v/>
      </c>
      <c r="P113" t="str">
        <f>_xlfn.XLOOKUP(Table3[[#This Row],[Cuenta]],Estructura_Balance[Nombre Cuenta ()],Estructura_Balance[Nivel 3],"",0)</f>
        <v/>
      </c>
      <c r="Q113" t="str">
        <f>_xlfn.XLOOKUP(Table3[[#This Row],[Cuenta]],Estructura_Balance[Nombre Cuenta ()],Estructura_Balance[Nivel 4],"",0)</f>
        <v/>
      </c>
      <c r="R113" t="str">
        <f>_xlfn.XLOOKUP(Table3[[#This Row],[Cuenta]],Table8[Nombre Cuenta ()],Table8[Nivel 1],"",0)</f>
        <v/>
      </c>
      <c r="S113" t="str">
        <f>_xlfn.XLOOKUP(Table3[[#This Row],[Cuenta]],Table8[Nombre Cuenta ()],Table8[Nivel 2],"",0)</f>
        <v/>
      </c>
      <c r="T113" t="str">
        <f>_xlfn.XLOOKUP(Table3[[#This Row],[Cuenta]],Table8[Nombre Cuenta ()],Table8[Nivel 3],"",0)</f>
        <v/>
      </c>
      <c r="U113">
        <v>227</v>
      </c>
      <c r="V113" t="str">
        <f>_xlfn.XLOOKUP(Table3[[#This Row],[Cuenta]],Estructura_Balance[Nombre Cuenta ()],Estructura_Balance[Niveles:2],"",0)</f>
        <v/>
      </c>
      <c r="W113" t="str">
        <f>_xlfn.XLOOKUP(Table3[[#This Row],[Cuenta]],Estructura_Balance[Nombre Cuenta ()],Estructura_Balance[Niveles:3],"",0)</f>
        <v/>
      </c>
      <c r="X113" t="str">
        <f>_xlfn.XLOOKUP(Table3[[#This Row],[Cuenta]],Estructura_Balance[Nombre Cuenta ()],Estructura_Balance[Grupos],"Grupo 1",0)</f>
        <v>Grupo 1</v>
      </c>
      <c r="Y113" t="str">
        <f>+Table3[[#This Row],[BS_Nivel_1]]</f>
        <v/>
      </c>
    </row>
    <row r="114" spans="1:25">
      <c r="A114">
        <f>+'Libro Diario'!F173</f>
        <v>0</v>
      </c>
      <c r="B114" s="144">
        <f>VALUE(IF(+'Libro Diario'!G173="","01/01/2025",+'Libro Diario'!G173))</f>
        <v>45658</v>
      </c>
      <c r="C114">
        <f>IF(ISNUMBER(+IF(IFERROR(VALUE(MID('Libro Diario'!C173,1,4)),0)&lt;&gt;0,'Libro Diario'!C173,0))=FALSE,'Libro Diario'!C173,0)</f>
        <v>0</v>
      </c>
      <c r="D114" s="145" t="str">
        <f>+'Libro Diario'!B173</f>
        <v>Asiento Cuadrado</v>
      </c>
      <c r="E114" s="139" t="s">
        <v>445</v>
      </c>
      <c r="F114" t="str">
        <f t="shared" si="3"/>
        <v>Sin Mov.</v>
      </c>
      <c r="G114" t="str">
        <f>IF(+'Libro Diario'!H173=0,"",+'Libro Diario'!H173)</f>
        <v/>
      </c>
      <c r="H114" t="str">
        <f>IF(+'Libro Diario'!I173=0,"",+'Libro Diario'!I173)</f>
        <v/>
      </c>
      <c r="I114" t="str">
        <f>+IF(Table3[[#This Row],[Tipo Movimiento]]="Estructura Balance y PyG","Excluir","Incluir")</f>
        <v>Incluir</v>
      </c>
      <c r="J114" s="153">
        <f>+IF(Table3[[#This Row],[Sin cuenta]]="Con Mov.",(IF(Table3[[#This Row],[Movimiento]]="Debe",Table3[[#This Row],[Importe]],IF(Table3[[#This Row],[Movimiento]]="Haber",Table3[[#This Row],[Importe]]*-1,0))),0)</f>
        <v>0</v>
      </c>
      <c r="K114" s="145" t="str">
        <f t="shared" si="4"/>
        <v>Asiento Cuadrado</v>
      </c>
      <c r="L114" s="145" t="str">
        <f t="shared" si="5"/>
        <v/>
      </c>
      <c r="M114" t="str">
        <f>_xlfn.XLOOKUP(Table3[[#This Row],[Cuenta]],Estructura_Balance[Nombre Cuenta ()],Estructura_Balance[Grupo],"",0)</f>
        <v/>
      </c>
      <c r="N114" t="str">
        <f>_xlfn.XLOOKUP(Table3[[#This Row],[Cuenta]],Estructura_Balance[Nombre Cuenta ()],Estructura_Balance[Nivel 1],"",0)</f>
        <v/>
      </c>
      <c r="O114" t="str">
        <f>_xlfn.XLOOKUP(Table3[[#This Row],[Cuenta]],Estructura_Balance[Nombre Cuenta ()],Estructura_Balance[Nivel 2],"",0)</f>
        <v/>
      </c>
      <c r="P114" t="str">
        <f>_xlfn.XLOOKUP(Table3[[#This Row],[Cuenta]],Estructura_Balance[Nombre Cuenta ()],Estructura_Balance[Nivel 3],"",0)</f>
        <v/>
      </c>
      <c r="Q114" t="str">
        <f>_xlfn.XLOOKUP(Table3[[#This Row],[Cuenta]],Estructura_Balance[Nombre Cuenta ()],Estructura_Balance[Nivel 4],"",0)</f>
        <v/>
      </c>
      <c r="R114" t="str">
        <f>_xlfn.XLOOKUP(Table3[[#This Row],[Cuenta]],Table8[Nombre Cuenta ()],Table8[Nivel 1],"",0)</f>
        <v/>
      </c>
      <c r="S114" t="str">
        <f>_xlfn.XLOOKUP(Table3[[#This Row],[Cuenta]],Table8[Nombre Cuenta ()],Table8[Nivel 2],"",0)</f>
        <v/>
      </c>
      <c r="T114" t="str">
        <f>_xlfn.XLOOKUP(Table3[[#This Row],[Cuenta]],Table8[Nombre Cuenta ()],Table8[Nivel 3],"",0)</f>
        <v/>
      </c>
      <c r="U114">
        <v>228</v>
      </c>
      <c r="V114" t="str">
        <f>_xlfn.XLOOKUP(Table3[[#This Row],[Cuenta]],Estructura_Balance[Nombre Cuenta ()],Estructura_Balance[Niveles:2],"",0)</f>
        <v/>
      </c>
      <c r="W114" t="str">
        <f>_xlfn.XLOOKUP(Table3[[#This Row],[Cuenta]],Estructura_Balance[Nombre Cuenta ()],Estructura_Balance[Niveles:3],"",0)</f>
        <v/>
      </c>
      <c r="X114" t="str">
        <f>_xlfn.XLOOKUP(Table3[[#This Row],[Cuenta]],Estructura_Balance[Nombre Cuenta ()],Estructura_Balance[Grupos],"Grupo 1",0)</f>
        <v>Grupo 1</v>
      </c>
      <c r="Y114" t="str">
        <f>+Table3[[#This Row],[BS_Nivel_1]]</f>
        <v/>
      </c>
    </row>
    <row r="115" spans="1:25">
      <c r="A115">
        <f>+'Libro Diario'!F174</f>
        <v>0</v>
      </c>
      <c r="B115" s="144">
        <f>VALUE(IF(+'Libro Diario'!G174="","01/01/2025",+'Libro Diario'!G174))</f>
        <v>45658</v>
      </c>
      <c r="C115">
        <f>IF(ISNUMBER(+IF(IFERROR(VALUE(MID('Libro Diario'!C174,1,4)),0)&lt;&gt;0,'Libro Diario'!C174,0))=FALSE,'Libro Diario'!C174,0)</f>
        <v>0</v>
      </c>
      <c r="D115" s="145">
        <f>+'Libro Diario'!B174</f>
        <v>0</v>
      </c>
      <c r="E115" s="139" t="s">
        <v>445</v>
      </c>
      <c r="F115" t="str">
        <f t="shared" si="3"/>
        <v>Sin Mov.</v>
      </c>
      <c r="G115" t="str">
        <f>IF(+'Libro Diario'!H174=0,"",+'Libro Diario'!H174)</f>
        <v/>
      </c>
      <c r="H115" t="str">
        <f>IF(+'Libro Diario'!I174=0,"",+'Libro Diario'!I174)</f>
        <v/>
      </c>
      <c r="I115" t="str">
        <f>+IF(Table3[[#This Row],[Tipo Movimiento]]="Estructura Balance y PyG","Excluir","Incluir")</f>
        <v>Incluir</v>
      </c>
      <c r="J115" s="153">
        <f>+IF(Table3[[#This Row],[Sin cuenta]]="Con Mov.",(IF(Table3[[#This Row],[Movimiento]]="Debe",Table3[[#This Row],[Importe]],IF(Table3[[#This Row],[Movimiento]]="Haber",Table3[[#This Row],[Importe]]*-1,0))),0)</f>
        <v>0</v>
      </c>
      <c r="K115" s="145">
        <f t="shared" si="4"/>
        <v>0</v>
      </c>
      <c r="L115" s="145" t="str">
        <f t="shared" si="5"/>
        <v/>
      </c>
      <c r="M115" t="str">
        <f>_xlfn.XLOOKUP(Table3[[#This Row],[Cuenta]],Estructura_Balance[Nombre Cuenta ()],Estructura_Balance[Grupo],"",0)</f>
        <v/>
      </c>
      <c r="N115" t="str">
        <f>_xlfn.XLOOKUP(Table3[[#This Row],[Cuenta]],Estructura_Balance[Nombre Cuenta ()],Estructura_Balance[Nivel 1],"",0)</f>
        <v/>
      </c>
      <c r="O115" t="str">
        <f>_xlfn.XLOOKUP(Table3[[#This Row],[Cuenta]],Estructura_Balance[Nombre Cuenta ()],Estructura_Balance[Nivel 2],"",0)</f>
        <v/>
      </c>
      <c r="P115" t="str">
        <f>_xlfn.XLOOKUP(Table3[[#This Row],[Cuenta]],Estructura_Balance[Nombre Cuenta ()],Estructura_Balance[Nivel 3],"",0)</f>
        <v/>
      </c>
      <c r="Q115" t="str">
        <f>_xlfn.XLOOKUP(Table3[[#This Row],[Cuenta]],Estructura_Balance[Nombre Cuenta ()],Estructura_Balance[Nivel 4],"",0)</f>
        <v/>
      </c>
      <c r="R115" t="str">
        <f>_xlfn.XLOOKUP(Table3[[#This Row],[Cuenta]],Table8[Nombre Cuenta ()],Table8[Nivel 1],"",0)</f>
        <v/>
      </c>
      <c r="S115" t="str">
        <f>_xlfn.XLOOKUP(Table3[[#This Row],[Cuenta]],Table8[Nombre Cuenta ()],Table8[Nivel 2],"",0)</f>
        <v/>
      </c>
      <c r="T115" t="str">
        <f>_xlfn.XLOOKUP(Table3[[#This Row],[Cuenta]],Table8[Nombre Cuenta ()],Table8[Nivel 3],"",0)</f>
        <v/>
      </c>
      <c r="U115">
        <v>231</v>
      </c>
      <c r="V115" t="str">
        <f>_xlfn.XLOOKUP(Table3[[#This Row],[Cuenta]],Estructura_Balance[Nombre Cuenta ()],Estructura_Balance[Niveles:2],"",0)</f>
        <v/>
      </c>
      <c r="W115" t="str">
        <f>_xlfn.XLOOKUP(Table3[[#This Row],[Cuenta]],Estructura_Balance[Nombre Cuenta ()],Estructura_Balance[Niveles:3],"",0)</f>
        <v/>
      </c>
      <c r="X115" t="str">
        <f>_xlfn.XLOOKUP(Table3[[#This Row],[Cuenta]],Estructura_Balance[Nombre Cuenta ()],Estructura_Balance[Grupos],"Grupo 1",0)</f>
        <v>Grupo 1</v>
      </c>
      <c r="Y115" t="str">
        <f>+Table3[[#This Row],[BS_Nivel_1]]</f>
        <v/>
      </c>
    </row>
    <row r="116" spans="1:25">
      <c r="A116">
        <f>+'Libro Diario'!F175</f>
        <v>0</v>
      </c>
      <c r="B116" s="144">
        <f>VALUE(IF(+'Libro Diario'!G175="","01/01/2025",+'Libro Diario'!G175))</f>
        <v>45658</v>
      </c>
      <c r="C116">
        <f>IF(ISNUMBER(+IF(IFERROR(VALUE(MID('Libro Diario'!C175,1,4)),0)&lt;&gt;0,'Libro Diario'!C175,0))=FALSE,'Libro Diario'!C175,0)</f>
        <v>0</v>
      </c>
      <c r="D116" s="145" t="str">
        <f>+'Libro Diario'!B175</f>
        <v>DEBE</v>
      </c>
      <c r="E116" s="139" t="s">
        <v>445</v>
      </c>
      <c r="F116" t="str">
        <f t="shared" si="3"/>
        <v>Sin Mov.</v>
      </c>
      <c r="G116" t="str">
        <f>IF(+'Libro Diario'!H175=0,"",+'Libro Diario'!H175)</f>
        <v/>
      </c>
      <c r="H116" t="str">
        <f>IF(+'Libro Diario'!I175=0,"",+'Libro Diario'!I175)</f>
        <v/>
      </c>
      <c r="I116" t="str">
        <f>+IF(Table3[[#This Row],[Tipo Movimiento]]="Estructura Balance y PyG","Excluir","Incluir")</f>
        <v>Incluir</v>
      </c>
      <c r="J116" s="153">
        <f>+IF(Table3[[#This Row],[Sin cuenta]]="Con Mov.",(IF(Table3[[#This Row],[Movimiento]]="Debe",Table3[[#This Row],[Importe]],IF(Table3[[#This Row],[Movimiento]]="Haber",Table3[[#This Row],[Importe]]*-1,0))),0)</f>
        <v>0</v>
      </c>
      <c r="K116" s="145" t="str">
        <f t="shared" si="4"/>
        <v>DEBE</v>
      </c>
      <c r="L116" s="145" t="str">
        <f t="shared" si="5"/>
        <v/>
      </c>
      <c r="M116" t="str">
        <f>_xlfn.XLOOKUP(Table3[[#This Row],[Cuenta]],Estructura_Balance[Nombre Cuenta ()],Estructura_Balance[Grupo],"",0)</f>
        <v/>
      </c>
      <c r="N116" t="str">
        <f>_xlfn.XLOOKUP(Table3[[#This Row],[Cuenta]],Estructura_Balance[Nombre Cuenta ()],Estructura_Balance[Nivel 1],"",0)</f>
        <v/>
      </c>
      <c r="O116" t="str">
        <f>_xlfn.XLOOKUP(Table3[[#This Row],[Cuenta]],Estructura_Balance[Nombre Cuenta ()],Estructura_Balance[Nivel 2],"",0)</f>
        <v/>
      </c>
      <c r="P116" t="str">
        <f>_xlfn.XLOOKUP(Table3[[#This Row],[Cuenta]],Estructura_Balance[Nombre Cuenta ()],Estructura_Balance[Nivel 3],"",0)</f>
        <v/>
      </c>
      <c r="Q116" t="str">
        <f>_xlfn.XLOOKUP(Table3[[#This Row],[Cuenta]],Estructura_Balance[Nombre Cuenta ()],Estructura_Balance[Nivel 4],"",0)</f>
        <v/>
      </c>
      <c r="R116" t="str">
        <f>_xlfn.XLOOKUP(Table3[[#This Row],[Cuenta]],Table8[Nombre Cuenta ()],Table8[Nivel 1],"",0)</f>
        <v/>
      </c>
      <c r="S116" t="str">
        <f>_xlfn.XLOOKUP(Table3[[#This Row],[Cuenta]],Table8[Nombre Cuenta ()],Table8[Nivel 2],"",0)</f>
        <v/>
      </c>
      <c r="T116" t="str">
        <f>_xlfn.XLOOKUP(Table3[[#This Row],[Cuenta]],Table8[Nombre Cuenta ()],Table8[Nivel 3],"",0)</f>
        <v/>
      </c>
      <c r="U116">
        <v>232</v>
      </c>
      <c r="V116" t="str">
        <f>_xlfn.XLOOKUP(Table3[[#This Row],[Cuenta]],Estructura_Balance[Nombre Cuenta ()],Estructura_Balance[Niveles:2],"",0)</f>
        <v/>
      </c>
      <c r="W116" t="str">
        <f>_xlfn.XLOOKUP(Table3[[#This Row],[Cuenta]],Estructura_Balance[Nombre Cuenta ()],Estructura_Balance[Niveles:3],"",0)</f>
        <v/>
      </c>
      <c r="X116" t="str">
        <f>_xlfn.XLOOKUP(Table3[[#This Row],[Cuenta]],Estructura_Balance[Nombre Cuenta ()],Estructura_Balance[Grupos],"Grupo 1",0)</f>
        <v>Grupo 1</v>
      </c>
      <c r="Y116" t="str">
        <f>+Table3[[#This Row],[BS_Nivel_1]]</f>
        <v/>
      </c>
    </row>
    <row r="117" spans="1:25">
      <c r="A117">
        <f>+'Libro Diario'!F176</f>
        <v>0</v>
      </c>
      <c r="B117" s="144">
        <f>VALUE(IF(+'Libro Diario'!G176="","01/01/2025",+'Libro Diario'!G176))</f>
        <v>45658</v>
      </c>
      <c r="C117">
        <f>IF(ISNUMBER(+IF(IFERROR(VALUE(MID('Libro Diario'!C176,1,4)),0)&lt;&gt;0,'Libro Diario'!C176,0))=FALSE,'Libro Diario'!C176,0)</f>
        <v>0</v>
      </c>
      <c r="D117" s="145">
        <f>+'Libro Diario'!B176</f>
        <v>0</v>
      </c>
      <c r="E117" s="139" t="s">
        <v>445</v>
      </c>
      <c r="F117" t="str">
        <f t="shared" si="3"/>
        <v>Sin Mov.</v>
      </c>
      <c r="G117" t="str">
        <f>IF(+'Libro Diario'!H176=0,"",+'Libro Diario'!H176)</f>
        <v/>
      </c>
      <c r="H117" t="str">
        <f>IF(+'Libro Diario'!I176=0,"",+'Libro Diario'!I176)</f>
        <v/>
      </c>
      <c r="I117" t="str">
        <f>+IF(Table3[[#This Row],[Tipo Movimiento]]="Estructura Balance y PyG","Excluir","Incluir")</f>
        <v>Incluir</v>
      </c>
      <c r="J117" s="153">
        <f>+IF(Table3[[#This Row],[Sin cuenta]]="Con Mov.",(IF(Table3[[#This Row],[Movimiento]]="Debe",Table3[[#This Row],[Importe]],IF(Table3[[#This Row],[Movimiento]]="Haber",Table3[[#This Row],[Importe]]*-1,0))),0)</f>
        <v>0</v>
      </c>
      <c r="K117" s="145">
        <f t="shared" si="4"/>
        <v>0</v>
      </c>
      <c r="L117" s="145" t="str">
        <f t="shared" si="5"/>
        <v/>
      </c>
      <c r="M117" t="str">
        <f>_xlfn.XLOOKUP(Table3[[#This Row],[Cuenta]],Estructura_Balance[Nombre Cuenta ()],Estructura_Balance[Grupo],"",0)</f>
        <v/>
      </c>
      <c r="N117" t="str">
        <f>_xlfn.XLOOKUP(Table3[[#This Row],[Cuenta]],Estructura_Balance[Nombre Cuenta ()],Estructura_Balance[Nivel 1],"",0)</f>
        <v/>
      </c>
      <c r="O117" t="str">
        <f>_xlfn.XLOOKUP(Table3[[#This Row],[Cuenta]],Estructura_Balance[Nombre Cuenta ()],Estructura_Balance[Nivel 2],"",0)</f>
        <v/>
      </c>
      <c r="P117" t="str">
        <f>_xlfn.XLOOKUP(Table3[[#This Row],[Cuenta]],Estructura_Balance[Nombre Cuenta ()],Estructura_Balance[Nivel 3],"",0)</f>
        <v/>
      </c>
      <c r="Q117" t="str">
        <f>_xlfn.XLOOKUP(Table3[[#This Row],[Cuenta]],Estructura_Balance[Nombre Cuenta ()],Estructura_Balance[Nivel 4],"",0)</f>
        <v/>
      </c>
      <c r="R117" t="str">
        <f>_xlfn.XLOOKUP(Table3[[#This Row],[Cuenta]],Table8[Nombre Cuenta ()],Table8[Nivel 1],"",0)</f>
        <v/>
      </c>
      <c r="S117" t="str">
        <f>_xlfn.XLOOKUP(Table3[[#This Row],[Cuenta]],Table8[Nombre Cuenta ()],Table8[Nivel 2],"",0)</f>
        <v/>
      </c>
      <c r="T117" t="str">
        <f>_xlfn.XLOOKUP(Table3[[#This Row],[Cuenta]],Table8[Nombre Cuenta ()],Table8[Nivel 3],"",0)</f>
        <v/>
      </c>
      <c r="U117">
        <v>233</v>
      </c>
      <c r="V117" t="str">
        <f>_xlfn.XLOOKUP(Table3[[#This Row],[Cuenta]],Estructura_Balance[Nombre Cuenta ()],Estructura_Balance[Niveles:2],"",0)</f>
        <v/>
      </c>
      <c r="W117" t="str">
        <f>_xlfn.XLOOKUP(Table3[[#This Row],[Cuenta]],Estructura_Balance[Nombre Cuenta ()],Estructura_Balance[Niveles:3],"",0)</f>
        <v/>
      </c>
      <c r="X117" t="str">
        <f>_xlfn.XLOOKUP(Table3[[#This Row],[Cuenta]],Estructura_Balance[Nombre Cuenta ()],Estructura_Balance[Grupos],"Grupo 1",0)</f>
        <v>Grupo 1</v>
      </c>
      <c r="Y117" t="str">
        <f>+Table3[[#This Row],[BS_Nivel_1]]</f>
        <v/>
      </c>
    </row>
    <row r="118" spans="1:25">
      <c r="A118">
        <f>+'Libro Diario'!F179</f>
        <v>0</v>
      </c>
      <c r="B118" s="144">
        <f>VALUE(IF(+'Libro Diario'!G179="","01/01/2025",+'Libro Diario'!G179))</f>
        <v>45658</v>
      </c>
      <c r="C118">
        <f>IF(ISNUMBER(+IF(IFERROR(VALUE(MID('Libro Diario'!C179,1,4)),0)&lt;&gt;0,'Libro Diario'!C179,0))=FALSE,'Libro Diario'!C179,0)</f>
        <v>0</v>
      </c>
      <c r="D118" s="145" t="str">
        <f>+'Libro Diario'!B179</f>
        <v>Operaciones del Ejercicio</v>
      </c>
      <c r="E118" s="139" t="s">
        <v>445</v>
      </c>
      <c r="F118" t="str">
        <f t="shared" si="3"/>
        <v>Sin Mov.</v>
      </c>
      <c r="G118" t="str">
        <f>IF(+'Libro Diario'!H179=0,"",+'Libro Diario'!H179)</f>
        <v/>
      </c>
      <c r="H118" t="str">
        <f>IF(+'Libro Diario'!I179=0,"",+'Libro Diario'!I179)</f>
        <v/>
      </c>
      <c r="I118" t="str">
        <f>+IF(Table3[[#This Row],[Tipo Movimiento]]="Estructura Balance y PyG","Excluir","Incluir")</f>
        <v>Incluir</v>
      </c>
      <c r="J118" s="153">
        <f>+IF(Table3[[#This Row],[Sin cuenta]]="Con Mov.",(IF(Table3[[#This Row],[Movimiento]]="Debe",Table3[[#This Row],[Importe]],IF(Table3[[#This Row],[Movimiento]]="Haber",Table3[[#This Row],[Importe]]*-1,0))),0)</f>
        <v>0</v>
      </c>
      <c r="K118" s="145" t="str">
        <f t="shared" si="4"/>
        <v>Operaciones del Ejercicio</v>
      </c>
      <c r="L118" s="145" t="str">
        <f t="shared" si="5"/>
        <v/>
      </c>
      <c r="M118" t="str">
        <f>_xlfn.XLOOKUP(Table3[[#This Row],[Cuenta]],Estructura_Balance[Nombre Cuenta ()],Estructura_Balance[Grupo],"",0)</f>
        <v/>
      </c>
      <c r="N118" t="str">
        <f>_xlfn.XLOOKUP(Table3[[#This Row],[Cuenta]],Estructura_Balance[Nombre Cuenta ()],Estructura_Balance[Nivel 1],"",0)</f>
        <v/>
      </c>
      <c r="O118" t="str">
        <f>_xlfn.XLOOKUP(Table3[[#This Row],[Cuenta]],Estructura_Balance[Nombre Cuenta ()],Estructura_Balance[Nivel 2],"",0)</f>
        <v/>
      </c>
      <c r="P118" t="str">
        <f>_xlfn.XLOOKUP(Table3[[#This Row],[Cuenta]],Estructura_Balance[Nombre Cuenta ()],Estructura_Balance[Nivel 3],"",0)</f>
        <v/>
      </c>
      <c r="Q118" t="str">
        <f>_xlfn.XLOOKUP(Table3[[#This Row],[Cuenta]],Estructura_Balance[Nombre Cuenta ()],Estructura_Balance[Nivel 4],"",0)</f>
        <v/>
      </c>
      <c r="R118" t="str">
        <f>_xlfn.XLOOKUP(Table3[[#This Row],[Cuenta]],Table8[Nombre Cuenta ()],Table8[Nivel 1],"",0)</f>
        <v/>
      </c>
      <c r="S118" t="str">
        <f>_xlfn.XLOOKUP(Table3[[#This Row],[Cuenta]],Table8[Nombre Cuenta ()],Table8[Nivel 2],"",0)</f>
        <v/>
      </c>
      <c r="T118" t="str">
        <f>_xlfn.XLOOKUP(Table3[[#This Row],[Cuenta]],Table8[Nombre Cuenta ()],Table8[Nivel 3],"",0)</f>
        <v/>
      </c>
      <c r="U118">
        <v>238</v>
      </c>
      <c r="V118" t="str">
        <f>_xlfn.XLOOKUP(Table3[[#This Row],[Cuenta]],Estructura_Balance[Nombre Cuenta ()],Estructura_Balance[Niveles:2],"",0)</f>
        <v/>
      </c>
      <c r="W118" t="str">
        <f>_xlfn.XLOOKUP(Table3[[#This Row],[Cuenta]],Estructura_Balance[Nombre Cuenta ()],Estructura_Balance[Niveles:3],"",0)</f>
        <v/>
      </c>
      <c r="X118" t="str">
        <f>_xlfn.XLOOKUP(Table3[[#This Row],[Cuenta]],Estructura_Balance[Nombre Cuenta ()],Estructura_Balance[Grupos],"Grupo 1",0)</f>
        <v>Grupo 1</v>
      </c>
      <c r="Y118" t="str">
        <f>+Table3[[#This Row],[BS_Nivel_1]]</f>
        <v/>
      </c>
    </row>
    <row r="119" spans="1:25">
      <c r="A119">
        <f>+'Libro Diario'!F180</f>
        <v>0</v>
      </c>
      <c r="B119" s="144">
        <f>VALUE(IF(+'Libro Diario'!G180="","01/01/2025",+'Libro Diario'!G180))</f>
        <v>45658</v>
      </c>
      <c r="C119">
        <f>IF(ISNUMBER(+IF(IFERROR(VALUE(MID('Libro Diario'!C180,1,4)),0)&lt;&gt;0,'Libro Diario'!C180,0))=FALSE,'Libro Diario'!C180,0)</f>
        <v>0</v>
      </c>
      <c r="D119" s="145" t="str">
        <f>+'Libro Diario'!B180</f>
        <v>Asiento Cuadrado</v>
      </c>
      <c r="E119" s="139" t="s">
        <v>445</v>
      </c>
      <c r="F119" t="str">
        <f t="shared" si="3"/>
        <v>Sin Mov.</v>
      </c>
      <c r="G119" t="str">
        <f>IF(+'Libro Diario'!H180=0,"",+'Libro Diario'!H180)</f>
        <v/>
      </c>
      <c r="H119" t="str">
        <f>IF(+'Libro Diario'!I180=0,"",+'Libro Diario'!I180)</f>
        <v/>
      </c>
      <c r="I119" t="str">
        <f>+IF(Table3[[#This Row],[Tipo Movimiento]]="Estructura Balance y PyG","Excluir","Incluir")</f>
        <v>Incluir</v>
      </c>
      <c r="J119" s="153">
        <f>+IF(Table3[[#This Row],[Sin cuenta]]="Con Mov.",(IF(Table3[[#This Row],[Movimiento]]="Debe",Table3[[#This Row],[Importe]],IF(Table3[[#This Row],[Movimiento]]="Haber",Table3[[#This Row],[Importe]]*-1,0))),0)</f>
        <v>0</v>
      </c>
      <c r="K119" s="145" t="str">
        <f t="shared" si="4"/>
        <v>Asiento Cuadrado</v>
      </c>
      <c r="L119" s="145" t="str">
        <f t="shared" si="5"/>
        <v/>
      </c>
      <c r="M119" t="str">
        <f>_xlfn.XLOOKUP(Table3[[#This Row],[Cuenta]],Estructura_Balance[Nombre Cuenta ()],Estructura_Balance[Grupo],"",0)</f>
        <v/>
      </c>
      <c r="N119" t="str">
        <f>_xlfn.XLOOKUP(Table3[[#This Row],[Cuenta]],Estructura_Balance[Nombre Cuenta ()],Estructura_Balance[Nivel 1],"",0)</f>
        <v/>
      </c>
      <c r="O119" t="str">
        <f>_xlfn.XLOOKUP(Table3[[#This Row],[Cuenta]],Estructura_Balance[Nombre Cuenta ()],Estructura_Balance[Nivel 2],"",0)</f>
        <v/>
      </c>
      <c r="P119" t="str">
        <f>_xlfn.XLOOKUP(Table3[[#This Row],[Cuenta]],Estructura_Balance[Nombre Cuenta ()],Estructura_Balance[Nivel 3],"",0)</f>
        <v/>
      </c>
      <c r="Q119" t="str">
        <f>_xlfn.XLOOKUP(Table3[[#This Row],[Cuenta]],Estructura_Balance[Nombre Cuenta ()],Estructura_Balance[Nivel 4],"",0)</f>
        <v/>
      </c>
      <c r="R119" t="str">
        <f>_xlfn.XLOOKUP(Table3[[#This Row],[Cuenta]],Table8[Nombre Cuenta ()],Table8[Nivel 1],"",0)</f>
        <v/>
      </c>
      <c r="S119" t="str">
        <f>_xlfn.XLOOKUP(Table3[[#This Row],[Cuenta]],Table8[Nombre Cuenta ()],Table8[Nivel 2],"",0)</f>
        <v/>
      </c>
      <c r="T119" t="str">
        <f>_xlfn.XLOOKUP(Table3[[#This Row],[Cuenta]],Table8[Nombre Cuenta ()],Table8[Nivel 3],"",0)</f>
        <v/>
      </c>
      <c r="U119">
        <v>239</v>
      </c>
      <c r="V119" t="str">
        <f>_xlfn.XLOOKUP(Table3[[#This Row],[Cuenta]],Estructura_Balance[Nombre Cuenta ()],Estructura_Balance[Niveles:2],"",0)</f>
        <v/>
      </c>
      <c r="W119" t="str">
        <f>_xlfn.XLOOKUP(Table3[[#This Row],[Cuenta]],Estructura_Balance[Nombre Cuenta ()],Estructura_Balance[Niveles:3],"",0)</f>
        <v/>
      </c>
      <c r="X119" t="str">
        <f>_xlfn.XLOOKUP(Table3[[#This Row],[Cuenta]],Estructura_Balance[Nombre Cuenta ()],Estructura_Balance[Grupos],"Grupo 1",0)</f>
        <v>Grupo 1</v>
      </c>
      <c r="Y119" t="str">
        <f>+Table3[[#This Row],[BS_Nivel_1]]</f>
        <v/>
      </c>
    </row>
    <row r="120" spans="1:25">
      <c r="A120">
        <f>+'Libro Diario'!F181</f>
        <v>0</v>
      </c>
      <c r="B120" s="144">
        <f>VALUE(IF(+'Libro Diario'!G181="","01/01/2025",+'Libro Diario'!G181))</f>
        <v>45658</v>
      </c>
      <c r="C120">
        <f>IF(ISNUMBER(+IF(IFERROR(VALUE(MID('Libro Diario'!C181,1,4)),0)&lt;&gt;0,'Libro Diario'!C181,0))=FALSE,'Libro Diario'!C181,0)</f>
        <v>0</v>
      </c>
      <c r="D120" s="145">
        <f>+'Libro Diario'!B181</f>
        <v>0</v>
      </c>
      <c r="E120" s="139" t="s">
        <v>445</v>
      </c>
      <c r="F120" t="str">
        <f t="shared" si="3"/>
        <v>Sin Mov.</v>
      </c>
      <c r="G120" t="str">
        <f>IF(+'Libro Diario'!H181=0,"",+'Libro Diario'!H181)</f>
        <v/>
      </c>
      <c r="H120" t="str">
        <f>IF(+'Libro Diario'!I181=0,"",+'Libro Diario'!I181)</f>
        <v/>
      </c>
      <c r="I120" t="str">
        <f>+IF(Table3[[#This Row],[Tipo Movimiento]]="Estructura Balance y PyG","Excluir","Incluir")</f>
        <v>Incluir</v>
      </c>
      <c r="J120" s="153">
        <f>+IF(Table3[[#This Row],[Sin cuenta]]="Con Mov.",(IF(Table3[[#This Row],[Movimiento]]="Debe",Table3[[#This Row],[Importe]],IF(Table3[[#This Row],[Movimiento]]="Haber",Table3[[#This Row],[Importe]]*-1,0))),0)</f>
        <v>0</v>
      </c>
      <c r="K120" s="145">
        <f t="shared" si="4"/>
        <v>0</v>
      </c>
      <c r="L120" s="145" t="str">
        <f t="shared" si="5"/>
        <v/>
      </c>
      <c r="M120" t="str">
        <f>_xlfn.XLOOKUP(Table3[[#This Row],[Cuenta]],Estructura_Balance[Nombre Cuenta ()],Estructura_Balance[Grupo],"",0)</f>
        <v/>
      </c>
      <c r="N120" t="str">
        <f>_xlfn.XLOOKUP(Table3[[#This Row],[Cuenta]],Estructura_Balance[Nombre Cuenta ()],Estructura_Balance[Nivel 1],"",0)</f>
        <v/>
      </c>
      <c r="O120" t="str">
        <f>_xlfn.XLOOKUP(Table3[[#This Row],[Cuenta]],Estructura_Balance[Nombre Cuenta ()],Estructura_Balance[Nivel 2],"",0)</f>
        <v/>
      </c>
      <c r="P120" t="str">
        <f>_xlfn.XLOOKUP(Table3[[#This Row],[Cuenta]],Estructura_Balance[Nombre Cuenta ()],Estructura_Balance[Nivel 3],"",0)</f>
        <v/>
      </c>
      <c r="Q120" t="str">
        <f>_xlfn.XLOOKUP(Table3[[#This Row],[Cuenta]],Estructura_Balance[Nombre Cuenta ()],Estructura_Balance[Nivel 4],"",0)</f>
        <v/>
      </c>
      <c r="R120" t="str">
        <f>_xlfn.XLOOKUP(Table3[[#This Row],[Cuenta]],Table8[Nombre Cuenta ()],Table8[Nivel 1],"",0)</f>
        <v/>
      </c>
      <c r="S120" t="str">
        <f>_xlfn.XLOOKUP(Table3[[#This Row],[Cuenta]],Table8[Nombre Cuenta ()],Table8[Nivel 2],"",0)</f>
        <v/>
      </c>
      <c r="T120" t="str">
        <f>_xlfn.XLOOKUP(Table3[[#This Row],[Cuenta]],Table8[Nombre Cuenta ()],Table8[Nivel 3],"",0)</f>
        <v/>
      </c>
      <c r="U120">
        <v>240</v>
      </c>
      <c r="V120" t="str">
        <f>_xlfn.XLOOKUP(Table3[[#This Row],[Cuenta]],Estructura_Balance[Nombre Cuenta ()],Estructura_Balance[Niveles:2],"",0)</f>
        <v/>
      </c>
      <c r="W120" t="str">
        <f>_xlfn.XLOOKUP(Table3[[#This Row],[Cuenta]],Estructura_Balance[Nombre Cuenta ()],Estructura_Balance[Niveles:3],"",0)</f>
        <v/>
      </c>
      <c r="X120" t="str">
        <f>_xlfn.XLOOKUP(Table3[[#This Row],[Cuenta]],Estructura_Balance[Nombre Cuenta ()],Estructura_Balance[Grupos],"Grupo 1",0)</f>
        <v>Grupo 1</v>
      </c>
      <c r="Y120" t="str">
        <f>+Table3[[#This Row],[BS_Nivel_1]]</f>
        <v/>
      </c>
    </row>
    <row r="121" spans="1:25">
      <c r="A121">
        <f>+'Libro Diario'!F182</f>
        <v>0</v>
      </c>
      <c r="B121" s="144">
        <f>VALUE(IF(+'Libro Diario'!G182="","01/01/2025",+'Libro Diario'!G182))</f>
        <v>45658</v>
      </c>
      <c r="C121">
        <f>IF(ISNUMBER(+IF(IFERROR(VALUE(MID('Libro Diario'!C182,1,4)),0)&lt;&gt;0,'Libro Diario'!C182,0))=FALSE,'Libro Diario'!C182,0)</f>
        <v>0</v>
      </c>
      <c r="D121" s="145" t="str">
        <f>+'Libro Diario'!B182</f>
        <v>DEBE</v>
      </c>
      <c r="E121" s="139" t="s">
        <v>445</v>
      </c>
      <c r="F121" t="str">
        <f t="shared" si="3"/>
        <v>Sin Mov.</v>
      </c>
      <c r="G121" t="str">
        <f>IF(+'Libro Diario'!H182=0,"",+'Libro Diario'!H182)</f>
        <v/>
      </c>
      <c r="H121" t="str">
        <f>IF(+'Libro Diario'!I182=0,"",+'Libro Diario'!I182)</f>
        <v/>
      </c>
      <c r="I121" t="str">
        <f>+IF(Table3[[#This Row],[Tipo Movimiento]]="Estructura Balance y PyG","Excluir","Incluir")</f>
        <v>Incluir</v>
      </c>
      <c r="J121" s="153">
        <f>+IF(Table3[[#This Row],[Sin cuenta]]="Con Mov.",(IF(Table3[[#This Row],[Movimiento]]="Debe",Table3[[#This Row],[Importe]],IF(Table3[[#This Row],[Movimiento]]="Haber",Table3[[#This Row],[Importe]]*-1,0))),0)</f>
        <v>0</v>
      </c>
      <c r="K121" s="145" t="str">
        <f t="shared" si="4"/>
        <v>DEBE</v>
      </c>
      <c r="L121" s="145" t="str">
        <f t="shared" si="5"/>
        <v/>
      </c>
      <c r="M121" t="str">
        <f>_xlfn.XLOOKUP(Table3[[#This Row],[Cuenta]],Estructura_Balance[Nombre Cuenta ()],Estructura_Balance[Grupo],"",0)</f>
        <v/>
      </c>
      <c r="N121" t="str">
        <f>_xlfn.XLOOKUP(Table3[[#This Row],[Cuenta]],Estructura_Balance[Nombre Cuenta ()],Estructura_Balance[Nivel 1],"",0)</f>
        <v/>
      </c>
      <c r="O121" t="str">
        <f>_xlfn.XLOOKUP(Table3[[#This Row],[Cuenta]],Estructura_Balance[Nombre Cuenta ()],Estructura_Balance[Nivel 2],"",0)</f>
        <v/>
      </c>
      <c r="P121" t="str">
        <f>_xlfn.XLOOKUP(Table3[[#This Row],[Cuenta]],Estructura_Balance[Nombre Cuenta ()],Estructura_Balance[Nivel 3],"",0)</f>
        <v/>
      </c>
      <c r="Q121" t="str">
        <f>_xlfn.XLOOKUP(Table3[[#This Row],[Cuenta]],Estructura_Balance[Nombre Cuenta ()],Estructura_Balance[Nivel 4],"",0)</f>
        <v/>
      </c>
      <c r="R121" t="str">
        <f>_xlfn.XLOOKUP(Table3[[#This Row],[Cuenta]],Table8[Nombre Cuenta ()],Table8[Nivel 1],"",0)</f>
        <v/>
      </c>
      <c r="S121" t="str">
        <f>_xlfn.XLOOKUP(Table3[[#This Row],[Cuenta]],Table8[Nombre Cuenta ()],Table8[Nivel 2],"",0)</f>
        <v/>
      </c>
      <c r="T121" t="str">
        <f>_xlfn.XLOOKUP(Table3[[#This Row],[Cuenta]],Table8[Nombre Cuenta ()],Table8[Nivel 3],"",0)</f>
        <v/>
      </c>
      <c r="U121">
        <v>241</v>
      </c>
      <c r="V121" t="str">
        <f>_xlfn.XLOOKUP(Table3[[#This Row],[Cuenta]],Estructura_Balance[Nombre Cuenta ()],Estructura_Balance[Niveles:2],"",0)</f>
        <v/>
      </c>
      <c r="W121" t="str">
        <f>_xlfn.XLOOKUP(Table3[[#This Row],[Cuenta]],Estructura_Balance[Nombre Cuenta ()],Estructura_Balance[Niveles:3],"",0)</f>
        <v/>
      </c>
      <c r="X121" t="str">
        <f>_xlfn.XLOOKUP(Table3[[#This Row],[Cuenta]],Estructura_Balance[Nombre Cuenta ()],Estructura_Balance[Grupos],"Grupo 1",0)</f>
        <v>Grupo 1</v>
      </c>
      <c r="Y121" t="str">
        <f>+Table3[[#This Row],[BS_Nivel_1]]</f>
        <v/>
      </c>
    </row>
    <row r="122" spans="1:25">
      <c r="A122">
        <f>+'Libro Diario'!F183</f>
        <v>0</v>
      </c>
      <c r="B122" s="144">
        <f>VALUE(IF(+'Libro Diario'!G183="","01/01/2025",+'Libro Diario'!G183))</f>
        <v>45658</v>
      </c>
      <c r="C122">
        <f>IF(ISNUMBER(+IF(IFERROR(VALUE(MID('Libro Diario'!C183,1,4)),0)&lt;&gt;0,'Libro Diario'!C183,0))=FALSE,'Libro Diario'!C183,0)</f>
        <v>0</v>
      </c>
      <c r="D122" s="145">
        <f>+'Libro Diario'!B183</f>
        <v>0</v>
      </c>
      <c r="E122" s="139" t="s">
        <v>445</v>
      </c>
      <c r="F122" t="str">
        <f t="shared" si="3"/>
        <v>Sin Mov.</v>
      </c>
      <c r="G122" t="str">
        <f>IF(+'Libro Diario'!H183=0,"",+'Libro Diario'!H183)</f>
        <v/>
      </c>
      <c r="H122" t="str">
        <f>IF(+'Libro Diario'!I183=0,"",+'Libro Diario'!I183)</f>
        <v/>
      </c>
      <c r="I122" t="str">
        <f>+IF(Table3[[#This Row],[Tipo Movimiento]]="Estructura Balance y PyG","Excluir","Incluir")</f>
        <v>Incluir</v>
      </c>
      <c r="J122" s="153">
        <f>+IF(Table3[[#This Row],[Sin cuenta]]="Con Mov.",(IF(Table3[[#This Row],[Movimiento]]="Debe",Table3[[#This Row],[Importe]],IF(Table3[[#This Row],[Movimiento]]="Haber",Table3[[#This Row],[Importe]]*-1,0))),0)</f>
        <v>0</v>
      </c>
      <c r="K122" s="145">
        <f t="shared" si="4"/>
        <v>0</v>
      </c>
      <c r="L122" s="145" t="str">
        <f t="shared" si="5"/>
        <v/>
      </c>
      <c r="M122" t="str">
        <f>_xlfn.XLOOKUP(Table3[[#This Row],[Cuenta]],Estructura_Balance[Nombre Cuenta ()],Estructura_Balance[Grupo],"",0)</f>
        <v/>
      </c>
      <c r="N122" t="str">
        <f>_xlfn.XLOOKUP(Table3[[#This Row],[Cuenta]],Estructura_Balance[Nombre Cuenta ()],Estructura_Balance[Nivel 1],"",0)</f>
        <v/>
      </c>
      <c r="O122" t="str">
        <f>_xlfn.XLOOKUP(Table3[[#This Row],[Cuenta]],Estructura_Balance[Nombre Cuenta ()],Estructura_Balance[Nivel 2],"",0)</f>
        <v/>
      </c>
      <c r="P122" t="str">
        <f>_xlfn.XLOOKUP(Table3[[#This Row],[Cuenta]],Estructura_Balance[Nombre Cuenta ()],Estructura_Balance[Nivel 3],"",0)</f>
        <v/>
      </c>
      <c r="Q122" t="str">
        <f>_xlfn.XLOOKUP(Table3[[#This Row],[Cuenta]],Estructura_Balance[Nombre Cuenta ()],Estructura_Balance[Nivel 4],"",0)</f>
        <v/>
      </c>
      <c r="R122" t="str">
        <f>_xlfn.XLOOKUP(Table3[[#This Row],[Cuenta]],Table8[Nombre Cuenta ()],Table8[Nivel 1],"",0)</f>
        <v/>
      </c>
      <c r="S122" t="str">
        <f>_xlfn.XLOOKUP(Table3[[#This Row],[Cuenta]],Table8[Nombre Cuenta ()],Table8[Nivel 2],"",0)</f>
        <v/>
      </c>
      <c r="T122" t="str">
        <f>_xlfn.XLOOKUP(Table3[[#This Row],[Cuenta]],Table8[Nombre Cuenta ()],Table8[Nivel 3],"",0)</f>
        <v/>
      </c>
      <c r="U122">
        <v>242</v>
      </c>
      <c r="V122" t="str">
        <f>_xlfn.XLOOKUP(Table3[[#This Row],[Cuenta]],Estructura_Balance[Nombre Cuenta ()],Estructura_Balance[Niveles:2],"",0)</f>
        <v/>
      </c>
      <c r="W122" t="str">
        <f>_xlfn.XLOOKUP(Table3[[#This Row],[Cuenta]],Estructura_Balance[Nombre Cuenta ()],Estructura_Balance[Niveles:3],"",0)</f>
        <v/>
      </c>
      <c r="X122" t="str">
        <f>_xlfn.XLOOKUP(Table3[[#This Row],[Cuenta]],Estructura_Balance[Nombre Cuenta ()],Estructura_Balance[Grupos],"Grupo 1",0)</f>
        <v>Grupo 1</v>
      </c>
      <c r="Y122" t="str">
        <f>+Table3[[#This Row],[BS_Nivel_1]]</f>
        <v/>
      </c>
    </row>
    <row r="123" spans="1:25">
      <c r="A123">
        <f>+'Libro Diario'!F186</f>
        <v>0</v>
      </c>
      <c r="B123" s="144">
        <f>VALUE(IF(+'Libro Diario'!G186="","01/01/2025",+'Libro Diario'!G186))</f>
        <v>45658</v>
      </c>
      <c r="C123">
        <f>IF(ISNUMBER(+IF(IFERROR(VALUE(MID('Libro Diario'!C186,1,4)),0)&lt;&gt;0,'Libro Diario'!C186,0))=FALSE,'Libro Diario'!C186,0)</f>
        <v>0</v>
      </c>
      <c r="D123" s="145" t="str">
        <f>+'Libro Diario'!B186</f>
        <v>Operaciones del Ejercicio</v>
      </c>
      <c r="E123" s="139" t="s">
        <v>445</v>
      </c>
      <c r="F123" t="str">
        <f t="shared" si="3"/>
        <v>Sin Mov.</v>
      </c>
      <c r="G123" t="str">
        <f>IF(+'Libro Diario'!H186=0,"",+'Libro Diario'!H186)</f>
        <v/>
      </c>
      <c r="H123" t="str">
        <f>IF(+'Libro Diario'!I186=0,"",+'Libro Diario'!I186)</f>
        <v/>
      </c>
      <c r="I123" t="str">
        <f>+IF(Table3[[#This Row],[Tipo Movimiento]]="Estructura Balance y PyG","Excluir","Incluir")</f>
        <v>Incluir</v>
      </c>
      <c r="J123" s="153">
        <f>+IF(Table3[[#This Row],[Sin cuenta]]="Con Mov.",(IF(Table3[[#This Row],[Movimiento]]="Debe",Table3[[#This Row],[Importe]],IF(Table3[[#This Row],[Movimiento]]="Haber",Table3[[#This Row],[Importe]]*-1,0))),0)</f>
        <v>0</v>
      </c>
      <c r="K123" s="145" t="str">
        <f t="shared" si="4"/>
        <v>Operaciones del Ejercicio</v>
      </c>
      <c r="L123" s="145" t="str">
        <f t="shared" si="5"/>
        <v/>
      </c>
      <c r="M123" t="str">
        <f>_xlfn.XLOOKUP(Table3[[#This Row],[Cuenta]],Estructura_Balance[Nombre Cuenta ()],Estructura_Balance[Grupo],"",0)</f>
        <v/>
      </c>
      <c r="N123" t="str">
        <f>_xlfn.XLOOKUP(Table3[[#This Row],[Cuenta]],Estructura_Balance[Nombre Cuenta ()],Estructura_Balance[Nivel 1],"",0)</f>
        <v/>
      </c>
      <c r="O123" t="str">
        <f>_xlfn.XLOOKUP(Table3[[#This Row],[Cuenta]],Estructura_Balance[Nombre Cuenta ()],Estructura_Balance[Nivel 2],"",0)</f>
        <v/>
      </c>
      <c r="P123" t="str">
        <f>_xlfn.XLOOKUP(Table3[[#This Row],[Cuenta]],Estructura_Balance[Nombre Cuenta ()],Estructura_Balance[Nivel 3],"",0)</f>
        <v/>
      </c>
      <c r="Q123" t="str">
        <f>_xlfn.XLOOKUP(Table3[[#This Row],[Cuenta]],Estructura_Balance[Nombre Cuenta ()],Estructura_Balance[Nivel 4],"",0)</f>
        <v/>
      </c>
      <c r="R123" t="str">
        <f>_xlfn.XLOOKUP(Table3[[#This Row],[Cuenta]],Table8[Nombre Cuenta ()],Table8[Nivel 1],"",0)</f>
        <v/>
      </c>
      <c r="S123" t="str">
        <f>_xlfn.XLOOKUP(Table3[[#This Row],[Cuenta]],Table8[Nombre Cuenta ()],Table8[Nivel 2],"",0)</f>
        <v/>
      </c>
      <c r="T123" t="str">
        <f>_xlfn.XLOOKUP(Table3[[#This Row],[Cuenta]],Table8[Nombre Cuenta ()],Table8[Nivel 3],"",0)</f>
        <v/>
      </c>
      <c r="U123">
        <v>247</v>
      </c>
      <c r="V123" t="str">
        <f>_xlfn.XLOOKUP(Table3[[#This Row],[Cuenta]],Estructura_Balance[Nombre Cuenta ()],Estructura_Balance[Niveles:2],"",0)</f>
        <v/>
      </c>
      <c r="W123" t="str">
        <f>_xlfn.XLOOKUP(Table3[[#This Row],[Cuenta]],Estructura_Balance[Nombre Cuenta ()],Estructura_Balance[Niveles:3],"",0)</f>
        <v/>
      </c>
      <c r="X123" t="str">
        <f>_xlfn.XLOOKUP(Table3[[#This Row],[Cuenta]],Estructura_Balance[Nombre Cuenta ()],Estructura_Balance[Grupos],"Grupo 1",0)</f>
        <v>Grupo 1</v>
      </c>
      <c r="Y123" t="str">
        <f>+Table3[[#This Row],[BS_Nivel_1]]</f>
        <v/>
      </c>
    </row>
    <row r="124" spans="1:25">
      <c r="A124">
        <f>+'Libro Diario'!F187</f>
        <v>0</v>
      </c>
      <c r="B124" s="144">
        <f>VALUE(IF(+'Libro Diario'!G187="","01/01/2025",+'Libro Diario'!G187))</f>
        <v>45658</v>
      </c>
      <c r="C124">
        <f>IF(ISNUMBER(+IF(IFERROR(VALUE(MID('Libro Diario'!C187,1,4)),0)&lt;&gt;0,'Libro Diario'!C187,0))=FALSE,'Libro Diario'!C187,0)</f>
        <v>0</v>
      </c>
      <c r="D124" s="145" t="str">
        <f>+'Libro Diario'!B187</f>
        <v>Asiento Cuadrado</v>
      </c>
      <c r="E124" s="139" t="s">
        <v>445</v>
      </c>
      <c r="F124" t="str">
        <f t="shared" si="3"/>
        <v>Sin Mov.</v>
      </c>
      <c r="G124" t="str">
        <f>IF(+'Libro Diario'!H187=0,"",+'Libro Diario'!H187)</f>
        <v/>
      </c>
      <c r="H124" t="str">
        <f>IF(+'Libro Diario'!I187=0,"",+'Libro Diario'!I187)</f>
        <v/>
      </c>
      <c r="I124" t="str">
        <f>+IF(Table3[[#This Row],[Tipo Movimiento]]="Estructura Balance y PyG","Excluir","Incluir")</f>
        <v>Incluir</v>
      </c>
      <c r="J124" s="153">
        <f>+IF(Table3[[#This Row],[Sin cuenta]]="Con Mov.",(IF(Table3[[#This Row],[Movimiento]]="Debe",Table3[[#This Row],[Importe]],IF(Table3[[#This Row],[Movimiento]]="Haber",Table3[[#This Row],[Importe]]*-1,0))),0)</f>
        <v>0</v>
      </c>
      <c r="K124" s="145" t="str">
        <f t="shared" si="4"/>
        <v>Asiento Cuadrado</v>
      </c>
      <c r="L124" s="145" t="str">
        <f t="shared" si="5"/>
        <v/>
      </c>
      <c r="M124" t="str">
        <f>_xlfn.XLOOKUP(Table3[[#This Row],[Cuenta]],Estructura_Balance[Nombre Cuenta ()],Estructura_Balance[Grupo],"",0)</f>
        <v/>
      </c>
      <c r="N124" t="str">
        <f>_xlfn.XLOOKUP(Table3[[#This Row],[Cuenta]],Estructura_Balance[Nombre Cuenta ()],Estructura_Balance[Nivel 1],"",0)</f>
        <v/>
      </c>
      <c r="O124" t="str">
        <f>_xlfn.XLOOKUP(Table3[[#This Row],[Cuenta]],Estructura_Balance[Nombre Cuenta ()],Estructura_Balance[Nivel 2],"",0)</f>
        <v/>
      </c>
      <c r="P124" t="str">
        <f>_xlfn.XLOOKUP(Table3[[#This Row],[Cuenta]],Estructura_Balance[Nombre Cuenta ()],Estructura_Balance[Nivel 3],"",0)</f>
        <v/>
      </c>
      <c r="Q124" t="str">
        <f>_xlfn.XLOOKUP(Table3[[#This Row],[Cuenta]],Estructura_Balance[Nombre Cuenta ()],Estructura_Balance[Nivel 4],"",0)</f>
        <v/>
      </c>
      <c r="R124" t="str">
        <f>_xlfn.XLOOKUP(Table3[[#This Row],[Cuenta]],Table8[Nombre Cuenta ()],Table8[Nivel 1],"",0)</f>
        <v/>
      </c>
      <c r="S124" t="str">
        <f>_xlfn.XLOOKUP(Table3[[#This Row],[Cuenta]],Table8[Nombre Cuenta ()],Table8[Nivel 2],"",0)</f>
        <v/>
      </c>
      <c r="T124" t="str">
        <f>_xlfn.XLOOKUP(Table3[[#This Row],[Cuenta]],Table8[Nombre Cuenta ()],Table8[Nivel 3],"",0)</f>
        <v/>
      </c>
      <c r="U124">
        <v>248</v>
      </c>
      <c r="V124" t="str">
        <f>_xlfn.XLOOKUP(Table3[[#This Row],[Cuenta]],Estructura_Balance[Nombre Cuenta ()],Estructura_Balance[Niveles:2],"",0)</f>
        <v/>
      </c>
      <c r="W124" t="str">
        <f>_xlfn.XLOOKUP(Table3[[#This Row],[Cuenta]],Estructura_Balance[Nombre Cuenta ()],Estructura_Balance[Niveles:3],"",0)</f>
        <v/>
      </c>
      <c r="X124" t="str">
        <f>_xlfn.XLOOKUP(Table3[[#This Row],[Cuenta]],Estructura_Balance[Nombre Cuenta ()],Estructura_Balance[Grupos],"Grupo 1",0)</f>
        <v>Grupo 1</v>
      </c>
      <c r="Y124" t="str">
        <f>+Table3[[#This Row],[BS_Nivel_1]]</f>
        <v/>
      </c>
    </row>
    <row r="125" spans="1:25">
      <c r="A125">
        <f>+'Libro Diario'!F188</f>
        <v>0</v>
      </c>
      <c r="B125" s="144">
        <f>VALUE(IF(+'Libro Diario'!G188="","01/01/2025",+'Libro Diario'!G188))</f>
        <v>45658</v>
      </c>
      <c r="C125">
        <f>IF(ISNUMBER(+IF(IFERROR(VALUE(MID('Libro Diario'!C188,1,4)),0)&lt;&gt;0,'Libro Diario'!C188,0))=FALSE,'Libro Diario'!C188,0)</f>
        <v>0</v>
      </c>
      <c r="D125" s="145">
        <f>+'Libro Diario'!B188</f>
        <v>0</v>
      </c>
      <c r="E125" s="139" t="s">
        <v>445</v>
      </c>
      <c r="F125" t="str">
        <f t="shared" si="3"/>
        <v>Sin Mov.</v>
      </c>
      <c r="G125" t="str">
        <f>IF(+'Libro Diario'!H188=0,"",+'Libro Diario'!H188)</f>
        <v/>
      </c>
      <c r="H125" t="str">
        <f>IF(+'Libro Diario'!I188=0,"",+'Libro Diario'!I188)</f>
        <v/>
      </c>
      <c r="I125" t="str">
        <f>+IF(Table3[[#This Row],[Tipo Movimiento]]="Estructura Balance y PyG","Excluir","Incluir")</f>
        <v>Incluir</v>
      </c>
      <c r="J125" s="153">
        <f>+IF(Table3[[#This Row],[Sin cuenta]]="Con Mov.",(IF(Table3[[#This Row],[Movimiento]]="Debe",Table3[[#This Row],[Importe]],IF(Table3[[#This Row],[Movimiento]]="Haber",Table3[[#This Row],[Importe]]*-1,0))),0)</f>
        <v>0</v>
      </c>
      <c r="K125" s="145">
        <f t="shared" si="4"/>
        <v>0</v>
      </c>
      <c r="L125" s="145" t="str">
        <f t="shared" si="5"/>
        <v/>
      </c>
      <c r="M125" t="str">
        <f>_xlfn.XLOOKUP(Table3[[#This Row],[Cuenta]],Estructura_Balance[Nombre Cuenta ()],Estructura_Balance[Grupo],"",0)</f>
        <v/>
      </c>
      <c r="N125" t="str">
        <f>_xlfn.XLOOKUP(Table3[[#This Row],[Cuenta]],Estructura_Balance[Nombre Cuenta ()],Estructura_Balance[Nivel 1],"",0)</f>
        <v/>
      </c>
      <c r="O125" t="str">
        <f>_xlfn.XLOOKUP(Table3[[#This Row],[Cuenta]],Estructura_Balance[Nombre Cuenta ()],Estructura_Balance[Nivel 2],"",0)</f>
        <v/>
      </c>
      <c r="P125" t="str">
        <f>_xlfn.XLOOKUP(Table3[[#This Row],[Cuenta]],Estructura_Balance[Nombre Cuenta ()],Estructura_Balance[Nivel 3],"",0)</f>
        <v/>
      </c>
      <c r="Q125" t="str">
        <f>_xlfn.XLOOKUP(Table3[[#This Row],[Cuenta]],Estructura_Balance[Nombre Cuenta ()],Estructura_Balance[Nivel 4],"",0)</f>
        <v/>
      </c>
      <c r="R125" t="str">
        <f>_xlfn.XLOOKUP(Table3[[#This Row],[Cuenta]],Table8[Nombre Cuenta ()],Table8[Nivel 1],"",0)</f>
        <v/>
      </c>
      <c r="S125" t="str">
        <f>_xlfn.XLOOKUP(Table3[[#This Row],[Cuenta]],Table8[Nombre Cuenta ()],Table8[Nivel 2],"",0)</f>
        <v/>
      </c>
      <c r="T125" t="str">
        <f>_xlfn.XLOOKUP(Table3[[#This Row],[Cuenta]],Table8[Nombre Cuenta ()],Table8[Nivel 3],"",0)</f>
        <v/>
      </c>
      <c r="U125">
        <v>249</v>
      </c>
      <c r="V125" t="str">
        <f>_xlfn.XLOOKUP(Table3[[#This Row],[Cuenta]],Estructura_Balance[Nombre Cuenta ()],Estructura_Balance[Niveles:2],"",0)</f>
        <v/>
      </c>
      <c r="W125" t="str">
        <f>_xlfn.XLOOKUP(Table3[[#This Row],[Cuenta]],Estructura_Balance[Nombre Cuenta ()],Estructura_Balance[Niveles:3],"",0)</f>
        <v/>
      </c>
      <c r="X125" t="str">
        <f>_xlfn.XLOOKUP(Table3[[#This Row],[Cuenta]],Estructura_Balance[Nombre Cuenta ()],Estructura_Balance[Grupos],"Grupo 1",0)</f>
        <v>Grupo 1</v>
      </c>
      <c r="Y125" t="str">
        <f>+Table3[[#This Row],[BS_Nivel_1]]</f>
        <v/>
      </c>
    </row>
    <row r="126" spans="1:25">
      <c r="A126">
        <f>+'Libro Diario'!F189</f>
        <v>0</v>
      </c>
      <c r="B126" s="144">
        <f>VALUE(IF(+'Libro Diario'!G189="","01/01/2025",+'Libro Diario'!G189))</f>
        <v>45658</v>
      </c>
      <c r="C126">
        <f>IF(ISNUMBER(+IF(IFERROR(VALUE(MID('Libro Diario'!C189,1,4)),0)&lt;&gt;0,'Libro Diario'!C189,0))=FALSE,'Libro Diario'!C189,0)</f>
        <v>0</v>
      </c>
      <c r="D126" s="145" t="str">
        <f>+'Libro Diario'!B189</f>
        <v>DEBE</v>
      </c>
      <c r="E126" s="139" t="s">
        <v>445</v>
      </c>
      <c r="F126" t="str">
        <f t="shared" si="3"/>
        <v>Sin Mov.</v>
      </c>
      <c r="G126" t="str">
        <f>IF(+'Libro Diario'!H189=0,"",+'Libro Diario'!H189)</f>
        <v/>
      </c>
      <c r="H126" t="str">
        <f>IF(+'Libro Diario'!I189=0,"",+'Libro Diario'!I189)</f>
        <v/>
      </c>
      <c r="I126" t="str">
        <f>+IF(Table3[[#This Row],[Tipo Movimiento]]="Estructura Balance y PyG","Excluir","Incluir")</f>
        <v>Incluir</v>
      </c>
      <c r="J126" s="153">
        <f>+IF(Table3[[#This Row],[Sin cuenta]]="Con Mov.",(IF(Table3[[#This Row],[Movimiento]]="Debe",Table3[[#This Row],[Importe]],IF(Table3[[#This Row],[Movimiento]]="Haber",Table3[[#This Row],[Importe]]*-1,0))),0)</f>
        <v>0</v>
      </c>
      <c r="K126" s="145" t="str">
        <f t="shared" si="4"/>
        <v>DEBE</v>
      </c>
      <c r="L126" s="145" t="str">
        <f t="shared" si="5"/>
        <v/>
      </c>
      <c r="M126" t="str">
        <f>_xlfn.XLOOKUP(Table3[[#This Row],[Cuenta]],Estructura_Balance[Nombre Cuenta ()],Estructura_Balance[Grupo],"",0)</f>
        <v/>
      </c>
      <c r="N126" t="str">
        <f>_xlfn.XLOOKUP(Table3[[#This Row],[Cuenta]],Estructura_Balance[Nombre Cuenta ()],Estructura_Balance[Nivel 1],"",0)</f>
        <v/>
      </c>
      <c r="O126" t="str">
        <f>_xlfn.XLOOKUP(Table3[[#This Row],[Cuenta]],Estructura_Balance[Nombre Cuenta ()],Estructura_Balance[Nivel 2],"",0)</f>
        <v/>
      </c>
      <c r="P126" t="str">
        <f>_xlfn.XLOOKUP(Table3[[#This Row],[Cuenta]],Estructura_Balance[Nombre Cuenta ()],Estructura_Balance[Nivel 3],"",0)</f>
        <v/>
      </c>
      <c r="Q126" t="str">
        <f>_xlfn.XLOOKUP(Table3[[#This Row],[Cuenta]],Estructura_Balance[Nombre Cuenta ()],Estructura_Balance[Nivel 4],"",0)</f>
        <v/>
      </c>
      <c r="R126" t="str">
        <f>_xlfn.XLOOKUP(Table3[[#This Row],[Cuenta]],Table8[Nombre Cuenta ()],Table8[Nivel 1],"",0)</f>
        <v/>
      </c>
      <c r="S126" t="str">
        <f>_xlfn.XLOOKUP(Table3[[#This Row],[Cuenta]],Table8[Nombre Cuenta ()],Table8[Nivel 2],"",0)</f>
        <v/>
      </c>
      <c r="T126" t="str">
        <f>_xlfn.XLOOKUP(Table3[[#This Row],[Cuenta]],Table8[Nombre Cuenta ()],Table8[Nivel 3],"",0)</f>
        <v/>
      </c>
      <c r="U126">
        <v>252</v>
      </c>
      <c r="V126" t="str">
        <f>_xlfn.XLOOKUP(Table3[[#This Row],[Cuenta]],Estructura_Balance[Nombre Cuenta ()],Estructura_Balance[Niveles:2],"",0)</f>
        <v/>
      </c>
      <c r="W126" t="str">
        <f>_xlfn.XLOOKUP(Table3[[#This Row],[Cuenta]],Estructura_Balance[Nombre Cuenta ()],Estructura_Balance[Niveles:3],"",0)</f>
        <v/>
      </c>
      <c r="X126" t="str">
        <f>_xlfn.XLOOKUP(Table3[[#This Row],[Cuenta]],Estructura_Balance[Nombre Cuenta ()],Estructura_Balance[Grupos],"Grupo 1",0)</f>
        <v>Grupo 1</v>
      </c>
      <c r="Y126" t="str">
        <f>+Table3[[#This Row],[BS_Nivel_1]]</f>
        <v/>
      </c>
    </row>
    <row r="127" spans="1:25">
      <c r="A127">
        <f>+'Libro Diario'!F190</f>
        <v>0</v>
      </c>
      <c r="B127" s="144">
        <f>VALUE(IF(+'Libro Diario'!G190="","01/01/2025",+'Libro Diario'!G190))</f>
        <v>45658</v>
      </c>
      <c r="C127">
        <f>IF(ISNUMBER(+IF(IFERROR(VALUE(MID('Libro Diario'!C190,1,4)),0)&lt;&gt;0,'Libro Diario'!C190,0))=FALSE,'Libro Diario'!C190,0)</f>
        <v>0</v>
      </c>
      <c r="D127" s="145">
        <f>+'Libro Diario'!B190</f>
        <v>0</v>
      </c>
      <c r="E127" s="139" t="s">
        <v>445</v>
      </c>
      <c r="F127" t="str">
        <f t="shared" si="3"/>
        <v>Sin Mov.</v>
      </c>
      <c r="G127" t="str">
        <f>IF(+'Libro Diario'!H190=0,"",+'Libro Diario'!H190)</f>
        <v/>
      </c>
      <c r="H127" t="str">
        <f>IF(+'Libro Diario'!I190=0,"",+'Libro Diario'!I190)</f>
        <v/>
      </c>
      <c r="I127" t="str">
        <f>+IF(Table3[[#This Row],[Tipo Movimiento]]="Estructura Balance y PyG","Excluir","Incluir")</f>
        <v>Incluir</v>
      </c>
      <c r="J127" s="153">
        <f>+IF(Table3[[#This Row],[Sin cuenta]]="Con Mov.",(IF(Table3[[#This Row],[Movimiento]]="Debe",Table3[[#This Row],[Importe]],IF(Table3[[#This Row],[Movimiento]]="Haber",Table3[[#This Row],[Importe]]*-1,0))),0)</f>
        <v>0</v>
      </c>
      <c r="K127" s="145">
        <f t="shared" si="4"/>
        <v>0</v>
      </c>
      <c r="L127" s="145" t="str">
        <f t="shared" si="5"/>
        <v/>
      </c>
      <c r="M127" t="str">
        <f>_xlfn.XLOOKUP(Table3[[#This Row],[Cuenta]],Estructura_Balance[Nombre Cuenta ()],Estructura_Balance[Grupo],"",0)</f>
        <v/>
      </c>
      <c r="N127" t="str">
        <f>_xlfn.XLOOKUP(Table3[[#This Row],[Cuenta]],Estructura_Balance[Nombre Cuenta ()],Estructura_Balance[Nivel 1],"",0)</f>
        <v/>
      </c>
      <c r="O127" t="str">
        <f>_xlfn.XLOOKUP(Table3[[#This Row],[Cuenta]],Estructura_Balance[Nombre Cuenta ()],Estructura_Balance[Nivel 2],"",0)</f>
        <v/>
      </c>
      <c r="P127" t="str">
        <f>_xlfn.XLOOKUP(Table3[[#This Row],[Cuenta]],Estructura_Balance[Nombre Cuenta ()],Estructura_Balance[Nivel 3],"",0)</f>
        <v/>
      </c>
      <c r="Q127" t="str">
        <f>_xlfn.XLOOKUP(Table3[[#This Row],[Cuenta]],Estructura_Balance[Nombre Cuenta ()],Estructura_Balance[Nivel 4],"",0)</f>
        <v/>
      </c>
      <c r="R127" t="str">
        <f>_xlfn.XLOOKUP(Table3[[#This Row],[Cuenta]],Table8[Nombre Cuenta ()],Table8[Nivel 1],"",0)</f>
        <v/>
      </c>
      <c r="S127" t="str">
        <f>_xlfn.XLOOKUP(Table3[[#This Row],[Cuenta]],Table8[Nombre Cuenta ()],Table8[Nivel 2],"",0)</f>
        <v/>
      </c>
      <c r="T127" t="str">
        <f>_xlfn.XLOOKUP(Table3[[#This Row],[Cuenta]],Table8[Nombre Cuenta ()],Table8[Nivel 3],"",0)</f>
        <v/>
      </c>
      <c r="U127">
        <v>253</v>
      </c>
      <c r="V127" t="str">
        <f>_xlfn.XLOOKUP(Table3[[#This Row],[Cuenta]],Estructura_Balance[Nombre Cuenta ()],Estructura_Balance[Niveles:2],"",0)</f>
        <v/>
      </c>
      <c r="W127" t="str">
        <f>_xlfn.XLOOKUP(Table3[[#This Row],[Cuenta]],Estructura_Balance[Nombre Cuenta ()],Estructura_Balance[Niveles:3],"",0)</f>
        <v/>
      </c>
      <c r="X127" t="str">
        <f>_xlfn.XLOOKUP(Table3[[#This Row],[Cuenta]],Estructura_Balance[Nombre Cuenta ()],Estructura_Balance[Grupos],"Grupo 1",0)</f>
        <v>Grupo 1</v>
      </c>
      <c r="Y127" t="str">
        <f>+Table3[[#This Row],[BS_Nivel_1]]</f>
        <v/>
      </c>
    </row>
    <row r="128" spans="1:25">
      <c r="A128">
        <f>+'Libro Diario'!F193</f>
        <v>0</v>
      </c>
      <c r="B128" s="144">
        <f>VALUE(IF(+'Libro Diario'!G193="","01/01/2025",+'Libro Diario'!G193))</f>
        <v>45658</v>
      </c>
      <c r="C128">
        <f>IF(ISNUMBER(+IF(IFERROR(VALUE(MID('Libro Diario'!C193,1,4)),0)&lt;&gt;0,'Libro Diario'!C193,0))=FALSE,'Libro Diario'!C193,0)</f>
        <v>0</v>
      </c>
      <c r="D128" s="145" t="str">
        <f>+'Libro Diario'!B193</f>
        <v>Operaciones del Ejercicio</v>
      </c>
      <c r="E128" s="139" t="s">
        <v>445</v>
      </c>
      <c r="F128" t="str">
        <f t="shared" si="3"/>
        <v>Sin Mov.</v>
      </c>
      <c r="G128" t="str">
        <f>IF(+'Libro Diario'!H193=0,"",+'Libro Diario'!H193)</f>
        <v/>
      </c>
      <c r="H128" t="str">
        <f>IF(+'Libro Diario'!I193=0,"",+'Libro Diario'!I193)</f>
        <v/>
      </c>
      <c r="I128" t="str">
        <f>+IF(Table3[[#This Row],[Tipo Movimiento]]="Estructura Balance y PyG","Excluir","Incluir")</f>
        <v>Incluir</v>
      </c>
      <c r="J128" s="153">
        <f>+IF(Table3[[#This Row],[Sin cuenta]]="Con Mov.",(IF(Table3[[#This Row],[Movimiento]]="Debe",Table3[[#This Row],[Importe]],IF(Table3[[#This Row],[Movimiento]]="Haber",Table3[[#This Row],[Importe]]*-1,0))),0)</f>
        <v>0</v>
      </c>
      <c r="K128" s="145" t="str">
        <f t="shared" si="4"/>
        <v>Operaciones del Ejercicio</v>
      </c>
      <c r="L128" s="145" t="str">
        <f t="shared" si="5"/>
        <v/>
      </c>
      <c r="M128" t="str">
        <f>_xlfn.XLOOKUP(Table3[[#This Row],[Cuenta]],Estructura_Balance[Nombre Cuenta ()],Estructura_Balance[Grupo],"",0)</f>
        <v/>
      </c>
      <c r="N128" t="str">
        <f>_xlfn.XLOOKUP(Table3[[#This Row],[Cuenta]],Estructura_Balance[Nombre Cuenta ()],Estructura_Balance[Nivel 1],"",0)</f>
        <v/>
      </c>
      <c r="O128" t="str">
        <f>_xlfn.XLOOKUP(Table3[[#This Row],[Cuenta]],Estructura_Balance[Nombre Cuenta ()],Estructura_Balance[Nivel 2],"",0)</f>
        <v/>
      </c>
      <c r="P128" t="str">
        <f>_xlfn.XLOOKUP(Table3[[#This Row],[Cuenta]],Estructura_Balance[Nombre Cuenta ()],Estructura_Balance[Nivel 3],"",0)</f>
        <v/>
      </c>
      <c r="Q128" t="str">
        <f>_xlfn.XLOOKUP(Table3[[#This Row],[Cuenta]],Estructura_Balance[Nombre Cuenta ()],Estructura_Balance[Nivel 4],"",0)</f>
        <v/>
      </c>
      <c r="R128" t="str">
        <f>_xlfn.XLOOKUP(Table3[[#This Row],[Cuenta]],Table8[Nombre Cuenta ()],Table8[Nivel 1],"",0)</f>
        <v/>
      </c>
      <c r="S128" t="str">
        <f>_xlfn.XLOOKUP(Table3[[#This Row],[Cuenta]],Table8[Nombre Cuenta ()],Table8[Nivel 2],"",0)</f>
        <v/>
      </c>
      <c r="T128" t="str">
        <f>_xlfn.XLOOKUP(Table3[[#This Row],[Cuenta]],Table8[Nombre Cuenta ()],Table8[Nivel 3],"",0)</f>
        <v/>
      </c>
      <c r="U128">
        <v>256</v>
      </c>
      <c r="V128" t="str">
        <f>_xlfn.XLOOKUP(Table3[[#This Row],[Cuenta]],Estructura_Balance[Nombre Cuenta ()],Estructura_Balance[Niveles:2],"",0)</f>
        <v/>
      </c>
      <c r="W128" t="str">
        <f>_xlfn.XLOOKUP(Table3[[#This Row],[Cuenta]],Estructura_Balance[Nombre Cuenta ()],Estructura_Balance[Niveles:3],"",0)</f>
        <v/>
      </c>
      <c r="X128" t="str">
        <f>_xlfn.XLOOKUP(Table3[[#This Row],[Cuenta]],Estructura_Balance[Nombre Cuenta ()],Estructura_Balance[Grupos],"Grupo 1",0)</f>
        <v>Grupo 1</v>
      </c>
      <c r="Y128" t="str">
        <f>+Table3[[#This Row],[BS_Nivel_1]]</f>
        <v/>
      </c>
    </row>
    <row r="129" spans="1:25">
      <c r="A129">
        <f>+'Libro Diario'!F194</f>
        <v>0</v>
      </c>
      <c r="B129" s="144">
        <f>VALUE(IF(+'Libro Diario'!G194="","01/01/2025",+'Libro Diario'!G194))</f>
        <v>45658</v>
      </c>
      <c r="C129">
        <f>IF(ISNUMBER(+IF(IFERROR(VALUE(MID('Libro Diario'!C194,1,4)),0)&lt;&gt;0,'Libro Diario'!C194,0))=FALSE,'Libro Diario'!C194,0)</f>
        <v>0</v>
      </c>
      <c r="D129" s="145" t="str">
        <f>+'Libro Diario'!B194</f>
        <v>Asiento Cuadrado</v>
      </c>
      <c r="E129" s="139" t="s">
        <v>445</v>
      </c>
      <c r="F129" t="str">
        <f t="shared" si="3"/>
        <v>Sin Mov.</v>
      </c>
      <c r="G129" t="str">
        <f>IF(+'Libro Diario'!H194=0,"",+'Libro Diario'!H194)</f>
        <v/>
      </c>
      <c r="H129" t="str">
        <f>IF(+'Libro Diario'!I194=0,"",+'Libro Diario'!I194)</f>
        <v/>
      </c>
      <c r="I129" t="str">
        <f>+IF(Table3[[#This Row],[Tipo Movimiento]]="Estructura Balance y PyG","Excluir","Incluir")</f>
        <v>Incluir</v>
      </c>
      <c r="J129" s="153">
        <f>+IF(Table3[[#This Row],[Sin cuenta]]="Con Mov.",(IF(Table3[[#This Row],[Movimiento]]="Debe",Table3[[#This Row],[Importe]],IF(Table3[[#This Row],[Movimiento]]="Haber",Table3[[#This Row],[Importe]]*-1,0))),0)</f>
        <v>0</v>
      </c>
      <c r="K129" s="145" t="str">
        <f t="shared" si="4"/>
        <v>Asiento Cuadrado</v>
      </c>
      <c r="L129" s="145" t="str">
        <f t="shared" si="5"/>
        <v/>
      </c>
      <c r="M129" t="str">
        <f>_xlfn.XLOOKUP(Table3[[#This Row],[Cuenta]],Estructura_Balance[Nombre Cuenta ()],Estructura_Balance[Grupo],"",0)</f>
        <v/>
      </c>
      <c r="N129" t="str">
        <f>_xlfn.XLOOKUP(Table3[[#This Row],[Cuenta]],Estructura_Balance[Nombre Cuenta ()],Estructura_Balance[Nivel 1],"",0)</f>
        <v/>
      </c>
      <c r="O129" t="str">
        <f>_xlfn.XLOOKUP(Table3[[#This Row],[Cuenta]],Estructura_Balance[Nombre Cuenta ()],Estructura_Balance[Nivel 2],"",0)</f>
        <v/>
      </c>
      <c r="P129" t="str">
        <f>_xlfn.XLOOKUP(Table3[[#This Row],[Cuenta]],Estructura_Balance[Nombre Cuenta ()],Estructura_Balance[Nivel 3],"",0)</f>
        <v/>
      </c>
      <c r="Q129" t="str">
        <f>_xlfn.XLOOKUP(Table3[[#This Row],[Cuenta]],Estructura_Balance[Nombre Cuenta ()],Estructura_Balance[Nivel 4],"",0)</f>
        <v/>
      </c>
      <c r="R129" t="str">
        <f>_xlfn.XLOOKUP(Table3[[#This Row],[Cuenta]],Table8[Nombre Cuenta ()],Table8[Nivel 1],"",0)</f>
        <v/>
      </c>
      <c r="S129" t="str">
        <f>_xlfn.XLOOKUP(Table3[[#This Row],[Cuenta]],Table8[Nombre Cuenta ()],Table8[Nivel 2],"",0)</f>
        <v/>
      </c>
      <c r="T129" t="str">
        <f>_xlfn.XLOOKUP(Table3[[#This Row],[Cuenta]],Table8[Nombre Cuenta ()],Table8[Nivel 3],"",0)</f>
        <v/>
      </c>
      <c r="U129">
        <v>259</v>
      </c>
      <c r="V129" t="str">
        <f>_xlfn.XLOOKUP(Table3[[#This Row],[Cuenta]],Estructura_Balance[Nombre Cuenta ()],Estructura_Balance[Niveles:2],"",0)</f>
        <v/>
      </c>
      <c r="W129" t="str">
        <f>_xlfn.XLOOKUP(Table3[[#This Row],[Cuenta]],Estructura_Balance[Nombre Cuenta ()],Estructura_Balance[Niveles:3],"",0)</f>
        <v/>
      </c>
      <c r="X129" t="str">
        <f>_xlfn.XLOOKUP(Table3[[#This Row],[Cuenta]],Estructura_Balance[Nombre Cuenta ()],Estructura_Balance[Grupos],"Grupo 1",0)</f>
        <v>Grupo 1</v>
      </c>
      <c r="Y129" t="str">
        <f>+Table3[[#This Row],[BS_Nivel_1]]</f>
        <v/>
      </c>
    </row>
    <row r="130" spans="1:25">
      <c r="A130">
        <f>+'Libro Diario'!F195</f>
        <v>0</v>
      </c>
      <c r="B130" s="144">
        <f>VALUE(IF(+'Libro Diario'!G195="","01/01/2025",+'Libro Diario'!G195))</f>
        <v>45658</v>
      </c>
      <c r="C130">
        <f>IF(ISNUMBER(+IF(IFERROR(VALUE(MID('Libro Diario'!C195,1,4)),0)&lt;&gt;0,'Libro Diario'!C195,0))=FALSE,'Libro Diario'!C195,0)</f>
        <v>0</v>
      </c>
      <c r="D130" s="145">
        <f>+'Libro Diario'!B195</f>
        <v>0</v>
      </c>
      <c r="E130" s="139" t="s">
        <v>445</v>
      </c>
      <c r="F130" t="str">
        <f t="shared" si="3"/>
        <v>Sin Mov.</v>
      </c>
      <c r="G130" t="str">
        <f>IF(+'Libro Diario'!H195=0,"",+'Libro Diario'!H195)</f>
        <v/>
      </c>
      <c r="H130" t="str">
        <f>IF(+'Libro Diario'!I195=0,"",+'Libro Diario'!I195)</f>
        <v/>
      </c>
      <c r="I130" t="str">
        <f>+IF(Table3[[#This Row],[Tipo Movimiento]]="Estructura Balance y PyG","Excluir","Incluir")</f>
        <v>Incluir</v>
      </c>
      <c r="J130" s="153">
        <f>+IF(Table3[[#This Row],[Sin cuenta]]="Con Mov.",(IF(Table3[[#This Row],[Movimiento]]="Debe",Table3[[#This Row],[Importe]],IF(Table3[[#This Row],[Movimiento]]="Haber",Table3[[#This Row],[Importe]]*-1,0))),0)</f>
        <v>0</v>
      </c>
      <c r="K130" s="145">
        <f t="shared" si="4"/>
        <v>0</v>
      </c>
      <c r="L130" s="145" t="str">
        <f t="shared" si="5"/>
        <v/>
      </c>
      <c r="M130" t="str">
        <f>_xlfn.XLOOKUP(Table3[[#This Row],[Cuenta]],Estructura_Balance[Nombre Cuenta ()],Estructura_Balance[Grupo],"",0)</f>
        <v/>
      </c>
      <c r="N130" t="str">
        <f>_xlfn.XLOOKUP(Table3[[#This Row],[Cuenta]],Estructura_Balance[Nombre Cuenta ()],Estructura_Balance[Nivel 1],"",0)</f>
        <v/>
      </c>
      <c r="O130" t="str">
        <f>_xlfn.XLOOKUP(Table3[[#This Row],[Cuenta]],Estructura_Balance[Nombre Cuenta ()],Estructura_Balance[Nivel 2],"",0)</f>
        <v/>
      </c>
      <c r="P130" t="str">
        <f>_xlfn.XLOOKUP(Table3[[#This Row],[Cuenta]],Estructura_Balance[Nombre Cuenta ()],Estructura_Balance[Nivel 3],"",0)</f>
        <v/>
      </c>
      <c r="Q130" t="str">
        <f>_xlfn.XLOOKUP(Table3[[#This Row],[Cuenta]],Estructura_Balance[Nombre Cuenta ()],Estructura_Balance[Nivel 4],"",0)</f>
        <v/>
      </c>
      <c r="R130" t="str">
        <f>_xlfn.XLOOKUP(Table3[[#This Row],[Cuenta]],Table8[Nombre Cuenta ()],Table8[Nivel 1],"",0)</f>
        <v/>
      </c>
      <c r="S130" t="str">
        <f>_xlfn.XLOOKUP(Table3[[#This Row],[Cuenta]],Table8[Nombre Cuenta ()],Table8[Nivel 2],"",0)</f>
        <v/>
      </c>
      <c r="T130" t="str">
        <f>_xlfn.XLOOKUP(Table3[[#This Row],[Cuenta]],Table8[Nombre Cuenta ()],Table8[Nivel 3],"",0)</f>
        <v/>
      </c>
      <c r="U130">
        <v>260</v>
      </c>
      <c r="V130" t="str">
        <f>_xlfn.XLOOKUP(Table3[[#This Row],[Cuenta]],Estructura_Balance[Nombre Cuenta ()],Estructura_Balance[Niveles:2],"",0)</f>
        <v/>
      </c>
      <c r="W130" t="str">
        <f>_xlfn.XLOOKUP(Table3[[#This Row],[Cuenta]],Estructura_Balance[Nombre Cuenta ()],Estructura_Balance[Niveles:3],"",0)</f>
        <v/>
      </c>
      <c r="X130" t="str">
        <f>_xlfn.XLOOKUP(Table3[[#This Row],[Cuenta]],Estructura_Balance[Nombre Cuenta ()],Estructura_Balance[Grupos],"Grupo 1",0)</f>
        <v>Grupo 1</v>
      </c>
      <c r="Y130" t="str">
        <f>+Table3[[#This Row],[BS_Nivel_1]]</f>
        <v/>
      </c>
    </row>
    <row r="131" spans="1:25">
      <c r="A131">
        <f>+'Libro Diario'!F196</f>
        <v>0</v>
      </c>
      <c r="B131" s="144">
        <f>VALUE(IF(+'Libro Diario'!G196="","01/01/2025",+'Libro Diario'!G196))</f>
        <v>45658</v>
      </c>
      <c r="C131">
        <f>IF(ISNUMBER(+IF(IFERROR(VALUE(MID('Libro Diario'!C196,1,4)),0)&lt;&gt;0,'Libro Diario'!C196,0))=FALSE,'Libro Diario'!C196,0)</f>
        <v>0</v>
      </c>
      <c r="D131" s="145" t="str">
        <f>+'Libro Diario'!B196</f>
        <v>DEBE</v>
      </c>
      <c r="E131" s="139" t="s">
        <v>445</v>
      </c>
      <c r="F131" t="str">
        <f t="shared" ref="F131:F194" si="6">+IF(C131=0,"Sin Mov.","Con Mov.")</f>
        <v>Sin Mov.</v>
      </c>
      <c r="G131" t="str">
        <f>IF(+'Libro Diario'!H196=0,"",+'Libro Diario'!H196)</f>
        <v/>
      </c>
      <c r="H131" t="str">
        <f>IF(+'Libro Diario'!I196=0,"",+'Libro Diario'!I196)</f>
        <v/>
      </c>
      <c r="I131" t="str">
        <f>+IF(Table3[[#This Row],[Tipo Movimiento]]="Estructura Balance y PyG","Excluir","Incluir")</f>
        <v>Incluir</v>
      </c>
      <c r="J131" s="153">
        <f>+IF(Table3[[#This Row],[Sin cuenta]]="Con Mov.",(IF(Table3[[#This Row],[Movimiento]]="Debe",Table3[[#This Row],[Importe]],IF(Table3[[#This Row],[Movimiento]]="Haber",Table3[[#This Row],[Importe]]*-1,0))),0)</f>
        <v>0</v>
      </c>
      <c r="K131" s="145" t="str">
        <f t="shared" ref="K131:K194" si="7">+IF(E131="Debe",D131,"")</f>
        <v>DEBE</v>
      </c>
      <c r="L131" s="145" t="str">
        <f t="shared" ref="L131:L194" si="8">+IF(E131="Haber",D131,"")</f>
        <v/>
      </c>
      <c r="M131" t="str">
        <f>_xlfn.XLOOKUP(Table3[[#This Row],[Cuenta]],Estructura_Balance[Nombre Cuenta ()],Estructura_Balance[Grupo],"",0)</f>
        <v/>
      </c>
      <c r="N131" t="str">
        <f>_xlfn.XLOOKUP(Table3[[#This Row],[Cuenta]],Estructura_Balance[Nombre Cuenta ()],Estructura_Balance[Nivel 1],"",0)</f>
        <v/>
      </c>
      <c r="O131" t="str">
        <f>_xlfn.XLOOKUP(Table3[[#This Row],[Cuenta]],Estructura_Balance[Nombre Cuenta ()],Estructura_Balance[Nivel 2],"",0)</f>
        <v/>
      </c>
      <c r="P131" t="str">
        <f>_xlfn.XLOOKUP(Table3[[#This Row],[Cuenta]],Estructura_Balance[Nombre Cuenta ()],Estructura_Balance[Nivel 3],"",0)</f>
        <v/>
      </c>
      <c r="Q131" t="str">
        <f>_xlfn.XLOOKUP(Table3[[#This Row],[Cuenta]],Estructura_Balance[Nombre Cuenta ()],Estructura_Balance[Nivel 4],"",0)</f>
        <v/>
      </c>
      <c r="R131" t="str">
        <f>_xlfn.XLOOKUP(Table3[[#This Row],[Cuenta]],Table8[Nombre Cuenta ()],Table8[Nivel 1],"",0)</f>
        <v/>
      </c>
      <c r="S131" t="str">
        <f>_xlfn.XLOOKUP(Table3[[#This Row],[Cuenta]],Table8[Nombre Cuenta ()],Table8[Nivel 2],"",0)</f>
        <v/>
      </c>
      <c r="T131" t="str">
        <f>_xlfn.XLOOKUP(Table3[[#This Row],[Cuenta]],Table8[Nombre Cuenta ()],Table8[Nivel 3],"",0)</f>
        <v/>
      </c>
      <c r="U131">
        <v>261</v>
      </c>
      <c r="V131" t="str">
        <f>_xlfn.XLOOKUP(Table3[[#This Row],[Cuenta]],Estructura_Balance[Nombre Cuenta ()],Estructura_Balance[Niveles:2],"",0)</f>
        <v/>
      </c>
      <c r="W131" t="str">
        <f>_xlfn.XLOOKUP(Table3[[#This Row],[Cuenta]],Estructura_Balance[Nombre Cuenta ()],Estructura_Balance[Niveles:3],"",0)</f>
        <v/>
      </c>
      <c r="X131" t="str">
        <f>_xlfn.XLOOKUP(Table3[[#This Row],[Cuenta]],Estructura_Balance[Nombre Cuenta ()],Estructura_Balance[Grupos],"Grupo 1",0)</f>
        <v>Grupo 1</v>
      </c>
      <c r="Y131" t="str">
        <f>+Table3[[#This Row],[BS_Nivel_1]]</f>
        <v/>
      </c>
    </row>
    <row r="132" spans="1:25">
      <c r="A132">
        <f>+'Libro Diario'!F197</f>
        <v>0</v>
      </c>
      <c r="B132" s="144">
        <f>VALUE(IF(+'Libro Diario'!G197="","01/01/2025",+'Libro Diario'!G197))</f>
        <v>45658</v>
      </c>
      <c r="C132">
        <f>IF(ISNUMBER(+IF(IFERROR(VALUE(MID('Libro Diario'!C197,1,4)),0)&lt;&gt;0,'Libro Diario'!C197,0))=FALSE,'Libro Diario'!C197,0)</f>
        <v>0</v>
      </c>
      <c r="D132" s="145">
        <f>+'Libro Diario'!B197</f>
        <v>0</v>
      </c>
      <c r="E132" s="139" t="s">
        <v>445</v>
      </c>
      <c r="F132" t="str">
        <f t="shared" si="6"/>
        <v>Sin Mov.</v>
      </c>
      <c r="G132" t="str">
        <f>IF(+'Libro Diario'!H197=0,"",+'Libro Diario'!H197)</f>
        <v/>
      </c>
      <c r="H132" t="str">
        <f>IF(+'Libro Diario'!I197=0,"",+'Libro Diario'!I197)</f>
        <v/>
      </c>
      <c r="I132" t="str">
        <f>+IF(Table3[[#This Row],[Tipo Movimiento]]="Estructura Balance y PyG","Excluir","Incluir")</f>
        <v>Incluir</v>
      </c>
      <c r="J132" s="153">
        <f>+IF(Table3[[#This Row],[Sin cuenta]]="Con Mov.",(IF(Table3[[#This Row],[Movimiento]]="Debe",Table3[[#This Row],[Importe]],IF(Table3[[#This Row],[Movimiento]]="Haber",Table3[[#This Row],[Importe]]*-1,0))),0)</f>
        <v>0</v>
      </c>
      <c r="K132" s="145">
        <f t="shared" si="7"/>
        <v>0</v>
      </c>
      <c r="L132" s="145" t="str">
        <f t="shared" si="8"/>
        <v/>
      </c>
      <c r="M132" t="str">
        <f>_xlfn.XLOOKUP(Table3[[#This Row],[Cuenta]],Estructura_Balance[Nombre Cuenta ()],Estructura_Balance[Grupo],"",0)</f>
        <v/>
      </c>
      <c r="N132" t="str">
        <f>_xlfn.XLOOKUP(Table3[[#This Row],[Cuenta]],Estructura_Balance[Nombre Cuenta ()],Estructura_Balance[Nivel 1],"",0)</f>
        <v/>
      </c>
      <c r="O132" t="str">
        <f>_xlfn.XLOOKUP(Table3[[#This Row],[Cuenta]],Estructura_Balance[Nombre Cuenta ()],Estructura_Balance[Nivel 2],"",0)</f>
        <v/>
      </c>
      <c r="P132" t="str">
        <f>_xlfn.XLOOKUP(Table3[[#This Row],[Cuenta]],Estructura_Balance[Nombre Cuenta ()],Estructura_Balance[Nivel 3],"",0)</f>
        <v/>
      </c>
      <c r="Q132" t="str">
        <f>_xlfn.XLOOKUP(Table3[[#This Row],[Cuenta]],Estructura_Balance[Nombre Cuenta ()],Estructura_Balance[Nivel 4],"",0)</f>
        <v/>
      </c>
      <c r="R132" t="str">
        <f>_xlfn.XLOOKUP(Table3[[#This Row],[Cuenta]],Table8[Nombre Cuenta ()],Table8[Nivel 1],"",0)</f>
        <v/>
      </c>
      <c r="S132" t="str">
        <f>_xlfn.XLOOKUP(Table3[[#This Row],[Cuenta]],Table8[Nombre Cuenta ()],Table8[Nivel 2],"",0)</f>
        <v/>
      </c>
      <c r="T132" t="str">
        <f>_xlfn.XLOOKUP(Table3[[#This Row],[Cuenta]],Table8[Nombre Cuenta ()],Table8[Nivel 3],"",0)</f>
        <v/>
      </c>
      <c r="U132">
        <v>262</v>
      </c>
      <c r="V132" t="str">
        <f>_xlfn.XLOOKUP(Table3[[#This Row],[Cuenta]],Estructura_Balance[Nombre Cuenta ()],Estructura_Balance[Niveles:2],"",0)</f>
        <v/>
      </c>
      <c r="W132" t="str">
        <f>_xlfn.XLOOKUP(Table3[[#This Row],[Cuenta]],Estructura_Balance[Nombre Cuenta ()],Estructura_Balance[Niveles:3],"",0)</f>
        <v/>
      </c>
      <c r="X132" t="str">
        <f>_xlfn.XLOOKUP(Table3[[#This Row],[Cuenta]],Estructura_Balance[Nombre Cuenta ()],Estructura_Balance[Grupos],"Grupo 1",0)</f>
        <v>Grupo 1</v>
      </c>
      <c r="Y132" t="str">
        <f>+Table3[[#This Row],[BS_Nivel_1]]</f>
        <v/>
      </c>
    </row>
    <row r="133" spans="1:25">
      <c r="A133">
        <f>+'Libro Diario'!F202</f>
        <v>0</v>
      </c>
      <c r="B133" s="144">
        <f>VALUE(IF(+'Libro Diario'!G202="","01/01/2025",+'Libro Diario'!G202))</f>
        <v>45658</v>
      </c>
      <c r="C133">
        <f>IF(ISNUMBER(+IF(IFERROR(VALUE(MID('Libro Diario'!C202,1,4)),0)&lt;&gt;0,'Libro Diario'!C202,0))=FALSE,'Libro Diario'!C202,0)</f>
        <v>0</v>
      </c>
      <c r="D133" s="145" t="str">
        <f>+'Libro Diario'!B202</f>
        <v>Operaciones del Ejercicio</v>
      </c>
      <c r="E133" s="139" t="s">
        <v>445</v>
      </c>
      <c r="F133" t="str">
        <f t="shared" si="6"/>
        <v>Sin Mov.</v>
      </c>
      <c r="G133" t="str">
        <f>IF(+'Libro Diario'!H202=0,"",+'Libro Diario'!H202)</f>
        <v/>
      </c>
      <c r="H133" t="str">
        <f>IF(+'Libro Diario'!I202=0,"",+'Libro Diario'!I202)</f>
        <v/>
      </c>
      <c r="I133" t="str">
        <f>+IF(Table3[[#This Row],[Tipo Movimiento]]="Estructura Balance y PyG","Excluir","Incluir")</f>
        <v>Incluir</v>
      </c>
      <c r="J133" s="153">
        <f>+IF(Table3[[#This Row],[Sin cuenta]]="Con Mov.",(IF(Table3[[#This Row],[Movimiento]]="Debe",Table3[[#This Row],[Importe]],IF(Table3[[#This Row],[Movimiento]]="Haber",Table3[[#This Row],[Importe]]*-1,0))),0)</f>
        <v>0</v>
      </c>
      <c r="K133" s="145" t="str">
        <f t="shared" si="7"/>
        <v>Operaciones del Ejercicio</v>
      </c>
      <c r="L133" s="145" t="str">
        <f t="shared" si="8"/>
        <v/>
      </c>
      <c r="M133" t="str">
        <f>_xlfn.XLOOKUP(Table3[[#This Row],[Cuenta]],Estructura_Balance[Nombre Cuenta ()],Estructura_Balance[Grupo],"",0)</f>
        <v/>
      </c>
      <c r="N133" t="str">
        <f>_xlfn.XLOOKUP(Table3[[#This Row],[Cuenta]],Estructura_Balance[Nombre Cuenta ()],Estructura_Balance[Nivel 1],"",0)</f>
        <v/>
      </c>
      <c r="O133" t="str">
        <f>_xlfn.XLOOKUP(Table3[[#This Row],[Cuenta]],Estructura_Balance[Nombre Cuenta ()],Estructura_Balance[Nivel 2],"",0)</f>
        <v/>
      </c>
      <c r="P133" t="str">
        <f>_xlfn.XLOOKUP(Table3[[#This Row],[Cuenta]],Estructura_Balance[Nombre Cuenta ()],Estructura_Balance[Nivel 3],"",0)</f>
        <v/>
      </c>
      <c r="Q133" t="str">
        <f>_xlfn.XLOOKUP(Table3[[#This Row],[Cuenta]],Estructura_Balance[Nombre Cuenta ()],Estructura_Balance[Nivel 4],"",0)</f>
        <v/>
      </c>
      <c r="R133" t="str">
        <f>_xlfn.XLOOKUP(Table3[[#This Row],[Cuenta]],Table8[Nombre Cuenta ()],Table8[Nivel 1],"",0)</f>
        <v/>
      </c>
      <c r="S133" t="str">
        <f>_xlfn.XLOOKUP(Table3[[#This Row],[Cuenta]],Table8[Nombre Cuenta ()],Table8[Nivel 2],"",0)</f>
        <v/>
      </c>
      <c r="T133" t="str">
        <f>_xlfn.XLOOKUP(Table3[[#This Row],[Cuenta]],Table8[Nombre Cuenta ()],Table8[Nivel 3],"",0)</f>
        <v/>
      </c>
      <c r="U133">
        <v>269</v>
      </c>
      <c r="V133" t="str">
        <f>_xlfn.XLOOKUP(Table3[[#This Row],[Cuenta]],Estructura_Balance[Nombre Cuenta ()],Estructura_Balance[Niveles:2],"",0)</f>
        <v/>
      </c>
      <c r="W133" t="str">
        <f>_xlfn.XLOOKUP(Table3[[#This Row],[Cuenta]],Estructura_Balance[Nombre Cuenta ()],Estructura_Balance[Niveles:3],"",0)</f>
        <v/>
      </c>
      <c r="X133" t="str">
        <f>_xlfn.XLOOKUP(Table3[[#This Row],[Cuenta]],Estructura_Balance[Nombre Cuenta ()],Estructura_Balance[Grupos],"Grupo 1",0)</f>
        <v>Grupo 1</v>
      </c>
      <c r="Y133" t="str">
        <f>+Table3[[#This Row],[BS_Nivel_1]]</f>
        <v/>
      </c>
    </row>
    <row r="134" spans="1:25">
      <c r="A134">
        <f>+'Libro Diario'!F203</f>
        <v>0</v>
      </c>
      <c r="B134" s="144">
        <f>VALUE(IF(+'Libro Diario'!G203="","01/01/2025",+'Libro Diario'!G203))</f>
        <v>45658</v>
      </c>
      <c r="C134">
        <f>IF(ISNUMBER(+IF(IFERROR(VALUE(MID('Libro Diario'!C203,1,4)),0)&lt;&gt;0,'Libro Diario'!C203,0))=FALSE,'Libro Diario'!C203,0)</f>
        <v>0</v>
      </c>
      <c r="D134" s="145" t="str">
        <f>+'Libro Diario'!B203</f>
        <v>Asiento Cuadrado</v>
      </c>
      <c r="E134" s="139" t="s">
        <v>445</v>
      </c>
      <c r="F134" t="str">
        <f t="shared" si="6"/>
        <v>Sin Mov.</v>
      </c>
      <c r="G134" t="str">
        <f>IF(+'Libro Diario'!H203=0,"",+'Libro Diario'!H203)</f>
        <v/>
      </c>
      <c r="H134" t="str">
        <f>IF(+'Libro Diario'!I203=0,"",+'Libro Diario'!I203)</f>
        <v/>
      </c>
      <c r="I134" t="str">
        <f>+IF(Table3[[#This Row],[Tipo Movimiento]]="Estructura Balance y PyG","Excluir","Incluir")</f>
        <v>Incluir</v>
      </c>
      <c r="J134" s="153">
        <f>+IF(Table3[[#This Row],[Sin cuenta]]="Con Mov.",(IF(Table3[[#This Row],[Movimiento]]="Debe",Table3[[#This Row],[Importe]],IF(Table3[[#This Row],[Movimiento]]="Haber",Table3[[#This Row],[Importe]]*-1,0))),0)</f>
        <v>0</v>
      </c>
      <c r="K134" s="145" t="str">
        <f t="shared" si="7"/>
        <v>Asiento Cuadrado</v>
      </c>
      <c r="L134" s="145" t="str">
        <f t="shared" si="8"/>
        <v/>
      </c>
      <c r="M134" t="str">
        <f>_xlfn.XLOOKUP(Table3[[#This Row],[Cuenta]],Estructura_Balance[Nombre Cuenta ()],Estructura_Balance[Grupo],"",0)</f>
        <v/>
      </c>
      <c r="N134" t="str">
        <f>_xlfn.XLOOKUP(Table3[[#This Row],[Cuenta]],Estructura_Balance[Nombre Cuenta ()],Estructura_Balance[Nivel 1],"",0)</f>
        <v/>
      </c>
      <c r="O134" t="str">
        <f>_xlfn.XLOOKUP(Table3[[#This Row],[Cuenta]],Estructura_Balance[Nombre Cuenta ()],Estructura_Balance[Nivel 2],"",0)</f>
        <v/>
      </c>
      <c r="P134" t="str">
        <f>_xlfn.XLOOKUP(Table3[[#This Row],[Cuenta]],Estructura_Balance[Nombre Cuenta ()],Estructura_Balance[Nivel 3],"",0)</f>
        <v/>
      </c>
      <c r="Q134" t="str">
        <f>_xlfn.XLOOKUP(Table3[[#This Row],[Cuenta]],Estructura_Balance[Nombre Cuenta ()],Estructura_Balance[Nivel 4],"",0)</f>
        <v/>
      </c>
      <c r="R134" t="str">
        <f>_xlfn.XLOOKUP(Table3[[#This Row],[Cuenta]],Table8[Nombre Cuenta ()],Table8[Nivel 1],"",0)</f>
        <v/>
      </c>
      <c r="S134" t="str">
        <f>_xlfn.XLOOKUP(Table3[[#This Row],[Cuenta]],Table8[Nombre Cuenta ()],Table8[Nivel 2],"",0)</f>
        <v/>
      </c>
      <c r="T134" t="str">
        <f>_xlfn.XLOOKUP(Table3[[#This Row],[Cuenta]],Table8[Nombre Cuenta ()],Table8[Nivel 3],"",0)</f>
        <v/>
      </c>
      <c r="U134">
        <v>270</v>
      </c>
      <c r="V134" t="str">
        <f>_xlfn.XLOOKUP(Table3[[#This Row],[Cuenta]],Estructura_Balance[Nombre Cuenta ()],Estructura_Balance[Niveles:2],"",0)</f>
        <v/>
      </c>
      <c r="W134" t="str">
        <f>_xlfn.XLOOKUP(Table3[[#This Row],[Cuenta]],Estructura_Balance[Nombre Cuenta ()],Estructura_Balance[Niveles:3],"",0)</f>
        <v/>
      </c>
      <c r="X134" t="str">
        <f>_xlfn.XLOOKUP(Table3[[#This Row],[Cuenta]],Estructura_Balance[Nombre Cuenta ()],Estructura_Balance[Grupos],"Grupo 1",0)</f>
        <v>Grupo 1</v>
      </c>
      <c r="Y134" t="str">
        <f>+Table3[[#This Row],[BS_Nivel_1]]</f>
        <v/>
      </c>
    </row>
    <row r="135" spans="1:25">
      <c r="A135">
        <f>+'Libro Diario'!F204</f>
        <v>0</v>
      </c>
      <c r="B135" s="144">
        <f>VALUE(IF(+'Libro Diario'!G204="","01/01/2025",+'Libro Diario'!G204))</f>
        <v>45658</v>
      </c>
      <c r="C135">
        <f>IF(ISNUMBER(+IF(IFERROR(VALUE(MID('Libro Diario'!C204,1,4)),0)&lt;&gt;0,'Libro Diario'!C204,0))=FALSE,'Libro Diario'!C204,0)</f>
        <v>0</v>
      </c>
      <c r="D135" s="145">
        <f>+'Libro Diario'!B204</f>
        <v>0</v>
      </c>
      <c r="E135" s="139" t="s">
        <v>445</v>
      </c>
      <c r="F135" t="str">
        <f t="shared" si="6"/>
        <v>Sin Mov.</v>
      </c>
      <c r="G135" t="str">
        <f>IF(+'Libro Diario'!H204=0,"",+'Libro Diario'!H204)</f>
        <v/>
      </c>
      <c r="H135" t="str">
        <f>IF(+'Libro Diario'!I204=0,"",+'Libro Diario'!I204)</f>
        <v/>
      </c>
      <c r="I135" t="str">
        <f>+IF(Table3[[#This Row],[Tipo Movimiento]]="Estructura Balance y PyG","Excluir","Incluir")</f>
        <v>Incluir</v>
      </c>
      <c r="J135" s="153">
        <f>+IF(Table3[[#This Row],[Sin cuenta]]="Con Mov.",(IF(Table3[[#This Row],[Movimiento]]="Debe",Table3[[#This Row],[Importe]],IF(Table3[[#This Row],[Movimiento]]="Haber",Table3[[#This Row],[Importe]]*-1,0))),0)</f>
        <v>0</v>
      </c>
      <c r="K135" s="145">
        <f t="shared" si="7"/>
        <v>0</v>
      </c>
      <c r="L135" s="145" t="str">
        <f t="shared" si="8"/>
        <v/>
      </c>
      <c r="M135" t="str">
        <f>_xlfn.XLOOKUP(Table3[[#This Row],[Cuenta]],Estructura_Balance[Nombre Cuenta ()],Estructura_Balance[Grupo],"",0)</f>
        <v/>
      </c>
      <c r="N135" t="str">
        <f>_xlfn.XLOOKUP(Table3[[#This Row],[Cuenta]],Estructura_Balance[Nombre Cuenta ()],Estructura_Balance[Nivel 1],"",0)</f>
        <v/>
      </c>
      <c r="O135" t="str">
        <f>_xlfn.XLOOKUP(Table3[[#This Row],[Cuenta]],Estructura_Balance[Nombre Cuenta ()],Estructura_Balance[Nivel 2],"",0)</f>
        <v/>
      </c>
      <c r="P135" t="str">
        <f>_xlfn.XLOOKUP(Table3[[#This Row],[Cuenta]],Estructura_Balance[Nombre Cuenta ()],Estructura_Balance[Nivel 3],"",0)</f>
        <v/>
      </c>
      <c r="Q135" t="str">
        <f>_xlfn.XLOOKUP(Table3[[#This Row],[Cuenta]],Estructura_Balance[Nombre Cuenta ()],Estructura_Balance[Nivel 4],"",0)</f>
        <v/>
      </c>
      <c r="R135" t="str">
        <f>_xlfn.XLOOKUP(Table3[[#This Row],[Cuenta]],Table8[Nombre Cuenta ()],Table8[Nivel 1],"",0)</f>
        <v/>
      </c>
      <c r="S135" t="str">
        <f>_xlfn.XLOOKUP(Table3[[#This Row],[Cuenta]],Table8[Nombre Cuenta ()],Table8[Nivel 2],"",0)</f>
        <v/>
      </c>
      <c r="T135" t="str">
        <f>_xlfn.XLOOKUP(Table3[[#This Row],[Cuenta]],Table8[Nombre Cuenta ()],Table8[Nivel 3],"",0)</f>
        <v/>
      </c>
      <c r="U135">
        <v>273</v>
      </c>
      <c r="V135" t="str">
        <f>_xlfn.XLOOKUP(Table3[[#This Row],[Cuenta]],Estructura_Balance[Nombre Cuenta ()],Estructura_Balance[Niveles:2],"",0)</f>
        <v/>
      </c>
      <c r="W135" t="str">
        <f>_xlfn.XLOOKUP(Table3[[#This Row],[Cuenta]],Estructura_Balance[Nombre Cuenta ()],Estructura_Balance[Niveles:3],"",0)</f>
        <v/>
      </c>
      <c r="X135" t="str">
        <f>_xlfn.XLOOKUP(Table3[[#This Row],[Cuenta]],Estructura_Balance[Nombre Cuenta ()],Estructura_Balance[Grupos],"Grupo 1",0)</f>
        <v>Grupo 1</v>
      </c>
      <c r="Y135" t="str">
        <f>+Table3[[#This Row],[BS_Nivel_1]]</f>
        <v/>
      </c>
    </row>
    <row r="136" spans="1:25">
      <c r="A136">
        <f>+'Libro Diario'!F205</f>
        <v>0</v>
      </c>
      <c r="B136" s="144">
        <f>VALUE(IF(+'Libro Diario'!G205="","01/01/2025",+'Libro Diario'!G205))</f>
        <v>45658</v>
      </c>
      <c r="C136">
        <f>IF(ISNUMBER(+IF(IFERROR(VALUE(MID('Libro Diario'!C205,1,4)),0)&lt;&gt;0,'Libro Diario'!C205,0))=FALSE,'Libro Diario'!C205,0)</f>
        <v>0</v>
      </c>
      <c r="D136" s="145" t="str">
        <f>+'Libro Diario'!B205</f>
        <v>DEBE</v>
      </c>
      <c r="E136" s="139" t="s">
        <v>445</v>
      </c>
      <c r="F136" t="str">
        <f t="shared" si="6"/>
        <v>Sin Mov.</v>
      </c>
      <c r="G136" t="str">
        <f>IF(+'Libro Diario'!H205=0,"",+'Libro Diario'!H205)</f>
        <v/>
      </c>
      <c r="H136" t="str">
        <f>IF(+'Libro Diario'!I205=0,"",+'Libro Diario'!I205)</f>
        <v/>
      </c>
      <c r="I136" t="str">
        <f>+IF(Table3[[#This Row],[Tipo Movimiento]]="Estructura Balance y PyG","Excluir","Incluir")</f>
        <v>Incluir</v>
      </c>
      <c r="J136" s="153">
        <f>+IF(Table3[[#This Row],[Sin cuenta]]="Con Mov.",(IF(Table3[[#This Row],[Movimiento]]="Debe",Table3[[#This Row],[Importe]],IF(Table3[[#This Row],[Movimiento]]="Haber",Table3[[#This Row],[Importe]]*-1,0))),0)</f>
        <v>0</v>
      </c>
      <c r="K136" s="145" t="str">
        <f t="shared" si="7"/>
        <v>DEBE</v>
      </c>
      <c r="L136" s="145" t="str">
        <f t="shared" si="8"/>
        <v/>
      </c>
      <c r="M136" t="str">
        <f>_xlfn.XLOOKUP(Table3[[#This Row],[Cuenta]],Estructura_Balance[Nombre Cuenta ()],Estructura_Balance[Grupo],"",0)</f>
        <v/>
      </c>
      <c r="N136" t="str">
        <f>_xlfn.XLOOKUP(Table3[[#This Row],[Cuenta]],Estructura_Balance[Nombre Cuenta ()],Estructura_Balance[Nivel 1],"",0)</f>
        <v/>
      </c>
      <c r="O136" t="str">
        <f>_xlfn.XLOOKUP(Table3[[#This Row],[Cuenta]],Estructura_Balance[Nombre Cuenta ()],Estructura_Balance[Nivel 2],"",0)</f>
        <v/>
      </c>
      <c r="P136" t="str">
        <f>_xlfn.XLOOKUP(Table3[[#This Row],[Cuenta]],Estructura_Balance[Nombre Cuenta ()],Estructura_Balance[Nivel 3],"",0)</f>
        <v/>
      </c>
      <c r="Q136" t="str">
        <f>_xlfn.XLOOKUP(Table3[[#This Row],[Cuenta]],Estructura_Balance[Nombre Cuenta ()],Estructura_Balance[Nivel 4],"",0)</f>
        <v/>
      </c>
      <c r="R136" t="str">
        <f>_xlfn.XLOOKUP(Table3[[#This Row],[Cuenta]],Table8[Nombre Cuenta ()],Table8[Nivel 1],"",0)</f>
        <v/>
      </c>
      <c r="S136" t="str">
        <f>_xlfn.XLOOKUP(Table3[[#This Row],[Cuenta]],Table8[Nombre Cuenta ()],Table8[Nivel 2],"",0)</f>
        <v/>
      </c>
      <c r="T136" t="str">
        <f>_xlfn.XLOOKUP(Table3[[#This Row],[Cuenta]],Table8[Nombre Cuenta ()],Table8[Nivel 3],"",0)</f>
        <v/>
      </c>
      <c r="U136">
        <v>274</v>
      </c>
      <c r="V136" t="str">
        <f>_xlfn.XLOOKUP(Table3[[#This Row],[Cuenta]],Estructura_Balance[Nombre Cuenta ()],Estructura_Balance[Niveles:2],"",0)</f>
        <v/>
      </c>
      <c r="W136" t="str">
        <f>_xlfn.XLOOKUP(Table3[[#This Row],[Cuenta]],Estructura_Balance[Nombre Cuenta ()],Estructura_Balance[Niveles:3],"",0)</f>
        <v/>
      </c>
      <c r="X136" t="str">
        <f>_xlfn.XLOOKUP(Table3[[#This Row],[Cuenta]],Estructura_Balance[Nombre Cuenta ()],Estructura_Balance[Grupos],"Grupo 1",0)</f>
        <v>Grupo 1</v>
      </c>
      <c r="Y136" t="str">
        <f>+Table3[[#This Row],[BS_Nivel_1]]</f>
        <v/>
      </c>
    </row>
    <row r="137" spans="1:25">
      <c r="A137">
        <f>+'Libro Diario'!F206</f>
        <v>0</v>
      </c>
      <c r="B137" s="144">
        <f>VALUE(IF(+'Libro Diario'!G206="","01/01/2025",+'Libro Diario'!G206))</f>
        <v>45658</v>
      </c>
      <c r="C137">
        <f>IF(ISNUMBER(+IF(IFERROR(VALUE(MID('Libro Diario'!C206,1,4)),0)&lt;&gt;0,'Libro Diario'!C206,0))=FALSE,'Libro Diario'!C206,0)</f>
        <v>0</v>
      </c>
      <c r="D137" s="145">
        <f>+'Libro Diario'!B206</f>
        <v>0</v>
      </c>
      <c r="E137" s="139" t="s">
        <v>445</v>
      </c>
      <c r="F137" t="str">
        <f t="shared" si="6"/>
        <v>Sin Mov.</v>
      </c>
      <c r="G137" t="str">
        <f>IF(+'Libro Diario'!H206=0,"",+'Libro Diario'!H206)</f>
        <v/>
      </c>
      <c r="H137" t="str">
        <f>IF(+'Libro Diario'!I206=0,"",+'Libro Diario'!I206)</f>
        <v/>
      </c>
      <c r="I137" t="str">
        <f>+IF(Table3[[#This Row],[Tipo Movimiento]]="Estructura Balance y PyG","Excluir","Incluir")</f>
        <v>Incluir</v>
      </c>
      <c r="J137" s="153">
        <f>+IF(Table3[[#This Row],[Sin cuenta]]="Con Mov.",(IF(Table3[[#This Row],[Movimiento]]="Debe",Table3[[#This Row],[Importe]],IF(Table3[[#This Row],[Movimiento]]="Haber",Table3[[#This Row],[Importe]]*-1,0))),0)</f>
        <v>0</v>
      </c>
      <c r="K137" s="145">
        <f t="shared" si="7"/>
        <v>0</v>
      </c>
      <c r="L137" s="145" t="str">
        <f t="shared" si="8"/>
        <v/>
      </c>
      <c r="M137" t="str">
        <f>_xlfn.XLOOKUP(Table3[[#This Row],[Cuenta]],Estructura_Balance[Nombre Cuenta ()],Estructura_Balance[Grupo],"",0)</f>
        <v/>
      </c>
      <c r="N137" t="str">
        <f>_xlfn.XLOOKUP(Table3[[#This Row],[Cuenta]],Estructura_Balance[Nombre Cuenta ()],Estructura_Balance[Nivel 1],"",0)</f>
        <v/>
      </c>
      <c r="O137" t="str">
        <f>_xlfn.XLOOKUP(Table3[[#This Row],[Cuenta]],Estructura_Balance[Nombre Cuenta ()],Estructura_Balance[Nivel 2],"",0)</f>
        <v/>
      </c>
      <c r="P137" t="str">
        <f>_xlfn.XLOOKUP(Table3[[#This Row],[Cuenta]],Estructura_Balance[Nombre Cuenta ()],Estructura_Balance[Nivel 3],"",0)</f>
        <v/>
      </c>
      <c r="Q137" t="str">
        <f>_xlfn.XLOOKUP(Table3[[#This Row],[Cuenta]],Estructura_Balance[Nombre Cuenta ()],Estructura_Balance[Nivel 4],"",0)</f>
        <v/>
      </c>
      <c r="R137" t="str">
        <f>_xlfn.XLOOKUP(Table3[[#This Row],[Cuenta]],Table8[Nombre Cuenta ()],Table8[Nivel 1],"",0)</f>
        <v/>
      </c>
      <c r="S137" t="str">
        <f>_xlfn.XLOOKUP(Table3[[#This Row],[Cuenta]],Table8[Nombre Cuenta ()],Table8[Nivel 2],"",0)</f>
        <v/>
      </c>
      <c r="T137" t="str">
        <f>_xlfn.XLOOKUP(Table3[[#This Row],[Cuenta]],Table8[Nombre Cuenta ()],Table8[Nivel 3],"",0)</f>
        <v/>
      </c>
      <c r="U137">
        <v>275</v>
      </c>
      <c r="V137" t="str">
        <f>_xlfn.XLOOKUP(Table3[[#This Row],[Cuenta]],Estructura_Balance[Nombre Cuenta ()],Estructura_Balance[Niveles:2],"",0)</f>
        <v/>
      </c>
      <c r="W137" t="str">
        <f>_xlfn.XLOOKUP(Table3[[#This Row],[Cuenta]],Estructura_Balance[Nombre Cuenta ()],Estructura_Balance[Niveles:3],"",0)</f>
        <v/>
      </c>
      <c r="X137" t="str">
        <f>_xlfn.XLOOKUP(Table3[[#This Row],[Cuenta]],Estructura_Balance[Nombre Cuenta ()],Estructura_Balance[Grupos],"Grupo 1",0)</f>
        <v>Grupo 1</v>
      </c>
      <c r="Y137" t="str">
        <f>+Table3[[#This Row],[BS_Nivel_1]]</f>
        <v/>
      </c>
    </row>
    <row r="138" spans="1:25">
      <c r="A138">
        <f>+'Libro Diario'!F209</f>
        <v>0</v>
      </c>
      <c r="B138" s="144">
        <f>VALUE(IF(+'Libro Diario'!G209="","01/01/2025",+'Libro Diario'!G209))</f>
        <v>45658</v>
      </c>
      <c r="C138">
        <f>IF(ISNUMBER(+IF(IFERROR(VALUE(MID('Libro Diario'!C209,1,4)),0)&lt;&gt;0,'Libro Diario'!C209,0))=FALSE,'Libro Diario'!C209,0)</f>
        <v>0</v>
      </c>
      <c r="D138" s="145" t="str">
        <f>+'Libro Diario'!B209</f>
        <v>Operaciones del Ejercicio</v>
      </c>
      <c r="E138" s="139" t="s">
        <v>445</v>
      </c>
      <c r="F138" t="str">
        <f t="shared" si="6"/>
        <v>Sin Mov.</v>
      </c>
      <c r="G138" t="str">
        <f>IF(+'Libro Diario'!H209=0,"",+'Libro Diario'!H209)</f>
        <v/>
      </c>
      <c r="H138" t="str">
        <f>IF(+'Libro Diario'!I209=0,"",+'Libro Diario'!I209)</f>
        <v/>
      </c>
      <c r="I138" t="str">
        <f>+IF(Table3[[#This Row],[Tipo Movimiento]]="Estructura Balance y PyG","Excluir","Incluir")</f>
        <v>Incluir</v>
      </c>
      <c r="J138" s="153">
        <f>+IF(Table3[[#This Row],[Sin cuenta]]="Con Mov.",(IF(Table3[[#This Row],[Movimiento]]="Debe",Table3[[#This Row],[Importe]],IF(Table3[[#This Row],[Movimiento]]="Haber",Table3[[#This Row],[Importe]]*-1,0))),0)</f>
        <v>0</v>
      </c>
      <c r="K138" s="145" t="str">
        <f t="shared" si="7"/>
        <v>Operaciones del Ejercicio</v>
      </c>
      <c r="L138" s="145" t="str">
        <f t="shared" si="8"/>
        <v/>
      </c>
      <c r="M138" t="str">
        <f>_xlfn.XLOOKUP(Table3[[#This Row],[Cuenta]],Estructura_Balance[Nombre Cuenta ()],Estructura_Balance[Grupo],"",0)</f>
        <v/>
      </c>
      <c r="N138" t="str">
        <f>_xlfn.XLOOKUP(Table3[[#This Row],[Cuenta]],Estructura_Balance[Nombre Cuenta ()],Estructura_Balance[Nivel 1],"",0)</f>
        <v/>
      </c>
      <c r="O138" t="str">
        <f>_xlfn.XLOOKUP(Table3[[#This Row],[Cuenta]],Estructura_Balance[Nombre Cuenta ()],Estructura_Balance[Nivel 2],"",0)</f>
        <v/>
      </c>
      <c r="P138" t="str">
        <f>_xlfn.XLOOKUP(Table3[[#This Row],[Cuenta]],Estructura_Balance[Nombre Cuenta ()],Estructura_Balance[Nivel 3],"",0)</f>
        <v/>
      </c>
      <c r="Q138" t="str">
        <f>_xlfn.XLOOKUP(Table3[[#This Row],[Cuenta]],Estructura_Balance[Nombre Cuenta ()],Estructura_Balance[Nivel 4],"",0)</f>
        <v/>
      </c>
      <c r="R138" t="str">
        <f>_xlfn.XLOOKUP(Table3[[#This Row],[Cuenta]],Table8[Nombre Cuenta ()],Table8[Nivel 1],"",0)</f>
        <v/>
      </c>
      <c r="S138" t="str">
        <f>_xlfn.XLOOKUP(Table3[[#This Row],[Cuenta]],Table8[Nombre Cuenta ()],Table8[Nivel 2],"",0)</f>
        <v/>
      </c>
      <c r="T138" t="str">
        <f>_xlfn.XLOOKUP(Table3[[#This Row],[Cuenta]],Table8[Nombre Cuenta ()],Table8[Nivel 3],"",0)</f>
        <v/>
      </c>
      <c r="U138">
        <v>280</v>
      </c>
      <c r="V138" t="str">
        <f>_xlfn.XLOOKUP(Table3[[#This Row],[Cuenta]],Estructura_Balance[Nombre Cuenta ()],Estructura_Balance[Niveles:2],"",0)</f>
        <v/>
      </c>
      <c r="W138" t="str">
        <f>_xlfn.XLOOKUP(Table3[[#This Row],[Cuenta]],Estructura_Balance[Nombre Cuenta ()],Estructura_Balance[Niveles:3],"",0)</f>
        <v/>
      </c>
      <c r="X138" t="str">
        <f>_xlfn.XLOOKUP(Table3[[#This Row],[Cuenta]],Estructura_Balance[Nombre Cuenta ()],Estructura_Balance[Grupos],"Grupo 1",0)</f>
        <v>Grupo 1</v>
      </c>
      <c r="Y138" t="str">
        <f>+Table3[[#This Row],[BS_Nivel_1]]</f>
        <v/>
      </c>
    </row>
    <row r="139" spans="1:25">
      <c r="A139">
        <f>+'Libro Diario'!F210</f>
        <v>0</v>
      </c>
      <c r="B139" s="144">
        <f>VALUE(IF(+'Libro Diario'!G210="","01/01/2025",+'Libro Diario'!G210))</f>
        <v>45658</v>
      </c>
      <c r="C139">
        <f>IF(ISNUMBER(+IF(IFERROR(VALUE(MID('Libro Diario'!C210,1,4)),0)&lt;&gt;0,'Libro Diario'!C210,0))=FALSE,'Libro Diario'!C210,0)</f>
        <v>0</v>
      </c>
      <c r="D139" s="145" t="str">
        <f>+'Libro Diario'!B210</f>
        <v>Asiento Cuadrado</v>
      </c>
      <c r="E139" s="139" t="s">
        <v>445</v>
      </c>
      <c r="F139" t="str">
        <f t="shared" si="6"/>
        <v>Sin Mov.</v>
      </c>
      <c r="G139" t="str">
        <f>IF(+'Libro Diario'!H210=0,"",+'Libro Diario'!H210)</f>
        <v/>
      </c>
      <c r="H139" t="str">
        <f>IF(+'Libro Diario'!I210=0,"",+'Libro Diario'!I210)</f>
        <v/>
      </c>
      <c r="I139" t="str">
        <f>+IF(Table3[[#This Row],[Tipo Movimiento]]="Estructura Balance y PyG","Excluir","Incluir")</f>
        <v>Incluir</v>
      </c>
      <c r="J139" s="153">
        <f>+IF(Table3[[#This Row],[Sin cuenta]]="Con Mov.",(IF(Table3[[#This Row],[Movimiento]]="Debe",Table3[[#This Row],[Importe]],IF(Table3[[#This Row],[Movimiento]]="Haber",Table3[[#This Row],[Importe]]*-1,0))),0)</f>
        <v>0</v>
      </c>
      <c r="K139" s="145" t="str">
        <f t="shared" si="7"/>
        <v>Asiento Cuadrado</v>
      </c>
      <c r="L139" s="145" t="str">
        <f t="shared" si="8"/>
        <v/>
      </c>
      <c r="M139" t="str">
        <f>_xlfn.XLOOKUP(Table3[[#This Row],[Cuenta]],Estructura_Balance[Nombre Cuenta ()],Estructura_Balance[Grupo],"",0)</f>
        <v/>
      </c>
      <c r="N139" t="str">
        <f>_xlfn.XLOOKUP(Table3[[#This Row],[Cuenta]],Estructura_Balance[Nombre Cuenta ()],Estructura_Balance[Nivel 1],"",0)</f>
        <v/>
      </c>
      <c r="O139" t="str">
        <f>_xlfn.XLOOKUP(Table3[[#This Row],[Cuenta]],Estructura_Balance[Nombre Cuenta ()],Estructura_Balance[Nivel 2],"",0)</f>
        <v/>
      </c>
      <c r="P139" t="str">
        <f>_xlfn.XLOOKUP(Table3[[#This Row],[Cuenta]],Estructura_Balance[Nombre Cuenta ()],Estructura_Balance[Nivel 3],"",0)</f>
        <v/>
      </c>
      <c r="Q139" t="str">
        <f>_xlfn.XLOOKUP(Table3[[#This Row],[Cuenta]],Estructura_Balance[Nombre Cuenta ()],Estructura_Balance[Nivel 4],"",0)</f>
        <v/>
      </c>
      <c r="R139" t="str">
        <f>_xlfn.XLOOKUP(Table3[[#This Row],[Cuenta]],Table8[Nombre Cuenta ()],Table8[Nivel 1],"",0)</f>
        <v/>
      </c>
      <c r="S139" t="str">
        <f>_xlfn.XLOOKUP(Table3[[#This Row],[Cuenta]],Table8[Nombre Cuenta ()],Table8[Nivel 2],"",0)</f>
        <v/>
      </c>
      <c r="T139" t="str">
        <f>_xlfn.XLOOKUP(Table3[[#This Row],[Cuenta]],Table8[Nombre Cuenta ()],Table8[Nivel 3],"",0)</f>
        <v/>
      </c>
      <c r="U139">
        <v>281</v>
      </c>
      <c r="V139" t="str">
        <f>_xlfn.XLOOKUP(Table3[[#This Row],[Cuenta]],Estructura_Balance[Nombre Cuenta ()],Estructura_Balance[Niveles:2],"",0)</f>
        <v/>
      </c>
      <c r="W139" t="str">
        <f>_xlfn.XLOOKUP(Table3[[#This Row],[Cuenta]],Estructura_Balance[Nombre Cuenta ()],Estructura_Balance[Niveles:3],"",0)</f>
        <v/>
      </c>
      <c r="X139" t="str">
        <f>_xlfn.XLOOKUP(Table3[[#This Row],[Cuenta]],Estructura_Balance[Nombre Cuenta ()],Estructura_Balance[Grupos],"Grupo 1",0)</f>
        <v>Grupo 1</v>
      </c>
      <c r="Y139" t="str">
        <f>+Table3[[#This Row],[BS_Nivel_1]]</f>
        <v/>
      </c>
    </row>
    <row r="140" spans="1:25">
      <c r="A140">
        <f>+'Libro Diario'!F211</f>
        <v>0</v>
      </c>
      <c r="B140" s="144">
        <f>VALUE(IF(+'Libro Diario'!G211="","01/01/2025",+'Libro Diario'!G211))</f>
        <v>45658</v>
      </c>
      <c r="C140">
        <f>IF(ISNUMBER(+IF(IFERROR(VALUE(MID('Libro Diario'!C211,1,4)),0)&lt;&gt;0,'Libro Diario'!C211,0))=FALSE,'Libro Diario'!C211,0)</f>
        <v>0</v>
      </c>
      <c r="D140" s="145">
        <f>+'Libro Diario'!B211</f>
        <v>0</v>
      </c>
      <c r="E140" s="139" t="s">
        <v>445</v>
      </c>
      <c r="F140" t="str">
        <f t="shared" si="6"/>
        <v>Sin Mov.</v>
      </c>
      <c r="G140" t="str">
        <f>IF(+'Libro Diario'!H211=0,"",+'Libro Diario'!H211)</f>
        <v/>
      </c>
      <c r="H140" t="str">
        <f>IF(+'Libro Diario'!I211=0,"",+'Libro Diario'!I211)</f>
        <v/>
      </c>
      <c r="I140" t="str">
        <f>+IF(Table3[[#This Row],[Tipo Movimiento]]="Estructura Balance y PyG","Excluir","Incluir")</f>
        <v>Incluir</v>
      </c>
      <c r="J140" s="153">
        <f>+IF(Table3[[#This Row],[Sin cuenta]]="Con Mov.",(IF(Table3[[#This Row],[Movimiento]]="Debe",Table3[[#This Row],[Importe]],IF(Table3[[#This Row],[Movimiento]]="Haber",Table3[[#This Row],[Importe]]*-1,0))),0)</f>
        <v>0</v>
      </c>
      <c r="K140" s="145">
        <f t="shared" si="7"/>
        <v>0</v>
      </c>
      <c r="L140" s="145" t="str">
        <f t="shared" si="8"/>
        <v/>
      </c>
      <c r="M140" t="str">
        <f>_xlfn.XLOOKUP(Table3[[#This Row],[Cuenta]],Estructura_Balance[Nombre Cuenta ()],Estructura_Balance[Grupo],"",0)</f>
        <v/>
      </c>
      <c r="N140" t="str">
        <f>_xlfn.XLOOKUP(Table3[[#This Row],[Cuenta]],Estructura_Balance[Nombre Cuenta ()],Estructura_Balance[Nivel 1],"",0)</f>
        <v/>
      </c>
      <c r="O140" t="str">
        <f>_xlfn.XLOOKUP(Table3[[#This Row],[Cuenta]],Estructura_Balance[Nombre Cuenta ()],Estructura_Balance[Nivel 2],"",0)</f>
        <v/>
      </c>
      <c r="P140" t="str">
        <f>_xlfn.XLOOKUP(Table3[[#This Row],[Cuenta]],Estructura_Balance[Nombre Cuenta ()],Estructura_Balance[Nivel 3],"",0)</f>
        <v/>
      </c>
      <c r="Q140" t="str">
        <f>_xlfn.XLOOKUP(Table3[[#This Row],[Cuenta]],Estructura_Balance[Nombre Cuenta ()],Estructura_Balance[Nivel 4],"",0)</f>
        <v/>
      </c>
      <c r="R140" t="str">
        <f>_xlfn.XLOOKUP(Table3[[#This Row],[Cuenta]],Table8[Nombre Cuenta ()],Table8[Nivel 1],"",0)</f>
        <v/>
      </c>
      <c r="S140" t="str">
        <f>_xlfn.XLOOKUP(Table3[[#This Row],[Cuenta]],Table8[Nombre Cuenta ()],Table8[Nivel 2],"",0)</f>
        <v/>
      </c>
      <c r="T140" t="str">
        <f>_xlfn.XLOOKUP(Table3[[#This Row],[Cuenta]],Table8[Nombre Cuenta ()],Table8[Nivel 3],"",0)</f>
        <v/>
      </c>
      <c r="U140">
        <v>282</v>
      </c>
      <c r="V140" t="str">
        <f>_xlfn.XLOOKUP(Table3[[#This Row],[Cuenta]],Estructura_Balance[Nombre Cuenta ()],Estructura_Balance[Niveles:2],"",0)</f>
        <v/>
      </c>
      <c r="W140" t="str">
        <f>_xlfn.XLOOKUP(Table3[[#This Row],[Cuenta]],Estructura_Balance[Nombre Cuenta ()],Estructura_Balance[Niveles:3],"",0)</f>
        <v/>
      </c>
      <c r="X140" t="str">
        <f>_xlfn.XLOOKUP(Table3[[#This Row],[Cuenta]],Estructura_Balance[Nombre Cuenta ()],Estructura_Balance[Grupos],"Grupo 1",0)</f>
        <v>Grupo 1</v>
      </c>
      <c r="Y140" t="str">
        <f>+Table3[[#This Row],[BS_Nivel_1]]</f>
        <v/>
      </c>
    </row>
    <row r="141" spans="1:25">
      <c r="A141">
        <f>+'Libro Diario'!F212</f>
        <v>0</v>
      </c>
      <c r="B141" s="144">
        <f>VALUE(IF(+'Libro Diario'!G212="","01/01/2025",+'Libro Diario'!G212))</f>
        <v>45658</v>
      </c>
      <c r="C141">
        <f>IF(ISNUMBER(+IF(IFERROR(VALUE(MID('Libro Diario'!C212,1,4)),0)&lt;&gt;0,'Libro Diario'!C212,0))=FALSE,'Libro Diario'!C212,0)</f>
        <v>0</v>
      </c>
      <c r="D141" s="145" t="str">
        <f>+'Libro Diario'!B212</f>
        <v>DEBE</v>
      </c>
      <c r="E141" s="139" t="s">
        <v>445</v>
      </c>
      <c r="F141" t="str">
        <f t="shared" si="6"/>
        <v>Sin Mov.</v>
      </c>
      <c r="G141" t="str">
        <f>IF(+'Libro Diario'!H212=0,"",+'Libro Diario'!H212)</f>
        <v/>
      </c>
      <c r="H141" t="str">
        <f>IF(+'Libro Diario'!I212=0,"",+'Libro Diario'!I212)</f>
        <v/>
      </c>
      <c r="I141" t="str">
        <f>+IF(Table3[[#This Row],[Tipo Movimiento]]="Estructura Balance y PyG","Excluir","Incluir")</f>
        <v>Incluir</v>
      </c>
      <c r="J141" s="153">
        <f>+IF(Table3[[#This Row],[Sin cuenta]]="Con Mov.",(IF(Table3[[#This Row],[Movimiento]]="Debe",Table3[[#This Row],[Importe]],IF(Table3[[#This Row],[Movimiento]]="Haber",Table3[[#This Row],[Importe]]*-1,0))),0)</f>
        <v>0</v>
      </c>
      <c r="K141" s="145" t="str">
        <f t="shared" si="7"/>
        <v>DEBE</v>
      </c>
      <c r="L141" s="145" t="str">
        <f t="shared" si="8"/>
        <v/>
      </c>
      <c r="M141" t="str">
        <f>_xlfn.XLOOKUP(Table3[[#This Row],[Cuenta]],Estructura_Balance[Nombre Cuenta ()],Estructura_Balance[Grupo],"",0)</f>
        <v/>
      </c>
      <c r="N141" t="str">
        <f>_xlfn.XLOOKUP(Table3[[#This Row],[Cuenta]],Estructura_Balance[Nombre Cuenta ()],Estructura_Balance[Nivel 1],"",0)</f>
        <v/>
      </c>
      <c r="O141" t="str">
        <f>_xlfn.XLOOKUP(Table3[[#This Row],[Cuenta]],Estructura_Balance[Nombre Cuenta ()],Estructura_Balance[Nivel 2],"",0)</f>
        <v/>
      </c>
      <c r="P141" t="str">
        <f>_xlfn.XLOOKUP(Table3[[#This Row],[Cuenta]],Estructura_Balance[Nombre Cuenta ()],Estructura_Balance[Nivel 3],"",0)</f>
        <v/>
      </c>
      <c r="Q141" t="str">
        <f>_xlfn.XLOOKUP(Table3[[#This Row],[Cuenta]],Estructura_Balance[Nombre Cuenta ()],Estructura_Balance[Nivel 4],"",0)</f>
        <v/>
      </c>
      <c r="R141" t="str">
        <f>_xlfn.XLOOKUP(Table3[[#This Row],[Cuenta]],Table8[Nombre Cuenta ()],Table8[Nivel 1],"",0)</f>
        <v/>
      </c>
      <c r="S141" t="str">
        <f>_xlfn.XLOOKUP(Table3[[#This Row],[Cuenta]],Table8[Nombre Cuenta ()],Table8[Nivel 2],"",0)</f>
        <v/>
      </c>
      <c r="T141" t="str">
        <f>_xlfn.XLOOKUP(Table3[[#This Row],[Cuenta]],Table8[Nombre Cuenta ()],Table8[Nivel 3],"",0)</f>
        <v/>
      </c>
      <c r="U141">
        <v>283</v>
      </c>
      <c r="V141" t="str">
        <f>_xlfn.XLOOKUP(Table3[[#This Row],[Cuenta]],Estructura_Balance[Nombre Cuenta ()],Estructura_Balance[Niveles:2],"",0)</f>
        <v/>
      </c>
      <c r="W141" t="str">
        <f>_xlfn.XLOOKUP(Table3[[#This Row],[Cuenta]],Estructura_Balance[Nombre Cuenta ()],Estructura_Balance[Niveles:3],"",0)</f>
        <v/>
      </c>
      <c r="X141" t="str">
        <f>_xlfn.XLOOKUP(Table3[[#This Row],[Cuenta]],Estructura_Balance[Nombre Cuenta ()],Estructura_Balance[Grupos],"Grupo 1",0)</f>
        <v>Grupo 1</v>
      </c>
      <c r="Y141" t="str">
        <f>+Table3[[#This Row],[BS_Nivel_1]]</f>
        <v/>
      </c>
    </row>
    <row r="142" spans="1:25">
      <c r="A142">
        <f>+'Libro Diario'!F213</f>
        <v>0</v>
      </c>
      <c r="B142" s="144">
        <f>VALUE(IF(+'Libro Diario'!G213="","01/01/2025",+'Libro Diario'!G213))</f>
        <v>45658</v>
      </c>
      <c r="C142">
        <f>IF(ISNUMBER(+IF(IFERROR(VALUE(MID('Libro Diario'!C213,1,4)),0)&lt;&gt;0,'Libro Diario'!C213,0))=FALSE,'Libro Diario'!C213,0)</f>
        <v>0</v>
      </c>
      <c r="D142" s="145">
        <f>+'Libro Diario'!B213</f>
        <v>0</v>
      </c>
      <c r="E142" s="139" t="s">
        <v>445</v>
      </c>
      <c r="F142" t="str">
        <f t="shared" si="6"/>
        <v>Sin Mov.</v>
      </c>
      <c r="G142" t="str">
        <f>IF(+'Libro Diario'!H213=0,"",+'Libro Diario'!H213)</f>
        <v/>
      </c>
      <c r="H142" t="str">
        <f>IF(+'Libro Diario'!I213=0,"",+'Libro Diario'!I213)</f>
        <v/>
      </c>
      <c r="I142" t="str">
        <f>+IF(Table3[[#This Row],[Tipo Movimiento]]="Estructura Balance y PyG","Excluir","Incluir")</f>
        <v>Incluir</v>
      </c>
      <c r="J142" s="153">
        <f>+IF(Table3[[#This Row],[Sin cuenta]]="Con Mov.",(IF(Table3[[#This Row],[Movimiento]]="Debe",Table3[[#This Row],[Importe]],IF(Table3[[#This Row],[Movimiento]]="Haber",Table3[[#This Row],[Importe]]*-1,0))),0)</f>
        <v>0</v>
      </c>
      <c r="K142" s="145">
        <f t="shared" si="7"/>
        <v>0</v>
      </c>
      <c r="L142" s="145" t="str">
        <f t="shared" si="8"/>
        <v/>
      </c>
      <c r="M142" t="str">
        <f>_xlfn.XLOOKUP(Table3[[#This Row],[Cuenta]],Estructura_Balance[Nombre Cuenta ()],Estructura_Balance[Grupo],"",0)</f>
        <v/>
      </c>
      <c r="N142" t="str">
        <f>_xlfn.XLOOKUP(Table3[[#This Row],[Cuenta]],Estructura_Balance[Nombre Cuenta ()],Estructura_Balance[Nivel 1],"",0)</f>
        <v/>
      </c>
      <c r="O142" t="str">
        <f>_xlfn.XLOOKUP(Table3[[#This Row],[Cuenta]],Estructura_Balance[Nombre Cuenta ()],Estructura_Balance[Nivel 2],"",0)</f>
        <v/>
      </c>
      <c r="P142" t="str">
        <f>_xlfn.XLOOKUP(Table3[[#This Row],[Cuenta]],Estructura_Balance[Nombre Cuenta ()],Estructura_Balance[Nivel 3],"",0)</f>
        <v/>
      </c>
      <c r="Q142" t="str">
        <f>_xlfn.XLOOKUP(Table3[[#This Row],[Cuenta]],Estructura_Balance[Nombre Cuenta ()],Estructura_Balance[Nivel 4],"",0)</f>
        <v/>
      </c>
      <c r="R142" t="str">
        <f>_xlfn.XLOOKUP(Table3[[#This Row],[Cuenta]],Table8[Nombre Cuenta ()],Table8[Nivel 1],"",0)</f>
        <v/>
      </c>
      <c r="S142" t="str">
        <f>_xlfn.XLOOKUP(Table3[[#This Row],[Cuenta]],Table8[Nombre Cuenta ()],Table8[Nivel 2],"",0)</f>
        <v/>
      </c>
      <c r="T142" t="str">
        <f>_xlfn.XLOOKUP(Table3[[#This Row],[Cuenta]],Table8[Nombre Cuenta ()],Table8[Nivel 3],"",0)</f>
        <v/>
      </c>
      <c r="U142">
        <v>284</v>
      </c>
      <c r="V142" t="str">
        <f>_xlfn.XLOOKUP(Table3[[#This Row],[Cuenta]],Estructura_Balance[Nombre Cuenta ()],Estructura_Balance[Niveles:2],"",0)</f>
        <v/>
      </c>
      <c r="W142" t="str">
        <f>_xlfn.XLOOKUP(Table3[[#This Row],[Cuenta]],Estructura_Balance[Nombre Cuenta ()],Estructura_Balance[Niveles:3],"",0)</f>
        <v/>
      </c>
      <c r="X142" t="str">
        <f>_xlfn.XLOOKUP(Table3[[#This Row],[Cuenta]],Estructura_Balance[Nombre Cuenta ()],Estructura_Balance[Grupos],"Grupo 1",0)</f>
        <v>Grupo 1</v>
      </c>
      <c r="Y142" t="str">
        <f>+Table3[[#This Row],[BS_Nivel_1]]</f>
        <v/>
      </c>
    </row>
    <row r="143" spans="1:25">
      <c r="A143">
        <f>+'Libro Diario'!F216</f>
        <v>0</v>
      </c>
      <c r="B143" s="144">
        <f>VALUE(IF(+'Libro Diario'!G216="","01/01/2025",+'Libro Diario'!G216))</f>
        <v>45658</v>
      </c>
      <c r="C143">
        <f>IF(ISNUMBER(+IF(IFERROR(VALUE(MID('Libro Diario'!C216,1,4)),0)&lt;&gt;0,'Libro Diario'!C216,0))=FALSE,'Libro Diario'!C216,0)</f>
        <v>0</v>
      </c>
      <c r="D143" s="145" t="str">
        <f>+'Libro Diario'!B216</f>
        <v>Operaciones del Ejercicio</v>
      </c>
      <c r="E143" s="139" t="s">
        <v>445</v>
      </c>
      <c r="F143" t="str">
        <f t="shared" si="6"/>
        <v>Sin Mov.</v>
      </c>
      <c r="G143" t="str">
        <f>IF(+'Libro Diario'!H216=0,"",+'Libro Diario'!H216)</f>
        <v/>
      </c>
      <c r="H143" t="str">
        <f>IF(+'Libro Diario'!I216=0,"",+'Libro Diario'!I216)</f>
        <v/>
      </c>
      <c r="I143" t="str">
        <f>+IF(Table3[[#This Row],[Tipo Movimiento]]="Estructura Balance y PyG","Excluir","Incluir")</f>
        <v>Incluir</v>
      </c>
      <c r="J143" s="153">
        <f>+IF(Table3[[#This Row],[Sin cuenta]]="Con Mov.",(IF(Table3[[#This Row],[Movimiento]]="Debe",Table3[[#This Row],[Importe]],IF(Table3[[#This Row],[Movimiento]]="Haber",Table3[[#This Row],[Importe]]*-1,0))),0)</f>
        <v>0</v>
      </c>
      <c r="K143" s="145" t="str">
        <f t="shared" si="7"/>
        <v>Operaciones del Ejercicio</v>
      </c>
      <c r="L143" s="145" t="str">
        <f t="shared" si="8"/>
        <v/>
      </c>
      <c r="M143" t="str">
        <f>_xlfn.XLOOKUP(Table3[[#This Row],[Cuenta]],Estructura_Balance[Nombre Cuenta ()],Estructura_Balance[Grupo],"",0)</f>
        <v/>
      </c>
      <c r="N143" t="str">
        <f>_xlfn.XLOOKUP(Table3[[#This Row],[Cuenta]],Estructura_Balance[Nombre Cuenta ()],Estructura_Balance[Nivel 1],"",0)</f>
        <v/>
      </c>
      <c r="O143" t="str">
        <f>_xlfn.XLOOKUP(Table3[[#This Row],[Cuenta]],Estructura_Balance[Nombre Cuenta ()],Estructura_Balance[Nivel 2],"",0)</f>
        <v/>
      </c>
      <c r="P143" t="str">
        <f>_xlfn.XLOOKUP(Table3[[#This Row],[Cuenta]],Estructura_Balance[Nombre Cuenta ()],Estructura_Balance[Nivel 3],"",0)</f>
        <v/>
      </c>
      <c r="Q143" t="str">
        <f>_xlfn.XLOOKUP(Table3[[#This Row],[Cuenta]],Estructura_Balance[Nombre Cuenta ()],Estructura_Balance[Nivel 4],"",0)</f>
        <v/>
      </c>
      <c r="R143" t="str">
        <f>_xlfn.XLOOKUP(Table3[[#This Row],[Cuenta]],Table8[Nombre Cuenta ()],Table8[Nivel 1],"",0)</f>
        <v/>
      </c>
      <c r="S143" t="str">
        <f>_xlfn.XLOOKUP(Table3[[#This Row],[Cuenta]],Table8[Nombre Cuenta ()],Table8[Nivel 2],"",0)</f>
        <v/>
      </c>
      <c r="T143" t="str">
        <f>_xlfn.XLOOKUP(Table3[[#This Row],[Cuenta]],Table8[Nombre Cuenta ()],Table8[Nivel 3],"",0)</f>
        <v/>
      </c>
      <c r="U143">
        <v>289</v>
      </c>
      <c r="V143" t="str">
        <f>_xlfn.XLOOKUP(Table3[[#This Row],[Cuenta]],Estructura_Balance[Nombre Cuenta ()],Estructura_Balance[Niveles:2],"",0)</f>
        <v/>
      </c>
      <c r="W143" t="str">
        <f>_xlfn.XLOOKUP(Table3[[#This Row],[Cuenta]],Estructura_Balance[Nombre Cuenta ()],Estructura_Balance[Niveles:3],"",0)</f>
        <v/>
      </c>
      <c r="X143" t="str">
        <f>_xlfn.XLOOKUP(Table3[[#This Row],[Cuenta]],Estructura_Balance[Nombre Cuenta ()],Estructura_Balance[Grupos],"Grupo 1",0)</f>
        <v>Grupo 1</v>
      </c>
      <c r="Y143" t="str">
        <f>+Table3[[#This Row],[BS_Nivel_1]]</f>
        <v/>
      </c>
    </row>
    <row r="144" spans="1:25">
      <c r="A144">
        <f>+'Libro Diario'!F217</f>
        <v>0</v>
      </c>
      <c r="B144" s="144">
        <f>VALUE(IF(+'Libro Diario'!G217="","01/01/2025",+'Libro Diario'!G217))</f>
        <v>45658</v>
      </c>
      <c r="C144">
        <f>IF(ISNUMBER(+IF(IFERROR(VALUE(MID('Libro Diario'!C217,1,4)),0)&lt;&gt;0,'Libro Diario'!C217,0))=FALSE,'Libro Diario'!C217,0)</f>
        <v>0</v>
      </c>
      <c r="D144" s="145" t="str">
        <f>+'Libro Diario'!B217</f>
        <v>Asiento Cuadrado</v>
      </c>
      <c r="E144" s="139" t="s">
        <v>445</v>
      </c>
      <c r="F144" t="str">
        <f t="shared" si="6"/>
        <v>Sin Mov.</v>
      </c>
      <c r="G144" t="str">
        <f>IF(+'Libro Diario'!H217=0,"",+'Libro Diario'!H217)</f>
        <v/>
      </c>
      <c r="H144" t="str">
        <f>IF(+'Libro Diario'!I217=0,"",+'Libro Diario'!I217)</f>
        <v/>
      </c>
      <c r="I144" t="str">
        <f>+IF(Table3[[#This Row],[Tipo Movimiento]]="Estructura Balance y PyG","Excluir","Incluir")</f>
        <v>Incluir</v>
      </c>
      <c r="J144" s="153">
        <f>+IF(Table3[[#This Row],[Sin cuenta]]="Con Mov.",(IF(Table3[[#This Row],[Movimiento]]="Debe",Table3[[#This Row],[Importe]],IF(Table3[[#This Row],[Movimiento]]="Haber",Table3[[#This Row],[Importe]]*-1,0))),0)</f>
        <v>0</v>
      </c>
      <c r="K144" s="145" t="str">
        <f t="shared" si="7"/>
        <v>Asiento Cuadrado</v>
      </c>
      <c r="L144" s="145" t="str">
        <f t="shared" si="8"/>
        <v/>
      </c>
      <c r="M144" t="str">
        <f>_xlfn.XLOOKUP(Table3[[#This Row],[Cuenta]],Estructura_Balance[Nombre Cuenta ()],Estructura_Balance[Grupo],"",0)</f>
        <v/>
      </c>
      <c r="N144" t="str">
        <f>_xlfn.XLOOKUP(Table3[[#This Row],[Cuenta]],Estructura_Balance[Nombre Cuenta ()],Estructura_Balance[Nivel 1],"",0)</f>
        <v/>
      </c>
      <c r="O144" t="str">
        <f>_xlfn.XLOOKUP(Table3[[#This Row],[Cuenta]],Estructura_Balance[Nombre Cuenta ()],Estructura_Balance[Nivel 2],"",0)</f>
        <v/>
      </c>
      <c r="P144" t="str">
        <f>_xlfn.XLOOKUP(Table3[[#This Row],[Cuenta]],Estructura_Balance[Nombre Cuenta ()],Estructura_Balance[Nivel 3],"",0)</f>
        <v/>
      </c>
      <c r="Q144" t="str">
        <f>_xlfn.XLOOKUP(Table3[[#This Row],[Cuenta]],Estructura_Balance[Nombre Cuenta ()],Estructura_Balance[Nivel 4],"",0)</f>
        <v/>
      </c>
      <c r="R144" t="str">
        <f>_xlfn.XLOOKUP(Table3[[#This Row],[Cuenta]],Table8[Nombre Cuenta ()],Table8[Nivel 1],"",0)</f>
        <v/>
      </c>
      <c r="S144" t="str">
        <f>_xlfn.XLOOKUP(Table3[[#This Row],[Cuenta]],Table8[Nombre Cuenta ()],Table8[Nivel 2],"",0)</f>
        <v/>
      </c>
      <c r="T144" t="str">
        <f>_xlfn.XLOOKUP(Table3[[#This Row],[Cuenta]],Table8[Nombre Cuenta ()],Table8[Nivel 3],"",0)</f>
        <v/>
      </c>
      <c r="U144">
        <v>290</v>
      </c>
      <c r="V144" t="str">
        <f>_xlfn.XLOOKUP(Table3[[#This Row],[Cuenta]],Estructura_Balance[Nombre Cuenta ()],Estructura_Balance[Niveles:2],"",0)</f>
        <v/>
      </c>
      <c r="W144" t="str">
        <f>_xlfn.XLOOKUP(Table3[[#This Row],[Cuenta]],Estructura_Balance[Nombre Cuenta ()],Estructura_Balance[Niveles:3],"",0)</f>
        <v/>
      </c>
      <c r="X144" t="str">
        <f>_xlfn.XLOOKUP(Table3[[#This Row],[Cuenta]],Estructura_Balance[Nombre Cuenta ()],Estructura_Balance[Grupos],"Grupo 1",0)</f>
        <v>Grupo 1</v>
      </c>
      <c r="Y144" t="str">
        <f>+Table3[[#This Row],[BS_Nivel_1]]</f>
        <v/>
      </c>
    </row>
    <row r="145" spans="1:25">
      <c r="A145">
        <f>+'Libro Diario'!F218</f>
        <v>0</v>
      </c>
      <c r="B145" s="144">
        <f>VALUE(IF(+'Libro Diario'!G218="","01/01/2025",+'Libro Diario'!G218))</f>
        <v>45658</v>
      </c>
      <c r="C145">
        <f>IF(ISNUMBER(+IF(IFERROR(VALUE(MID('Libro Diario'!C218,1,4)),0)&lt;&gt;0,'Libro Diario'!C218,0))=FALSE,'Libro Diario'!C218,0)</f>
        <v>0</v>
      </c>
      <c r="D145" s="145">
        <f>+'Libro Diario'!B218</f>
        <v>0</v>
      </c>
      <c r="E145" s="139" t="s">
        <v>445</v>
      </c>
      <c r="F145" t="str">
        <f t="shared" si="6"/>
        <v>Sin Mov.</v>
      </c>
      <c r="G145" t="str">
        <f>IF(+'Libro Diario'!H218=0,"",+'Libro Diario'!H218)</f>
        <v/>
      </c>
      <c r="H145" t="str">
        <f>IF(+'Libro Diario'!I218=0,"",+'Libro Diario'!I218)</f>
        <v/>
      </c>
      <c r="I145" t="str">
        <f>+IF(Table3[[#This Row],[Tipo Movimiento]]="Estructura Balance y PyG","Excluir","Incluir")</f>
        <v>Incluir</v>
      </c>
      <c r="J145" s="153">
        <f>+IF(Table3[[#This Row],[Sin cuenta]]="Con Mov.",(IF(Table3[[#This Row],[Movimiento]]="Debe",Table3[[#This Row],[Importe]],IF(Table3[[#This Row],[Movimiento]]="Haber",Table3[[#This Row],[Importe]]*-1,0))),0)</f>
        <v>0</v>
      </c>
      <c r="K145" s="145">
        <f t="shared" si="7"/>
        <v>0</v>
      </c>
      <c r="L145" s="145" t="str">
        <f t="shared" si="8"/>
        <v/>
      </c>
      <c r="M145" t="str">
        <f>_xlfn.XLOOKUP(Table3[[#This Row],[Cuenta]],Estructura_Balance[Nombre Cuenta ()],Estructura_Balance[Grupo],"",0)</f>
        <v/>
      </c>
      <c r="N145" t="str">
        <f>_xlfn.XLOOKUP(Table3[[#This Row],[Cuenta]],Estructura_Balance[Nombre Cuenta ()],Estructura_Balance[Nivel 1],"",0)</f>
        <v/>
      </c>
      <c r="O145" t="str">
        <f>_xlfn.XLOOKUP(Table3[[#This Row],[Cuenta]],Estructura_Balance[Nombre Cuenta ()],Estructura_Balance[Nivel 2],"",0)</f>
        <v/>
      </c>
      <c r="P145" t="str">
        <f>_xlfn.XLOOKUP(Table3[[#This Row],[Cuenta]],Estructura_Balance[Nombre Cuenta ()],Estructura_Balance[Nivel 3],"",0)</f>
        <v/>
      </c>
      <c r="Q145" t="str">
        <f>_xlfn.XLOOKUP(Table3[[#This Row],[Cuenta]],Estructura_Balance[Nombre Cuenta ()],Estructura_Balance[Nivel 4],"",0)</f>
        <v/>
      </c>
      <c r="R145" t="str">
        <f>_xlfn.XLOOKUP(Table3[[#This Row],[Cuenta]],Table8[Nombre Cuenta ()],Table8[Nivel 1],"",0)</f>
        <v/>
      </c>
      <c r="S145" t="str">
        <f>_xlfn.XLOOKUP(Table3[[#This Row],[Cuenta]],Table8[Nombre Cuenta ()],Table8[Nivel 2],"",0)</f>
        <v/>
      </c>
      <c r="T145" t="str">
        <f>_xlfn.XLOOKUP(Table3[[#This Row],[Cuenta]],Table8[Nombre Cuenta ()],Table8[Nivel 3],"",0)</f>
        <v/>
      </c>
      <c r="U145">
        <v>291</v>
      </c>
      <c r="V145" t="str">
        <f>_xlfn.XLOOKUP(Table3[[#This Row],[Cuenta]],Estructura_Balance[Nombre Cuenta ()],Estructura_Balance[Niveles:2],"",0)</f>
        <v/>
      </c>
      <c r="W145" t="str">
        <f>_xlfn.XLOOKUP(Table3[[#This Row],[Cuenta]],Estructura_Balance[Nombre Cuenta ()],Estructura_Balance[Niveles:3],"",0)</f>
        <v/>
      </c>
      <c r="X145" t="str">
        <f>_xlfn.XLOOKUP(Table3[[#This Row],[Cuenta]],Estructura_Balance[Nombre Cuenta ()],Estructura_Balance[Grupos],"Grupo 1",0)</f>
        <v>Grupo 1</v>
      </c>
      <c r="Y145" t="str">
        <f>+Table3[[#This Row],[BS_Nivel_1]]</f>
        <v/>
      </c>
    </row>
    <row r="146" spans="1:25">
      <c r="A146">
        <f>+'Libro Diario'!F219</f>
        <v>0</v>
      </c>
      <c r="B146" s="144">
        <f>VALUE(IF(+'Libro Diario'!G219="","01/01/2025",+'Libro Diario'!G219))</f>
        <v>45658</v>
      </c>
      <c r="C146">
        <f>IF(ISNUMBER(+IF(IFERROR(VALUE(MID('Libro Diario'!C219,1,4)),0)&lt;&gt;0,'Libro Diario'!C219,0))=FALSE,'Libro Diario'!C219,0)</f>
        <v>0</v>
      </c>
      <c r="D146" s="145" t="str">
        <f>+'Libro Diario'!B219</f>
        <v>DEBE</v>
      </c>
      <c r="E146" s="139" t="s">
        <v>445</v>
      </c>
      <c r="F146" t="str">
        <f t="shared" si="6"/>
        <v>Sin Mov.</v>
      </c>
      <c r="G146" t="str">
        <f>IF(+'Libro Diario'!H219=0,"",+'Libro Diario'!H219)</f>
        <v/>
      </c>
      <c r="H146" t="str">
        <f>IF(+'Libro Diario'!I219=0,"",+'Libro Diario'!I219)</f>
        <v/>
      </c>
      <c r="I146" t="str">
        <f>+IF(Table3[[#This Row],[Tipo Movimiento]]="Estructura Balance y PyG","Excluir","Incluir")</f>
        <v>Incluir</v>
      </c>
      <c r="J146" s="153">
        <f>+IF(Table3[[#This Row],[Sin cuenta]]="Con Mov.",(IF(Table3[[#This Row],[Movimiento]]="Debe",Table3[[#This Row],[Importe]],IF(Table3[[#This Row],[Movimiento]]="Haber",Table3[[#This Row],[Importe]]*-1,0))),0)</f>
        <v>0</v>
      </c>
      <c r="K146" s="145" t="str">
        <f t="shared" si="7"/>
        <v>DEBE</v>
      </c>
      <c r="L146" s="145" t="str">
        <f t="shared" si="8"/>
        <v/>
      </c>
      <c r="M146" t="str">
        <f>_xlfn.XLOOKUP(Table3[[#This Row],[Cuenta]],Estructura_Balance[Nombre Cuenta ()],Estructura_Balance[Grupo],"",0)</f>
        <v/>
      </c>
      <c r="N146" t="str">
        <f>_xlfn.XLOOKUP(Table3[[#This Row],[Cuenta]],Estructura_Balance[Nombre Cuenta ()],Estructura_Balance[Nivel 1],"",0)</f>
        <v/>
      </c>
      <c r="O146" t="str">
        <f>_xlfn.XLOOKUP(Table3[[#This Row],[Cuenta]],Estructura_Balance[Nombre Cuenta ()],Estructura_Balance[Nivel 2],"",0)</f>
        <v/>
      </c>
      <c r="P146" t="str">
        <f>_xlfn.XLOOKUP(Table3[[#This Row],[Cuenta]],Estructura_Balance[Nombre Cuenta ()],Estructura_Balance[Nivel 3],"",0)</f>
        <v/>
      </c>
      <c r="Q146" t="str">
        <f>_xlfn.XLOOKUP(Table3[[#This Row],[Cuenta]],Estructura_Balance[Nombre Cuenta ()],Estructura_Balance[Nivel 4],"",0)</f>
        <v/>
      </c>
      <c r="R146" t="str">
        <f>_xlfn.XLOOKUP(Table3[[#This Row],[Cuenta]],Table8[Nombre Cuenta ()],Table8[Nivel 1],"",0)</f>
        <v/>
      </c>
      <c r="S146" t="str">
        <f>_xlfn.XLOOKUP(Table3[[#This Row],[Cuenta]],Table8[Nombre Cuenta ()],Table8[Nivel 2],"",0)</f>
        <v/>
      </c>
      <c r="T146" t="str">
        <f>_xlfn.XLOOKUP(Table3[[#This Row],[Cuenta]],Table8[Nombre Cuenta ()],Table8[Nivel 3],"",0)</f>
        <v/>
      </c>
      <c r="U146">
        <v>294</v>
      </c>
      <c r="V146" t="str">
        <f>_xlfn.XLOOKUP(Table3[[#This Row],[Cuenta]],Estructura_Balance[Nombre Cuenta ()],Estructura_Balance[Niveles:2],"",0)</f>
        <v/>
      </c>
      <c r="W146" t="str">
        <f>_xlfn.XLOOKUP(Table3[[#This Row],[Cuenta]],Estructura_Balance[Nombre Cuenta ()],Estructura_Balance[Niveles:3],"",0)</f>
        <v/>
      </c>
      <c r="X146" t="str">
        <f>_xlfn.XLOOKUP(Table3[[#This Row],[Cuenta]],Estructura_Balance[Nombre Cuenta ()],Estructura_Balance[Grupos],"Grupo 1",0)</f>
        <v>Grupo 1</v>
      </c>
      <c r="Y146" t="str">
        <f>+Table3[[#This Row],[BS_Nivel_1]]</f>
        <v/>
      </c>
    </row>
    <row r="147" spans="1:25">
      <c r="A147">
        <f>+'Libro Diario'!F220</f>
        <v>0</v>
      </c>
      <c r="B147" s="144">
        <f>VALUE(IF(+'Libro Diario'!G220="","01/01/2025",+'Libro Diario'!G220))</f>
        <v>45658</v>
      </c>
      <c r="C147">
        <f>IF(ISNUMBER(+IF(IFERROR(VALUE(MID('Libro Diario'!C220,1,4)),0)&lt;&gt;0,'Libro Diario'!C220,0))=FALSE,'Libro Diario'!C220,0)</f>
        <v>0</v>
      </c>
      <c r="D147" s="145">
        <f>+'Libro Diario'!B220</f>
        <v>0</v>
      </c>
      <c r="E147" s="139" t="s">
        <v>445</v>
      </c>
      <c r="F147" t="str">
        <f t="shared" si="6"/>
        <v>Sin Mov.</v>
      </c>
      <c r="G147" t="str">
        <f>IF(+'Libro Diario'!H220=0,"",+'Libro Diario'!H220)</f>
        <v/>
      </c>
      <c r="H147" t="str">
        <f>IF(+'Libro Diario'!I220=0,"",+'Libro Diario'!I220)</f>
        <v/>
      </c>
      <c r="I147" t="str">
        <f>+IF(Table3[[#This Row],[Tipo Movimiento]]="Estructura Balance y PyG","Excluir","Incluir")</f>
        <v>Incluir</v>
      </c>
      <c r="J147" s="153">
        <f>+IF(Table3[[#This Row],[Sin cuenta]]="Con Mov.",(IF(Table3[[#This Row],[Movimiento]]="Debe",Table3[[#This Row],[Importe]],IF(Table3[[#This Row],[Movimiento]]="Haber",Table3[[#This Row],[Importe]]*-1,0))),0)</f>
        <v>0</v>
      </c>
      <c r="K147" s="145">
        <f t="shared" si="7"/>
        <v>0</v>
      </c>
      <c r="L147" s="145" t="str">
        <f t="shared" si="8"/>
        <v/>
      </c>
      <c r="M147" t="str">
        <f>_xlfn.XLOOKUP(Table3[[#This Row],[Cuenta]],Estructura_Balance[Nombre Cuenta ()],Estructura_Balance[Grupo],"",0)</f>
        <v/>
      </c>
      <c r="N147" t="str">
        <f>_xlfn.XLOOKUP(Table3[[#This Row],[Cuenta]],Estructura_Balance[Nombre Cuenta ()],Estructura_Balance[Nivel 1],"",0)</f>
        <v/>
      </c>
      <c r="O147" t="str">
        <f>_xlfn.XLOOKUP(Table3[[#This Row],[Cuenta]],Estructura_Balance[Nombre Cuenta ()],Estructura_Balance[Nivel 2],"",0)</f>
        <v/>
      </c>
      <c r="P147" t="str">
        <f>_xlfn.XLOOKUP(Table3[[#This Row],[Cuenta]],Estructura_Balance[Nombre Cuenta ()],Estructura_Balance[Nivel 3],"",0)</f>
        <v/>
      </c>
      <c r="Q147" t="str">
        <f>_xlfn.XLOOKUP(Table3[[#This Row],[Cuenta]],Estructura_Balance[Nombre Cuenta ()],Estructura_Balance[Nivel 4],"",0)</f>
        <v/>
      </c>
      <c r="R147" t="str">
        <f>_xlfn.XLOOKUP(Table3[[#This Row],[Cuenta]],Table8[Nombre Cuenta ()],Table8[Nivel 1],"",0)</f>
        <v/>
      </c>
      <c r="S147" t="str">
        <f>_xlfn.XLOOKUP(Table3[[#This Row],[Cuenta]],Table8[Nombre Cuenta ()],Table8[Nivel 2],"",0)</f>
        <v/>
      </c>
      <c r="T147" t="str">
        <f>_xlfn.XLOOKUP(Table3[[#This Row],[Cuenta]],Table8[Nombre Cuenta ()],Table8[Nivel 3],"",0)</f>
        <v/>
      </c>
      <c r="U147">
        <v>295</v>
      </c>
      <c r="V147" t="str">
        <f>_xlfn.XLOOKUP(Table3[[#This Row],[Cuenta]],Estructura_Balance[Nombre Cuenta ()],Estructura_Balance[Niveles:2],"",0)</f>
        <v/>
      </c>
      <c r="W147" t="str">
        <f>_xlfn.XLOOKUP(Table3[[#This Row],[Cuenta]],Estructura_Balance[Nombre Cuenta ()],Estructura_Balance[Niveles:3],"",0)</f>
        <v/>
      </c>
      <c r="X147" t="str">
        <f>_xlfn.XLOOKUP(Table3[[#This Row],[Cuenta]],Estructura_Balance[Nombre Cuenta ()],Estructura_Balance[Grupos],"Grupo 1",0)</f>
        <v>Grupo 1</v>
      </c>
      <c r="Y147" t="str">
        <f>+Table3[[#This Row],[BS_Nivel_1]]</f>
        <v/>
      </c>
    </row>
    <row r="148" spans="1:25">
      <c r="A148">
        <f>+'Libro Diario'!F223</f>
        <v>0</v>
      </c>
      <c r="B148" s="144">
        <f>VALUE(IF(+'Libro Diario'!G223="","01/01/2025",+'Libro Diario'!G223))</f>
        <v>45658</v>
      </c>
      <c r="C148">
        <f>IF(ISNUMBER(+IF(IFERROR(VALUE(MID('Libro Diario'!C223,1,4)),0)&lt;&gt;0,'Libro Diario'!C223,0))=FALSE,'Libro Diario'!C223,0)</f>
        <v>0</v>
      </c>
      <c r="D148" s="145" t="str">
        <f>+'Libro Diario'!B223</f>
        <v>Operaciones del Ejercicio</v>
      </c>
      <c r="E148" s="139" t="s">
        <v>445</v>
      </c>
      <c r="F148" t="str">
        <f t="shared" si="6"/>
        <v>Sin Mov.</v>
      </c>
      <c r="G148" t="str">
        <f>IF(+'Libro Diario'!H223=0,"",+'Libro Diario'!H223)</f>
        <v/>
      </c>
      <c r="H148" t="str">
        <f>IF(+'Libro Diario'!I223=0,"",+'Libro Diario'!I223)</f>
        <v/>
      </c>
      <c r="I148" t="str">
        <f>+IF(Table3[[#This Row],[Tipo Movimiento]]="Estructura Balance y PyG","Excluir","Incluir")</f>
        <v>Incluir</v>
      </c>
      <c r="J148" s="153">
        <f>+IF(Table3[[#This Row],[Sin cuenta]]="Con Mov.",(IF(Table3[[#This Row],[Movimiento]]="Debe",Table3[[#This Row],[Importe]],IF(Table3[[#This Row],[Movimiento]]="Haber",Table3[[#This Row],[Importe]]*-1,0))),0)</f>
        <v>0</v>
      </c>
      <c r="K148" s="145" t="str">
        <f t="shared" si="7"/>
        <v>Operaciones del Ejercicio</v>
      </c>
      <c r="L148" s="145" t="str">
        <f t="shared" si="8"/>
        <v/>
      </c>
      <c r="M148" t="str">
        <f>_xlfn.XLOOKUP(Table3[[#This Row],[Cuenta]],Estructura_Balance[Nombre Cuenta ()],Estructura_Balance[Grupo],"",0)</f>
        <v/>
      </c>
      <c r="N148" t="str">
        <f>_xlfn.XLOOKUP(Table3[[#This Row],[Cuenta]],Estructura_Balance[Nombre Cuenta ()],Estructura_Balance[Nivel 1],"",0)</f>
        <v/>
      </c>
      <c r="O148" t="str">
        <f>_xlfn.XLOOKUP(Table3[[#This Row],[Cuenta]],Estructura_Balance[Nombre Cuenta ()],Estructura_Balance[Nivel 2],"",0)</f>
        <v/>
      </c>
      <c r="P148" t="str">
        <f>_xlfn.XLOOKUP(Table3[[#This Row],[Cuenta]],Estructura_Balance[Nombre Cuenta ()],Estructura_Balance[Nivel 3],"",0)</f>
        <v/>
      </c>
      <c r="Q148" t="str">
        <f>_xlfn.XLOOKUP(Table3[[#This Row],[Cuenta]],Estructura_Balance[Nombre Cuenta ()],Estructura_Balance[Nivel 4],"",0)</f>
        <v/>
      </c>
      <c r="R148" t="str">
        <f>_xlfn.XLOOKUP(Table3[[#This Row],[Cuenta]],Table8[Nombre Cuenta ()],Table8[Nivel 1],"",0)</f>
        <v/>
      </c>
      <c r="S148" t="str">
        <f>_xlfn.XLOOKUP(Table3[[#This Row],[Cuenta]],Table8[Nombre Cuenta ()],Table8[Nivel 2],"",0)</f>
        <v/>
      </c>
      <c r="T148" t="str">
        <f>_xlfn.XLOOKUP(Table3[[#This Row],[Cuenta]],Table8[Nombre Cuenta ()],Table8[Nivel 3],"",0)</f>
        <v/>
      </c>
      <c r="U148">
        <v>298</v>
      </c>
      <c r="V148" t="str">
        <f>_xlfn.XLOOKUP(Table3[[#This Row],[Cuenta]],Estructura_Balance[Nombre Cuenta ()],Estructura_Balance[Niveles:2],"",0)</f>
        <v/>
      </c>
      <c r="W148" t="str">
        <f>_xlfn.XLOOKUP(Table3[[#This Row],[Cuenta]],Estructura_Balance[Nombre Cuenta ()],Estructura_Balance[Niveles:3],"",0)</f>
        <v/>
      </c>
      <c r="X148" t="str">
        <f>_xlfn.XLOOKUP(Table3[[#This Row],[Cuenta]],Estructura_Balance[Nombre Cuenta ()],Estructura_Balance[Grupos],"Grupo 1",0)</f>
        <v>Grupo 1</v>
      </c>
      <c r="Y148" t="str">
        <f>+Table3[[#This Row],[BS_Nivel_1]]</f>
        <v/>
      </c>
    </row>
    <row r="149" spans="1:25">
      <c r="A149">
        <f>+'Libro Diario'!F224</f>
        <v>0</v>
      </c>
      <c r="B149" s="144">
        <f>VALUE(IF(+'Libro Diario'!G224="","01/01/2025",+'Libro Diario'!G224))</f>
        <v>45658</v>
      </c>
      <c r="C149">
        <f>IF(ISNUMBER(+IF(IFERROR(VALUE(MID('Libro Diario'!C224,1,4)),0)&lt;&gt;0,'Libro Diario'!C224,0))=FALSE,'Libro Diario'!C224,0)</f>
        <v>0</v>
      </c>
      <c r="D149" s="145" t="str">
        <f>+'Libro Diario'!B224</f>
        <v>Asiento Cuadrado</v>
      </c>
      <c r="E149" s="139" t="s">
        <v>445</v>
      </c>
      <c r="F149" t="str">
        <f t="shared" si="6"/>
        <v>Sin Mov.</v>
      </c>
      <c r="G149" t="str">
        <f>IF(+'Libro Diario'!H224=0,"",+'Libro Diario'!H224)</f>
        <v/>
      </c>
      <c r="H149" t="str">
        <f>IF(+'Libro Diario'!I224=0,"",+'Libro Diario'!I224)</f>
        <v/>
      </c>
      <c r="I149" t="str">
        <f>+IF(Table3[[#This Row],[Tipo Movimiento]]="Estructura Balance y PyG","Excluir","Incluir")</f>
        <v>Incluir</v>
      </c>
      <c r="J149" s="153">
        <f>+IF(Table3[[#This Row],[Sin cuenta]]="Con Mov.",(IF(Table3[[#This Row],[Movimiento]]="Debe",Table3[[#This Row],[Importe]],IF(Table3[[#This Row],[Movimiento]]="Haber",Table3[[#This Row],[Importe]]*-1,0))),0)</f>
        <v>0</v>
      </c>
      <c r="K149" s="145" t="str">
        <f t="shared" si="7"/>
        <v>Asiento Cuadrado</v>
      </c>
      <c r="L149" s="145" t="str">
        <f t="shared" si="8"/>
        <v/>
      </c>
      <c r="M149" t="str">
        <f>_xlfn.XLOOKUP(Table3[[#This Row],[Cuenta]],Estructura_Balance[Nombre Cuenta ()],Estructura_Balance[Grupo],"",0)</f>
        <v/>
      </c>
      <c r="N149" t="str">
        <f>_xlfn.XLOOKUP(Table3[[#This Row],[Cuenta]],Estructura_Balance[Nombre Cuenta ()],Estructura_Balance[Nivel 1],"",0)</f>
        <v/>
      </c>
      <c r="O149" t="str">
        <f>_xlfn.XLOOKUP(Table3[[#This Row],[Cuenta]],Estructura_Balance[Nombre Cuenta ()],Estructura_Balance[Nivel 2],"",0)</f>
        <v/>
      </c>
      <c r="P149" t="str">
        <f>_xlfn.XLOOKUP(Table3[[#This Row],[Cuenta]],Estructura_Balance[Nombre Cuenta ()],Estructura_Balance[Nivel 3],"",0)</f>
        <v/>
      </c>
      <c r="Q149" t="str">
        <f>_xlfn.XLOOKUP(Table3[[#This Row],[Cuenta]],Estructura_Balance[Nombre Cuenta ()],Estructura_Balance[Nivel 4],"",0)</f>
        <v/>
      </c>
      <c r="R149" t="str">
        <f>_xlfn.XLOOKUP(Table3[[#This Row],[Cuenta]],Table8[Nombre Cuenta ()],Table8[Nivel 1],"",0)</f>
        <v/>
      </c>
      <c r="S149" t="str">
        <f>_xlfn.XLOOKUP(Table3[[#This Row],[Cuenta]],Table8[Nombre Cuenta ()],Table8[Nivel 2],"",0)</f>
        <v/>
      </c>
      <c r="T149" t="str">
        <f>_xlfn.XLOOKUP(Table3[[#This Row],[Cuenta]],Table8[Nombre Cuenta ()],Table8[Nivel 3],"",0)</f>
        <v/>
      </c>
      <c r="U149">
        <v>301</v>
      </c>
      <c r="V149" t="str">
        <f>_xlfn.XLOOKUP(Table3[[#This Row],[Cuenta]],Estructura_Balance[Nombre Cuenta ()],Estructura_Balance[Niveles:2],"",0)</f>
        <v/>
      </c>
      <c r="W149" t="str">
        <f>_xlfn.XLOOKUP(Table3[[#This Row],[Cuenta]],Estructura_Balance[Nombre Cuenta ()],Estructura_Balance[Niveles:3],"",0)</f>
        <v/>
      </c>
      <c r="X149" t="str">
        <f>_xlfn.XLOOKUP(Table3[[#This Row],[Cuenta]],Estructura_Balance[Nombre Cuenta ()],Estructura_Balance[Grupos],"Grupo 1",0)</f>
        <v>Grupo 1</v>
      </c>
      <c r="Y149" t="str">
        <f>+Table3[[#This Row],[BS_Nivel_1]]</f>
        <v/>
      </c>
    </row>
    <row r="150" spans="1:25">
      <c r="A150">
        <f>+'Libro Diario'!F225</f>
        <v>0</v>
      </c>
      <c r="B150" s="144">
        <f>VALUE(IF(+'Libro Diario'!G225="","01/01/2025",+'Libro Diario'!G225))</f>
        <v>45658</v>
      </c>
      <c r="C150">
        <f>IF(ISNUMBER(+IF(IFERROR(VALUE(MID('Libro Diario'!C225,1,4)),0)&lt;&gt;0,'Libro Diario'!C225,0))=FALSE,'Libro Diario'!C225,0)</f>
        <v>0</v>
      </c>
      <c r="D150" s="145">
        <f>+'Libro Diario'!B225</f>
        <v>0</v>
      </c>
      <c r="E150" s="139" t="s">
        <v>445</v>
      </c>
      <c r="F150" t="str">
        <f t="shared" si="6"/>
        <v>Sin Mov.</v>
      </c>
      <c r="G150" t="str">
        <f>IF(+'Libro Diario'!H225=0,"",+'Libro Diario'!H225)</f>
        <v/>
      </c>
      <c r="H150" t="str">
        <f>IF(+'Libro Diario'!I225=0,"",+'Libro Diario'!I225)</f>
        <v/>
      </c>
      <c r="I150" t="str">
        <f>+IF(Table3[[#This Row],[Tipo Movimiento]]="Estructura Balance y PyG","Excluir","Incluir")</f>
        <v>Incluir</v>
      </c>
      <c r="J150" s="153">
        <f>+IF(Table3[[#This Row],[Sin cuenta]]="Con Mov.",(IF(Table3[[#This Row],[Movimiento]]="Debe",Table3[[#This Row],[Importe]],IF(Table3[[#This Row],[Movimiento]]="Haber",Table3[[#This Row],[Importe]]*-1,0))),0)</f>
        <v>0</v>
      </c>
      <c r="K150" s="145">
        <f t="shared" si="7"/>
        <v>0</v>
      </c>
      <c r="L150" s="145" t="str">
        <f t="shared" si="8"/>
        <v/>
      </c>
      <c r="M150" t="str">
        <f>_xlfn.XLOOKUP(Table3[[#This Row],[Cuenta]],Estructura_Balance[Nombre Cuenta ()],Estructura_Balance[Grupo],"",0)</f>
        <v/>
      </c>
      <c r="N150" t="str">
        <f>_xlfn.XLOOKUP(Table3[[#This Row],[Cuenta]],Estructura_Balance[Nombre Cuenta ()],Estructura_Balance[Nivel 1],"",0)</f>
        <v/>
      </c>
      <c r="O150" t="str">
        <f>_xlfn.XLOOKUP(Table3[[#This Row],[Cuenta]],Estructura_Balance[Nombre Cuenta ()],Estructura_Balance[Nivel 2],"",0)</f>
        <v/>
      </c>
      <c r="P150" t="str">
        <f>_xlfn.XLOOKUP(Table3[[#This Row],[Cuenta]],Estructura_Balance[Nombre Cuenta ()],Estructura_Balance[Nivel 3],"",0)</f>
        <v/>
      </c>
      <c r="Q150" t="str">
        <f>_xlfn.XLOOKUP(Table3[[#This Row],[Cuenta]],Estructura_Balance[Nombre Cuenta ()],Estructura_Balance[Nivel 4],"",0)</f>
        <v/>
      </c>
      <c r="R150" t="str">
        <f>_xlfn.XLOOKUP(Table3[[#This Row],[Cuenta]],Table8[Nombre Cuenta ()],Table8[Nivel 1],"",0)</f>
        <v/>
      </c>
      <c r="S150" t="str">
        <f>_xlfn.XLOOKUP(Table3[[#This Row],[Cuenta]],Table8[Nombre Cuenta ()],Table8[Nivel 2],"",0)</f>
        <v/>
      </c>
      <c r="T150" t="str">
        <f>_xlfn.XLOOKUP(Table3[[#This Row],[Cuenta]],Table8[Nombre Cuenta ()],Table8[Nivel 3],"",0)</f>
        <v/>
      </c>
      <c r="U150">
        <v>302</v>
      </c>
      <c r="V150" t="str">
        <f>_xlfn.XLOOKUP(Table3[[#This Row],[Cuenta]],Estructura_Balance[Nombre Cuenta ()],Estructura_Balance[Niveles:2],"",0)</f>
        <v/>
      </c>
      <c r="W150" t="str">
        <f>_xlfn.XLOOKUP(Table3[[#This Row],[Cuenta]],Estructura_Balance[Nombre Cuenta ()],Estructura_Balance[Niveles:3],"",0)</f>
        <v/>
      </c>
      <c r="X150" t="str">
        <f>_xlfn.XLOOKUP(Table3[[#This Row],[Cuenta]],Estructura_Balance[Nombre Cuenta ()],Estructura_Balance[Grupos],"Grupo 1",0)</f>
        <v>Grupo 1</v>
      </c>
      <c r="Y150" t="str">
        <f>+Table3[[#This Row],[BS_Nivel_1]]</f>
        <v/>
      </c>
    </row>
    <row r="151" spans="1:25">
      <c r="A151">
        <f>+'Libro Diario'!F226</f>
        <v>0</v>
      </c>
      <c r="B151" s="144">
        <f>VALUE(IF(+'Libro Diario'!G226="","01/01/2025",+'Libro Diario'!G226))</f>
        <v>45658</v>
      </c>
      <c r="C151">
        <f>IF(ISNUMBER(+IF(IFERROR(VALUE(MID('Libro Diario'!C226,1,4)),0)&lt;&gt;0,'Libro Diario'!C226,0))=FALSE,'Libro Diario'!C226,0)</f>
        <v>0</v>
      </c>
      <c r="D151" s="145" t="str">
        <f>+'Libro Diario'!B226</f>
        <v>DEBE</v>
      </c>
      <c r="E151" s="139" t="s">
        <v>445</v>
      </c>
      <c r="F151" t="str">
        <f t="shared" si="6"/>
        <v>Sin Mov.</v>
      </c>
      <c r="G151" t="str">
        <f>IF(+'Libro Diario'!H226=0,"",+'Libro Diario'!H226)</f>
        <v/>
      </c>
      <c r="H151" t="str">
        <f>IF(+'Libro Diario'!I226=0,"",+'Libro Diario'!I226)</f>
        <v/>
      </c>
      <c r="I151" t="str">
        <f>+IF(Table3[[#This Row],[Tipo Movimiento]]="Estructura Balance y PyG","Excluir","Incluir")</f>
        <v>Incluir</v>
      </c>
      <c r="J151" s="153">
        <f>+IF(Table3[[#This Row],[Sin cuenta]]="Con Mov.",(IF(Table3[[#This Row],[Movimiento]]="Debe",Table3[[#This Row],[Importe]],IF(Table3[[#This Row],[Movimiento]]="Haber",Table3[[#This Row],[Importe]]*-1,0))),0)</f>
        <v>0</v>
      </c>
      <c r="K151" s="145" t="str">
        <f t="shared" si="7"/>
        <v>DEBE</v>
      </c>
      <c r="L151" s="145" t="str">
        <f t="shared" si="8"/>
        <v/>
      </c>
      <c r="M151" t="str">
        <f>_xlfn.XLOOKUP(Table3[[#This Row],[Cuenta]],Estructura_Balance[Nombre Cuenta ()],Estructura_Balance[Grupo],"",0)</f>
        <v/>
      </c>
      <c r="N151" t="str">
        <f>_xlfn.XLOOKUP(Table3[[#This Row],[Cuenta]],Estructura_Balance[Nombre Cuenta ()],Estructura_Balance[Nivel 1],"",0)</f>
        <v/>
      </c>
      <c r="O151" t="str">
        <f>_xlfn.XLOOKUP(Table3[[#This Row],[Cuenta]],Estructura_Balance[Nombre Cuenta ()],Estructura_Balance[Nivel 2],"",0)</f>
        <v/>
      </c>
      <c r="P151" t="str">
        <f>_xlfn.XLOOKUP(Table3[[#This Row],[Cuenta]],Estructura_Balance[Nombre Cuenta ()],Estructura_Balance[Nivel 3],"",0)</f>
        <v/>
      </c>
      <c r="Q151" t="str">
        <f>_xlfn.XLOOKUP(Table3[[#This Row],[Cuenta]],Estructura_Balance[Nombre Cuenta ()],Estructura_Balance[Nivel 4],"",0)</f>
        <v/>
      </c>
      <c r="R151" t="str">
        <f>_xlfn.XLOOKUP(Table3[[#This Row],[Cuenta]],Table8[Nombre Cuenta ()],Table8[Nivel 1],"",0)</f>
        <v/>
      </c>
      <c r="S151" t="str">
        <f>_xlfn.XLOOKUP(Table3[[#This Row],[Cuenta]],Table8[Nombre Cuenta ()],Table8[Nivel 2],"",0)</f>
        <v/>
      </c>
      <c r="T151" t="str">
        <f>_xlfn.XLOOKUP(Table3[[#This Row],[Cuenta]],Table8[Nombre Cuenta ()],Table8[Nivel 3],"",0)</f>
        <v/>
      </c>
      <c r="U151">
        <v>303</v>
      </c>
      <c r="V151" t="str">
        <f>_xlfn.XLOOKUP(Table3[[#This Row],[Cuenta]],Estructura_Balance[Nombre Cuenta ()],Estructura_Balance[Niveles:2],"",0)</f>
        <v/>
      </c>
      <c r="W151" t="str">
        <f>_xlfn.XLOOKUP(Table3[[#This Row],[Cuenta]],Estructura_Balance[Nombre Cuenta ()],Estructura_Balance[Niveles:3],"",0)</f>
        <v/>
      </c>
      <c r="X151" t="str">
        <f>_xlfn.XLOOKUP(Table3[[#This Row],[Cuenta]],Estructura_Balance[Nombre Cuenta ()],Estructura_Balance[Grupos],"Grupo 1",0)</f>
        <v>Grupo 1</v>
      </c>
      <c r="Y151" t="str">
        <f>+Table3[[#This Row],[BS_Nivel_1]]</f>
        <v/>
      </c>
    </row>
    <row r="152" spans="1:25">
      <c r="A152">
        <f>+'Libro Diario'!F227</f>
        <v>0</v>
      </c>
      <c r="B152" s="144">
        <f>VALUE(IF(+'Libro Diario'!G227="","01/01/2025",+'Libro Diario'!G227))</f>
        <v>45658</v>
      </c>
      <c r="C152">
        <f>IF(ISNUMBER(+IF(IFERROR(VALUE(MID('Libro Diario'!C227,1,4)),0)&lt;&gt;0,'Libro Diario'!C227,0))=FALSE,'Libro Diario'!C227,0)</f>
        <v>0</v>
      </c>
      <c r="D152" s="145">
        <f>+'Libro Diario'!B227</f>
        <v>0</v>
      </c>
      <c r="E152" s="139" t="s">
        <v>445</v>
      </c>
      <c r="F152" t="str">
        <f t="shared" si="6"/>
        <v>Sin Mov.</v>
      </c>
      <c r="G152" t="str">
        <f>IF(+'Libro Diario'!H227=0,"",+'Libro Diario'!H227)</f>
        <v/>
      </c>
      <c r="H152" t="str">
        <f>IF(+'Libro Diario'!I227=0,"",+'Libro Diario'!I227)</f>
        <v/>
      </c>
      <c r="I152" t="str">
        <f>+IF(Table3[[#This Row],[Tipo Movimiento]]="Estructura Balance y PyG","Excluir","Incluir")</f>
        <v>Incluir</v>
      </c>
      <c r="J152" s="153">
        <f>+IF(Table3[[#This Row],[Sin cuenta]]="Con Mov.",(IF(Table3[[#This Row],[Movimiento]]="Debe",Table3[[#This Row],[Importe]],IF(Table3[[#This Row],[Movimiento]]="Haber",Table3[[#This Row],[Importe]]*-1,0))),0)</f>
        <v>0</v>
      </c>
      <c r="K152" s="145">
        <f t="shared" si="7"/>
        <v>0</v>
      </c>
      <c r="L152" s="145" t="str">
        <f t="shared" si="8"/>
        <v/>
      </c>
      <c r="M152" t="str">
        <f>_xlfn.XLOOKUP(Table3[[#This Row],[Cuenta]],Estructura_Balance[Nombre Cuenta ()],Estructura_Balance[Grupo],"",0)</f>
        <v/>
      </c>
      <c r="N152" t="str">
        <f>_xlfn.XLOOKUP(Table3[[#This Row],[Cuenta]],Estructura_Balance[Nombre Cuenta ()],Estructura_Balance[Nivel 1],"",0)</f>
        <v/>
      </c>
      <c r="O152" t="str">
        <f>_xlfn.XLOOKUP(Table3[[#This Row],[Cuenta]],Estructura_Balance[Nombre Cuenta ()],Estructura_Balance[Nivel 2],"",0)</f>
        <v/>
      </c>
      <c r="P152" t="str">
        <f>_xlfn.XLOOKUP(Table3[[#This Row],[Cuenta]],Estructura_Balance[Nombre Cuenta ()],Estructura_Balance[Nivel 3],"",0)</f>
        <v/>
      </c>
      <c r="Q152" t="str">
        <f>_xlfn.XLOOKUP(Table3[[#This Row],[Cuenta]],Estructura_Balance[Nombre Cuenta ()],Estructura_Balance[Nivel 4],"",0)</f>
        <v/>
      </c>
      <c r="R152" t="str">
        <f>_xlfn.XLOOKUP(Table3[[#This Row],[Cuenta]],Table8[Nombre Cuenta ()],Table8[Nivel 1],"",0)</f>
        <v/>
      </c>
      <c r="S152" t="str">
        <f>_xlfn.XLOOKUP(Table3[[#This Row],[Cuenta]],Table8[Nombre Cuenta ()],Table8[Nivel 2],"",0)</f>
        <v/>
      </c>
      <c r="T152" t="str">
        <f>_xlfn.XLOOKUP(Table3[[#This Row],[Cuenta]],Table8[Nombre Cuenta ()],Table8[Nivel 3],"",0)</f>
        <v/>
      </c>
      <c r="U152">
        <v>304</v>
      </c>
      <c r="V152" t="str">
        <f>_xlfn.XLOOKUP(Table3[[#This Row],[Cuenta]],Estructura_Balance[Nombre Cuenta ()],Estructura_Balance[Niveles:2],"",0)</f>
        <v/>
      </c>
      <c r="W152" t="str">
        <f>_xlfn.XLOOKUP(Table3[[#This Row],[Cuenta]],Estructura_Balance[Nombre Cuenta ()],Estructura_Balance[Niveles:3],"",0)</f>
        <v/>
      </c>
      <c r="X152" t="str">
        <f>_xlfn.XLOOKUP(Table3[[#This Row],[Cuenta]],Estructura_Balance[Nombre Cuenta ()],Estructura_Balance[Grupos],"Grupo 1",0)</f>
        <v>Grupo 1</v>
      </c>
      <c r="Y152" t="str">
        <f>+Table3[[#This Row],[BS_Nivel_1]]</f>
        <v/>
      </c>
    </row>
    <row r="153" spans="1:25">
      <c r="A153">
        <f>+'Libro Diario'!F230</f>
        <v>0</v>
      </c>
      <c r="B153" s="144">
        <f>VALUE(IF(+'Libro Diario'!G230="","01/01/2025",+'Libro Diario'!G230))</f>
        <v>45658</v>
      </c>
      <c r="C153">
        <f>IF(ISNUMBER(+IF(IFERROR(VALUE(MID('Libro Diario'!C230,1,4)),0)&lt;&gt;0,'Libro Diario'!C230,0))=FALSE,'Libro Diario'!C230,0)</f>
        <v>0</v>
      </c>
      <c r="D153" s="145" t="str">
        <f>+'Libro Diario'!B230</f>
        <v>Operaciones del Ejercicio</v>
      </c>
      <c r="E153" s="139" t="s">
        <v>445</v>
      </c>
      <c r="F153" t="str">
        <f t="shared" si="6"/>
        <v>Sin Mov.</v>
      </c>
      <c r="G153" t="str">
        <f>IF(+'Libro Diario'!H230=0,"",+'Libro Diario'!H230)</f>
        <v/>
      </c>
      <c r="H153" t="str">
        <f>IF(+'Libro Diario'!I230=0,"",+'Libro Diario'!I230)</f>
        <v/>
      </c>
      <c r="I153" t="str">
        <f>+IF(Table3[[#This Row],[Tipo Movimiento]]="Estructura Balance y PyG","Excluir","Incluir")</f>
        <v>Incluir</v>
      </c>
      <c r="J153" s="153">
        <f>+IF(Table3[[#This Row],[Sin cuenta]]="Con Mov.",(IF(Table3[[#This Row],[Movimiento]]="Debe",Table3[[#This Row],[Importe]],IF(Table3[[#This Row],[Movimiento]]="Haber",Table3[[#This Row],[Importe]]*-1,0))),0)</f>
        <v>0</v>
      </c>
      <c r="K153" s="145" t="str">
        <f t="shared" si="7"/>
        <v>Operaciones del Ejercicio</v>
      </c>
      <c r="L153" s="145" t="str">
        <f t="shared" si="8"/>
        <v/>
      </c>
      <c r="M153" t="str">
        <f>_xlfn.XLOOKUP(Table3[[#This Row],[Cuenta]],Estructura_Balance[Nombre Cuenta ()],Estructura_Balance[Grupo],"",0)</f>
        <v/>
      </c>
      <c r="N153" t="str">
        <f>_xlfn.XLOOKUP(Table3[[#This Row],[Cuenta]],Estructura_Balance[Nombre Cuenta ()],Estructura_Balance[Nivel 1],"",0)</f>
        <v/>
      </c>
      <c r="O153" t="str">
        <f>_xlfn.XLOOKUP(Table3[[#This Row],[Cuenta]],Estructura_Balance[Nombre Cuenta ()],Estructura_Balance[Nivel 2],"",0)</f>
        <v/>
      </c>
      <c r="P153" t="str">
        <f>_xlfn.XLOOKUP(Table3[[#This Row],[Cuenta]],Estructura_Balance[Nombre Cuenta ()],Estructura_Balance[Nivel 3],"",0)</f>
        <v/>
      </c>
      <c r="Q153" t="str">
        <f>_xlfn.XLOOKUP(Table3[[#This Row],[Cuenta]],Estructura_Balance[Nombre Cuenta ()],Estructura_Balance[Nivel 4],"",0)</f>
        <v/>
      </c>
      <c r="R153" t="str">
        <f>_xlfn.XLOOKUP(Table3[[#This Row],[Cuenta]],Table8[Nombre Cuenta ()],Table8[Nivel 1],"",0)</f>
        <v/>
      </c>
      <c r="S153" t="str">
        <f>_xlfn.XLOOKUP(Table3[[#This Row],[Cuenta]],Table8[Nombre Cuenta ()],Table8[Nivel 2],"",0)</f>
        <v/>
      </c>
      <c r="T153" t="str">
        <f>_xlfn.XLOOKUP(Table3[[#This Row],[Cuenta]],Table8[Nombre Cuenta ()],Table8[Nivel 3],"",0)</f>
        <v/>
      </c>
      <c r="U153">
        <v>309</v>
      </c>
      <c r="V153" t="str">
        <f>_xlfn.XLOOKUP(Table3[[#This Row],[Cuenta]],Estructura_Balance[Nombre Cuenta ()],Estructura_Balance[Niveles:2],"",0)</f>
        <v/>
      </c>
      <c r="W153" t="str">
        <f>_xlfn.XLOOKUP(Table3[[#This Row],[Cuenta]],Estructura_Balance[Nombre Cuenta ()],Estructura_Balance[Niveles:3],"",0)</f>
        <v/>
      </c>
      <c r="X153" t="str">
        <f>_xlfn.XLOOKUP(Table3[[#This Row],[Cuenta]],Estructura_Balance[Nombre Cuenta ()],Estructura_Balance[Grupos],"Grupo 1",0)</f>
        <v>Grupo 1</v>
      </c>
      <c r="Y153" t="str">
        <f>+Table3[[#This Row],[BS_Nivel_1]]</f>
        <v/>
      </c>
    </row>
    <row r="154" spans="1:25">
      <c r="A154">
        <f>+'Libro Diario'!F231</f>
        <v>0</v>
      </c>
      <c r="B154" s="144">
        <f>VALUE(IF(+'Libro Diario'!G231="","01/01/2025",+'Libro Diario'!G231))</f>
        <v>45658</v>
      </c>
      <c r="C154">
        <f>IF(ISNUMBER(+IF(IFERROR(VALUE(MID('Libro Diario'!C231,1,4)),0)&lt;&gt;0,'Libro Diario'!C231,0))=FALSE,'Libro Diario'!C231,0)</f>
        <v>0</v>
      </c>
      <c r="D154" s="145" t="str">
        <f>+'Libro Diario'!B231</f>
        <v>Asiento Cuadrado</v>
      </c>
      <c r="E154" s="139" t="s">
        <v>445</v>
      </c>
      <c r="F154" t="str">
        <f t="shared" si="6"/>
        <v>Sin Mov.</v>
      </c>
      <c r="G154" t="str">
        <f>IF(+'Libro Diario'!H231=0,"",+'Libro Diario'!H231)</f>
        <v/>
      </c>
      <c r="H154" t="str">
        <f>IF(+'Libro Diario'!I231=0,"",+'Libro Diario'!I231)</f>
        <v/>
      </c>
      <c r="I154" t="str">
        <f>+IF(Table3[[#This Row],[Tipo Movimiento]]="Estructura Balance y PyG","Excluir","Incluir")</f>
        <v>Incluir</v>
      </c>
      <c r="J154" s="153">
        <f>+IF(Table3[[#This Row],[Sin cuenta]]="Con Mov.",(IF(Table3[[#This Row],[Movimiento]]="Debe",Table3[[#This Row],[Importe]],IF(Table3[[#This Row],[Movimiento]]="Haber",Table3[[#This Row],[Importe]]*-1,0))),0)</f>
        <v>0</v>
      </c>
      <c r="K154" s="145" t="str">
        <f t="shared" si="7"/>
        <v>Asiento Cuadrado</v>
      </c>
      <c r="L154" s="145" t="str">
        <f t="shared" si="8"/>
        <v/>
      </c>
      <c r="M154" t="str">
        <f>_xlfn.XLOOKUP(Table3[[#This Row],[Cuenta]],Estructura_Balance[Nombre Cuenta ()],Estructura_Balance[Grupo],"",0)</f>
        <v/>
      </c>
      <c r="N154" t="str">
        <f>_xlfn.XLOOKUP(Table3[[#This Row],[Cuenta]],Estructura_Balance[Nombre Cuenta ()],Estructura_Balance[Nivel 1],"",0)</f>
        <v/>
      </c>
      <c r="O154" t="str">
        <f>_xlfn.XLOOKUP(Table3[[#This Row],[Cuenta]],Estructura_Balance[Nombre Cuenta ()],Estructura_Balance[Nivel 2],"",0)</f>
        <v/>
      </c>
      <c r="P154" t="str">
        <f>_xlfn.XLOOKUP(Table3[[#This Row],[Cuenta]],Estructura_Balance[Nombre Cuenta ()],Estructura_Balance[Nivel 3],"",0)</f>
        <v/>
      </c>
      <c r="Q154" t="str">
        <f>_xlfn.XLOOKUP(Table3[[#This Row],[Cuenta]],Estructura_Balance[Nombre Cuenta ()],Estructura_Balance[Nivel 4],"",0)</f>
        <v/>
      </c>
      <c r="R154" t="str">
        <f>_xlfn.XLOOKUP(Table3[[#This Row],[Cuenta]],Table8[Nombre Cuenta ()],Table8[Nivel 1],"",0)</f>
        <v/>
      </c>
      <c r="S154" t="str">
        <f>_xlfn.XLOOKUP(Table3[[#This Row],[Cuenta]],Table8[Nombre Cuenta ()],Table8[Nivel 2],"",0)</f>
        <v/>
      </c>
      <c r="T154" t="str">
        <f>_xlfn.XLOOKUP(Table3[[#This Row],[Cuenta]],Table8[Nombre Cuenta ()],Table8[Nivel 3],"",0)</f>
        <v/>
      </c>
      <c r="U154">
        <v>310</v>
      </c>
      <c r="V154" t="str">
        <f>_xlfn.XLOOKUP(Table3[[#This Row],[Cuenta]],Estructura_Balance[Nombre Cuenta ()],Estructura_Balance[Niveles:2],"",0)</f>
        <v/>
      </c>
      <c r="W154" t="str">
        <f>_xlfn.XLOOKUP(Table3[[#This Row],[Cuenta]],Estructura_Balance[Nombre Cuenta ()],Estructura_Balance[Niveles:3],"",0)</f>
        <v/>
      </c>
      <c r="X154" t="str">
        <f>_xlfn.XLOOKUP(Table3[[#This Row],[Cuenta]],Estructura_Balance[Nombre Cuenta ()],Estructura_Balance[Grupos],"Grupo 1",0)</f>
        <v>Grupo 1</v>
      </c>
      <c r="Y154" t="str">
        <f>+Table3[[#This Row],[BS_Nivel_1]]</f>
        <v/>
      </c>
    </row>
    <row r="155" spans="1:25">
      <c r="A155">
        <f>+'Libro Diario'!F232</f>
        <v>0</v>
      </c>
      <c r="B155" s="144">
        <f>VALUE(IF(+'Libro Diario'!G232="","01/01/2025",+'Libro Diario'!G232))</f>
        <v>45658</v>
      </c>
      <c r="C155">
        <f>IF(ISNUMBER(+IF(IFERROR(VALUE(MID('Libro Diario'!C232,1,4)),0)&lt;&gt;0,'Libro Diario'!C232,0))=FALSE,'Libro Diario'!C232,0)</f>
        <v>0</v>
      </c>
      <c r="D155" s="145">
        <f>+'Libro Diario'!B232</f>
        <v>0</v>
      </c>
      <c r="E155" s="139" t="s">
        <v>445</v>
      </c>
      <c r="F155" t="str">
        <f t="shared" si="6"/>
        <v>Sin Mov.</v>
      </c>
      <c r="G155" t="str">
        <f>IF(+'Libro Diario'!H232=0,"",+'Libro Diario'!H232)</f>
        <v/>
      </c>
      <c r="H155" t="str">
        <f>IF(+'Libro Diario'!I232=0,"",+'Libro Diario'!I232)</f>
        <v/>
      </c>
      <c r="I155" t="str">
        <f>+IF(Table3[[#This Row],[Tipo Movimiento]]="Estructura Balance y PyG","Excluir","Incluir")</f>
        <v>Incluir</v>
      </c>
      <c r="J155" s="153">
        <f>+IF(Table3[[#This Row],[Sin cuenta]]="Con Mov.",(IF(Table3[[#This Row],[Movimiento]]="Debe",Table3[[#This Row],[Importe]],IF(Table3[[#This Row],[Movimiento]]="Haber",Table3[[#This Row],[Importe]]*-1,0))),0)</f>
        <v>0</v>
      </c>
      <c r="K155" s="145">
        <f t="shared" si="7"/>
        <v>0</v>
      </c>
      <c r="L155" s="145" t="str">
        <f t="shared" si="8"/>
        <v/>
      </c>
      <c r="M155" t="str">
        <f>_xlfn.XLOOKUP(Table3[[#This Row],[Cuenta]],Estructura_Balance[Nombre Cuenta ()],Estructura_Balance[Grupo],"",0)</f>
        <v/>
      </c>
      <c r="N155" t="str">
        <f>_xlfn.XLOOKUP(Table3[[#This Row],[Cuenta]],Estructura_Balance[Nombre Cuenta ()],Estructura_Balance[Nivel 1],"",0)</f>
        <v/>
      </c>
      <c r="O155" t="str">
        <f>_xlfn.XLOOKUP(Table3[[#This Row],[Cuenta]],Estructura_Balance[Nombre Cuenta ()],Estructura_Balance[Nivel 2],"",0)</f>
        <v/>
      </c>
      <c r="P155" t="str">
        <f>_xlfn.XLOOKUP(Table3[[#This Row],[Cuenta]],Estructura_Balance[Nombre Cuenta ()],Estructura_Balance[Nivel 3],"",0)</f>
        <v/>
      </c>
      <c r="Q155" t="str">
        <f>_xlfn.XLOOKUP(Table3[[#This Row],[Cuenta]],Estructura_Balance[Nombre Cuenta ()],Estructura_Balance[Nivel 4],"",0)</f>
        <v/>
      </c>
      <c r="R155" t="str">
        <f>_xlfn.XLOOKUP(Table3[[#This Row],[Cuenta]],Table8[Nombre Cuenta ()],Table8[Nivel 1],"",0)</f>
        <v/>
      </c>
      <c r="S155" t="str">
        <f>_xlfn.XLOOKUP(Table3[[#This Row],[Cuenta]],Table8[Nombre Cuenta ()],Table8[Nivel 2],"",0)</f>
        <v/>
      </c>
      <c r="T155" t="str">
        <f>_xlfn.XLOOKUP(Table3[[#This Row],[Cuenta]],Table8[Nombre Cuenta ()],Table8[Nivel 3],"",0)</f>
        <v/>
      </c>
      <c r="U155">
        <v>311</v>
      </c>
      <c r="V155" t="str">
        <f>_xlfn.XLOOKUP(Table3[[#This Row],[Cuenta]],Estructura_Balance[Nombre Cuenta ()],Estructura_Balance[Niveles:2],"",0)</f>
        <v/>
      </c>
      <c r="W155" t="str">
        <f>_xlfn.XLOOKUP(Table3[[#This Row],[Cuenta]],Estructura_Balance[Nombre Cuenta ()],Estructura_Balance[Niveles:3],"",0)</f>
        <v/>
      </c>
      <c r="X155" t="str">
        <f>_xlfn.XLOOKUP(Table3[[#This Row],[Cuenta]],Estructura_Balance[Nombre Cuenta ()],Estructura_Balance[Grupos],"Grupo 1",0)</f>
        <v>Grupo 1</v>
      </c>
      <c r="Y155" t="str">
        <f>+Table3[[#This Row],[BS_Nivel_1]]</f>
        <v/>
      </c>
    </row>
    <row r="156" spans="1:25">
      <c r="A156">
        <f>+'Libro Diario'!F233</f>
        <v>0</v>
      </c>
      <c r="B156" s="144">
        <f>VALUE(IF(+'Libro Diario'!G233="","01/01/2025",+'Libro Diario'!G233))</f>
        <v>45658</v>
      </c>
      <c r="C156">
        <f>IF(ISNUMBER(+IF(IFERROR(VALUE(MID('Libro Diario'!C233,1,4)),0)&lt;&gt;0,'Libro Diario'!C233,0))=FALSE,'Libro Diario'!C233,0)</f>
        <v>0</v>
      </c>
      <c r="D156" s="145" t="str">
        <f>+'Libro Diario'!B233</f>
        <v>DEBE</v>
      </c>
      <c r="E156" s="139" t="s">
        <v>445</v>
      </c>
      <c r="F156" t="str">
        <f t="shared" si="6"/>
        <v>Sin Mov.</v>
      </c>
      <c r="G156" t="str">
        <f>IF(+'Libro Diario'!H233=0,"",+'Libro Diario'!H233)</f>
        <v/>
      </c>
      <c r="H156" t="str">
        <f>IF(+'Libro Diario'!I233=0,"",+'Libro Diario'!I233)</f>
        <v/>
      </c>
      <c r="I156" t="str">
        <f>+IF(Table3[[#This Row],[Tipo Movimiento]]="Estructura Balance y PyG","Excluir","Incluir")</f>
        <v>Incluir</v>
      </c>
      <c r="J156" s="153">
        <f>+IF(Table3[[#This Row],[Sin cuenta]]="Con Mov.",(IF(Table3[[#This Row],[Movimiento]]="Debe",Table3[[#This Row],[Importe]],IF(Table3[[#This Row],[Movimiento]]="Haber",Table3[[#This Row],[Importe]]*-1,0))),0)</f>
        <v>0</v>
      </c>
      <c r="K156" s="145" t="str">
        <f t="shared" si="7"/>
        <v>DEBE</v>
      </c>
      <c r="L156" s="145" t="str">
        <f t="shared" si="8"/>
        <v/>
      </c>
      <c r="M156" t="str">
        <f>_xlfn.XLOOKUP(Table3[[#This Row],[Cuenta]],Estructura_Balance[Nombre Cuenta ()],Estructura_Balance[Grupo],"",0)</f>
        <v/>
      </c>
      <c r="N156" t="str">
        <f>_xlfn.XLOOKUP(Table3[[#This Row],[Cuenta]],Estructura_Balance[Nombre Cuenta ()],Estructura_Balance[Nivel 1],"",0)</f>
        <v/>
      </c>
      <c r="O156" t="str">
        <f>_xlfn.XLOOKUP(Table3[[#This Row],[Cuenta]],Estructura_Balance[Nombre Cuenta ()],Estructura_Balance[Nivel 2],"",0)</f>
        <v/>
      </c>
      <c r="P156" t="str">
        <f>_xlfn.XLOOKUP(Table3[[#This Row],[Cuenta]],Estructura_Balance[Nombre Cuenta ()],Estructura_Balance[Nivel 3],"",0)</f>
        <v/>
      </c>
      <c r="Q156" t="str">
        <f>_xlfn.XLOOKUP(Table3[[#This Row],[Cuenta]],Estructura_Balance[Nombre Cuenta ()],Estructura_Balance[Nivel 4],"",0)</f>
        <v/>
      </c>
      <c r="R156" t="str">
        <f>_xlfn.XLOOKUP(Table3[[#This Row],[Cuenta]],Table8[Nombre Cuenta ()],Table8[Nivel 1],"",0)</f>
        <v/>
      </c>
      <c r="S156" t="str">
        <f>_xlfn.XLOOKUP(Table3[[#This Row],[Cuenta]],Table8[Nombre Cuenta ()],Table8[Nivel 2],"",0)</f>
        <v/>
      </c>
      <c r="T156" t="str">
        <f>_xlfn.XLOOKUP(Table3[[#This Row],[Cuenta]],Table8[Nombre Cuenta ()],Table8[Nivel 3],"",0)</f>
        <v/>
      </c>
      <c r="U156">
        <v>312</v>
      </c>
      <c r="V156" t="str">
        <f>_xlfn.XLOOKUP(Table3[[#This Row],[Cuenta]],Estructura_Balance[Nombre Cuenta ()],Estructura_Balance[Niveles:2],"",0)</f>
        <v/>
      </c>
      <c r="W156" t="str">
        <f>_xlfn.XLOOKUP(Table3[[#This Row],[Cuenta]],Estructura_Balance[Nombre Cuenta ()],Estructura_Balance[Niveles:3],"",0)</f>
        <v/>
      </c>
      <c r="X156" t="str">
        <f>_xlfn.XLOOKUP(Table3[[#This Row],[Cuenta]],Estructura_Balance[Nombre Cuenta ()],Estructura_Balance[Grupos],"Grupo 1",0)</f>
        <v>Grupo 1</v>
      </c>
      <c r="Y156" t="str">
        <f>+Table3[[#This Row],[BS_Nivel_1]]</f>
        <v/>
      </c>
    </row>
    <row r="157" spans="1:25">
      <c r="A157">
        <f>+'Libro Diario'!F234</f>
        <v>0</v>
      </c>
      <c r="B157" s="144">
        <f>VALUE(IF(+'Libro Diario'!G234="","01/01/2025",+'Libro Diario'!G234))</f>
        <v>45658</v>
      </c>
      <c r="C157">
        <f>IF(ISNUMBER(+IF(IFERROR(VALUE(MID('Libro Diario'!C234,1,4)),0)&lt;&gt;0,'Libro Diario'!C234,0))=FALSE,'Libro Diario'!C234,0)</f>
        <v>0</v>
      </c>
      <c r="D157" s="145">
        <f>+'Libro Diario'!B234</f>
        <v>0</v>
      </c>
      <c r="E157" s="139" t="s">
        <v>445</v>
      </c>
      <c r="F157" t="str">
        <f t="shared" si="6"/>
        <v>Sin Mov.</v>
      </c>
      <c r="G157" t="str">
        <f>IF(+'Libro Diario'!H234=0,"",+'Libro Diario'!H234)</f>
        <v/>
      </c>
      <c r="H157" t="str">
        <f>IF(+'Libro Diario'!I234=0,"",+'Libro Diario'!I234)</f>
        <v/>
      </c>
      <c r="I157" t="str">
        <f>+IF(Table3[[#This Row],[Tipo Movimiento]]="Estructura Balance y PyG","Excluir","Incluir")</f>
        <v>Incluir</v>
      </c>
      <c r="J157" s="153">
        <f>+IF(Table3[[#This Row],[Sin cuenta]]="Con Mov.",(IF(Table3[[#This Row],[Movimiento]]="Debe",Table3[[#This Row],[Importe]],IF(Table3[[#This Row],[Movimiento]]="Haber",Table3[[#This Row],[Importe]]*-1,0))),0)</f>
        <v>0</v>
      </c>
      <c r="K157" s="145">
        <f t="shared" si="7"/>
        <v>0</v>
      </c>
      <c r="L157" s="145" t="str">
        <f t="shared" si="8"/>
        <v/>
      </c>
      <c r="M157" t="str">
        <f>_xlfn.XLOOKUP(Table3[[#This Row],[Cuenta]],Estructura_Balance[Nombre Cuenta ()],Estructura_Balance[Grupo],"",0)</f>
        <v/>
      </c>
      <c r="N157" t="str">
        <f>_xlfn.XLOOKUP(Table3[[#This Row],[Cuenta]],Estructura_Balance[Nombre Cuenta ()],Estructura_Balance[Nivel 1],"",0)</f>
        <v/>
      </c>
      <c r="O157" t="str">
        <f>_xlfn.XLOOKUP(Table3[[#This Row],[Cuenta]],Estructura_Balance[Nombre Cuenta ()],Estructura_Balance[Nivel 2],"",0)</f>
        <v/>
      </c>
      <c r="P157" t="str">
        <f>_xlfn.XLOOKUP(Table3[[#This Row],[Cuenta]],Estructura_Balance[Nombre Cuenta ()],Estructura_Balance[Nivel 3],"",0)</f>
        <v/>
      </c>
      <c r="Q157" t="str">
        <f>_xlfn.XLOOKUP(Table3[[#This Row],[Cuenta]],Estructura_Balance[Nombre Cuenta ()],Estructura_Balance[Nivel 4],"",0)</f>
        <v/>
      </c>
      <c r="R157" t="str">
        <f>_xlfn.XLOOKUP(Table3[[#This Row],[Cuenta]],Table8[Nombre Cuenta ()],Table8[Nivel 1],"",0)</f>
        <v/>
      </c>
      <c r="S157" t="str">
        <f>_xlfn.XLOOKUP(Table3[[#This Row],[Cuenta]],Table8[Nombre Cuenta ()],Table8[Nivel 2],"",0)</f>
        <v/>
      </c>
      <c r="T157" t="str">
        <f>_xlfn.XLOOKUP(Table3[[#This Row],[Cuenta]],Table8[Nombre Cuenta ()],Table8[Nivel 3],"",0)</f>
        <v/>
      </c>
      <c r="U157">
        <v>315</v>
      </c>
      <c r="V157" t="str">
        <f>_xlfn.XLOOKUP(Table3[[#This Row],[Cuenta]],Estructura_Balance[Nombre Cuenta ()],Estructura_Balance[Niveles:2],"",0)</f>
        <v/>
      </c>
      <c r="W157" t="str">
        <f>_xlfn.XLOOKUP(Table3[[#This Row],[Cuenta]],Estructura_Balance[Nombre Cuenta ()],Estructura_Balance[Niveles:3],"",0)</f>
        <v/>
      </c>
      <c r="X157" t="str">
        <f>_xlfn.XLOOKUP(Table3[[#This Row],[Cuenta]],Estructura_Balance[Nombre Cuenta ()],Estructura_Balance[Grupos],"Grupo 1",0)</f>
        <v>Grupo 1</v>
      </c>
      <c r="Y157" t="str">
        <f>+Table3[[#This Row],[BS_Nivel_1]]</f>
        <v/>
      </c>
    </row>
    <row r="158" spans="1:25">
      <c r="A158">
        <f>+'Libro Diario'!F237</f>
        <v>0</v>
      </c>
      <c r="B158" s="144">
        <f>VALUE(IF(+'Libro Diario'!G237="","01/01/2025",+'Libro Diario'!G237))</f>
        <v>45658</v>
      </c>
      <c r="C158">
        <f>IF(ISNUMBER(+IF(IFERROR(VALUE(MID('Libro Diario'!C237,1,4)),0)&lt;&gt;0,'Libro Diario'!C237,0))=FALSE,'Libro Diario'!C237,0)</f>
        <v>0</v>
      </c>
      <c r="D158" s="145" t="str">
        <f>+'Libro Diario'!B237</f>
        <v>Operaciones del Ejercicio</v>
      </c>
      <c r="E158" s="139" t="s">
        <v>445</v>
      </c>
      <c r="F158" t="str">
        <f t="shared" si="6"/>
        <v>Sin Mov.</v>
      </c>
      <c r="G158" t="str">
        <f>IF(+'Libro Diario'!H237=0,"",+'Libro Diario'!H237)</f>
        <v/>
      </c>
      <c r="H158" t="str">
        <f>IF(+'Libro Diario'!I237=0,"",+'Libro Diario'!I237)</f>
        <v/>
      </c>
      <c r="I158" t="str">
        <f>+IF(Table3[[#This Row],[Tipo Movimiento]]="Estructura Balance y PyG","Excluir","Incluir")</f>
        <v>Incluir</v>
      </c>
      <c r="J158" s="153">
        <f>+IF(Table3[[#This Row],[Sin cuenta]]="Con Mov.",(IF(Table3[[#This Row],[Movimiento]]="Debe",Table3[[#This Row],[Importe]],IF(Table3[[#This Row],[Movimiento]]="Haber",Table3[[#This Row],[Importe]]*-1,0))),0)</f>
        <v>0</v>
      </c>
      <c r="K158" s="145" t="str">
        <f t="shared" si="7"/>
        <v>Operaciones del Ejercicio</v>
      </c>
      <c r="L158" s="145" t="str">
        <f t="shared" si="8"/>
        <v/>
      </c>
      <c r="M158" t="str">
        <f>_xlfn.XLOOKUP(Table3[[#This Row],[Cuenta]],Estructura_Balance[Nombre Cuenta ()],Estructura_Balance[Grupo],"",0)</f>
        <v/>
      </c>
      <c r="N158" t="str">
        <f>_xlfn.XLOOKUP(Table3[[#This Row],[Cuenta]],Estructura_Balance[Nombre Cuenta ()],Estructura_Balance[Nivel 1],"",0)</f>
        <v/>
      </c>
      <c r="O158" t="str">
        <f>_xlfn.XLOOKUP(Table3[[#This Row],[Cuenta]],Estructura_Balance[Nombre Cuenta ()],Estructura_Balance[Nivel 2],"",0)</f>
        <v/>
      </c>
      <c r="P158" t="str">
        <f>_xlfn.XLOOKUP(Table3[[#This Row],[Cuenta]],Estructura_Balance[Nombre Cuenta ()],Estructura_Balance[Nivel 3],"",0)</f>
        <v/>
      </c>
      <c r="Q158" t="str">
        <f>_xlfn.XLOOKUP(Table3[[#This Row],[Cuenta]],Estructura_Balance[Nombre Cuenta ()],Estructura_Balance[Nivel 4],"",0)</f>
        <v/>
      </c>
      <c r="R158" t="str">
        <f>_xlfn.XLOOKUP(Table3[[#This Row],[Cuenta]],Table8[Nombre Cuenta ()],Table8[Nivel 1],"",0)</f>
        <v/>
      </c>
      <c r="S158" t="str">
        <f>_xlfn.XLOOKUP(Table3[[#This Row],[Cuenta]],Table8[Nombre Cuenta ()],Table8[Nivel 2],"",0)</f>
        <v/>
      </c>
      <c r="T158" t="str">
        <f>_xlfn.XLOOKUP(Table3[[#This Row],[Cuenta]],Table8[Nombre Cuenta ()],Table8[Nivel 3],"",0)</f>
        <v/>
      </c>
      <c r="U158">
        <v>318</v>
      </c>
      <c r="V158" t="str">
        <f>_xlfn.XLOOKUP(Table3[[#This Row],[Cuenta]],Estructura_Balance[Nombre Cuenta ()],Estructura_Balance[Niveles:2],"",0)</f>
        <v/>
      </c>
      <c r="W158" t="str">
        <f>_xlfn.XLOOKUP(Table3[[#This Row],[Cuenta]],Estructura_Balance[Nombre Cuenta ()],Estructura_Balance[Niveles:3],"",0)</f>
        <v/>
      </c>
      <c r="X158" t="str">
        <f>_xlfn.XLOOKUP(Table3[[#This Row],[Cuenta]],Estructura_Balance[Nombre Cuenta ()],Estructura_Balance[Grupos],"Grupo 1",0)</f>
        <v>Grupo 1</v>
      </c>
      <c r="Y158" t="str">
        <f>+Table3[[#This Row],[BS_Nivel_1]]</f>
        <v/>
      </c>
    </row>
    <row r="159" spans="1:25">
      <c r="A159">
        <f>+'Libro Diario'!F238</f>
        <v>0</v>
      </c>
      <c r="B159" s="144">
        <f>VALUE(IF(+'Libro Diario'!G238="","01/01/2025",+'Libro Diario'!G238))</f>
        <v>45658</v>
      </c>
      <c r="C159">
        <f>IF(ISNUMBER(+IF(IFERROR(VALUE(MID('Libro Diario'!C238,1,4)),0)&lt;&gt;0,'Libro Diario'!C238,0))=FALSE,'Libro Diario'!C238,0)</f>
        <v>0</v>
      </c>
      <c r="D159" s="145" t="str">
        <f>+'Libro Diario'!B238</f>
        <v>Asiento Cuadrado</v>
      </c>
      <c r="E159" s="139" t="s">
        <v>445</v>
      </c>
      <c r="F159" t="str">
        <f t="shared" si="6"/>
        <v>Sin Mov.</v>
      </c>
      <c r="G159" t="str">
        <f>IF(+'Libro Diario'!H238=0,"",+'Libro Diario'!H238)</f>
        <v/>
      </c>
      <c r="H159" t="str">
        <f>IF(+'Libro Diario'!I238=0,"",+'Libro Diario'!I238)</f>
        <v/>
      </c>
      <c r="I159" t="str">
        <f>+IF(Table3[[#This Row],[Tipo Movimiento]]="Estructura Balance y PyG","Excluir","Incluir")</f>
        <v>Incluir</v>
      </c>
      <c r="J159" s="153">
        <f>+IF(Table3[[#This Row],[Sin cuenta]]="Con Mov.",(IF(Table3[[#This Row],[Movimiento]]="Debe",Table3[[#This Row],[Importe]],IF(Table3[[#This Row],[Movimiento]]="Haber",Table3[[#This Row],[Importe]]*-1,0))),0)</f>
        <v>0</v>
      </c>
      <c r="K159" s="145" t="str">
        <f t="shared" si="7"/>
        <v>Asiento Cuadrado</v>
      </c>
      <c r="L159" s="145" t="str">
        <f t="shared" si="8"/>
        <v/>
      </c>
      <c r="M159" t="str">
        <f>_xlfn.XLOOKUP(Table3[[#This Row],[Cuenta]],Estructura_Balance[Nombre Cuenta ()],Estructura_Balance[Grupo],"",0)</f>
        <v/>
      </c>
      <c r="N159" t="str">
        <f>_xlfn.XLOOKUP(Table3[[#This Row],[Cuenta]],Estructura_Balance[Nombre Cuenta ()],Estructura_Balance[Nivel 1],"",0)</f>
        <v/>
      </c>
      <c r="O159" t="str">
        <f>_xlfn.XLOOKUP(Table3[[#This Row],[Cuenta]],Estructura_Balance[Nombre Cuenta ()],Estructura_Balance[Nivel 2],"",0)</f>
        <v/>
      </c>
      <c r="P159" t="str">
        <f>_xlfn.XLOOKUP(Table3[[#This Row],[Cuenta]],Estructura_Balance[Nombre Cuenta ()],Estructura_Balance[Nivel 3],"",0)</f>
        <v/>
      </c>
      <c r="Q159" t="str">
        <f>_xlfn.XLOOKUP(Table3[[#This Row],[Cuenta]],Estructura_Balance[Nombre Cuenta ()],Estructura_Balance[Nivel 4],"",0)</f>
        <v/>
      </c>
      <c r="R159" t="str">
        <f>_xlfn.XLOOKUP(Table3[[#This Row],[Cuenta]],Table8[Nombre Cuenta ()],Table8[Nivel 1],"",0)</f>
        <v/>
      </c>
      <c r="S159" t="str">
        <f>_xlfn.XLOOKUP(Table3[[#This Row],[Cuenta]],Table8[Nombre Cuenta ()],Table8[Nivel 2],"",0)</f>
        <v/>
      </c>
      <c r="T159" t="str">
        <f>_xlfn.XLOOKUP(Table3[[#This Row],[Cuenta]],Table8[Nombre Cuenta ()],Table8[Nivel 3],"",0)</f>
        <v/>
      </c>
      <c r="U159">
        <v>319</v>
      </c>
      <c r="V159" t="str">
        <f>_xlfn.XLOOKUP(Table3[[#This Row],[Cuenta]],Estructura_Balance[Nombre Cuenta ()],Estructura_Balance[Niveles:2],"",0)</f>
        <v/>
      </c>
      <c r="W159" t="str">
        <f>_xlfn.XLOOKUP(Table3[[#This Row],[Cuenta]],Estructura_Balance[Nombre Cuenta ()],Estructura_Balance[Niveles:3],"",0)</f>
        <v/>
      </c>
      <c r="X159" t="str">
        <f>_xlfn.XLOOKUP(Table3[[#This Row],[Cuenta]],Estructura_Balance[Nombre Cuenta ()],Estructura_Balance[Grupos],"Grupo 1",0)</f>
        <v>Grupo 1</v>
      </c>
      <c r="Y159" t="str">
        <f>+Table3[[#This Row],[BS_Nivel_1]]</f>
        <v/>
      </c>
    </row>
    <row r="160" spans="1:25">
      <c r="A160">
        <f>+'Libro Diario'!F239</f>
        <v>0</v>
      </c>
      <c r="B160" s="144">
        <f>VALUE(IF(+'Libro Diario'!G239="","01/01/2025",+'Libro Diario'!G239))</f>
        <v>45658</v>
      </c>
      <c r="C160">
        <f>IF(ISNUMBER(+IF(IFERROR(VALUE(MID('Libro Diario'!C239,1,4)),0)&lt;&gt;0,'Libro Diario'!C239,0))=FALSE,'Libro Diario'!C239,0)</f>
        <v>0</v>
      </c>
      <c r="D160" s="145">
        <f>+'Libro Diario'!B239</f>
        <v>0</v>
      </c>
      <c r="E160" s="139" t="s">
        <v>445</v>
      </c>
      <c r="F160" t="str">
        <f t="shared" si="6"/>
        <v>Sin Mov.</v>
      </c>
      <c r="G160" t="str">
        <f>IF(+'Libro Diario'!H239=0,"",+'Libro Diario'!H239)</f>
        <v/>
      </c>
      <c r="H160" t="str">
        <f>IF(+'Libro Diario'!I239=0,"",+'Libro Diario'!I239)</f>
        <v/>
      </c>
      <c r="I160" t="str">
        <f>+IF(Table3[[#This Row],[Tipo Movimiento]]="Estructura Balance y PyG","Excluir","Incluir")</f>
        <v>Incluir</v>
      </c>
      <c r="J160" s="153">
        <f>+IF(Table3[[#This Row],[Sin cuenta]]="Con Mov.",(IF(Table3[[#This Row],[Movimiento]]="Debe",Table3[[#This Row],[Importe]],IF(Table3[[#This Row],[Movimiento]]="Haber",Table3[[#This Row],[Importe]]*-1,0))),0)</f>
        <v>0</v>
      </c>
      <c r="K160" s="145">
        <f t="shared" si="7"/>
        <v>0</v>
      </c>
      <c r="L160" s="145" t="str">
        <f t="shared" si="8"/>
        <v/>
      </c>
      <c r="M160" t="str">
        <f>_xlfn.XLOOKUP(Table3[[#This Row],[Cuenta]],Estructura_Balance[Nombre Cuenta ()],Estructura_Balance[Grupo],"",0)</f>
        <v/>
      </c>
      <c r="N160" t="str">
        <f>_xlfn.XLOOKUP(Table3[[#This Row],[Cuenta]],Estructura_Balance[Nombre Cuenta ()],Estructura_Balance[Nivel 1],"",0)</f>
        <v/>
      </c>
      <c r="O160" t="str">
        <f>_xlfn.XLOOKUP(Table3[[#This Row],[Cuenta]],Estructura_Balance[Nombre Cuenta ()],Estructura_Balance[Nivel 2],"",0)</f>
        <v/>
      </c>
      <c r="P160" t="str">
        <f>_xlfn.XLOOKUP(Table3[[#This Row],[Cuenta]],Estructura_Balance[Nombre Cuenta ()],Estructura_Balance[Nivel 3],"",0)</f>
        <v/>
      </c>
      <c r="Q160" t="str">
        <f>_xlfn.XLOOKUP(Table3[[#This Row],[Cuenta]],Estructura_Balance[Nombre Cuenta ()],Estructura_Balance[Nivel 4],"",0)</f>
        <v/>
      </c>
      <c r="R160" t="str">
        <f>_xlfn.XLOOKUP(Table3[[#This Row],[Cuenta]],Table8[Nombre Cuenta ()],Table8[Nivel 1],"",0)</f>
        <v/>
      </c>
      <c r="S160" t="str">
        <f>_xlfn.XLOOKUP(Table3[[#This Row],[Cuenta]],Table8[Nombre Cuenta ()],Table8[Nivel 2],"",0)</f>
        <v/>
      </c>
      <c r="T160" t="str">
        <f>_xlfn.XLOOKUP(Table3[[#This Row],[Cuenta]],Table8[Nombre Cuenta ()],Table8[Nivel 3],"",0)</f>
        <v/>
      </c>
      <c r="U160">
        <v>323</v>
      </c>
      <c r="V160" t="str">
        <f>_xlfn.XLOOKUP(Table3[[#This Row],[Cuenta]],Estructura_Balance[Nombre Cuenta ()],Estructura_Balance[Niveles:2],"",0)</f>
        <v/>
      </c>
      <c r="W160" t="str">
        <f>_xlfn.XLOOKUP(Table3[[#This Row],[Cuenta]],Estructura_Balance[Nombre Cuenta ()],Estructura_Balance[Niveles:3],"",0)</f>
        <v/>
      </c>
      <c r="X160" t="str">
        <f>_xlfn.XLOOKUP(Table3[[#This Row],[Cuenta]],Estructura_Balance[Nombre Cuenta ()],Estructura_Balance[Grupos],"Grupo 1",0)</f>
        <v>Grupo 1</v>
      </c>
      <c r="Y160" t="str">
        <f>+Table3[[#This Row],[BS_Nivel_1]]</f>
        <v/>
      </c>
    </row>
    <row r="161" spans="1:25">
      <c r="A161">
        <f>+'Libro Diario'!F240</f>
        <v>0</v>
      </c>
      <c r="B161" s="144">
        <f>VALUE(IF(+'Libro Diario'!G240="","01/01/2025",+'Libro Diario'!G240))</f>
        <v>45658</v>
      </c>
      <c r="C161">
        <f>IF(ISNUMBER(+IF(IFERROR(VALUE(MID('Libro Diario'!C240,1,4)),0)&lt;&gt;0,'Libro Diario'!C240,0))=FALSE,'Libro Diario'!C240,0)</f>
        <v>0</v>
      </c>
      <c r="D161" s="145" t="str">
        <f>+'Libro Diario'!B240</f>
        <v>DEBE</v>
      </c>
      <c r="E161" s="139" t="s">
        <v>445</v>
      </c>
      <c r="F161" t="str">
        <f t="shared" si="6"/>
        <v>Sin Mov.</v>
      </c>
      <c r="G161" t="str">
        <f>IF(+'Libro Diario'!H240=0,"",+'Libro Diario'!H240)</f>
        <v/>
      </c>
      <c r="H161" t="str">
        <f>IF(+'Libro Diario'!I240=0,"",+'Libro Diario'!I240)</f>
        <v/>
      </c>
      <c r="I161" t="str">
        <f>+IF(Table3[[#This Row],[Tipo Movimiento]]="Estructura Balance y PyG","Excluir","Incluir")</f>
        <v>Incluir</v>
      </c>
      <c r="J161" s="153">
        <f>+IF(Table3[[#This Row],[Sin cuenta]]="Con Mov.",(IF(Table3[[#This Row],[Movimiento]]="Debe",Table3[[#This Row],[Importe]],IF(Table3[[#This Row],[Movimiento]]="Haber",Table3[[#This Row],[Importe]]*-1,0))),0)</f>
        <v>0</v>
      </c>
      <c r="K161" s="145" t="str">
        <f t="shared" si="7"/>
        <v>DEBE</v>
      </c>
      <c r="L161" s="145" t="str">
        <f t="shared" si="8"/>
        <v/>
      </c>
      <c r="M161" t="str">
        <f>_xlfn.XLOOKUP(Table3[[#This Row],[Cuenta]],Estructura_Balance[Nombre Cuenta ()],Estructura_Balance[Grupo],"",0)</f>
        <v/>
      </c>
      <c r="N161" t="str">
        <f>_xlfn.XLOOKUP(Table3[[#This Row],[Cuenta]],Estructura_Balance[Nombre Cuenta ()],Estructura_Balance[Nivel 1],"",0)</f>
        <v/>
      </c>
      <c r="O161" t="str">
        <f>_xlfn.XLOOKUP(Table3[[#This Row],[Cuenta]],Estructura_Balance[Nombre Cuenta ()],Estructura_Balance[Nivel 2],"",0)</f>
        <v/>
      </c>
      <c r="P161" t="str">
        <f>_xlfn.XLOOKUP(Table3[[#This Row],[Cuenta]],Estructura_Balance[Nombre Cuenta ()],Estructura_Balance[Nivel 3],"",0)</f>
        <v/>
      </c>
      <c r="Q161" t="str">
        <f>_xlfn.XLOOKUP(Table3[[#This Row],[Cuenta]],Estructura_Balance[Nombre Cuenta ()],Estructura_Balance[Nivel 4],"",0)</f>
        <v/>
      </c>
      <c r="R161" t="str">
        <f>_xlfn.XLOOKUP(Table3[[#This Row],[Cuenta]],Table8[Nombre Cuenta ()],Table8[Nivel 1],"",0)</f>
        <v/>
      </c>
      <c r="S161" t="str">
        <f>_xlfn.XLOOKUP(Table3[[#This Row],[Cuenta]],Table8[Nombre Cuenta ()],Table8[Nivel 2],"",0)</f>
        <v/>
      </c>
      <c r="T161" t="str">
        <f>_xlfn.XLOOKUP(Table3[[#This Row],[Cuenta]],Table8[Nombre Cuenta ()],Table8[Nivel 3],"",0)</f>
        <v/>
      </c>
      <c r="U161">
        <v>324</v>
      </c>
      <c r="V161" t="str">
        <f>_xlfn.XLOOKUP(Table3[[#This Row],[Cuenta]],Estructura_Balance[Nombre Cuenta ()],Estructura_Balance[Niveles:2],"",0)</f>
        <v/>
      </c>
      <c r="W161" t="str">
        <f>_xlfn.XLOOKUP(Table3[[#This Row],[Cuenta]],Estructura_Balance[Nombre Cuenta ()],Estructura_Balance[Niveles:3],"",0)</f>
        <v/>
      </c>
      <c r="X161" t="str">
        <f>_xlfn.XLOOKUP(Table3[[#This Row],[Cuenta]],Estructura_Balance[Nombre Cuenta ()],Estructura_Balance[Grupos],"Grupo 1",0)</f>
        <v>Grupo 1</v>
      </c>
      <c r="Y161" t="str">
        <f>+Table3[[#This Row],[BS_Nivel_1]]</f>
        <v/>
      </c>
    </row>
    <row r="162" spans="1:25">
      <c r="A162">
        <f>+'Libro Diario'!F241</f>
        <v>0</v>
      </c>
      <c r="B162" s="144">
        <f>VALUE(IF(+'Libro Diario'!G241="","01/01/2025",+'Libro Diario'!G241))</f>
        <v>45658</v>
      </c>
      <c r="C162">
        <f>IF(ISNUMBER(+IF(IFERROR(VALUE(MID('Libro Diario'!C241,1,4)),0)&lt;&gt;0,'Libro Diario'!C241,0))=FALSE,'Libro Diario'!C241,0)</f>
        <v>0</v>
      </c>
      <c r="D162" s="145">
        <f>+'Libro Diario'!B241</f>
        <v>0</v>
      </c>
      <c r="E162" s="139" t="s">
        <v>445</v>
      </c>
      <c r="F162" t="str">
        <f t="shared" si="6"/>
        <v>Sin Mov.</v>
      </c>
      <c r="G162" t="str">
        <f>IF(+'Libro Diario'!H241=0,"",+'Libro Diario'!H241)</f>
        <v/>
      </c>
      <c r="H162" t="str">
        <f>IF(+'Libro Diario'!I241=0,"",+'Libro Diario'!I241)</f>
        <v/>
      </c>
      <c r="I162" t="str">
        <f>+IF(Table3[[#This Row],[Tipo Movimiento]]="Estructura Balance y PyG","Excluir","Incluir")</f>
        <v>Incluir</v>
      </c>
      <c r="J162" s="153">
        <f>+IF(Table3[[#This Row],[Sin cuenta]]="Con Mov.",(IF(Table3[[#This Row],[Movimiento]]="Debe",Table3[[#This Row],[Importe]],IF(Table3[[#This Row],[Movimiento]]="Haber",Table3[[#This Row],[Importe]]*-1,0))),0)</f>
        <v>0</v>
      </c>
      <c r="K162" s="145">
        <f t="shared" si="7"/>
        <v>0</v>
      </c>
      <c r="L162" s="145" t="str">
        <f t="shared" si="8"/>
        <v/>
      </c>
      <c r="M162" t="str">
        <f>_xlfn.XLOOKUP(Table3[[#This Row],[Cuenta]],Estructura_Balance[Nombre Cuenta ()],Estructura_Balance[Grupo],"",0)</f>
        <v/>
      </c>
      <c r="N162" t="str">
        <f>_xlfn.XLOOKUP(Table3[[#This Row],[Cuenta]],Estructura_Balance[Nombre Cuenta ()],Estructura_Balance[Nivel 1],"",0)</f>
        <v/>
      </c>
      <c r="O162" t="str">
        <f>_xlfn.XLOOKUP(Table3[[#This Row],[Cuenta]],Estructura_Balance[Nombre Cuenta ()],Estructura_Balance[Nivel 2],"",0)</f>
        <v/>
      </c>
      <c r="P162" t="str">
        <f>_xlfn.XLOOKUP(Table3[[#This Row],[Cuenta]],Estructura_Balance[Nombre Cuenta ()],Estructura_Balance[Nivel 3],"",0)</f>
        <v/>
      </c>
      <c r="Q162" t="str">
        <f>_xlfn.XLOOKUP(Table3[[#This Row],[Cuenta]],Estructura_Balance[Nombre Cuenta ()],Estructura_Balance[Nivel 4],"",0)</f>
        <v/>
      </c>
      <c r="R162" t="str">
        <f>_xlfn.XLOOKUP(Table3[[#This Row],[Cuenta]],Table8[Nombre Cuenta ()],Table8[Nivel 1],"",0)</f>
        <v/>
      </c>
      <c r="S162" t="str">
        <f>_xlfn.XLOOKUP(Table3[[#This Row],[Cuenta]],Table8[Nombre Cuenta ()],Table8[Nivel 2],"",0)</f>
        <v/>
      </c>
      <c r="T162" t="str">
        <f>_xlfn.XLOOKUP(Table3[[#This Row],[Cuenta]],Table8[Nombre Cuenta ()],Table8[Nivel 3],"",0)</f>
        <v/>
      </c>
      <c r="U162">
        <v>325</v>
      </c>
      <c r="V162" t="str">
        <f>_xlfn.XLOOKUP(Table3[[#This Row],[Cuenta]],Estructura_Balance[Nombre Cuenta ()],Estructura_Balance[Niveles:2],"",0)</f>
        <v/>
      </c>
      <c r="W162" t="str">
        <f>_xlfn.XLOOKUP(Table3[[#This Row],[Cuenta]],Estructura_Balance[Nombre Cuenta ()],Estructura_Balance[Niveles:3],"",0)</f>
        <v/>
      </c>
      <c r="X162" t="str">
        <f>_xlfn.XLOOKUP(Table3[[#This Row],[Cuenta]],Estructura_Balance[Nombre Cuenta ()],Estructura_Balance[Grupos],"Grupo 1",0)</f>
        <v>Grupo 1</v>
      </c>
      <c r="Y162" t="str">
        <f>+Table3[[#This Row],[BS_Nivel_1]]</f>
        <v/>
      </c>
    </row>
    <row r="163" spans="1:25">
      <c r="A163">
        <f>+'Libro Diario'!F244</f>
        <v>0</v>
      </c>
      <c r="B163" s="144">
        <f>VALUE(IF(+'Libro Diario'!G244="","01/01/2025",+'Libro Diario'!G244))</f>
        <v>45658</v>
      </c>
      <c r="C163">
        <f>IF(ISNUMBER(+IF(IFERROR(VALUE(MID('Libro Diario'!C244,1,4)),0)&lt;&gt;0,'Libro Diario'!C244,0))=FALSE,'Libro Diario'!C244,0)</f>
        <v>0</v>
      </c>
      <c r="D163" s="145" t="str">
        <f>+'Libro Diario'!B244</f>
        <v>Operaciones del Ejercicio</v>
      </c>
      <c r="E163" s="139" t="s">
        <v>445</v>
      </c>
      <c r="F163" t="str">
        <f t="shared" si="6"/>
        <v>Sin Mov.</v>
      </c>
      <c r="G163" t="str">
        <f>IF(+'Libro Diario'!H244=0,"",+'Libro Diario'!H244)</f>
        <v/>
      </c>
      <c r="H163" t="str">
        <f>IF(+'Libro Diario'!I244=0,"",+'Libro Diario'!I244)</f>
        <v/>
      </c>
      <c r="I163" t="str">
        <f>+IF(Table3[[#This Row],[Tipo Movimiento]]="Estructura Balance y PyG","Excluir","Incluir")</f>
        <v>Incluir</v>
      </c>
      <c r="J163" s="153">
        <f>+IF(Table3[[#This Row],[Sin cuenta]]="Con Mov.",(IF(Table3[[#This Row],[Movimiento]]="Debe",Table3[[#This Row],[Importe]],IF(Table3[[#This Row],[Movimiento]]="Haber",Table3[[#This Row],[Importe]]*-1,0))),0)</f>
        <v>0</v>
      </c>
      <c r="K163" s="145" t="str">
        <f t="shared" si="7"/>
        <v>Operaciones del Ejercicio</v>
      </c>
      <c r="L163" s="145" t="str">
        <f t="shared" si="8"/>
        <v/>
      </c>
      <c r="M163" t="str">
        <f>_xlfn.XLOOKUP(Table3[[#This Row],[Cuenta]],Estructura_Balance[Nombre Cuenta ()],Estructura_Balance[Grupo],"",0)</f>
        <v/>
      </c>
      <c r="N163" t="str">
        <f>_xlfn.XLOOKUP(Table3[[#This Row],[Cuenta]],Estructura_Balance[Nombre Cuenta ()],Estructura_Balance[Nivel 1],"",0)</f>
        <v/>
      </c>
      <c r="O163" t="str">
        <f>_xlfn.XLOOKUP(Table3[[#This Row],[Cuenta]],Estructura_Balance[Nombre Cuenta ()],Estructura_Balance[Nivel 2],"",0)</f>
        <v/>
      </c>
      <c r="P163" t="str">
        <f>_xlfn.XLOOKUP(Table3[[#This Row],[Cuenta]],Estructura_Balance[Nombre Cuenta ()],Estructura_Balance[Nivel 3],"",0)</f>
        <v/>
      </c>
      <c r="Q163" t="str">
        <f>_xlfn.XLOOKUP(Table3[[#This Row],[Cuenta]],Estructura_Balance[Nombre Cuenta ()],Estructura_Balance[Nivel 4],"",0)</f>
        <v/>
      </c>
      <c r="R163" t="str">
        <f>_xlfn.XLOOKUP(Table3[[#This Row],[Cuenta]],Table8[Nombre Cuenta ()],Table8[Nivel 1],"",0)</f>
        <v/>
      </c>
      <c r="S163" t="str">
        <f>_xlfn.XLOOKUP(Table3[[#This Row],[Cuenta]],Table8[Nombre Cuenta ()],Table8[Nivel 2],"",0)</f>
        <v/>
      </c>
      <c r="T163" t="str">
        <f>_xlfn.XLOOKUP(Table3[[#This Row],[Cuenta]],Table8[Nombre Cuenta ()],Table8[Nivel 3],"",0)</f>
        <v/>
      </c>
      <c r="U163">
        <v>330</v>
      </c>
      <c r="V163" t="str">
        <f>_xlfn.XLOOKUP(Table3[[#This Row],[Cuenta]],Estructura_Balance[Nombre Cuenta ()],Estructura_Balance[Niveles:2],"",0)</f>
        <v/>
      </c>
      <c r="W163" t="str">
        <f>_xlfn.XLOOKUP(Table3[[#This Row],[Cuenta]],Estructura_Balance[Nombre Cuenta ()],Estructura_Balance[Niveles:3],"",0)</f>
        <v/>
      </c>
      <c r="X163" t="str">
        <f>_xlfn.XLOOKUP(Table3[[#This Row],[Cuenta]],Estructura_Balance[Nombre Cuenta ()],Estructura_Balance[Grupos],"Grupo 1",0)</f>
        <v>Grupo 1</v>
      </c>
      <c r="Y163" t="str">
        <f>+Table3[[#This Row],[BS_Nivel_1]]</f>
        <v/>
      </c>
    </row>
    <row r="164" spans="1:25">
      <c r="A164">
        <f>+'Libro Diario'!F245</f>
        <v>0</v>
      </c>
      <c r="B164" s="144">
        <f>VALUE(IF(+'Libro Diario'!G245="","01/01/2025",+'Libro Diario'!G245))</f>
        <v>45658</v>
      </c>
      <c r="C164">
        <f>IF(ISNUMBER(+IF(IFERROR(VALUE(MID('Libro Diario'!C245,1,4)),0)&lt;&gt;0,'Libro Diario'!C245,0))=FALSE,'Libro Diario'!C245,0)</f>
        <v>0</v>
      </c>
      <c r="D164" s="145" t="str">
        <f>+'Libro Diario'!B245</f>
        <v>Asiento Cuadrado</v>
      </c>
      <c r="E164" s="139" t="s">
        <v>445</v>
      </c>
      <c r="F164" t="str">
        <f t="shared" si="6"/>
        <v>Sin Mov.</v>
      </c>
      <c r="G164" t="str">
        <f>IF(+'Libro Diario'!H245=0,"",+'Libro Diario'!H245)</f>
        <v/>
      </c>
      <c r="H164" t="str">
        <f>IF(+'Libro Diario'!I245=0,"",+'Libro Diario'!I245)</f>
        <v/>
      </c>
      <c r="I164" t="str">
        <f>+IF(Table3[[#This Row],[Tipo Movimiento]]="Estructura Balance y PyG","Excluir","Incluir")</f>
        <v>Incluir</v>
      </c>
      <c r="J164" s="153">
        <f>+IF(Table3[[#This Row],[Sin cuenta]]="Con Mov.",(IF(Table3[[#This Row],[Movimiento]]="Debe",Table3[[#This Row],[Importe]],IF(Table3[[#This Row],[Movimiento]]="Haber",Table3[[#This Row],[Importe]]*-1,0))),0)</f>
        <v>0</v>
      </c>
      <c r="K164" s="145" t="str">
        <f t="shared" si="7"/>
        <v>Asiento Cuadrado</v>
      </c>
      <c r="L164" s="145" t="str">
        <f t="shared" si="8"/>
        <v/>
      </c>
      <c r="M164" t="str">
        <f>_xlfn.XLOOKUP(Table3[[#This Row],[Cuenta]],Estructura_Balance[Nombre Cuenta ()],Estructura_Balance[Grupo],"",0)</f>
        <v/>
      </c>
      <c r="N164" t="str">
        <f>_xlfn.XLOOKUP(Table3[[#This Row],[Cuenta]],Estructura_Balance[Nombre Cuenta ()],Estructura_Balance[Nivel 1],"",0)</f>
        <v/>
      </c>
      <c r="O164" t="str">
        <f>_xlfn.XLOOKUP(Table3[[#This Row],[Cuenta]],Estructura_Balance[Nombre Cuenta ()],Estructura_Balance[Nivel 2],"",0)</f>
        <v/>
      </c>
      <c r="P164" t="str">
        <f>_xlfn.XLOOKUP(Table3[[#This Row],[Cuenta]],Estructura_Balance[Nombre Cuenta ()],Estructura_Balance[Nivel 3],"",0)</f>
        <v/>
      </c>
      <c r="Q164" t="str">
        <f>_xlfn.XLOOKUP(Table3[[#This Row],[Cuenta]],Estructura_Balance[Nombre Cuenta ()],Estructura_Balance[Nivel 4],"",0)</f>
        <v/>
      </c>
      <c r="R164" t="str">
        <f>_xlfn.XLOOKUP(Table3[[#This Row],[Cuenta]],Table8[Nombre Cuenta ()],Table8[Nivel 1],"",0)</f>
        <v/>
      </c>
      <c r="S164" t="str">
        <f>_xlfn.XLOOKUP(Table3[[#This Row],[Cuenta]],Table8[Nombre Cuenta ()],Table8[Nivel 2],"",0)</f>
        <v/>
      </c>
      <c r="T164" t="str">
        <f>_xlfn.XLOOKUP(Table3[[#This Row],[Cuenta]],Table8[Nombre Cuenta ()],Table8[Nivel 3],"",0)</f>
        <v/>
      </c>
      <c r="U164">
        <v>331</v>
      </c>
      <c r="V164" t="str">
        <f>_xlfn.XLOOKUP(Table3[[#This Row],[Cuenta]],Estructura_Balance[Nombre Cuenta ()],Estructura_Balance[Niveles:2],"",0)</f>
        <v/>
      </c>
      <c r="W164" t="str">
        <f>_xlfn.XLOOKUP(Table3[[#This Row],[Cuenta]],Estructura_Balance[Nombre Cuenta ()],Estructura_Balance[Niveles:3],"",0)</f>
        <v/>
      </c>
      <c r="X164" t="str">
        <f>_xlfn.XLOOKUP(Table3[[#This Row],[Cuenta]],Estructura_Balance[Nombre Cuenta ()],Estructura_Balance[Grupos],"Grupo 1",0)</f>
        <v>Grupo 1</v>
      </c>
      <c r="Y164" t="str">
        <f>+Table3[[#This Row],[BS_Nivel_1]]</f>
        <v/>
      </c>
    </row>
    <row r="165" spans="1:25">
      <c r="A165">
        <f>+'Libro Diario'!F246</f>
        <v>0</v>
      </c>
      <c r="B165" s="144">
        <f>VALUE(IF(+'Libro Diario'!G246="","01/01/2025",+'Libro Diario'!G246))</f>
        <v>45658</v>
      </c>
      <c r="C165">
        <f>IF(ISNUMBER(+IF(IFERROR(VALUE(MID('Libro Diario'!C246,1,4)),0)&lt;&gt;0,'Libro Diario'!C246,0))=FALSE,'Libro Diario'!C246,0)</f>
        <v>0</v>
      </c>
      <c r="D165" s="145">
        <f>+'Libro Diario'!B246</f>
        <v>0</v>
      </c>
      <c r="E165" s="139" t="s">
        <v>445</v>
      </c>
      <c r="F165" t="str">
        <f t="shared" si="6"/>
        <v>Sin Mov.</v>
      </c>
      <c r="G165" t="str">
        <f>IF(+'Libro Diario'!H246=0,"",+'Libro Diario'!H246)</f>
        <v/>
      </c>
      <c r="H165" t="str">
        <f>IF(+'Libro Diario'!I246=0,"",+'Libro Diario'!I246)</f>
        <v/>
      </c>
      <c r="I165" t="str">
        <f>+IF(Table3[[#This Row],[Tipo Movimiento]]="Estructura Balance y PyG","Excluir","Incluir")</f>
        <v>Incluir</v>
      </c>
      <c r="J165" s="153">
        <f>+IF(Table3[[#This Row],[Sin cuenta]]="Con Mov.",(IF(Table3[[#This Row],[Movimiento]]="Debe",Table3[[#This Row],[Importe]],IF(Table3[[#This Row],[Movimiento]]="Haber",Table3[[#This Row],[Importe]]*-1,0))),0)</f>
        <v>0</v>
      </c>
      <c r="K165" s="145">
        <f t="shared" si="7"/>
        <v>0</v>
      </c>
      <c r="L165" s="145" t="str">
        <f t="shared" si="8"/>
        <v/>
      </c>
      <c r="M165" t="str">
        <f>_xlfn.XLOOKUP(Table3[[#This Row],[Cuenta]],Estructura_Balance[Nombre Cuenta ()],Estructura_Balance[Grupo],"",0)</f>
        <v/>
      </c>
      <c r="N165" t="str">
        <f>_xlfn.XLOOKUP(Table3[[#This Row],[Cuenta]],Estructura_Balance[Nombre Cuenta ()],Estructura_Balance[Nivel 1],"",0)</f>
        <v/>
      </c>
      <c r="O165" t="str">
        <f>_xlfn.XLOOKUP(Table3[[#This Row],[Cuenta]],Estructura_Balance[Nombre Cuenta ()],Estructura_Balance[Nivel 2],"",0)</f>
        <v/>
      </c>
      <c r="P165" t="str">
        <f>_xlfn.XLOOKUP(Table3[[#This Row],[Cuenta]],Estructura_Balance[Nombre Cuenta ()],Estructura_Balance[Nivel 3],"",0)</f>
        <v/>
      </c>
      <c r="Q165" t="str">
        <f>_xlfn.XLOOKUP(Table3[[#This Row],[Cuenta]],Estructura_Balance[Nombre Cuenta ()],Estructura_Balance[Nivel 4],"",0)</f>
        <v/>
      </c>
      <c r="R165" t="str">
        <f>_xlfn.XLOOKUP(Table3[[#This Row],[Cuenta]],Table8[Nombre Cuenta ()],Table8[Nivel 1],"",0)</f>
        <v/>
      </c>
      <c r="S165" t="str">
        <f>_xlfn.XLOOKUP(Table3[[#This Row],[Cuenta]],Table8[Nombre Cuenta ()],Table8[Nivel 2],"",0)</f>
        <v/>
      </c>
      <c r="T165" t="str">
        <f>_xlfn.XLOOKUP(Table3[[#This Row],[Cuenta]],Table8[Nombre Cuenta ()],Table8[Nivel 3],"",0)</f>
        <v/>
      </c>
      <c r="U165">
        <v>332</v>
      </c>
      <c r="V165" t="str">
        <f>_xlfn.XLOOKUP(Table3[[#This Row],[Cuenta]],Estructura_Balance[Nombre Cuenta ()],Estructura_Balance[Niveles:2],"",0)</f>
        <v/>
      </c>
      <c r="W165" t="str">
        <f>_xlfn.XLOOKUP(Table3[[#This Row],[Cuenta]],Estructura_Balance[Nombre Cuenta ()],Estructura_Balance[Niveles:3],"",0)</f>
        <v/>
      </c>
      <c r="X165" t="str">
        <f>_xlfn.XLOOKUP(Table3[[#This Row],[Cuenta]],Estructura_Balance[Nombre Cuenta ()],Estructura_Balance[Grupos],"Grupo 1",0)</f>
        <v>Grupo 1</v>
      </c>
      <c r="Y165" t="str">
        <f>+Table3[[#This Row],[BS_Nivel_1]]</f>
        <v/>
      </c>
    </row>
    <row r="166" spans="1:25">
      <c r="A166">
        <f>+'Libro Diario'!F247</f>
        <v>0</v>
      </c>
      <c r="B166" s="144">
        <f>VALUE(IF(+'Libro Diario'!G247="","01/01/2025",+'Libro Diario'!G247))</f>
        <v>45658</v>
      </c>
      <c r="C166">
        <f>IF(ISNUMBER(+IF(IFERROR(VALUE(MID('Libro Diario'!C247,1,4)),0)&lt;&gt;0,'Libro Diario'!C247,0))=FALSE,'Libro Diario'!C247,0)</f>
        <v>0</v>
      </c>
      <c r="D166" s="145" t="str">
        <f>+'Libro Diario'!B247</f>
        <v>DEBE</v>
      </c>
      <c r="E166" s="139" t="s">
        <v>445</v>
      </c>
      <c r="F166" t="str">
        <f t="shared" si="6"/>
        <v>Sin Mov.</v>
      </c>
      <c r="G166" t="str">
        <f>IF(+'Libro Diario'!H247=0,"",+'Libro Diario'!H247)</f>
        <v/>
      </c>
      <c r="H166" t="str">
        <f>IF(+'Libro Diario'!I247=0,"",+'Libro Diario'!I247)</f>
        <v/>
      </c>
      <c r="I166" t="str">
        <f>+IF(Table3[[#This Row],[Tipo Movimiento]]="Estructura Balance y PyG","Excluir","Incluir")</f>
        <v>Incluir</v>
      </c>
      <c r="J166" s="153">
        <f>+IF(Table3[[#This Row],[Sin cuenta]]="Con Mov.",(IF(Table3[[#This Row],[Movimiento]]="Debe",Table3[[#This Row],[Importe]],IF(Table3[[#This Row],[Movimiento]]="Haber",Table3[[#This Row],[Importe]]*-1,0))),0)</f>
        <v>0</v>
      </c>
      <c r="K166" s="145" t="str">
        <f t="shared" si="7"/>
        <v>DEBE</v>
      </c>
      <c r="L166" s="145" t="str">
        <f t="shared" si="8"/>
        <v/>
      </c>
      <c r="M166" t="str">
        <f>_xlfn.XLOOKUP(Table3[[#This Row],[Cuenta]],Estructura_Balance[Nombre Cuenta ()],Estructura_Balance[Grupo],"",0)</f>
        <v/>
      </c>
      <c r="N166" t="str">
        <f>_xlfn.XLOOKUP(Table3[[#This Row],[Cuenta]],Estructura_Balance[Nombre Cuenta ()],Estructura_Balance[Nivel 1],"",0)</f>
        <v/>
      </c>
      <c r="O166" t="str">
        <f>_xlfn.XLOOKUP(Table3[[#This Row],[Cuenta]],Estructura_Balance[Nombre Cuenta ()],Estructura_Balance[Nivel 2],"",0)</f>
        <v/>
      </c>
      <c r="P166" t="str">
        <f>_xlfn.XLOOKUP(Table3[[#This Row],[Cuenta]],Estructura_Balance[Nombre Cuenta ()],Estructura_Balance[Nivel 3],"",0)</f>
        <v/>
      </c>
      <c r="Q166" t="str">
        <f>_xlfn.XLOOKUP(Table3[[#This Row],[Cuenta]],Estructura_Balance[Nombre Cuenta ()],Estructura_Balance[Nivel 4],"",0)</f>
        <v/>
      </c>
      <c r="R166" t="str">
        <f>_xlfn.XLOOKUP(Table3[[#This Row],[Cuenta]],Table8[Nombre Cuenta ()],Table8[Nivel 1],"",0)</f>
        <v/>
      </c>
      <c r="S166" t="str">
        <f>_xlfn.XLOOKUP(Table3[[#This Row],[Cuenta]],Table8[Nombre Cuenta ()],Table8[Nivel 2],"",0)</f>
        <v/>
      </c>
      <c r="T166" t="str">
        <f>_xlfn.XLOOKUP(Table3[[#This Row],[Cuenta]],Table8[Nombre Cuenta ()],Table8[Nivel 3],"",0)</f>
        <v/>
      </c>
      <c r="U166">
        <v>333</v>
      </c>
      <c r="V166" t="str">
        <f>_xlfn.XLOOKUP(Table3[[#This Row],[Cuenta]],Estructura_Balance[Nombre Cuenta ()],Estructura_Balance[Niveles:2],"",0)</f>
        <v/>
      </c>
      <c r="W166" t="str">
        <f>_xlfn.XLOOKUP(Table3[[#This Row],[Cuenta]],Estructura_Balance[Nombre Cuenta ()],Estructura_Balance[Niveles:3],"",0)</f>
        <v/>
      </c>
      <c r="X166" t="str">
        <f>_xlfn.XLOOKUP(Table3[[#This Row],[Cuenta]],Estructura_Balance[Nombre Cuenta ()],Estructura_Balance[Grupos],"Grupo 1",0)</f>
        <v>Grupo 1</v>
      </c>
      <c r="Y166" t="str">
        <f>+Table3[[#This Row],[BS_Nivel_1]]</f>
        <v/>
      </c>
    </row>
    <row r="167" spans="1:25">
      <c r="A167">
        <f>+'Libro Diario'!F248</f>
        <v>0</v>
      </c>
      <c r="B167" s="144">
        <f>VALUE(IF(+'Libro Diario'!G248="","01/01/2025",+'Libro Diario'!G248))</f>
        <v>45658</v>
      </c>
      <c r="C167">
        <f>IF(ISNUMBER(+IF(IFERROR(VALUE(MID('Libro Diario'!C248,1,4)),0)&lt;&gt;0,'Libro Diario'!C248,0))=FALSE,'Libro Diario'!C248,0)</f>
        <v>0</v>
      </c>
      <c r="D167" s="145">
        <f>+'Libro Diario'!B248</f>
        <v>0</v>
      </c>
      <c r="E167" s="139" t="s">
        <v>445</v>
      </c>
      <c r="F167" t="str">
        <f t="shared" si="6"/>
        <v>Sin Mov.</v>
      </c>
      <c r="G167" t="str">
        <f>IF(+'Libro Diario'!H248=0,"",+'Libro Diario'!H248)</f>
        <v/>
      </c>
      <c r="H167" t="str">
        <f>IF(+'Libro Diario'!I248=0,"",+'Libro Diario'!I248)</f>
        <v/>
      </c>
      <c r="I167" t="str">
        <f>+IF(Table3[[#This Row],[Tipo Movimiento]]="Estructura Balance y PyG","Excluir","Incluir")</f>
        <v>Incluir</v>
      </c>
      <c r="J167" s="153">
        <f>+IF(Table3[[#This Row],[Sin cuenta]]="Con Mov.",(IF(Table3[[#This Row],[Movimiento]]="Debe",Table3[[#This Row],[Importe]],IF(Table3[[#This Row],[Movimiento]]="Haber",Table3[[#This Row],[Importe]]*-1,0))),0)</f>
        <v>0</v>
      </c>
      <c r="K167" s="145">
        <f t="shared" si="7"/>
        <v>0</v>
      </c>
      <c r="L167" s="145" t="str">
        <f t="shared" si="8"/>
        <v/>
      </c>
      <c r="M167" t="str">
        <f>_xlfn.XLOOKUP(Table3[[#This Row],[Cuenta]],Estructura_Balance[Nombre Cuenta ()],Estructura_Balance[Grupo],"",0)</f>
        <v/>
      </c>
      <c r="N167" t="str">
        <f>_xlfn.XLOOKUP(Table3[[#This Row],[Cuenta]],Estructura_Balance[Nombre Cuenta ()],Estructura_Balance[Nivel 1],"",0)</f>
        <v/>
      </c>
      <c r="O167" t="str">
        <f>_xlfn.XLOOKUP(Table3[[#This Row],[Cuenta]],Estructura_Balance[Nombre Cuenta ()],Estructura_Balance[Nivel 2],"",0)</f>
        <v/>
      </c>
      <c r="P167" t="str">
        <f>_xlfn.XLOOKUP(Table3[[#This Row],[Cuenta]],Estructura_Balance[Nombre Cuenta ()],Estructura_Balance[Nivel 3],"",0)</f>
        <v/>
      </c>
      <c r="Q167" t="str">
        <f>_xlfn.XLOOKUP(Table3[[#This Row],[Cuenta]],Estructura_Balance[Nombre Cuenta ()],Estructura_Balance[Nivel 4],"",0)</f>
        <v/>
      </c>
      <c r="R167" t="str">
        <f>_xlfn.XLOOKUP(Table3[[#This Row],[Cuenta]],Table8[Nombre Cuenta ()],Table8[Nivel 1],"",0)</f>
        <v/>
      </c>
      <c r="S167" t="str">
        <f>_xlfn.XLOOKUP(Table3[[#This Row],[Cuenta]],Table8[Nombre Cuenta ()],Table8[Nivel 2],"",0)</f>
        <v/>
      </c>
      <c r="T167" t="str">
        <f>_xlfn.XLOOKUP(Table3[[#This Row],[Cuenta]],Table8[Nombre Cuenta ()],Table8[Nivel 3],"",0)</f>
        <v/>
      </c>
      <c r="U167">
        <v>334</v>
      </c>
      <c r="V167" t="str">
        <f>_xlfn.XLOOKUP(Table3[[#This Row],[Cuenta]],Estructura_Balance[Nombre Cuenta ()],Estructura_Balance[Niveles:2],"",0)</f>
        <v/>
      </c>
      <c r="W167" t="str">
        <f>_xlfn.XLOOKUP(Table3[[#This Row],[Cuenta]],Estructura_Balance[Nombre Cuenta ()],Estructura_Balance[Niveles:3],"",0)</f>
        <v/>
      </c>
      <c r="X167" t="str">
        <f>_xlfn.XLOOKUP(Table3[[#This Row],[Cuenta]],Estructura_Balance[Nombre Cuenta ()],Estructura_Balance[Grupos],"Grupo 1",0)</f>
        <v>Grupo 1</v>
      </c>
      <c r="Y167" t="str">
        <f>+Table3[[#This Row],[BS_Nivel_1]]</f>
        <v/>
      </c>
    </row>
    <row r="168" spans="1:25">
      <c r="A168">
        <f>+'Libro Diario'!F251</f>
        <v>0</v>
      </c>
      <c r="B168" s="144">
        <f>VALUE(IF(+'Libro Diario'!G251="","01/01/2025",+'Libro Diario'!G251))</f>
        <v>45658</v>
      </c>
      <c r="C168">
        <f>IF(ISNUMBER(+IF(IFERROR(VALUE(MID('Libro Diario'!C251,1,4)),0)&lt;&gt;0,'Libro Diario'!C251,0))=FALSE,'Libro Diario'!C251,0)</f>
        <v>0</v>
      </c>
      <c r="D168" s="145" t="str">
        <f>+'Libro Diario'!B251</f>
        <v>Operaciones del Ejercicio</v>
      </c>
      <c r="E168" s="139" t="s">
        <v>445</v>
      </c>
      <c r="F168" t="str">
        <f t="shared" si="6"/>
        <v>Sin Mov.</v>
      </c>
      <c r="G168" t="str">
        <f>IF(+'Libro Diario'!H251=0,"",+'Libro Diario'!H251)</f>
        <v/>
      </c>
      <c r="H168" t="str">
        <f>IF(+'Libro Diario'!I251=0,"",+'Libro Diario'!I251)</f>
        <v/>
      </c>
      <c r="I168" t="str">
        <f>+IF(Table3[[#This Row],[Tipo Movimiento]]="Estructura Balance y PyG","Excluir","Incluir")</f>
        <v>Incluir</v>
      </c>
      <c r="J168" s="153">
        <f>+IF(Table3[[#This Row],[Sin cuenta]]="Con Mov.",(IF(Table3[[#This Row],[Movimiento]]="Debe",Table3[[#This Row],[Importe]],IF(Table3[[#This Row],[Movimiento]]="Haber",Table3[[#This Row],[Importe]]*-1,0))),0)</f>
        <v>0</v>
      </c>
      <c r="K168" s="145" t="str">
        <f t="shared" si="7"/>
        <v>Operaciones del Ejercicio</v>
      </c>
      <c r="L168" s="145" t="str">
        <f t="shared" si="8"/>
        <v/>
      </c>
      <c r="M168" t="str">
        <f>_xlfn.XLOOKUP(Table3[[#This Row],[Cuenta]],Estructura_Balance[Nombre Cuenta ()],Estructura_Balance[Grupo],"",0)</f>
        <v/>
      </c>
      <c r="N168" t="str">
        <f>_xlfn.XLOOKUP(Table3[[#This Row],[Cuenta]],Estructura_Balance[Nombre Cuenta ()],Estructura_Balance[Nivel 1],"",0)</f>
        <v/>
      </c>
      <c r="O168" t="str">
        <f>_xlfn.XLOOKUP(Table3[[#This Row],[Cuenta]],Estructura_Balance[Nombre Cuenta ()],Estructura_Balance[Nivel 2],"",0)</f>
        <v/>
      </c>
      <c r="P168" t="str">
        <f>_xlfn.XLOOKUP(Table3[[#This Row],[Cuenta]],Estructura_Balance[Nombre Cuenta ()],Estructura_Balance[Nivel 3],"",0)</f>
        <v/>
      </c>
      <c r="Q168" t="str">
        <f>_xlfn.XLOOKUP(Table3[[#This Row],[Cuenta]],Estructura_Balance[Nombre Cuenta ()],Estructura_Balance[Nivel 4],"",0)</f>
        <v/>
      </c>
      <c r="R168" t="str">
        <f>_xlfn.XLOOKUP(Table3[[#This Row],[Cuenta]],Table8[Nombre Cuenta ()],Table8[Nivel 1],"",0)</f>
        <v/>
      </c>
      <c r="S168" t="str">
        <f>_xlfn.XLOOKUP(Table3[[#This Row],[Cuenta]],Table8[Nombre Cuenta ()],Table8[Nivel 2],"",0)</f>
        <v/>
      </c>
      <c r="T168" t="str">
        <f>_xlfn.XLOOKUP(Table3[[#This Row],[Cuenta]],Table8[Nombre Cuenta ()],Table8[Nivel 3],"",0)</f>
        <v/>
      </c>
      <c r="U168">
        <v>339</v>
      </c>
      <c r="V168" t="str">
        <f>_xlfn.XLOOKUP(Table3[[#This Row],[Cuenta]],Estructura_Balance[Nombre Cuenta ()],Estructura_Balance[Niveles:2],"",0)</f>
        <v/>
      </c>
      <c r="W168" t="str">
        <f>_xlfn.XLOOKUP(Table3[[#This Row],[Cuenta]],Estructura_Balance[Nombre Cuenta ()],Estructura_Balance[Niveles:3],"",0)</f>
        <v/>
      </c>
      <c r="X168" t="str">
        <f>_xlfn.XLOOKUP(Table3[[#This Row],[Cuenta]],Estructura_Balance[Nombre Cuenta ()],Estructura_Balance[Grupos],"Grupo 1",0)</f>
        <v>Grupo 1</v>
      </c>
      <c r="Y168" t="str">
        <f>+Table3[[#This Row],[BS_Nivel_1]]</f>
        <v/>
      </c>
    </row>
    <row r="169" spans="1:25">
      <c r="A169">
        <f>+'Libro Diario'!F252</f>
        <v>0</v>
      </c>
      <c r="B169" s="144">
        <f>VALUE(IF(+'Libro Diario'!G252="","01/01/2025",+'Libro Diario'!G252))</f>
        <v>45658</v>
      </c>
      <c r="C169">
        <f>IF(ISNUMBER(+IF(IFERROR(VALUE(MID('Libro Diario'!C252,1,4)),0)&lt;&gt;0,'Libro Diario'!C252,0))=FALSE,'Libro Diario'!C252,0)</f>
        <v>0</v>
      </c>
      <c r="D169" s="145" t="str">
        <f>+'Libro Diario'!B252</f>
        <v>Asiento Cuadrado</v>
      </c>
      <c r="E169" s="139" t="s">
        <v>445</v>
      </c>
      <c r="F169" t="str">
        <f t="shared" si="6"/>
        <v>Sin Mov.</v>
      </c>
      <c r="G169" t="str">
        <f>IF(+'Libro Diario'!H252=0,"",+'Libro Diario'!H252)</f>
        <v/>
      </c>
      <c r="H169" t="str">
        <f>IF(+'Libro Diario'!I252=0,"",+'Libro Diario'!I252)</f>
        <v/>
      </c>
      <c r="I169" t="str">
        <f>+IF(Table3[[#This Row],[Tipo Movimiento]]="Estructura Balance y PyG","Excluir","Incluir")</f>
        <v>Incluir</v>
      </c>
      <c r="J169" s="153">
        <f>+IF(Table3[[#This Row],[Sin cuenta]]="Con Mov.",(IF(Table3[[#This Row],[Movimiento]]="Debe",Table3[[#This Row],[Importe]],IF(Table3[[#This Row],[Movimiento]]="Haber",Table3[[#This Row],[Importe]]*-1,0))),0)</f>
        <v>0</v>
      </c>
      <c r="K169" s="145" t="str">
        <f t="shared" si="7"/>
        <v>Asiento Cuadrado</v>
      </c>
      <c r="L169" s="145" t="str">
        <f t="shared" si="8"/>
        <v/>
      </c>
      <c r="M169" t="str">
        <f>_xlfn.XLOOKUP(Table3[[#This Row],[Cuenta]],Estructura_Balance[Nombre Cuenta ()],Estructura_Balance[Grupo],"",0)</f>
        <v/>
      </c>
      <c r="N169" t="str">
        <f>_xlfn.XLOOKUP(Table3[[#This Row],[Cuenta]],Estructura_Balance[Nombre Cuenta ()],Estructura_Balance[Nivel 1],"",0)</f>
        <v/>
      </c>
      <c r="O169" t="str">
        <f>_xlfn.XLOOKUP(Table3[[#This Row],[Cuenta]],Estructura_Balance[Nombre Cuenta ()],Estructura_Balance[Nivel 2],"",0)</f>
        <v/>
      </c>
      <c r="P169" t="str">
        <f>_xlfn.XLOOKUP(Table3[[#This Row],[Cuenta]],Estructura_Balance[Nombre Cuenta ()],Estructura_Balance[Nivel 3],"",0)</f>
        <v/>
      </c>
      <c r="Q169" t="str">
        <f>_xlfn.XLOOKUP(Table3[[#This Row],[Cuenta]],Estructura_Balance[Nombre Cuenta ()],Estructura_Balance[Nivel 4],"",0)</f>
        <v/>
      </c>
      <c r="R169" t="str">
        <f>_xlfn.XLOOKUP(Table3[[#This Row],[Cuenta]],Table8[Nombre Cuenta ()],Table8[Nivel 1],"",0)</f>
        <v/>
      </c>
      <c r="S169" t="str">
        <f>_xlfn.XLOOKUP(Table3[[#This Row],[Cuenta]],Table8[Nombre Cuenta ()],Table8[Nivel 2],"",0)</f>
        <v/>
      </c>
      <c r="T169" t="str">
        <f>_xlfn.XLOOKUP(Table3[[#This Row],[Cuenta]],Table8[Nombre Cuenta ()],Table8[Nivel 3],"",0)</f>
        <v/>
      </c>
      <c r="U169">
        <v>340</v>
      </c>
      <c r="V169" t="str">
        <f>_xlfn.XLOOKUP(Table3[[#This Row],[Cuenta]],Estructura_Balance[Nombre Cuenta ()],Estructura_Balance[Niveles:2],"",0)</f>
        <v/>
      </c>
      <c r="W169" t="str">
        <f>_xlfn.XLOOKUP(Table3[[#This Row],[Cuenta]],Estructura_Balance[Nombre Cuenta ()],Estructura_Balance[Niveles:3],"",0)</f>
        <v/>
      </c>
      <c r="X169" t="str">
        <f>_xlfn.XLOOKUP(Table3[[#This Row],[Cuenta]],Estructura_Balance[Nombre Cuenta ()],Estructura_Balance[Grupos],"Grupo 1",0)</f>
        <v>Grupo 1</v>
      </c>
      <c r="Y169" t="str">
        <f>+Table3[[#This Row],[BS_Nivel_1]]</f>
        <v/>
      </c>
    </row>
    <row r="170" spans="1:25">
      <c r="A170">
        <f>+'Libro Diario'!F253</f>
        <v>0</v>
      </c>
      <c r="B170" s="144">
        <f>VALUE(IF(+'Libro Diario'!G253="","01/01/2025",+'Libro Diario'!G253))</f>
        <v>45658</v>
      </c>
      <c r="C170">
        <f>IF(ISNUMBER(+IF(IFERROR(VALUE(MID('Libro Diario'!C253,1,4)),0)&lt;&gt;0,'Libro Diario'!C253,0))=FALSE,'Libro Diario'!C253,0)</f>
        <v>0</v>
      </c>
      <c r="D170" s="145">
        <f>+'Libro Diario'!B253</f>
        <v>0</v>
      </c>
      <c r="E170" s="139" t="s">
        <v>445</v>
      </c>
      <c r="F170" t="str">
        <f t="shared" si="6"/>
        <v>Sin Mov.</v>
      </c>
      <c r="G170" t="str">
        <f>IF(+'Libro Diario'!H253=0,"",+'Libro Diario'!H253)</f>
        <v/>
      </c>
      <c r="H170" t="str">
        <f>IF(+'Libro Diario'!I253=0,"",+'Libro Diario'!I253)</f>
        <v/>
      </c>
      <c r="I170" t="str">
        <f>+IF(Table3[[#This Row],[Tipo Movimiento]]="Estructura Balance y PyG","Excluir","Incluir")</f>
        <v>Incluir</v>
      </c>
      <c r="J170" s="153">
        <f>+IF(Table3[[#This Row],[Sin cuenta]]="Con Mov.",(IF(Table3[[#This Row],[Movimiento]]="Debe",Table3[[#This Row],[Importe]],IF(Table3[[#This Row],[Movimiento]]="Haber",Table3[[#This Row],[Importe]]*-1,0))),0)</f>
        <v>0</v>
      </c>
      <c r="K170" s="145">
        <f t="shared" si="7"/>
        <v>0</v>
      </c>
      <c r="L170" s="145" t="str">
        <f t="shared" si="8"/>
        <v/>
      </c>
      <c r="M170" t="str">
        <f>_xlfn.XLOOKUP(Table3[[#This Row],[Cuenta]],Estructura_Balance[Nombre Cuenta ()],Estructura_Balance[Grupo],"",0)</f>
        <v/>
      </c>
      <c r="N170" t="str">
        <f>_xlfn.XLOOKUP(Table3[[#This Row],[Cuenta]],Estructura_Balance[Nombre Cuenta ()],Estructura_Balance[Nivel 1],"",0)</f>
        <v/>
      </c>
      <c r="O170" t="str">
        <f>_xlfn.XLOOKUP(Table3[[#This Row],[Cuenta]],Estructura_Balance[Nombre Cuenta ()],Estructura_Balance[Nivel 2],"",0)</f>
        <v/>
      </c>
      <c r="P170" t="str">
        <f>_xlfn.XLOOKUP(Table3[[#This Row],[Cuenta]],Estructura_Balance[Nombre Cuenta ()],Estructura_Balance[Nivel 3],"",0)</f>
        <v/>
      </c>
      <c r="Q170" t="str">
        <f>_xlfn.XLOOKUP(Table3[[#This Row],[Cuenta]],Estructura_Balance[Nombre Cuenta ()],Estructura_Balance[Nivel 4],"",0)</f>
        <v/>
      </c>
      <c r="R170" t="str">
        <f>_xlfn.XLOOKUP(Table3[[#This Row],[Cuenta]],Table8[Nombre Cuenta ()],Table8[Nivel 1],"",0)</f>
        <v/>
      </c>
      <c r="S170" t="str">
        <f>_xlfn.XLOOKUP(Table3[[#This Row],[Cuenta]],Table8[Nombre Cuenta ()],Table8[Nivel 2],"",0)</f>
        <v/>
      </c>
      <c r="T170" t="str">
        <f>_xlfn.XLOOKUP(Table3[[#This Row],[Cuenta]],Table8[Nombre Cuenta ()],Table8[Nivel 3],"",0)</f>
        <v/>
      </c>
      <c r="U170">
        <v>341</v>
      </c>
      <c r="V170" t="str">
        <f>_xlfn.XLOOKUP(Table3[[#This Row],[Cuenta]],Estructura_Balance[Nombre Cuenta ()],Estructura_Balance[Niveles:2],"",0)</f>
        <v/>
      </c>
      <c r="W170" t="str">
        <f>_xlfn.XLOOKUP(Table3[[#This Row],[Cuenta]],Estructura_Balance[Nombre Cuenta ()],Estructura_Balance[Niveles:3],"",0)</f>
        <v/>
      </c>
      <c r="X170" t="str">
        <f>_xlfn.XLOOKUP(Table3[[#This Row],[Cuenta]],Estructura_Balance[Nombre Cuenta ()],Estructura_Balance[Grupos],"Grupo 1",0)</f>
        <v>Grupo 1</v>
      </c>
      <c r="Y170" t="str">
        <f>+Table3[[#This Row],[BS_Nivel_1]]</f>
        <v/>
      </c>
    </row>
    <row r="171" spans="1:25">
      <c r="A171">
        <f>+'Libro Diario'!F254</f>
        <v>0</v>
      </c>
      <c r="B171" s="144">
        <f>VALUE(IF(+'Libro Diario'!G254="","01/01/2025",+'Libro Diario'!G254))</f>
        <v>45658</v>
      </c>
      <c r="C171">
        <f>IF(ISNUMBER(+IF(IFERROR(VALUE(MID('Libro Diario'!C254,1,4)),0)&lt;&gt;0,'Libro Diario'!C254,0))=FALSE,'Libro Diario'!C254,0)</f>
        <v>0</v>
      </c>
      <c r="D171" s="145" t="str">
        <f>+'Libro Diario'!B254</f>
        <v>DEBE</v>
      </c>
      <c r="E171" s="139" t="s">
        <v>445</v>
      </c>
      <c r="F171" t="str">
        <f t="shared" si="6"/>
        <v>Sin Mov.</v>
      </c>
      <c r="G171" t="str">
        <f>IF(+'Libro Diario'!H254=0,"",+'Libro Diario'!H254)</f>
        <v/>
      </c>
      <c r="H171" t="str">
        <f>IF(+'Libro Diario'!I254=0,"",+'Libro Diario'!I254)</f>
        <v/>
      </c>
      <c r="I171" t="str">
        <f>+IF(Table3[[#This Row],[Tipo Movimiento]]="Estructura Balance y PyG","Excluir","Incluir")</f>
        <v>Incluir</v>
      </c>
      <c r="J171" s="153">
        <f>+IF(Table3[[#This Row],[Sin cuenta]]="Con Mov.",(IF(Table3[[#This Row],[Movimiento]]="Debe",Table3[[#This Row],[Importe]],IF(Table3[[#This Row],[Movimiento]]="Haber",Table3[[#This Row],[Importe]]*-1,0))),0)</f>
        <v>0</v>
      </c>
      <c r="K171" s="145" t="str">
        <f t="shared" si="7"/>
        <v>DEBE</v>
      </c>
      <c r="L171" s="145" t="str">
        <f t="shared" si="8"/>
        <v/>
      </c>
      <c r="M171" t="str">
        <f>_xlfn.XLOOKUP(Table3[[#This Row],[Cuenta]],Estructura_Balance[Nombre Cuenta ()],Estructura_Balance[Grupo],"",0)</f>
        <v/>
      </c>
      <c r="N171" t="str">
        <f>_xlfn.XLOOKUP(Table3[[#This Row],[Cuenta]],Estructura_Balance[Nombre Cuenta ()],Estructura_Balance[Nivel 1],"",0)</f>
        <v/>
      </c>
      <c r="O171" t="str">
        <f>_xlfn.XLOOKUP(Table3[[#This Row],[Cuenta]],Estructura_Balance[Nombre Cuenta ()],Estructura_Balance[Nivel 2],"",0)</f>
        <v/>
      </c>
      <c r="P171" t="str">
        <f>_xlfn.XLOOKUP(Table3[[#This Row],[Cuenta]],Estructura_Balance[Nombre Cuenta ()],Estructura_Balance[Nivel 3],"",0)</f>
        <v/>
      </c>
      <c r="Q171" t="str">
        <f>_xlfn.XLOOKUP(Table3[[#This Row],[Cuenta]],Estructura_Balance[Nombre Cuenta ()],Estructura_Balance[Nivel 4],"",0)</f>
        <v/>
      </c>
      <c r="R171" t="str">
        <f>_xlfn.XLOOKUP(Table3[[#This Row],[Cuenta]],Table8[Nombre Cuenta ()],Table8[Nivel 1],"",0)</f>
        <v/>
      </c>
      <c r="S171" t="str">
        <f>_xlfn.XLOOKUP(Table3[[#This Row],[Cuenta]],Table8[Nombre Cuenta ()],Table8[Nivel 2],"",0)</f>
        <v/>
      </c>
      <c r="T171" t="str">
        <f>_xlfn.XLOOKUP(Table3[[#This Row],[Cuenta]],Table8[Nombre Cuenta ()],Table8[Nivel 3],"",0)</f>
        <v/>
      </c>
      <c r="U171">
        <v>345</v>
      </c>
      <c r="V171" t="str">
        <f>_xlfn.XLOOKUP(Table3[[#This Row],[Cuenta]],Estructura_Balance[Nombre Cuenta ()],Estructura_Balance[Niveles:2],"",0)</f>
        <v/>
      </c>
      <c r="W171" t="str">
        <f>_xlfn.XLOOKUP(Table3[[#This Row],[Cuenta]],Estructura_Balance[Nombre Cuenta ()],Estructura_Balance[Niveles:3],"",0)</f>
        <v/>
      </c>
      <c r="X171" t="str">
        <f>_xlfn.XLOOKUP(Table3[[#This Row],[Cuenta]],Estructura_Balance[Nombre Cuenta ()],Estructura_Balance[Grupos],"Grupo 1",0)</f>
        <v>Grupo 1</v>
      </c>
      <c r="Y171" t="str">
        <f>+Table3[[#This Row],[BS_Nivel_1]]</f>
        <v/>
      </c>
    </row>
    <row r="172" spans="1:25">
      <c r="A172">
        <f>+'Libro Diario'!F255</f>
        <v>0</v>
      </c>
      <c r="B172" s="144">
        <f>VALUE(IF(+'Libro Diario'!G255="","01/01/2025",+'Libro Diario'!G255))</f>
        <v>45658</v>
      </c>
      <c r="C172">
        <f>IF(ISNUMBER(+IF(IFERROR(VALUE(MID('Libro Diario'!C255,1,4)),0)&lt;&gt;0,'Libro Diario'!C255,0))=FALSE,'Libro Diario'!C255,0)</f>
        <v>0</v>
      </c>
      <c r="D172" s="145">
        <f>+'Libro Diario'!B255</f>
        <v>0</v>
      </c>
      <c r="E172" s="139" t="s">
        <v>445</v>
      </c>
      <c r="F172" t="str">
        <f t="shared" si="6"/>
        <v>Sin Mov.</v>
      </c>
      <c r="G172" t="str">
        <f>IF(+'Libro Diario'!H255=0,"",+'Libro Diario'!H255)</f>
        <v/>
      </c>
      <c r="H172" t="str">
        <f>IF(+'Libro Diario'!I255=0,"",+'Libro Diario'!I255)</f>
        <v/>
      </c>
      <c r="I172" t="str">
        <f>+IF(Table3[[#This Row],[Tipo Movimiento]]="Estructura Balance y PyG","Excluir","Incluir")</f>
        <v>Incluir</v>
      </c>
      <c r="J172" s="153">
        <f>+IF(Table3[[#This Row],[Sin cuenta]]="Con Mov.",(IF(Table3[[#This Row],[Movimiento]]="Debe",Table3[[#This Row],[Importe]],IF(Table3[[#This Row],[Movimiento]]="Haber",Table3[[#This Row],[Importe]]*-1,0))),0)</f>
        <v>0</v>
      </c>
      <c r="K172" s="145">
        <f t="shared" si="7"/>
        <v>0</v>
      </c>
      <c r="L172" s="145" t="str">
        <f t="shared" si="8"/>
        <v/>
      </c>
      <c r="M172" t="str">
        <f>_xlfn.XLOOKUP(Table3[[#This Row],[Cuenta]],Estructura_Balance[Nombre Cuenta ()],Estructura_Balance[Grupo],"",0)</f>
        <v/>
      </c>
      <c r="N172" t="str">
        <f>_xlfn.XLOOKUP(Table3[[#This Row],[Cuenta]],Estructura_Balance[Nombre Cuenta ()],Estructura_Balance[Nivel 1],"",0)</f>
        <v/>
      </c>
      <c r="O172" t="str">
        <f>_xlfn.XLOOKUP(Table3[[#This Row],[Cuenta]],Estructura_Balance[Nombre Cuenta ()],Estructura_Balance[Nivel 2],"",0)</f>
        <v/>
      </c>
      <c r="P172" t="str">
        <f>_xlfn.XLOOKUP(Table3[[#This Row],[Cuenta]],Estructura_Balance[Nombre Cuenta ()],Estructura_Balance[Nivel 3],"",0)</f>
        <v/>
      </c>
      <c r="Q172" t="str">
        <f>_xlfn.XLOOKUP(Table3[[#This Row],[Cuenta]],Estructura_Balance[Nombre Cuenta ()],Estructura_Balance[Nivel 4],"",0)</f>
        <v/>
      </c>
      <c r="R172" t="str">
        <f>_xlfn.XLOOKUP(Table3[[#This Row],[Cuenta]],Table8[Nombre Cuenta ()],Table8[Nivel 1],"",0)</f>
        <v/>
      </c>
      <c r="S172" t="str">
        <f>_xlfn.XLOOKUP(Table3[[#This Row],[Cuenta]],Table8[Nombre Cuenta ()],Table8[Nivel 2],"",0)</f>
        <v/>
      </c>
      <c r="T172" t="str">
        <f>_xlfn.XLOOKUP(Table3[[#This Row],[Cuenta]],Table8[Nombre Cuenta ()],Table8[Nivel 3],"",0)</f>
        <v/>
      </c>
      <c r="U172">
        <v>346</v>
      </c>
      <c r="V172" t="str">
        <f>_xlfn.XLOOKUP(Table3[[#This Row],[Cuenta]],Estructura_Balance[Nombre Cuenta ()],Estructura_Balance[Niveles:2],"",0)</f>
        <v/>
      </c>
      <c r="W172" t="str">
        <f>_xlfn.XLOOKUP(Table3[[#This Row],[Cuenta]],Estructura_Balance[Nombre Cuenta ()],Estructura_Balance[Niveles:3],"",0)</f>
        <v/>
      </c>
      <c r="X172" t="str">
        <f>_xlfn.XLOOKUP(Table3[[#This Row],[Cuenta]],Estructura_Balance[Nombre Cuenta ()],Estructura_Balance[Grupos],"Grupo 1",0)</f>
        <v>Grupo 1</v>
      </c>
      <c r="Y172" t="str">
        <f>+Table3[[#This Row],[BS_Nivel_1]]</f>
        <v/>
      </c>
    </row>
    <row r="173" spans="1:25">
      <c r="A173">
        <f>+'Libro Diario'!F258</f>
        <v>0</v>
      </c>
      <c r="B173" s="144">
        <f>VALUE(IF(+'Libro Diario'!G258="","01/01/2025",+'Libro Diario'!G258))</f>
        <v>45658</v>
      </c>
      <c r="C173">
        <f>IF(ISNUMBER(+IF(IFERROR(VALUE(MID('Libro Diario'!C258,1,4)),0)&lt;&gt;0,'Libro Diario'!C258,0))=FALSE,'Libro Diario'!C258,0)</f>
        <v>0</v>
      </c>
      <c r="D173" s="145" t="str">
        <f>+'Libro Diario'!B258</f>
        <v>Operaciones del Ejercicio</v>
      </c>
      <c r="E173" s="139" t="s">
        <v>445</v>
      </c>
      <c r="F173" t="str">
        <f t="shared" si="6"/>
        <v>Sin Mov.</v>
      </c>
      <c r="G173" t="str">
        <f>IF(+'Libro Diario'!H258=0,"",+'Libro Diario'!H258)</f>
        <v/>
      </c>
      <c r="H173" t="str">
        <f>IF(+'Libro Diario'!I258=0,"",+'Libro Diario'!I258)</f>
        <v/>
      </c>
      <c r="I173" t="str">
        <f>+IF(Table3[[#This Row],[Tipo Movimiento]]="Estructura Balance y PyG","Excluir","Incluir")</f>
        <v>Incluir</v>
      </c>
      <c r="J173" s="153">
        <f>+IF(Table3[[#This Row],[Sin cuenta]]="Con Mov.",(IF(Table3[[#This Row],[Movimiento]]="Debe",Table3[[#This Row],[Importe]],IF(Table3[[#This Row],[Movimiento]]="Haber",Table3[[#This Row],[Importe]]*-1,0))),0)</f>
        <v>0</v>
      </c>
      <c r="K173" s="145" t="str">
        <f t="shared" si="7"/>
        <v>Operaciones del Ejercicio</v>
      </c>
      <c r="L173" s="145" t="str">
        <f t="shared" si="8"/>
        <v/>
      </c>
      <c r="M173" t="str">
        <f>_xlfn.XLOOKUP(Table3[[#This Row],[Cuenta]],Estructura_Balance[Nombre Cuenta ()],Estructura_Balance[Grupo],"",0)</f>
        <v/>
      </c>
      <c r="N173" t="str">
        <f>_xlfn.XLOOKUP(Table3[[#This Row],[Cuenta]],Estructura_Balance[Nombre Cuenta ()],Estructura_Balance[Nivel 1],"",0)</f>
        <v/>
      </c>
      <c r="O173" t="str">
        <f>_xlfn.XLOOKUP(Table3[[#This Row],[Cuenta]],Estructura_Balance[Nombre Cuenta ()],Estructura_Balance[Nivel 2],"",0)</f>
        <v/>
      </c>
      <c r="P173" t="str">
        <f>_xlfn.XLOOKUP(Table3[[#This Row],[Cuenta]],Estructura_Balance[Nombre Cuenta ()],Estructura_Balance[Nivel 3],"",0)</f>
        <v/>
      </c>
      <c r="Q173" t="str">
        <f>_xlfn.XLOOKUP(Table3[[#This Row],[Cuenta]],Estructura_Balance[Nombre Cuenta ()],Estructura_Balance[Nivel 4],"",0)</f>
        <v/>
      </c>
      <c r="R173" t="str">
        <f>_xlfn.XLOOKUP(Table3[[#This Row],[Cuenta]],Table8[Nombre Cuenta ()],Table8[Nivel 1],"",0)</f>
        <v/>
      </c>
      <c r="S173" t="str">
        <f>_xlfn.XLOOKUP(Table3[[#This Row],[Cuenta]],Table8[Nombre Cuenta ()],Table8[Nivel 2],"",0)</f>
        <v/>
      </c>
      <c r="T173" t="str">
        <f>_xlfn.XLOOKUP(Table3[[#This Row],[Cuenta]],Table8[Nombre Cuenta ()],Table8[Nivel 3],"",0)</f>
        <v/>
      </c>
      <c r="U173">
        <v>349</v>
      </c>
      <c r="V173" t="str">
        <f>_xlfn.XLOOKUP(Table3[[#This Row],[Cuenta]],Estructura_Balance[Nombre Cuenta ()],Estructura_Balance[Niveles:2],"",0)</f>
        <v/>
      </c>
      <c r="W173" t="str">
        <f>_xlfn.XLOOKUP(Table3[[#This Row],[Cuenta]],Estructura_Balance[Nombre Cuenta ()],Estructura_Balance[Niveles:3],"",0)</f>
        <v/>
      </c>
      <c r="X173" t="str">
        <f>_xlfn.XLOOKUP(Table3[[#This Row],[Cuenta]],Estructura_Balance[Nombre Cuenta ()],Estructura_Balance[Grupos],"Grupo 1",0)</f>
        <v>Grupo 1</v>
      </c>
      <c r="Y173" t="str">
        <f>+Table3[[#This Row],[BS_Nivel_1]]</f>
        <v/>
      </c>
    </row>
    <row r="174" spans="1:25">
      <c r="A174">
        <f>+'Libro Diario'!F259</f>
        <v>0</v>
      </c>
      <c r="B174" s="144">
        <f>VALUE(IF(+'Libro Diario'!G259="","01/01/2025",+'Libro Diario'!G259))</f>
        <v>45658</v>
      </c>
      <c r="C174">
        <f>IF(ISNUMBER(+IF(IFERROR(VALUE(MID('Libro Diario'!C259,1,4)),0)&lt;&gt;0,'Libro Diario'!C259,0))=FALSE,'Libro Diario'!C259,0)</f>
        <v>0</v>
      </c>
      <c r="D174" s="145" t="str">
        <f>+'Libro Diario'!B259</f>
        <v>Asiento Cuadrado</v>
      </c>
      <c r="E174" s="139" t="s">
        <v>445</v>
      </c>
      <c r="F174" t="str">
        <f t="shared" si="6"/>
        <v>Sin Mov.</v>
      </c>
      <c r="G174" t="str">
        <f>IF(+'Libro Diario'!H259=0,"",+'Libro Diario'!H259)</f>
        <v/>
      </c>
      <c r="H174" t="str">
        <f>IF(+'Libro Diario'!I259=0,"",+'Libro Diario'!I259)</f>
        <v/>
      </c>
      <c r="I174" t="str">
        <f>+IF(Table3[[#This Row],[Tipo Movimiento]]="Estructura Balance y PyG","Excluir","Incluir")</f>
        <v>Incluir</v>
      </c>
      <c r="J174" s="153">
        <f>+IF(Table3[[#This Row],[Sin cuenta]]="Con Mov.",(IF(Table3[[#This Row],[Movimiento]]="Debe",Table3[[#This Row],[Importe]],IF(Table3[[#This Row],[Movimiento]]="Haber",Table3[[#This Row],[Importe]]*-1,0))),0)</f>
        <v>0</v>
      </c>
      <c r="K174" s="145" t="str">
        <f t="shared" si="7"/>
        <v>Asiento Cuadrado</v>
      </c>
      <c r="L174" s="145" t="str">
        <f t="shared" si="8"/>
        <v/>
      </c>
      <c r="M174" t="str">
        <f>_xlfn.XLOOKUP(Table3[[#This Row],[Cuenta]],Estructura_Balance[Nombre Cuenta ()],Estructura_Balance[Grupo],"",0)</f>
        <v/>
      </c>
      <c r="N174" t="str">
        <f>_xlfn.XLOOKUP(Table3[[#This Row],[Cuenta]],Estructura_Balance[Nombre Cuenta ()],Estructura_Balance[Nivel 1],"",0)</f>
        <v/>
      </c>
      <c r="O174" t="str">
        <f>_xlfn.XLOOKUP(Table3[[#This Row],[Cuenta]],Estructura_Balance[Nombre Cuenta ()],Estructura_Balance[Nivel 2],"",0)</f>
        <v/>
      </c>
      <c r="P174" t="str">
        <f>_xlfn.XLOOKUP(Table3[[#This Row],[Cuenta]],Estructura_Balance[Nombre Cuenta ()],Estructura_Balance[Nivel 3],"",0)</f>
        <v/>
      </c>
      <c r="Q174" t="str">
        <f>_xlfn.XLOOKUP(Table3[[#This Row],[Cuenta]],Estructura_Balance[Nombre Cuenta ()],Estructura_Balance[Nivel 4],"",0)</f>
        <v/>
      </c>
      <c r="R174" t="str">
        <f>_xlfn.XLOOKUP(Table3[[#This Row],[Cuenta]],Table8[Nombre Cuenta ()],Table8[Nivel 1],"",0)</f>
        <v/>
      </c>
      <c r="S174" t="str">
        <f>_xlfn.XLOOKUP(Table3[[#This Row],[Cuenta]],Table8[Nombre Cuenta ()],Table8[Nivel 2],"",0)</f>
        <v/>
      </c>
      <c r="T174" t="str">
        <f>_xlfn.XLOOKUP(Table3[[#This Row],[Cuenta]],Table8[Nombre Cuenta ()],Table8[Nivel 3],"",0)</f>
        <v/>
      </c>
      <c r="U174">
        <v>352</v>
      </c>
      <c r="V174" t="str">
        <f>_xlfn.XLOOKUP(Table3[[#This Row],[Cuenta]],Estructura_Balance[Nombre Cuenta ()],Estructura_Balance[Niveles:2],"",0)</f>
        <v/>
      </c>
      <c r="W174" t="str">
        <f>_xlfn.XLOOKUP(Table3[[#This Row],[Cuenta]],Estructura_Balance[Nombre Cuenta ()],Estructura_Balance[Niveles:3],"",0)</f>
        <v/>
      </c>
      <c r="X174" t="str">
        <f>_xlfn.XLOOKUP(Table3[[#This Row],[Cuenta]],Estructura_Balance[Nombre Cuenta ()],Estructura_Balance[Grupos],"Grupo 1",0)</f>
        <v>Grupo 1</v>
      </c>
      <c r="Y174" t="str">
        <f>+Table3[[#This Row],[BS_Nivel_1]]</f>
        <v/>
      </c>
    </row>
    <row r="175" spans="1:25">
      <c r="A175">
        <f>+'Libro Diario'!F260</f>
        <v>0</v>
      </c>
      <c r="B175" s="144">
        <f>VALUE(IF(+'Libro Diario'!G260="","01/01/2025",+'Libro Diario'!G260))</f>
        <v>45658</v>
      </c>
      <c r="C175">
        <f>IF(ISNUMBER(+IF(IFERROR(VALUE(MID('Libro Diario'!C260,1,4)),0)&lt;&gt;0,'Libro Diario'!C260,0))=FALSE,'Libro Diario'!C260,0)</f>
        <v>0</v>
      </c>
      <c r="D175" s="145">
        <f>+'Libro Diario'!B260</f>
        <v>0</v>
      </c>
      <c r="E175" s="139" t="s">
        <v>445</v>
      </c>
      <c r="F175" t="str">
        <f t="shared" si="6"/>
        <v>Sin Mov.</v>
      </c>
      <c r="G175" t="str">
        <f>IF(+'Libro Diario'!H260=0,"",+'Libro Diario'!H260)</f>
        <v/>
      </c>
      <c r="H175" t="str">
        <f>IF(+'Libro Diario'!I260=0,"",+'Libro Diario'!I260)</f>
        <v/>
      </c>
      <c r="I175" t="str">
        <f>+IF(Table3[[#This Row],[Tipo Movimiento]]="Estructura Balance y PyG","Excluir","Incluir")</f>
        <v>Incluir</v>
      </c>
      <c r="J175" s="153">
        <f>+IF(Table3[[#This Row],[Sin cuenta]]="Con Mov.",(IF(Table3[[#This Row],[Movimiento]]="Debe",Table3[[#This Row],[Importe]],IF(Table3[[#This Row],[Movimiento]]="Haber",Table3[[#This Row],[Importe]]*-1,0))),0)</f>
        <v>0</v>
      </c>
      <c r="K175" s="145">
        <f t="shared" si="7"/>
        <v>0</v>
      </c>
      <c r="L175" s="145" t="str">
        <f t="shared" si="8"/>
        <v/>
      </c>
      <c r="M175" t="str">
        <f>_xlfn.XLOOKUP(Table3[[#This Row],[Cuenta]],Estructura_Balance[Nombre Cuenta ()],Estructura_Balance[Grupo],"",0)</f>
        <v/>
      </c>
      <c r="N175" t="str">
        <f>_xlfn.XLOOKUP(Table3[[#This Row],[Cuenta]],Estructura_Balance[Nombre Cuenta ()],Estructura_Balance[Nivel 1],"",0)</f>
        <v/>
      </c>
      <c r="O175" t="str">
        <f>_xlfn.XLOOKUP(Table3[[#This Row],[Cuenta]],Estructura_Balance[Nombre Cuenta ()],Estructura_Balance[Nivel 2],"",0)</f>
        <v/>
      </c>
      <c r="P175" t="str">
        <f>_xlfn.XLOOKUP(Table3[[#This Row],[Cuenta]],Estructura_Balance[Nombre Cuenta ()],Estructura_Balance[Nivel 3],"",0)</f>
        <v/>
      </c>
      <c r="Q175" t="str">
        <f>_xlfn.XLOOKUP(Table3[[#This Row],[Cuenta]],Estructura_Balance[Nombre Cuenta ()],Estructura_Balance[Nivel 4],"",0)</f>
        <v/>
      </c>
      <c r="R175" t="str">
        <f>_xlfn.XLOOKUP(Table3[[#This Row],[Cuenta]],Table8[Nombre Cuenta ()],Table8[Nivel 1],"",0)</f>
        <v/>
      </c>
      <c r="S175" t="str">
        <f>_xlfn.XLOOKUP(Table3[[#This Row],[Cuenta]],Table8[Nombre Cuenta ()],Table8[Nivel 2],"",0)</f>
        <v/>
      </c>
      <c r="T175" t="str">
        <f>_xlfn.XLOOKUP(Table3[[#This Row],[Cuenta]],Table8[Nombre Cuenta ()],Table8[Nivel 3],"",0)</f>
        <v/>
      </c>
      <c r="U175">
        <v>353</v>
      </c>
      <c r="V175" t="str">
        <f>_xlfn.XLOOKUP(Table3[[#This Row],[Cuenta]],Estructura_Balance[Nombre Cuenta ()],Estructura_Balance[Niveles:2],"",0)</f>
        <v/>
      </c>
      <c r="W175" t="str">
        <f>_xlfn.XLOOKUP(Table3[[#This Row],[Cuenta]],Estructura_Balance[Nombre Cuenta ()],Estructura_Balance[Niveles:3],"",0)</f>
        <v/>
      </c>
      <c r="X175" t="str">
        <f>_xlfn.XLOOKUP(Table3[[#This Row],[Cuenta]],Estructura_Balance[Nombre Cuenta ()],Estructura_Balance[Grupos],"Grupo 1",0)</f>
        <v>Grupo 1</v>
      </c>
      <c r="Y175" t="str">
        <f>+Table3[[#This Row],[BS_Nivel_1]]</f>
        <v/>
      </c>
    </row>
    <row r="176" spans="1:25">
      <c r="A176">
        <f>+'Libro Diario'!F261</f>
        <v>0</v>
      </c>
      <c r="B176" s="144">
        <f>VALUE(IF(+'Libro Diario'!G261="","01/01/2025",+'Libro Diario'!G261))</f>
        <v>45658</v>
      </c>
      <c r="C176">
        <f>IF(ISNUMBER(+IF(IFERROR(VALUE(MID('Libro Diario'!C261,1,4)),0)&lt;&gt;0,'Libro Diario'!C261,0))=FALSE,'Libro Diario'!C261,0)</f>
        <v>0</v>
      </c>
      <c r="D176" s="145" t="str">
        <f>+'Libro Diario'!B261</f>
        <v>DEBE</v>
      </c>
      <c r="E176" s="139" t="s">
        <v>445</v>
      </c>
      <c r="F176" t="str">
        <f t="shared" si="6"/>
        <v>Sin Mov.</v>
      </c>
      <c r="G176" t="str">
        <f>IF(+'Libro Diario'!H261=0,"",+'Libro Diario'!H261)</f>
        <v/>
      </c>
      <c r="H176" t="str">
        <f>IF(+'Libro Diario'!I261=0,"",+'Libro Diario'!I261)</f>
        <v/>
      </c>
      <c r="I176" t="str">
        <f>+IF(Table3[[#This Row],[Tipo Movimiento]]="Estructura Balance y PyG","Excluir","Incluir")</f>
        <v>Incluir</v>
      </c>
      <c r="J176" s="153">
        <f>+IF(Table3[[#This Row],[Sin cuenta]]="Con Mov.",(IF(Table3[[#This Row],[Movimiento]]="Debe",Table3[[#This Row],[Importe]],IF(Table3[[#This Row],[Movimiento]]="Haber",Table3[[#This Row],[Importe]]*-1,0))),0)</f>
        <v>0</v>
      </c>
      <c r="K176" s="145" t="str">
        <f t="shared" si="7"/>
        <v>DEBE</v>
      </c>
      <c r="L176" s="145" t="str">
        <f t="shared" si="8"/>
        <v/>
      </c>
      <c r="M176" t="str">
        <f>_xlfn.XLOOKUP(Table3[[#This Row],[Cuenta]],Estructura_Balance[Nombre Cuenta ()],Estructura_Balance[Grupo],"",0)</f>
        <v/>
      </c>
      <c r="N176" t="str">
        <f>_xlfn.XLOOKUP(Table3[[#This Row],[Cuenta]],Estructura_Balance[Nombre Cuenta ()],Estructura_Balance[Nivel 1],"",0)</f>
        <v/>
      </c>
      <c r="O176" t="str">
        <f>_xlfn.XLOOKUP(Table3[[#This Row],[Cuenta]],Estructura_Balance[Nombre Cuenta ()],Estructura_Balance[Nivel 2],"",0)</f>
        <v/>
      </c>
      <c r="P176" t="str">
        <f>_xlfn.XLOOKUP(Table3[[#This Row],[Cuenta]],Estructura_Balance[Nombre Cuenta ()],Estructura_Balance[Nivel 3],"",0)</f>
        <v/>
      </c>
      <c r="Q176" t="str">
        <f>_xlfn.XLOOKUP(Table3[[#This Row],[Cuenta]],Estructura_Balance[Nombre Cuenta ()],Estructura_Balance[Nivel 4],"",0)</f>
        <v/>
      </c>
      <c r="R176" t="str">
        <f>_xlfn.XLOOKUP(Table3[[#This Row],[Cuenta]],Table8[Nombre Cuenta ()],Table8[Nivel 1],"",0)</f>
        <v/>
      </c>
      <c r="S176" t="str">
        <f>_xlfn.XLOOKUP(Table3[[#This Row],[Cuenta]],Table8[Nombre Cuenta ()],Table8[Nivel 2],"",0)</f>
        <v/>
      </c>
      <c r="T176" t="str">
        <f>_xlfn.XLOOKUP(Table3[[#This Row],[Cuenta]],Table8[Nombre Cuenta ()],Table8[Nivel 3],"",0)</f>
        <v/>
      </c>
      <c r="U176">
        <v>354</v>
      </c>
      <c r="V176" t="str">
        <f>_xlfn.XLOOKUP(Table3[[#This Row],[Cuenta]],Estructura_Balance[Nombre Cuenta ()],Estructura_Balance[Niveles:2],"",0)</f>
        <v/>
      </c>
      <c r="W176" t="str">
        <f>_xlfn.XLOOKUP(Table3[[#This Row],[Cuenta]],Estructura_Balance[Nombre Cuenta ()],Estructura_Balance[Niveles:3],"",0)</f>
        <v/>
      </c>
      <c r="X176" t="str">
        <f>_xlfn.XLOOKUP(Table3[[#This Row],[Cuenta]],Estructura_Balance[Nombre Cuenta ()],Estructura_Balance[Grupos],"Grupo 1",0)</f>
        <v>Grupo 1</v>
      </c>
      <c r="Y176" t="str">
        <f>+Table3[[#This Row],[BS_Nivel_1]]</f>
        <v/>
      </c>
    </row>
    <row r="177" spans="1:25">
      <c r="A177">
        <f>+'Libro Diario'!F262</f>
        <v>0</v>
      </c>
      <c r="B177" s="144">
        <f>VALUE(IF(+'Libro Diario'!G262="","01/01/2025",+'Libro Diario'!G262))</f>
        <v>45658</v>
      </c>
      <c r="C177">
        <f>IF(ISNUMBER(+IF(IFERROR(VALUE(MID('Libro Diario'!C262,1,4)),0)&lt;&gt;0,'Libro Diario'!C262,0))=FALSE,'Libro Diario'!C262,0)</f>
        <v>0</v>
      </c>
      <c r="D177" s="145">
        <f>+'Libro Diario'!B262</f>
        <v>0</v>
      </c>
      <c r="E177" s="139" t="s">
        <v>445</v>
      </c>
      <c r="F177" t="str">
        <f t="shared" si="6"/>
        <v>Sin Mov.</v>
      </c>
      <c r="G177" t="str">
        <f>IF(+'Libro Diario'!H262=0,"",+'Libro Diario'!H262)</f>
        <v/>
      </c>
      <c r="H177" t="str">
        <f>IF(+'Libro Diario'!I262=0,"",+'Libro Diario'!I262)</f>
        <v/>
      </c>
      <c r="I177" t="str">
        <f>+IF(Table3[[#This Row],[Tipo Movimiento]]="Estructura Balance y PyG","Excluir","Incluir")</f>
        <v>Incluir</v>
      </c>
      <c r="J177" s="153">
        <f>+IF(Table3[[#This Row],[Sin cuenta]]="Con Mov.",(IF(Table3[[#This Row],[Movimiento]]="Debe",Table3[[#This Row],[Importe]],IF(Table3[[#This Row],[Movimiento]]="Haber",Table3[[#This Row],[Importe]]*-1,0))),0)</f>
        <v>0</v>
      </c>
      <c r="K177" s="145">
        <f t="shared" si="7"/>
        <v>0</v>
      </c>
      <c r="L177" s="145" t="str">
        <f t="shared" si="8"/>
        <v/>
      </c>
      <c r="M177" t="str">
        <f>_xlfn.XLOOKUP(Table3[[#This Row],[Cuenta]],Estructura_Balance[Nombre Cuenta ()],Estructura_Balance[Grupo],"",0)</f>
        <v/>
      </c>
      <c r="N177" t="str">
        <f>_xlfn.XLOOKUP(Table3[[#This Row],[Cuenta]],Estructura_Balance[Nombre Cuenta ()],Estructura_Balance[Nivel 1],"",0)</f>
        <v/>
      </c>
      <c r="O177" t="str">
        <f>_xlfn.XLOOKUP(Table3[[#This Row],[Cuenta]],Estructura_Balance[Nombre Cuenta ()],Estructura_Balance[Nivel 2],"",0)</f>
        <v/>
      </c>
      <c r="P177" t="str">
        <f>_xlfn.XLOOKUP(Table3[[#This Row],[Cuenta]],Estructura_Balance[Nombre Cuenta ()],Estructura_Balance[Nivel 3],"",0)</f>
        <v/>
      </c>
      <c r="Q177" t="str">
        <f>_xlfn.XLOOKUP(Table3[[#This Row],[Cuenta]],Estructura_Balance[Nombre Cuenta ()],Estructura_Balance[Nivel 4],"",0)</f>
        <v/>
      </c>
      <c r="R177" t="str">
        <f>_xlfn.XLOOKUP(Table3[[#This Row],[Cuenta]],Table8[Nombre Cuenta ()],Table8[Nivel 1],"",0)</f>
        <v/>
      </c>
      <c r="S177" t="str">
        <f>_xlfn.XLOOKUP(Table3[[#This Row],[Cuenta]],Table8[Nombre Cuenta ()],Table8[Nivel 2],"",0)</f>
        <v/>
      </c>
      <c r="T177" t="str">
        <f>_xlfn.XLOOKUP(Table3[[#This Row],[Cuenta]],Table8[Nombre Cuenta ()],Table8[Nivel 3],"",0)</f>
        <v/>
      </c>
      <c r="U177">
        <v>355</v>
      </c>
      <c r="V177" t="str">
        <f>_xlfn.XLOOKUP(Table3[[#This Row],[Cuenta]],Estructura_Balance[Nombre Cuenta ()],Estructura_Balance[Niveles:2],"",0)</f>
        <v/>
      </c>
      <c r="W177" t="str">
        <f>_xlfn.XLOOKUP(Table3[[#This Row],[Cuenta]],Estructura_Balance[Nombre Cuenta ()],Estructura_Balance[Niveles:3],"",0)</f>
        <v/>
      </c>
      <c r="X177" t="str">
        <f>_xlfn.XLOOKUP(Table3[[#This Row],[Cuenta]],Estructura_Balance[Nombre Cuenta ()],Estructura_Balance[Grupos],"Grupo 1",0)</f>
        <v>Grupo 1</v>
      </c>
      <c r="Y177" t="str">
        <f>+Table3[[#This Row],[BS_Nivel_1]]</f>
        <v/>
      </c>
    </row>
    <row r="178" spans="1:25">
      <c r="A178">
        <f>+'Libro Diario'!F265</f>
        <v>0</v>
      </c>
      <c r="B178" s="144">
        <f>VALUE(IF(+'Libro Diario'!G265="","01/01/2025",+'Libro Diario'!G265))</f>
        <v>45658</v>
      </c>
      <c r="C178">
        <f>IF(ISNUMBER(+IF(IFERROR(VALUE(MID('Libro Diario'!C265,1,4)),0)&lt;&gt;0,'Libro Diario'!C265,0))=FALSE,'Libro Diario'!C265,0)</f>
        <v>0</v>
      </c>
      <c r="D178" s="145" t="str">
        <f>+'Libro Diario'!B265</f>
        <v>Operaciones del Ejercicio</v>
      </c>
      <c r="E178" s="139" t="s">
        <v>445</v>
      </c>
      <c r="F178" t="str">
        <f t="shared" si="6"/>
        <v>Sin Mov.</v>
      </c>
      <c r="G178" t="str">
        <f>IF(+'Libro Diario'!H265=0,"",+'Libro Diario'!H265)</f>
        <v/>
      </c>
      <c r="H178" t="str">
        <f>IF(+'Libro Diario'!I265=0,"",+'Libro Diario'!I265)</f>
        <v/>
      </c>
      <c r="I178" t="str">
        <f>+IF(Table3[[#This Row],[Tipo Movimiento]]="Estructura Balance y PyG","Excluir","Incluir")</f>
        <v>Incluir</v>
      </c>
      <c r="J178" s="153">
        <f>+IF(Table3[[#This Row],[Sin cuenta]]="Con Mov.",(IF(Table3[[#This Row],[Movimiento]]="Debe",Table3[[#This Row],[Importe]],IF(Table3[[#This Row],[Movimiento]]="Haber",Table3[[#This Row],[Importe]]*-1,0))),0)</f>
        <v>0</v>
      </c>
      <c r="K178" s="145" t="str">
        <f t="shared" si="7"/>
        <v>Operaciones del Ejercicio</v>
      </c>
      <c r="L178" s="145" t="str">
        <f t="shared" si="8"/>
        <v/>
      </c>
      <c r="M178" t="str">
        <f>_xlfn.XLOOKUP(Table3[[#This Row],[Cuenta]],Estructura_Balance[Nombre Cuenta ()],Estructura_Balance[Grupo],"",0)</f>
        <v/>
      </c>
      <c r="N178" t="str">
        <f>_xlfn.XLOOKUP(Table3[[#This Row],[Cuenta]],Estructura_Balance[Nombre Cuenta ()],Estructura_Balance[Nivel 1],"",0)</f>
        <v/>
      </c>
      <c r="O178" t="str">
        <f>_xlfn.XLOOKUP(Table3[[#This Row],[Cuenta]],Estructura_Balance[Nombre Cuenta ()],Estructura_Balance[Nivel 2],"",0)</f>
        <v/>
      </c>
      <c r="P178" t="str">
        <f>_xlfn.XLOOKUP(Table3[[#This Row],[Cuenta]],Estructura_Balance[Nombre Cuenta ()],Estructura_Balance[Nivel 3],"",0)</f>
        <v/>
      </c>
      <c r="Q178" t="str">
        <f>_xlfn.XLOOKUP(Table3[[#This Row],[Cuenta]],Estructura_Balance[Nombre Cuenta ()],Estructura_Balance[Nivel 4],"",0)</f>
        <v/>
      </c>
      <c r="R178" t="str">
        <f>_xlfn.XLOOKUP(Table3[[#This Row],[Cuenta]],Table8[Nombre Cuenta ()],Table8[Nivel 1],"",0)</f>
        <v/>
      </c>
      <c r="S178" t="str">
        <f>_xlfn.XLOOKUP(Table3[[#This Row],[Cuenta]],Table8[Nombre Cuenta ()],Table8[Nivel 2],"",0)</f>
        <v/>
      </c>
      <c r="T178" t="str">
        <f>_xlfn.XLOOKUP(Table3[[#This Row],[Cuenta]],Table8[Nombre Cuenta ()],Table8[Nivel 3],"",0)</f>
        <v/>
      </c>
      <c r="U178">
        <v>363</v>
      </c>
      <c r="V178" t="str">
        <f>_xlfn.XLOOKUP(Table3[[#This Row],[Cuenta]],Estructura_Balance[Nombre Cuenta ()],Estructura_Balance[Niveles:2],"",0)</f>
        <v/>
      </c>
      <c r="W178" t="str">
        <f>_xlfn.XLOOKUP(Table3[[#This Row],[Cuenta]],Estructura_Balance[Nombre Cuenta ()],Estructura_Balance[Niveles:3],"",0)</f>
        <v/>
      </c>
      <c r="X178" t="str">
        <f>_xlfn.XLOOKUP(Table3[[#This Row],[Cuenta]],Estructura_Balance[Nombre Cuenta ()],Estructura_Balance[Grupos],"Grupo 1",0)</f>
        <v>Grupo 1</v>
      </c>
      <c r="Y178" t="str">
        <f>+Table3[[#This Row],[BS_Nivel_1]]</f>
        <v/>
      </c>
    </row>
    <row r="179" spans="1:25">
      <c r="A179">
        <f>+'Libro Diario'!F266</f>
        <v>0</v>
      </c>
      <c r="B179" s="144">
        <f>VALUE(IF(+'Libro Diario'!G266="","01/01/2025",+'Libro Diario'!G266))</f>
        <v>45658</v>
      </c>
      <c r="C179">
        <f>IF(ISNUMBER(+IF(IFERROR(VALUE(MID('Libro Diario'!C266,1,4)),0)&lt;&gt;0,'Libro Diario'!C266,0))=FALSE,'Libro Diario'!C266,0)</f>
        <v>0</v>
      </c>
      <c r="D179" s="145" t="str">
        <f>+'Libro Diario'!B266</f>
        <v>Asiento Cuadrado</v>
      </c>
      <c r="E179" s="139" t="s">
        <v>445</v>
      </c>
      <c r="F179" t="str">
        <f t="shared" si="6"/>
        <v>Sin Mov.</v>
      </c>
      <c r="G179" t="str">
        <f>IF(+'Libro Diario'!H266=0,"",+'Libro Diario'!H266)</f>
        <v/>
      </c>
      <c r="H179" t="str">
        <f>IF(+'Libro Diario'!I266=0,"",+'Libro Diario'!I266)</f>
        <v/>
      </c>
      <c r="I179" t="str">
        <f>+IF(Table3[[#This Row],[Tipo Movimiento]]="Estructura Balance y PyG","Excluir","Incluir")</f>
        <v>Incluir</v>
      </c>
      <c r="J179" s="153">
        <f>+IF(Table3[[#This Row],[Sin cuenta]]="Con Mov.",(IF(Table3[[#This Row],[Movimiento]]="Debe",Table3[[#This Row],[Importe]],IF(Table3[[#This Row],[Movimiento]]="Haber",Table3[[#This Row],[Importe]]*-1,0))),0)</f>
        <v>0</v>
      </c>
      <c r="K179" s="145" t="str">
        <f t="shared" si="7"/>
        <v>Asiento Cuadrado</v>
      </c>
      <c r="L179" s="145" t="str">
        <f t="shared" si="8"/>
        <v/>
      </c>
      <c r="M179" t="str">
        <f>_xlfn.XLOOKUP(Table3[[#This Row],[Cuenta]],Estructura_Balance[Nombre Cuenta ()],Estructura_Balance[Grupo],"",0)</f>
        <v/>
      </c>
      <c r="N179" t="str">
        <f>_xlfn.XLOOKUP(Table3[[#This Row],[Cuenta]],Estructura_Balance[Nombre Cuenta ()],Estructura_Balance[Nivel 1],"",0)</f>
        <v/>
      </c>
      <c r="O179" t="str">
        <f>_xlfn.XLOOKUP(Table3[[#This Row],[Cuenta]],Estructura_Balance[Nombre Cuenta ()],Estructura_Balance[Nivel 2],"",0)</f>
        <v/>
      </c>
      <c r="P179" t="str">
        <f>_xlfn.XLOOKUP(Table3[[#This Row],[Cuenta]],Estructura_Balance[Nombre Cuenta ()],Estructura_Balance[Nivel 3],"",0)</f>
        <v/>
      </c>
      <c r="Q179" t="str">
        <f>_xlfn.XLOOKUP(Table3[[#This Row],[Cuenta]],Estructura_Balance[Nombre Cuenta ()],Estructura_Balance[Nivel 4],"",0)</f>
        <v/>
      </c>
      <c r="R179" t="str">
        <f>_xlfn.XLOOKUP(Table3[[#This Row],[Cuenta]],Table8[Nombre Cuenta ()],Table8[Nivel 1],"",0)</f>
        <v/>
      </c>
      <c r="S179" t="str">
        <f>_xlfn.XLOOKUP(Table3[[#This Row],[Cuenta]],Table8[Nombre Cuenta ()],Table8[Nivel 2],"",0)</f>
        <v/>
      </c>
      <c r="T179" t="str">
        <f>_xlfn.XLOOKUP(Table3[[#This Row],[Cuenta]],Table8[Nombre Cuenta ()],Table8[Nivel 3],"",0)</f>
        <v/>
      </c>
      <c r="U179">
        <v>364</v>
      </c>
      <c r="V179" t="str">
        <f>_xlfn.XLOOKUP(Table3[[#This Row],[Cuenta]],Estructura_Balance[Nombre Cuenta ()],Estructura_Balance[Niveles:2],"",0)</f>
        <v/>
      </c>
      <c r="W179" t="str">
        <f>_xlfn.XLOOKUP(Table3[[#This Row],[Cuenta]],Estructura_Balance[Nombre Cuenta ()],Estructura_Balance[Niveles:3],"",0)</f>
        <v/>
      </c>
      <c r="X179" t="str">
        <f>_xlfn.XLOOKUP(Table3[[#This Row],[Cuenta]],Estructura_Balance[Nombre Cuenta ()],Estructura_Balance[Grupos],"Grupo 1",0)</f>
        <v>Grupo 1</v>
      </c>
      <c r="Y179" t="str">
        <f>+Table3[[#This Row],[BS_Nivel_1]]</f>
        <v/>
      </c>
    </row>
    <row r="180" spans="1:25">
      <c r="A180">
        <f>+'Libro Diario'!F267</f>
        <v>0</v>
      </c>
      <c r="B180" s="144">
        <f>VALUE(IF(+'Libro Diario'!G267="","01/01/2025",+'Libro Diario'!G267))</f>
        <v>45658</v>
      </c>
      <c r="C180">
        <f>IF(ISNUMBER(+IF(IFERROR(VALUE(MID('Libro Diario'!C267,1,4)),0)&lt;&gt;0,'Libro Diario'!C267,0))=FALSE,'Libro Diario'!C267,0)</f>
        <v>0</v>
      </c>
      <c r="D180" s="145">
        <f>+'Libro Diario'!B267</f>
        <v>0</v>
      </c>
      <c r="E180" s="139" t="s">
        <v>445</v>
      </c>
      <c r="F180" t="str">
        <f t="shared" si="6"/>
        <v>Sin Mov.</v>
      </c>
      <c r="G180" t="str">
        <f>IF(+'Libro Diario'!H267=0,"",+'Libro Diario'!H267)</f>
        <v/>
      </c>
      <c r="H180" t="str">
        <f>IF(+'Libro Diario'!I267=0,"",+'Libro Diario'!I267)</f>
        <v/>
      </c>
      <c r="I180" t="str">
        <f>+IF(Table3[[#This Row],[Tipo Movimiento]]="Estructura Balance y PyG","Excluir","Incluir")</f>
        <v>Incluir</v>
      </c>
      <c r="J180" s="153">
        <f>+IF(Table3[[#This Row],[Sin cuenta]]="Con Mov.",(IF(Table3[[#This Row],[Movimiento]]="Debe",Table3[[#This Row],[Importe]],IF(Table3[[#This Row],[Movimiento]]="Haber",Table3[[#This Row],[Importe]]*-1,0))),0)</f>
        <v>0</v>
      </c>
      <c r="K180" s="145">
        <f t="shared" si="7"/>
        <v>0</v>
      </c>
      <c r="L180" s="145" t="str">
        <f t="shared" si="8"/>
        <v/>
      </c>
      <c r="M180" t="str">
        <f>_xlfn.XLOOKUP(Table3[[#This Row],[Cuenta]],Estructura_Balance[Nombre Cuenta ()],Estructura_Balance[Grupo],"",0)</f>
        <v/>
      </c>
      <c r="N180" t="str">
        <f>_xlfn.XLOOKUP(Table3[[#This Row],[Cuenta]],Estructura_Balance[Nombre Cuenta ()],Estructura_Balance[Nivel 1],"",0)</f>
        <v/>
      </c>
      <c r="O180" t="str">
        <f>_xlfn.XLOOKUP(Table3[[#This Row],[Cuenta]],Estructura_Balance[Nombre Cuenta ()],Estructura_Balance[Nivel 2],"",0)</f>
        <v/>
      </c>
      <c r="P180" t="str">
        <f>_xlfn.XLOOKUP(Table3[[#This Row],[Cuenta]],Estructura_Balance[Nombre Cuenta ()],Estructura_Balance[Nivel 3],"",0)</f>
        <v/>
      </c>
      <c r="Q180" t="str">
        <f>_xlfn.XLOOKUP(Table3[[#This Row],[Cuenta]],Estructura_Balance[Nombre Cuenta ()],Estructura_Balance[Nivel 4],"",0)</f>
        <v/>
      </c>
      <c r="R180" t="str">
        <f>_xlfn.XLOOKUP(Table3[[#This Row],[Cuenta]],Table8[Nombre Cuenta ()],Table8[Nivel 1],"",0)</f>
        <v/>
      </c>
      <c r="S180" t="str">
        <f>_xlfn.XLOOKUP(Table3[[#This Row],[Cuenta]],Table8[Nombre Cuenta ()],Table8[Nivel 2],"",0)</f>
        <v/>
      </c>
      <c r="T180" t="str">
        <f>_xlfn.XLOOKUP(Table3[[#This Row],[Cuenta]],Table8[Nombre Cuenta ()],Table8[Nivel 3],"",0)</f>
        <v/>
      </c>
      <c r="U180">
        <v>365</v>
      </c>
      <c r="V180" t="str">
        <f>_xlfn.XLOOKUP(Table3[[#This Row],[Cuenta]],Estructura_Balance[Nombre Cuenta ()],Estructura_Balance[Niveles:2],"",0)</f>
        <v/>
      </c>
      <c r="W180" t="str">
        <f>_xlfn.XLOOKUP(Table3[[#This Row],[Cuenta]],Estructura_Balance[Nombre Cuenta ()],Estructura_Balance[Niveles:3],"",0)</f>
        <v/>
      </c>
      <c r="X180" t="str">
        <f>_xlfn.XLOOKUP(Table3[[#This Row],[Cuenta]],Estructura_Balance[Nombre Cuenta ()],Estructura_Balance[Grupos],"Grupo 1",0)</f>
        <v>Grupo 1</v>
      </c>
      <c r="Y180" t="str">
        <f>+Table3[[#This Row],[BS_Nivel_1]]</f>
        <v/>
      </c>
    </row>
    <row r="181" spans="1:25">
      <c r="A181">
        <f>+'Libro Diario'!F268</f>
        <v>0</v>
      </c>
      <c r="B181" s="144">
        <f>VALUE(IF(+'Libro Diario'!G268="","01/01/2025",+'Libro Diario'!G268))</f>
        <v>45658</v>
      </c>
      <c r="C181">
        <f>IF(ISNUMBER(+IF(IFERROR(VALUE(MID('Libro Diario'!C268,1,4)),0)&lt;&gt;0,'Libro Diario'!C268,0))=FALSE,'Libro Diario'!C268,0)</f>
        <v>0</v>
      </c>
      <c r="D181" s="145" t="str">
        <f>+'Libro Diario'!B268</f>
        <v>DEBE</v>
      </c>
      <c r="E181" s="139" t="s">
        <v>445</v>
      </c>
      <c r="F181" t="str">
        <f t="shared" si="6"/>
        <v>Sin Mov.</v>
      </c>
      <c r="G181" t="str">
        <f>IF(+'Libro Diario'!H268=0,"",+'Libro Diario'!H268)</f>
        <v/>
      </c>
      <c r="H181" t="str">
        <f>IF(+'Libro Diario'!I268=0,"",+'Libro Diario'!I268)</f>
        <v/>
      </c>
      <c r="I181" t="str">
        <f>+IF(Table3[[#This Row],[Tipo Movimiento]]="Estructura Balance y PyG","Excluir","Incluir")</f>
        <v>Incluir</v>
      </c>
      <c r="J181" s="153">
        <f>+IF(Table3[[#This Row],[Sin cuenta]]="Con Mov.",(IF(Table3[[#This Row],[Movimiento]]="Debe",Table3[[#This Row],[Importe]],IF(Table3[[#This Row],[Movimiento]]="Haber",Table3[[#This Row],[Importe]]*-1,0))),0)</f>
        <v>0</v>
      </c>
      <c r="K181" s="145" t="str">
        <f t="shared" si="7"/>
        <v>DEBE</v>
      </c>
      <c r="L181" s="145" t="str">
        <f t="shared" si="8"/>
        <v/>
      </c>
      <c r="M181" t="str">
        <f>_xlfn.XLOOKUP(Table3[[#This Row],[Cuenta]],Estructura_Balance[Nombre Cuenta ()],Estructura_Balance[Grupo],"",0)</f>
        <v/>
      </c>
      <c r="N181" t="str">
        <f>_xlfn.XLOOKUP(Table3[[#This Row],[Cuenta]],Estructura_Balance[Nombre Cuenta ()],Estructura_Balance[Nivel 1],"",0)</f>
        <v/>
      </c>
      <c r="O181" t="str">
        <f>_xlfn.XLOOKUP(Table3[[#This Row],[Cuenta]],Estructura_Balance[Nombre Cuenta ()],Estructura_Balance[Nivel 2],"",0)</f>
        <v/>
      </c>
      <c r="P181" t="str">
        <f>_xlfn.XLOOKUP(Table3[[#This Row],[Cuenta]],Estructura_Balance[Nombre Cuenta ()],Estructura_Balance[Nivel 3],"",0)</f>
        <v/>
      </c>
      <c r="Q181" t="str">
        <f>_xlfn.XLOOKUP(Table3[[#This Row],[Cuenta]],Estructura_Balance[Nombre Cuenta ()],Estructura_Balance[Nivel 4],"",0)</f>
        <v/>
      </c>
      <c r="R181" t="str">
        <f>_xlfn.XLOOKUP(Table3[[#This Row],[Cuenta]],Table8[Nombre Cuenta ()],Table8[Nivel 1],"",0)</f>
        <v/>
      </c>
      <c r="S181" t="str">
        <f>_xlfn.XLOOKUP(Table3[[#This Row],[Cuenta]],Table8[Nombre Cuenta ()],Table8[Nivel 2],"",0)</f>
        <v/>
      </c>
      <c r="T181" t="str">
        <f>_xlfn.XLOOKUP(Table3[[#This Row],[Cuenta]],Table8[Nombre Cuenta ()],Table8[Nivel 3],"",0)</f>
        <v/>
      </c>
      <c r="U181">
        <v>366</v>
      </c>
      <c r="V181" t="str">
        <f>_xlfn.XLOOKUP(Table3[[#This Row],[Cuenta]],Estructura_Balance[Nombre Cuenta ()],Estructura_Balance[Niveles:2],"",0)</f>
        <v/>
      </c>
      <c r="W181" t="str">
        <f>_xlfn.XLOOKUP(Table3[[#This Row],[Cuenta]],Estructura_Balance[Nombre Cuenta ()],Estructura_Balance[Niveles:3],"",0)</f>
        <v/>
      </c>
      <c r="X181" t="str">
        <f>_xlfn.XLOOKUP(Table3[[#This Row],[Cuenta]],Estructura_Balance[Nombre Cuenta ()],Estructura_Balance[Grupos],"Grupo 1",0)</f>
        <v>Grupo 1</v>
      </c>
      <c r="Y181" t="str">
        <f>+Table3[[#This Row],[BS_Nivel_1]]</f>
        <v/>
      </c>
    </row>
    <row r="182" spans="1:25">
      <c r="A182">
        <f>+'Libro Diario'!F269</f>
        <v>0</v>
      </c>
      <c r="B182" s="144">
        <f>VALUE(IF(+'Libro Diario'!G269="","01/01/2025",+'Libro Diario'!G269))</f>
        <v>45658</v>
      </c>
      <c r="C182">
        <f>IF(ISNUMBER(+IF(IFERROR(VALUE(MID('Libro Diario'!C269,1,4)),0)&lt;&gt;0,'Libro Diario'!C269,0))=FALSE,'Libro Diario'!C269,0)</f>
        <v>0</v>
      </c>
      <c r="D182" s="145">
        <f>+'Libro Diario'!B269</f>
        <v>0</v>
      </c>
      <c r="E182" s="139" t="s">
        <v>445</v>
      </c>
      <c r="F182" t="str">
        <f t="shared" si="6"/>
        <v>Sin Mov.</v>
      </c>
      <c r="G182" t="str">
        <f>IF(+'Libro Diario'!H269=0,"",+'Libro Diario'!H269)</f>
        <v/>
      </c>
      <c r="H182" t="str">
        <f>IF(+'Libro Diario'!I269=0,"",+'Libro Diario'!I269)</f>
        <v/>
      </c>
      <c r="I182" t="str">
        <f>+IF(Table3[[#This Row],[Tipo Movimiento]]="Estructura Balance y PyG","Excluir","Incluir")</f>
        <v>Incluir</v>
      </c>
      <c r="J182" s="153">
        <f>+IF(Table3[[#This Row],[Sin cuenta]]="Con Mov.",(IF(Table3[[#This Row],[Movimiento]]="Debe",Table3[[#This Row],[Importe]],IF(Table3[[#This Row],[Movimiento]]="Haber",Table3[[#This Row],[Importe]]*-1,0))),0)</f>
        <v>0</v>
      </c>
      <c r="K182" s="145">
        <f t="shared" si="7"/>
        <v>0</v>
      </c>
      <c r="L182" s="145" t="str">
        <f t="shared" si="8"/>
        <v/>
      </c>
      <c r="M182" t="str">
        <f>_xlfn.XLOOKUP(Table3[[#This Row],[Cuenta]],Estructura_Balance[Nombre Cuenta ()],Estructura_Balance[Grupo],"",0)</f>
        <v/>
      </c>
      <c r="N182" t="str">
        <f>_xlfn.XLOOKUP(Table3[[#This Row],[Cuenta]],Estructura_Balance[Nombre Cuenta ()],Estructura_Balance[Nivel 1],"",0)</f>
        <v/>
      </c>
      <c r="O182" t="str">
        <f>_xlfn.XLOOKUP(Table3[[#This Row],[Cuenta]],Estructura_Balance[Nombre Cuenta ()],Estructura_Balance[Nivel 2],"",0)</f>
        <v/>
      </c>
      <c r="P182" t="str">
        <f>_xlfn.XLOOKUP(Table3[[#This Row],[Cuenta]],Estructura_Balance[Nombre Cuenta ()],Estructura_Balance[Nivel 3],"",0)</f>
        <v/>
      </c>
      <c r="Q182" t="str">
        <f>_xlfn.XLOOKUP(Table3[[#This Row],[Cuenta]],Estructura_Balance[Nombre Cuenta ()],Estructura_Balance[Nivel 4],"",0)</f>
        <v/>
      </c>
      <c r="R182" t="str">
        <f>_xlfn.XLOOKUP(Table3[[#This Row],[Cuenta]],Table8[Nombre Cuenta ()],Table8[Nivel 1],"",0)</f>
        <v/>
      </c>
      <c r="S182" t="str">
        <f>_xlfn.XLOOKUP(Table3[[#This Row],[Cuenta]],Table8[Nombre Cuenta ()],Table8[Nivel 2],"",0)</f>
        <v/>
      </c>
      <c r="T182" t="str">
        <f>_xlfn.XLOOKUP(Table3[[#This Row],[Cuenta]],Table8[Nombre Cuenta ()],Table8[Nivel 3],"",0)</f>
        <v/>
      </c>
      <c r="U182">
        <v>369</v>
      </c>
      <c r="V182" t="str">
        <f>_xlfn.XLOOKUP(Table3[[#This Row],[Cuenta]],Estructura_Balance[Nombre Cuenta ()],Estructura_Balance[Niveles:2],"",0)</f>
        <v/>
      </c>
      <c r="W182" t="str">
        <f>_xlfn.XLOOKUP(Table3[[#This Row],[Cuenta]],Estructura_Balance[Nombre Cuenta ()],Estructura_Balance[Niveles:3],"",0)</f>
        <v/>
      </c>
      <c r="X182" t="str">
        <f>_xlfn.XLOOKUP(Table3[[#This Row],[Cuenta]],Estructura_Balance[Nombre Cuenta ()],Estructura_Balance[Grupos],"Grupo 1",0)</f>
        <v>Grupo 1</v>
      </c>
      <c r="Y182" t="str">
        <f>+Table3[[#This Row],[BS_Nivel_1]]</f>
        <v/>
      </c>
    </row>
    <row r="183" spans="1:25">
      <c r="A183">
        <f>+'Libro Diario'!F272</f>
        <v>0</v>
      </c>
      <c r="B183" s="144">
        <f>VALUE(IF(+'Libro Diario'!G272="","01/01/2025",+'Libro Diario'!G272))</f>
        <v>45658</v>
      </c>
      <c r="C183">
        <f>IF(ISNUMBER(+IF(IFERROR(VALUE(MID('Libro Diario'!C272,1,4)),0)&lt;&gt;0,'Libro Diario'!C272,0))=FALSE,'Libro Diario'!C272,0)</f>
        <v>0</v>
      </c>
      <c r="D183" s="145" t="str">
        <f>+'Libro Diario'!B272</f>
        <v>Operaciones del Ejercicio</v>
      </c>
      <c r="E183" s="139" t="s">
        <v>445</v>
      </c>
      <c r="F183" t="str">
        <f t="shared" si="6"/>
        <v>Sin Mov.</v>
      </c>
      <c r="G183" t="str">
        <f>IF(+'Libro Diario'!H272=0,"",+'Libro Diario'!H272)</f>
        <v/>
      </c>
      <c r="H183" t="str">
        <f>IF(+'Libro Diario'!I272=0,"",+'Libro Diario'!I272)</f>
        <v/>
      </c>
      <c r="I183" t="str">
        <f>+IF(Table3[[#This Row],[Tipo Movimiento]]="Estructura Balance y PyG","Excluir","Incluir")</f>
        <v>Incluir</v>
      </c>
      <c r="J183" s="153">
        <f>+IF(Table3[[#This Row],[Sin cuenta]]="Con Mov.",(IF(Table3[[#This Row],[Movimiento]]="Debe",Table3[[#This Row],[Importe]],IF(Table3[[#This Row],[Movimiento]]="Haber",Table3[[#This Row],[Importe]]*-1,0))),0)</f>
        <v>0</v>
      </c>
      <c r="K183" s="145" t="str">
        <f t="shared" si="7"/>
        <v>Operaciones del Ejercicio</v>
      </c>
      <c r="L183" s="145" t="str">
        <f t="shared" si="8"/>
        <v/>
      </c>
      <c r="M183" t="str">
        <f>_xlfn.XLOOKUP(Table3[[#This Row],[Cuenta]],Estructura_Balance[Nombre Cuenta ()],Estructura_Balance[Grupo],"",0)</f>
        <v/>
      </c>
      <c r="N183" t="str">
        <f>_xlfn.XLOOKUP(Table3[[#This Row],[Cuenta]],Estructura_Balance[Nombre Cuenta ()],Estructura_Balance[Nivel 1],"",0)</f>
        <v/>
      </c>
      <c r="O183" t="str">
        <f>_xlfn.XLOOKUP(Table3[[#This Row],[Cuenta]],Estructura_Balance[Nombre Cuenta ()],Estructura_Balance[Nivel 2],"",0)</f>
        <v/>
      </c>
      <c r="P183" t="str">
        <f>_xlfn.XLOOKUP(Table3[[#This Row],[Cuenta]],Estructura_Balance[Nombre Cuenta ()],Estructura_Balance[Nivel 3],"",0)</f>
        <v/>
      </c>
      <c r="Q183" t="str">
        <f>_xlfn.XLOOKUP(Table3[[#This Row],[Cuenta]],Estructura_Balance[Nombre Cuenta ()],Estructura_Balance[Nivel 4],"",0)</f>
        <v/>
      </c>
      <c r="R183" t="str">
        <f>_xlfn.XLOOKUP(Table3[[#This Row],[Cuenta]],Table8[Nombre Cuenta ()],Table8[Nivel 1],"",0)</f>
        <v/>
      </c>
      <c r="S183" t="str">
        <f>_xlfn.XLOOKUP(Table3[[#This Row],[Cuenta]],Table8[Nombre Cuenta ()],Table8[Nivel 2],"",0)</f>
        <v/>
      </c>
      <c r="T183" t="str">
        <f>_xlfn.XLOOKUP(Table3[[#This Row],[Cuenta]],Table8[Nombre Cuenta ()],Table8[Nivel 3],"",0)</f>
        <v/>
      </c>
      <c r="U183">
        <v>372</v>
      </c>
      <c r="V183" t="str">
        <f>_xlfn.XLOOKUP(Table3[[#This Row],[Cuenta]],Estructura_Balance[Nombre Cuenta ()],Estructura_Balance[Niveles:2],"",0)</f>
        <v/>
      </c>
      <c r="W183" t="str">
        <f>_xlfn.XLOOKUP(Table3[[#This Row],[Cuenta]],Estructura_Balance[Nombre Cuenta ()],Estructura_Balance[Niveles:3],"",0)</f>
        <v/>
      </c>
      <c r="X183" t="str">
        <f>_xlfn.XLOOKUP(Table3[[#This Row],[Cuenta]],Estructura_Balance[Nombre Cuenta ()],Estructura_Balance[Grupos],"Grupo 1",0)</f>
        <v>Grupo 1</v>
      </c>
      <c r="Y183" t="str">
        <f>+Table3[[#This Row],[BS_Nivel_1]]</f>
        <v/>
      </c>
    </row>
    <row r="184" spans="1:25">
      <c r="A184">
        <f>+'Libro Diario'!F273</f>
        <v>0</v>
      </c>
      <c r="B184" s="144">
        <f>VALUE(IF(+'Libro Diario'!G273="","01/01/2025",+'Libro Diario'!G273))</f>
        <v>45658</v>
      </c>
      <c r="C184">
        <f>IF(ISNUMBER(+IF(IFERROR(VALUE(MID('Libro Diario'!C273,1,4)),0)&lt;&gt;0,'Libro Diario'!C273,0))=FALSE,'Libro Diario'!C273,0)</f>
        <v>0</v>
      </c>
      <c r="D184" s="145" t="str">
        <f>+'Libro Diario'!B273</f>
        <v>Asiento Cuadrado</v>
      </c>
      <c r="E184" s="139" t="s">
        <v>445</v>
      </c>
      <c r="F184" t="str">
        <f t="shared" si="6"/>
        <v>Sin Mov.</v>
      </c>
      <c r="G184" t="str">
        <f>IF(+'Libro Diario'!H273=0,"",+'Libro Diario'!H273)</f>
        <v/>
      </c>
      <c r="H184" t="str">
        <f>IF(+'Libro Diario'!I273=0,"",+'Libro Diario'!I273)</f>
        <v/>
      </c>
      <c r="I184" t="str">
        <f>+IF(Table3[[#This Row],[Tipo Movimiento]]="Estructura Balance y PyG","Excluir","Incluir")</f>
        <v>Incluir</v>
      </c>
      <c r="J184" s="153">
        <f>+IF(Table3[[#This Row],[Sin cuenta]]="Con Mov.",(IF(Table3[[#This Row],[Movimiento]]="Debe",Table3[[#This Row],[Importe]],IF(Table3[[#This Row],[Movimiento]]="Haber",Table3[[#This Row],[Importe]]*-1,0))),0)</f>
        <v>0</v>
      </c>
      <c r="K184" s="145" t="str">
        <f t="shared" si="7"/>
        <v>Asiento Cuadrado</v>
      </c>
      <c r="L184" s="145" t="str">
        <f t="shared" si="8"/>
        <v/>
      </c>
      <c r="M184" t="str">
        <f>_xlfn.XLOOKUP(Table3[[#This Row],[Cuenta]],Estructura_Balance[Nombre Cuenta ()],Estructura_Balance[Grupo],"",0)</f>
        <v/>
      </c>
      <c r="N184" t="str">
        <f>_xlfn.XLOOKUP(Table3[[#This Row],[Cuenta]],Estructura_Balance[Nombre Cuenta ()],Estructura_Balance[Nivel 1],"",0)</f>
        <v/>
      </c>
      <c r="O184" t="str">
        <f>_xlfn.XLOOKUP(Table3[[#This Row],[Cuenta]],Estructura_Balance[Nombre Cuenta ()],Estructura_Balance[Nivel 2],"",0)</f>
        <v/>
      </c>
      <c r="P184" t="str">
        <f>_xlfn.XLOOKUP(Table3[[#This Row],[Cuenta]],Estructura_Balance[Nombre Cuenta ()],Estructura_Balance[Nivel 3],"",0)</f>
        <v/>
      </c>
      <c r="Q184" t="str">
        <f>_xlfn.XLOOKUP(Table3[[#This Row],[Cuenta]],Estructura_Balance[Nombre Cuenta ()],Estructura_Balance[Nivel 4],"",0)</f>
        <v/>
      </c>
      <c r="R184" t="str">
        <f>_xlfn.XLOOKUP(Table3[[#This Row],[Cuenta]],Table8[Nombre Cuenta ()],Table8[Nivel 1],"",0)</f>
        <v/>
      </c>
      <c r="S184" t="str">
        <f>_xlfn.XLOOKUP(Table3[[#This Row],[Cuenta]],Table8[Nombre Cuenta ()],Table8[Nivel 2],"",0)</f>
        <v/>
      </c>
      <c r="T184" t="str">
        <f>_xlfn.XLOOKUP(Table3[[#This Row],[Cuenta]],Table8[Nombre Cuenta ()],Table8[Nivel 3],"",0)</f>
        <v/>
      </c>
      <c r="U184">
        <v>373</v>
      </c>
      <c r="V184" t="str">
        <f>_xlfn.XLOOKUP(Table3[[#This Row],[Cuenta]],Estructura_Balance[Nombre Cuenta ()],Estructura_Balance[Niveles:2],"",0)</f>
        <v/>
      </c>
      <c r="W184" t="str">
        <f>_xlfn.XLOOKUP(Table3[[#This Row],[Cuenta]],Estructura_Balance[Nombre Cuenta ()],Estructura_Balance[Niveles:3],"",0)</f>
        <v/>
      </c>
      <c r="X184" t="str">
        <f>_xlfn.XLOOKUP(Table3[[#This Row],[Cuenta]],Estructura_Balance[Nombre Cuenta ()],Estructura_Balance[Grupos],"Grupo 1",0)</f>
        <v>Grupo 1</v>
      </c>
      <c r="Y184" t="str">
        <f>+Table3[[#This Row],[BS_Nivel_1]]</f>
        <v/>
      </c>
    </row>
    <row r="185" spans="1:25">
      <c r="A185">
        <f>+'Libro Diario'!F274</f>
        <v>0</v>
      </c>
      <c r="B185" s="144">
        <f>VALUE(IF(+'Libro Diario'!G274="","01/01/2025",+'Libro Diario'!G274))</f>
        <v>45658</v>
      </c>
      <c r="C185">
        <f>IF(ISNUMBER(+IF(IFERROR(VALUE(MID('Libro Diario'!C274,1,4)),0)&lt;&gt;0,'Libro Diario'!C274,0))=FALSE,'Libro Diario'!C274,0)</f>
        <v>0</v>
      </c>
      <c r="D185" s="145">
        <f>+'Libro Diario'!B274</f>
        <v>0</v>
      </c>
      <c r="E185" s="139" t="s">
        <v>445</v>
      </c>
      <c r="F185" t="str">
        <f t="shared" si="6"/>
        <v>Sin Mov.</v>
      </c>
      <c r="G185" t="str">
        <f>IF(+'Libro Diario'!H274=0,"",+'Libro Diario'!H274)</f>
        <v/>
      </c>
      <c r="H185" t="str">
        <f>IF(+'Libro Diario'!I274=0,"",+'Libro Diario'!I274)</f>
        <v/>
      </c>
      <c r="I185" t="str">
        <f>+IF(Table3[[#This Row],[Tipo Movimiento]]="Estructura Balance y PyG","Excluir","Incluir")</f>
        <v>Incluir</v>
      </c>
      <c r="J185" s="153">
        <f>+IF(Table3[[#This Row],[Sin cuenta]]="Con Mov.",(IF(Table3[[#This Row],[Movimiento]]="Debe",Table3[[#This Row],[Importe]],IF(Table3[[#This Row],[Movimiento]]="Haber",Table3[[#This Row],[Importe]]*-1,0))),0)</f>
        <v>0</v>
      </c>
      <c r="K185" s="145">
        <f t="shared" si="7"/>
        <v>0</v>
      </c>
      <c r="L185" s="145" t="str">
        <f t="shared" si="8"/>
        <v/>
      </c>
      <c r="M185" t="str">
        <f>_xlfn.XLOOKUP(Table3[[#This Row],[Cuenta]],Estructura_Balance[Nombre Cuenta ()],Estructura_Balance[Grupo],"",0)</f>
        <v/>
      </c>
      <c r="N185" t="str">
        <f>_xlfn.XLOOKUP(Table3[[#This Row],[Cuenta]],Estructura_Balance[Nombre Cuenta ()],Estructura_Balance[Nivel 1],"",0)</f>
        <v/>
      </c>
      <c r="O185" t="str">
        <f>_xlfn.XLOOKUP(Table3[[#This Row],[Cuenta]],Estructura_Balance[Nombre Cuenta ()],Estructura_Balance[Nivel 2],"",0)</f>
        <v/>
      </c>
      <c r="P185" t="str">
        <f>_xlfn.XLOOKUP(Table3[[#This Row],[Cuenta]],Estructura_Balance[Nombre Cuenta ()],Estructura_Balance[Nivel 3],"",0)</f>
        <v/>
      </c>
      <c r="Q185" t="str">
        <f>_xlfn.XLOOKUP(Table3[[#This Row],[Cuenta]],Estructura_Balance[Nombre Cuenta ()],Estructura_Balance[Nivel 4],"",0)</f>
        <v/>
      </c>
      <c r="R185" t="str">
        <f>_xlfn.XLOOKUP(Table3[[#This Row],[Cuenta]],Table8[Nombre Cuenta ()],Table8[Nivel 1],"",0)</f>
        <v/>
      </c>
      <c r="S185" t="str">
        <f>_xlfn.XLOOKUP(Table3[[#This Row],[Cuenta]],Table8[Nombre Cuenta ()],Table8[Nivel 2],"",0)</f>
        <v/>
      </c>
      <c r="T185" t="str">
        <f>_xlfn.XLOOKUP(Table3[[#This Row],[Cuenta]],Table8[Nombre Cuenta ()],Table8[Nivel 3],"",0)</f>
        <v/>
      </c>
      <c r="U185">
        <v>376</v>
      </c>
      <c r="V185" t="str">
        <f>_xlfn.XLOOKUP(Table3[[#This Row],[Cuenta]],Estructura_Balance[Nombre Cuenta ()],Estructura_Balance[Niveles:2],"",0)</f>
        <v/>
      </c>
      <c r="W185" t="str">
        <f>_xlfn.XLOOKUP(Table3[[#This Row],[Cuenta]],Estructura_Balance[Nombre Cuenta ()],Estructura_Balance[Niveles:3],"",0)</f>
        <v/>
      </c>
      <c r="X185" t="str">
        <f>_xlfn.XLOOKUP(Table3[[#This Row],[Cuenta]],Estructura_Balance[Nombre Cuenta ()],Estructura_Balance[Grupos],"Grupo 1",0)</f>
        <v>Grupo 1</v>
      </c>
      <c r="Y185" t="str">
        <f>+Table3[[#This Row],[BS_Nivel_1]]</f>
        <v/>
      </c>
    </row>
    <row r="186" spans="1:25">
      <c r="A186">
        <f>+'Libro Diario'!F275</f>
        <v>0</v>
      </c>
      <c r="B186" s="144">
        <f>VALUE(IF(+'Libro Diario'!G275="","01/01/2025",+'Libro Diario'!G275))</f>
        <v>45658</v>
      </c>
      <c r="C186">
        <f>IF(ISNUMBER(+IF(IFERROR(VALUE(MID('Libro Diario'!C275,1,4)),0)&lt;&gt;0,'Libro Diario'!C275,0))=FALSE,'Libro Diario'!C275,0)</f>
        <v>0</v>
      </c>
      <c r="D186" s="145" t="str">
        <f>+'Libro Diario'!B275</f>
        <v>DEBE</v>
      </c>
      <c r="E186" s="139" t="s">
        <v>445</v>
      </c>
      <c r="F186" t="str">
        <f t="shared" si="6"/>
        <v>Sin Mov.</v>
      </c>
      <c r="G186" t="str">
        <f>IF(+'Libro Diario'!H275=0,"",+'Libro Diario'!H275)</f>
        <v/>
      </c>
      <c r="H186" t="str">
        <f>IF(+'Libro Diario'!I275=0,"",+'Libro Diario'!I275)</f>
        <v/>
      </c>
      <c r="I186" t="str">
        <f>+IF(Table3[[#This Row],[Tipo Movimiento]]="Estructura Balance y PyG","Excluir","Incluir")</f>
        <v>Incluir</v>
      </c>
      <c r="J186" s="153">
        <f>+IF(Table3[[#This Row],[Sin cuenta]]="Con Mov.",(IF(Table3[[#This Row],[Movimiento]]="Debe",Table3[[#This Row],[Importe]],IF(Table3[[#This Row],[Movimiento]]="Haber",Table3[[#This Row],[Importe]]*-1,0))),0)</f>
        <v>0</v>
      </c>
      <c r="K186" s="145" t="str">
        <f t="shared" si="7"/>
        <v>DEBE</v>
      </c>
      <c r="L186" s="145" t="str">
        <f t="shared" si="8"/>
        <v/>
      </c>
      <c r="M186" t="str">
        <f>_xlfn.XLOOKUP(Table3[[#This Row],[Cuenta]],Estructura_Balance[Nombre Cuenta ()],Estructura_Balance[Grupo],"",0)</f>
        <v/>
      </c>
      <c r="N186" t="str">
        <f>_xlfn.XLOOKUP(Table3[[#This Row],[Cuenta]],Estructura_Balance[Nombre Cuenta ()],Estructura_Balance[Nivel 1],"",0)</f>
        <v/>
      </c>
      <c r="O186" t="str">
        <f>_xlfn.XLOOKUP(Table3[[#This Row],[Cuenta]],Estructura_Balance[Nombre Cuenta ()],Estructura_Balance[Nivel 2],"",0)</f>
        <v/>
      </c>
      <c r="P186" t="str">
        <f>_xlfn.XLOOKUP(Table3[[#This Row],[Cuenta]],Estructura_Balance[Nombre Cuenta ()],Estructura_Balance[Nivel 3],"",0)</f>
        <v/>
      </c>
      <c r="Q186" t="str">
        <f>_xlfn.XLOOKUP(Table3[[#This Row],[Cuenta]],Estructura_Balance[Nombre Cuenta ()],Estructura_Balance[Nivel 4],"",0)</f>
        <v/>
      </c>
      <c r="R186" t="str">
        <f>_xlfn.XLOOKUP(Table3[[#This Row],[Cuenta]],Table8[Nombre Cuenta ()],Table8[Nivel 1],"",0)</f>
        <v/>
      </c>
      <c r="S186" t="str">
        <f>_xlfn.XLOOKUP(Table3[[#This Row],[Cuenta]],Table8[Nombre Cuenta ()],Table8[Nivel 2],"",0)</f>
        <v/>
      </c>
      <c r="T186" t="str">
        <f>_xlfn.XLOOKUP(Table3[[#This Row],[Cuenta]],Table8[Nombre Cuenta ()],Table8[Nivel 3],"",0)</f>
        <v/>
      </c>
      <c r="U186">
        <v>377</v>
      </c>
      <c r="V186" t="str">
        <f>_xlfn.XLOOKUP(Table3[[#This Row],[Cuenta]],Estructura_Balance[Nombre Cuenta ()],Estructura_Balance[Niveles:2],"",0)</f>
        <v/>
      </c>
      <c r="W186" t="str">
        <f>_xlfn.XLOOKUP(Table3[[#This Row],[Cuenta]],Estructura_Balance[Nombre Cuenta ()],Estructura_Balance[Niveles:3],"",0)</f>
        <v/>
      </c>
      <c r="X186" t="str">
        <f>_xlfn.XLOOKUP(Table3[[#This Row],[Cuenta]],Estructura_Balance[Nombre Cuenta ()],Estructura_Balance[Grupos],"Grupo 1",0)</f>
        <v>Grupo 1</v>
      </c>
      <c r="Y186" t="str">
        <f>+Table3[[#This Row],[BS_Nivel_1]]</f>
        <v/>
      </c>
    </row>
    <row r="187" spans="1:25">
      <c r="A187">
        <f>+'Libro Diario'!F276</f>
        <v>0</v>
      </c>
      <c r="B187" s="144">
        <f>VALUE(IF(+'Libro Diario'!G276="","01/01/2025",+'Libro Diario'!G276))</f>
        <v>45658</v>
      </c>
      <c r="C187">
        <f>IF(ISNUMBER(+IF(IFERROR(VALUE(MID('Libro Diario'!C276,1,4)),0)&lt;&gt;0,'Libro Diario'!C276,0))=FALSE,'Libro Diario'!C276,0)</f>
        <v>0</v>
      </c>
      <c r="D187" s="145">
        <f>+'Libro Diario'!B276</f>
        <v>0</v>
      </c>
      <c r="E187" s="139" t="s">
        <v>445</v>
      </c>
      <c r="F187" t="str">
        <f t="shared" si="6"/>
        <v>Sin Mov.</v>
      </c>
      <c r="G187" t="str">
        <f>IF(+'Libro Diario'!H276=0,"",+'Libro Diario'!H276)</f>
        <v/>
      </c>
      <c r="H187" t="str">
        <f>IF(+'Libro Diario'!I276=0,"",+'Libro Diario'!I276)</f>
        <v/>
      </c>
      <c r="I187" t="str">
        <f>+IF(Table3[[#This Row],[Tipo Movimiento]]="Estructura Balance y PyG","Excluir","Incluir")</f>
        <v>Incluir</v>
      </c>
      <c r="J187" s="153">
        <f>+IF(Table3[[#This Row],[Sin cuenta]]="Con Mov.",(IF(Table3[[#This Row],[Movimiento]]="Debe",Table3[[#This Row],[Importe]],IF(Table3[[#This Row],[Movimiento]]="Haber",Table3[[#This Row],[Importe]]*-1,0))),0)</f>
        <v>0</v>
      </c>
      <c r="K187" s="145">
        <f t="shared" si="7"/>
        <v>0</v>
      </c>
      <c r="L187" s="145" t="str">
        <f t="shared" si="8"/>
        <v/>
      </c>
      <c r="M187" t="str">
        <f>_xlfn.XLOOKUP(Table3[[#This Row],[Cuenta]],Estructura_Balance[Nombre Cuenta ()],Estructura_Balance[Grupo],"",0)</f>
        <v/>
      </c>
      <c r="N187" t="str">
        <f>_xlfn.XLOOKUP(Table3[[#This Row],[Cuenta]],Estructura_Balance[Nombre Cuenta ()],Estructura_Balance[Nivel 1],"",0)</f>
        <v/>
      </c>
      <c r="O187" t="str">
        <f>_xlfn.XLOOKUP(Table3[[#This Row],[Cuenta]],Estructura_Balance[Nombre Cuenta ()],Estructura_Balance[Nivel 2],"",0)</f>
        <v/>
      </c>
      <c r="P187" t="str">
        <f>_xlfn.XLOOKUP(Table3[[#This Row],[Cuenta]],Estructura_Balance[Nombre Cuenta ()],Estructura_Balance[Nivel 3],"",0)</f>
        <v/>
      </c>
      <c r="Q187" t="str">
        <f>_xlfn.XLOOKUP(Table3[[#This Row],[Cuenta]],Estructura_Balance[Nombre Cuenta ()],Estructura_Balance[Nivel 4],"",0)</f>
        <v/>
      </c>
      <c r="R187" t="str">
        <f>_xlfn.XLOOKUP(Table3[[#This Row],[Cuenta]],Table8[Nombre Cuenta ()],Table8[Nivel 1],"",0)</f>
        <v/>
      </c>
      <c r="S187" t="str">
        <f>_xlfn.XLOOKUP(Table3[[#This Row],[Cuenta]],Table8[Nombre Cuenta ()],Table8[Nivel 2],"",0)</f>
        <v/>
      </c>
      <c r="T187" t="str">
        <f>_xlfn.XLOOKUP(Table3[[#This Row],[Cuenta]],Table8[Nombre Cuenta ()],Table8[Nivel 3],"",0)</f>
        <v/>
      </c>
      <c r="U187">
        <v>378</v>
      </c>
      <c r="V187" t="str">
        <f>_xlfn.XLOOKUP(Table3[[#This Row],[Cuenta]],Estructura_Balance[Nombre Cuenta ()],Estructura_Balance[Niveles:2],"",0)</f>
        <v/>
      </c>
      <c r="W187" t="str">
        <f>_xlfn.XLOOKUP(Table3[[#This Row],[Cuenta]],Estructura_Balance[Nombre Cuenta ()],Estructura_Balance[Niveles:3],"",0)</f>
        <v/>
      </c>
      <c r="X187" t="str">
        <f>_xlfn.XLOOKUP(Table3[[#This Row],[Cuenta]],Estructura_Balance[Nombre Cuenta ()],Estructura_Balance[Grupos],"Grupo 1",0)</f>
        <v>Grupo 1</v>
      </c>
      <c r="Y187" t="str">
        <f>+Table3[[#This Row],[BS_Nivel_1]]</f>
        <v/>
      </c>
    </row>
    <row r="188" spans="1:25">
      <c r="A188">
        <f>+'Libro Diario'!F279</f>
        <v>0</v>
      </c>
      <c r="B188" s="144">
        <f>VALUE(IF(+'Libro Diario'!G279="","01/01/2025",+'Libro Diario'!G279))</f>
        <v>45658</v>
      </c>
      <c r="C188">
        <f>IF(ISNUMBER(+IF(IFERROR(VALUE(MID('Libro Diario'!C279,1,4)),0)&lt;&gt;0,'Libro Diario'!C279,0))=FALSE,'Libro Diario'!C279,0)</f>
        <v>0</v>
      </c>
      <c r="D188" s="145" t="str">
        <f>+'Libro Diario'!B279</f>
        <v>Operaciones del Ejercicio</v>
      </c>
      <c r="E188" s="139" t="s">
        <v>445</v>
      </c>
      <c r="F188" t="str">
        <f t="shared" si="6"/>
        <v>Sin Mov.</v>
      </c>
      <c r="G188" t="str">
        <f>IF(+'Libro Diario'!H279=0,"",+'Libro Diario'!H279)</f>
        <v/>
      </c>
      <c r="H188" t="str">
        <f>IF(+'Libro Diario'!I279=0,"",+'Libro Diario'!I279)</f>
        <v/>
      </c>
      <c r="I188" t="str">
        <f>+IF(Table3[[#This Row],[Tipo Movimiento]]="Estructura Balance y PyG","Excluir","Incluir")</f>
        <v>Incluir</v>
      </c>
      <c r="J188" s="153">
        <f>+IF(Table3[[#This Row],[Sin cuenta]]="Con Mov.",(IF(Table3[[#This Row],[Movimiento]]="Debe",Table3[[#This Row],[Importe]],IF(Table3[[#This Row],[Movimiento]]="Haber",Table3[[#This Row],[Importe]]*-1,0))),0)</f>
        <v>0</v>
      </c>
      <c r="K188" s="145" t="str">
        <f t="shared" si="7"/>
        <v>Operaciones del Ejercicio</v>
      </c>
      <c r="L188" s="145" t="str">
        <f t="shared" si="8"/>
        <v/>
      </c>
      <c r="M188" t="str">
        <f>_xlfn.XLOOKUP(Table3[[#This Row],[Cuenta]],Estructura_Balance[Nombre Cuenta ()],Estructura_Balance[Grupo],"",0)</f>
        <v/>
      </c>
      <c r="N188" t="str">
        <f>_xlfn.XLOOKUP(Table3[[#This Row],[Cuenta]],Estructura_Balance[Nombre Cuenta ()],Estructura_Balance[Nivel 1],"",0)</f>
        <v/>
      </c>
      <c r="O188" t="str">
        <f>_xlfn.XLOOKUP(Table3[[#This Row],[Cuenta]],Estructura_Balance[Nombre Cuenta ()],Estructura_Balance[Nivel 2],"",0)</f>
        <v/>
      </c>
      <c r="P188" t="str">
        <f>_xlfn.XLOOKUP(Table3[[#This Row],[Cuenta]],Estructura_Balance[Nombre Cuenta ()],Estructura_Balance[Nivel 3],"",0)</f>
        <v/>
      </c>
      <c r="Q188" t="str">
        <f>_xlfn.XLOOKUP(Table3[[#This Row],[Cuenta]],Estructura_Balance[Nombre Cuenta ()],Estructura_Balance[Nivel 4],"",0)</f>
        <v/>
      </c>
      <c r="R188" t="str">
        <f>_xlfn.XLOOKUP(Table3[[#This Row],[Cuenta]],Table8[Nombre Cuenta ()],Table8[Nivel 1],"",0)</f>
        <v/>
      </c>
      <c r="S188" t="str">
        <f>_xlfn.XLOOKUP(Table3[[#This Row],[Cuenta]],Table8[Nombre Cuenta ()],Table8[Nivel 2],"",0)</f>
        <v/>
      </c>
      <c r="T188" t="str">
        <f>_xlfn.XLOOKUP(Table3[[#This Row],[Cuenta]],Table8[Nombre Cuenta ()],Table8[Nivel 3],"",0)</f>
        <v/>
      </c>
      <c r="U188">
        <v>383</v>
      </c>
      <c r="V188" t="str">
        <f>_xlfn.XLOOKUP(Table3[[#This Row],[Cuenta]],Estructura_Balance[Nombre Cuenta ()],Estructura_Balance[Niveles:2],"",0)</f>
        <v/>
      </c>
      <c r="W188" t="str">
        <f>_xlfn.XLOOKUP(Table3[[#This Row],[Cuenta]],Estructura_Balance[Nombre Cuenta ()],Estructura_Balance[Niveles:3],"",0)</f>
        <v/>
      </c>
      <c r="X188" t="str">
        <f>_xlfn.XLOOKUP(Table3[[#This Row],[Cuenta]],Estructura_Balance[Nombre Cuenta ()],Estructura_Balance[Grupos],"Grupo 1",0)</f>
        <v>Grupo 1</v>
      </c>
      <c r="Y188" t="str">
        <f>+Table3[[#This Row],[BS_Nivel_1]]</f>
        <v/>
      </c>
    </row>
    <row r="189" spans="1:25">
      <c r="A189">
        <f>+'Libro Diario'!F280</f>
        <v>0</v>
      </c>
      <c r="B189" s="144">
        <f>VALUE(IF(+'Libro Diario'!G280="","01/01/2025",+'Libro Diario'!G280))</f>
        <v>45658</v>
      </c>
      <c r="C189">
        <f>IF(ISNUMBER(+IF(IFERROR(VALUE(MID('Libro Diario'!C280,1,4)),0)&lt;&gt;0,'Libro Diario'!C280,0))=FALSE,'Libro Diario'!C280,0)</f>
        <v>0</v>
      </c>
      <c r="D189" s="145" t="str">
        <f>+'Libro Diario'!B280</f>
        <v>Asiento Cuadrado</v>
      </c>
      <c r="E189" s="139" t="s">
        <v>445</v>
      </c>
      <c r="F189" t="str">
        <f t="shared" si="6"/>
        <v>Sin Mov.</v>
      </c>
      <c r="G189" t="str">
        <f>IF(+'Libro Diario'!H280=0,"",+'Libro Diario'!H280)</f>
        <v/>
      </c>
      <c r="H189" t="str">
        <f>IF(+'Libro Diario'!I280=0,"",+'Libro Diario'!I280)</f>
        <v/>
      </c>
      <c r="I189" t="str">
        <f>+IF(Table3[[#This Row],[Tipo Movimiento]]="Estructura Balance y PyG","Excluir","Incluir")</f>
        <v>Incluir</v>
      </c>
      <c r="J189" s="153">
        <f>+IF(Table3[[#This Row],[Sin cuenta]]="Con Mov.",(IF(Table3[[#This Row],[Movimiento]]="Debe",Table3[[#This Row],[Importe]],IF(Table3[[#This Row],[Movimiento]]="Haber",Table3[[#This Row],[Importe]]*-1,0))),0)</f>
        <v>0</v>
      </c>
      <c r="K189" s="145" t="str">
        <f t="shared" si="7"/>
        <v>Asiento Cuadrado</v>
      </c>
      <c r="L189" s="145" t="str">
        <f t="shared" si="8"/>
        <v/>
      </c>
      <c r="M189" t="str">
        <f>_xlfn.XLOOKUP(Table3[[#This Row],[Cuenta]],Estructura_Balance[Nombre Cuenta ()],Estructura_Balance[Grupo],"",0)</f>
        <v/>
      </c>
      <c r="N189" t="str">
        <f>_xlfn.XLOOKUP(Table3[[#This Row],[Cuenta]],Estructura_Balance[Nombre Cuenta ()],Estructura_Balance[Nivel 1],"",0)</f>
        <v/>
      </c>
      <c r="O189" t="str">
        <f>_xlfn.XLOOKUP(Table3[[#This Row],[Cuenta]],Estructura_Balance[Nombre Cuenta ()],Estructura_Balance[Nivel 2],"",0)</f>
        <v/>
      </c>
      <c r="P189" t="str">
        <f>_xlfn.XLOOKUP(Table3[[#This Row],[Cuenta]],Estructura_Balance[Nombre Cuenta ()],Estructura_Balance[Nivel 3],"",0)</f>
        <v/>
      </c>
      <c r="Q189" t="str">
        <f>_xlfn.XLOOKUP(Table3[[#This Row],[Cuenta]],Estructura_Balance[Nombre Cuenta ()],Estructura_Balance[Nivel 4],"",0)</f>
        <v/>
      </c>
      <c r="R189" t="str">
        <f>_xlfn.XLOOKUP(Table3[[#This Row],[Cuenta]],Table8[Nombre Cuenta ()],Table8[Nivel 1],"",0)</f>
        <v/>
      </c>
      <c r="S189" t="str">
        <f>_xlfn.XLOOKUP(Table3[[#This Row],[Cuenta]],Table8[Nombre Cuenta ()],Table8[Nivel 2],"",0)</f>
        <v/>
      </c>
      <c r="T189" t="str">
        <f>_xlfn.XLOOKUP(Table3[[#This Row],[Cuenta]],Table8[Nombre Cuenta ()],Table8[Nivel 3],"",0)</f>
        <v/>
      </c>
      <c r="U189">
        <v>384</v>
      </c>
      <c r="V189" t="str">
        <f>_xlfn.XLOOKUP(Table3[[#This Row],[Cuenta]],Estructura_Balance[Nombre Cuenta ()],Estructura_Balance[Niveles:2],"",0)</f>
        <v/>
      </c>
      <c r="W189" t="str">
        <f>_xlfn.XLOOKUP(Table3[[#This Row],[Cuenta]],Estructura_Balance[Nombre Cuenta ()],Estructura_Balance[Niveles:3],"",0)</f>
        <v/>
      </c>
      <c r="X189" t="str">
        <f>_xlfn.XLOOKUP(Table3[[#This Row],[Cuenta]],Estructura_Balance[Nombre Cuenta ()],Estructura_Balance[Grupos],"Grupo 1",0)</f>
        <v>Grupo 1</v>
      </c>
      <c r="Y189" t="str">
        <f>+Table3[[#This Row],[BS_Nivel_1]]</f>
        <v/>
      </c>
    </row>
    <row r="190" spans="1:25">
      <c r="A190">
        <f>+'Libro Diario'!F281</f>
        <v>0</v>
      </c>
      <c r="B190" s="144">
        <f>VALUE(IF(+'Libro Diario'!G281="","01/01/2025",+'Libro Diario'!G281))</f>
        <v>45658</v>
      </c>
      <c r="C190">
        <f>IF(ISNUMBER(+IF(IFERROR(VALUE(MID('Libro Diario'!C281,1,4)),0)&lt;&gt;0,'Libro Diario'!C281,0))=FALSE,'Libro Diario'!C281,0)</f>
        <v>0</v>
      </c>
      <c r="D190" s="145">
        <f>+'Libro Diario'!B281</f>
        <v>0</v>
      </c>
      <c r="E190" s="139" t="s">
        <v>445</v>
      </c>
      <c r="F190" t="str">
        <f t="shared" si="6"/>
        <v>Sin Mov.</v>
      </c>
      <c r="G190" t="str">
        <f>IF(+'Libro Diario'!H281=0,"",+'Libro Diario'!H281)</f>
        <v/>
      </c>
      <c r="H190" t="str">
        <f>IF(+'Libro Diario'!I281=0,"",+'Libro Diario'!I281)</f>
        <v/>
      </c>
      <c r="I190" t="str">
        <f>+IF(Table3[[#This Row],[Tipo Movimiento]]="Estructura Balance y PyG","Excluir","Incluir")</f>
        <v>Incluir</v>
      </c>
      <c r="J190" s="153">
        <f>+IF(Table3[[#This Row],[Sin cuenta]]="Con Mov.",(IF(Table3[[#This Row],[Movimiento]]="Debe",Table3[[#This Row],[Importe]],IF(Table3[[#This Row],[Movimiento]]="Haber",Table3[[#This Row],[Importe]]*-1,0))),0)</f>
        <v>0</v>
      </c>
      <c r="K190" s="145">
        <f t="shared" si="7"/>
        <v>0</v>
      </c>
      <c r="L190" s="145" t="str">
        <f t="shared" si="8"/>
        <v/>
      </c>
      <c r="M190" t="str">
        <f>_xlfn.XLOOKUP(Table3[[#This Row],[Cuenta]],Estructura_Balance[Nombre Cuenta ()],Estructura_Balance[Grupo],"",0)</f>
        <v/>
      </c>
      <c r="N190" t="str">
        <f>_xlfn.XLOOKUP(Table3[[#This Row],[Cuenta]],Estructura_Balance[Nombre Cuenta ()],Estructura_Balance[Nivel 1],"",0)</f>
        <v/>
      </c>
      <c r="O190" t="str">
        <f>_xlfn.XLOOKUP(Table3[[#This Row],[Cuenta]],Estructura_Balance[Nombre Cuenta ()],Estructura_Balance[Nivel 2],"",0)</f>
        <v/>
      </c>
      <c r="P190" t="str">
        <f>_xlfn.XLOOKUP(Table3[[#This Row],[Cuenta]],Estructura_Balance[Nombre Cuenta ()],Estructura_Balance[Nivel 3],"",0)</f>
        <v/>
      </c>
      <c r="Q190" t="str">
        <f>_xlfn.XLOOKUP(Table3[[#This Row],[Cuenta]],Estructura_Balance[Nombre Cuenta ()],Estructura_Balance[Nivel 4],"",0)</f>
        <v/>
      </c>
      <c r="R190" t="str">
        <f>_xlfn.XLOOKUP(Table3[[#This Row],[Cuenta]],Table8[Nombre Cuenta ()],Table8[Nivel 1],"",0)</f>
        <v/>
      </c>
      <c r="S190" t="str">
        <f>_xlfn.XLOOKUP(Table3[[#This Row],[Cuenta]],Table8[Nombre Cuenta ()],Table8[Nivel 2],"",0)</f>
        <v/>
      </c>
      <c r="T190" t="str">
        <f>_xlfn.XLOOKUP(Table3[[#This Row],[Cuenta]],Table8[Nombre Cuenta ()],Table8[Nivel 3],"",0)</f>
        <v/>
      </c>
      <c r="U190">
        <v>385</v>
      </c>
      <c r="V190" t="str">
        <f>_xlfn.XLOOKUP(Table3[[#This Row],[Cuenta]],Estructura_Balance[Nombre Cuenta ()],Estructura_Balance[Niveles:2],"",0)</f>
        <v/>
      </c>
      <c r="W190" t="str">
        <f>_xlfn.XLOOKUP(Table3[[#This Row],[Cuenta]],Estructura_Balance[Nombre Cuenta ()],Estructura_Balance[Niveles:3],"",0)</f>
        <v/>
      </c>
      <c r="X190" t="str">
        <f>_xlfn.XLOOKUP(Table3[[#This Row],[Cuenta]],Estructura_Balance[Nombre Cuenta ()],Estructura_Balance[Grupos],"Grupo 1",0)</f>
        <v>Grupo 1</v>
      </c>
      <c r="Y190" t="str">
        <f>+Table3[[#This Row],[BS_Nivel_1]]</f>
        <v/>
      </c>
    </row>
    <row r="191" spans="1:25">
      <c r="A191">
        <f>+'Libro Diario'!F282</f>
        <v>0</v>
      </c>
      <c r="B191" s="144">
        <f>VALUE(IF(+'Libro Diario'!G282="","01/01/2025",+'Libro Diario'!G282))</f>
        <v>45658</v>
      </c>
      <c r="C191">
        <f>IF(ISNUMBER(+IF(IFERROR(VALUE(MID('Libro Diario'!C282,1,4)),0)&lt;&gt;0,'Libro Diario'!C282,0))=FALSE,'Libro Diario'!C282,0)</f>
        <v>0</v>
      </c>
      <c r="D191" s="145" t="str">
        <f>+'Libro Diario'!B282</f>
        <v>DEBE</v>
      </c>
      <c r="E191" s="139" t="s">
        <v>445</v>
      </c>
      <c r="F191" t="str">
        <f t="shared" si="6"/>
        <v>Sin Mov.</v>
      </c>
      <c r="G191" t="str">
        <f>IF(+'Libro Diario'!H282=0,"",+'Libro Diario'!H282)</f>
        <v/>
      </c>
      <c r="H191" t="str">
        <f>IF(+'Libro Diario'!I282=0,"",+'Libro Diario'!I282)</f>
        <v/>
      </c>
      <c r="I191" t="str">
        <f>+IF(Table3[[#This Row],[Tipo Movimiento]]="Estructura Balance y PyG","Excluir","Incluir")</f>
        <v>Incluir</v>
      </c>
      <c r="J191" s="153">
        <f>+IF(Table3[[#This Row],[Sin cuenta]]="Con Mov.",(IF(Table3[[#This Row],[Movimiento]]="Debe",Table3[[#This Row],[Importe]],IF(Table3[[#This Row],[Movimiento]]="Haber",Table3[[#This Row],[Importe]]*-1,0))),0)</f>
        <v>0</v>
      </c>
      <c r="K191" s="145" t="str">
        <f t="shared" si="7"/>
        <v>DEBE</v>
      </c>
      <c r="L191" s="145" t="str">
        <f t="shared" si="8"/>
        <v/>
      </c>
      <c r="M191" t="str">
        <f>_xlfn.XLOOKUP(Table3[[#This Row],[Cuenta]],Estructura_Balance[Nombre Cuenta ()],Estructura_Balance[Grupo],"",0)</f>
        <v/>
      </c>
      <c r="N191" t="str">
        <f>_xlfn.XLOOKUP(Table3[[#This Row],[Cuenta]],Estructura_Balance[Nombre Cuenta ()],Estructura_Balance[Nivel 1],"",0)</f>
        <v/>
      </c>
      <c r="O191" t="str">
        <f>_xlfn.XLOOKUP(Table3[[#This Row],[Cuenta]],Estructura_Balance[Nombre Cuenta ()],Estructura_Balance[Nivel 2],"",0)</f>
        <v/>
      </c>
      <c r="P191" t="str">
        <f>_xlfn.XLOOKUP(Table3[[#This Row],[Cuenta]],Estructura_Balance[Nombre Cuenta ()],Estructura_Balance[Nivel 3],"",0)</f>
        <v/>
      </c>
      <c r="Q191" t="str">
        <f>_xlfn.XLOOKUP(Table3[[#This Row],[Cuenta]],Estructura_Balance[Nombre Cuenta ()],Estructura_Balance[Nivel 4],"",0)</f>
        <v/>
      </c>
      <c r="R191" t="str">
        <f>_xlfn.XLOOKUP(Table3[[#This Row],[Cuenta]],Table8[Nombre Cuenta ()],Table8[Nivel 1],"",0)</f>
        <v/>
      </c>
      <c r="S191" t="str">
        <f>_xlfn.XLOOKUP(Table3[[#This Row],[Cuenta]],Table8[Nombre Cuenta ()],Table8[Nivel 2],"",0)</f>
        <v/>
      </c>
      <c r="T191" t="str">
        <f>_xlfn.XLOOKUP(Table3[[#This Row],[Cuenta]],Table8[Nombre Cuenta ()],Table8[Nivel 3],"",0)</f>
        <v/>
      </c>
      <c r="U191">
        <v>386</v>
      </c>
      <c r="V191" t="str">
        <f>_xlfn.XLOOKUP(Table3[[#This Row],[Cuenta]],Estructura_Balance[Nombre Cuenta ()],Estructura_Balance[Niveles:2],"",0)</f>
        <v/>
      </c>
      <c r="W191" t="str">
        <f>_xlfn.XLOOKUP(Table3[[#This Row],[Cuenta]],Estructura_Balance[Nombre Cuenta ()],Estructura_Balance[Niveles:3],"",0)</f>
        <v/>
      </c>
      <c r="X191" t="str">
        <f>_xlfn.XLOOKUP(Table3[[#This Row],[Cuenta]],Estructura_Balance[Nombre Cuenta ()],Estructura_Balance[Grupos],"Grupo 1",0)</f>
        <v>Grupo 1</v>
      </c>
      <c r="Y191" t="str">
        <f>+Table3[[#This Row],[BS_Nivel_1]]</f>
        <v/>
      </c>
    </row>
    <row r="192" spans="1:25">
      <c r="A192">
        <f>+'Libro Diario'!F283</f>
        <v>0</v>
      </c>
      <c r="B192" s="144">
        <f>VALUE(IF(+'Libro Diario'!G283="","01/01/2025",+'Libro Diario'!G283))</f>
        <v>45658</v>
      </c>
      <c r="C192">
        <f>IF(ISNUMBER(+IF(IFERROR(VALUE(MID('Libro Diario'!C283,1,4)),0)&lt;&gt;0,'Libro Diario'!C283,0))=FALSE,'Libro Diario'!C283,0)</f>
        <v>0</v>
      </c>
      <c r="D192" s="145">
        <f>+'Libro Diario'!B283</f>
        <v>0</v>
      </c>
      <c r="E192" s="139" t="s">
        <v>445</v>
      </c>
      <c r="F192" t="str">
        <f t="shared" si="6"/>
        <v>Sin Mov.</v>
      </c>
      <c r="G192" t="str">
        <f>IF(+'Libro Diario'!H283=0,"",+'Libro Diario'!H283)</f>
        <v/>
      </c>
      <c r="H192" t="str">
        <f>IF(+'Libro Diario'!I283=0,"",+'Libro Diario'!I283)</f>
        <v/>
      </c>
      <c r="I192" t="str">
        <f>+IF(Table3[[#This Row],[Tipo Movimiento]]="Estructura Balance y PyG","Excluir","Incluir")</f>
        <v>Incluir</v>
      </c>
      <c r="J192" s="153">
        <f>+IF(Table3[[#This Row],[Sin cuenta]]="Con Mov.",(IF(Table3[[#This Row],[Movimiento]]="Debe",Table3[[#This Row],[Importe]],IF(Table3[[#This Row],[Movimiento]]="Haber",Table3[[#This Row],[Importe]]*-1,0))),0)</f>
        <v>0</v>
      </c>
      <c r="K192" s="145">
        <f t="shared" si="7"/>
        <v>0</v>
      </c>
      <c r="L192" s="145" t="str">
        <f t="shared" si="8"/>
        <v/>
      </c>
      <c r="M192" t="str">
        <f>_xlfn.XLOOKUP(Table3[[#This Row],[Cuenta]],Estructura_Balance[Nombre Cuenta ()],Estructura_Balance[Grupo],"",0)</f>
        <v/>
      </c>
      <c r="N192" t="str">
        <f>_xlfn.XLOOKUP(Table3[[#This Row],[Cuenta]],Estructura_Balance[Nombre Cuenta ()],Estructura_Balance[Nivel 1],"",0)</f>
        <v/>
      </c>
      <c r="O192" t="str">
        <f>_xlfn.XLOOKUP(Table3[[#This Row],[Cuenta]],Estructura_Balance[Nombre Cuenta ()],Estructura_Balance[Nivel 2],"",0)</f>
        <v/>
      </c>
      <c r="P192" t="str">
        <f>_xlfn.XLOOKUP(Table3[[#This Row],[Cuenta]],Estructura_Balance[Nombre Cuenta ()],Estructura_Balance[Nivel 3],"",0)</f>
        <v/>
      </c>
      <c r="Q192" t="str">
        <f>_xlfn.XLOOKUP(Table3[[#This Row],[Cuenta]],Estructura_Balance[Nombre Cuenta ()],Estructura_Balance[Nivel 4],"",0)</f>
        <v/>
      </c>
      <c r="R192" t="str">
        <f>_xlfn.XLOOKUP(Table3[[#This Row],[Cuenta]],Table8[Nombre Cuenta ()],Table8[Nivel 1],"",0)</f>
        <v/>
      </c>
      <c r="S192" t="str">
        <f>_xlfn.XLOOKUP(Table3[[#This Row],[Cuenta]],Table8[Nombre Cuenta ()],Table8[Nivel 2],"",0)</f>
        <v/>
      </c>
      <c r="T192" t="str">
        <f>_xlfn.XLOOKUP(Table3[[#This Row],[Cuenta]],Table8[Nombre Cuenta ()],Table8[Nivel 3],"",0)</f>
        <v/>
      </c>
      <c r="U192">
        <v>387</v>
      </c>
      <c r="V192" t="str">
        <f>_xlfn.XLOOKUP(Table3[[#This Row],[Cuenta]],Estructura_Balance[Nombre Cuenta ()],Estructura_Balance[Niveles:2],"",0)</f>
        <v/>
      </c>
      <c r="W192" t="str">
        <f>_xlfn.XLOOKUP(Table3[[#This Row],[Cuenta]],Estructura_Balance[Nombre Cuenta ()],Estructura_Balance[Niveles:3],"",0)</f>
        <v/>
      </c>
      <c r="X192" t="str">
        <f>_xlfn.XLOOKUP(Table3[[#This Row],[Cuenta]],Estructura_Balance[Nombre Cuenta ()],Estructura_Balance[Grupos],"Grupo 1",0)</f>
        <v>Grupo 1</v>
      </c>
      <c r="Y192" t="str">
        <f>+Table3[[#This Row],[BS_Nivel_1]]</f>
        <v/>
      </c>
    </row>
    <row r="193" spans="1:25">
      <c r="A193">
        <f>+'Libro Diario'!F286</f>
        <v>0</v>
      </c>
      <c r="B193" s="144">
        <f>VALUE(IF(+'Libro Diario'!G286="","01/01/2025",+'Libro Diario'!G286))</f>
        <v>45658</v>
      </c>
      <c r="C193">
        <f>IF(ISNUMBER(+IF(IFERROR(VALUE(MID('Libro Diario'!C286,1,4)),0)&lt;&gt;0,'Libro Diario'!C286,0))=FALSE,'Libro Diario'!C286,0)</f>
        <v>0</v>
      </c>
      <c r="D193" s="145" t="str">
        <f>+'Libro Diario'!B286</f>
        <v>Operaciones del Ejercicio</v>
      </c>
      <c r="E193" s="139" t="s">
        <v>445</v>
      </c>
      <c r="F193" t="str">
        <f t="shared" si="6"/>
        <v>Sin Mov.</v>
      </c>
      <c r="G193" t="str">
        <f>IF(+'Libro Diario'!H286=0,"",+'Libro Diario'!H286)</f>
        <v/>
      </c>
      <c r="H193" t="str">
        <f>IF(+'Libro Diario'!I286=0,"",+'Libro Diario'!I286)</f>
        <v/>
      </c>
      <c r="I193" t="str">
        <f>+IF(Table3[[#This Row],[Tipo Movimiento]]="Estructura Balance y PyG","Excluir","Incluir")</f>
        <v>Incluir</v>
      </c>
      <c r="J193" s="153">
        <f>+IF(Table3[[#This Row],[Sin cuenta]]="Con Mov.",(IF(Table3[[#This Row],[Movimiento]]="Debe",Table3[[#This Row],[Importe]],IF(Table3[[#This Row],[Movimiento]]="Haber",Table3[[#This Row],[Importe]]*-1,0))),0)</f>
        <v>0</v>
      </c>
      <c r="K193" s="145" t="str">
        <f t="shared" si="7"/>
        <v>Operaciones del Ejercicio</v>
      </c>
      <c r="L193" s="145" t="str">
        <f t="shared" si="8"/>
        <v/>
      </c>
      <c r="M193" t="str">
        <f>_xlfn.XLOOKUP(Table3[[#This Row],[Cuenta]],Estructura_Balance[Nombre Cuenta ()],Estructura_Balance[Grupo],"",0)</f>
        <v/>
      </c>
      <c r="N193" t="str">
        <f>_xlfn.XLOOKUP(Table3[[#This Row],[Cuenta]],Estructura_Balance[Nombre Cuenta ()],Estructura_Balance[Nivel 1],"",0)</f>
        <v/>
      </c>
      <c r="O193" t="str">
        <f>_xlfn.XLOOKUP(Table3[[#This Row],[Cuenta]],Estructura_Balance[Nombre Cuenta ()],Estructura_Balance[Nivel 2],"",0)</f>
        <v/>
      </c>
      <c r="P193" t="str">
        <f>_xlfn.XLOOKUP(Table3[[#This Row],[Cuenta]],Estructura_Balance[Nombre Cuenta ()],Estructura_Balance[Nivel 3],"",0)</f>
        <v/>
      </c>
      <c r="Q193" t="str">
        <f>_xlfn.XLOOKUP(Table3[[#This Row],[Cuenta]],Estructura_Balance[Nombre Cuenta ()],Estructura_Balance[Nivel 4],"",0)</f>
        <v/>
      </c>
      <c r="R193" t="str">
        <f>_xlfn.XLOOKUP(Table3[[#This Row],[Cuenta]],Table8[Nombre Cuenta ()],Table8[Nivel 1],"",0)</f>
        <v/>
      </c>
      <c r="S193" t="str">
        <f>_xlfn.XLOOKUP(Table3[[#This Row],[Cuenta]],Table8[Nombre Cuenta ()],Table8[Nivel 2],"",0)</f>
        <v/>
      </c>
      <c r="T193" t="str">
        <f>_xlfn.XLOOKUP(Table3[[#This Row],[Cuenta]],Table8[Nombre Cuenta ()],Table8[Nivel 3],"",0)</f>
        <v/>
      </c>
      <c r="U193">
        <v>392</v>
      </c>
      <c r="V193" t="str">
        <f>_xlfn.XLOOKUP(Table3[[#This Row],[Cuenta]],Estructura_Balance[Nombre Cuenta ()],Estructura_Balance[Niveles:2],"",0)</f>
        <v/>
      </c>
      <c r="W193" t="str">
        <f>_xlfn.XLOOKUP(Table3[[#This Row],[Cuenta]],Estructura_Balance[Nombre Cuenta ()],Estructura_Balance[Niveles:3],"",0)</f>
        <v/>
      </c>
      <c r="X193" t="str">
        <f>_xlfn.XLOOKUP(Table3[[#This Row],[Cuenta]],Estructura_Balance[Nombre Cuenta ()],Estructura_Balance[Grupos],"Grupo 1",0)</f>
        <v>Grupo 1</v>
      </c>
      <c r="Y193" t="str">
        <f>+Table3[[#This Row],[BS_Nivel_1]]</f>
        <v/>
      </c>
    </row>
    <row r="194" spans="1:25">
      <c r="A194">
        <f>+'Libro Diario'!F287</f>
        <v>0</v>
      </c>
      <c r="B194" s="144">
        <f>VALUE(IF(+'Libro Diario'!G287="","01/01/2025",+'Libro Diario'!G287))</f>
        <v>45658</v>
      </c>
      <c r="C194">
        <f>IF(ISNUMBER(+IF(IFERROR(VALUE(MID('Libro Diario'!C287,1,4)),0)&lt;&gt;0,'Libro Diario'!C287,0))=FALSE,'Libro Diario'!C287,0)</f>
        <v>0</v>
      </c>
      <c r="D194" s="145" t="str">
        <f>+'Libro Diario'!B287</f>
        <v>Asiento Cuadrado</v>
      </c>
      <c r="E194" s="139" t="s">
        <v>445</v>
      </c>
      <c r="F194" t="str">
        <f t="shared" si="6"/>
        <v>Sin Mov.</v>
      </c>
      <c r="G194" t="str">
        <f>IF(+'Libro Diario'!H287=0,"",+'Libro Diario'!H287)</f>
        <v/>
      </c>
      <c r="H194" t="str">
        <f>IF(+'Libro Diario'!I287=0,"",+'Libro Diario'!I287)</f>
        <v/>
      </c>
      <c r="I194" t="str">
        <f>+IF(Table3[[#This Row],[Tipo Movimiento]]="Estructura Balance y PyG","Excluir","Incluir")</f>
        <v>Incluir</v>
      </c>
      <c r="J194" s="153">
        <f>+IF(Table3[[#This Row],[Sin cuenta]]="Con Mov.",(IF(Table3[[#This Row],[Movimiento]]="Debe",Table3[[#This Row],[Importe]],IF(Table3[[#This Row],[Movimiento]]="Haber",Table3[[#This Row],[Importe]]*-1,0))),0)</f>
        <v>0</v>
      </c>
      <c r="K194" s="145" t="str">
        <f t="shared" si="7"/>
        <v>Asiento Cuadrado</v>
      </c>
      <c r="L194" s="145" t="str">
        <f t="shared" si="8"/>
        <v/>
      </c>
      <c r="M194" t="str">
        <f>_xlfn.XLOOKUP(Table3[[#This Row],[Cuenta]],Estructura_Balance[Nombre Cuenta ()],Estructura_Balance[Grupo],"",0)</f>
        <v/>
      </c>
      <c r="N194" t="str">
        <f>_xlfn.XLOOKUP(Table3[[#This Row],[Cuenta]],Estructura_Balance[Nombre Cuenta ()],Estructura_Balance[Nivel 1],"",0)</f>
        <v/>
      </c>
      <c r="O194" t="str">
        <f>_xlfn.XLOOKUP(Table3[[#This Row],[Cuenta]],Estructura_Balance[Nombre Cuenta ()],Estructura_Balance[Nivel 2],"",0)</f>
        <v/>
      </c>
      <c r="P194" t="str">
        <f>_xlfn.XLOOKUP(Table3[[#This Row],[Cuenta]],Estructura_Balance[Nombre Cuenta ()],Estructura_Balance[Nivel 3],"",0)</f>
        <v/>
      </c>
      <c r="Q194" t="str">
        <f>_xlfn.XLOOKUP(Table3[[#This Row],[Cuenta]],Estructura_Balance[Nombre Cuenta ()],Estructura_Balance[Nivel 4],"",0)</f>
        <v/>
      </c>
      <c r="R194" t="str">
        <f>_xlfn.XLOOKUP(Table3[[#This Row],[Cuenta]],Table8[Nombre Cuenta ()],Table8[Nivel 1],"",0)</f>
        <v/>
      </c>
      <c r="S194" t="str">
        <f>_xlfn.XLOOKUP(Table3[[#This Row],[Cuenta]],Table8[Nombre Cuenta ()],Table8[Nivel 2],"",0)</f>
        <v/>
      </c>
      <c r="T194" t="str">
        <f>_xlfn.XLOOKUP(Table3[[#This Row],[Cuenta]],Table8[Nombre Cuenta ()],Table8[Nivel 3],"",0)</f>
        <v/>
      </c>
      <c r="U194">
        <v>393</v>
      </c>
      <c r="V194" t="str">
        <f>_xlfn.XLOOKUP(Table3[[#This Row],[Cuenta]],Estructura_Balance[Nombre Cuenta ()],Estructura_Balance[Niveles:2],"",0)</f>
        <v/>
      </c>
      <c r="W194" t="str">
        <f>_xlfn.XLOOKUP(Table3[[#This Row],[Cuenta]],Estructura_Balance[Nombre Cuenta ()],Estructura_Balance[Niveles:3],"",0)</f>
        <v/>
      </c>
      <c r="X194" t="str">
        <f>_xlfn.XLOOKUP(Table3[[#This Row],[Cuenta]],Estructura_Balance[Nombre Cuenta ()],Estructura_Balance[Grupos],"Grupo 1",0)</f>
        <v>Grupo 1</v>
      </c>
      <c r="Y194" t="str">
        <f>+Table3[[#This Row],[BS_Nivel_1]]</f>
        <v/>
      </c>
    </row>
    <row r="195" spans="1:25">
      <c r="A195">
        <f>+'Libro Diario'!F288</f>
        <v>0</v>
      </c>
      <c r="B195" s="144">
        <f>VALUE(IF(+'Libro Diario'!G288="","01/01/2025",+'Libro Diario'!G288))</f>
        <v>45658</v>
      </c>
      <c r="C195">
        <f>IF(ISNUMBER(+IF(IFERROR(VALUE(MID('Libro Diario'!C288,1,4)),0)&lt;&gt;0,'Libro Diario'!C288,0))=FALSE,'Libro Diario'!C288,0)</f>
        <v>0</v>
      </c>
      <c r="D195" s="145">
        <f>+'Libro Diario'!B288</f>
        <v>0</v>
      </c>
      <c r="E195" s="139" t="s">
        <v>445</v>
      </c>
      <c r="F195" t="str">
        <f t="shared" ref="F195:F258" si="9">+IF(C195=0,"Sin Mov.","Con Mov.")</f>
        <v>Sin Mov.</v>
      </c>
      <c r="G195" t="str">
        <f>IF(+'Libro Diario'!H288=0,"",+'Libro Diario'!H288)</f>
        <v/>
      </c>
      <c r="H195" t="str">
        <f>IF(+'Libro Diario'!I288=0,"",+'Libro Diario'!I288)</f>
        <v/>
      </c>
      <c r="I195" t="str">
        <f>+IF(Table3[[#This Row],[Tipo Movimiento]]="Estructura Balance y PyG","Excluir","Incluir")</f>
        <v>Incluir</v>
      </c>
      <c r="J195" s="153">
        <f>+IF(Table3[[#This Row],[Sin cuenta]]="Con Mov.",(IF(Table3[[#This Row],[Movimiento]]="Debe",Table3[[#This Row],[Importe]],IF(Table3[[#This Row],[Movimiento]]="Haber",Table3[[#This Row],[Importe]]*-1,0))),0)</f>
        <v>0</v>
      </c>
      <c r="K195" s="145">
        <f t="shared" ref="K195:K258" si="10">+IF(E195="Debe",D195,"")</f>
        <v>0</v>
      </c>
      <c r="L195" s="145" t="str">
        <f t="shared" ref="L195:L258" si="11">+IF(E195="Haber",D195,"")</f>
        <v/>
      </c>
      <c r="M195" t="str">
        <f>_xlfn.XLOOKUP(Table3[[#This Row],[Cuenta]],Estructura_Balance[Nombre Cuenta ()],Estructura_Balance[Grupo],"",0)</f>
        <v/>
      </c>
      <c r="N195" t="str">
        <f>_xlfn.XLOOKUP(Table3[[#This Row],[Cuenta]],Estructura_Balance[Nombre Cuenta ()],Estructura_Balance[Nivel 1],"",0)</f>
        <v/>
      </c>
      <c r="O195" t="str">
        <f>_xlfn.XLOOKUP(Table3[[#This Row],[Cuenta]],Estructura_Balance[Nombre Cuenta ()],Estructura_Balance[Nivel 2],"",0)</f>
        <v/>
      </c>
      <c r="P195" t="str">
        <f>_xlfn.XLOOKUP(Table3[[#This Row],[Cuenta]],Estructura_Balance[Nombre Cuenta ()],Estructura_Balance[Nivel 3],"",0)</f>
        <v/>
      </c>
      <c r="Q195" t="str">
        <f>_xlfn.XLOOKUP(Table3[[#This Row],[Cuenta]],Estructura_Balance[Nombre Cuenta ()],Estructura_Balance[Nivel 4],"",0)</f>
        <v/>
      </c>
      <c r="R195" t="str">
        <f>_xlfn.XLOOKUP(Table3[[#This Row],[Cuenta]],Table8[Nombre Cuenta ()],Table8[Nivel 1],"",0)</f>
        <v/>
      </c>
      <c r="S195" t="str">
        <f>_xlfn.XLOOKUP(Table3[[#This Row],[Cuenta]],Table8[Nombre Cuenta ()],Table8[Nivel 2],"",0)</f>
        <v/>
      </c>
      <c r="T195" t="str">
        <f>_xlfn.XLOOKUP(Table3[[#This Row],[Cuenta]],Table8[Nombre Cuenta ()],Table8[Nivel 3],"",0)</f>
        <v/>
      </c>
      <c r="U195">
        <v>394</v>
      </c>
      <c r="V195" t="str">
        <f>_xlfn.XLOOKUP(Table3[[#This Row],[Cuenta]],Estructura_Balance[Nombre Cuenta ()],Estructura_Balance[Niveles:2],"",0)</f>
        <v/>
      </c>
      <c r="W195" t="str">
        <f>_xlfn.XLOOKUP(Table3[[#This Row],[Cuenta]],Estructura_Balance[Nombre Cuenta ()],Estructura_Balance[Niveles:3],"",0)</f>
        <v/>
      </c>
      <c r="X195" t="str">
        <f>_xlfn.XLOOKUP(Table3[[#This Row],[Cuenta]],Estructura_Balance[Nombre Cuenta ()],Estructura_Balance[Grupos],"Grupo 1",0)</f>
        <v>Grupo 1</v>
      </c>
      <c r="Y195" t="str">
        <f>+Table3[[#This Row],[BS_Nivel_1]]</f>
        <v/>
      </c>
    </row>
    <row r="196" spans="1:25">
      <c r="A196">
        <f>+'Libro Diario'!F289</f>
        <v>0</v>
      </c>
      <c r="B196" s="144">
        <f>VALUE(IF(+'Libro Diario'!G289="","01/01/2025",+'Libro Diario'!G289))</f>
        <v>45658</v>
      </c>
      <c r="C196">
        <f>IF(ISNUMBER(+IF(IFERROR(VALUE(MID('Libro Diario'!C289,1,4)),0)&lt;&gt;0,'Libro Diario'!C289,0))=FALSE,'Libro Diario'!C289,0)</f>
        <v>0</v>
      </c>
      <c r="D196" s="145" t="str">
        <f>+'Libro Diario'!B289</f>
        <v>DEBE</v>
      </c>
      <c r="E196" s="139" t="s">
        <v>445</v>
      </c>
      <c r="F196" t="str">
        <f t="shared" si="9"/>
        <v>Sin Mov.</v>
      </c>
      <c r="G196" t="str">
        <f>IF(+'Libro Diario'!H289=0,"",+'Libro Diario'!H289)</f>
        <v/>
      </c>
      <c r="H196" t="str">
        <f>IF(+'Libro Diario'!I289=0,"",+'Libro Diario'!I289)</f>
        <v/>
      </c>
      <c r="I196" t="str">
        <f>+IF(Table3[[#This Row],[Tipo Movimiento]]="Estructura Balance y PyG","Excluir","Incluir")</f>
        <v>Incluir</v>
      </c>
      <c r="J196" s="153">
        <f>+IF(Table3[[#This Row],[Sin cuenta]]="Con Mov.",(IF(Table3[[#This Row],[Movimiento]]="Debe",Table3[[#This Row],[Importe]],IF(Table3[[#This Row],[Movimiento]]="Haber",Table3[[#This Row],[Importe]]*-1,0))),0)</f>
        <v>0</v>
      </c>
      <c r="K196" s="145" t="str">
        <f t="shared" si="10"/>
        <v>DEBE</v>
      </c>
      <c r="L196" s="145" t="str">
        <f t="shared" si="11"/>
        <v/>
      </c>
      <c r="M196" t="str">
        <f>_xlfn.XLOOKUP(Table3[[#This Row],[Cuenta]],Estructura_Balance[Nombre Cuenta ()],Estructura_Balance[Grupo],"",0)</f>
        <v/>
      </c>
      <c r="N196" t="str">
        <f>_xlfn.XLOOKUP(Table3[[#This Row],[Cuenta]],Estructura_Balance[Nombre Cuenta ()],Estructura_Balance[Nivel 1],"",0)</f>
        <v/>
      </c>
      <c r="O196" t="str">
        <f>_xlfn.XLOOKUP(Table3[[#This Row],[Cuenta]],Estructura_Balance[Nombre Cuenta ()],Estructura_Balance[Nivel 2],"",0)</f>
        <v/>
      </c>
      <c r="P196" t="str">
        <f>_xlfn.XLOOKUP(Table3[[#This Row],[Cuenta]],Estructura_Balance[Nombre Cuenta ()],Estructura_Balance[Nivel 3],"",0)</f>
        <v/>
      </c>
      <c r="Q196" t="str">
        <f>_xlfn.XLOOKUP(Table3[[#This Row],[Cuenta]],Estructura_Balance[Nombre Cuenta ()],Estructura_Balance[Nivel 4],"",0)</f>
        <v/>
      </c>
      <c r="R196" t="str">
        <f>_xlfn.XLOOKUP(Table3[[#This Row],[Cuenta]],Table8[Nombre Cuenta ()],Table8[Nivel 1],"",0)</f>
        <v/>
      </c>
      <c r="S196" t="str">
        <f>_xlfn.XLOOKUP(Table3[[#This Row],[Cuenta]],Table8[Nombre Cuenta ()],Table8[Nivel 2],"",0)</f>
        <v/>
      </c>
      <c r="T196" t="str">
        <f>_xlfn.XLOOKUP(Table3[[#This Row],[Cuenta]],Table8[Nombre Cuenta ()],Table8[Nivel 3],"",0)</f>
        <v/>
      </c>
      <c r="U196">
        <v>397</v>
      </c>
      <c r="V196" t="str">
        <f>_xlfn.XLOOKUP(Table3[[#This Row],[Cuenta]],Estructura_Balance[Nombre Cuenta ()],Estructura_Balance[Niveles:2],"",0)</f>
        <v/>
      </c>
      <c r="W196" t="str">
        <f>_xlfn.XLOOKUP(Table3[[#This Row],[Cuenta]],Estructura_Balance[Nombre Cuenta ()],Estructura_Balance[Niveles:3],"",0)</f>
        <v/>
      </c>
      <c r="X196" t="str">
        <f>_xlfn.XLOOKUP(Table3[[#This Row],[Cuenta]],Estructura_Balance[Nombre Cuenta ()],Estructura_Balance[Grupos],"Grupo 1",0)</f>
        <v>Grupo 1</v>
      </c>
      <c r="Y196" t="str">
        <f>+Table3[[#This Row],[BS_Nivel_1]]</f>
        <v/>
      </c>
    </row>
    <row r="197" spans="1:25">
      <c r="A197">
        <f>+'Libro Diario'!F290</f>
        <v>0</v>
      </c>
      <c r="B197" s="144">
        <f>VALUE(IF(+'Libro Diario'!G290="","01/01/2025",+'Libro Diario'!G290))</f>
        <v>45658</v>
      </c>
      <c r="C197">
        <f>IF(ISNUMBER(+IF(IFERROR(VALUE(MID('Libro Diario'!C290,1,4)),0)&lt;&gt;0,'Libro Diario'!C290,0))=FALSE,'Libro Diario'!C290,0)</f>
        <v>0</v>
      </c>
      <c r="D197" s="145">
        <f>+'Libro Diario'!B290</f>
        <v>0</v>
      </c>
      <c r="E197" s="139" t="s">
        <v>445</v>
      </c>
      <c r="F197" t="str">
        <f t="shared" si="9"/>
        <v>Sin Mov.</v>
      </c>
      <c r="G197" t="str">
        <f>IF(+'Libro Diario'!H290=0,"",+'Libro Diario'!H290)</f>
        <v/>
      </c>
      <c r="H197" t="str">
        <f>IF(+'Libro Diario'!I290=0,"",+'Libro Diario'!I290)</f>
        <v/>
      </c>
      <c r="I197" t="str">
        <f>+IF(Table3[[#This Row],[Tipo Movimiento]]="Estructura Balance y PyG","Excluir","Incluir")</f>
        <v>Incluir</v>
      </c>
      <c r="J197" s="153">
        <f>+IF(Table3[[#This Row],[Sin cuenta]]="Con Mov.",(IF(Table3[[#This Row],[Movimiento]]="Debe",Table3[[#This Row],[Importe]],IF(Table3[[#This Row],[Movimiento]]="Haber",Table3[[#This Row],[Importe]]*-1,0))),0)</f>
        <v>0</v>
      </c>
      <c r="K197" s="145">
        <f t="shared" si="10"/>
        <v>0</v>
      </c>
      <c r="L197" s="145" t="str">
        <f t="shared" si="11"/>
        <v/>
      </c>
      <c r="M197" t="str">
        <f>_xlfn.XLOOKUP(Table3[[#This Row],[Cuenta]],Estructura_Balance[Nombre Cuenta ()],Estructura_Balance[Grupo],"",0)</f>
        <v/>
      </c>
      <c r="N197" t="str">
        <f>_xlfn.XLOOKUP(Table3[[#This Row],[Cuenta]],Estructura_Balance[Nombre Cuenta ()],Estructura_Balance[Nivel 1],"",0)</f>
        <v/>
      </c>
      <c r="O197" t="str">
        <f>_xlfn.XLOOKUP(Table3[[#This Row],[Cuenta]],Estructura_Balance[Nombre Cuenta ()],Estructura_Balance[Nivel 2],"",0)</f>
        <v/>
      </c>
      <c r="P197" t="str">
        <f>_xlfn.XLOOKUP(Table3[[#This Row],[Cuenta]],Estructura_Balance[Nombre Cuenta ()],Estructura_Balance[Nivel 3],"",0)</f>
        <v/>
      </c>
      <c r="Q197" t="str">
        <f>_xlfn.XLOOKUP(Table3[[#This Row],[Cuenta]],Estructura_Balance[Nombre Cuenta ()],Estructura_Balance[Nivel 4],"",0)</f>
        <v/>
      </c>
      <c r="R197" t="str">
        <f>_xlfn.XLOOKUP(Table3[[#This Row],[Cuenta]],Table8[Nombre Cuenta ()],Table8[Nivel 1],"",0)</f>
        <v/>
      </c>
      <c r="S197" t="str">
        <f>_xlfn.XLOOKUP(Table3[[#This Row],[Cuenta]],Table8[Nombre Cuenta ()],Table8[Nivel 2],"",0)</f>
        <v/>
      </c>
      <c r="T197" t="str">
        <f>_xlfn.XLOOKUP(Table3[[#This Row],[Cuenta]],Table8[Nombre Cuenta ()],Table8[Nivel 3],"",0)</f>
        <v/>
      </c>
      <c r="U197">
        <v>398</v>
      </c>
      <c r="V197" t="str">
        <f>_xlfn.XLOOKUP(Table3[[#This Row],[Cuenta]],Estructura_Balance[Nombre Cuenta ()],Estructura_Balance[Niveles:2],"",0)</f>
        <v/>
      </c>
      <c r="W197" t="str">
        <f>_xlfn.XLOOKUP(Table3[[#This Row],[Cuenta]],Estructura_Balance[Nombre Cuenta ()],Estructura_Balance[Niveles:3],"",0)</f>
        <v/>
      </c>
      <c r="X197" t="str">
        <f>_xlfn.XLOOKUP(Table3[[#This Row],[Cuenta]],Estructura_Balance[Nombre Cuenta ()],Estructura_Balance[Grupos],"Grupo 1",0)</f>
        <v>Grupo 1</v>
      </c>
      <c r="Y197" t="str">
        <f>+Table3[[#This Row],[BS_Nivel_1]]</f>
        <v/>
      </c>
    </row>
    <row r="198" spans="1:25">
      <c r="A198">
        <f>+'Libro Diario'!F293</f>
        <v>0</v>
      </c>
      <c r="B198" s="144">
        <f>VALUE(IF(+'Libro Diario'!G293="","01/01/2025",+'Libro Diario'!G293))</f>
        <v>45658</v>
      </c>
      <c r="C198">
        <f>IF(ISNUMBER(+IF(IFERROR(VALUE(MID('Libro Diario'!C293,1,4)),0)&lt;&gt;0,'Libro Diario'!C293,0))=FALSE,'Libro Diario'!C293,0)</f>
        <v>0</v>
      </c>
      <c r="D198" s="145" t="str">
        <f>+'Libro Diario'!B293</f>
        <v>Operaciones del Ejercicio</v>
      </c>
      <c r="E198" s="139" t="s">
        <v>445</v>
      </c>
      <c r="F198" t="str">
        <f t="shared" si="9"/>
        <v>Sin Mov.</v>
      </c>
      <c r="G198" t="str">
        <f>IF(+'Libro Diario'!H293=0,"",+'Libro Diario'!H293)</f>
        <v/>
      </c>
      <c r="H198" t="str">
        <f>IF(+'Libro Diario'!I293=0,"",+'Libro Diario'!I293)</f>
        <v/>
      </c>
      <c r="I198" t="str">
        <f>+IF(Table3[[#This Row],[Tipo Movimiento]]="Estructura Balance y PyG","Excluir","Incluir")</f>
        <v>Incluir</v>
      </c>
      <c r="J198" s="153">
        <f>+IF(Table3[[#This Row],[Sin cuenta]]="Con Mov.",(IF(Table3[[#This Row],[Movimiento]]="Debe",Table3[[#This Row],[Importe]],IF(Table3[[#This Row],[Movimiento]]="Haber",Table3[[#This Row],[Importe]]*-1,0))),0)</f>
        <v>0</v>
      </c>
      <c r="K198" s="145" t="str">
        <f t="shared" si="10"/>
        <v>Operaciones del Ejercicio</v>
      </c>
      <c r="L198" s="145" t="str">
        <f t="shared" si="11"/>
        <v/>
      </c>
      <c r="M198" t="str">
        <f>_xlfn.XLOOKUP(Table3[[#This Row],[Cuenta]],Estructura_Balance[Nombre Cuenta ()],Estructura_Balance[Grupo],"",0)</f>
        <v/>
      </c>
      <c r="N198" t="str">
        <f>_xlfn.XLOOKUP(Table3[[#This Row],[Cuenta]],Estructura_Balance[Nombre Cuenta ()],Estructura_Balance[Nivel 1],"",0)</f>
        <v/>
      </c>
      <c r="O198" t="str">
        <f>_xlfn.XLOOKUP(Table3[[#This Row],[Cuenta]],Estructura_Balance[Nombre Cuenta ()],Estructura_Balance[Nivel 2],"",0)</f>
        <v/>
      </c>
      <c r="P198" t="str">
        <f>_xlfn.XLOOKUP(Table3[[#This Row],[Cuenta]],Estructura_Balance[Nombre Cuenta ()],Estructura_Balance[Nivel 3],"",0)</f>
        <v/>
      </c>
      <c r="Q198" t="str">
        <f>_xlfn.XLOOKUP(Table3[[#This Row],[Cuenta]],Estructura_Balance[Nombre Cuenta ()],Estructura_Balance[Nivel 4],"",0)</f>
        <v/>
      </c>
      <c r="R198" t="str">
        <f>_xlfn.XLOOKUP(Table3[[#This Row],[Cuenta]],Table8[Nombre Cuenta ()],Table8[Nivel 1],"",0)</f>
        <v/>
      </c>
      <c r="S198" t="str">
        <f>_xlfn.XLOOKUP(Table3[[#This Row],[Cuenta]],Table8[Nombre Cuenta ()],Table8[Nivel 2],"",0)</f>
        <v/>
      </c>
      <c r="T198" t="str">
        <f>_xlfn.XLOOKUP(Table3[[#This Row],[Cuenta]],Table8[Nombre Cuenta ()],Table8[Nivel 3],"",0)</f>
        <v/>
      </c>
      <c r="U198">
        <v>401</v>
      </c>
      <c r="V198" t="str">
        <f>_xlfn.XLOOKUP(Table3[[#This Row],[Cuenta]],Estructura_Balance[Nombre Cuenta ()],Estructura_Balance[Niveles:2],"",0)</f>
        <v/>
      </c>
      <c r="W198" t="str">
        <f>_xlfn.XLOOKUP(Table3[[#This Row],[Cuenta]],Estructura_Balance[Nombre Cuenta ()],Estructura_Balance[Niveles:3],"",0)</f>
        <v/>
      </c>
      <c r="X198" t="str">
        <f>_xlfn.XLOOKUP(Table3[[#This Row],[Cuenta]],Estructura_Balance[Nombre Cuenta ()],Estructura_Balance[Grupos],"Grupo 1",0)</f>
        <v>Grupo 1</v>
      </c>
      <c r="Y198" t="str">
        <f>+Table3[[#This Row],[BS_Nivel_1]]</f>
        <v/>
      </c>
    </row>
    <row r="199" spans="1:25">
      <c r="A199">
        <f>+'Libro Diario'!F294</f>
        <v>0</v>
      </c>
      <c r="B199" s="144">
        <f>VALUE(IF(+'Libro Diario'!G294="","01/01/2025",+'Libro Diario'!G294))</f>
        <v>45658</v>
      </c>
      <c r="C199">
        <f>IF(ISNUMBER(+IF(IFERROR(VALUE(MID('Libro Diario'!C294,1,4)),0)&lt;&gt;0,'Libro Diario'!C294,0))=FALSE,'Libro Diario'!C294,0)</f>
        <v>0</v>
      </c>
      <c r="D199" s="145" t="str">
        <f>+'Libro Diario'!B294</f>
        <v>Asiento Cuadrado</v>
      </c>
      <c r="E199" s="139" t="s">
        <v>445</v>
      </c>
      <c r="F199" t="str">
        <f t="shared" si="9"/>
        <v>Sin Mov.</v>
      </c>
      <c r="G199" t="str">
        <f>IF(+'Libro Diario'!H294=0,"",+'Libro Diario'!H294)</f>
        <v/>
      </c>
      <c r="H199" t="str">
        <f>IF(+'Libro Diario'!I294=0,"",+'Libro Diario'!I294)</f>
        <v/>
      </c>
      <c r="I199" t="str">
        <f>+IF(Table3[[#This Row],[Tipo Movimiento]]="Estructura Balance y PyG","Excluir","Incluir")</f>
        <v>Incluir</v>
      </c>
      <c r="J199" s="153">
        <f>+IF(Table3[[#This Row],[Sin cuenta]]="Con Mov.",(IF(Table3[[#This Row],[Movimiento]]="Debe",Table3[[#This Row],[Importe]],IF(Table3[[#This Row],[Movimiento]]="Haber",Table3[[#This Row],[Importe]]*-1,0))),0)</f>
        <v>0</v>
      </c>
      <c r="K199" s="145" t="str">
        <f t="shared" si="10"/>
        <v>Asiento Cuadrado</v>
      </c>
      <c r="L199" s="145" t="str">
        <f t="shared" si="11"/>
        <v/>
      </c>
      <c r="M199" t="str">
        <f>_xlfn.XLOOKUP(Table3[[#This Row],[Cuenta]],Estructura_Balance[Nombre Cuenta ()],Estructura_Balance[Grupo],"",0)</f>
        <v/>
      </c>
      <c r="N199" t="str">
        <f>_xlfn.XLOOKUP(Table3[[#This Row],[Cuenta]],Estructura_Balance[Nombre Cuenta ()],Estructura_Balance[Nivel 1],"",0)</f>
        <v/>
      </c>
      <c r="O199" t="str">
        <f>_xlfn.XLOOKUP(Table3[[#This Row],[Cuenta]],Estructura_Balance[Nombre Cuenta ()],Estructura_Balance[Nivel 2],"",0)</f>
        <v/>
      </c>
      <c r="P199" t="str">
        <f>_xlfn.XLOOKUP(Table3[[#This Row],[Cuenta]],Estructura_Balance[Nombre Cuenta ()],Estructura_Balance[Nivel 3],"",0)</f>
        <v/>
      </c>
      <c r="Q199" t="str">
        <f>_xlfn.XLOOKUP(Table3[[#This Row],[Cuenta]],Estructura_Balance[Nombre Cuenta ()],Estructura_Balance[Nivel 4],"",0)</f>
        <v/>
      </c>
      <c r="R199" t="str">
        <f>_xlfn.XLOOKUP(Table3[[#This Row],[Cuenta]],Table8[Nombre Cuenta ()],Table8[Nivel 1],"",0)</f>
        <v/>
      </c>
      <c r="S199" t="str">
        <f>_xlfn.XLOOKUP(Table3[[#This Row],[Cuenta]],Table8[Nombre Cuenta ()],Table8[Nivel 2],"",0)</f>
        <v/>
      </c>
      <c r="T199" t="str">
        <f>_xlfn.XLOOKUP(Table3[[#This Row],[Cuenta]],Table8[Nombre Cuenta ()],Table8[Nivel 3],"",0)</f>
        <v/>
      </c>
      <c r="U199">
        <v>404</v>
      </c>
      <c r="V199" t="str">
        <f>_xlfn.XLOOKUP(Table3[[#This Row],[Cuenta]],Estructura_Balance[Nombre Cuenta ()],Estructura_Balance[Niveles:2],"",0)</f>
        <v/>
      </c>
      <c r="W199" t="str">
        <f>_xlfn.XLOOKUP(Table3[[#This Row],[Cuenta]],Estructura_Balance[Nombre Cuenta ()],Estructura_Balance[Niveles:3],"",0)</f>
        <v/>
      </c>
      <c r="X199" t="str">
        <f>_xlfn.XLOOKUP(Table3[[#This Row],[Cuenta]],Estructura_Balance[Nombre Cuenta ()],Estructura_Balance[Grupos],"Grupo 1",0)</f>
        <v>Grupo 1</v>
      </c>
      <c r="Y199" t="str">
        <f>+Table3[[#This Row],[BS_Nivel_1]]</f>
        <v/>
      </c>
    </row>
    <row r="200" spans="1:25">
      <c r="A200">
        <f>+'Libro Diario'!F295</f>
        <v>0</v>
      </c>
      <c r="B200" s="144">
        <f>VALUE(IF(+'Libro Diario'!G295="","01/01/2025",+'Libro Diario'!G295))</f>
        <v>45658</v>
      </c>
      <c r="C200">
        <f>IF(ISNUMBER(+IF(IFERROR(VALUE(MID('Libro Diario'!C295,1,4)),0)&lt;&gt;0,'Libro Diario'!C295,0))=FALSE,'Libro Diario'!C295,0)</f>
        <v>0</v>
      </c>
      <c r="D200" s="145">
        <f>+'Libro Diario'!B295</f>
        <v>0</v>
      </c>
      <c r="E200" s="139" t="s">
        <v>445</v>
      </c>
      <c r="F200" t="str">
        <f t="shared" si="9"/>
        <v>Sin Mov.</v>
      </c>
      <c r="G200" t="str">
        <f>IF(+'Libro Diario'!H295=0,"",+'Libro Diario'!H295)</f>
        <v/>
      </c>
      <c r="H200" t="str">
        <f>IF(+'Libro Diario'!I295=0,"",+'Libro Diario'!I295)</f>
        <v/>
      </c>
      <c r="I200" t="str">
        <f>+IF(Table3[[#This Row],[Tipo Movimiento]]="Estructura Balance y PyG","Excluir","Incluir")</f>
        <v>Incluir</v>
      </c>
      <c r="J200" s="153">
        <f>+IF(Table3[[#This Row],[Sin cuenta]]="Con Mov.",(IF(Table3[[#This Row],[Movimiento]]="Debe",Table3[[#This Row],[Importe]],IF(Table3[[#This Row],[Movimiento]]="Haber",Table3[[#This Row],[Importe]]*-1,0))),0)</f>
        <v>0</v>
      </c>
      <c r="K200" s="145">
        <f t="shared" si="10"/>
        <v>0</v>
      </c>
      <c r="L200" s="145" t="str">
        <f t="shared" si="11"/>
        <v/>
      </c>
      <c r="M200" t="str">
        <f>_xlfn.XLOOKUP(Table3[[#This Row],[Cuenta]],Estructura_Balance[Nombre Cuenta ()],Estructura_Balance[Grupo],"",0)</f>
        <v/>
      </c>
      <c r="N200" t="str">
        <f>_xlfn.XLOOKUP(Table3[[#This Row],[Cuenta]],Estructura_Balance[Nombre Cuenta ()],Estructura_Balance[Nivel 1],"",0)</f>
        <v/>
      </c>
      <c r="O200" t="str">
        <f>_xlfn.XLOOKUP(Table3[[#This Row],[Cuenta]],Estructura_Balance[Nombre Cuenta ()],Estructura_Balance[Nivel 2],"",0)</f>
        <v/>
      </c>
      <c r="P200" t="str">
        <f>_xlfn.XLOOKUP(Table3[[#This Row],[Cuenta]],Estructura_Balance[Nombre Cuenta ()],Estructura_Balance[Nivel 3],"",0)</f>
        <v/>
      </c>
      <c r="Q200" t="str">
        <f>_xlfn.XLOOKUP(Table3[[#This Row],[Cuenta]],Estructura_Balance[Nombre Cuenta ()],Estructura_Balance[Nivel 4],"",0)</f>
        <v/>
      </c>
      <c r="R200" t="str">
        <f>_xlfn.XLOOKUP(Table3[[#This Row],[Cuenta]],Table8[Nombre Cuenta ()],Table8[Nivel 1],"",0)</f>
        <v/>
      </c>
      <c r="S200" t="str">
        <f>_xlfn.XLOOKUP(Table3[[#This Row],[Cuenta]],Table8[Nombre Cuenta ()],Table8[Nivel 2],"",0)</f>
        <v/>
      </c>
      <c r="T200" t="str">
        <f>_xlfn.XLOOKUP(Table3[[#This Row],[Cuenta]],Table8[Nombre Cuenta ()],Table8[Nivel 3],"",0)</f>
        <v/>
      </c>
      <c r="U200">
        <v>405</v>
      </c>
      <c r="V200" t="str">
        <f>_xlfn.XLOOKUP(Table3[[#This Row],[Cuenta]],Estructura_Balance[Nombre Cuenta ()],Estructura_Balance[Niveles:2],"",0)</f>
        <v/>
      </c>
      <c r="W200" t="str">
        <f>_xlfn.XLOOKUP(Table3[[#This Row],[Cuenta]],Estructura_Balance[Nombre Cuenta ()],Estructura_Balance[Niveles:3],"",0)</f>
        <v/>
      </c>
      <c r="X200" t="str">
        <f>_xlfn.XLOOKUP(Table3[[#This Row],[Cuenta]],Estructura_Balance[Nombre Cuenta ()],Estructura_Balance[Grupos],"Grupo 1",0)</f>
        <v>Grupo 1</v>
      </c>
      <c r="Y200" t="str">
        <f>+Table3[[#This Row],[BS_Nivel_1]]</f>
        <v/>
      </c>
    </row>
    <row r="201" spans="1:25">
      <c r="A201">
        <f>+'Libro Diario'!F296</f>
        <v>0</v>
      </c>
      <c r="B201" s="144">
        <f>VALUE(IF(+'Libro Diario'!G296="","01/01/2025",+'Libro Diario'!G296))</f>
        <v>45658</v>
      </c>
      <c r="C201">
        <f>IF(ISNUMBER(+IF(IFERROR(VALUE(MID('Libro Diario'!C296,1,4)),0)&lt;&gt;0,'Libro Diario'!C296,0))=FALSE,'Libro Diario'!C296,0)</f>
        <v>0</v>
      </c>
      <c r="D201" s="145" t="str">
        <f>+'Libro Diario'!B296</f>
        <v>DEBE</v>
      </c>
      <c r="E201" s="139" t="s">
        <v>445</v>
      </c>
      <c r="F201" t="str">
        <f t="shared" si="9"/>
        <v>Sin Mov.</v>
      </c>
      <c r="G201" t="str">
        <f>IF(+'Libro Diario'!H296=0,"",+'Libro Diario'!H296)</f>
        <v/>
      </c>
      <c r="H201" t="str">
        <f>IF(+'Libro Diario'!I296=0,"",+'Libro Diario'!I296)</f>
        <v/>
      </c>
      <c r="I201" t="str">
        <f>+IF(Table3[[#This Row],[Tipo Movimiento]]="Estructura Balance y PyG","Excluir","Incluir")</f>
        <v>Incluir</v>
      </c>
      <c r="J201" s="153">
        <f>+IF(Table3[[#This Row],[Sin cuenta]]="Con Mov.",(IF(Table3[[#This Row],[Movimiento]]="Debe",Table3[[#This Row],[Importe]],IF(Table3[[#This Row],[Movimiento]]="Haber",Table3[[#This Row],[Importe]]*-1,0))),0)</f>
        <v>0</v>
      </c>
      <c r="K201" s="145" t="str">
        <f t="shared" si="10"/>
        <v>DEBE</v>
      </c>
      <c r="L201" s="145" t="str">
        <f t="shared" si="11"/>
        <v/>
      </c>
      <c r="M201" t="str">
        <f>_xlfn.XLOOKUP(Table3[[#This Row],[Cuenta]],Estructura_Balance[Nombre Cuenta ()],Estructura_Balance[Grupo],"",0)</f>
        <v/>
      </c>
      <c r="N201" t="str">
        <f>_xlfn.XLOOKUP(Table3[[#This Row],[Cuenta]],Estructura_Balance[Nombre Cuenta ()],Estructura_Balance[Nivel 1],"",0)</f>
        <v/>
      </c>
      <c r="O201" t="str">
        <f>_xlfn.XLOOKUP(Table3[[#This Row],[Cuenta]],Estructura_Balance[Nombre Cuenta ()],Estructura_Balance[Nivel 2],"",0)</f>
        <v/>
      </c>
      <c r="P201" t="str">
        <f>_xlfn.XLOOKUP(Table3[[#This Row],[Cuenta]],Estructura_Balance[Nombre Cuenta ()],Estructura_Balance[Nivel 3],"",0)</f>
        <v/>
      </c>
      <c r="Q201" t="str">
        <f>_xlfn.XLOOKUP(Table3[[#This Row],[Cuenta]],Estructura_Balance[Nombre Cuenta ()],Estructura_Balance[Nivel 4],"",0)</f>
        <v/>
      </c>
      <c r="R201" t="str">
        <f>_xlfn.XLOOKUP(Table3[[#This Row],[Cuenta]],Table8[Nombre Cuenta ()],Table8[Nivel 1],"",0)</f>
        <v/>
      </c>
      <c r="S201" t="str">
        <f>_xlfn.XLOOKUP(Table3[[#This Row],[Cuenta]],Table8[Nombre Cuenta ()],Table8[Nivel 2],"",0)</f>
        <v/>
      </c>
      <c r="T201" t="str">
        <f>_xlfn.XLOOKUP(Table3[[#This Row],[Cuenta]],Table8[Nombre Cuenta ()],Table8[Nivel 3],"",0)</f>
        <v/>
      </c>
      <c r="U201">
        <v>406</v>
      </c>
      <c r="V201" t="str">
        <f>_xlfn.XLOOKUP(Table3[[#This Row],[Cuenta]],Estructura_Balance[Nombre Cuenta ()],Estructura_Balance[Niveles:2],"",0)</f>
        <v/>
      </c>
      <c r="W201" t="str">
        <f>_xlfn.XLOOKUP(Table3[[#This Row],[Cuenta]],Estructura_Balance[Nombre Cuenta ()],Estructura_Balance[Niveles:3],"",0)</f>
        <v/>
      </c>
      <c r="X201" t="str">
        <f>_xlfn.XLOOKUP(Table3[[#This Row],[Cuenta]],Estructura_Balance[Nombre Cuenta ()],Estructura_Balance[Grupos],"Grupo 1",0)</f>
        <v>Grupo 1</v>
      </c>
      <c r="Y201" t="str">
        <f>+Table3[[#This Row],[BS_Nivel_1]]</f>
        <v/>
      </c>
    </row>
    <row r="202" spans="1:25">
      <c r="A202">
        <f>+'Libro Diario'!F297</f>
        <v>0</v>
      </c>
      <c r="B202" s="144">
        <f>VALUE(IF(+'Libro Diario'!G297="","01/01/2025",+'Libro Diario'!G297))</f>
        <v>45658</v>
      </c>
      <c r="C202">
        <f>IF(ISNUMBER(+IF(IFERROR(VALUE(MID('Libro Diario'!C297,1,4)),0)&lt;&gt;0,'Libro Diario'!C297,0))=FALSE,'Libro Diario'!C297,0)</f>
        <v>0</v>
      </c>
      <c r="D202" s="145">
        <f>+'Libro Diario'!B297</f>
        <v>0</v>
      </c>
      <c r="E202" s="139" t="s">
        <v>445</v>
      </c>
      <c r="F202" t="str">
        <f t="shared" si="9"/>
        <v>Sin Mov.</v>
      </c>
      <c r="G202" t="str">
        <f>IF(+'Libro Diario'!H297=0,"",+'Libro Diario'!H297)</f>
        <v/>
      </c>
      <c r="H202" t="str">
        <f>IF(+'Libro Diario'!I297=0,"",+'Libro Diario'!I297)</f>
        <v/>
      </c>
      <c r="I202" t="str">
        <f>+IF(Table3[[#This Row],[Tipo Movimiento]]="Estructura Balance y PyG","Excluir","Incluir")</f>
        <v>Incluir</v>
      </c>
      <c r="J202" s="153">
        <f>+IF(Table3[[#This Row],[Sin cuenta]]="Con Mov.",(IF(Table3[[#This Row],[Movimiento]]="Debe",Table3[[#This Row],[Importe]],IF(Table3[[#This Row],[Movimiento]]="Haber",Table3[[#This Row],[Importe]]*-1,0))),0)</f>
        <v>0</v>
      </c>
      <c r="K202" s="145">
        <f t="shared" si="10"/>
        <v>0</v>
      </c>
      <c r="L202" s="145" t="str">
        <f t="shared" si="11"/>
        <v/>
      </c>
      <c r="M202" t="str">
        <f>_xlfn.XLOOKUP(Table3[[#This Row],[Cuenta]],Estructura_Balance[Nombre Cuenta ()],Estructura_Balance[Grupo],"",0)</f>
        <v/>
      </c>
      <c r="N202" t="str">
        <f>_xlfn.XLOOKUP(Table3[[#This Row],[Cuenta]],Estructura_Balance[Nombre Cuenta ()],Estructura_Balance[Nivel 1],"",0)</f>
        <v/>
      </c>
      <c r="O202" t="str">
        <f>_xlfn.XLOOKUP(Table3[[#This Row],[Cuenta]],Estructura_Balance[Nombre Cuenta ()],Estructura_Balance[Nivel 2],"",0)</f>
        <v/>
      </c>
      <c r="P202" t="str">
        <f>_xlfn.XLOOKUP(Table3[[#This Row],[Cuenta]],Estructura_Balance[Nombre Cuenta ()],Estructura_Balance[Nivel 3],"",0)</f>
        <v/>
      </c>
      <c r="Q202" t="str">
        <f>_xlfn.XLOOKUP(Table3[[#This Row],[Cuenta]],Estructura_Balance[Nombre Cuenta ()],Estructura_Balance[Nivel 4],"",0)</f>
        <v/>
      </c>
      <c r="R202" t="str">
        <f>_xlfn.XLOOKUP(Table3[[#This Row],[Cuenta]],Table8[Nombre Cuenta ()],Table8[Nivel 1],"",0)</f>
        <v/>
      </c>
      <c r="S202" t="str">
        <f>_xlfn.XLOOKUP(Table3[[#This Row],[Cuenta]],Table8[Nombre Cuenta ()],Table8[Nivel 2],"",0)</f>
        <v/>
      </c>
      <c r="T202" t="str">
        <f>_xlfn.XLOOKUP(Table3[[#This Row],[Cuenta]],Table8[Nombre Cuenta ()],Table8[Nivel 3],"",0)</f>
        <v/>
      </c>
      <c r="U202">
        <v>407</v>
      </c>
      <c r="V202" t="str">
        <f>_xlfn.XLOOKUP(Table3[[#This Row],[Cuenta]],Estructura_Balance[Nombre Cuenta ()],Estructura_Balance[Niveles:2],"",0)</f>
        <v/>
      </c>
      <c r="W202" t="str">
        <f>_xlfn.XLOOKUP(Table3[[#This Row],[Cuenta]],Estructura_Balance[Nombre Cuenta ()],Estructura_Balance[Niveles:3],"",0)</f>
        <v/>
      </c>
      <c r="X202" t="str">
        <f>_xlfn.XLOOKUP(Table3[[#This Row],[Cuenta]],Estructura_Balance[Nombre Cuenta ()],Estructura_Balance[Grupos],"Grupo 1",0)</f>
        <v>Grupo 1</v>
      </c>
      <c r="Y202" t="str">
        <f>+Table3[[#This Row],[BS_Nivel_1]]</f>
        <v/>
      </c>
    </row>
    <row r="203" spans="1:25">
      <c r="A203">
        <f>+'Libro Diario'!F300</f>
        <v>0</v>
      </c>
      <c r="B203" s="144">
        <f>VALUE(IF(+'Libro Diario'!G300="","01/01/2025",+'Libro Diario'!G300))</f>
        <v>45658</v>
      </c>
      <c r="C203">
        <f>IF(ISNUMBER(+IF(IFERROR(VALUE(MID('Libro Diario'!C300,1,4)),0)&lt;&gt;0,'Libro Diario'!C300,0))=FALSE,'Libro Diario'!C300,0)</f>
        <v>0</v>
      </c>
      <c r="D203" s="145" t="str">
        <f>+'Libro Diario'!B300</f>
        <v>Operaciones del Ejercicio</v>
      </c>
      <c r="E203" s="139" t="s">
        <v>445</v>
      </c>
      <c r="F203" t="str">
        <f t="shared" si="9"/>
        <v>Sin Mov.</v>
      </c>
      <c r="G203" t="str">
        <f>IF(+'Libro Diario'!H300=0,"",+'Libro Diario'!H300)</f>
        <v/>
      </c>
      <c r="H203" t="str">
        <f>IF(+'Libro Diario'!I300=0,"",+'Libro Diario'!I300)</f>
        <v/>
      </c>
      <c r="I203" t="str">
        <f>+IF(Table3[[#This Row],[Tipo Movimiento]]="Estructura Balance y PyG","Excluir","Incluir")</f>
        <v>Incluir</v>
      </c>
      <c r="J203" s="153">
        <f>+IF(Table3[[#This Row],[Sin cuenta]]="Con Mov.",(IF(Table3[[#This Row],[Movimiento]]="Debe",Table3[[#This Row],[Importe]],IF(Table3[[#This Row],[Movimiento]]="Haber",Table3[[#This Row],[Importe]]*-1,0))),0)</f>
        <v>0</v>
      </c>
      <c r="K203" s="145" t="str">
        <f t="shared" si="10"/>
        <v>Operaciones del Ejercicio</v>
      </c>
      <c r="L203" s="145" t="str">
        <f t="shared" si="11"/>
        <v/>
      </c>
      <c r="M203" t="str">
        <f>_xlfn.XLOOKUP(Table3[[#This Row],[Cuenta]],Estructura_Balance[Nombre Cuenta ()],Estructura_Balance[Grupo],"",0)</f>
        <v/>
      </c>
      <c r="N203" t="str">
        <f>_xlfn.XLOOKUP(Table3[[#This Row],[Cuenta]],Estructura_Balance[Nombre Cuenta ()],Estructura_Balance[Nivel 1],"",0)</f>
        <v/>
      </c>
      <c r="O203" t="str">
        <f>_xlfn.XLOOKUP(Table3[[#This Row],[Cuenta]],Estructura_Balance[Nombre Cuenta ()],Estructura_Balance[Nivel 2],"",0)</f>
        <v/>
      </c>
      <c r="P203" t="str">
        <f>_xlfn.XLOOKUP(Table3[[#This Row],[Cuenta]],Estructura_Balance[Nombre Cuenta ()],Estructura_Balance[Nivel 3],"",0)</f>
        <v/>
      </c>
      <c r="Q203" t="str">
        <f>_xlfn.XLOOKUP(Table3[[#This Row],[Cuenta]],Estructura_Balance[Nombre Cuenta ()],Estructura_Balance[Nivel 4],"",0)</f>
        <v/>
      </c>
      <c r="R203" t="str">
        <f>_xlfn.XLOOKUP(Table3[[#This Row],[Cuenta]],Table8[Nombre Cuenta ()],Table8[Nivel 1],"",0)</f>
        <v/>
      </c>
      <c r="S203" t="str">
        <f>_xlfn.XLOOKUP(Table3[[#This Row],[Cuenta]],Table8[Nombre Cuenta ()],Table8[Nivel 2],"",0)</f>
        <v/>
      </c>
      <c r="T203" t="str">
        <f>_xlfn.XLOOKUP(Table3[[#This Row],[Cuenta]],Table8[Nombre Cuenta ()],Table8[Nivel 3],"",0)</f>
        <v/>
      </c>
      <c r="U203">
        <v>412</v>
      </c>
      <c r="V203" t="str">
        <f>_xlfn.XLOOKUP(Table3[[#This Row],[Cuenta]],Estructura_Balance[Nombre Cuenta ()],Estructura_Balance[Niveles:2],"",0)</f>
        <v/>
      </c>
      <c r="W203" t="str">
        <f>_xlfn.XLOOKUP(Table3[[#This Row],[Cuenta]],Estructura_Balance[Nombre Cuenta ()],Estructura_Balance[Niveles:3],"",0)</f>
        <v/>
      </c>
      <c r="X203" t="str">
        <f>_xlfn.XLOOKUP(Table3[[#This Row],[Cuenta]],Estructura_Balance[Nombre Cuenta ()],Estructura_Balance[Grupos],"Grupo 1",0)</f>
        <v>Grupo 1</v>
      </c>
      <c r="Y203" t="str">
        <f>+Table3[[#This Row],[BS_Nivel_1]]</f>
        <v/>
      </c>
    </row>
    <row r="204" spans="1:25">
      <c r="A204">
        <f>+'Libro Diario'!F301</f>
        <v>0</v>
      </c>
      <c r="B204" s="144">
        <f>VALUE(IF(+'Libro Diario'!G301="","01/01/2025",+'Libro Diario'!G301))</f>
        <v>45658</v>
      </c>
      <c r="C204">
        <f>IF(ISNUMBER(+IF(IFERROR(VALUE(MID('Libro Diario'!C301,1,4)),0)&lt;&gt;0,'Libro Diario'!C301,0))=FALSE,'Libro Diario'!C301,0)</f>
        <v>0</v>
      </c>
      <c r="D204" s="145" t="str">
        <f>+'Libro Diario'!B301</f>
        <v>Asiento Cuadrado</v>
      </c>
      <c r="E204" s="139" t="s">
        <v>445</v>
      </c>
      <c r="F204" t="str">
        <f t="shared" si="9"/>
        <v>Sin Mov.</v>
      </c>
      <c r="G204" t="str">
        <f>IF(+'Libro Diario'!H301=0,"",+'Libro Diario'!H301)</f>
        <v/>
      </c>
      <c r="H204" t="str">
        <f>IF(+'Libro Diario'!I301=0,"",+'Libro Diario'!I301)</f>
        <v/>
      </c>
      <c r="I204" t="str">
        <f>+IF(Table3[[#This Row],[Tipo Movimiento]]="Estructura Balance y PyG","Excluir","Incluir")</f>
        <v>Incluir</v>
      </c>
      <c r="J204" s="153">
        <f>+IF(Table3[[#This Row],[Sin cuenta]]="Con Mov.",(IF(Table3[[#This Row],[Movimiento]]="Debe",Table3[[#This Row],[Importe]],IF(Table3[[#This Row],[Movimiento]]="Haber",Table3[[#This Row],[Importe]]*-1,0))),0)</f>
        <v>0</v>
      </c>
      <c r="K204" s="145" t="str">
        <f t="shared" si="10"/>
        <v>Asiento Cuadrado</v>
      </c>
      <c r="L204" s="145" t="str">
        <f t="shared" si="11"/>
        <v/>
      </c>
      <c r="M204" t="str">
        <f>_xlfn.XLOOKUP(Table3[[#This Row],[Cuenta]],Estructura_Balance[Nombre Cuenta ()],Estructura_Balance[Grupo],"",0)</f>
        <v/>
      </c>
      <c r="N204" t="str">
        <f>_xlfn.XLOOKUP(Table3[[#This Row],[Cuenta]],Estructura_Balance[Nombre Cuenta ()],Estructura_Balance[Nivel 1],"",0)</f>
        <v/>
      </c>
      <c r="O204" t="str">
        <f>_xlfn.XLOOKUP(Table3[[#This Row],[Cuenta]],Estructura_Balance[Nombre Cuenta ()],Estructura_Balance[Nivel 2],"",0)</f>
        <v/>
      </c>
      <c r="P204" t="str">
        <f>_xlfn.XLOOKUP(Table3[[#This Row],[Cuenta]],Estructura_Balance[Nombre Cuenta ()],Estructura_Balance[Nivel 3],"",0)</f>
        <v/>
      </c>
      <c r="Q204" t="str">
        <f>_xlfn.XLOOKUP(Table3[[#This Row],[Cuenta]],Estructura_Balance[Nombre Cuenta ()],Estructura_Balance[Nivel 4],"",0)</f>
        <v/>
      </c>
      <c r="R204" t="str">
        <f>_xlfn.XLOOKUP(Table3[[#This Row],[Cuenta]],Table8[Nombre Cuenta ()],Table8[Nivel 1],"",0)</f>
        <v/>
      </c>
      <c r="S204" t="str">
        <f>_xlfn.XLOOKUP(Table3[[#This Row],[Cuenta]],Table8[Nombre Cuenta ()],Table8[Nivel 2],"",0)</f>
        <v/>
      </c>
      <c r="T204" t="str">
        <f>_xlfn.XLOOKUP(Table3[[#This Row],[Cuenta]],Table8[Nombre Cuenta ()],Table8[Nivel 3],"",0)</f>
        <v/>
      </c>
      <c r="U204">
        <v>413</v>
      </c>
      <c r="V204" t="str">
        <f>_xlfn.XLOOKUP(Table3[[#This Row],[Cuenta]],Estructura_Balance[Nombre Cuenta ()],Estructura_Balance[Niveles:2],"",0)</f>
        <v/>
      </c>
      <c r="W204" t="str">
        <f>_xlfn.XLOOKUP(Table3[[#This Row],[Cuenta]],Estructura_Balance[Nombre Cuenta ()],Estructura_Balance[Niveles:3],"",0)</f>
        <v/>
      </c>
      <c r="X204" t="str">
        <f>_xlfn.XLOOKUP(Table3[[#This Row],[Cuenta]],Estructura_Balance[Nombre Cuenta ()],Estructura_Balance[Grupos],"Grupo 1",0)</f>
        <v>Grupo 1</v>
      </c>
      <c r="Y204" t="str">
        <f>+Table3[[#This Row],[BS_Nivel_1]]</f>
        <v/>
      </c>
    </row>
    <row r="205" spans="1:25">
      <c r="A205">
        <f>+'Libro Diario'!F302</f>
        <v>0</v>
      </c>
      <c r="B205" s="144">
        <f>VALUE(IF(+'Libro Diario'!G302="","01/01/2025",+'Libro Diario'!G302))</f>
        <v>45658</v>
      </c>
      <c r="C205">
        <f>IF(ISNUMBER(+IF(IFERROR(VALUE(MID('Libro Diario'!C302,1,4)),0)&lt;&gt;0,'Libro Diario'!C302,0))=FALSE,'Libro Diario'!C302,0)</f>
        <v>0</v>
      </c>
      <c r="D205" s="145">
        <f>+'Libro Diario'!B302</f>
        <v>0</v>
      </c>
      <c r="E205" s="139" t="s">
        <v>445</v>
      </c>
      <c r="F205" t="str">
        <f t="shared" si="9"/>
        <v>Sin Mov.</v>
      </c>
      <c r="G205" t="str">
        <f>IF(+'Libro Diario'!H302=0,"",+'Libro Diario'!H302)</f>
        <v/>
      </c>
      <c r="H205" t="str">
        <f>IF(+'Libro Diario'!I302=0,"",+'Libro Diario'!I302)</f>
        <v/>
      </c>
      <c r="I205" t="str">
        <f>+IF(Table3[[#This Row],[Tipo Movimiento]]="Estructura Balance y PyG","Excluir","Incluir")</f>
        <v>Incluir</v>
      </c>
      <c r="J205" s="153">
        <f>+IF(Table3[[#This Row],[Sin cuenta]]="Con Mov.",(IF(Table3[[#This Row],[Movimiento]]="Debe",Table3[[#This Row],[Importe]],IF(Table3[[#This Row],[Movimiento]]="Haber",Table3[[#This Row],[Importe]]*-1,0))),0)</f>
        <v>0</v>
      </c>
      <c r="K205" s="145">
        <f t="shared" si="10"/>
        <v>0</v>
      </c>
      <c r="L205" s="145" t="str">
        <f t="shared" si="11"/>
        <v/>
      </c>
      <c r="M205" t="str">
        <f>_xlfn.XLOOKUP(Table3[[#This Row],[Cuenta]],Estructura_Balance[Nombre Cuenta ()],Estructura_Balance[Grupo],"",0)</f>
        <v/>
      </c>
      <c r="N205" t="str">
        <f>_xlfn.XLOOKUP(Table3[[#This Row],[Cuenta]],Estructura_Balance[Nombre Cuenta ()],Estructura_Balance[Nivel 1],"",0)</f>
        <v/>
      </c>
      <c r="O205" t="str">
        <f>_xlfn.XLOOKUP(Table3[[#This Row],[Cuenta]],Estructura_Balance[Nombre Cuenta ()],Estructura_Balance[Nivel 2],"",0)</f>
        <v/>
      </c>
      <c r="P205" t="str">
        <f>_xlfn.XLOOKUP(Table3[[#This Row],[Cuenta]],Estructura_Balance[Nombre Cuenta ()],Estructura_Balance[Nivel 3],"",0)</f>
        <v/>
      </c>
      <c r="Q205" t="str">
        <f>_xlfn.XLOOKUP(Table3[[#This Row],[Cuenta]],Estructura_Balance[Nombre Cuenta ()],Estructura_Balance[Nivel 4],"",0)</f>
        <v/>
      </c>
      <c r="R205" t="str">
        <f>_xlfn.XLOOKUP(Table3[[#This Row],[Cuenta]],Table8[Nombre Cuenta ()],Table8[Nivel 1],"",0)</f>
        <v/>
      </c>
      <c r="S205" t="str">
        <f>_xlfn.XLOOKUP(Table3[[#This Row],[Cuenta]],Table8[Nombre Cuenta ()],Table8[Nivel 2],"",0)</f>
        <v/>
      </c>
      <c r="T205" t="str">
        <f>_xlfn.XLOOKUP(Table3[[#This Row],[Cuenta]],Table8[Nombre Cuenta ()],Table8[Nivel 3],"",0)</f>
        <v/>
      </c>
      <c r="U205">
        <v>414</v>
      </c>
      <c r="V205" t="str">
        <f>_xlfn.XLOOKUP(Table3[[#This Row],[Cuenta]],Estructura_Balance[Nombre Cuenta ()],Estructura_Balance[Niveles:2],"",0)</f>
        <v/>
      </c>
      <c r="W205" t="str">
        <f>_xlfn.XLOOKUP(Table3[[#This Row],[Cuenta]],Estructura_Balance[Nombre Cuenta ()],Estructura_Balance[Niveles:3],"",0)</f>
        <v/>
      </c>
      <c r="X205" t="str">
        <f>_xlfn.XLOOKUP(Table3[[#This Row],[Cuenta]],Estructura_Balance[Nombre Cuenta ()],Estructura_Balance[Grupos],"Grupo 1",0)</f>
        <v>Grupo 1</v>
      </c>
      <c r="Y205" t="str">
        <f>+Table3[[#This Row],[BS_Nivel_1]]</f>
        <v/>
      </c>
    </row>
    <row r="206" spans="1:25">
      <c r="A206">
        <f>+'Libro Diario'!F303</f>
        <v>0</v>
      </c>
      <c r="B206" s="144">
        <f>VALUE(IF(+'Libro Diario'!G303="","01/01/2025",+'Libro Diario'!G303))</f>
        <v>45658</v>
      </c>
      <c r="C206">
        <f>IF(ISNUMBER(+IF(IFERROR(VALUE(MID('Libro Diario'!C303,1,4)),0)&lt;&gt;0,'Libro Diario'!C303,0))=FALSE,'Libro Diario'!C303,0)</f>
        <v>0</v>
      </c>
      <c r="D206" s="145" t="str">
        <f>+'Libro Diario'!B303</f>
        <v>DEBE</v>
      </c>
      <c r="E206" s="139" t="s">
        <v>445</v>
      </c>
      <c r="F206" t="str">
        <f t="shared" si="9"/>
        <v>Sin Mov.</v>
      </c>
      <c r="G206" t="str">
        <f>IF(+'Libro Diario'!H303=0,"",+'Libro Diario'!H303)</f>
        <v/>
      </c>
      <c r="H206" t="str">
        <f>IF(+'Libro Diario'!I303=0,"",+'Libro Diario'!I303)</f>
        <v/>
      </c>
      <c r="I206" t="str">
        <f>+IF(Table3[[#This Row],[Tipo Movimiento]]="Estructura Balance y PyG","Excluir","Incluir")</f>
        <v>Incluir</v>
      </c>
      <c r="J206" s="153">
        <f>+IF(Table3[[#This Row],[Sin cuenta]]="Con Mov.",(IF(Table3[[#This Row],[Movimiento]]="Debe",Table3[[#This Row],[Importe]],IF(Table3[[#This Row],[Movimiento]]="Haber",Table3[[#This Row],[Importe]]*-1,0))),0)</f>
        <v>0</v>
      </c>
      <c r="K206" s="145" t="str">
        <f t="shared" si="10"/>
        <v>DEBE</v>
      </c>
      <c r="L206" s="145" t="str">
        <f t="shared" si="11"/>
        <v/>
      </c>
      <c r="M206" t="str">
        <f>_xlfn.XLOOKUP(Table3[[#This Row],[Cuenta]],Estructura_Balance[Nombre Cuenta ()],Estructura_Balance[Grupo],"",0)</f>
        <v/>
      </c>
      <c r="N206" t="str">
        <f>_xlfn.XLOOKUP(Table3[[#This Row],[Cuenta]],Estructura_Balance[Nombre Cuenta ()],Estructura_Balance[Nivel 1],"",0)</f>
        <v/>
      </c>
      <c r="O206" t="str">
        <f>_xlfn.XLOOKUP(Table3[[#This Row],[Cuenta]],Estructura_Balance[Nombre Cuenta ()],Estructura_Balance[Nivel 2],"",0)</f>
        <v/>
      </c>
      <c r="P206" t="str">
        <f>_xlfn.XLOOKUP(Table3[[#This Row],[Cuenta]],Estructura_Balance[Nombre Cuenta ()],Estructura_Balance[Nivel 3],"",0)</f>
        <v/>
      </c>
      <c r="Q206" t="str">
        <f>_xlfn.XLOOKUP(Table3[[#This Row],[Cuenta]],Estructura_Balance[Nombre Cuenta ()],Estructura_Balance[Nivel 4],"",0)</f>
        <v/>
      </c>
      <c r="R206" t="str">
        <f>_xlfn.XLOOKUP(Table3[[#This Row],[Cuenta]],Table8[Nombre Cuenta ()],Table8[Nivel 1],"",0)</f>
        <v/>
      </c>
      <c r="S206" t="str">
        <f>_xlfn.XLOOKUP(Table3[[#This Row],[Cuenta]],Table8[Nombre Cuenta ()],Table8[Nivel 2],"",0)</f>
        <v/>
      </c>
      <c r="T206" t="str">
        <f>_xlfn.XLOOKUP(Table3[[#This Row],[Cuenta]],Table8[Nombre Cuenta ()],Table8[Nivel 3],"",0)</f>
        <v/>
      </c>
      <c r="U206">
        <v>415</v>
      </c>
      <c r="V206" t="str">
        <f>_xlfn.XLOOKUP(Table3[[#This Row],[Cuenta]],Estructura_Balance[Nombre Cuenta ()],Estructura_Balance[Niveles:2],"",0)</f>
        <v/>
      </c>
      <c r="W206" t="str">
        <f>_xlfn.XLOOKUP(Table3[[#This Row],[Cuenta]],Estructura_Balance[Nombre Cuenta ()],Estructura_Balance[Niveles:3],"",0)</f>
        <v/>
      </c>
      <c r="X206" t="str">
        <f>_xlfn.XLOOKUP(Table3[[#This Row],[Cuenta]],Estructura_Balance[Nombre Cuenta ()],Estructura_Balance[Grupos],"Grupo 1",0)</f>
        <v>Grupo 1</v>
      </c>
      <c r="Y206" t="str">
        <f>+Table3[[#This Row],[BS_Nivel_1]]</f>
        <v/>
      </c>
    </row>
    <row r="207" spans="1:25">
      <c r="A207">
        <f>+'Libro Diario'!F304</f>
        <v>0</v>
      </c>
      <c r="B207" s="144">
        <f>VALUE(IF(+'Libro Diario'!G304="","01/01/2025",+'Libro Diario'!G304))</f>
        <v>45658</v>
      </c>
      <c r="C207">
        <f>IF(ISNUMBER(+IF(IFERROR(VALUE(MID('Libro Diario'!C304,1,4)),0)&lt;&gt;0,'Libro Diario'!C304,0))=FALSE,'Libro Diario'!C304,0)</f>
        <v>0</v>
      </c>
      <c r="D207" s="145">
        <f>+'Libro Diario'!B304</f>
        <v>0</v>
      </c>
      <c r="E207" s="139" t="s">
        <v>445</v>
      </c>
      <c r="F207" t="str">
        <f t="shared" si="9"/>
        <v>Sin Mov.</v>
      </c>
      <c r="G207" t="str">
        <f>IF(+'Libro Diario'!H304=0,"",+'Libro Diario'!H304)</f>
        <v/>
      </c>
      <c r="H207" t="str">
        <f>IF(+'Libro Diario'!I304=0,"",+'Libro Diario'!I304)</f>
        <v/>
      </c>
      <c r="I207" t="str">
        <f>+IF(Table3[[#This Row],[Tipo Movimiento]]="Estructura Balance y PyG","Excluir","Incluir")</f>
        <v>Incluir</v>
      </c>
      <c r="J207" s="153">
        <f>+IF(Table3[[#This Row],[Sin cuenta]]="Con Mov.",(IF(Table3[[#This Row],[Movimiento]]="Debe",Table3[[#This Row],[Importe]],IF(Table3[[#This Row],[Movimiento]]="Haber",Table3[[#This Row],[Importe]]*-1,0))),0)</f>
        <v>0</v>
      </c>
      <c r="K207" s="145">
        <f t="shared" si="10"/>
        <v>0</v>
      </c>
      <c r="L207" s="145" t="str">
        <f t="shared" si="11"/>
        <v/>
      </c>
      <c r="M207" t="str">
        <f>_xlfn.XLOOKUP(Table3[[#This Row],[Cuenta]],Estructura_Balance[Nombre Cuenta ()],Estructura_Balance[Grupo],"",0)</f>
        <v/>
      </c>
      <c r="N207" t="str">
        <f>_xlfn.XLOOKUP(Table3[[#This Row],[Cuenta]],Estructura_Balance[Nombre Cuenta ()],Estructura_Balance[Nivel 1],"",0)</f>
        <v/>
      </c>
      <c r="O207" t="str">
        <f>_xlfn.XLOOKUP(Table3[[#This Row],[Cuenta]],Estructura_Balance[Nombre Cuenta ()],Estructura_Balance[Nivel 2],"",0)</f>
        <v/>
      </c>
      <c r="P207" t="str">
        <f>_xlfn.XLOOKUP(Table3[[#This Row],[Cuenta]],Estructura_Balance[Nombre Cuenta ()],Estructura_Balance[Nivel 3],"",0)</f>
        <v/>
      </c>
      <c r="Q207" t="str">
        <f>_xlfn.XLOOKUP(Table3[[#This Row],[Cuenta]],Estructura_Balance[Nombre Cuenta ()],Estructura_Balance[Nivel 4],"",0)</f>
        <v/>
      </c>
      <c r="R207" t="str">
        <f>_xlfn.XLOOKUP(Table3[[#This Row],[Cuenta]],Table8[Nombre Cuenta ()],Table8[Nivel 1],"",0)</f>
        <v/>
      </c>
      <c r="S207" t="str">
        <f>_xlfn.XLOOKUP(Table3[[#This Row],[Cuenta]],Table8[Nombre Cuenta ()],Table8[Nivel 2],"",0)</f>
        <v/>
      </c>
      <c r="T207" t="str">
        <f>_xlfn.XLOOKUP(Table3[[#This Row],[Cuenta]],Table8[Nombre Cuenta ()],Table8[Nivel 3],"",0)</f>
        <v/>
      </c>
      <c r="U207">
        <v>418</v>
      </c>
      <c r="V207" t="str">
        <f>_xlfn.XLOOKUP(Table3[[#This Row],[Cuenta]],Estructura_Balance[Nombre Cuenta ()],Estructura_Balance[Niveles:2],"",0)</f>
        <v/>
      </c>
      <c r="W207" t="str">
        <f>_xlfn.XLOOKUP(Table3[[#This Row],[Cuenta]],Estructura_Balance[Nombre Cuenta ()],Estructura_Balance[Niveles:3],"",0)</f>
        <v/>
      </c>
      <c r="X207" t="str">
        <f>_xlfn.XLOOKUP(Table3[[#This Row],[Cuenta]],Estructura_Balance[Nombre Cuenta ()],Estructura_Balance[Grupos],"Grupo 1",0)</f>
        <v>Grupo 1</v>
      </c>
      <c r="Y207" t="str">
        <f>+Table3[[#This Row],[BS_Nivel_1]]</f>
        <v/>
      </c>
    </row>
    <row r="208" spans="1:25">
      <c r="A208">
        <f>+'Libro Diario'!F307</f>
        <v>0</v>
      </c>
      <c r="B208" s="144">
        <f>VALUE(IF(+'Libro Diario'!G307="","01/01/2025",+'Libro Diario'!G307))</f>
        <v>45658</v>
      </c>
      <c r="C208">
        <f>IF(ISNUMBER(+IF(IFERROR(VALUE(MID('Libro Diario'!C307,1,4)),0)&lt;&gt;0,'Libro Diario'!C307,0))=FALSE,'Libro Diario'!C307,0)</f>
        <v>0</v>
      </c>
      <c r="D208" s="145" t="str">
        <f>+'Libro Diario'!B307</f>
        <v>Operaciones del Ejercicio</v>
      </c>
      <c r="E208" s="139" t="s">
        <v>445</v>
      </c>
      <c r="F208" t="str">
        <f t="shared" si="9"/>
        <v>Sin Mov.</v>
      </c>
      <c r="G208" t="str">
        <f>IF(+'Libro Diario'!H307=0,"",+'Libro Diario'!H307)</f>
        <v/>
      </c>
      <c r="H208" t="str">
        <f>IF(+'Libro Diario'!I307=0,"",+'Libro Diario'!I307)</f>
        <v/>
      </c>
      <c r="I208" t="str">
        <f>+IF(Table3[[#This Row],[Tipo Movimiento]]="Estructura Balance y PyG","Excluir","Incluir")</f>
        <v>Incluir</v>
      </c>
      <c r="J208" s="153">
        <f>+IF(Table3[[#This Row],[Sin cuenta]]="Con Mov.",(IF(Table3[[#This Row],[Movimiento]]="Debe",Table3[[#This Row],[Importe]],IF(Table3[[#This Row],[Movimiento]]="Haber",Table3[[#This Row],[Importe]]*-1,0))),0)</f>
        <v>0</v>
      </c>
      <c r="K208" s="145" t="str">
        <f t="shared" si="10"/>
        <v>Operaciones del Ejercicio</v>
      </c>
      <c r="L208" s="145" t="str">
        <f t="shared" si="11"/>
        <v/>
      </c>
      <c r="M208" t="str">
        <f>_xlfn.XLOOKUP(Table3[[#This Row],[Cuenta]],Estructura_Balance[Nombre Cuenta ()],Estructura_Balance[Grupo],"",0)</f>
        <v/>
      </c>
      <c r="N208" t="str">
        <f>_xlfn.XLOOKUP(Table3[[#This Row],[Cuenta]],Estructura_Balance[Nombre Cuenta ()],Estructura_Balance[Nivel 1],"",0)</f>
        <v/>
      </c>
      <c r="O208" t="str">
        <f>_xlfn.XLOOKUP(Table3[[#This Row],[Cuenta]],Estructura_Balance[Nombre Cuenta ()],Estructura_Balance[Nivel 2],"",0)</f>
        <v/>
      </c>
      <c r="P208" t="str">
        <f>_xlfn.XLOOKUP(Table3[[#This Row],[Cuenta]],Estructura_Balance[Nombre Cuenta ()],Estructura_Balance[Nivel 3],"",0)</f>
        <v/>
      </c>
      <c r="Q208" t="str">
        <f>_xlfn.XLOOKUP(Table3[[#This Row],[Cuenta]],Estructura_Balance[Nombre Cuenta ()],Estructura_Balance[Nivel 4],"",0)</f>
        <v/>
      </c>
      <c r="R208" t="str">
        <f>_xlfn.XLOOKUP(Table3[[#This Row],[Cuenta]],Table8[Nombre Cuenta ()],Table8[Nivel 1],"",0)</f>
        <v/>
      </c>
      <c r="S208" t="str">
        <f>_xlfn.XLOOKUP(Table3[[#This Row],[Cuenta]],Table8[Nombre Cuenta ()],Table8[Nivel 2],"",0)</f>
        <v/>
      </c>
      <c r="T208" t="str">
        <f>_xlfn.XLOOKUP(Table3[[#This Row],[Cuenta]],Table8[Nombre Cuenta ()],Table8[Nivel 3],"",0)</f>
        <v/>
      </c>
      <c r="U208">
        <v>421</v>
      </c>
      <c r="V208" t="str">
        <f>_xlfn.XLOOKUP(Table3[[#This Row],[Cuenta]],Estructura_Balance[Nombre Cuenta ()],Estructura_Balance[Niveles:2],"",0)</f>
        <v/>
      </c>
      <c r="W208" t="str">
        <f>_xlfn.XLOOKUP(Table3[[#This Row],[Cuenta]],Estructura_Balance[Nombre Cuenta ()],Estructura_Balance[Niveles:3],"",0)</f>
        <v/>
      </c>
      <c r="X208" t="str">
        <f>_xlfn.XLOOKUP(Table3[[#This Row],[Cuenta]],Estructura_Balance[Nombre Cuenta ()],Estructura_Balance[Grupos],"Grupo 1",0)</f>
        <v>Grupo 1</v>
      </c>
      <c r="Y208" t="str">
        <f>+Table3[[#This Row],[BS_Nivel_1]]</f>
        <v/>
      </c>
    </row>
    <row r="209" spans="1:25">
      <c r="A209">
        <f>+'Libro Diario'!F308</f>
        <v>0</v>
      </c>
      <c r="B209" s="144">
        <f>VALUE(IF(+'Libro Diario'!G308="","01/01/2025",+'Libro Diario'!G308))</f>
        <v>45658</v>
      </c>
      <c r="C209">
        <f>IF(ISNUMBER(+IF(IFERROR(VALUE(MID('Libro Diario'!C308,1,4)),0)&lt;&gt;0,'Libro Diario'!C308,0))=FALSE,'Libro Diario'!C308,0)</f>
        <v>0</v>
      </c>
      <c r="D209" s="145" t="str">
        <f>+'Libro Diario'!B308</f>
        <v>Asiento Cuadrado</v>
      </c>
      <c r="E209" s="139" t="s">
        <v>445</v>
      </c>
      <c r="F209" t="str">
        <f t="shared" si="9"/>
        <v>Sin Mov.</v>
      </c>
      <c r="G209" t="str">
        <f>IF(+'Libro Diario'!H308=0,"",+'Libro Diario'!H308)</f>
        <v/>
      </c>
      <c r="H209" t="str">
        <f>IF(+'Libro Diario'!I308=0,"",+'Libro Diario'!I308)</f>
        <v/>
      </c>
      <c r="I209" t="str">
        <f>+IF(Table3[[#This Row],[Tipo Movimiento]]="Estructura Balance y PyG","Excluir","Incluir")</f>
        <v>Incluir</v>
      </c>
      <c r="J209" s="153">
        <f>+IF(Table3[[#This Row],[Sin cuenta]]="Con Mov.",(IF(Table3[[#This Row],[Movimiento]]="Debe",Table3[[#This Row],[Importe]],IF(Table3[[#This Row],[Movimiento]]="Haber",Table3[[#This Row],[Importe]]*-1,0))),0)</f>
        <v>0</v>
      </c>
      <c r="K209" s="145" t="str">
        <f t="shared" si="10"/>
        <v>Asiento Cuadrado</v>
      </c>
      <c r="L209" s="145" t="str">
        <f t="shared" si="11"/>
        <v/>
      </c>
      <c r="M209" t="str">
        <f>_xlfn.XLOOKUP(Table3[[#This Row],[Cuenta]],Estructura_Balance[Nombre Cuenta ()],Estructura_Balance[Grupo],"",0)</f>
        <v/>
      </c>
      <c r="N209" t="str">
        <f>_xlfn.XLOOKUP(Table3[[#This Row],[Cuenta]],Estructura_Balance[Nombre Cuenta ()],Estructura_Balance[Nivel 1],"",0)</f>
        <v/>
      </c>
      <c r="O209" t="str">
        <f>_xlfn.XLOOKUP(Table3[[#This Row],[Cuenta]],Estructura_Balance[Nombre Cuenta ()],Estructura_Balance[Nivel 2],"",0)</f>
        <v/>
      </c>
      <c r="P209" t="str">
        <f>_xlfn.XLOOKUP(Table3[[#This Row],[Cuenta]],Estructura_Balance[Nombre Cuenta ()],Estructura_Balance[Nivel 3],"",0)</f>
        <v/>
      </c>
      <c r="Q209" t="str">
        <f>_xlfn.XLOOKUP(Table3[[#This Row],[Cuenta]],Estructura_Balance[Nombre Cuenta ()],Estructura_Balance[Nivel 4],"",0)</f>
        <v/>
      </c>
      <c r="R209" t="str">
        <f>_xlfn.XLOOKUP(Table3[[#This Row],[Cuenta]],Table8[Nombre Cuenta ()],Table8[Nivel 1],"",0)</f>
        <v/>
      </c>
      <c r="S209" t="str">
        <f>_xlfn.XLOOKUP(Table3[[#This Row],[Cuenta]],Table8[Nombre Cuenta ()],Table8[Nivel 2],"",0)</f>
        <v/>
      </c>
      <c r="T209" t="str">
        <f>_xlfn.XLOOKUP(Table3[[#This Row],[Cuenta]],Table8[Nombre Cuenta ()],Table8[Nivel 3],"",0)</f>
        <v/>
      </c>
      <c r="U209">
        <v>422</v>
      </c>
      <c r="V209" t="str">
        <f>_xlfn.XLOOKUP(Table3[[#This Row],[Cuenta]],Estructura_Balance[Nombre Cuenta ()],Estructura_Balance[Niveles:2],"",0)</f>
        <v/>
      </c>
      <c r="W209" t="str">
        <f>_xlfn.XLOOKUP(Table3[[#This Row],[Cuenta]],Estructura_Balance[Nombre Cuenta ()],Estructura_Balance[Niveles:3],"",0)</f>
        <v/>
      </c>
      <c r="X209" t="str">
        <f>_xlfn.XLOOKUP(Table3[[#This Row],[Cuenta]],Estructura_Balance[Nombre Cuenta ()],Estructura_Balance[Grupos],"Grupo 1",0)</f>
        <v>Grupo 1</v>
      </c>
      <c r="Y209" t="str">
        <f>+Table3[[#This Row],[BS_Nivel_1]]</f>
        <v/>
      </c>
    </row>
    <row r="210" spans="1:25">
      <c r="A210">
        <f>+'Libro Diario'!F309</f>
        <v>0</v>
      </c>
      <c r="B210" s="144">
        <f>VALUE(IF(+'Libro Diario'!G309="","01/01/2025",+'Libro Diario'!G309))</f>
        <v>45658</v>
      </c>
      <c r="C210">
        <f>IF(ISNUMBER(+IF(IFERROR(VALUE(MID('Libro Diario'!C309,1,4)),0)&lt;&gt;0,'Libro Diario'!C309,0))=FALSE,'Libro Diario'!C309,0)</f>
        <v>0</v>
      </c>
      <c r="D210" s="145">
        <f>+'Libro Diario'!B309</f>
        <v>0</v>
      </c>
      <c r="E210" s="139" t="s">
        <v>445</v>
      </c>
      <c r="F210" t="str">
        <f t="shared" si="9"/>
        <v>Sin Mov.</v>
      </c>
      <c r="G210" t="str">
        <f>IF(+'Libro Diario'!H309=0,"",+'Libro Diario'!H309)</f>
        <v/>
      </c>
      <c r="H210" t="str">
        <f>IF(+'Libro Diario'!I309=0,"",+'Libro Diario'!I309)</f>
        <v/>
      </c>
      <c r="I210" t="str">
        <f>+IF(Table3[[#This Row],[Tipo Movimiento]]="Estructura Balance y PyG","Excluir","Incluir")</f>
        <v>Incluir</v>
      </c>
      <c r="J210" s="153">
        <f>+IF(Table3[[#This Row],[Sin cuenta]]="Con Mov.",(IF(Table3[[#This Row],[Movimiento]]="Debe",Table3[[#This Row],[Importe]],IF(Table3[[#This Row],[Movimiento]]="Haber",Table3[[#This Row],[Importe]]*-1,0))),0)</f>
        <v>0</v>
      </c>
      <c r="K210" s="145">
        <f t="shared" si="10"/>
        <v>0</v>
      </c>
      <c r="L210" s="145" t="str">
        <f t="shared" si="11"/>
        <v/>
      </c>
      <c r="M210" t="str">
        <f>_xlfn.XLOOKUP(Table3[[#This Row],[Cuenta]],Estructura_Balance[Nombre Cuenta ()],Estructura_Balance[Grupo],"",0)</f>
        <v/>
      </c>
      <c r="N210" t="str">
        <f>_xlfn.XLOOKUP(Table3[[#This Row],[Cuenta]],Estructura_Balance[Nombre Cuenta ()],Estructura_Balance[Nivel 1],"",0)</f>
        <v/>
      </c>
      <c r="O210" t="str">
        <f>_xlfn.XLOOKUP(Table3[[#This Row],[Cuenta]],Estructura_Balance[Nombre Cuenta ()],Estructura_Balance[Nivel 2],"",0)</f>
        <v/>
      </c>
      <c r="P210" t="str">
        <f>_xlfn.XLOOKUP(Table3[[#This Row],[Cuenta]],Estructura_Balance[Nombre Cuenta ()],Estructura_Balance[Nivel 3],"",0)</f>
        <v/>
      </c>
      <c r="Q210" t="str">
        <f>_xlfn.XLOOKUP(Table3[[#This Row],[Cuenta]],Estructura_Balance[Nombre Cuenta ()],Estructura_Balance[Nivel 4],"",0)</f>
        <v/>
      </c>
      <c r="R210" t="str">
        <f>_xlfn.XLOOKUP(Table3[[#This Row],[Cuenta]],Table8[Nombre Cuenta ()],Table8[Nivel 1],"",0)</f>
        <v/>
      </c>
      <c r="S210" t="str">
        <f>_xlfn.XLOOKUP(Table3[[#This Row],[Cuenta]],Table8[Nombre Cuenta ()],Table8[Nivel 2],"",0)</f>
        <v/>
      </c>
      <c r="T210" t="str">
        <f>_xlfn.XLOOKUP(Table3[[#This Row],[Cuenta]],Table8[Nombre Cuenta ()],Table8[Nivel 3],"",0)</f>
        <v/>
      </c>
      <c r="U210">
        <v>425</v>
      </c>
      <c r="V210" t="str">
        <f>_xlfn.XLOOKUP(Table3[[#This Row],[Cuenta]],Estructura_Balance[Nombre Cuenta ()],Estructura_Balance[Niveles:2],"",0)</f>
        <v/>
      </c>
      <c r="W210" t="str">
        <f>_xlfn.XLOOKUP(Table3[[#This Row],[Cuenta]],Estructura_Balance[Nombre Cuenta ()],Estructura_Balance[Niveles:3],"",0)</f>
        <v/>
      </c>
      <c r="X210" t="str">
        <f>_xlfn.XLOOKUP(Table3[[#This Row],[Cuenta]],Estructura_Balance[Nombre Cuenta ()],Estructura_Balance[Grupos],"Grupo 1",0)</f>
        <v>Grupo 1</v>
      </c>
      <c r="Y210" t="str">
        <f>+Table3[[#This Row],[BS_Nivel_1]]</f>
        <v/>
      </c>
    </row>
    <row r="211" spans="1:25">
      <c r="A211">
        <f>+'Libro Diario'!F310</f>
        <v>0</v>
      </c>
      <c r="B211" s="144">
        <f>VALUE(IF(+'Libro Diario'!G310="","01/01/2025",+'Libro Diario'!G310))</f>
        <v>45658</v>
      </c>
      <c r="C211">
        <f>IF(ISNUMBER(+IF(IFERROR(VALUE(MID('Libro Diario'!C310,1,4)),0)&lt;&gt;0,'Libro Diario'!C310,0))=FALSE,'Libro Diario'!C310,0)</f>
        <v>0</v>
      </c>
      <c r="D211" s="145" t="str">
        <f>+'Libro Diario'!B310</f>
        <v>DEBE</v>
      </c>
      <c r="E211" s="139" t="s">
        <v>445</v>
      </c>
      <c r="F211" t="str">
        <f t="shared" si="9"/>
        <v>Sin Mov.</v>
      </c>
      <c r="G211" t="str">
        <f>IF(+'Libro Diario'!H310=0,"",+'Libro Diario'!H310)</f>
        <v/>
      </c>
      <c r="H211" t="str">
        <f>IF(+'Libro Diario'!I310=0,"",+'Libro Diario'!I310)</f>
        <v/>
      </c>
      <c r="I211" t="str">
        <f>+IF(Table3[[#This Row],[Tipo Movimiento]]="Estructura Balance y PyG","Excluir","Incluir")</f>
        <v>Incluir</v>
      </c>
      <c r="J211" s="153">
        <f>+IF(Table3[[#This Row],[Sin cuenta]]="Con Mov.",(IF(Table3[[#This Row],[Movimiento]]="Debe",Table3[[#This Row],[Importe]],IF(Table3[[#This Row],[Movimiento]]="Haber",Table3[[#This Row],[Importe]]*-1,0))),0)</f>
        <v>0</v>
      </c>
      <c r="K211" s="145" t="str">
        <f t="shared" si="10"/>
        <v>DEBE</v>
      </c>
      <c r="L211" s="145" t="str">
        <f t="shared" si="11"/>
        <v/>
      </c>
      <c r="M211" t="str">
        <f>_xlfn.XLOOKUP(Table3[[#This Row],[Cuenta]],Estructura_Balance[Nombre Cuenta ()],Estructura_Balance[Grupo],"",0)</f>
        <v/>
      </c>
      <c r="N211" t="str">
        <f>_xlfn.XLOOKUP(Table3[[#This Row],[Cuenta]],Estructura_Balance[Nombre Cuenta ()],Estructura_Balance[Nivel 1],"",0)</f>
        <v/>
      </c>
      <c r="O211" t="str">
        <f>_xlfn.XLOOKUP(Table3[[#This Row],[Cuenta]],Estructura_Balance[Nombre Cuenta ()],Estructura_Balance[Nivel 2],"",0)</f>
        <v/>
      </c>
      <c r="P211" t="str">
        <f>_xlfn.XLOOKUP(Table3[[#This Row],[Cuenta]],Estructura_Balance[Nombre Cuenta ()],Estructura_Balance[Nivel 3],"",0)</f>
        <v/>
      </c>
      <c r="Q211" t="str">
        <f>_xlfn.XLOOKUP(Table3[[#This Row],[Cuenta]],Estructura_Balance[Nombre Cuenta ()],Estructura_Balance[Nivel 4],"",0)</f>
        <v/>
      </c>
      <c r="R211" t="str">
        <f>_xlfn.XLOOKUP(Table3[[#This Row],[Cuenta]],Table8[Nombre Cuenta ()],Table8[Nivel 1],"",0)</f>
        <v/>
      </c>
      <c r="S211" t="str">
        <f>_xlfn.XLOOKUP(Table3[[#This Row],[Cuenta]],Table8[Nombre Cuenta ()],Table8[Nivel 2],"",0)</f>
        <v/>
      </c>
      <c r="T211" t="str">
        <f>_xlfn.XLOOKUP(Table3[[#This Row],[Cuenta]],Table8[Nombre Cuenta ()],Table8[Nivel 3],"",0)</f>
        <v/>
      </c>
      <c r="U211">
        <v>426</v>
      </c>
      <c r="V211" t="str">
        <f>_xlfn.XLOOKUP(Table3[[#This Row],[Cuenta]],Estructura_Balance[Nombre Cuenta ()],Estructura_Balance[Niveles:2],"",0)</f>
        <v/>
      </c>
      <c r="W211" t="str">
        <f>_xlfn.XLOOKUP(Table3[[#This Row],[Cuenta]],Estructura_Balance[Nombre Cuenta ()],Estructura_Balance[Niveles:3],"",0)</f>
        <v/>
      </c>
      <c r="X211" t="str">
        <f>_xlfn.XLOOKUP(Table3[[#This Row],[Cuenta]],Estructura_Balance[Nombre Cuenta ()],Estructura_Balance[Grupos],"Grupo 1",0)</f>
        <v>Grupo 1</v>
      </c>
      <c r="Y211" t="str">
        <f>+Table3[[#This Row],[BS_Nivel_1]]</f>
        <v/>
      </c>
    </row>
    <row r="212" spans="1:25">
      <c r="A212">
        <f>+'Libro Diario'!F311</f>
        <v>0</v>
      </c>
      <c r="B212" s="144">
        <f>VALUE(IF(+'Libro Diario'!G311="","01/01/2025",+'Libro Diario'!G311))</f>
        <v>45658</v>
      </c>
      <c r="C212">
        <f>IF(ISNUMBER(+IF(IFERROR(VALUE(MID('Libro Diario'!C311,1,4)),0)&lt;&gt;0,'Libro Diario'!C311,0))=FALSE,'Libro Diario'!C311,0)</f>
        <v>0</v>
      </c>
      <c r="D212" s="145">
        <f>+'Libro Diario'!B311</f>
        <v>0</v>
      </c>
      <c r="E212" s="139" t="s">
        <v>445</v>
      </c>
      <c r="F212" t="str">
        <f t="shared" si="9"/>
        <v>Sin Mov.</v>
      </c>
      <c r="G212" t="str">
        <f>IF(+'Libro Diario'!H311=0,"",+'Libro Diario'!H311)</f>
        <v/>
      </c>
      <c r="H212" t="str">
        <f>IF(+'Libro Diario'!I311=0,"",+'Libro Diario'!I311)</f>
        <v/>
      </c>
      <c r="I212" t="str">
        <f>+IF(Table3[[#This Row],[Tipo Movimiento]]="Estructura Balance y PyG","Excluir","Incluir")</f>
        <v>Incluir</v>
      </c>
      <c r="J212" s="153">
        <f>+IF(Table3[[#This Row],[Sin cuenta]]="Con Mov.",(IF(Table3[[#This Row],[Movimiento]]="Debe",Table3[[#This Row],[Importe]],IF(Table3[[#This Row],[Movimiento]]="Haber",Table3[[#This Row],[Importe]]*-1,0))),0)</f>
        <v>0</v>
      </c>
      <c r="K212" s="145">
        <f t="shared" si="10"/>
        <v>0</v>
      </c>
      <c r="L212" s="145" t="str">
        <f t="shared" si="11"/>
        <v/>
      </c>
      <c r="M212" t="str">
        <f>_xlfn.XLOOKUP(Table3[[#This Row],[Cuenta]],Estructura_Balance[Nombre Cuenta ()],Estructura_Balance[Grupo],"",0)</f>
        <v/>
      </c>
      <c r="N212" t="str">
        <f>_xlfn.XLOOKUP(Table3[[#This Row],[Cuenta]],Estructura_Balance[Nombre Cuenta ()],Estructura_Balance[Nivel 1],"",0)</f>
        <v/>
      </c>
      <c r="O212" t="str">
        <f>_xlfn.XLOOKUP(Table3[[#This Row],[Cuenta]],Estructura_Balance[Nombre Cuenta ()],Estructura_Balance[Nivel 2],"",0)</f>
        <v/>
      </c>
      <c r="P212" t="str">
        <f>_xlfn.XLOOKUP(Table3[[#This Row],[Cuenta]],Estructura_Balance[Nombre Cuenta ()],Estructura_Balance[Nivel 3],"",0)</f>
        <v/>
      </c>
      <c r="Q212" t="str">
        <f>_xlfn.XLOOKUP(Table3[[#This Row],[Cuenta]],Estructura_Balance[Nombre Cuenta ()],Estructura_Balance[Nivel 4],"",0)</f>
        <v/>
      </c>
      <c r="R212" t="str">
        <f>_xlfn.XLOOKUP(Table3[[#This Row],[Cuenta]],Table8[Nombre Cuenta ()],Table8[Nivel 1],"",0)</f>
        <v/>
      </c>
      <c r="S212" t="str">
        <f>_xlfn.XLOOKUP(Table3[[#This Row],[Cuenta]],Table8[Nombre Cuenta ()],Table8[Nivel 2],"",0)</f>
        <v/>
      </c>
      <c r="T212" t="str">
        <f>_xlfn.XLOOKUP(Table3[[#This Row],[Cuenta]],Table8[Nombre Cuenta ()],Table8[Nivel 3],"",0)</f>
        <v/>
      </c>
      <c r="U212">
        <v>427</v>
      </c>
      <c r="V212" t="str">
        <f>_xlfn.XLOOKUP(Table3[[#This Row],[Cuenta]],Estructura_Balance[Nombre Cuenta ()],Estructura_Balance[Niveles:2],"",0)</f>
        <v/>
      </c>
      <c r="W212" t="str">
        <f>_xlfn.XLOOKUP(Table3[[#This Row],[Cuenta]],Estructura_Balance[Nombre Cuenta ()],Estructura_Balance[Niveles:3],"",0)</f>
        <v/>
      </c>
      <c r="X212" t="str">
        <f>_xlfn.XLOOKUP(Table3[[#This Row],[Cuenta]],Estructura_Balance[Nombre Cuenta ()],Estructura_Balance[Grupos],"Grupo 1",0)</f>
        <v>Grupo 1</v>
      </c>
      <c r="Y212" t="str">
        <f>+Table3[[#This Row],[BS_Nivel_1]]</f>
        <v/>
      </c>
    </row>
    <row r="213" spans="1:25">
      <c r="A213">
        <f>+'Libro Diario'!F314</f>
        <v>0</v>
      </c>
      <c r="B213" s="144">
        <f>VALUE(IF(+'Libro Diario'!G314="","01/01/2025",+'Libro Diario'!G314))</f>
        <v>45658</v>
      </c>
      <c r="C213">
        <f>IF(ISNUMBER(+IF(IFERROR(VALUE(MID('Libro Diario'!C314,1,4)),0)&lt;&gt;0,'Libro Diario'!C314,0))=FALSE,'Libro Diario'!C314,0)</f>
        <v>0</v>
      </c>
      <c r="D213" s="145" t="str">
        <f>+'Libro Diario'!B314</f>
        <v>Operaciones del Ejercicio</v>
      </c>
      <c r="E213" s="139" t="s">
        <v>445</v>
      </c>
      <c r="F213" t="str">
        <f t="shared" si="9"/>
        <v>Sin Mov.</v>
      </c>
      <c r="G213" t="str">
        <f>IF(+'Libro Diario'!H314=0,"",+'Libro Diario'!H314)</f>
        <v/>
      </c>
      <c r="H213" t="str">
        <f>IF(+'Libro Diario'!I314=0,"",+'Libro Diario'!I314)</f>
        <v/>
      </c>
      <c r="I213" t="str">
        <f>+IF(Table3[[#This Row],[Tipo Movimiento]]="Estructura Balance y PyG","Excluir","Incluir")</f>
        <v>Incluir</v>
      </c>
      <c r="J213" s="153">
        <f>+IF(Table3[[#This Row],[Sin cuenta]]="Con Mov.",(IF(Table3[[#This Row],[Movimiento]]="Debe",Table3[[#This Row],[Importe]],IF(Table3[[#This Row],[Movimiento]]="Haber",Table3[[#This Row],[Importe]]*-1,0))),0)</f>
        <v>0</v>
      </c>
      <c r="K213" s="145" t="str">
        <f t="shared" si="10"/>
        <v>Operaciones del Ejercicio</v>
      </c>
      <c r="L213" s="145" t="str">
        <f t="shared" si="11"/>
        <v/>
      </c>
      <c r="M213" t="str">
        <f>_xlfn.XLOOKUP(Table3[[#This Row],[Cuenta]],Estructura_Balance[Nombre Cuenta ()],Estructura_Balance[Grupo],"",0)</f>
        <v/>
      </c>
      <c r="N213" t="str">
        <f>_xlfn.XLOOKUP(Table3[[#This Row],[Cuenta]],Estructura_Balance[Nombre Cuenta ()],Estructura_Balance[Nivel 1],"",0)</f>
        <v/>
      </c>
      <c r="O213" t="str">
        <f>_xlfn.XLOOKUP(Table3[[#This Row],[Cuenta]],Estructura_Balance[Nombre Cuenta ()],Estructura_Balance[Nivel 2],"",0)</f>
        <v/>
      </c>
      <c r="P213" t="str">
        <f>_xlfn.XLOOKUP(Table3[[#This Row],[Cuenta]],Estructura_Balance[Nombre Cuenta ()],Estructura_Balance[Nivel 3],"",0)</f>
        <v/>
      </c>
      <c r="Q213" t="str">
        <f>_xlfn.XLOOKUP(Table3[[#This Row],[Cuenta]],Estructura_Balance[Nombre Cuenta ()],Estructura_Balance[Nivel 4],"",0)</f>
        <v/>
      </c>
      <c r="R213" t="str">
        <f>_xlfn.XLOOKUP(Table3[[#This Row],[Cuenta]],Table8[Nombre Cuenta ()],Table8[Nivel 1],"",0)</f>
        <v/>
      </c>
      <c r="S213" t="str">
        <f>_xlfn.XLOOKUP(Table3[[#This Row],[Cuenta]],Table8[Nombre Cuenta ()],Table8[Nivel 2],"",0)</f>
        <v/>
      </c>
      <c r="T213" t="str">
        <f>_xlfn.XLOOKUP(Table3[[#This Row],[Cuenta]],Table8[Nombre Cuenta ()],Table8[Nivel 3],"",0)</f>
        <v/>
      </c>
      <c r="U213">
        <v>432</v>
      </c>
      <c r="V213" t="str">
        <f>_xlfn.XLOOKUP(Table3[[#This Row],[Cuenta]],Estructura_Balance[Nombre Cuenta ()],Estructura_Balance[Niveles:2],"",0)</f>
        <v/>
      </c>
      <c r="W213" t="str">
        <f>_xlfn.XLOOKUP(Table3[[#This Row],[Cuenta]],Estructura_Balance[Nombre Cuenta ()],Estructura_Balance[Niveles:3],"",0)</f>
        <v/>
      </c>
      <c r="X213" t="str">
        <f>_xlfn.XLOOKUP(Table3[[#This Row],[Cuenta]],Estructura_Balance[Nombre Cuenta ()],Estructura_Balance[Grupos],"Grupo 1",0)</f>
        <v>Grupo 1</v>
      </c>
      <c r="Y213" t="str">
        <f>+Table3[[#This Row],[BS_Nivel_1]]</f>
        <v/>
      </c>
    </row>
    <row r="214" spans="1:25">
      <c r="A214">
        <f>+'Libro Diario'!F315</f>
        <v>0</v>
      </c>
      <c r="B214" s="144">
        <f>VALUE(IF(+'Libro Diario'!G315="","01/01/2025",+'Libro Diario'!G315))</f>
        <v>45658</v>
      </c>
      <c r="C214">
        <f>IF(ISNUMBER(+IF(IFERROR(VALUE(MID('Libro Diario'!C315,1,4)),0)&lt;&gt;0,'Libro Diario'!C315,0))=FALSE,'Libro Diario'!C315,0)</f>
        <v>0</v>
      </c>
      <c r="D214" s="145" t="str">
        <f>+'Libro Diario'!B315</f>
        <v>Asiento Cuadrado</v>
      </c>
      <c r="E214" s="139" t="s">
        <v>445</v>
      </c>
      <c r="F214" t="str">
        <f t="shared" si="9"/>
        <v>Sin Mov.</v>
      </c>
      <c r="G214" t="str">
        <f>IF(+'Libro Diario'!H315=0,"",+'Libro Diario'!H315)</f>
        <v/>
      </c>
      <c r="H214" t="str">
        <f>IF(+'Libro Diario'!I315=0,"",+'Libro Diario'!I315)</f>
        <v/>
      </c>
      <c r="I214" t="str">
        <f>+IF(Table3[[#This Row],[Tipo Movimiento]]="Estructura Balance y PyG","Excluir","Incluir")</f>
        <v>Incluir</v>
      </c>
      <c r="J214" s="153">
        <f>+IF(Table3[[#This Row],[Sin cuenta]]="Con Mov.",(IF(Table3[[#This Row],[Movimiento]]="Debe",Table3[[#This Row],[Importe]],IF(Table3[[#This Row],[Movimiento]]="Haber",Table3[[#This Row],[Importe]]*-1,0))),0)</f>
        <v>0</v>
      </c>
      <c r="K214" s="145" t="str">
        <f t="shared" si="10"/>
        <v>Asiento Cuadrado</v>
      </c>
      <c r="L214" s="145" t="str">
        <f t="shared" si="11"/>
        <v/>
      </c>
      <c r="M214" t="str">
        <f>_xlfn.XLOOKUP(Table3[[#This Row],[Cuenta]],Estructura_Balance[Nombre Cuenta ()],Estructura_Balance[Grupo],"",0)</f>
        <v/>
      </c>
      <c r="N214" t="str">
        <f>_xlfn.XLOOKUP(Table3[[#This Row],[Cuenta]],Estructura_Balance[Nombre Cuenta ()],Estructura_Balance[Nivel 1],"",0)</f>
        <v/>
      </c>
      <c r="O214" t="str">
        <f>_xlfn.XLOOKUP(Table3[[#This Row],[Cuenta]],Estructura_Balance[Nombre Cuenta ()],Estructura_Balance[Nivel 2],"",0)</f>
        <v/>
      </c>
      <c r="P214" t="str">
        <f>_xlfn.XLOOKUP(Table3[[#This Row],[Cuenta]],Estructura_Balance[Nombre Cuenta ()],Estructura_Balance[Nivel 3],"",0)</f>
        <v/>
      </c>
      <c r="Q214" t="str">
        <f>_xlfn.XLOOKUP(Table3[[#This Row],[Cuenta]],Estructura_Balance[Nombre Cuenta ()],Estructura_Balance[Nivel 4],"",0)</f>
        <v/>
      </c>
      <c r="R214" t="str">
        <f>_xlfn.XLOOKUP(Table3[[#This Row],[Cuenta]],Table8[Nombre Cuenta ()],Table8[Nivel 1],"",0)</f>
        <v/>
      </c>
      <c r="S214" t="str">
        <f>_xlfn.XLOOKUP(Table3[[#This Row],[Cuenta]],Table8[Nombre Cuenta ()],Table8[Nivel 2],"",0)</f>
        <v/>
      </c>
      <c r="T214" t="str">
        <f>_xlfn.XLOOKUP(Table3[[#This Row],[Cuenta]],Table8[Nombre Cuenta ()],Table8[Nivel 3],"",0)</f>
        <v/>
      </c>
      <c r="U214">
        <v>433</v>
      </c>
      <c r="V214" t="str">
        <f>_xlfn.XLOOKUP(Table3[[#This Row],[Cuenta]],Estructura_Balance[Nombre Cuenta ()],Estructura_Balance[Niveles:2],"",0)</f>
        <v/>
      </c>
      <c r="W214" t="str">
        <f>_xlfn.XLOOKUP(Table3[[#This Row],[Cuenta]],Estructura_Balance[Nombre Cuenta ()],Estructura_Balance[Niveles:3],"",0)</f>
        <v/>
      </c>
      <c r="X214" t="str">
        <f>_xlfn.XLOOKUP(Table3[[#This Row],[Cuenta]],Estructura_Balance[Nombre Cuenta ()],Estructura_Balance[Grupos],"Grupo 1",0)</f>
        <v>Grupo 1</v>
      </c>
      <c r="Y214" t="str">
        <f>+Table3[[#This Row],[BS_Nivel_1]]</f>
        <v/>
      </c>
    </row>
    <row r="215" spans="1:25">
      <c r="A215">
        <f>+'Libro Diario'!F316</f>
        <v>0</v>
      </c>
      <c r="B215" s="144">
        <f>VALUE(IF(+'Libro Diario'!G316="","01/01/2025",+'Libro Diario'!G316))</f>
        <v>45658</v>
      </c>
      <c r="C215">
        <f>IF(ISNUMBER(+IF(IFERROR(VALUE(MID('Libro Diario'!C316,1,4)),0)&lt;&gt;0,'Libro Diario'!C316,0))=FALSE,'Libro Diario'!C316,0)</f>
        <v>0</v>
      </c>
      <c r="D215" s="145">
        <f>+'Libro Diario'!B316</f>
        <v>0</v>
      </c>
      <c r="E215" s="139" t="s">
        <v>445</v>
      </c>
      <c r="F215" t="str">
        <f t="shared" si="9"/>
        <v>Sin Mov.</v>
      </c>
      <c r="G215" t="str">
        <f>IF(+'Libro Diario'!H316=0,"",+'Libro Diario'!H316)</f>
        <v/>
      </c>
      <c r="H215" t="str">
        <f>IF(+'Libro Diario'!I316=0,"",+'Libro Diario'!I316)</f>
        <v/>
      </c>
      <c r="I215" t="str">
        <f>+IF(Table3[[#This Row],[Tipo Movimiento]]="Estructura Balance y PyG","Excluir","Incluir")</f>
        <v>Incluir</v>
      </c>
      <c r="J215" s="153">
        <f>+IF(Table3[[#This Row],[Sin cuenta]]="Con Mov.",(IF(Table3[[#This Row],[Movimiento]]="Debe",Table3[[#This Row],[Importe]],IF(Table3[[#This Row],[Movimiento]]="Haber",Table3[[#This Row],[Importe]]*-1,0))),0)</f>
        <v>0</v>
      </c>
      <c r="K215" s="145">
        <f t="shared" si="10"/>
        <v>0</v>
      </c>
      <c r="L215" s="145" t="str">
        <f t="shared" si="11"/>
        <v/>
      </c>
      <c r="M215" t="str">
        <f>_xlfn.XLOOKUP(Table3[[#This Row],[Cuenta]],Estructura_Balance[Nombre Cuenta ()],Estructura_Balance[Grupo],"",0)</f>
        <v/>
      </c>
      <c r="N215" t="str">
        <f>_xlfn.XLOOKUP(Table3[[#This Row],[Cuenta]],Estructura_Balance[Nombre Cuenta ()],Estructura_Balance[Nivel 1],"",0)</f>
        <v/>
      </c>
      <c r="O215" t="str">
        <f>_xlfn.XLOOKUP(Table3[[#This Row],[Cuenta]],Estructura_Balance[Nombre Cuenta ()],Estructura_Balance[Nivel 2],"",0)</f>
        <v/>
      </c>
      <c r="P215" t="str">
        <f>_xlfn.XLOOKUP(Table3[[#This Row],[Cuenta]],Estructura_Balance[Nombre Cuenta ()],Estructura_Balance[Nivel 3],"",0)</f>
        <v/>
      </c>
      <c r="Q215" t="str">
        <f>_xlfn.XLOOKUP(Table3[[#This Row],[Cuenta]],Estructura_Balance[Nombre Cuenta ()],Estructura_Balance[Nivel 4],"",0)</f>
        <v/>
      </c>
      <c r="R215" t="str">
        <f>_xlfn.XLOOKUP(Table3[[#This Row],[Cuenta]],Table8[Nombre Cuenta ()],Table8[Nivel 1],"",0)</f>
        <v/>
      </c>
      <c r="S215" t="str">
        <f>_xlfn.XLOOKUP(Table3[[#This Row],[Cuenta]],Table8[Nombre Cuenta ()],Table8[Nivel 2],"",0)</f>
        <v/>
      </c>
      <c r="T215" t="str">
        <f>_xlfn.XLOOKUP(Table3[[#This Row],[Cuenta]],Table8[Nombre Cuenta ()],Table8[Nivel 3],"",0)</f>
        <v/>
      </c>
      <c r="U215">
        <v>434</v>
      </c>
      <c r="V215" t="str">
        <f>_xlfn.XLOOKUP(Table3[[#This Row],[Cuenta]],Estructura_Balance[Nombre Cuenta ()],Estructura_Balance[Niveles:2],"",0)</f>
        <v/>
      </c>
      <c r="W215" t="str">
        <f>_xlfn.XLOOKUP(Table3[[#This Row],[Cuenta]],Estructura_Balance[Nombre Cuenta ()],Estructura_Balance[Niveles:3],"",0)</f>
        <v/>
      </c>
      <c r="X215" t="str">
        <f>_xlfn.XLOOKUP(Table3[[#This Row],[Cuenta]],Estructura_Balance[Nombre Cuenta ()],Estructura_Balance[Grupos],"Grupo 1",0)</f>
        <v>Grupo 1</v>
      </c>
      <c r="Y215" t="str">
        <f>+Table3[[#This Row],[BS_Nivel_1]]</f>
        <v/>
      </c>
    </row>
    <row r="216" spans="1:25">
      <c r="A216">
        <f>+'Libro Diario'!F317</f>
        <v>0</v>
      </c>
      <c r="B216" s="144">
        <f>VALUE(IF(+'Libro Diario'!G317="","01/01/2025",+'Libro Diario'!G317))</f>
        <v>45658</v>
      </c>
      <c r="C216">
        <f>IF(ISNUMBER(+IF(IFERROR(VALUE(MID('Libro Diario'!C317,1,4)),0)&lt;&gt;0,'Libro Diario'!C317,0))=FALSE,'Libro Diario'!C317,0)</f>
        <v>0</v>
      </c>
      <c r="D216" s="145" t="str">
        <f>+'Libro Diario'!B317</f>
        <v>DEBE</v>
      </c>
      <c r="E216" s="139" t="s">
        <v>445</v>
      </c>
      <c r="F216" t="str">
        <f t="shared" si="9"/>
        <v>Sin Mov.</v>
      </c>
      <c r="G216" t="str">
        <f>IF(+'Libro Diario'!H317=0,"",+'Libro Diario'!H317)</f>
        <v/>
      </c>
      <c r="H216" t="str">
        <f>IF(+'Libro Diario'!I317=0,"",+'Libro Diario'!I317)</f>
        <v/>
      </c>
      <c r="I216" t="str">
        <f>+IF(Table3[[#This Row],[Tipo Movimiento]]="Estructura Balance y PyG","Excluir","Incluir")</f>
        <v>Incluir</v>
      </c>
      <c r="J216" s="153">
        <f>+IF(Table3[[#This Row],[Sin cuenta]]="Con Mov.",(IF(Table3[[#This Row],[Movimiento]]="Debe",Table3[[#This Row],[Importe]],IF(Table3[[#This Row],[Movimiento]]="Haber",Table3[[#This Row],[Importe]]*-1,0))),0)</f>
        <v>0</v>
      </c>
      <c r="K216" s="145" t="str">
        <f t="shared" si="10"/>
        <v>DEBE</v>
      </c>
      <c r="L216" s="145" t="str">
        <f t="shared" si="11"/>
        <v/>
      </c>
      <c r="M216" t="str">
        <f>_xlfn.XLOOKUP(Table3[[#This Row],[Cuenta]],Estructura_Balance[Nombre Cuenta ()],Estructura_Balance[Grupo],"",0)</f>
        <v/>
      </c>
      <c r="N216" t="str">
        <f>_xlfn.XLOOKUP(Table3[[#This Row],[Cuenta]],Estructura_Balance[Nombre Cuenta ()],Estructura_Balance[Nivel 1],"",0)</f>
        <v/>
      </c>
      <c r="O216" t="str">
        <f>_xlfn.XLOOKUP(Table3[[#This Row],[Cuenta]],Estructura_Balance[Nombre Cuenta ()],Estructura_Balance[Nivel 2],"",0)</f>
        <v/>
      </c>
      <c r="P216" t="str">
        <f>_xlfn.XLOOKUP(Table3[[#This Row],[Cuenta]],Estructura_Balance[Nombre Cuenta ()],Estructura_Balance[Nivel 3],"",0)</f>
        <v/>
      </c>
      <c r="Q216" t="str">
        <f>_xlfn.XLOOKUP(Table3[[#This Row],[Cuenta]],Estructura_Balance[Nombre Cuenta ()],Estructura_Balance[Nivel 4],"",0)</f>
        <v/>
      </c>
      <c r="R216" t="str">
        <f>_xlfn.XLOOKUP(Table3[[#This Row],[Cuenta]],Table8[Nombre Cuenta ()],Table8[Nivel 1],"",0)</f>
        <v/>
      </c>
      <c r="S216" t="str">
        <f>_xlfn.XLOOKUP(Table3[[#This Row],[Cuenta]],Table8[Nombre Cuenta ()],Table8[Nivel 2],"",0)</f>
        <v/>
      </c>
      <c r="T216" t="str">
        <f>_xlfn.XLOOKUP(Table3[[#This Row],[Cuenta]],Table8[Nombre Cuenta ()],Table8[Nivel 3],"",0)</f>
        <v/>
      </c>
      <c r="U216">
        <v>435</v>
      </c>
      <c r="V216" t="str">
        <f>_xlfn.XLOOKUP(Table3[[#This Row],[Cuenta]],Estructura_Balance[Nombre Cuenta ()],Estructura_Balance[Niveles:2],"",0)</f>
        <v/>
      </c>
      <c r="W216" t="str">
        <f>_xlfn.XLOOKUP(Table3[[#This Row],[Cuenta]],Estructura_Balance[Nombre Cuenta ()],Estructura_Balance[Niveles:3],"",0)</f>
        <v/>
      </c>
      <c r="X216" t="str">
        <f>_xlfn.XLOOKUP(Table3[[#This Row],[Cuenta]],Estructura_Balance[Nombre Cuenta ()],Estructura_Balance[Grupos],"Grupo 1",0)</f>
        <v>Grupo 1</v>
      </c>
      <c r="Y216" t="str">
        <f>+Table3[[#This Row],[BS_Nivel_1]]</f>
        <v/>
      </c>
    </row>
    <row r="217" spans="1:25">
      <c r="A217">
        <f>+'Libro Diario'!F318</f>
        <v>0</v>
      </c>
      <c r="B217" s="144">
        <f>VALUE(IF(+'Libro Diario'!G318="","01/01/2025",+'Libro Diario'!G318))</f>
        <v>45658</v>
      </c>
      <c r="C217">
        <f>IF(ISNUMBER(+IF(IFERROR(VALUE(MID('Libro Diario'!C318,1,4)),0)&lt;&gt;0,'Libro Diario'!C318,0))=FALSE,'Libro Diario'!C318,0)</f>
        <v>0</v>
      </c>
      <c r="D217" s="145">
        <f>+'Libro Diario'!B318</f>
        <v>0</v>
      </c>
      <c r="E217" s="139" t="s">
        <v>445</v>
      </c>
      <c r="F217" t="str">
        <f t="shared" si="9"/>
        <v>Sin Mov.</v>
      </c>
      <c r="G217" t="str">
        <f>IF(+'Libro Diario'!H318=0,"",+'Libro Diario'!H318)</f>
        <v/>
      </c>
      <c r="H217" t="str">
        <f>IF(+'Libro Diario'!I318=0,"",+'Libro Diario'!I318)</f>
        <v/>
      </c>
      <c r="I217" t="str">
        <f>+IF(Table3[[#This Row],[Tipo Movimiento]]="Estructura Balance y PyG","Excluir","Incluir")</f>
        <v>Incluir</v>
      </c>
      <c r="J217" s="153">
        <f>+IF(Table3[[#This Row],[Sin cuenta]]="Con Mov.",(IF(Table3[[#This Row],[Movimiento]]="Debe",Table3[[#This Row],[Importe]],IF(Table3[[#This Row],[Movimiento]]="Haber",Table3[[#This Row],[Importe]]*-1,0))),0)</f>
        <v>0</v>
      </c>
      <c r="K217" s="145">
        <f t="shared" si="10"/>
        <v>0</v>
      </c>
      <c r="L217" s="145" t="str">
        <f t="shared" si="11"/>
        <v/>
      </c>
      <c r="M217" t="str">
        <f>_xlfn.XLOOKUP(Table3[[#This Row],[Cuenta]],Estructura_Balance[Nombre Cuenta ()],Estructura_Balance[Grupo],"",0)</f>
        <v/>
      </c>
      <c r="N217" t="str">
        <f>_xlfn.XLOOKUP(Table3[[#This Row],[Cuenta]],Estructura_Balance[Nombre Cuenta ()],Estructura_Balance[Nivel 1],"",0)</f>
        <v/>
      </c>
      <c r="O217" t="str">
        <f>_xlfn.XLOOKUP(Table3[[#This Row],[Cuenta]],Estructura_Balance[Nombre Cuenta ()],Estructura_Balance[Nivel 2],"",0)</f>
        <v/>
      </c>
      <c r="P217" t="str">
        <f>_xlfn.XLOOKUP(Table3[[#This Row],[Cuenta]],Estructura_Balance[Nombre Cuenta ()],Estructura_Balance[Nivel 3],"",0)</f>
        <v/>
      </c>
      <c r="Q217" t="str">
        <f>_xlfn.XLOOKUP(Table3[[#This Row],[Cuenta]],Estructura_Balance[Nombre Cuenta ()],Estructura_Balance[Nivel 4],"",0)</f>
        <v/>
      </c>
      <c r="R217" t="str">
        <f>_xlfn.XLOOKUP(Table3[[#This Row],[Cuenta]],Table8[Nombre Cuenta ()],Table8[Nivel 1],"",0)</f>
        <v/>
      </c>
      <c r="S217" t="str">
        <f>_xlfn.XLOOKUP(Table3[[#This Row],[Cuenta]],Table8[Nombre Cuenta ()],Table8[Nivel 2],"",0)</f>
        <v/>
      </c>
      <c r="T217" t="str">
        <f>_xlfn.XLOOKUP(Table3[[#This Row],[Cuenta]],Table8[Nombre Cuenta ()],Table8[Nivel 3],"",0)</f>
        <v/>
      </c>
      <c r="U217">
        <v>436</v>
      </c>
      <c r="V217" t="str">
        <f>_xlfn.XLOOKUP(Table3[[#This Row],[Cuenta]],Estructura_Balance[Nombre Cuenta ()],Estructura_Balance[Niveles:2],"",0)</f>
        <v/>
      </c>
      <c r="W217" t="str">
        <f>_xlfn.XLOOKUP(Table3[[#This Row],[Cuenta]],Estructura_Balance[Nombre Cuenta ()],Estructura_Balance[Niveles:3],"",0)</f>
        <v/>
      </c>
      <c r="X217" t="str">
        <f>_xlfn.XLOOKUP(Table3[[#This Row],[Cuenta]],Estructura_Balance[Nombre Cuenta ()],Estructura_Balance[Grupos],"Grupo 1",0)</f>
        <v>Grupo 1</v>
      </c>
      <c r="Y217" t="str">
        <f>+Table3[[#This Row],[BS_Nivel_1]]</f>
        <v/>
      </c>
    </row>
    <row r="218" spans="1:25">
      <c r="A218">
        <f>+'Libro Diario'!F321</f>
        <v>0</v>
      </c>
      <c r="B218" s="144">
        <f>VALUE(IF(+'Libro Diario'!G321="","01/01/2025",+'Libro Diario'!G321))</f>
        <v>45658</v>
      </c>
      <c r="C218">
        <f>IF(ISNUMBER(+IF(IFERROR(VALUE(MID('Libro Diario'!C321,1,4)),0)&lt;&gt;0,'Libro Diario'!C321,0))=FALSE,'Libro Diario'!C321,0)</f>
        <v>0</v>
      </c>
      <c r="D218" s="145" t="str">
        <f>+'Libro Diario'!B321</f>
        <v>Operaciones del Ejercicio</v>
      </c>
      <c r="E218" s="139" t="s">
        <v>445</v>
      </c>
      <c r="F218" t="str">
        <f t="shared" si="9"/>
        <v>Sin Mov.</v>
      </c>
      <c r="G218" t="str">
        <f>IF(+'Libro Diario'!H321=0,"",+'Libro Diario'!H321)</f>
        <v/>
      </c>
      <c r="H218" t="str">
        <f>IF(+'Libro Diario'!I321=0,"",+'Libro Diario'!I321)</f>
        <v/>
      </c>
      <c r="I218" t="str">
        <f>+IF(Table3[[#This Row],[Tipo Movimiento]]="Estructura Balance y PyG","Excluir","Incluir")</f>
        <v>Incluir</v>
      </c>
      <c r="J218" s="153">
        <f>+IF(Table3[[#This Row],[Sin cuenta]]="Con Mov.",(IF(Table3[[#This Row],[Movimiento]]="Debe",Table3[[#This Row],[Importe]],IF(Table3[[#This Row],[Movimiento]]="Haber",Table3[[#This Row],[Importe]]*-1,0))),0)</f>
        <v>0</v>
      </c>
      <c r="K218" s="145" t="str">
        <f t="shared" si="10"/>
        <v>Operaciones del Ejercicio</v>
      </c>
      <c r="L218" s="145" t="str">
        <f t="shared" si="11"/>
        <v/>
      </c>
      <c r="M218" t="str">
        <f>_xlfn.XLOOKUP(Table3[[#This Row],[Cuenta]],Estructura_Balance[Nombre Cuenta ()],Estructura_Balance[Grupo],"",0)</f>
        <v/>
      </c>
      <c r="N218" t="str">
        <f>_xlfn.XLOOKUP(Table3[[#This Row],[Cuenta]],Estructura_Balance[Nombre Cuenta ()],Estructura_Balance[Nivel 1],"",0)</f>
        <v/>
      </c>
      <c r="O218" t="str">
        <f>_xlfn.XLOOKUP(Table3[[#This Row],[Cuenta]],Estructura_Balance[Nombre Cuenta ()],Estructura_Balance[Nivel 2],"",0)</f>
        <v/>
      </c>
      <c r="P218" t="str">
        <f>_xlfn.XLOOKUP(Table3[[#This Row],[Cuenta]],Estructura_Balance[Nombre Cuenta ()],Estructura_Balance[Nivel 3],"",0)</f>
        <v/>
      </c>
      <c r="Q218" t="str">
        <f>_xlfn.XLOOKUP(Table3[[#This Row],[Cuenta]],Estructura_Balance[Nombre Cuenta ()],Estructura_Balance[Nivel 4],"",0)</f>
        <v/>
      </c>
      <c r="R218" t="str">
        <f>_xlfn.XLOOKUP(Table3[[#This Row],[Cuenta]],Table8[Nombre Cuenta ()],Table8[Nivel 1],"",0)</f>
        <v/>
      </c>
      <c r="S218" t="str">
        <f>_xlfn.XLOOKUP(Table3[[#This Row],[Cuenta]],Table8[Nombre Cuenta ()],Table8[Nivel 2],"",0)</f>
        <v/>
      </c>
      <c r="T218" t="str">
        <f>_xlfn.XLOOKUP(Table3[[#This Row],[Cuenta]],Table8[Nombre Cuenta ()],Table8[Nivel 3],"",0)</f>
        <v/>
      </c>
      <c r="U218">
        <v>441</v>
      </c>
      <c r="V218" t="str">
        <f>_xlfn.XLOOKUP(Table3[[#This Row],[Cuenta]],Estructura_Balance[Nombre Cuenta ()],Estructura_Balance[Niveles:2],"",0)</f>
        <v/>
      </c>
      <c r="W218" t="str">
        <f>_xlfn.XLOOKUP(Table3[[#This Row],[Cuenta]],Estructura_Balance[Nombre Cuenta ()],Estructura_Balance[Niveles:3],"",0)</f>
        <v/>
      </c>
      <c r="X218" t="str">
        <f>_xlfn.XLOOKUP(Table3[[#This Row],[Cuenta]],Estructura_Balance[Nombre Cuenta ()],Estructura_Balance[Grupos],"Grupo 1",0)</f>
        <v>Grupo 1</v>
      </c>
      <c r="Y218" t="str">
        <f>+Table3[[#This Row],[BS_Nivel_1]]</f>
        <v/>
      </c>
    </row>
    <row r="219" spans="1:25">
      <c r="A219">
        <f>+'Libro Diario'!F322</f>
        <v>0</v>
      </c>
      <c r="B219" s="144">
        <f>VALUE(IF(+'Libro Diario'!G322="","01/01/2025",+'Libro Diario'!G322))</f>
        <v>45658</v>
      </c>
      <c r="C219">
        <f>IF(ISNUMBER(+IF(IFERROR(VALUE(MID('Libro Diario'!C322,1,4)),0)&lt;&gt;0,'Libro Diario'!C322,0))=FALSE,'Libro Diario'!C322,0)</f>
        <v>0</v>
      </c>
      <c r="D219" s="145" t="str">
        <f>+'Libro Diario'!B322</f>
        <v>Asiento Cuadrado</v>
      </c>
      <c r="E219" s="139" t="s">
        <v>445</v>
      </c>
      <c r="F219" t="str">
        <f t="shared" si="9"/>
        <v>Sin Mov.</v>
      </c>
      <c r="G219" t="str">
        <f>IF(+'Libro Diario'!H322=0,"",+'Libro Diario'!H322)</f>
        <v/>
      </c>
      <c r="H219" t="str">
        <f>IF(+'Libro Diario'!I322=0,"",+'Libro Diario'!I322)</f>
        <v/>
      </c>
      <c r="I219" t="str">
        <f>+IF(Table3[[#This Row],[Tipo Movimiento]]="Estructura Balance y PyG","Excluir","Incluir")</f>
        <v>Incluir</v>
      </c>
      <c r="J219" s="153">
        <f>+IF(Table3[[#This Row],[Sin cuenta]]="Con Mov.",(IF(Table3[[#This Row],[Movimiento]]="Debe",Table3[[#This Row],[Importe]],IF(Table3[[#This Row],[Movimiento]]="Haber",Table3[[#This Row],[Importe]]*-1,0))),0)</f>
        <v>0</v>
      </c>
      <c r="K219" s="145" t="str">
        <f t="shared" si="10"/>
        <v>Asiento Cuadrado</v>
      </c>
      <c r="L219" s="145" t="str">
        <f t="shared" si="11"/>
        <v/>
      </c>
      <c r="M219" t="str">
        <f>_xlfn.XLOOKUP(Table3[[#This Row],[Cuenta]],Estructura_Balance[Nombre Cuenta ()],Estructura_Balance[Grupo],"",0)</f>
        <v/>
      </c>
      <c r="N219" t="str">
        <f>_xlfn.XLOOKUP(Table3[[#This Row],[Cuenta]],Estructura_Balance[Nombre Cuenta ()],Estructura_Balance[Nivel 1],"",0)</f>
        <v/>
      </c>
      <c r="O219" t="str">
        <f>_xlfn.XLOOKUP(Table3[[#This Row],[Cuenta]],Estructura_Balance[Nombre Cuenta ()],Estructura_Balance[Nivel 2],"",0)</f>
        <v/>
      </c>
      <c r="P219" t="str">
        <f>_xlfn.XLOOKUP(Table3[[#This Row],[Cuenta]],Estructura_Balance[Nombre Cuenta ()],Estructura_Balance[Nivel 3],"",0)</f>
        <v/>
      </c>
      <c r="Q219" t="str">
        <f>_xlfn.XLOOKUP(Table3[[#This Row],[Cuenta]],Estructura_Balance[Nombre Cuenta ()],Estructura_Balance[Nivel 4],"",0)</f>
        <v/>
      </c>
      <c r="R219" t="str">
        <f>_xlfn.XLOOKUP(Table3[[#This Row],[Cuenta]],Table8[Nombre Cuenta ()],Table8[Nivel 1],"",0)</f>
        <v/>
      </c>
      <c r="S219" t="str">
        <f>_xlfn.XLOOKUP(Table3[[#This Row],[Cuenta]],Table8[Nombre Cuenta ()],Table8[Nivel 2],"",0)</f>
        <v/>
      </c>
      <c r="T219" t="str">
        <f>_xlfn.XLOOKUP(Table3[[#This Row],[Cuenta]],Table8[Nombre Cuenta ()],Table8[Nivel 3],"",0)</f>
        <v/>
      </c>
      <c r="U219">
        <v>442</v>
      </c>
      <c r="V219" t="str">
        <f>_xlfn.XLOOKUP(Table3[[#This Row],[Cuenta]],Estructura_Balance[Nombre Cuenta ()],Estructura_Balance[Niveles:2],"",0)</f>
        <v/>
      </c>
      <c r="W219" t="str">
        <f>_xlfn.XLOOKUP(Table3[[#This Row],[Cuenta]],Estructura_Balance[Nombre Cuenta ()],Estructura_Balance[Niveles:3],"",0)</f>
        <v/>
      </c>
      <c r="X219" t="str">
        <f>_xlfn.XLOOKUP(Table3[[#This Row],[Cuenta]],Estructura_Balance[Nombre Cuenta ()],Estructura_Balance[Grupos],"Grupo 1",0)</f>
        <v>Grupo 1</v>
      </c>
      <c r="Y219" t="str">
        <f>+Table3[[#This Row],[BS_Nivel_1]]</f>
        <v/>
      </c>
    </row>
    <row r="220" spans="1:25">
      <c r="A220">
        <f>+'Libro Diario'!F323</f>
        <v>0</v>
      </c>
      <c r="B220" s="144">
        <f>VALUE(IF(+'Libro Diario'!G323="","01/01/2025",+'Libro Diario'!G323))</f>
        <v>45658</v>
      </c>
      <c r="C220">
        <f>IF(ISNUMBER(+IF(IFERROR(VALUE(MID('Libro Diario'!C323,1,4)),0)&lt;&gt;0,'Libro Diario'!C323,0))=FALSE,'Libro Diario'!C323,0)</f>
        <v>0</v>
      </c>
      <c r="D220" s="145">
        <f>+'Libro Diario'!B323</f>
        <v>0</v>
      </c>
      <c r="E220" s="139" t="s">
        <v>445</v>
      </c>
      <c r="F220" t="str">
        <f t="shared" si="9"/>
        <v>Sin Mov.</v>
      </c>
      <c r="G220" t="str">
        <f>IF(+'Libro Diario'!H323=0,"",+'Libro Diario'!H323)</f>
        <v/>
      </c>
      <c r="H220" t="str">
        <f>IF(+'Libro Diario'!I323=0,"",+'Libro Diario'!I323)</f>
        <v/>
      </c>
      <c r="I220" t="str">
        <f>+IF(Table3[[#This Row],[Tipo Movimiento]]="Estructura Balance y PyG","Excluir","Incluir")</f>
        <v>Incluir</v>
      </c>
      <c r="J220" s="153">
        <f>+IF(Table3[[#This Row],[Sin cuenta]]="Con Mov.",(IF(Table3[[#This Row],[Movimiento]]="Debe",Table3[[#This Row],[Importe]],IF(Table3[[#This Row],[Movimiento]]="Haber",Table3[[#This Row],[Importe]]*-1,0))),0)</f>
        <v>0</v>
      </c>
      <c r="K220" s="145">
        <f t="shared" si="10"/>
        <v>0</v>
      </c>
      <c r="L220" s="145" t="str">
        <f t="shared" si="11"/>
        <v/>
      </c>
      <c r="M220" t="str">
        <f>_xlfn.XLOOKUP(Table3[[#This Row],[Cuenta]],Estructura_Balance[Nombre Cuenta ()],Estructura_Balance[Grupo],"",0)</f>
        <v/>
      </c>
      <c r="N220" t="str">
        <f>_xlfn.XLOOKUP(Table3[[#This Row],[Cuenta]],Estructura_Balance[Nombre Cuenta ()],Estructura_Balance[Nivel 1],"",0)</f>
        <v/>
      </c>
      <c r="O220" t="str">
        <f>_xlfn.XLOOKUP(Table3[[#This Row],[Cuenta]],Estructura_Balance[Nombre Cuenta ()],Estructura_Balance[Nivel 2],"",0)</f>
        <v/>
      </c>
      <c r="P220" t="str">
        <f>_xlfn.XLOOKUP(Table3[[#This Row],[Cuenta]],Estructura_Balance[Nombre Cuenta ()],Estructura_Balance[Nivel 3],"",0)</f>
        <v/>
      </c>
      <c r="Q220" t="str">
        <f>_xlfn.XLOOKUP(Table3[[#This Row],[Cuenta]],Estructura_Balance[Nombre Cuenta ()],Estructura_Balance[Nivel 4],"",0)</f>
        <v/>
      </c>
      <c r="R220" t="str">
        <f>_xlfn.XLOOKUP(Table3[[#This Row],[Cuenta]],Table8[Nombre Cuenta ()],Table8[Nivel 1],"",0)</f>
        <v/>
      </c>
      <c r="S220" t="str">
        <f>_xlfn.XLOOKUP(Table3[[#This Row],[Cuenta]],Table8[Nombre Cuenta ()],Table8[Nivel 2],"",0)</f>
        <v/>
      </c>
      <c r="T220" t="str">
        <f>_xlfn.XLOOKUP(Table3[[#This Row],[Cuenta]],Table8[Nombre Cuenta ()],Table8[Nivel 3],"",0)</f>
        <v/>
      </c>
      <c r="U220">
        <v>443</v>
      </c>
      <c r="V220" t="str">
        <f>_xlfn.XLOOKUP(Table3[[#This Row],[Cuenta]],Estructura_Balance[Nombre Cuenta ()],Estructura_Balance[Niveles:2],"",0)</f>
        <v/>
      </c>
      <c r="W220" t="str">
        <f>_xlfn.XLOOKUP(Table3[[#This Row],[Cuenta]],Estructura_Balance[Nombre Cuenta ()],Estructura_Balance[Niveles:3],"",0)</f>
        <v/>
      </c>
      <c r="X220" t="str">
        <f>_xlfn.XLOOKUP(Table3[[#This Row],[Cuenta]],Estructura_Balance[Nombre Cuenta ()],Estructura_Balance[Grupos],"Grupo 1",0)</f>
        <v>Grupo 1</v>
      </c>
      <c r="Y220" t="str">
        <f>+Table3[[#This Row],[BS_Nivel_1]]</f>
        <v/>
      </c>
    </row>
    <row r="221" spans="1:25">
      <c r="A221">
        <f>+'Libro Diario'!F324</f>
        <v>0</v>
      </c>
      <c r="B221" s="144">
        <f>VALUE(IF(+'Libro Diario'!G324="","01/01/2025",+'Libro Diario'!G324))</f>
        <v>45658</v>
      </c>
      <c r="C221">
        <f>IF(ISNUMBER(+IF(IFERROR(VALUE(MID('Libro Diario'!C324,1,4)),0)&lt;&gt;0,'Libro Diario'!C324,0))=FALSE,'Libro Diario'!C324,0)</f>
        <v>0</v>
      </c>
      <c r="D221" s="145" t="str">
        <f>+'Libro Diario'!B324</f>
        <v>DEBE</v>
      </c>
      <c r="E221" s="139" t="s">
        <v>445</v>
      </c>
      <c r="F221" t="str">
        <f t="shared" si="9"/>
        <v>Sin Mov.</v>
      </c>
      <c r="G221" t="str">
        <f>IF(+'Libro Diario'!H324=0,"",+'Libro Diario'!H324)</f>
        <v/>
      </c>
      <c r="H221" t="str">
        <f>IF(+'Libro Diario'!I324=0,"",+'Libro Diario'!I324)</f>
        <v/>
      </c>
      <c r="I221" t="str">
        <f>+IF(Table3[[#This Row],[Tipo Movimiento]]="Estructura Balance y PyG","Excluir","Incluir")</f>
        <v>Incluir</v>
      </c>
      <c r="J221" s="153">
        <f>+IF(Table3[[#This Row],[Sin cuenta]]="Con Mov.",(IF(Table3[[#This Row],[Movimiento]]="Debe",Table3[[#This Row],[Importe]],IF(Table3[[#This Row],[Movimiento]]="Haber",Table3[[#This Row],[Importe]]*-1,0))),0)</f>
        <v>0</v>
      </c>
      <c r="K221" s="145" t="str">
        <f t="shared" si="10"/>
        <v>DEBE</v>
      </c>
      <c r="L221" s="145" t="str">
        <f t="shared" si="11"/>
        <v/>
      </c>
      <c r="M221" t="str">
        <f>_xlfn.XLOOKUP(Table3[[#This Row],[Cuenta]],Estructura_Balance[Nombre Cuenta ()],Estructura_Balance[Grupo],"",0)</f>
        <v/>
      </c>
      <c r="N221" t="str">
        <f>_xlfn.XLOOKUP(Table3[[#This Row],[Cuenta]],Estructura_Balance[Nombre Cuenta ()],Estructura_Balance[Nivel 1],"",0)</f>
        <v/>
      </c>
      <c r="O221" t="str">
        <f>_xlfn.XLOOKUP(Table3[[#This Row],[Cuenta]],Estructura_Balance[Nombre Cuenta ()],Estructura_Balance[Nivel 2],"",0)</f>
        <v/>
      </c>
      <c r="P221" t="str">
        <f>_xlfn.XLOOKUP(Table3[[#This Row],[Cuenta]],Estructura_Balance[Nombre Cuenta ()],Estructura_Balance[Nivel 3],"",0)</f>
        <v/>
      </c>
      <c r="Q221" t="str">
        <f>_xlfn.XLOOKUP(Table3[[#This Row],[Cuenta]],Estructura_Balance[Nombre Cuenta ()],Estructura_Balance[Nivel 4],"",0)</f>
        <v/>
      </c>
      <c r="R221" t="str">
        <f>_xlfn.XLOOKUP(Table3[[#This Row],[Cuenta]],Table8[Nombre Cuenta ()],Table8[Nivel 1],"",0)</f>
        <v/>
      </c>
      <c r="S221" t="str">
        <f>_xlfn.XLOOKUP(Table3[[#This Row],[Cuenta]],Table8[Nombre Cuenta ()],Table8[Nivel 2],"",0)</f>
        <v/>
      </c>
      <c r="T221" t="str">
        <f>_xlfn.XLOOKUP(Table3[[#This Row],[Cuenta]],Table8[Nombre Cuenta ()],Table8[Nivel 3],"",0)</f>
        <v/>
      </c>
      <c r="U221">
        <v>446</v>
      </c>
      <c r="V221" t="str">
        <f>_xlfn.XLOOKUP(Table3[[#This Row],[Cuenta]],Estructura_Balance[Nombre Cuenta ()],Estructura_Balance[Niveles:2],"",0)</f>
        <v/>
      </c>
      <c r="W221" t="str">
        <f>_xlfn.XLOOKUP(Table3[[#This Row],[Cuenta]],Estructura_Balance[Nombre Cuenta ()],Estructura_Balance[Niveles:3],"",0)</f>
        <v/>
      </c>
      <c r="X221" t="str">
        <f>_xlfn.XLOOKUP(Table3[[#This Row],[Cuenta]],Estructura_Balance[Nombre Cuenta ()],Estructura_Balance[Grupos],"Grupo 1",0)</f>
        <v>Grupo 1</v>
      </c>
      <c r="Y221" t="str">
        <f>+Table3[[#This Row],[BS_Nivel_1]]</f>
        <v/>
      </c>
    </row>
    <row r="222" spans="1:25">
      <c r="A222">
        <f>+'Libro Diario'!F325</f>
        <v>0</v>
      </c>
      <c r="B222" s="144">
        <f>VALUE(IF(+'Libro Diario'!G325="","01/01/2025",+'Libro Diario'!G325))</f>
        <v>45658</v>
      </c>
      <c r="C222">
        <f>IF(ISNUMBER(+IF(IFERROR(VALUE(MID('Libro Diario'!C325,1,4)),0)&lt;&gt;0,'Libro Diario'!C325,0))=FALSE,'Libro Diario'!C325,0)</f>
        <v>0</v>
      </c>
      <c r="D222" s="145">
        <f>+'Libro Diario'!B325</f>
        <v>0</v>
      </c>
      <c r="E222" s="139" t="s">
        <v>445</v>
      </c>
      <c r="F222" t="str">
        <f t="shared" si="9"/>
        <v>Sin Mov.</v>
      </c>
      <c r="G222" t="str">
        <f>IF(+'Libro Diario'!H325=0,"",+'Libro Diario'!H325)</f>
        <v/>
      </c>
      <c r="H222" t="str">
        <f>IF(+'Libro Diario'!I325=0,"",+'Libro Diario'!I325)</f>
        <v/>
      </c>
      <c r="I222" t="str">
        <f>+IF(Table3[[#This Row],[Tipo Movimiento]]="Estructura Balance y PyG","Excluir","Incluir")</f>
        <v>Incluir</v>
      </c>
      <c r="J222" s="153">
        <f>+IF(Table3[[#This Row],[Sin cuenta]]="Con Mov.",(IF(Table3[[#This Row],[Movimiento]]="Debe",Table3[[#This Row],[Importe]],IF(Table3[[#This Row],[Movimiento]]="Haber",Table3[[#This Row],[Importe]]*-1,0))),0)</f>
        <v>0</v>
      </c>
      <c r="K222" s="145">
        <f t="shared" si="10"/>
        <v>0</v>
      </c>
      <c r="L222" s="145" t="str">
        <f t="shared" si="11"/>
        <v/>
      </c>
      <c r="M222" t="str">
        <f>_xlfn.XLOOKUP(Table3[[#This Row],[Cuenta]],Estructura_Balance[Nombre Cuenta ()],Estructura_Balance[Grupo],"",0)</f>
        <v/>
      </c>
      <c r="N222" t="str">
        <f>_xlfn.XLOOKUP(Table3[[#This Row],[Cuenta]],Estructura_Balance[Nombre Cuenta ()],Estructura_Balance[Nivel 1],"",0)</f>
        <v/>
      </c>
      <c r="O222" t="str">
        <f>_xlfn.XLOOKUP(Table3[[#This Row],[Cuenta]],Estructura_Balance[Nombre Cuenta ()],Estructura_Balance[Nivel 2],"",0)</f>
        <v/>
      </c>
      <c r="P222" t="str">
        <f>_xlfn.XLOOKUP(Table3[[#This Row],[Cuenta]],Estructura_Balance[Nombre Cuenta ()],Estructura_Balance[Nivel 3],"",0)</f>
        <v/>
      </c>
      <c r="Q222" t="str">
        <f>_xlfn.XLOOKUP(Table3[[#This Row],[Cuenta]],Estructura_Balance[Nombre Cuenta ()],Estructura_Balance[Nivel 4],"",0)</f>
        <v/>
      </c>
      <c r="R222" t="str">
        <f>_xlfn.XLOOKUP(Table3[[#This Row],[Cuenta]],Table8[Nombre Cuenta ()],Table8[Nivel 1],"",0)</f>
        <v/>
      </c>
      <c r="S222" t="str">
        <f>_xlfn.XLOOKUP(Table3[[#This Row],[Cuenta]],Table8[Nombre Cuenta ()],Table8[Nivel 2],"",0)</f>
        <v/>
      </c>
      <c r="T222" t="str">
        <f>_xlfn.XLOOKUP(Table3[[#This Row],[Cuenta]],Table8[Nombre Cuenta ()],Table8[Nivel 3],"",0)</f>
        <v/>
      </c>
      <c r="U222">
        <v>447</v>
      </c>
      <c r="V222" t="str">
        <f>_xlfn.XLOOKUP(Table3[[#This Row],[Cuenta]],Estructura_Balance[Nombre Cuenta ()],Estructura_Balance[Niveles:2],"",0)</f>
        <v/>
      </c>
      <c r="W222" t="str">
        <f>_xlfn.XLOOKUP(Table3[[#This Row],[Cuenta]],Estructura_Balance[Nombre Cuenta ()],Estructura_Balance[Niveles:3],"",0)</f>
        <v/>
      </c>
      <c r="X222" t="str">
        <f>_xlfn.XLOOKUP(Table3[[#This Row],[Cuenta]],Estructura_Balance[Nombre Cuenta ()],Estructura_Balance[Grupos],"Grupo 1",0)</f>
        <v>Grupo 1</v>
      </c>
      <c r="Y222" t="str">
        <f>+Table3[[#This Row],[BS_Nivel_1]]</f>
        <v/>
      </c>
    </row>
    <row r="223" spans="1:25">
      <c r="A223">
        <f>+'Libro Diario'!F328</f>
        <v>0</v>
      </c>
      <c r="B223" s="144">
        <f>VALUE(IF(+'Libro Diario'!G328="","01/01/2025",+'Libro Diario'!G328))</f>
        <v>45658</v>
      </c>
      <c r="C223">
        <f>IF(ISNUMBER(+IF(IFERROR(VALUE(MID('Libro Diario'!C328,1,4)),0)&lt;&gt;0,'Libro Diario'!C328,0))=FALSE,'Libro Diario'!C328,0)</f>
        <v>0</v>
      </c>
      <c r="D223" s="145" t="str">
        <f>+'Libro Diario'!B328</f>
        <v>Operaciones del Ejercicio</v>
      </c>
      <c r="E223" s="139" t="s">
        <v>445</v>
      </c>
      <c r="F223" t="str">
        <f t="shared" si="9"/>
        <v>Sin Mov.</v>
      </c>
      <c r="G223" t="str">
        <f>IF(+'Libro Diario'!H328=0,"",+'Libro Diario'!H328)</f>
        <v/>
      </c>
      <c r="H223" t="str">
        <f>IF(+'Libro Diario'!I328=0,"",+'Libro Diario'!I328)</f>
        <v/>
      </c>
      <c r="I223" t="str">
        <f>+IF(Table3[[#This Row],[Tipo Movimiento]]="Estructura Balance y PyG","Excluir","Incluir")</f>
        <v>Incluir</v>
      </c>
      <c r="J223" s="153">
        <f>+IF(Table3[[#This Row],[Sin cuenta]]="Con Mov.",(IF(Table3[[#This Row],[Movimiento]]="Debe",Table3[[#This Row],[Importe]],IF(Table3[[#This Row],[Movimiento]]="Haber",Table3[[#This Row],[Importe]]*-1,0))),0)</f>
        <v>0</v>
      </c>
      <c r="K223" s="145" t="str">
        <f t="shared" si="10"/>
        <v>Operaciones del Ejercicio</v>
      </c>
      <c r="L223" s="145" t="str">
        <f t="shared" si="11"/>
        <v/>
      </c>
      <c r="M223" t="str">
        <f>_xlfn.XLOOKUP(Table3[[#This Row],[Cuenta]],Estructura_Balance[Nombre Cuenta ()],Estructura_Balance[Grupo],"",0)</f>
        <v/>
      </c>
      <c r="N223" t="str">
        <f>_xlfn.XLOOKUP(Table3[[#This Row],[Cuenta]],Estructura_Balance[Nombre Cuenta ()],Estructura_Balance[Nivel 1],"",0)</f>
        <v/>
      </c>
      <c r="O223" t="str">
        <f>_xlfn.XLOOKUP(Table3[[#This Row],[Cuenta]],Estructura_Balance[Nombre Cuenta ()],Estructura_Balance[Nivel 2],"",0)</f>
        <v/>
      </c>
      <c r="P223" t="str">
        <f>_xlfn.XLOOKUP(Table3[[#This Row],[Cuenta]],Estructura_Balance[Nombre Cuenta ()],Estructura_Balance[Nivel 3],"",0)</f>
        <v/>
      </c>
      <c r="Q223" t="str">
        <f>_xlfn.XLOOKUP(Table3[[#This Row],[Cuenta]],Estructura_Balance[Nombre Cuenta ()],Estructura_Balance[Nivel 4],"",0)</f>
        <v/>
      </c>
      <c r="R223" t="str">
        <f>_xlfn.XLOOKUP(Table3[[#This Row],[Cuenta]],Table8[Nombre Cuenta ()],Table8[Nivel 1],"",0)</f>
        <v/>
      </c>
      <c r="S223" t="str">
        <f>_xlfn.XLOOKUP(Table3[[#This Row],[Cuenta]],Table8[Nombre Cuenta ()],Table8[Nivel 2],"",0)</f>
        <v/>
      </c>
      <c r="T223" t="str">
        <f>_xlfn.XLOOKUP(Table3[[#This Row],[Cuenta]],Table8[Nombre Cuenta ()],Table8[Nivel 3],"",0)</f>
        <v/>
      </c>
      <c r="U223">
        <v>450</v>
      </c>
      <c r="V223" t="str">
        <f>_xlfn.XLOOKUP(Table3[[#This Row],[Cuenta]],Estructura_Balance[Nombre Cuenta ()],Estructura_Balance[Niveles:2],"",0)</f>
        <v/>
      </c>
      <c r="W223" t="str">
        <f>_xlfn.XLOOKUP(Table3[[#This Row],[Cuenta]],Estructura_Balance[Nombre Cuenta ()],Estructura_Balance[Niveles:3],"",0)</f>
        <v/>
      </c>
      <c r="X223" t="str">
        <f>_xlfn.XLOOKUP(Table3[[#This Row],[Cuenta]],Estructura_Balance[Nombre Cuenta ()],Estructura_Balance[Grupos],"Grupo 1",0)</f>
        <v>Grupo 1</v>
      </c>
      <c r="Y223" t="str">
        <f>+Table3[[#This Row],[BS_Nivel_1]]</f>
        <v/>
      </c>
    </row>
    <row r="224" spans="1:25">
      <c r="A224">
        <f>+'Libro Diario'!F329</f>
        <v>0</v>
      </c>
      <c r="B224" s="144">
        <f>VALUE(IF(+'Libro Diario'!G329="","01/01/2025",+'Libro Diario'!G329))</f>
        <v>45658</v>
      </c>
      <c r="C224">
        <f>IF(ISNUMBER(+IF(IFERROR(VALUE(MID('Libro Diario'!C329,1,4)),0)&lt;&gt;0,'Libro Diario'!C329,0))=FALSE,'Libro Diario'!C329,0)</f>
        <v>0</v>
      </c>
      <c r="D224" s="145" t="str">
        <f>+'Libro Diario'!B329</f>
        <v>Asiento Cuadrado</v>
      </c>
      <c r="E224" s="139" t="s">
        <v>445</v>
      </c>
      <c r="F224" t="str">
        <f t="shared" si="9"/>
        <v>Sin Mov.</v>
      </c>
      <c r="G224" t="str">
        <f>IF(+'Libro Diario'!H329=0,"",+'Libro Diario'!H329)</f>
        <v/>
      </c>
      <c r="H224" t="str">
        <f>IF(+'Libro Diario'!I329=0,"",+'Libro Diario'!I329)</f>
        <v/>
      </c>
      <c r="I224" t="str">
        <f>+IF(Table3[[#This Row],[Tipo Movimiento]]="Estructura Balance y PyG","Excluir","Incluir")</f>
        <v>Incluir</v>
      </c>
      <c r="J224" s="153">
        <f>+IF(Table3[[#This Row],[Sin cuenta]]="Con Mov.",(IF(Table3[[#This Row],[Movimiento]]="Debe",Table3[[#This Row],[Importe]],IF(Table3[[#This Row],[Movimiento]]="Haber",Table3[[#This Row],[Importe]]*-1,0))),0)</f>
        <v>0</v>
      </c>
      <c r="K224" s="145" t="str">
        <f t="shared" si="10"/>
        <v>Asiento Cuadrado</v>
      </c>
      <c r="L224" s="145" t="str">
        <f t="shared" si="11"/>
        <v/>
      </c>
      <c r="M224" t="str">
        <f>_xlfn.XLOOKUP(Table3[[#This Row],[Cuenta]],Estructura_Balance[Nombre Cuenta ()],Estructura_Balance[Grupo],"",0)</f>
        <v/>
      </c>
      <c r="N224" t="str">
        <f>_xlfn.XLOOKUP(Table3[[#This Row],[Cuenta]],Estructura_Balance[Nombre Cuenta ()],Estructura_Balance[Nivel 1],"",0)</f>
        <v/>
      </c>
      <c r="O224" t="str">
        <f>_xlfn.XLOOKUP(Table3[[#This Row],[Cuenta]],Estructura_Balance[Nombre Cuenta ()],Estructura_Balance[Nivel 2],"",0)</f>
        <v/>
      </c>
      <c r="P224" t="str">
        <f>_xlfn.XLOOKUP(Table3[[#This Row],[Cuenta]],Estructura_Balance[Nombre Cuenta ()],Estructura_Balance[Nivel 3],"",0)</f>
        <v/>
      </c>
      <c r="Q224" t="str">
        <f>_xlfn.XLOOKUP(Table3[[#This Row],[Cuenta]],Estructura_Balance[Nombre Cuenta ()],Estructura_Balance[Nivel 4],"",0)</f>
        <v/>
      </c>
      <c r="R224" t="str">
        <f>_xlfn.XLOOKUP(Table3[[#This Row],[Cuenta]],Table8[Nombre Cuenta ()],Table8[Nivel 1],"",0)</f>
        <v/>
      </c>
      <c r="S224" t="str">
        <f>_xlfn.XLOOKUP(Table3[[#This Row],[Cuenta]],Table8[Nombre Cuenta ()],Table8[Nivel 2],"",0)</f>
        <v/>
      </c>
      <c r="T224" t="str">
        <f>_xlfn.XLOOKUP(Table3[[#This Row],[Cuenta]],Table8[Nombre Cuenta ()],Table8[Nivel 3],"",0)</f>
        <v/>
      </c>
      <c r="U224">
        <v>453</v>
      </c>
      <c r="V224" t="str">
        <f>_xlfn.XLOOKUP(Table3[[#This Row],[Cuenta]],Estructura_Balance[Nombre Cuenta ()],Estructura_Balance[Niveles:2],"",0)</f>
        <v/>
      </c>
      <c r="W224" t="str">
        <f>_xlfn.XLOOKUP(Table3[[#This Row],[Cuenta]],Estructura_Balance[Nombre Cuenta ()],Estructura_Balance[Niveles:3],"",0)</f>
        <v/>
      </c>
      <c r="X224" t="str">
        <f>_xlfn.XLOOKUP(Table3[[#This Row],[Cuenta]],Estructura_Balance[Nombre Cuenta ()],Estructura_Balance[Grupos],"Grupo 1",0)</f>
        <v>Grupo 1</v>
      </c>
      <c r="Y224" t="str">
        <f>+Table3[[#This Row],[BS_Nivel_1]]</f>
        <v/>
      </c>
    </row>
    <row r="225" spans="1:25">
      <c r="A225">
        <f>+'Libro Diario'!F330</f>
        <v>0</v>
      </c>
      <c r="B225" s="144">
        <f>VALUE(IF(+'Libro Diario'!G330="","01/01/2025",+'Libro Diario'!G330))</f>
        <v>45658</v>
      </c>
      <c r="C225">
        <f>IF(ISNUMBER(+IF(IFERROR(VALUE(MID('Libro Diario'!C330,1,4)),0)&lt;&gt;0,'Libro Diario'!C330,0))=FALSE,'Libro Diario'!C330,0)</f>
        <v>0</v>
      </c>
      <c r="D225" s="145">
        <f>+'Libro Diario'!B330</f>
        <v>0</v>
      </c>
      <c r="E225" s="139" t="s">
        <v>445</v>
      </c>
      <c r="F225" t="str">
        <f t="shared" si="9"/>
        <v>Sin Mov.</v>
      </c>
      <c r="G225" t="str">
        <f>IF(+'Libro Diario'!H330=0,"",+'Libro Diario'!H330)</f>
        <v/>
      </c>
      <c r="H225" t="str">
        <f>IF(+'Libro Diario'!I330=0,"",+'Libro Diario'!I330)</f>
        <v/>
      </c>
      <c r="I225" t="str">
        <f>+IF(Table3[[#This Row],[Tipo Movimiento]]="Estructura Balance y PyG","Excluir","Incluir")</f>
        <v>Incluir</v>
      </c>
      <c r="J225" s="153">
        <f>+IF(Table3[[#This Row],[Sin cuenta]]="Con Mov.",(IF(Table3[[#This Row],[Movimiento]]="Debe",Table3[[#This Row],[Importe]],IF(Table3[[#This Row],[Movimiento]]="Haber",Table3[[#This Row],[Importe]]*-1,0))),0)</f>
        <v>0</v>
      </c>
      <c r="K225" s="145">
        <f t="shared" si="10"/>
        <v>0</v>
      </c>
      <c r="L225" s="145" t="str">
        <f t="shared" si="11"/>
        <v/>
      </c>
      <c r="M225" t="str">
        <f>_xlfn.XLOOKUP(Table3[[#This Row],[Cuenta]],Estructura_Balance[Nombre Cuenta ()],Estructura_Balance[Grupo],"",0)</f>
        <v/>
      </c>
      <c r="N225" t="str">
        <f>_xlfn.XLOOKUP(Table3[[#This Row],[Cuenta]],Estructura_Balance[Nombre Cuenta ()],Estructura_Balance[Nivel 1],"",0)</f>
        <v/>
      </c>
      <c r="O225" t="str">
        <f>_xlfn.XLOOKUP(Table3[[#This Row],[Cuenta]],Estructura_Balance[Nombre Cuenta ()],Estructura_Balance[Nivel 2],"",0)</f>
        <v/>
      </c>
      <c r="P225" t="str">
        <f>_xlfn.XLOOKUP(Table3[[#This Row],[Cuenta]],Estructura_Balance[Nombre Cuenta ()],Estructura_Balance[Nivel 3],"",0)</f>
        <v/>
      </c>
      <c r="Q225" t="str">
        <f>_xlfn.XLOOKUP(Table3[[#This Row],[Cuenta]],Estructura_Balance[Nombre Cuenta ()],Estructura_Balance[Nivel 4],"",0)</f>
        <v/>
      </c>
      <c r="R225" t="str">
        <f>_xlfn.XLOOKUP(Table3[[#This Row],[Cuenta]],Table8[Nombre Cuenta ()],Table8[Nivel 1],"",0)</f>
        <v/>
      </c>
      <c r="S225" t="str">
        <f>_xlfn.XLOOKUP(Table3[[#This Row],[Cuenta]],Table8[Nombre Cuenta ()],Table8[Nivel 2],"",0)</f>
        <v/>
      </c>
      <c r="T225" t="str">
        <f>_xlfn.XLOOKUP(Table3[[#This Row],[Cuenta]],Table8[Nombre Cuenta ()],Table8[Nivel 3],"",0)</f>
        <v/>
      </c>
      <c r="U225">
        <v>454</v>
      </c>
      <c r="V225" t="str">
        <f>_xlfn.XLOOKUP(Table3[[#This Row],[Cuenta]],Estructura_Balance[Nombre Cuenta ()],Estructura_Balance[Niveles:2],"",0)</f>
        <v/>
      </c>
      <c r="W225" t="str">
        <f>_xlfn.XLOOKUP(Table3[[#This Row],[Cuenta]],Estructura_Balance[Nombre Cuenta ()],Estructura_Balance[Niveles:3],"",0)</f>
        <v/>
      </c>
      <c r="X225" t="str">
        <f>_xlfn.XLOOKUP(Table3[[#This Row],[Cuenta]],Estructura_Balance[Nombre Cuenta ()],Estructura_Balance[Grupos],"Grupo 1",0)</f>
        <v>Grupo 1</v>
      </c>
      <c r="Y225" t="str">
        <f>+Table3[[#This Row],[BS_Nivel_1]]</f>
        <v/>
      </c>
    </row>
    <row r="226" spans="1:25">
      <c r="A226">
        <f>+'Libro Diario'!F331</f>
        <v>0</v>
      </c>
      <c r="B226" s="144">
        <f>VALUE(IF(+'Libro Diario'!G331="","01/01/2025",+'Libro Diario'!G331))</f>
        <v>45658</v>
      </c>
      <c r="C226">
        <f>IF(ISNUMBER(+IF(IFERROR(VALUE(MID('Libro Diario'!C331,1,4)),0)&lt;&gt;0,'Libro Diario'!C331,0))=FALSE,'Libro Diario'!C331,0)</f>
        <v>0</v>
      </c>
      <c r="D226" s="145" t="str">
        <f>+'Libro Diario'!B331</f>
        <v>DEBE</v>
      </c>
      <c r="E226" s="139" t="s">
        <v>445</v>
      </c>
      <c r="F226" t="str">
        <f t="shared" si="9"/>
        <v>Sin Mov.</v>
      </c>
      <c r="G226" t="str">
        <f>IF(+'Libro Diario'!H331=0,"",+'Libro Diario'!H331)</f>
        <v/>
      </c>
      <c r="H226" t="str">
        <f>IF(+'Libro Diario'!I331=0,"",+'Libro Diario'!I331)</f>
        <v/>
      </c>
      <c r="I226" t="str">
        <f>+IF(Table3[[#This Row],[Tipo Movimiento]]="Estructura Balance y PyG","Excluir","Incluir")</f>
        <v>Incluir</v>
      </c>
      <c r="J226" s="153">
        <f>+IF(Table3[[#This Row],[Sin cuenta]]="Con Mov.",(IF(Table3[[#This Row],[Movimiento]]="Debe",Table3[[#This Row],[Importe]],IF(Table3[[#This Row],[Movimiento]]="Haber",Table3[[#This Row],[Importe]]*-1,0))),0)</f>
        <v>0</v>
      </c>
      <c r="K226" s="145" t="str">
        <f t="shared" si="10"/>
        <v>DEBE</v>
      </c>
      <c r="L226" s="145" t="str">
        <f t="shared" si="11"/>
        <v/>
      </c>
      <c r="M226" t="str">
        <f>_xlfn.XLOOKUP(Table3[[#This Row],[Cuenta]],Estructura_Balance[Nombre Cuenta ()],Estructura_Balance[Grupo],"",0)</f>
        <v/>
      </c>
      <c r="N226" t="str">
        <f>_xlfn.XLOOKUP(Table3[[#This Row],[Cuenta]],Estructura_Balance[Nombre Cuenta ()],Estructura_Balance[Nivel 1],"",0)</f>
        <v/>
      </c>
      <c r="O226" t="str">
        <f>_xlfn.XLOOKUP(Table3[[#This Row],[Cuenta]],Estructura_Balance[Nombre Cuenta ()],Estructura_Balance[Nivel 2],"",0)</f>
        <v/>
      </c>
      <c r="P226" t="str">
        <f>_xlfn.XLOOKUP(Table3[[#This Row],[Cuenta]],Estructura_Balance[Nombre Cuenta ()],Estructura_Balance[Nivel 3],"",0)</f>
        <v/>
      </c>
      <c r="Q226" t="str">
        <f>_xlfn.XLOOKUP(Table3[[#This Row],[Cuenta]],Estructura_Balance[Nombre Cuenta ()],Estructura_Balance[Nivel 4],"",0)</f>
        <v/>
      </c>
      <c r="R226" t="str">
        <f>_xlfn.XLOOKUP(Table3[[#This Row],[Cuenta]],Table8[Nombre Cuenta ()],Table8[Nivel 1],"",0)</f>
        <v/>
      </c>
      <c r="S226" t="str">
        <f>_xlfn.XLOOKUP(Table3[[#This Row],[Cuenta]],Table8[Nombre Cuenta ()],Table8[Nivel 2],"",0)</f>
        <v/>
      </c>
      <c r="T226" t="str">
        <f>_xlfn.XLOOKUP(Table3[[#This Row],[Cuenta]],Table8[Nombre Cuenta ()],Table8[Nivel 3],"",0)</f>
        <v/>
      </c>
      <c r="U226">
        <v>455</v>
      </c>
      <c r="V226" t="str">
        <f>_xlfn.XLOOKUP(Table3[[#This Row],[Cuenta]],Estructura_Balance[Nombre Cuenta ()],Estructura_Balance[Niveles:2],"",0)</f>
        <v/>
      </c>
      <c r="W226" t="str">
        <f>_xlfn.XLOOKUP(Table3[[#This Row],[Cuenta]],Estructura_Balance[Nombre Cuenta ()],Estructura_Balance[Niveles:3],"",0)</f>
        <v/>
      </c>
      <c r="X226" t="str">
        <f>_xlfn.XLOOKUP(Table3[[#This Row],[Cuenta]],Estructura_Balance[Nombre Cuenta ()],Estructura_Balance[Grupos],"Grupo 1",0)</f>
        <v>Grupo 1</v>
      </c>
      <c r="Y226" t="str">
        <f>+Table3[[#This Row],[BS_Nivel_1]]</f>
        <v/>
      </c>
    </row>
    <row r="227" spans="1:25">
      <c r="A227">
        <f>+'Libro Diario'!F332</f>
        <v>0</v>
      </c>
      <c r="B227" s="144">
        <f>VALUE(IF(+'Libro Diario'!G332="","01/01/2025",+'Libro Diario'!G332))</f>
        <v>45658</v>
      </c>
      <c r="C227">
        <f>IF(ISNUMBER(+IF(IFERROR(VALUE(MID('Libro Diario'!C332,1,4)),0)&lt;&gt;0,'Libro Diario'!C332,0))=FALSE,'Libro Diario'!C332,0)</f>
        <v>0</v>
      </c>
      <c r="D227" s="145">
        <f>+'Libro Diario'!B332</f>
        <v>0</v>
      </c>
      <c r="E227" s="139" t="s">
        <v>445</v>
      </c>
      <c r="F227" t="str">
        <f t="shared" si="9"/>
        <v>Sin Mov.</v>
      </c>
      <c r="G227" t="str">
        <f>IF(+'Libro Diario'!H332=0,"",+'Libro Diario'!H332)</f>
        <v/>
      </c>
      <c r="H227" t="str">
        <f>IF(+'Libro Diario'!I332=0,"",+'Libro Diario'!I332)</f>
        <v/>
      </c>
      <c r="I227" t="str">
        <f>+IF(Table3[[#This Row],[Tipo Movimiento]]="Estructura Balance y PyG","Excluir","Incluir")</f>
        <v>Incluir</v>
      </c>
      <c r="J227" s="153">
        <f>+IF(Table3[[#This Row],[Sin cuenta]]="Con Mov.",(IF(Table3[[#This Row],[Movimiento]]="Debe",Table3[[#This Row],[Importe]],IF(Table3[[#This Row],[Movimiento]]="Haber",Table3[[#This Row],[Importe]]*-1,0))),0)</f>
        <v>0</v>
      </c>
      <c r="K227" s="145">
        <f t="shared" si="10"/>
        <v>0</v>
      </c>
      <c r="L227" s="145" t="str">
        <f t="shared" si="11"/>
        <v/>
      </c>
      <c r="M227" t="str">
        <f>_xlfn.XLOOKUP(Table3[[#This Row],[Cuenta]],Estructura_Balance[Nombre Cuenta ()],Estructura_Balance[Grupo],"",0)</f>
        <v/>
      </c>
      <c r="N227" t="str">
        <f>_xlfn.XLOOKUP(Table3[[#This Row],[Cuenta]],Estructura_Balance[Nombre Cuenta ()],Estructura_Balance[Nivel 1],"",0)</f>
        <v/>
      </c>
      <c r="O227" t="str">
        <f>_xlfn.XLOOKUP(Table3[[#This Row],[Cuenta]],Estructura_Balance[Nombre Cuenta ()],Estructura_Balance[Nivel 2],"",0)</f>
        <v/>
      </c>
      <c r="P227" t="str">
        <f>_xlfn.XLOOKUP(Table3[[#This Row],[Cuenta]],Estructura_Balance[Nombre Cuenta ()],Estructura_Balance[Nivel 3],"",0)</f>
        <v/>
      </c>
      <c r="Q227" t="str">
        <f>_xlfn.XLOOKUP(Table3[[#This Row],[Cuenta]],Estructura_Balance[Nombre Cuenta ()],Estructura_Balance[Nivel 4],"",0)</f>
        <v/>
      </c>
      <c r="R227" t="str">
        <f>_xlfn.XLOOKUP(Table3[[#This Row],[Cuenta]],Table8[Nombre Cuenta ()],Table8[Nivel 1],"",0)</f>
        <v/>
      </c>
      <c r="S227" t="str">
        <f>_xlfn.XLOOKUP(Table3[[#This Row],[Cuenta]],Table8[Nombre Cuenta ()],Table8[Nivel 2],"",0)</f>
        <v/>
      </c>
      <c r="T227" t="str">
        <f>_xlfn.XLOOKUP(Table3[[#This Row],[Cuenta]],Table8[Nombre Cuenta ()],Table8[Nivel 3],"",0)</f>
        <v/>
      </c>
      <c r="U227">
        <v>456</v>
      </c>
      <c r="V227" t="str">
        <f>_xlfn.XLOOKUP(Table3[[#This Row],[Cuenta]],Estructura_Balance[Nombre Cuenta ()],Estructura_Balance[Niveles:2],"",0)</f>
        <v/>
      </c>
      <c r="W227" t="str">
        <f>_xlfn.XLOOKUP(Table3[[#This Row],[Cuenta]],Estructura_Balance[Nombre Cuenta ()],Estructura_Balance[Niveles:3],"",0)</f>
        <v/>
      </c>
      <c r="X227" t="str">
        <f>_xlfn.XLOOKUP(Table3[[#This Row],[Cuenta]],Estructura_Balance[Nombre Cuenta ()],Estructura_Balance[Grupos],"Grupo 1",0)</f>
        <v>Grupo 1</v>
      </c>
      <c r="Y227" t="str">
        <f>+Table3[[#This Row],[BS_Nivel_1]]</f>
        <v/>
      </c>
    </row>
    <row r="228" spans="1:25">
      <c r="A228">
        <f>+'Libro Diario'!F336</f>
        <v>0</v>
      </c>
      <c r="B228" s="144">
        <f>VALUE(IF(+'Libro Diario'!G336="","01/01/2025",+'Libro Diario'!G336))</f>
        <v>45658</v>
      </c>
      <c r="C228">
        <f>IF(ISNUMBER(+IF(IFERROR(VALUE(MID('Libro Diario'!C336,1,4)),0)&lt;&gt;0,'Libro Diario'!C336,0))=FALSE,'Libro Diario'!C336,0)</f>
        <v>0</v>
      </c>
      <c r="D228" s="145" t="str">
        <f>+'Libro Diario'!B336</f>
        <v>Operaciones del Ejercicio</v>
      </c>
      <c r="E228" s="139" t="s">
        <v>445</v>
      </c>
      <c r="F228" t="str">
        <f t="shared" si="9"/>
        <v>Sin Mov.</v>
      </c>
      <c r="G228" t="str">
        <f>IF(+'Libro Diario'!H336=0,"",+'Libro Diario'!H336)</f>
        <v/>
      </c>
      <c r="H228" t="str">
        <f>IF(+'Libro Diario'!I336=0,"",+'Libro Diario'!I336)</f>
        <v/>
      </c>
      <c r="I228" t="str">
        <f>+IF(Table3[[#This Row],[Tipo Movimiento]]="Estructura Balance y PyG","Excluir","Incluir")</f>
        <v>Incluir</v>
      </c>
      <c r="J228" s="153">
        <f>+IF(Table3[[#This Row],[Sin cuenta]]="Con Mov.",(IF(Table3[[#This Row],[Movimiento]]="Debe",Table3[[#This Row],[Importe]],IF(Table3[[#This Row],[Movimiento]]="Haber",Table3[[#This Row],[Importe]]*-1,0))),0)</f>
        <v>0</v>
      </c>
      <c r="K228" s="145" t="str">
        <f t="shared" si="10"/>
        <v>Operaciones del Ejercicio</v>
      </c>
      <c r="L228" s="145" t="str">
        <f t="shared" si="11"/>
        <v/>
      </c>
      <c r="M228" t="str">
        <f>_xlfn.XLOOKUP(Table3[[#This Row],[Cuenta]],Estructura_Balance[Nombre Cuenta ()],Estructura_Balance[Grupo],"",0)</f>
        <v/>
      </c>
      <c r="N228" t="str">
        <f>_xlfn.XLOOKUP(Table3[[#This Row],[Cuenta]],Estructura_Balance[Nombre Cuenta ()],Estructura_Balance[Nivel 1],"",0)</f>
        <v/>
      </c>
      <c r="O228" t="str">
        <f>_xlfn.XLOOKUP(Table3[[#This Row],[Cuenta]],Estructura_Balance[Nombre Cuenta ()],Estructura_Balance[Nivel 2],"",0)</f>
        <v/>
      </c>
      <c r="P228" t="str">
        <f>_xlfn.XLOOKUP(Table3[[#This Row],[Cuenta]],Estructura_Balance[Nombre Cuenta ()],Estructura_Balance[Nivel 3],"",0)</f>
        <v/>
      </c>
      <c r="Q228" t="str">
        <f>_xlfn.XLOOKUP(Table3[[#This Row],[Cuenta]],Estructura_Balance[Nombre Cuenta ()],Estructura_Balance[Nivel 4],"",0)</f>
        <v/>
      </c>
      <c r="R228" t="str">
        <f>_xlfn.XLOOKUP(Table3[[#This Row],[Cuenta]],Table8[Nombre Cuenta ()],Table8[Nivel 1],"",0)</f>
        <v/>
      </c>
      <c r="S228" t="str">
        <f>_xlfn.XLOOKUP(Table3[[#This Row],[Cuenta]],Table8[Nombre Cuenta ()],Table8[Nivel 2],"",0)</f>
        <v/>
      </c>
      <c r="T228" t="str">
        <f>_xlfn.XLOOKUP(Table3[[#This Row],[Cuenta]],Table8[Nombre Cuenta ()],Table8[Nivel 3],"",0)</f>
        <v/>
      </c>
      <c r="U228">
        <v>462</v>
      </c>
      <c r="V228" t="str">
        <f>_xlfn.XLOOKUP(Table3[[#This Row],[Cuenta]],Estructura_Balance[Nombre Cuenta ()],Estructura_Balance[Niveles:2],"",0)</f>
        <v/>
      </c>
      <c r="W228" t="str">
        <f>_xlfn.XLOOKUP(Table3[[#This Row],[Cuenta]],Estructura_Balance[Nombre Cuenta ()],Estructura_Balance[Niveles:3],"",0)</f>
        <v/>
      </c>
      <c r="X228" t="str">
        <f>_xlfn.XLOOKUP(Table3[[#This Row],[Cuenta]],Estructura_Balance[Nombre Cuenta ()],Estructura_Balance[Grupos],"Grupo 1",0)</f>
        <v>Grupo 1</v>
      </c>
      <c r="Y228" t="str">
        <f>+Table3[[#This Row],[BS_Nivel_1]]</f>
        <v/>
      </c>
    </row>
    <row r="229" spans="1:25">
      <c r="A229">
        <f>+'Libro Diario'!F337</f>
        <v>0</v>
      </c>
      <c r="B229" s="144">
        <f>VALUE(IF(+'Libro Diario'!G337="","01/01/2025",+'Libro Diario'!G337))</f>
        <v>45658</v>
      </c>
      <c r="C229">
        <f>IF(ISNUMBER(+IF(IFERROR(VALUE(MID('Libro Diario'!C337,1,4)),0)&lt;&gt;0,'Libro Diario'!C337,0))=FALSE,'Libro Diario'!C337,0)</f>
        <v>0</v>
      </c>
      <c r="D229" s="145" t="str">
        <f>+'Libro Diario'!B337</f>
        <v>Asiento Cuadrado</v>
      </c>
      <c r="E229" s="139" t="s">
        <v>445</v>
      </c>
      <c r="F229" t="str">
        <f t="shared" si="9"/>
        <v>Sin Mov.</v>
      </c>
      <c r="G229" t="str">
        <f>IF(+'Libro Diario'!H337=0,"",+'Libro Diario'!H337)</f>
        <v/>
      </c>
      <c r="H229" t="str">
        <f>IF(+'Libro Diario'!I337=0,"",+'Libro Diario'!I337)</f>
        <v/>
      </c>
      <c r="I229" t="str">
        <f>+IF(Table3[[#This Row],[Tipo Movimiento]]="Estructura Balance y PyG","Excluir","Incluir")</f>
        <v>Incluir</v>
      </c>
      <c r="J229" s="153">
        <f>+IF(Table3[[#This Row],[Sin cuenta]]="Con Mov.",(IF(Table3[[#This Row],[Movimiento]]="Debe",Table3[[#This Row],[Importe]],IF(Table3[[#This Row],[Movimiento]]="Haber",Table3[[#This Row],[Importe]]*-1,0))),0)</f>
        <v>0</v>
      </c>
      <c r="K229" s="145" t="str">
        <f t="shared" si="10"/>
        <v>Asiento Cuadrado</v>
      </c>
      <c r="L229" s="145" t="str">
        <f t="shared" si="11"/>
        <v/>
      </c>
      <c r="M229" t="str">
        <f>_xlfn.XLOOKUP(Table3[[#This Row],[Cuenta]],Estructura_Balance[Nombre Cuenta ()],Estructura_Balance[Grupo],"",0)</f>
        <v/>
      </c>
      <c r="N229" t="str">
        <f>_xlfn.XLOOKUP(Table3[[#This Row],[Cuenta]],Estructura_Balance[Nombre Cuenta ()],Estructura_Balance[Nivel 1],"",0)</f>
        <v/>
      </c>
      <c r="O229" t="str">
        <f>_xlfn.XLOOKUP(Table3[[#This Row],[Cuenta]],Estructura_Balance[Nombre Cuenta ()],Estructura_Balance[Nivel 2],"",0)</f>
        <v/>
      </c>
      <c r="P229" t="str">
        <f>_xlfn.XLOOKUP(Table3[[#This Row],[Cuenta]],Estructura_Balance[Nombre Cuenta ()],Estructura_Balance[Nivel 3],"",0)</f>
        <v/>
      </c>
      <c r="Q229" t="str">
        <f>_xlfn.XLOOKUP(Table3[[#This Row],[Cuenta]],Estructura_Balance[Nombre Cuenta ()],Estructura_Balance[Nivel 4],"",0)</f>
        <v/>
      </c>
      <c r="R229" t="str">
        <f>_xlfn.XLOOKUP(Table3[[#This Row],[Cuenta]],Table8[Nombre Cuenta ()],Table8[Nivel 1],"",0)</f>
        <v/>
      </c>
      <c r="S229" t="str">
        <f>_xlfn.XLOOKUP(Table3[[#This Row],[Cuenta]],Table8[Nombre Cuenta ()],Table8[Nivel 2],"",0)</f>
        <v/>
      </c>
      <c r="T229" t="str">
        <f>_xlfn.XLOOKUP(Table3[[#This Row],[Cuenta]],Table8[Nombre Cuenta ()],Table8[Nivel 3],"",0)</f>
        <v/>
      </c>
      <c r="U229">
        <v>463</v>
      </c>
      <c r="V229" t="str">
        <f>_xlfn.XLOOKUP(Table3[[#This Row],[Cuenta]],Estructura_Balance[Nombre Cuenta ()],Estructura_Balance[Niveles:2],"",0)</f>
        <v/>
      </c>
      <c r="W229" t="str">
        <f>_xlfn.XLOOKUP(Table3[[#This Row],[Cuenta]],Estructura_Balance[Nombre Cuenta ()],Estructura_Balance[Niveles:3],"",0)</f>
        <v/>
      </c>
      <c r="X229" t="str">
        <f>_xlfn.XLOOKUP(Table3[[#This Row],[Cuenta]],Estructura_Balance[Nombre Cuenta ()],Estructura_Balance[Grupos],"Grupo 1",0)</f>
        <v>Grupo 1</v>
      </c>
      <c r="Y229" t="str">
        <f>+Table3[[#This Row],[BS_Nivel_1]]</f>
        <v/>
      </c>
    </row>
    <row r="230" spans="1:25">
      <c r="A230">
        <f>+'Libro Diario'!F338</f>
        <v>0</v>
      </c>
      <c r="B230" s="144">
        <f>VALUE(IF(+'Libro Diario'!G338="","01/01/2025",+'Libro Diario'!G338))</f>
        <v>45658</v>
      </c>
      <c r="C230">
        <f>IF(ISNUMBER(+IF(IFERROR(VALUE(MID('Libro Diario'!C338,1,4)),0)&lt;&gt;0,'Libro Diario'!C338,0))=FALSE,'Libro Diario'!C338,0)</f>
        <v>0</v>
      </c>
      <c r="D230" s="145">
        <f>+'Libro Diario'!B338</f>
        <v>0</v>
      </c>
      <c r="E230" s="139" t="s">
        <v>445</v>
      </c>
      <c r="F230" t="str">
        <f t="shared" si="9"/>
        <v>Sin Mov.</v>
      </c>
      <c r="G230" t="str">
        <f>IF(+'Libro Diario'!H338=0,"",+'Libro Diario'!H338)</f>
        <v/>
      </c>
      <c r="H230" t="str">
        <f>IF(+'Libro Diario'!I338=0,"",+'Libro Diario'!I338)</f>
        <v/>
      </c>
      <c r="I230" t="str">
        <f>+IF(Table3[[#This Row],[Tipo Movimiento]]="Estructura Balance y PyG","Excluir","Incluir")</f>
        <v>Incluir</v>
      </c>
      <c r="J230" s="153">
        <f>+IF(Table3[[#This Row],[Sin cuenta]]="Con Mov.",(IF(Table3[[#This Row],[Movimiento]]="Debe",Table3[[#This Row],[Importe]],IF(Table3[[#This Row],[Movimiento]]="Haber",Table3[[#This Row],[Importe]]*-1,0))),0)</f>
        <v>0</v>
      </c>
      <c r="K230" s="145">
        <f t="shared" si="10"/>
        <v>0</v>
      </c>
      <c r="L230" s="145" t="str">
        <f t="shared" si="11"/>
        <v/>
      </c>
      <c r="M230" t="str">
        <f>_xlfn.XLOOKUP(Table3[[#This Row],[Cuenta]],Estructura_Balance[Nombre Cuenta ()],Estructura_Balance[Grupo],"",0)</f>
        <v/>
      </c>
      <c r="N230" t="str">
        <f>_xlfn.XLOOKUP(Table3[[#This Row],[Cuenta]],Estructura_Balance[Nombre Cuenta ()],Estructura_Balance[Nivel 1],"",0)</f>
        <v/>
      </c>
      <c r="O230" t="str">
        <f>_xlfn.XLOOKUP(Table3[[#This Row],[Cuenta]],Estructura_Balance[Nombre Cuenta ()],Estructura_Balance[Nivel 2],"",0)</f>
        <v/>
      </c>
      <c r="P230" t="str">
        <f>_xlfn.XLOOKUP(Table3[[#This Row],[Cuenta]],Estructura_Balance[Nombre Cuenta ()],Estructura_Balance[Nivel 3],"",0)</f>
        <v/>
      </c>
      <c r="Q230" t="str">
        <f>_xlfn.XLOOKUP(Table3[[#This Row],[Cuenta]],Estructura_Balance[Nombre Cuenta ()],Estructura_Balance[Nivel 4],"",0)</f>
        <v/>
      </c>
      <c r="R230" t="str">
        <f>_xlfn.XLOOKUP(Table3[[#This Row],[Cuenta]],Table8[Nombre Cuenta ()],Table8[Nivel 1],"",0)</f>
        <v/>
      </c>
      <c r="S230" t="str">
        <f>_xlfn.XLOOKUP(Table3[[#This Row],[Cuenta]],Table8[Nombre Cuenta ()],Table8[Nivel 2],"",0)</f>
        <v/>
      </c>
      <c r="T230" t="str">
        <f>_xlfn.XLOOKUP(Table3[[#This Row],[Cuenta]],Table8[Nombre Cuenta ()],Table8[Nivel 3],"",0)</f>
        <v/>
      </c>
      <c r="U230">
        <v>464</v>
      </c>
      <c r="V230" t="str">
        <f>_xlfn.XLOOKUP(Table3[[#This Row],[Cuenta]],Estructura_Balance[Nombre Cuenta ()],Estructura_Balance[Niveles:2],"",0)</f>
        <v/>
      </c>
      <c r="W230" t="str">
        <f>_xlfn.XLOOKUP(Table3[[#This Row],[Cuenta]],Estructura_Balance[Nombre Cuenta ()],Estructura_Balance[Niveles:3],"",0)</f>
        <v/>
      </c>
      <c r="X230" t="str">
        <f>_xlfn.XLOOKUP(Table3[[#This Row],[Cuenta]],Estructura_Balance[Nombre Cuenta ()],Estructura_Balance[Grupos],"Grupo 1",0)</f>
        <v>Grupo 1</v>
      </c>
      <c r="Y230" t="str">
        <f>+Table3[[#This Row],[BS_Nivel_1]]</f>
        <v/>
      </c>
    </row>
    <row r="231" spans="1:25">
      <c r="A231">
        <f>+'Libro Diario'!F339</f>
        <v>0</v>
      </c>
      <c r="B231" s="144">
        <f>VALUE(IF(+'Libro Diario'!G339="","01/01/2025",+'Libro Diario'!G339))</f>
        <v>45658</v>
      </c>
      <c r="C231">
        <f>IF(ISNUMBER(+IF(IFERROR(VALUE(MID('Libro Diario'!C339,1,4)),0)&lt;&gt;0,'Libro Diario'!C339,0))=FALSE,'Libro Diario'!C339,0)</f>
        <v>0</v>
      </c>
      <c r="D231" s="145" t="str">
        <f>+'Libro Diario'!B339</f>
        <v>DEBE</v>
      </c>
      <c r="E231" s="139" t="s">
        <v>445</v>
      </c>
      <c r="F231" t="str">
        <f t="shared" si="9"/>
        <v>Sin Mov.</v>
      </c>
      <c r="G231" t="str">
        <f>IF(+'Libro Diario'!H339=0,"",+'Libro Diario'!H339)</f>
        <v/>
      </c>
      <c r="H231" t="str">
        <f>IF(+'Libro Diario'!I339=0,"",+'Libro Diario'!I339)</f>
        <v/>
      </c>
      <c r="I231" t="str">
        <f>+IF(Table3[[#This Row],[Tipo Movimiento]]="Estructura Balance y PyG","Excluir","Incluir")</f>
        <v>Incluir</v>
      </c>
      <c r="J231" s="153">
        <f>+IF(Table3[[#This Row],[Sin cuenta]]="Con Mov.",(IF(Table3[[#This Row],[Movimiento]]="Debe",Table3[[#This Row],[Importe]],IF(Table3[[#This Row],[Movimiento]]="Haber",Table3[[#This Row],[Importe]]*-1,0))),0)</f>
        <v>0</v>
      </c>
      <c r="K231" s="145" t="str">
        <f t="shared" si="10"/>
        <v>DEBE</v>
      </c>
      <c r="L231" s="145" t="str">
        <f t="shared" si="11"/>
        <v/>
      </c>
      <c r="M231" t="str">
        <f>_xlfn.XLOOKUP(Table3[[#This Row],[Cuenta]],Estructura_Balance[Nombre Cuenta ()],Estructura_Balance[Grupo],"",0)</f>
        <v/>
      </c>
      <c r="N231" t="str">
        <f>_xlfn.XLOOKUP(Table3[[#This Row],[Cuenta]],Estructura_Balance[Nombre Cuenta ()],Estructura_Balance[Nivel 1],"",0)</f>
        <v/>
      </c>
      <c r="O231" t="str">
        <f>_xlfn.XLOOKUP(Table3[[#This Row],[Cuenta]],Estructura_Balance[Nombre Cuenta ()],Estructura_Balance[Nivel 2],"",0)</f>
        <v/>
      </c>
      <c r="P231" t="str">
        <f>_xlfn.XLOOKUP(Table3[[#This Row],[Cuenta]],Estructura_Balance[Nombre Cuenta ()],Estructura_Balance[Nivel 3],"",0)</f>
        <v/>
      </c>
      <c r="Q231" t="str">
        <f>_xlfn.XLOOKUP(Table3[[#This Row],[Cuenta]],Estructura_Balance[Nombre Cuenta ()],Estructura_Balance[Nivel 4],"",0)</f>
        <v/>
      </c>
      <c r="R231" t="str">
        <f>_xlfn.XLOOKUP(Table3[[#This Row],[Cuenta]],Table8[Nombre Cuenta ()],Table8[Nivel 1],"",0)</f>
        <v/>
      </c>
      <c r="S231" t="str">
        <f>_xlfn.XLOOKUP(Table3[[#This Row],[Cuenta]],Table8[Nombre Cuenta ()],Table8[Nivel 2],"",0)</f>
        <v/>
      </c>
      <c r="T231" t="str">
        <f>_xlfn.XLOOKUP(Table3[[#This Row],[Cuenta]],Table8[Nombre Cuenta ()],Table8[Nivel 3],"",0)</f>
        <v/>
      </c>
      <c r="U231">
        <v>467</v>
      </c>
      <c r="V231" t="str">
        <f>_xlfn.XLOOKUP(Table3[[#This Row],[Cuenta]],Estructura_Balance[Nombre Cuenta ()],Estructura_Balance[Niveles:2],"",0)</f>
        <v/>
      </c>
      <c r="W231" t="str">
        <f>_xlfn.XLOOKUP(Table3[[#This Row],[Cuenta]],Estructura_Balance[Nombre Cuenta ()],Estructura_Balance[Niveles:3],"",0)</f>
        <v/>
      </c>
      <c r="X231" t="str">
        <f>_xlfn.XLOOKUP(Table3[[#This Row],[Cuenta]],Estructura_Balance[Nombre Cuenta ()],Estructura_Balance[Grupos],"Grupo 1",0)</f>
        <v>Grupo 1</v>
      </c>
      <c r="Y231" t="str">
        <f>+Table3[[#This Row],[BS_Nivel_1]]</f>
        <v/>
      </c>
    </row>
    <row r="232" spans="1:25">
      <c r="A232">
        <f>+'Libro Diario'!F340</f>
        <v>0</v>
      </c>
      <c r="B232" s="144">
        <f>VALUE(IF(+'Libro Diario'!G340="","01/01/2025",+'Libro Diario'!G340))</f>
        <v>45658</v>
      </c>
      <c r="C232">
        <f>IF(ISNUMBER(+IF(IFERROR(VALUE(MID('Libro Diario'!C340,1,4)),0)&lt;&gt;0,'Libro Diario'!C340,0))=FALSE,'Libro Diario'!C340,0)</f>
        <v>0</v>
      </c>
      <c r="D232" s="145">
        <f>+'Libro Diario'!B340</f>
        <v>0</v>
      </c>
      <c r="E232" s="139" t="s">
        <v>445</v>
      </c>
      <c r="F232" t="str">
        <f t="shared" si="9"/>
        <v>Sin Mov.</v>
      </c>
      <c r="G232" t="str">
        <f>IF(+'Libro Diario'!H340=0,"",+'Libro Diario'!H340)</f>
        <v/>
      </c>
      <c r="H232" t="str">
        <f>IF(+'Libro Diario'!I340=0,"",+'Libro Diario'!I340)</f>
        <v/>
      </c>
      <c r="I232" t="str">
        <f>+IF(Table3[[#This Row],[Tipo Movimiento]]="Estructura Balance y PyG","Excluir","Incluir")</f>
        <v>Incluir</v>
      </c>
      <c r="J232" s="153">
        <f>+IF(Table3[[#This Row],[Sin cuenta]]="Con Mov.",(IF(Table3[[#This Row],[Movimiento]]="Debe",Table3[[#This Row],[Importe]],IF(Table3[[#This Row],[Movimiento]]="Haber",Table3[[#This Row],[Importe]]*-1,0))),0)</f>
        <v>0</v>
      </c>
      <c r="K232" s="145">
        <f t="shared" si="10"/>
        <v>0</v>
      </c>
      <c r="L232" s="145" t="str">
        <f t="shared" si="11"/>
        <v/>
      </c>
      <c r="M232" t="str">
        <f>_xlfn.XLOOKUP(Table3[[#This Row],[Cuenta]],Estructura_Balance[Nombre Cuenta ()],Estructura_Balance[Grupo],"",0)</f>
        <v/>
      </c>
      <c r="N232" t="str">
        <f>_xlfn.XLOOKUP(Table3[[#This Row],[Cuenta]],Estructura_Balance[Nombre Cuenta ()],Estructura_Balance[Nivel 1],"",0)</f>
        <v/>
      </c>
      <c r="O232" t="str">
        <f>_xlfn.XLOOKUP(Table3[[#This Row],[Cuenta]],Estructura_Balance[Nombre Cuenta ()],Estructura_Balance[Nivel 2],"",0)</f>
        <v/>
      </c>
      <c r="P232" t="str">
        <f>_xlfn.XLOOKUP(Table3[[#This Row],[Cuenta]],Estructura_Balance[Nombre Cuenta ()],Estructura_Balance[Nivel 3],"",0)</f>
        <v/>
      </c>
      <c r="Q232" t="str">
        <f>_xlfn.XLOOKUP(Table3[[#This Row],[Cuenta]],Estructura_Balance[Nombre Cuenta ()],Estructura_Balance[Nivel 4],"",0)</f>
        <v/>
      </c>
      <c r="R232" t="str">
        <f>_xlfn.XLOOKUP(Table3[[#This Row],[Cuenta]],Table8[Nombre Cuenta ()],Table8[Nivel 1],"",0)</f>
        <v/>
      </c>
      <c r="S232" t="str">
        <f>_xlfn.XLOOKUP(Table3[[#This Row],[Cuenta]],Table8[Nombre Cuenta ()],Table8[Nivel 2],"",0)</f>
        <v/>
      </c>
      <c r="T232" t="str">
        <f>_xlfn.XLOOKUP(Table3[[#This Row],[Cuenta]],Table8[Nombre Cuenta ()],Table8[Nivel 3],"",0)</f>
        <v/>
      </c>
      <c r="U232">
        <v>468</v>
      </c>
      <c r="V232" t="str">
        <f>_xlfn.XLOOKUP(Table3[[#This Row],[Cuenta]],Estructura_Balance[Nombre Cuenta ()],Estructura_Balance[Niveles:2],"",0)</f>
        <v/>
      </c>
      <c r="W232" t="str">
        <f>_xlfn.XLOOKUP(Table3[[#This Row],[Cuenta]],Estructura_Balance[Nombre Cuenta ()],Estructura_Balance[Niveles:3],"",0)</f>
        <v/>
      </c>
      <c r="X232" t="str">
        <f>_xlfn.XLOOKUP(Table3[[#This Row],[Cuenta]],Estructura_Balance[Nombre Cuenta ()],Estructura_Balance[Grupos],"Grupo 1",0)</f>
        <v>Grupo 1</v>
      </c>
      <c r="Y232" t="str">
        <f>+Table3[[#This Row],[BS_Nivel_1]]</f>
        <v/>
      </c>
    </row>
    <row r="233" spans="1:25">
      <c r="A233">
        <f>+'Libro Diario'!F343</f>
        <v>0</v>
      </c>
      <c r="B233" s="144">
        <f>VALUE(IF(+'Libro Diario'!G343="","01/01/2025",+'Libro Diario'!G343))</f>
        <v>45658</v>
      </c>
      <c r="C233">
        <f>IF(ISNUMBER(+IF(IFERROR(VALUE(MID('Libro Diario'!C343,1,4)),0)&lt;&gt;0,'Libro Diario'!C343,0))=FALSE,'Libro Diario'!C343,0)</f>
        <v>0</v>
      </c>
      <c r="D233" s="145" t="str">
        <f>+'Libro Diario'!B343</f>
        <v>Operaciones del Ejercicio</v>
      </c>
      <c r="E233" s="139" t="s">
        <v>445</v>
      </c>
      <c r="F233" t="str">
        <f t="shared" si="9"/>
        <v>Sin Mov.</v>
      </c>
      <c r="G233" t="str">
        <f>IF(+'Libro Diario'!H343=0,"",+'Libro Diario'!H343)</f>
        <v/>
      </c>
      <c r="H233" t="str">
        <f>IF(+'Libro Diario'!I343=0,"",+'Libro Diario'!I343)</f>
        <v/>
      </c>
      <c r="I233" t="str">
        <f>+IF(Table3[[#This Row],[Tipo Movimiento]]="Estructura Balance y PyG","Excluir","Incluir")</f>
        <v>Incluir</v>
      </c>
      <c r="J233" s="153">
        <f>+IF(Table3[[#This Row],[Sin cuenta]]="Con Mov.",(IF(Table3[[#This Row],[Movimiento]]="Debe",Table3[[#This Row],[Importe]],IF(Table3[[#This Row],[Movimiento]]="Haber",Table3[[#This Row],[Importe]]*-1,0))),0)</f>
        <v>0</v>
      </c>
      <c r="K233" s="145" t="str">
        <f t="shared" si="10"/>
        <v>Operaciones del Ejercicio</v>
      </c>
      <c r="L233" s="145" t="str">
        <f t="shared" si="11"/>
        <v/>
      </c>
      <c r="M233" t="str">
        <f>_xlfn.XLOOKUP(Table3[[#This Row],[Cuenta]],Estructura_Balance[Nombre Cuenta ()],Estructura_Balance[Grupo],"",0)</f>
        <v/>
      </c>
      <c r="N233" t="str">
        <f>_xlfn.XLOOKUP(Table3[[#This Row],[Cuenta]],Estructura_Balance[Nombre Cuenta ()],Estructura_Balance[Nivel 1],"",0)</f>
        <v/>
      </c>
      <c r="O233" t="str">
        <f>_xlfn.XLOOKUP(Table3[[#This Row],[Cuenta]],Estructura_Balance[Nombre Cuenta ()],Estructura_Balance[Nivel 2],"",0)</f>
        <v/>
      </c>
      <c r="P233" t="str">
        <f>_xlfn.XLOOKUP(Table3[[#This Row],[Cuenta]],Estructura_Balance[Nombre Cuenta ()],Estructura_Balance[Nivel 3],"",0)</f>
        <v/>
      </c>
      <c r="Q233" t="str">
        <f>_xlfn.XLOOKUP(Table3[[#This Row],[Cuenta]],Estructura_Balance[Nombre Cuenta ()],Estructura_Balance[Nivel 4],"",0)</f>
        <v/>
      </c>
      <c r="R233" t="str">
        <f>_xlfn.XLOOKUP(Table3[[#This Row],[Cuenta]],Table8[Nombre Cuenta ()],Table8[Nivel 1],"",0)</f>
        <v/>
      </c>
      <c r="S233" t="str">
        <f>_xlfn.XLOOKUP(Table3[[#This Row],[Cuenta]],Table8[Nombre Cuenta ()],Table8[Nivel 2],"",0)</f>
        <v/>
      </c>
      <c r="T233" t="str">
        <f>_xlfn.XLOOKUP(Table3[[#This Row],[Cuenta]],Table8[Nombre Cuenta ()],Table8[Nivel 3],"",0)</f>
        <v/>
      </c>
      <c r="U233">
        <v>471</v>
      </c>
      <c r="V233" t="str">
        <f>_xlfn.XLOOKUP(Table3[[#This Row],[Cuenta]],Estructura_Balance[Nombre Cuenta ()],Estructura_Balance[Niveles:2],"",0)</f>
        <v/>
      </c>
      <c r="W233" t="str">
        <f>_xlfn.XLOOKUP(Table3[[#This Row],[Cuenta]],Estructura_Balance[Nombre Cuenta ()],Estructura_Balance[Niveles:3],"",0)</f>
        <v/>
      </c>
      <c r="X233" t="str">
        <f>_xlfn.XLOOKUP(Table3[[#This Row],[Cuenta]],Estructura_Balance[Nombre Cuenta ()],Estructura_Balance[Grupos],"Grupo 1",0)</f>
        <v>Grupo 1</v>
      </c>
      <c r="Y233" t="str">
        <f>+Table3[[#This Row],[BS_Nivel_1]]</f>
        <v/>
      </c>
    </row>
    <row r="234" spans="1:25">
      <c r="A234">
        <f>+'Libro Diario'!F344</f>
        <v>0</v>
      </c>
      <c r="B234" s="144">
        <f>VALUE(IF(+'Libro Diario'!G344="","01/01/2025",+'Libro Diario'!G344))</f>
        <v>45658</v>
      </c>
      <c r="C234">
        <f>IF(ISNUMBER(+IF(IFERROR(VALUE(MID('Libro Diario'!C344,1,4)),0)&lt;&gt;0,'Libro Diario'!C344,0))=FALSE,'Libro Diario'!C344,0)</f>
        <v>0</v>
      </c>
      <c r="D234" s="145" t="str">
        <f>+'Libro Diario'!B344</f>
        <v>Asiento Cuadrado</v>
      </c>
      <c r="E234" s="139" t="s">
        <v>445</v>
      </c>
      <c r="F234" t="str">
        <f t="shared" si="9"/>
        <v>Sin Mov.</v>
      </c>
      <c r="G234" t="str">
        <f>IF(+'Libro Diario'!H344=0,"",+'Libro Diario'!H344)</f>
        <v/>
      </c>
      <c r="H234" t="str">
        <f>IF(+'Libro Diario'!I344=0,"",+'Libro Diario'!I344)</f>
        <v/>
      </c>
      <c r="I234" t="str">
        <f>+IF(Table3[[#This Row],[Tipo Movimiento]]="Estructura Balance y PyG","Excluir","Incluir")</f>
        <v>Incluir</v>
      </c>
      <c r="J234" s="153">
        <f>+IF(Table3[[#This Row],[Sin cuenta]]="Con Mov.",(IF(Table3[[#This Row],[Movimiento]]="Debe",Table3[[#This Row],[Importe]],IF(Table3[[#This Row],[Movimiento]]="Haber",Table3[[#This Row],[Importe]]*-1,0))),0)</f>
        <v>0</v>
      </c>
      <c r="K234" s="145" t="str">
        <f t="shared" si="10"/>
        <v>Asiento Cuadrado</v>
      </c>
      <c r="L234" s="145" t="str">
        <f t="shared" si="11"/>
        <v/>
      </c>
      <c r="M234" t="str">
        <f>_xlfn.XLOOKUP(Table3[[#This Row],[Cuenta]],Estructura_Balance[Nombre Cuenta ()],Estructura_Balance[Grupo],"",0)</f>
        <v/>
      </c>
      <c r="N234" t="str">
        <f>_xlfn.XLOOKUP(Table3[[#This Row],[Cuenta]],Estructura_Balance[Nombre Cuenta ()],Estructura_Balance[Nivel 1],"",0)</f>
        <v/>
      </c>
      <c r="O234" t="str">
        <f>_xlfn.XLOOKUP(Table3[[#This Row],[Cuenta]],Estructura_Balance[Nombre Cuenta ()],Estructura_Balance[Nivel 2],"",0)</f>
        <v/>
      </c>
      <c r="P234" t="str">
        <f>_xlfn.XLOOKUP(Table3[[#This Row],[Cuenta]],Estructura_Balance[Nombre Cuenta ()],Estructura_Balance[Nivel 3],"",0)</f>
        <v/>
      </c>
      <c r="Q234" t="str">
        <f>_xlfn.XLOOKUP(Table3[[#This Row],[Cuenta]],Estructura_Balance[Nombre Cuenta ()],Estructura_Balance[Nivel 4],"",0)</f>
        <v/>
      </c>
      <c r="R234" t="str">
        <f>_xlfn.XLOOKUP(Table3[[#This Row],[Cuenta]],Table8[Nombre Cuenta ()],Table8[Nivel 1],"",0)</f>
        <v/>
      </c>
      <c r="S234" t="str">
        <f>_xlfn.XLOOKUP(Table3[[#This Row],[Cuenta]],Table8[Nombre Cuenta ()],Table8[Nivel 2],"",0)</f>
        <v/>
      </c>
      <c r="T234" t="str">
        <f>_xlfn.XLOOKUP(Table3[[#This Row],[Cuenta]],Table8[Nombre Cuenta ()],Table8[Nivel 3],"",0)</f>
        <v/>
      </c>
      <c r="U234">
        <v>474</v>
      </c>
      <c r="V234" t="str">
        <f>_xlfn.XLOOKUP(Table3[[#This Row],[Cuenta]],Estructura_Balance[Nombre Cuenta ()],Estructura_Balance[Niveles:2],"",0)</f>
        <v/>
      </c>
      <c r="W234" t="str">
        <f>_xlfn.XLOOKUP(Table3[[#This Row],[Cuenta]],Estructura_Balance[Nombre Cuenta ()],Estructura_Balance[Niveles:3],"",0)</f>
        <v/>
      </c>
      <c r="X234" t="str">
        <f>_xlfn.XLOOKUP(Table3[[#This Row],[Cuenta]],Estructura_Balance[Nombre Cuenta ()],Estructura_Balance[Grupos],"Grupo 1",0)</f>
        <v>Grupo 1</v>
      </c>
      <c r="Y234" t="str">
        <f>+Table3[[#This Row],[BS_Nivel_1]]</f>
        <v/>
      </c>
    </row>
    <row r="235" spans="1:25">
      <c r="A235">
        <f>+'Libro Diario'!F345</f>
        <v>0</v>
      </c>
      <c r="B235" s="144">
        <f>VALUE(IF(+'Libro Diario'!G345="","01/01/2025",+'Libro Diario'!G345))</f>
        <v>45658</v>
      </c>
      <c r="C235">
        <f>IF(ISNUMBER(+IF(IFERROR(VALUE(MID('Libro Diario'!C345,1,4)),0)&lt;&gt;0,'Libro Diario'!C345,0))=FALSE,'Libro Diario'!C345,0)</f>
        <v>0</v>
      </c>
      <c r="D235" s="145">
        <f>+'Libro Diario'!B345</f>
        <v>0</v>
      </c>
      <c r="E235" s="139" t="s">
        <v>445</v>
      </c>
      <c r="F235" t="str">
        <f t="shared" si="9"/>
        <v>Sin Mov.</v>
      </c>
      <c r="G235" t="str">
        <f>IF(+'Libro Diario'!H345=0,"",+'Libro Diario'!H345)</f>
        <v/>
      </c>
      <c r="H235" t="str">
        <f>IF(+'Libro Diario'!I345=0,"",+'Libro Diario'!I345)</f>
        <v/>
      </c>
      <c r="I235" t="str">
        <f>+IF(Table3[[#This Row],[Tipo Movimiento]]="Estructura Balance y PyG","Excluir","Incluir")</f>
        <v>Incluir</v>
      </c>
      <c r="J235" s="153">
        <f>+IF(Table3[[#This Row],[Sin cuenta]]="Con Mov.",(IF(Table3[[#This Row],[Movimiento]]="Debe",Table3[[#This Row],[Importe]],IF(Table3[[#This Row],[Movimiento]]="Haber",Table3[[#This Row],[Importe]]*-1,0))),0)</f>
        <v>0</v>
      </c>
      <c r="K235" s="145">
        <f t="shared" si="10"/>
        <v>0</v>
      </c>
      <c r="L235" s="145" t="str">
        <f t="shared" si="11"/>
        <v/>
      </c>
      <c r="M235" t="str">
        <f>_xlfn.XLOOKUP(Table3[[#This Row],[Cuenta]],Estructura_Balance[Nombre Cuenta ()],Estructura_Balance[Grupo],"",0)</f>
        <v/>
      </c>
      <c r="N235" t="str">
        <f>_xlfn.XLOOKUP(Table3[[#This Row],[Cuenta]],Estructura_Balance[Nombre Cuenta ()],Estructura_Balance[Nivel 1],"",0)</f>
        <v/>
      </c>
      <c r="O235" t="str">
        <f>_xlfn.XLOOKUP(Table3[[#This Row],[Cuenta]],Estructura_Balance[Nombre Cuenta ()],Estructura_Balance[Nivel 2],"",0)</f>
        <v/>
      </c>
      <c r="P235" t="str">
        <f>_xlfn.XLOOKUP(Table3[[#This Row],[Cuenta]],Estructura_Balance[Nombre Cuenta ()],Estructura_Balance[Nivel 3],"",0)</f>
        <v/>
      </c>
      <c r="Q235" t="str">
        <f>_xlfn.XLOOKUP(Table3[[#This Row],[Cuenta]],Estructura_Balance[Nombre Cuenta ()],Estructura_Balance[Nivel 4],"",0)</f>
        <v/>
      </c>
      <c r="R235" t="str">
        <f>_xlfn.XLOOKUP(Table3[[#This Row],[Cuenta]],Table8[Nombre Cuenta ()],Table8[Nivel 1],"",0)</f>
        <v/>
      </c>
      <c r="S235" t="str">
        <f>_xlfn.XLOOKUP(Table3[[#This Row],[Cuenta]],Table8[Nombre Cuenta ()],Table8[Nivel 2],"",0)</f>
        <v/>
      </c>
      <c r="T235" t="str">
        <f>_xlfn.XLOOKUP(Table3[[#This Row],[Cuenta]],Table8[Nombre Cuenta ()],Table8[Nivel 3],"",0)</f>
        <v/>
      </c>
      <c r="U235">
        <v>475</v>
      </c>
      <c r="V235" t="str">
        <f>_xlfn.XLOOKUP(Table3[[#This Row],[Cuenta]],Estructura_Balance[Nombre Cuenta ()],Estructura_Balance[Niveles:2],"",0)</f>
        <v/>
      </c>
      <c r="W235" t="str">
        <f>_xlfn.XLOOKUP(Table3[[#This Row],[Cuenta]],Estructura_Balance[Nombre Cuenta ()],Estructura_Balance[Niveles:3],"",0)</f>
        <v/>
      </c>
      <c r="X235" t="str">
        <f>_xlfn.XLOOKUP(Table3[[#This Row],[Cuenta]],Estructura_Balance[Nombre Cuenta ()],Estructura_Balance[Grupos],"Grupo 1",0)</f>
        <v>Grupo 1</v>
      </c>
      <c r="Y235" t="str">
        <f>+Table3[[#This Row],[BS_Nivel_1]]</f>
        <v/>
      </c>
    </row>
    <row r="236" spans="1:25">
      <c r="A236">
        <f>+'Libro Diario'!F346</f>
        <v>0</v>
      </c>
      <c r="B236" s="144">
        <f>VALUE(IF(+'Libro Diario'!G346="","01/01/2025",+'Libro Diario'!G346))</f>
        <v>45658</v>
      </c>
      <c r="C236">
        <f>IF(ISNUMBER(+IF(IFERROR(VALUE(MID('Libro Diario'!C346,1,4)),0)&lt;&gt;0,'Libro Diario'!C346,0))=FALSE,'Libro Diario'!C346,0)</f>
        <v>0</v>
      </c>
      <c r="D236" s="145" t="str">
        <f>+'Libro Diario'!B346</f>
        <v>DEBE</v>
      </c>
      <c r="E236" s="139" t="s">
        <v>445</v>
      </c>
      <c r="F236" t="str">
        <f t="shared" si="9"/>
        <v>Sin Mov.</v>
      </c>
      <c r="G236" t="str">
        <f>IF(+'Libro Diario'!H346=0,"",+'Libro Diario'!H346)</f>
        <v/>
      </c>
      <c r="H236" t="str">
        <f>IF(+'Libro Diario'!I346=0,"",+'Libro Diario'!I346)</f>
        <v/>
      </c>
      <c r="I236" t="str">
        <f>+IF(Table3[[#This Row],[Tipo Movimiento]]="Estructura Balance y PyG","Excluir","Incluir")</f>
        <v>Incluir</v>
      </c>
      <c r="J236" s="153">
        <f>+IF(Table3[[#This Row],[Sin cuenta]]="Con Mov.",(IF(Table3[[#This Row],[Movimiento]]="Debe",Table3[[#This Row],[Importe]],IF(Table3[[#This Row],[Movimiento]]="Haber",Table3[[#This Row],[Importe]]*-1,0))),0)</f>
        <v>0</v>
      </c>
      <c r="K236" s="145" t="str">
        <f t="shared" si="10"/>
        <v>DEBE</v>
      </c>
      <c r="L236" s="145" t="str">
        <f t="shared" si="11"/>
        <v/>
      </c>
      <c r="M236" t="str">
        <f>_xlfn.XLOOKUP(Table3[[#This Row],[Cuenta]],Estructura_Balance[Nombre Cuenta ()],Estructura_Balance[Grupo],"",0)</f>
        <v/>
      </c>
      <c r="N236" t="str">
        <f>_xlfn.XLOOKUP(Table3[[#This Row],[Cuenta]],Estructura_Balance[Nombre Cuenta ()],Estructura_Balance[Nivel 1],"",0)</f>
        <v/>
      </c>
      <c r="O236" t="str">
        <f>_xlfn.XLOOKUP(Table3[[#This Row],[Cuenta]],Estructura_Balance[Nombre Cuenta ()],Estructura_Balance[Nivel 2],"",0)</f>
        <v/>
      </c>
      <c r="P236" t="str">
        <f>_xlfn.XLOOKUP(Table3[[#This Row],[Cuenta]],Estructura_Balance[Nombre Cuenta ()],Estructura_Balance[Nivel 3],"",0)</f>
        <v/>
      </c>
      <c r="Q236" t="str">
        <f>_xlfn.XLOOKUP(Table3[[#This Row],[Cuenta]],Estructura_Balance[Nombre Cuenta ()],Estructura_Balance[Nivel 4],"",0)</f>
        <v/>
      </c>
      <c r="R236" t="str">
        <f>_xlfn.XLOOKUP(Table3[[#This Row],[Cuenta]],Table8[Nombre Cuenta ()],Table8[Nivel 1],"",0)</f>
        <v/>
      </c>
      <c r="S236" t="str">
        <f>_xlfn.XLOOKUP(Table3[[#This Row],[Cuenta]],Table8[Nombre Cuenta ()],Table8[Nivel 2],"",0)</f>
        <v/>
      </c>
      <c r="T236" t="str">
        <f>_xlfn.XLOOKUP(Table3[[#This Row],[Cuenta]],Table8[Nombre Cuenta ()],Table8[Nivel 3],"",0)</f>
        <v/>
      </c>
      <c r="U236">
        <v>476</v>
      </c>
      <c r="V236" t="str">
        <f>_xlfn.XLOOKUP(Table3[[#This Row],[Cuenta]],Estructura_Balance[Nombre Cuenta ()],Estructura_Balance[Niveles:2],"",0)</f>
        <v/>
      </c>
      <c r="W236" t="str">
        <f>_xlfn.XLOOKUP(Table3[[#This Row],[Cuenta]],Estructura_Balance[Nombre Cuenta ()],Estructura_Balance[Niveles:3],"",0)</f>
        <v/>
      </c>
      <c r="X236" t="str">
        <f>_xlfn.XLOOKUP(Table3[[#This Row],[Cuenta]],Estructura_Balance[Nombre Cuenta ()],Estructura_Balance[Grupos],"Grupo 1",0)</f>
        <v>Grupo 1</v>
      </c>
      <c r="Y236" t="str">
        <f>+Table3[[#This Row],[BS_Nivel_1]]</f>
        <v/>
      </c>
    </row>
    <row r="237" spans="1:25">
      <c r="A237">
        <f>+'Libro Diario'!F347</f>
        <v>0</v>
      </c>
      <c r="B237" s="144">
        <f>VALUE(IF(+'Libro Diario'!G347="","01/01/2025",+'Libro Diario'!G347))</f>
        <v>45658</v>
      </c>
      <c r="C237">
        <f>IF(ISNUMBER(+IF(IFERROR(VALUE(MID('Libro Diario'!C347,1,4)),0)&lt;&gt;0,'Libro Diario'!C347,0))=FALSE,'Libro Diario'!C347,0)</f>
        <v>0</v>
      </c>
      <c r="D237" s="145">
        <f>+'Libro Diario'!B347</f>
        <v>0</v>
      </c>
      <c r="E237" s="139" t="s">
        <v>445</v>
      </c>
      <c r="F237" t="str">
        <f t="shared" si="9"/>
        <v>Sin Mov.</v>
      </c>
      <c r="G237" t="str">
        <f>IF(+'Libro Diario'!H347=0,"",+'Libro Diario'!H347)</f>
        <v/>
      </c>
      <c r="H237" t="str">
        <f>IF(+'Libro Diario'!I347=0,"",+'Libro Diario'!I347)</f>
        <v/>
      </c>
      <c r="I237" t="str">
        <f>+IF(Table3[[#This Row],[Tipo Movimiento]]="Estructura Balance y PyG","Excluir","Incluir")</f>
        <v>Incluir</v>
      </c>
      <c r="J237" s="153">
        <f>+IF(Table3[[#This Row],[Sin cuenta]]="Con Mov.",(IF(Table3[[#This Row],[Movimiento]]="Debe",Table3[[#This Row],[Importe]],IF(Table3[[#This Row],[Movimiento]]="Haber",Table3[[#This Row],[Importe]]*-1,0))),0)</f>
        <v>0</v>
      </c>
      <c r="K237" s="145">
        <f t="shared" si="10"/>
        <v>0</v>
      </c>
      <c r="L237" s="145" t="str">
        <f t="shared" si="11"/>
        <v/>
      </c>
      <c r="M237" t="str">
        <f>_xlfn.XLOOKUP(Table3[[#This Row],[Cuenta]],Estructura_Balance[Nombre Cuenta ()],Estructura_Balance[Grupo],"",0)</f>
        <v/>
      </c>
      <c r="N237" t="str">
        <f>_xlfn.XLOOKUP(Table3[[#This Row],[Cuenta]],Estructura_Balance[Nombre Cuenta ()],Estructura_Balance[Nivel 1],"",0)</f>
        <v/>
      </c>
      <c r="O237" t="str">
        <f>_xlfn.XLOOKUP(Table3[[#This Row],[Cuenta]],Estructura_Balance[Nombre Cuenta ()],Estructura_Balance[Nivel 2],"",0)</f>
        <v/>
      </c>
      <c r="P237" t="str">
        <f>_xlfn.XLOOKUP(Table3[[#This Row],[Cuenta]],Estructura_Balance[Nombre Cuenta ()],Estructura_Balance[Nivel 3],"",0)</f>
        <v/>
      </c>
      <c r="Q237" t="str">
        <f>_xlfn.XLOOKUP(Table3[[#This Row],[Cuenta]],Estructura_Balance[Nombre Cuenta ()],Estructura_Balance[Nivel 4],"",0)</f>
        <v/>
      </c>
      <c r="R237" t="str">
        <f>_xlfn.XLOOKUP(Table3[[#This Row],[Cuenta]],Table8[Nombre Cuenta ()],Table8[Nivel 1],"",0)</f>
        <v/>
      </c>
      <c r="S237" t="str">
        <f>_xlfn.XLOOKUP(Table3[[#This Row],[Cuenta]],Table8[Nombre Cuenta ()],Table8[Nivel 2],"",0)</f>
        <v/>
      </c>
      <c r="T237" t="str">
        <f>_xlfn.XLOOKUP(Table3[[#This Row],[Cuenta]],Table8[Nombre Cuenta ()],Table8[Nivel 3],"",0)</f>
        <v/>
      </c>
      <c r="U237">
        <v>477</v>
      </c>
      <c r="V237" t="str">
        <f>_xlfn.XLOOKUP(Table3[[#This Row],[Cuenta]],Estructura_Balance[Nombre Cuenta ()],Estructura_Balance[Niveles:2],"",0)</f>
        <v/>
      </c>
      <c r="W237" t="str">
        <f>_xlfn.XLOOKUP(Table3[[#This Row],[Cuenta]],Estructura_Balance[Nombre Cuenta ()],Estructura_Balance[Niveles:3],"",0)</f>
        <v/>
      </c>
      <c r="X237" t="str">
        <f>_xlfn.XLOOKUP(Table3[[#This Row],[Cuenta]],Estructura_Balance[Nombre Cuenta ()],Estructura_Balance[Grupos],"Grupo 1",0)</f>
        <v>Grupo 1</v>
      </c>
      <c r="Y237" t="str">
        <f>+Table3[[#This Row],[BS_Nivel_1]]</f>
        <v/>
      </c>
    </row>
    <row r="238" spans="1:25">
      <c r="A238">
        <f>+'Libro Diario'!F350</f>
        <v>0</v>
      </c>
      <c r="B238" s="144">
        <f>VALUE(IF(+'Libro Diario'!G350="","01/01/2025",+'Libro Diario'!G350))</f>
        <v>45658</v>
      </c>
      <c r="C238">
        <f>IF(ISNUMBER(+IF(IFERROR(VALUE(MID('Libro Diario'!C350,1,4)),0)&lt;&gt;0,'Libro Diario'!C350,0))=FALSE,'Libro Diario'!C350,0)</f>
        <v>0</v>
      </c>
      <c r="D238" s="145" t="str">
        <f>+'Libro Diario'!B350</f>
        <v>Operaciones del Ejercicio</v>
      </c>
      <c r="E238" s="139" t="s">
        <v>445</v>
      </c>
      <c r="F238" t="str">
        <f t="shared" si="9"/>
        <v>Sin Mov.</v>
      </c>
      <c r="G238" t="str">
        <f>IF(+'Libro Diario'!H350=0,"",+'Libro Diario'!H350)</f>
        <v/>
      </c>
      <c r="H238" t="str">
        <f>IF(+'Libro Diario'!I350=0,"",+'Libro Diario'!I350)</f>
        <v/>
      </c>
      <c r="I238" t="str">
        <f>+IF(Table3[[#This Row],[Tipo Movimiento]]="Estructura Balance y PyG","Excluir","Incluir")</f>
        <v>Incluir</v>
      </c>
      <c r="J238" s="153">
        <f>+IF(Table3[[#This Row],[Sin cuenta]]="Con Mov.",(IF(Table3[[#This Row],[Movimiento]]="Debe",Table3[[#This Row],[Importe]],IF(Table3[[#This Row],[Movimiento]]="Haber",Table3[[#This Row],[Importe]]*-1,0))),0)</f>
        <v>0</v>
      </c>
      <c r="K238" s="145" t="str">
        <f t="shared" si="10"/>
        <v>Operaciones del Ejercicio</v>
      </c>
      <c r="L238" s="145" t="str">
        <f t="shared" si="11"/>
        <v/>
      </c>
      <c r="M238" t="str">
        <f>_xlfn.XLOOKUP(Table3[[#This Row],[Cuenta]],Estructura_Balance[Nombre Cuenta ()],Estructura_Balance[Grupo],"",0)</f>
        <v/>
      </c>
      <c r="N238" t="str">
        <f>_xlfn.XLOOKUP(Table3[[#This Row],[Cuenta]],Estructura_Balance[Nombre Cuenta ()],Estructura_Balance[Nivel 1],"",0)</f>
        <v/>
      </c>
      <c r="O238" t="str">
        <f>_xlfn.XLOOKUP(Table3[[#This Row],[Cuenta]],Estructura_Balance[Nombre Cuenta ()],Estructura_Balance[Nivel 2],"",0)</f>
        <v/>
      </c>
      <c r="P238" t="str">
        <f>_xlfn.XLOOKUP(Table3[[#This Row],[Cuenta]],Estructura_Balance[Nombre Cuenta ()],Estructura_Balance[Nivel 3],"",0)</f>
        <v/>
      </c>
      <c r="Q238" t="str">
        <f>_xlfn.XLOOKUP(Table3[[#This Row],[Cuenta]],Estructura_Balance[Nombre Cuenta ()],Estructura_Balance[Nivel 4],"",0)</f>
        <v/>
      </c>
      <c r="R238" t="str">
        <f>_xlfn.XLOOKUP(Table3[[#This Row],[Cuenta]],Table8[Nombre Cuenta ()],Table8[Nivel 1],"",0)</f>
        <v/>
      </c>
      <c r="S238" t="str">
        <f>_xlfn.XLOOKUP(Table3[[#This Row],[Cuenta]],Table8[Nombre Cuenta ()],Table8[Nivel 2],"",0)</f>
        <v/>
      </c>
      <c r="T238" t="str">
        <f>_xlfn.XLOOKUP(Table3[[#This Row],[Cuenta]],Table8[Nombre Cuenta ()],Table8[Nivel 3],"",0)</f>
        <v/>
      </c>
      <c r="U238">
        <v>482</v>
      </c>
      <c r="V238" t="str">
        <f>_xlfn.XLOOKUP(Table3[[#This Row],[Cuenta]],Estructura_Balance[Nombre Cuenta ()],Estructura_Balance[Niveles:2],"",0)</f>
        <v/>
      </c>
      <c r="W238" t="str">
        <f>_xlfn.XLOOKUP(Table3[[#This Row],[Cuenta]],Estructura_Balance[Nombre Cuenta ()],Estructura_Balance[Niveles:3],"",0)</f>
        <v/>
      </c>
      <c r="X238" t="str">
        <f>_xlfn.XLOOKUP(Table3[[#This Row],[Cuenta]],Estructura_Balance[Nombre Cuenta ()],Estructura_Balance[Grupos],"Grupo 1",0)</f>
        <v>Grupo 1</v>
      </c>
      <c r="Y238" t="str">
        <f>+Table3[[#This Row],[BS_Nivel_1]]</f>
        <v/>
      </c>
    </row>
    <row r="239" spans="1:25">
      <c r="A239">
        <f>+'Libro Diario'!F351</f>
        <v>0</v>
      </c>
      <c r="B239" s="144">
        <f>VALUE(IF(+'Libro Diario'!G351="","01/01/2025",+'Libro Diario'!G351))</f>
        <v>45658</v>
      </c>
      <c r="C239">
        <f>IF(ISNUMBER(+IF(IFERROR(VALUE(MID('Libro Diario'!C351,1,4)),0)&lt;&gt;0,'Libro Diario'!C351,0))=FALSE,'Libro Diario'!C351,0)</f>
        <v>0</v>
      </c>
      <c r="D239" s="145" t="str">
        <f>+'Libro Diario'!B351</f>
        <v>Asiento Cuadrado</v>
      </c>
      <c r="E239" s="139" t="s">
        <v>445</v>
      </c>
      <c r="F239" t="str">
        <f t="shared" si="9"/>
        <v>Sin Mov.</v>
      </c>
      <c r="G239" t="str">
        <f>IF(+'Libro Diario'!H351=0,"",+'Libro Diario'!H351)</f>
        <v/>
      </c>
      <c r="H239" t="str">
        <f>IF(+'Libro Diario'!I351=0,"",+'Libro Diario'!I351)</f>
        <v/>
      </c>
      <c r="I239" t="str">
        <f>+IF(Table3[[#This Row],[Tipo Movimiento]]="Estructura Balance y PyG","Excluir","Incluir")</f>
        <v>Incluir</v>
      </c>
      <c r="J239" s="153">
        <f>+IF(Table3[[#This Row],[Sin cuenta]]="Con Mov.",(IF(Table3[[#This Row],[Movimiento]]="Debe",Table3[[#This Row],[Importe]],IF(Table3[[#This Row],[Movimiento]]="Haber",Table3[[#This Row],[Importe]]*-1,0))),0)</f>
        <v>0</v>
      </c>
      <c r="K239" s="145" t="str">
        <f t="shared" si="10"/>
        <v>Asiento Cuadrado</v>
      </c>
      <c r="L239" s="145" t="str">
        <f t="shared" si="11"/>
        <v/>
      </c>
      <c r="M239" t="str">
        <f>_xlfn.XLOOKUP(Table3[[#This Row],[Cuenta]],Estructura_Balance[Nombre Cuenta ()],Estructura_Balance[Grupo],"",0)</f>
        <v/>
      </c>
      <c r="N239" t="str">
        <f>_xlfn.XLOOKUP(Table3[[#This Row],[Cuenta]],Estructura_Balance[Nombre Cuenta ()],Estructura_Balance[Nivel 1],"",0)</f>
        <v/>
      </c>
      <c r="O239" t="str">
        <f>_xlfn.XLOOKUP(Table3[[#This Row],[Cuenta]],Estructura_Balance[Nombre Cuenta ()],Estructura_Balance[Nivel 2],"",0)</f>
        <v/>
      </c>
      <c r="P239" t="str">
        <f>_xlfn.XLOOKUP(Table3[[#This Row],[Cuenta]],Estructura_Balance[Nombre Cuenta ()],Estructura_Balance[Nivel 3],"",0)</f>
        <v/>
      </c>
      <c r="Q239" t="str">
        <f>_xlfn.XLOOKUP(Table3[[#This Row],[Cuenta]],Estructura_Balance[Nombre Cuenta ()],Estructura_Balance[Nivel 4],"",0)</f>
        <v/>
      </c>
      <c r="R239" t="str">
        <f>_xlfn.XLOOKUP(Table3[[#This Row],[Cuenta]],Table8[Nombre Cuenta ()],Table8[Nivel 1],"",0)</f>
        <v/>
      </c>
      <c r="S239" t="str">
        <f>_xlfn.XLOOKUP(Table3[[#This Row],[Cuenta]],Table8[Nombre Cuenta ()],Table8[Nivel 2],"",0)</f>
        <v/>
      </c>
      <c r="T239" t="str">
        <f>_xlfn.XLOOKUP(Table3[[#This Row],[Cuenta]],Table8[Nombre Cuenta ()],Table8[Nivel 3],"",0)</f>
        <v/>
      </c>
      <c r="U239">
        <v>483</v>
      </c>
      <c r="V239" t="str">
        <f>_xlfn.XLOOKUP(Table3[[#This Row],[Cuenta]],Estructura_Balance[Nombre Cuenta ()],Estructura_Balance[Niveles:2],"",0)</f>
        <v/>
      </c>
      <c r="W239" t="str">
        <f>_xlfn.XLOOKUP(Table3[[#This Row],[Cuenta]],Estructura_Balance[Nombre Cuenta ()],Estructura_Balance[Niveles:3],"",0)</f>
        <v/>
      </c>
      <c r="X239" t="str">
        <f>_xlfn.XLOOKUP(Table3[[#This Row],[Cuenta]],Estructura_Balance[Nombre Cuenta ()],Estructura_Balance[Grupos],"Grupo 1",0)</f>
        <v>Grupo 1</v>
      </c>
      <c r="Y239" t="str">
        <f>+Table3[[#This Row],[BS_Nivel_1]]</f>
        <v/>
      </c>
    </row>
    <row r="240" spans="1:25">
      <c r="A240">
        <f>+'Libro Diario'!F352</f>
        <v>0</v>
      </c>
      <c r="B240" s="144">
        <f>VALUE(IF(+'Libro Diario'!G352="","01/01/2025",+'Libro Diario'!G352))</f>
        <v>45658</v>
      </c>
      <c r="C240">
        <f>IF(ISNUMBER(+IF(IFERROR(VALUE(MID('Libro Diario'!C352,1,4)),0)&lt;&gt;0,'Libro Diario'!C352,0))=FALSE,'Libro Diario'!C352,0)</f>
        <v>0</v>
      </c>
      <c r="D240" s="145">
        <f>+'Libro Diario'!B352</f>
        <v>0</v>
      </c>
      <c r="E240" s="139" t="s">
        <v>445</v>
      </c>
      <c r="F240" t="str">
        <f t="shared" si="9"/>
        <v>Sin Mov.</v>
      </c>
      <c r="G240" t="str">
        <f>IF(+'Libro Diario'!H352=0,"",+'Libro Diario'!H352)</f>
        <v/>
      </c>
      <c r="H240" t="str">
        <f>IF(+'Libro Diario'!I352=0,"",+'Libro Diario'!I352)</f>
        <v/>
      </c>
      <c r="I240" t="str">
        <f>+IF(Table3[[#This Row],[Tipo Movimiento]]="Estructura Balance y PyG","Excluir","Incluir")</f>
        <v>Incluir</v>
      </c>
      <c r="J240" s="153">
        <f>+IF(Table3[[#This Row],[Sin cuenta]]="Con Mov.",(IF(Table3[[#This Row],[Movimiento]]="Debe",Table3[[#This Row],[Importe]],IF(Table3[[#This Row],[Movimiento]]="Haber",Table3[[#This Row],[Importe]]*-1,0))),0)</f>
        <v>0</v>
      </c>
      <c r="K240" s="145">
        <f t="shared" si="10"/>
        <v>0</v>
      </c>
      <c r="L240" s="145" t="str">
        <f t="shared" si="11"/>
        <v/>
      </c>
      <c r="M240" t="str">
        <f>_xlfn.XLOOKUP(Table3[[#This Row],[Cuenta]],Estructura_Balance[Nombre Cuenta ()],Estructura_Balance[Grupo],"",0)</f>
        <v/>
      </c>
      <c r="N240" t="str">
        <f>_xlfn.XLOOKUP(Table3[[#This Row],[Cuenta]],Estructura_Balance[Nombre Cuenta ()],Estructura_Balance[Nivel 1],"",0)</f>
        <v/>
      </c>
      <c r="O240" t="str">
        <f>_xlfn.XLOOKUP(Table3[[#This Row],[Cuenta]],Estructura_Balance[Nombre Cuenta ()],Estructura_Balance[Nivel 2],"",0)</f>
        <v/>
      </c>
      <c r="P240" t="str">
        <f>_xlfn.XLOOKUP(Table3[[#This Row],[Cuenta]],Estructura_Balance[Nombre Cuenta ()],Estructura_Balance[Nivel 3],"",0)</f>
        <v/>
      </c>
      <c r="Q240" t="str">
        <f>_xlfn.XLOOKUP(Table3[[#This Row],[Cuenta]],Estructura_Balance[Nombre Cuenta ()],Estructura_Balance[Nivel 4],"",0)</f>
        <v/>
      </c>
      <c r="R240" t="str">
        <f>_xlfn.XLOOKUP(Table3[[#This Row],[Cuenta]],Table8[Nombre Cuenta ()],Table8[Nivel 1],"",0)</f>
        <v/>
      </c>
      <c r="S240" t="str">
        <f>_xlfn.XLOOKUP(Table3[[#This Row],[Cuenta]],Table8[Nombre Cuenta ()],Table8[Nivel 2],"",0)</f>
        <v/>
      </c>
      <c r="T240" t="str">
        <f>_xlfn.XLOOKUP(Table3[[#This Row],[Cuenta]],Table8[Nombre Cuenta ()],Table8[Nivel 3],"",0)</f>
        <v/>
      </c>
      <c r="U240">
        <v>484</v>
      </c>
      <c r="V240" t="str">
        <f>_xlfn.XLOOKUP(Table3[[#This Row],[Cuenta]],Estructura_Balance[Nombre Cuenta ()],Estructura_Balance[Niveles:2],"",0)</f>
        <v/>
      </c>
      <c r="W240" t="str">
        <f>_xlfn.XLOOKUP(Table3[[#This Row],[Cuenta]],Estructura_Balance[Nombre Cuenta ()],Estructura_Balance[Niveles:3],"",0)</f>
        <v/>
      </c>
      <c r="X240" t="str">
        <f>_xlfn.XLOOKUP(Table3[[#This Row],[Cuenta]],Estructura_Balance[Nombre Cuenta ()],Estructura_Balance[Grupos],"Grupo 1",0)</f>
        <v>Grupo 1</v>
      </c>
      <c r="Y240" t="str">
        <f>+Table3[[#This Row],[BS_Nivel_1]]</f>
        <v/>
      </c>
    </row>
    <row r="241" spans="1:25">
      <c r="A241">
        <f>+'Libro Diario'!F353</f>
        <v>0</v>
      </c>
      <c r="B241" s="144">
        <f>VALUE(IF(+'Libro Diario'!G353="","01/01/2025",+'Libro Diario'!G353))</f>
        <v>45658</v>
      </c>
      <c r="C241">
        <f>IF(ISNUMBER(+IF(IFERROR(VALUE(MID('Libro Diario'!C353,1,4)),0)&lt;&gt;0,'Libro Diario'!C353,0))=FALSE,'Libro Diario'!C353,0)</f>
        <v>0</v>
      </c>
      <c r="D241" s="145" t="str">
        <f>+'Libro Diario'!B353</f>
        <v>DEBE</v>
      </c>
      <c r="E241" s="139" t="s">
        <v>445</v>
      </c>
      <c r="F241" t="str">
        <f t="shared" si="9"/>
        <v>Sin Mov.</v>
      </c>
      <c r="G241" t="str">
        <f>IF(+'Libro Diario'!H353=0,"",+'Libro Diario'!H353)</f>
        <v/>
      </c>
      <c r="H241" t="str">
        <f>IF(+'Libro Diario'!I353=0,"",+'Libro Diario'!I353)</f>
        <v/>
      </c>
      <c r="I241" t="str">
        <f>+IF(Table3[[#This Row],[Tipo Movimiento]]="Estructura Balance y PyG","Excluir","Incluir")</f>
        <v>Incluir</v>
      </c>
      <c r="J241" s="153">
        <f>+IF(Table3[[#This Row],[Sin cuenta]]="Con Mov.",(IF(Table3[[#This Row],[Movimiento]]="Debe",Table3[[#This Row],[Importe]],IF(Table3[[#This Row],[Movimiento]]="Haber",Table3[[#This Row],[Importe]]*-1,0))),0)</f>
        <v>0</v>
      </c>
      <c r="K241" s="145" t="str">
        <f t="shared" si="10"/>
        <v>DEBE</v>
      </c>
      <c r="L241" s="145" t="str">
        <f t="shared" si="11"/>
        <v/>
      </c>
      <c r="M241" t="str">
        <f>_xlfn.XLOOKUP(Table3[[#This Row],[Cuenta]],Estructura_Balance[Nombre Cuenta ()],Estructura_Balance[Grupo],"",0)</f>
        <v/>
      </c>
      <c r="N241" t="str">
        <f>_xlfn.XLOOKUP(Table3[[#This Row],[Cuenta]],Estructura_Balance[Nombre Cuenta ()],Estructura_Balance[Nivel 1],"",0)</f>
        <v/>
      </c>
      <c r="O241" t="str">
        <f>_xlfn.XLOOKUP(Table3[[#This Row],[Cuenta]],Estructura_Balance[Nombre Cuenta ()],Estructura_Balance[Nivel 2],"",0)</f>
        <v/>
      </c>
      <c r="P241" t="str">
        <f>_xlfn.XLOOKUP(Table3[[#This Row],[Cuenta]],Estructura_Balance[Nombre Cuenta ()],Estructura_Balance[Nivel 3],"",0)</f>
        <v/>
      </c>
      <c r="Q241" t="str">
        <f>_xlfn.XLOOKUP(Table3[[#This Row],[Cuenta]],Estructura_Balance[Nombre Cuenta ()],Estructura_Balance[Nivel 4],"",0)</f>
        <v/>
      </c>
      <c r="R241" t="str">
        <f>_xlfn.XLOOKUP(Table3[[#This Row],[Cuenta]],Table8[Nombre Cuenta ()],Table8[Nivel 1],"",0)</f>
        <v/>
      </c>
      <c r="S241" t="str">
        <f>_xlfn.XLOOKUP(Table3[[#This Row],[Cuenta]],Table8[Nombre Cuenta ()],Table8[Nivel 2],"",0)</f>
        <v/>
      </c>
      <c r="T241" t="str">
        <f>_xlfn.XLOOKUP(Table3[[#This Row],[Cuenta]],Table8[Nombre Cuenta ()],Table8[Nivel 3],"",0)</f>
        <v/>
      </c>
      <c r="U241">
        <v>485</v>
      </c>
      <c r="V241" t="str">
        <f>_xlfn.XLOOKUP(Table3[[#This Row],[Cuenta]],Estructura_Balance[Nombre Cuenta ()],Estructura_Balance[Niveles:2],"",0)</f>
        <v/>
      </c>
      <c r="W241" t="str">
        <f>_xlfn.XLOOKUP(Table3[[#This Row],[Cuenta]],Estructura_Balance[Nombre Cuenta ()],Estructura_Balance[Niveles:3],"",0)</f>
        <v/>
      </c>
      <c r="X241" t="str">
        <f>_xlfn.XLOOKUP(Table3[[#This Row],[Cuenta]],Estructura_Balance[Nombre Cuenta ()],Estructura_Balance[Grupos],"Grupo 1",0)</f>
        <v>Grupo 1</v>
      </c>
      <c r="Y241" t="str">
        <f>+Table3[[#This Row],[BS_Nivel_1]]</f>
        <v/>
      </c>
    </row>
    <row r="242" spans="1:25">
      <c r="A242">
        <f>+'Libro Diario'!F354</f>
        <v>0</v>
      </c>
      <c r="B242" s="144">
        <f>VALUE(IF(+'Libro Diario'!G354="","01/01/2025",+'Libro Diario'!G354))</f>
        <v>45658</v>
      </c>
      <c r="C242">
        <f>IF(ISNUMBER(+IF(IFERROR(VALUE(MID('Libro Diario'!C354,1,4)),0)&lt;&gt;0,'Libro Diario'!C354,0))=FALSE,'Libro Diario'!C354,0)</f>
        <v>0</v>
      </c>
      <c r="D242" s="145">
        <f>+'Libro Diario'!B354</f>
        <v>0</v>
      </c>
      <c r="E242" s="139" t="s">
        <v>445</v>
      </c>
      <c r="F242" t="str">
        <f t="shared" si="9"/>
        <v>Sin Mov.</v>
      </c>
      <c r="G242" t="str">
        <f>IF(+'Libro Diario'!H354=0,"",+'Libro Diario'!H354)</f>
        <v/>
      </c>
      <c r="H242" t="str">
        <f>IF(+'Libro Diario'!I354=0,"",+'Libro Diario'!I354)</f>
        <v/>
      </c>
      <c r="I242" t="str">
        <f>+IF(Table3[[#This Row],[Tipo Movimiento]]="Estructura Balance y PyG","Excluir","Incluir")</f>
        <v>Incluir</v>
      </c>
      <c r="J242" s="153">
        <f>+IF(Table3[[#This Row],[Sin cuenta]]="Con Mov.",(IF(Table3[[#This Row],[Movimiento]]="Debe",Table3[[#This Row],[Importe]],IF(Table3[[#This Row],[Movimiento]]="Haber",Table3[[#This Row],[Importe]]*-1,0))),0)</f>
        <v>0</v>
      </c>
      <c r="K242" s="145">
        <f t="shared" si="10"/>
        <v>0</v>
      </c>
      <c r="L242" s="145" t="str">
        <f t="shared" si="11"/>
        <v/>
      </c>
      <c r="M242" t="str">
        <f>_xlfn.XLOOKUP(Table3[[#This Row],[Cuenta]],Estructura_Balance[Nombre Cuenta ()],Estructura_Balance[Grupo],"",0)</f>
        <v/>
      </c>
      <c r="N242" t="str">
        <f>_xlfn.XLOOKUP(Table3[[#This Row],[Cuenta]],Estructura_Balance[Nombre Cuenta ()],Estructura_Balance[Nivel 1],"",0)</f>
        <v/>
      </c>
      <c r="O242" t="str">
        <f>_xlfn.XLOOKUP(Table3[[#This Row],[Cuenta]],Estructura_Balance[Nombre Cuenta ()],Estructura_Balance[Nivel 2],"",0)</f>
        <v/>
      </c>
      <c r="P242" t="str">
        <f>_xlfn.XLOOKUP(Table3[[#This Row],[Cuenta]],Estructura_Balance[Nombre Cuenta ()],Estructura_Balance[Nivel 3],"",0)</f>
        <v/>
      </c>
      <c r="Q242" t="str">
        <f>_xlfn.XLOOKUP(Table3[[#This Row],[Cuenta]],Estructura_Balance[Nombre Cuenta ()],Estructura_Balance[Nivel 4],"",0)</f>
        <v/>
      </c>
      <c r="R242" t="str">
        <f>_xlfn.XLOOKUP(Table3[[#This Row],[Cuenta]],Table8[Nombre Cuenta ()],Table8[Nivel 1],"",0)</f>
        <v/>
      </c>
      <c r="S242" t="str">
        <f>_xlfn.XLOOKUP(Table3[[#This Row],[Cuenta]],Table8[Nombre Cuenta ()],Table8[Nivel 2],"",0)</f>
        <v/>
      </c>
      <c r="T242" t="str">
        <f>_xlfn.XLOOKUP(Table3[[#This Row],[Cuenta]],Table8[Nombre Cuenta ()],Table8[Nivel 3],"",0)</f>
        <v/>
      </c>
      <c r="U242">
        <v>488</v>
      </c>
      <c r="V242" t="str">
        <f>_xlfn.XLOOKUP(Table3[[#This Row],[Cuenta]],Estructura_Balance[Nombre Cuenta ()],Estructura_Balance[Niveles:2],"",0)</f>
        <v/>
      </c>
      <c r="W242" t="str">
        <f>_xlfn.XLOOKUP(Table3[[#This Row],[Cuenta]],Estructura_Balance[Nombre Cuenta ()],Estructura_Balance[Niveles:3],"",0)</f>
        <v/>
      </c>
      <c r="X242" t="str">
        <f>_xlfn.XLOOKUP(Table3[[#This Row],[Cuenta]],Estructura_Balance[Nombre Cuenta ()],Estructura_Balance[Grupos],"Grupo 1",0)</f>
        <v>Grupo 1</v>
      </c>
      <c r="Y242" t="str">
        <f>+Table3[[#This Row],[BS_Nivel_1]]</f>
        <v/>
      </c>
    </row>
    <row r="243" spans="1:25">
      <c r="A243">
        <f>+'Libro Diario'!F358</f>
        <v>0</v>
      </c>
      <c r="B243" s="144">
        <f>VALUE(IF(+'Libro Diario'!G358="","01/01/2025",+'Libro Diario'!G358))</f>
        <v>45658</v>
      </c>
      <c r="C243">
        <f>IF(ISNUMBER(+IF(IFERROR(VALUE(MID('Libro Diario'!C358,1,4)),0)&lt;&gt;0,'Libro Diario'!C358,0))=FALSE,'Libro Diario'!C358,0)</f>
        <v>0</v>
      </c>
      <c r="D243" s="145" t="str">
        <f>+'Libro Diario'!B358</f>
        <v>Operaciones del Ejercicio</v>
      </c>
      <c r="E243" s="139" t="s">
        <v>445</v>
      </c>
      <c r="F243" t="str">
        <f t="shared" si="9"/>
        <v>Sin Mov.</v>
      </c>
      <c r="G243" t="str">
        <f>IF(+'Libro Diario'!H358=0,"",+'Libro Diario'!H358)</f>
        <v/>
      </c>
      <c r="H243" t="str">
        <f>IF(+'Libro Diario'!I358=0,"",+'Libro Diario'!I358)</f>
        <v/>
      </c>
      <c r="I243" t="str">
        <f>+IF(Table3[[#This Row],[Tipo Movimiento]]="Estructura Balance y PyG","Excluir","Incluir")</f>
        <v>Incluir</v>
      </c>
      <c r="J243" s="153">
        <f>+IF(Table3[[#This Row],[Sin cuenta]]="Con Mov.",(IF(Table3[[#This Row],[Movimiento]]="Debe",Table3[[#This Row],[Importe]],IF(Table3[[#This Row],[Movimiento]]="Haber",Table3[[#This Row],[Importe]]*-1,0))),0)</f>
        <v>0</v>
      </c>
      <c r="K243" s="145" t="str">
        <f t="shared" si="10"/>
        <v>Operaciones del Ejercicio</v>
      </c>
      <c r="L243" s="145" t="str">
        <f t="shared" si="11"/>
        <v/>
      </c>
      <c r="M243" t="str">
        <f>_xlfn.XLOOKUP(Table3[[#This Row],[Cuenta]],Estructura_Balance[Nombre Cuenta ()],Estructura_Balance[Grupo],"",0)</f>
        <v/>
      </c>
      <c r="N243" t="str">
        <f>_xlfn.XLOOKUP(Table3[[#This Row],[Cuenta]],Estructura_Balance[Nombre Cuenta ()],Estructura_Balance[Nivel 1],"",0)</f>
        <v/>
      </c>
      <c r="O243" t="str">
        <f>_xlfn.XLOOKUP(Table3[[#This Row],[Cuenta]],Estructura_Balance[Nombre Cuenta ()],Estructura_Balance[Nivel 2],"",0)</f>
        <v/>
      </c>
      <c r="P243" t="str">
        <f>_xlfn.XLOOKUP(Table3[[#This Row],[Cuenta]],Estructura_Balance[Nombre Cuenta ()],Estructura_Balance[Nivel 3],"",0)</f>
        <v/>
      </c>
      <c r="Q243" t="str">
        <f>_xlfn.XLOOKUP(Table3[[#This Row],[Cuenta]],Estructura_Balance[Nombre Cuenta ()],Estructura_Balance[Nivel 4],"",0)</f>
        <v/>
      </c>
      <c r="R243" t="str">
        <f>_xlfn.XLOOKUP(Table3[[#This Row],[Cuenta]],Table8[Nombre Cuenta ()],Table8[Nivel 1],"",0)</f>
        <v/>
      </c>
      <c r="S243" t="str">
        <f>_xlfn.XLOOKUP(Table3[[#This Row],[Cuenta]],Table8[Nombre Cuenta ()],Table8[Nivel 2],"",0)</f>
        <v/>
      </c>
      <c r="T243" t="str">
        <f>_xlfn.XLOOKUP(Table3[[#This Row],[Cuenta]],Table8[Nombre Cuenta ()],Table8[Nivel 3],"",0)</f>
        <v/>
      </c>
      <c r="U243">
        <v>492</v>
      </c>
      <c r="V243" t="str">
        <f>_xlfn.XLOOKUP(Table3[[#This Row],[Cuenta]],Estructura_Balance[Nombre Cuenta ()],Estructura_Balance[Niveles:2],"",0)</f>
        <v/>
      </c>
      <c r="W243" t="str">
        <f>_xlfn.XLOOKUP(Table3[[#This Row],[Cuenta]],Estructura_Balance[Nombre Cuenta ()],Estructura_Balance[Niveles:3],"",0)</f>
        <v/>
      </c>
      <c r="X243" t="str">
        <f>_xlfn.XLOOKUP(Table3[[#This Row],[Cuenta]],Estructura_Balance[Nombre Cuenta ()],Estructura_Balance[Grupos],"Grupo 1",0)</f>
        <v>Grupo 1</v>
      </c>
      <c r="Y243" t="str">
        <f>+Table3[[#This Row],[BS_Nivel_1]]</f>
        <v/>
      </c>
    </row>
    <row r="244" spans="1:25">
      <c r="A244">
        <f>+'Libro Diario'!F359</f>
        <v>0</v>
      </c>
      <c r="B244" s="144">
        <f>VALUE(IF(+'Libro Diario'!G359="","01/01/2025",+'Libro Diario'!G359))</f>
        <v>45658</v>
      </c>
      <c r="C244">
        <f>IF(ISNUMBER(+IF(IFERROR(VALUE(MID('Libro Diario'!C359,1,4)),0)&lt;&gt;0,'Libro Diario'!C359,0))=FALSE,'Libro Diario'!C359,0)</f>
        <v>0</v>
      </c>
      <c r="D244" s="145" t="str">
        <f>+'Libro Diario'!B359</f>
        <v>Asiento Cuadrado</v>
      </c>
      <c r="E244" s="139" t="s">
        <v>445</v>
      </c>
      <c r="F244" t="str">
        <f t="shared" si="9"/>
        <v>Sin Mov.</v>
      </c>
      <c r="G244" t="str">
        <f>IF(+'Libro Diario'!H359=0,"",+'Libro Diario'!H359)</f>
        <v/>
      </c>
      <c r="H244" t="str">
        <f>IF(+'Libro Diario'!I359=0,"",+'Libro Diario'!I359)</f>
        <v/>
      </c>
      <c r="I244" t="str">
        <f>+IF(Table3[[#This Row],[Tipo Movimiento]]="Estructura Balance y PyG","Excluir","Incluir")</f>
        <v>Incluir</v>
      </c>
      <c r="J244" s="153">
        <f>+IF(Table3[[#This Row],[Sin cuenta]]="Con Mov.",(IF(Table3[[#This Row],[Movimiento]]="Debe",Table3[[#This Row],[Importe]],IF(Table3[[#This Row],[Movimiento]]="Haber",Table3[[#This Row],[Importe]]*-1,0))),0)</f>
        <v>0</v>
      </c>
      <c r="K244" s="145" t="str">
        <f t="shared" si="10"/>
        <v>Asiento Cuadrado</v>
      </c>
      <c r="L244" s="145" t="str">
        <f t="shared" si="11"/>
        <v/>
      </c>
      <c r="M244" t="str">
        <f>_xlfn.XLOOKUP(Table3[[#This Row],[Cuenta]],Estructura_Balance[Nombre Cuenta ()],Estructura_Balance[Grupo],"",0)</f>
        <v/>
      </c>
      <c r="N244" t="str">
        <f>_xlfn.XLOOKUP(Table3[[#This Row],[Cuenta]],Estructura_Balance[Nombre Cuenta ()],Estructura_Balance[Nivel 1],"",0)</f>
        <v/>
      </c>
      <c r="O244" t="str">
        <f>_xlfn.XLOOKUP(Table3[[#This Row],[Cuenta]],Estructura_Balance[Nombre Cuenta ()],Estructura_Balance[Nivel 2],"",0)</f>
        <v/>
      </c>
      <c r="P244" t="str">
        <f>_xlfn.XLOOKUP(Table3[[#This Row],[Cuenta]],Estructura_Balance[Nombre Cuenta ()],Estructura_Balance[Nivel 3],"",0)</f>
        <v/>
      </c>
      <c r="Q244" t="str">
        <f>_xlfn.XLOOKUP(Table3[[#This Row],[Cuenta]],Estructura_Balance[Nombre Cuenta ()],Estructura_Balance[Nivel 4],"",0)</f>
        <v/>
      </c>
      <c r="R244" t="str">
        <f>_xlfn.XLOOKUP(Table3[[#This Row],[Cuenta]],Table8[Nombre Cuenta ()],Table8[Nivel 1],"",0)</f>
        <v/>
      </c>
      <c r="S244" t="str">
        <f>_xlfn.XLOOKUP(Table3[[#This Row],[Cuenta]],Table8[Nombre Cuenta ()],Table8[Nivel 2],"",0)</f>
        <v/>
      </c>
      <c r="T244" t="str">
        <f>_xlfn.XLOOKUP(Table3[[#This Row],[Cuenta]],Table8[Nombre Cuenta ()],Table8[Nivel 3],"",0)</f>
        <v/>
      </c>
      <c r="U244">
        <v>495</v>
      </c>
      <c r="V244" t="str">
        <f>_xlfn.XLOOKUP(Table3[[#This Row],[Cuenta]],Estructura_Balance[Nombre Cuenta ()],Estructura_Balance[Niveles:2],"",0)</f>
        <v/>
      </c>
      <c r="W244" t="str">
        <f>_xlfn.XLOOKUP(Table3[[#This Row],[Cuenta]],Estructura_Balance[Nombre Cuenta ()],Estructura_Balance[Niveles:3],"",0)</f>
        <v/>
      </c>
      <c r="X244" t="str">
        <f>_xlfn.XLOOKUP(Table3[[#This Row],[Cuenta]],Estructura_Balance[Nombre Cuenta ()],Estructura_Balance[Grupos],"Grupo 1",0)</f>
        <v>Grupo 1</v>
      </c>
      <c r="Y244" t="str">
        <f>+Table3[[#This Row],[BS_Nivel_1]]</f>
        <v/>
      </c>
    </row>
    <row r="245" spans="1:25">
      <c r="A245">
        <f>+'Libro Diario'!F360</f>
        <v>0</v>
      </c>
      <c r="B245" s="144">
        <f>VALUE(IF(+'Libro Diario'!G360="","01/01/2025",+'Libro Diario'!G360))</f>
        <v>45658</v>
      </c>
      <c r="C245">
        <f>IF(ISNUMBER(+IF(IFERROR(VALUE(MID('Libro Diario'!C360,1,4)),0)&lt;&gt;0,'Libro Diario'!C360,0))=FALSE,'Libro Diario'!C360,0)</f>
        <v>0</v>
      </c>
      <c r="D245" s="145">
        <f>+'Libro Diario'!B360</f>
        <v>0</v>
      </c>
      <c r="E245" s="139" t="s">
        <v>445</v>
      </c>
      <c r="F245" t="str">
        <f t="shared" si="9"/>
        <v>Sin Mov.</v>
      </c>
      <c r="G245" t="str">
        <f>IF(+'Libro Diario'!H360=0,"",+'Libro Diario'!H360)</f>
        <v/>
      </c>
      <c r="H245" t="str">
        <f>IF(+'Libro Diario'!I360=0,"",+'Libro Diario'!I360)</f>
        <v/>
      </c>
      <c r="I245" t="str">
        <f>+IF(Table3[[#This Row],[Tipo Movimiento]]="Estructura Balance y PyG","Excluir","Incluir")</f>
        <v>Incluir</v>
      </c>
      <c r="J245" s="153">
        <f>+IF(Table3[[#This Row],[Sin cuenta]]="Con Mov.",(IF(Table3[[#This Row],[Movimiento]]="Debe",Table3[[#This Row],[Importe]],IF(Table3[[#This Row],[Movimiento]]="Haber",Table3[[#This Row],[Importe]]*-1,0))),0)</f>
        <v>0</v>
      </c>
      <c r="K245" s="145">
        <f t="shared" si="10"/>
        <v>0</v>
      </c>
      <c r="L245" s="145" t="str">
        <f t="shared" si="11"/>
        <v/>
      </c>
      <c r="M245" t="str">
        <f>_xlfn.XLOOKUP(Table3[[#This Row],[Cuenta]],Estructura_Balance[Nombre Cuenta ()],Estructura_Balance[Grupo],"",0)</f>
        <v/>
      </c>
      <c r="N245" t="str">
        <f>_xlfn.XLOOKUP(Table3[[#This Row],[Cuenta]],Estructura_Balance[Nombre Cuenta ()],Estructura_Balance[Nivel 1],"",0)</f>
        <v/>
      </c>
      <c r="O245" t="str">
        <f>_xlfn.XLOOKUP(Table3[[#This Row],[Cuenta]],Estructura_Balance[Nombre Cuenta ()],Estructura_Balance[Nivel 2],"",0)</f>
        <v/>
      </c>
      <c r="P245" t="str">
        <f>_xlfn.XLOOKUP(Table3[[#This Row],[Cuenta]],Estructura_Balance[Nombre Cuenta ()],Estructura_Balance[Nivel 3],"",0)</f>
        <v/>
      </c>
      <c r="Q245" t="str">
        <f>_xlfn.XLOOKUP(Table3[[#This Row],[Cuenta]],Estructura_Balance[Nombre Cuenta ()],Estructura_Balance[Nivel 4],"",0)</f>
        <v/>
      </c>
      <c r="R245" t="str">
        <f>_xlfn.XLOOKUP(Table3[[#This Row],[Cuenta]],Table8[Nombre Cuenta ()],Table8[Nivel 1],"",0)</f>
        <v/>
      </c>
      <c r="S245" t="str">
        <f>_xlfn.XLOOKUP(Table3[[#This Row],[Cuenta]],Table8[Nombre Cuenta ()],Table8[Nivel 2],"",0)</f>
        <v/>
      </c>
      <c r="T245" t="str">
        <f>_xlfn.XLOOKUP(Table3[[#This Row],[Cuenta]],Table8[Nombre Cuenta ()],Table8[Nivel 3],"",0)</f>
        <v/>
      </c>
      <c r="U245">
        <v>496</v>
      </c>
      <c r="V245" t="str">
        <f>_xlfn.XLOOKUP(Table3[[#This Row],[Cuenta]],Estructura_Balance[Nombre Cuenta ()],Estructura_Balance[Niveles:2],"",0)</f>
        <v/>
      </c>
      <c r="W245" t="str">
        <f>_xlfn.XLOOKUP(Table3[[#This Row],[Cuenta]],Estructura_Balance[Nombre Cuenta ()],Estructura_Balance[Niveles:3],"",0)</f>
        <v/>
      </c>
      <c r="X245" t="str">
        <f>_xlfn.XLOOKUP(Table3[[#This Row],[Cuenta]],Estructura_Balance[Nombre Cuenta ()],Estructura_Balance[Grupos],"Grupo 1",0)</f>
        <v>Grupo 1</v>
      </c>
      <c r="Y245" t="str">
        <f>+Table3[[#This Row],[BS_Nivel_1]]</f>
        <v/>
      </c>
    </row>
    <row r="246" spans="1:25">
      <c r="A246">
        <f>+'Libro Diario'!F361</f>
        <v>0</v>
      </c>
      <c r="B246" s="144">
        <f>VALUE(IF(+'Libro Diario'!G361="","01/01/2025",+'Libro Diario'!G361))</f>
        <v>45658</v>
      </c>
      <c r="C246">
        <f>IF(ISNUMBER(+IF(IFERROR(VALUE(MID('Libro Diario'!C361,1,4)),0)&lt;&gt;0,'Libro Diario'!C361,0))=FALSE,'Libro Diario'!C361,0)</f>
        <v>0</v>
      </c>
      <c r="D246" s="145" t="str">
        <f>+'Libro Diario'!B361</f>
        <v>DEBE</v>
      </c>
      <c r="E246" s="139" t="s">
        <v>445</v>
      </c>
      <c r="F246" t="str">
        <f t="shared" si="9"/>
        <v>Sin Mov.</v>
      </c>
      <c r="G246" t="str">
        <f>IF(+'Libro Diario'!H361=0,"",+'Libro Diario'!H361)</f>
        <v/>
      </c>
      <c r="H246" t="str">
        <f>IF(+'Libro Diario'!I361=0,"",+'Libro Diario'!I361)</f>
        <v/>
      </c>
      <c r="I246" t="str">
        <f>+IF(Table3[[#This Row],[Tipo Movimiento]]="Estructura Balance y PyG","Excluir","Incluir")</f>
        <v>Incluir</v>
      </c>
      <c r="J246" s="153">
        <f>+IF(Table3[[#This Row],[Sin cuenta]]="Con Mov.",(IF(Table3[[#This Row],[Movimiento]]="Debe",Table3[[#This Row],[Importe]],IF(Table3[[#This Row],[Movimiento]]="Haber",Table3[[#This Row],[Importe]]*-1,0))),0)</f>
        <v>0</v>
      </c>
      <c r="K246" s="145" t="str">
        <f t="shared" si="10"/>
        <v>DEBE</v>
      </c>
      <c r="L246" s="145" t="str">
        <f t="shared" si="11"/>
        <v/>
      </c>
      <c r="M246" t="str">
        <f>_xlfn.XLOOKUP(Table3[[#This Row],[Cuenta]],Estructura_Balance[Nombre Cuenta ()],Estructura_Balance[Grupo],"",0)</f>
        <v/>
      </c>
      <c r="N246" t="str">
        <f>_xlfn.XLOOKUP(Table3[[#This Row],[Cuenta]],Estructura_Balance[Nombre Cuenta ()],Estructura_Balance[Nivel 1],"",0)</f>
        <v/>
      </c>
      <c r="O246" t="str">
        <f>_xlfn.XLOOKUP(Table3[[#This Row],[Cuenta]],Estructura_Balance[Nombre Cuenta ()],Estructura_Balance[Nivel 2],"",0)</f>
        <v/>
      </c>
      <c r="P246" t="str">
        <f>_xlfn.XLOOKUP(Table3[[#This Row],[Cuenta]],Estructura_Balance[Nombre Cuenta ()],Estructura_Balance[Nivel 3],"",0)</f>
        <v/>
      </c>
      <c r="Q246" t="str">
        <f>_xlfn.XLOOKUP(Table3[[#This Row],[Cuenta]],Estructura_Balance[Nombre Cuenta ()],Estructura_Balance[Nivel 4],"",0)</f>
        <v/>
      </c>
      <c r="R246" t="str">
        <f>_xlfn.XLOOKUP(Table3[[#This Row],[Cuenta]],Table8[Nombre Cuenta ()],Table8[Nivel 1],"",0)</f>
        <v/>
      </c>
      <c r="S246" t="str">
        <f>_xlfn.XLOOKUP(Table3[[#This Row],[Cuenta]],Table8[Nombre Cuenta ()],Table8[Nivel 2],"",0)</f>
        <v/>
      </c>
      <c r="T246" t="str">
        <f>_xlfn.XLOOKUP(Table3[[#This Row],[Cuenta]],Table8[Nombre Cuenta ()],Table8[Nivel 3],"",0)</f>
        <v/>
      </c>
      <c r="U246">
        <v>497</v>
      </c>
      <c r="V246" t="str">
        <f>_xlfn.XLOOKUP(Table3[[#This Row],[Cuenta]],Estructura_Balance[Nombre Cuenta ()],Estructura_Balance[Niveles:2],"",0)</f>
        <v/>
      </c>
      <c r="W246" t="str">
        <f>_xlfn.XLOOKUP(Table3[[#This Row],[Cuenta]],Estructura_Balance[Nombre Cuenta ()],Estructura_Balance[Niveles:3],"",0)</f>
        <v/>
      </c>
      <c r="X246" t="str">
        <f>_xlfn.XLOOKUP(Table3[[#This Row],[Cuenta]],Estructura_Balance[Nombre Cuenta ()],Estructura_Balance[Grupos],"Grupo 1",0)</f>
        <v>Grupo 1</v>
      </c>
      <c r="Y246" t="str">
        <f>+Table3[[#This Row],[BS_Nivel_1]]</f>
        <v/>
      </c>
    </row>
    <row r="247" spans="1:25">
      <c r="A247">
        <f>+'Libro Diario'!F362</f>
        <v>0</v>
      </c>
      <c r="B247" s="144">
        <f>VALUE(IF(+'Libro Diario'!G362="","01/01/2025",+'Libro Diario'!G362))</f>
        <v>45658</v>
      </c>
      <c r="C247">
        <f>IF(ISNUMBER(+IF(IFERROR(VALUE(MID('Libro Diario'!C362,1,4)),0)&lt;&gt;0,'Libro Diario'!C362,0))=FALSE,'Libro Diario'!C362,0)</f>
        <v>0</v>
      </c>
      <c r="D247" s="145">
        <f>+'Libro Diario'!B362</f>
        <v>0</v>
      </c>
      <c r="E247" s="139" t="s">
        <v>445</v>
      </c>
      <c r="F247" t="str">
        <f t="shared" si="9"/>
        <v>Sin Mov.</v>
      </c>
      <c r="G247" t="str">
        <f>IF(+'Libro Diario'!H362=0,"",+'Libro Diario'!H362)</f>
        <v/>
      </c>
      <c r="H247" t="str">
        <f>IF(+'Libro Diario'!I362=0,"",+'Libro Diario'!I362)</f>
        <v/>
      </c>
      <c r="I247" t="str">
        <f>+IF(Table3[[#This Row],[Tipo Movimiento]]="Estructura Balance y PyG","Excluir","Incluir")</f>
        <v>Incluir</v>
      </c>
      <c r="J247" s="153">
        <f>+IF(Table3[[#This Row],[Sin cuenta]]="Con Mov.",(IF(Table3[[#This Row],[Movimiento]]="Debe",Table3[[#This Row],[Importe]],IF(Table3[[#This Row],[Movimiento]]="Haber",Table3[[#This Row],[Importe]]*-1,0))),0)</f>
        <v>0</v>
      </c>
      <c r="K247" s="145">
        <f t="shared" si="10"/>
        <v>0</v>
      </c>
      <c r="L247" s="145" t="str">
        <f t="shared" si="11"/>
        <v/>
      </c>
      <c r="M247" t="str">
        <f>_xlfn.XLOOKUP(Table3[[#This Row],[Cuenta]],Estructura_Balance[Nombre Cuenta ()],Estructura_Balance[Grupo],"",0)</f>
        <v/>
      </c>
      <c r="N247" t="str">
        <f>_xlfn.XLOOKUP(Table3[[#This Row],[Cuenta]],Estructura_Balance[Nombre Cuenta ()],Estructura_Balance[Nivel 1],"",0)</f>
        <v/>
      </c>
      <c r="O247" t="str">
        <f>_xlfn.XLOOKUP(Table3[[#This Row],[Cuenta]],Estructura_Balance[Nombre Cuenta ()],Estructura_Balance[Nivel 2],"",0)</f>
        <v/>
      </c>
      <c r="P247" t="str">
        <f>_xlfn.XLOOKUP(Table3[[#This Row],[Cuenta]],Estructura_Balance[Nombre Cuenta ()],Estructura_Balance[Nivel 3],"",0)</f>
        <v/>
      </c>
      <c r="Q247" t="str">
        <f>_xlfn.XLOOKUP(Table3[[#This Row],[Cuenta]],Estructura_Balance[Nombre Cuenta ()],Estructura_Balance[Nivel 4],"",0)</f>
        <v/>
      </c>
      <c r="R247" t="str">
        <f>_xlfn.XLOOKUP(Table3[[#This Row],[Cuenta]],Table8[Nombre Cuenta ()],Table8[Nivel 1],"",0)</f>
        <v/>
      </c>
      <c r="S247" t="str">
        <f>_xlfn.XLOOKUP(Table3[[#This Row],[Cuenta]],Table8[Nombre Cuenta ()],Table8[Nivel 2],"",0)</f>
        <v/>
      </c>
      <c r="T247" t="str">
        <f>_xlfn.XLOOKUP(Table3[[#This Row],[Cuenta]],Table8[Nombre Cuenta ()],Table8[Nivel 3],"",0)</f>
        <v/>
      </c>
      <c r="U247">
        <v>498</v>
      </c>
      <c r="V247" t="str">
        <f>_xlfn.XLOOKUP(Table3[[#This Row],[Cuenta]],Estructura_Balance[Nombre Cuenta ()],Estructura_Balance[Niveles:2],"",0)</f>
        <v/>
      </c>
      <c r="W247" t="str">
        <f>_xlfn.XLOOKUP(Table3[[#This Row],[Cuenta]],Estructura_Balance[Nombre Cuenta ()],Estructura_Balance[Niveles:3],"",0)</f>
        <v/>
      </c>
      <c r="X247" t="str">
        <f>_xlfn.XLOOKUP(Table3[[#This Row],[Cuenta]],Estructura_Balance[Nombre Cuenta ()],Estructura_Balance[Grupos],"Grupo 1",0)</f>
        <v>Grupo 1</v>
      </c>
      <c r="Y247" t="str">
        <f>+Table3[[#This Row],[BS_Nivel_1]]</f>
        <v/>
      </c>
    </row>
    <row r="248" spans="1:25">
      <c r="A248">
        <f>+'Libro Diario'!F365</f>
        <v>0</v>
      </c>
      <c r="B248" s="144">
        <f>VALUE(IF(+'Libro Diario'!G365="","01/01/2025",+'Libro Diario'!G365))</f>
        <v>45658</v>
      </c>
      <c r="C248">
        <f>IF(ISNUMBER(+IF(IFERROR(VALUE(MID('Libro Diario'!C365,1,4)),0)&lt;&gt;0,'Libro Diario'!C365,0))=FALSE,'Libro Diario'!C365,0)</f>
        <v>0</v>
      </c>
      <c r="D248" s="145" t="str">
        <f>+'Libro Diario'!B365</f>
        <v>Operaciones del Ejercicio</v>
      </c>
      <c r="E248" s="139" t="s">
        <v>445</v>
      </c>
      <c r="F248" t="str">
        <f t="shared" si="9"/>
        <v>Sin Mov.</v>
      </c>
      <c r="G248" t="str">
        <f>IF(+'Libro Diario'!H365=0,"",+'Libro Diario'!H365)</f>
        <v/>
      </c>
      <c r="H248" t="str">
        <f>IF(+'Libro Diario'!I365=0,"",+'Libro Diario'!I365)</f>
        <v/>
      </c>
      <c r="I248" t="str">
        <f>+IF(Table3[[#This Row],[Tipo Movimiento]]="Estructura Balance y PyG","Excluir","Incluir")</f>
        <v>Incluir</v>
      </c>
      <c r="J248" s="153">
        <f>+IF(Table3[[#This Row],[Sin cuenta]]="Con Mov.",(IF(Table3[[#This Row],[Movimiento]]="Debe",Table3[[#This Row],[Importe]],IF(Table3[[#This Row],[Movimiento]]="Haber",Table3[[#This Row],[Importe]]*-1,0))),0)</f>
        <v>0</v>
      </c>
      <c r="K248" s="145" t="str">
        <f t="shared" si="10"/>
        <v>Operaciones del Ejercicio</v>
      </c>
      <c r="L248" s="145" t="str">
        <f t="shared" si="11"/>
        <v/>
      </c>
      <c r="M248" t="str">
        <f>_xlfn.XLOOKUP(Table3[[#This Row],[Cuenta]],Estructura_Balance[Nombre Cuenta ()],Estructura_Balance[Grupo],"",0)</f>
        <v/>
      </c>
      <c r="N248" t="str">
        <f>_xlfn.XLOOKUP(Table3[[#This Row],[Cuenta]],Estructura_Balance[Nombre Cuenta ()],Estructura_Balance[Nivel 1],"",0)</f>
        <v/>
      </c>
      <c r="O248" t="str">
        <f>_xlfn.XLOOKUP(Table3[[#This Row],[Cuenta]],Estructura_Balance[Nombre Cuenta ()],Estructura_Balance[Nivel 2],"",0)</f>
        <v/>
      </c>
      <c r="P248" t="str">
        <f>_xlfn.XLOOKUP(Table3[[#This Row],[Cuenta]],Estructura_Balance[Nombre Cuenta ()],Estructura_Balance[Nivel 3],"",0)</f>
        <v/>
      </c>
      <c r="Q248" t="str">
        <f>_xlfn.XLOOKUP(Table3[[#This Row],[Cuenta]],Estructura_Balance[Nombre Cuenta ()],Estructura_Balance[Nivel 4],"",0)</f>
        <v/>
      </c>
      <c r="R248" t="str">
        <f>_xlfn.XLOOKUP(Table3[[#This Row],[Cuenta]],Table8[Nombre Cuenta ()],Table8[Nivel 1],"",0)</f>
        <v/>
      </c>
      <c r="S248" t="str">
        <f>_xlfn.XLOOKUP(Table3[[#This Row],[Cuenta]],Table8[Nombre Cuenta ()],Table8[Nivel 2],"",0)</f>
        <v/>
      </c>
      <c r="T248" t="str">
        <f>_xlfn.XLOOKUP(Table3[[#This Row],[Cuenta]],Table8[Nombre Cuenta ()],Table8[Nivel 3],"",0)</f>
        <v/>
      </c>
      <c r="U248">
        <v>517</v>
      </c>
      <c r="V248" t="str">
        <f>_xlfn.XLOOKUP(Table3[[#This Row],[Cuenta]],Estructura_Balance[Nombre Cuenta ()],Estructura_Balance[Niveles:2],"",0)</f>
        <v/>
      </c>
      <c r="W248" t="str">
        <f>_xlfn.XLOOKUP(Table3[[#This Row],[Cuenta]],Estructura_Balance[Nombre Cuenta ()],Estructura_Balance[Niveles:3],"",0)</f>
        <v/>
      </c>
      <c r="X248" t="str">
        <f>_xlfn.XLOOKUP(Table3[[#This Row],[Cuenta]],Estructura_Balance[Nombre Cuenta ()],Estructura_Balance[Grupos],"Grupo 1",0)</f>
        <v>Grupo 1</v>
      </c>
      <c r="Y248" t="str">
        <f>+Table3[[#This Row],[BS_Nivel_1]]</f>
        <v/>
      </c>
    </row>
    <row r="249" spans="1:25">
      <c r="A249">
        <f>+'Libro Diario'!F366</f>
        <v>0</v>
      </c>
      <c r="B249" s="144">
        <f>VALUE(IF(+'Libro Diario'!G366="","01/01/2025",+'Libro Diario'!G366))</f>
        <v>45658</v>
      </c>
      <c r="C249">
        <f>IF(ISNUMBER(+IF(IFERROR(VALUE(MID('Libro Diario'!C366,1,4)),0)&lt;&gt;0,'Libro Diario'!C366,0))=FALSE,'Libro Diario'!C366,0)</f>
        <v>0</v>
      </c>
      <c r="D249" s="145" t="str">
        <f>+'Libro Diario'!B366</f>
        <v>Asiento Cuadrado</v>
      </c>
      <c r="E249" s="139" t="s">
        <v>445</v>
      </c>
      <c r="F249" t="str">
        <f t="shared" si="9"/>
        <v>Sin Mov.</v>
      </c>
      <c r="G249" t="str">
        <f>IF(+'Libro Diario'!H366=0,"",+'Libro Diario'!H366)</f>
        <v/>
      </c>
      <c r="H249" t="str">
        <f>IF(+'Libro Diario'!I366=0,"",+'Libro Diario'!I366)</f>
        <v/>
      </c>
      <c r="I249" t="str">
        <f>+IF(Table3[[#This Row],[Tipo Movimiento]]="Estructura Balance y PyG","Excluir","Incluir")</f>
        <v>Incluir</v>
      </c>
      <c r="J249" s="153">
        <f>+IF(Table3[[#This Row],[Sin cuenta]]="Con Mov.",(IF(Table3[[#This Row],[Movimiento]]="Debe",Table3[[#This Row],[Importe]],IF(Table3[[#This Row],[Movimiento]]="Haber",Table3[[#This Row],[Importe]]*-1,0))),0)</f>
        <v>0</v>
      </c>
      <c r="K249" s="145" t="str">
        <f t="shared" si="10"/>
        <v>Asiento Cuadrado</v>
      </c>
      <c r="L249" s="145" t="str">
        <f t="shared" si="11"/>
        <v/>
      </c>
      <c r="M249" t="str">
        <f>_xlfn.XLOOKUP(Table3[[#This Row],[Cuenta]],Estructura_Balance[Nombre Cuenta ()],Estructura_Balance[Grupo],"",0)</f>
        <v/>
      </c>
      <c r="N249" t="str">
        <f>_xlfn.XLOOKUP(Table3[[#This Row],[Cuenta]],Estructura_Balance[Nombre Cuenta ()],Estructura_Balance[Nivel 1],"",0)</f>
        <v/>
      </c>
      <c r="O249" t="str">
        <f>_xlfn.XLOOKUP(Table3[[#This Row],[Cuenta]],Estructura_Balance[Nombre Cuenta ()],Estructura_Balance[Nivel 2],"",0)</f>
        <v/>
      </c>
      <c r="P249" t="str">
        <f>_xlfn.XLOOKUP(Table3[[#This Row],[Cuenta]],Estructura_Balance[Nombre Cuenta ()],Estructura_Balance[Nivel 3],"",0)</f>
        <v/>
      </c>
      <c r="Q249" t="str">
        <f>_xlfn.XLOOKUP(Table3[[#This Row],[Cuenta]],Estructura_Balance[Nombre Cuenta ()],Estructura_Balance[Nivel 4],"",0)</f>
        <v/>
      </c>
      <c r="R249" t="str">
        <f>_xlfn.XLOOKUP(Table3[[#This Row],[Cuenta]],Table8[Nombre Cuenta ()],Table8[Nivel 1],"",0)</f>
        <v/>
      </c>
      <c r="S249" t="str">
        <f>_xlfn.XLOOKUP(Table3[[#This Row],[Cuenta]],Table8[Nombre Cuenta ()],Table8[Nivel 2],"",0)</f>
        <v/>
      </c>
      <c r="T249" t="str">
        <f>_xlfn.XLOOKUP(Table3[[#This Row],[Cuenta]],Table8[Nombre Cuenta ()],Table8[Nivel 3],"",0)</f>
        <v/>
      </c>
      <c r="U249">
        <v>518</v>
      </c>
      <c r="V249" t="str">
        <f>_xlfn.XLOOKUP(Table3[[#This Row],[Cuenta]],Estructura_Balance[Nombre Cuenta ()],Estructura_Balance[Niveles:2],"",0)</f>
        <v/>
      </c>
      <c r="W249" t="str">
        <f>_xlfn.XLOOKUP(Table3[[#This Row],[Cuenta]],Estructura_Balance[Nombre Cuenta ()],Estructura_Balance[Niveles:3],"",0)</f>
        <v/>
      </c>
      <c r="X249" t="str">
        <f>_xlfn.XLOOKUP(Table3[[#This Row],[Cuenta]],Estructura_Balance[Nombre Cuenta ()],Estructura_Balance[Grupos],"Grupo 1",0)</f>
        <v>Grupo 1</v>
      </c>
      <c r="Y249" t="str">
        <f>+Table3[[#This Row],[BS_Nivel_1]]</f>
        <v/>
      </c>
    </row>
    <row r="250" spans="1:25">
      <c r="A250">
        <f>+'Libro Diario'!F367</f>
        <v>0</v>
      </c>
      <c r="B250" s="144">
        <f>VALUE(IF(+'Libro Diario'!G367="","01/01/2025",+'Libro Diario'!G367))</f>
        <v>45658</v>
      </c>
      <c r="C250">
        <f>IF(ISNUMBER(+IF(IFERROR(VALUE(MID('Libro Diario'!C367,1,4)),0)&lt;&gt;0,'Libro Diario'!C367,0))=FALSE,'Libro Diario'!C367,0)</f>
        <v>0</v>
      </c>
      <c r="D250" s="145">
        <f>+'Libro Diario'!B367</f>
        <v>0</v>
      </c>
      <c r="E250" s="139" t="s">
        <v>445</v>
      </c>
      <c r="F250" t="str">
        <f t="shared" si="9"/>
        <v>Sin Mov.</v>
      </c>
      <c r="G250" t="str">
        <f>IF(+'Libro Diario'!H367=0,"",+'Libro Diario'!H367)</f>
        <v/>
      </c>
      <c r="H250" t="str">
        <f>IF(+'Libro Diario'!I367=0,"",+'Libro Diario'!I367)</f>
        <v/>
      </c>
      <c r="I250" t="str">
        <f>+IF(Table3[[#This Row],[Tipo Movimiento]]="Estructura Balance y PyG","Excluir","Incluir")</f>
        <v>Incluir</v>
      </c>
      <c r="J250" s="153">
        <f>+IF(Table3[[#This Row],[Sin cuenta]]="Con Mov.",(IF(Table3[[#This Row],[Movimiento]]="Debe",Table3[[#This Row],[Importe]],IF(Table3[[#This Row],[Movimiento]]="Haber",Table3[[#This Row],[Importe]]*-1,0))),0)</f>
        <v>0</v>
      </c>
      <c r="K250" s="145">
        <f t="shared" si="10"/>
        <v>0</v>
      </c>
      <c r="L250" s="145" t="str">
        <f t="shared" si="11"/>
        <v/>
      </c>
      <c r="M250" t="str">
        <f>_xlfn.XLOOKUP(Table3[[#This Row],[Cuenta]],Estructura_Balance[Nombre Cuenta ()],Estructura_Balance[Grupo],"",0)</f>
        <v/>
      </c>
      <c r="N250" t="str">
        <f>_xlfn.XLOOKUP(Table3[[#This Row],[Cuenta]],Estructura_Balance[Nombre Cuenta ()],Estructura_Balance[Nivel 1],"",0)</f>
        <v/>
      </c>
      <c r="O250" t="str">
        <f>_xlfn.XLOOKUP(Table3[[#This Row],[Cuenta]],Estructura_Balance[Nombre Cuenta ()],Estructura_Balance[Nivel 2],"",0)</f>
        <v/>
      </c>
      <c r="P250" t="str">
        <f>_xlfn.XLOOKUP(Table3[[#This Row],[Cuenta]],Estructura_Balance[Nombre Cuenta ()],Estructura_Balance[Nivel 3],"",0)</f>
        <v/>
      </c>
      <c r="Q250" t="str">
        <f>_xlfn.XLOOKUP(Table3[[#This Row],[Cuenta]],Estructura_Balance[Nombre Cuenta ()],Estructura_Balance[Nivel 4],"",0)</f>
        <v/>
      </c>
      <c r="R250" t="str">
        <f>_xlfn.XLOOKUP(Table3[[#This Row],[Cuenta]],Table8[Nombre Cuenta ()],Table8[Nivel 1],"",0)</f>
        <v/>
      </c>
      <c r="S250" t="str">
        <f>_xlfn.XLOOKUP(Table3[[#This Row],[Cuenta]],Table8[Nombre Cuenta ()],Table8[Nivel 2],"",0)</f>
        <v/>
      </c>
      <c r="T250" t="str">
        <f>_xlfn.XLOOKUP(Table3[[#This Row],[Cuenta]],Table8[Nombre Cuenta ()],Table8[Nivel 3],"",0)</f>
        <v/>
      </c>
      <c r="U250">
        <v>519</v>
      </c>
      <c r="V250" t="str">
        <f>_xlfn.XLOOKUP(Table3[[#This Row],[Cuenta]],Estructura_Balance[Nombre Cuenta ()],Estructura_Balance[Niveles:2],"",0)</f>
        <v/>
      </c>
      <c r="W250" t="str">
        <f>_xlfn.XLOOKUP(Table3[[#This Row],[Cuenta]],Estructura_Balance[Nombre Cuenta ()],Estructura_Balance[Niveles:3],"",0)</f>
        <v/>
      </c>
      <c r="X250" t="str">
        <f>_xlfn.XLOOKUP(Table3[[#This Row],[Cuenta]],Estructura_Balance[Nombre Cuenta ()],Estructura_Balance[Grupos],"Grupo 1",0)</f>
        <v>Grupo 1</v>
      </c>
      <c r="Y250" t="str">
        <f>+Table3[[#This Row],[BS_Nivel_1]]</f>
        <v/>
      </c>
    </row>
    <row r="251" spans="1:25">
      <c r="A251">
        <f>+'Libro Diario'!F368</f>
        <v>0</v>
      </c>
      <c r="B251" s="144">
        <f>VALUE(IF(+'Libro Diario'!G368="","01/01/2025",+'Libro Diario'!G368))</f>
        <v>45658</v>
      </c>
      <c r="C251">
        <f>IF(ISNUMBER(+IF(IFERROR(VALUE(MID('Libro Diario'!C368,1,4)),0)&lt;&gt;0,'Libro Diario'!C368,0))=FALSE,'Libro Diario'!C368,0)</f>
        <v>0</v>
      </c>
      <c r="D251" s="145" t="str">
        <f>+'Libro Diario'!B368</f>
        <v>DEBE</v>
      </c>
      <c r="E251" s="139" t="s">
        <v>445</v>
      </c>
      <c r="F251" t="str">
        <f t="shared" si="9"/>
        <v>Sin Mov.</v>
      </c>
      <c r="G251" t="str">
        <f>IF(+'Libro Diario'!H368=0,"",+'Libro Diario'!H368)</f>
        <v/>
      </c>
      <c r="H251" t="str">
        <f>IF(+'Libro Diario'!I368=0,"",+'Libro Diario'!I368)</f>
        <v/>
      </c>
      <c r="I251" t="str">
        <f>+IF(Table3[[#This Row],[Tipo Movimiento]]="Estructura Balance y PyG","Excluir","Incluir")</f>
        <v>Incluir</v>
      </c>
      <c r="J251" s="153">
        <f>+IF(Table3[[#This Row],[Sin cuenta]]="Con Mov.",(IF(Table3[[#This Row],[Movimiento]]="Debe",Table3[[#This Row],[Importe]],IF(Table3[[#This Row],[Movimiento]]="Haber",Table3[[#This Row],[Importe]]*-1,0))),0)</f>
        <v>0</v>
      </c>
      <c r="K251" s="145" t="str">
        <f t="shared" si="10"/>
        <v>DEBE</v>
      </c>
      <c r="L251" s="145" t="str">
        <f t="shared" si="11"/>
        <v/>
      </c>
      <c r="M251" t="str">
        <f>_xlfn.XLOOKUP(Table3[[#This Row],[Cuenta]],Estructura_Balance[Nombre Cuenta ()],Estructura_Balance[Grupo],"",0)</f>
        <v/>
      </c>
      <c r="N251" t="str">
        <f>_xlfn.XLOOKUP(Table3[[#This Row],[Cuenta]],Estructura_Balance[Nombre Cuenta ()],Estructura_Balance[Nivel 1],"",0)</f>
        <v/>
      </c>
      <c r="O251" t="str">
        <f>_xlfn.XLOOKUP(Table3[[#This Row],[Cuenta]],Estructura_Balance[Nombre Cuenta ()],Estructura_Balance[Nivel 2],"",0)</f>
        <v/>
      </c>
      <c r="P251" t="str">
        <f>_xlfn.XLOOKUP(Table3[[#This Row],[Cuenta]],Estructura_Balance[Nombre Cuenta ()],Estructura_Balance[Nivel 3],"",0)</f>
        <v/>
      </c>
      <c r="Q251" t="str">
        <f>_xlfn.XLOOKUP(Table3[[#This Row],[Cuenta]],Estructura_Balance[Nombre Cuenta ()],Estructura_Balance[Nivel 4],"",0)</f>
        <v/>
      </c>
      <c r="R251" t="str">
        <f>_xlfn.XLOOKUP(Table3[[#This Row],[Cuenta]],Table8[Nombre Cuenta ()],Table8[Nivel 1],"",0)</f>
        <v/>
      </c>
      <c r="S251" t="str">
        <f>_xlfn.XLOOKUP(Table3[[#This Row],[Cuenta]],Table8[Nombre Cuenta ()],Table8[Nivel 2],"",0)</f>
        <v/>
      </c>
      <c r="T251" t="str">
        <f>_xlfn.XLOOKUP(Table3[[#This Row],[Cuenta]],Table8[Nombre Cuenta ()],Table8[Nivel 3],"",0)</f>
        <v/>
      </c>
      <c r="U251">
        <v>520</v>
      </c>
      <c r="V251" t="str">
        <f>_xlfn.XLOOKUP(Table3[[#This Row],[Cuenta]],Estructura_Balance[Nombre Cuenta ()],Estructura_Balance[Niveles:2],"",0)</f>
        <v/>
      </c>
      <c r="W251" t="str">
        <f>_xlfn.XLOOKUP(Table3[[#This Row],[Cuenta]],Estructura_Balance[Nombre Cuenta ()],Estructura_Balance[Niveles:3],"",0)</f>
        <v/>
      </c>
      <c r="X251" t="str">
        <f>_xlfn.XLOOKUP(Table3[[#This Row],[Cuenta]],Estructura_Balance[Nombre Cuenta ()],Estructura_Balance[Grupos],"Grupo 1",0)</f>
        <v>Grupo 1</v>
      </c>
      <c r="Y251" t="str">
        <f>+Table3[[#This Row],[BS_Nivel_1]]</f>
        <v/>
      </c>
    </row>
    <row r="252" spans="1:25">
      <c r="A252">
        <f>+'Libro Diario'!F369</f>
        <v>0</v>
      </c>
      <c r="B252" s="144">
        <f>VALUE(IF(+'Libro Diario'!G369="","01/01/2025",+'Libro Diario'!G369))</f>
        <v>45658</v>
      </c>
      <c r="C252">
        <f>IF(ISNUMBER(+IF(IFERROR(VALUE(MID('Libro Diario'!C369,1,4)),0)&lt;&gt;0,'Libro Diario'!C369,0))=FALSE,'Libro Diario'!C369,0)</f>
        <v>0</v>
      </c>
      <c r="D252" s="145">
        <f>+'Libro Diario'!B369</f>
        <v>0</v>
      </c>
      <c r="E252" s="139" t="s">
        <v>445</v>
      </c>
      <c r="F252" t="str">
        <f t="shared" si="9"/>
        <v>Sin Mov.</v>
      </c>
      <c r="G252" t="str">
        <f>IF(+'Libro Diario'!H369=0,"",+'Libro Diario'!H369)</f>
        <v/>
      </c>
      <c r="H252" t="str">
        <f>IF(+'Libro Diario'!I369=0,"",+'Libro Diario'!I369)</f>
        <v/>
      </c>
      <c r="I252" t="str">
        <f>+IF(Table3[[#This Row],[Tipo Movimiento]]="Estructura Balance y PyG","Excluir","Incluir")</f>
        <v>Incluir</v>
      </c>
      <c r="J252" s="153">
        <f>+IF(Table3[[#This Row],[Sin cuenta]]="Con Mov.",(IF(Table3[[#This Row],[Movimiento]]="Debe",Table3[[#This Row],[Importe]],IF(Table3[[#This Row],[Movimiento]]="Haber",Table3[[#This Row],[Importe]]*-1,0))),0)</f>
        <v>0</v>
      </c>
      <c r="K252" s="145">
        <f t="shared" si="10"/>
        <v>0</v>
      </c>
      <c r="L252" s="145" t="str">
        <f t="shared" si="11"/>
        <v/>
      </c>
      <c r="M252" t="str">
        <f>_xlfn.XLOOKUP(Table3[[#This Row],[Cuenta]],Estructura_Balance[Nombre Cuenta ()],Estructura_Balance[Grupo],"",0)</f>
        <v/>
      </c>
      <c r="N252" t="str">
        <f>_xlfn.XLOOKUP(Table3[[#This Row],[Cuenta]],Estructura_Balance[Nombre Cuenta ()],Estructura_Balance[Nivel 1],"",0)</f>
        <v/>
      </c>
      <c r="O252" t="str">
        <f>_xlfn.XLOOKUP(Table3[[#This Row],[Cuenta]],Estructura_Balance[Nombre Cuenta ()],Estructura_Balance[Nivel 2],"",0)</f>
        <v/>
      </c>
      <c r="P252" t="str">
        <f>_xlfn.XLOOKUP(Table3[[#This Row],[Cuenta]],Estructura_Balance[Nombre Cuenta ()],Estructura_Balance[Nivel 3],"",0)</f>
        <v/>
      </c>
      <c r="Q252" t="str">
        <f>_xlfn.XLOOKUP(Table3[[#This Row],[Cuenta]],Estructura_Balance[Nombre Cuenta ()],Estructura_Balance[Nivel 4],"",0)</f>
        <v/>
      </c>
      <c r="R252" t="str">
        <f>_xlfn.XLOOKUP(Table3[[#This Row],[Cuenta]],Table8[Nombre Cuenta ()],Table8[Nivel 1],"",0)</f>
        <v/>
      </c>
      <c r="S252" t="str">
        <f>_xlfn.XLOOKUP(Table3[[#This Row],[Cuenta]],Table8[Nombre Cuenta ()],Table8[Nivel 2],"",0)</f>
        <v/>
      </c>
      <c r="T252" t="str">
        <f>_xlfn.XLOOKUP(Table3[[#This Row],[Cuenta]],Table8[Nombre Cuenta ()],Table8[Nivel 3],"",0)</f>
        <v/>
      </c>
      <c r="U252">
        <v>533</v>
      </c>
      <c r="V252" t="str">
        <f>_xlfn.XLOOKUP(Table3[[#This Row],[Cuenta]],Estructura_Balance[Nombre Cuenta ()],Estructura_Balance[Niveles:2],"",0)</f>
        <v/>
      </c>
      <c r="W252" t="str">
        <f>_xlfn.XLOOKUP(Table3[[#This Row],[Cuenta]],Estructura_Balance[Nombre Cuenta ()],Estructura_Balance[Niveles:3],"",0)</f>
        <v/>
      </c>
      <c r="X252" t="str">
        <f>_xlfn.XLOOKUP(Table3[[#This Row],[Cuenta]],Estructura_Balance[Nombre Cuenta ()],Estructura_Balance[Grupos],"Grupo 1",0)</f>
        <v>Grupo 1</v>
      </c>
      <c r="Y252" t="str">
        <f>+Table3[[#This Row],[BS_Nivel_1]]</f>
        <v/>
      </c>
    </row>
    <row r="253" spans="1:25">
      <c r="A253">
        <f>+'Libro Diario'!F375</f>
        <v>0</v>
      </c>
      <c r="B253" s="144">
        <f>VALUE(IF(+'Libro Diario'!G375="","01/01/2025",+'Libro Diario'!G375))</f>
        <v>45658</v>
      </c>
      <c r="C253">
        <f>IF(ISNUMBER(+IF(IFERROR(VALUE(MID('Libro Diario'!C375,1,4)),0)&lt;&gt;0,'Libro Diario'!C375,0))=FALSE,'Libro Diario'!C375,0)</f>
        <v>0</v>
      </c>
      <c r="D253" s="145" t="str">
        <f>+'Libro Diario'!B375</f>
        <v>Operaciones del Ejercicio</v>
      </c>
      <c r="E253" s="139" t="s">
        <v>445</v>
      </c>
      <c r="F253" t="str">
        <f t="shared" si="9"/>
        <v>Sin Mov.</v>
      </c>
      <c r="G253" t="str">
        <f>IF(+'Libro Diario'!H375=0,"",+'Libro Diario'!H375)</f>
        <v/>
      </c>
      <c r="H253" t="str">
        <f>IF(+'Libro Diario'!I375=0,"",+'Libro Diario'!I375)</f>
        <v/>
      </c>
      <c r="I253" t="str">
        <f>+IF(Table3[[#This Row],[Tipo Movimiento]]="Estructura Balance y PyG","Excluir","Incluir")</f>
        <v>Incluir</v>
      </c>
      <c r="J253" s="153">
        <f>+IF(Table3[[#This Row],[Sin cuenta]]="Con Mov.",(IF(Table3[[#This Row],[Movimiento]]="Debe",Table3[[#This Row],[Importe]],IF(Table3[[#This Row],[Movimiento]]="Haber",Table3[[#This Row],[Importe]]*-1,0))),0)</f>
        <v>0</v>
      </c>
      <c r="K253" s="145" t="str">
        <f t="shared" si="10"/>
        <v>Operaciones del Ejercicio</v>
      </c>
      <c r="L253" s="145" t="str">
        <f t="shared" si="11"/>
        <v/>
      </c>
      <c r="M253" t="str">
        <f>_xlfn.XLOOKUP(Table3[[#This Row],[Cuenta]],Estructura_Balance[Nombre Cuenta ()],Estructura_Balance[Grupo],"",0)</f>
        <v/>
      </c>
      <c r="N253" t="str">
        <f>_xlfn.XLOOKUP(Table3[[#This Row],[Cuenta]],Estructura_Balance[Nombre Cuenta ()],Estructura_Balance[Nivel 1],"",0)</f>
        <v/>
      </c>
      <c r="O253" t="str">
        <f>_xlfn.XLOOKUP(Table3[[#This Row],[Cuenta]],Estructura_Balance[Nombre Cuenta ()],Estructura_Balance[Nivel 2],"",0)</f>
        <v/>
      </c>
      <c r="P253" t="str">
        <f>_xlfn.XLOOKUP(Table3[[#This Row],[Cuenta]],Estructura_Balance[Nombre Cuenta ()],Estructura_Balance[Nivel 3],"",0)</f>
        <v/>
      </c>
      <c r="Q253" t="str">
        <f>_xlfn.XLOOKUP(Table3[[#This Row],[Cuenta]],Estructura_Balance[Nombre Cuenta ()],Estructura_Balance[Nivel 4],"",0)</f>
        <v/>
      </c>
      <c r="R253" t="str">
        <f>_xlfn.XLOOKUP(Table3[[#This Row],[Cuenta]],Table8[Nombre Cuenta ()],Table8[Nivel 1],"",0)</f>
        <v/>
      </c>
      <c r="S253" t="str">
        <f>_xlfn.XLOOKUP(Table3[[#This Row],[Cuenta]],Table8[Nombre Cuenta ()],Table8[Nivel 2],"",0)</f>
        <v/>
      </c>
      <c r="T253" t="str">
        <f>_xlfn.XLOOKUP(Table3[[#This Row],[Cuenta]],Table8[Nombre Cuenta ()],Table8[Nivel 3],"",0)</f>
        <v/>
      </c>
      <c r="U253">
        <v>541</v>
      </c>
      <c r="V253" t="str">
        <f>_xlfn.XLOOKUP(Table3[[#This Row],[Cuenta]],Estructura_Balance[Nombre Cuenta ()],Estructura_Balance[Niveles:2],"",0)</f>
        <v/>
      </c>
      <c r="W253" t="str">
        <f>_xlfn.XLOOKUP(Table3[[#This Row],[Cuenta]],Estructura_Balance[Nombre Cuenta ()],Estructura_Balance[Niveles:3],"",0)</f>
        <v/>
      </c>
      <c r="X253" t="str">
        <f>_xlfn.XLOOKUP(Table3[[#This Row],[Cuenta]],Estructura_Balance[Nombre Cuenta ()],Estructura_Balance[Grupos],"Grupo 1",0)</f>
        <v>Grupo 1</v>
      </c>
      <c r="Y253" t="str">
        <f>+Table3[[#This Row],[BS_Nivel_1]]</f>
        <v/>
      </c>
    </row>
    <row r="254" spans="1:25">
      <c r="A254">
        <f>+'Libro Diario'!F376</f>
        <v>0</v>
      </c>
      <c r="B254" s="144">
        <f>VALUE(IF(+'Libro Diario'!G376="","01/01/2025",+'Libro Diario'!G376))</f>
        <v>45658</v>
      </c>
      <c r="C254">
        <f>IF(ISNUMBER(+IF(IFERROR(VALUE(MID('Libro Diario'!C376,1,4)),0)&lt;&gt;0,'Libro Diario'!C376,0))=FALSE,'Libro Diario'!C376,0)</f>
        <v>0</v>
      </c>
      <c r="D254" s="145" t="str">
        <f>+'Libro Diario'!B376</f>
        <v>Asiento Cuadrado</v>
      </c>
      <c r="E254" s="139" t="s">
        <v>445</v>
      </c>
      <c r="F254" t="str">
        <f t="shared" si="9"/>
        <v>Sin Mov.</v>
      </c>
      <c r="G254" t="str">
        <f>IF(+'Libro Diario'!H376=0,"",+'Libro Diario'!H376)</f>
        <v/>
      </c>
      <c r="H254" t="str">
        <f>IF(+'Libro Diario'!I376=0,"",+'Libro Diario'!I376)</f>
        <v/>
      </c>
      <c r="I254" t="str">
        <f>+IF(Table3[[#This Row],[Tipo Movimiento]]="Estructura Balance y PyG","Excluir","Incluir")</f>
        <v>Incluir</v>
      </c>
      <c r="J254" s="153">
        <f>+IF(Table3[[#This Row],[Sin cuenta]]="Con Mov.",(IF(Table3[[#This Row],[Movimiento]]="Debe",Table3[[#This Row],[Importe]],IF(Table3[[#This Row],[Movimiento]]="Haber",Table3[[#This Row],[Importe]]*-1,0))),0)</f>
        <v>0</v>
      </c>
      <c r="K254" s="145" t="str">
        <f t="shared" si="10"/>
        <v>Asiento Cuadrado</v>
      </c>
      <c r="L254" s="145" t="str">
        <f t="shared" si="11"/>
        <v/>
      </c>
      <c r="M254" t="str">
        <f>_xlfn.XLOOKUP(Table3[[#This Row],[Cuenta]],Estructura_Balance[Nombre Cuenta ()],Estructura_Balance[Grupo],"",0)</f>
        <v/>
      </c>
      <c r="N254" t="str">
        <f>_xlfn.XLOOKUP(Table3[[#This Row],[Cuenta]],Estructura_Balance[Nombre Cuenta ()],Estructura_Balance[Nivel 1],"",0)</f>
        <v/>
      </c>
      <c r="O254" t="str">
        <f>_xlfn.XLOOKUP(Table3[[#This Row],[Cuenta]],Estructura_Balance[Nombre Cuenta ()],Estructura_Balance[Nivel 2],"",0)</f>
        <v/>
      </c>
      <c r="P254" t="str">
        <f>_xlfn.XLOOKUP(Table3[[#This Row],[Cuenta]],Estructura_Balance[Nombre Cuenta ()],Estructura_Balance[Nivel 3],"",0)</f>
        <v/>
      </c>
      <c r="Q254" t="str">
        <f>_xlfn.XLOOKUP(Table3[[#This Row],[Cuenta]],Estructura_Balance[Nombre Cuenta ()],Estructura_Balance[Nivel 4],"",0)</f>
        <v/>
      </c>
      <c r="R254" t="str">
        <f>_xlfn.XLOOKUP(Table3[[#This Row],[Cuenta]],Table8[Nombre Cuenta ()],Table8[Nivel 1],"",0)</f>
        <v/>
      </c>
      <c r="S254" t="str">
        <f>_xlfn.XLOOKUP(Table3[[#This Row],[Cuenta]],Table8[Nombre Cuenta ()],Table8[Nivel 2],"",0)</f>
        <v/>
      </c>
      <c r="T254" t="str">
        <f>_xlfn.XLOOKUP(Table3[[#This Row],[Cuenta]],Table8[Nombre Cuenta ()],Table8[Nivel 3],"",0)</f>
        <v/>
      </c>
      <c r="U254">
        <v>542</v>
      </c>
      <c r="V254" t="str">
        <f>_xlfn.XLOOKUP(Table3[[#This Row],[Cuenta]],Estructura_Balance[Nombre Cuenta ()],Estructura_Balance[Niveles:2],"",0)</f>
        <v/>
      </c>
      <c r="W254" t="str">
        <f>_xlfn.XLOOKUP(Table3[[#This Row],[Cuenta]],Estructura_Balance[Nombre Cuenta ()],Estructura_Balance[Niveles:3],"",0)</f>
        <v/>
      </c>
      <c r="X254" t="str">
        <f>_xlfn.XLOOKUP(Table3[[#This Row],[Cuenta]],Estructura_Balance[Nombre Cuenta ()],Estructura_Balance[Grupos],"Grupo 1",0)</f>
        <v>Grupo 1</v>
      </c>
      <c r="Y254" t="str">
        <f>+Table3[[#This Row],[BS_Nivel_1]]</f>
        <v/>
      </c>
    </row>
    <row r="255" spans="1:25">
      <c r="A255">
        <f>+'Libro Diario'!F377</f>
        <v>0</v>
      </c>
      <c r="B255" s="144">
        <f>VALUE(IF(+'Libro Diario'!G377="","01/01/2025",+'Libro Diario'!G377))</f>
        <v>45658</v>
      </c>
      <c r="C255">
        <f>IF(ISNUMBER(+IF(IFERROR(VALUE(MID('Libro Diario'!C377,1,4)),0)&lt;&gt;0,'Libro Diario'!C377,0))=FALSE,'Libro Diario'!C377,0)</f>
        <v>0</v>
      </c>
      <c r="D255" s="145">
        <f>+'Libro Diario'!B377</f>
        <v>0</v>
      </c>
      <c r="E255" s="139" t="s">
        <v>445</v>
      </c>
      <c r="F255" t="str">
        <f t="shared" si="9"/>
        <v>Sin Mov.</v>
      </c>
      <c r="G255" t="str">
        <f>IF(+'Libro Diario'!H377=0,"",+'Libro Diario'!H377)</f>
        <v/>
      </c>
      <c r="H255" t="str">
        <f>IF(+'Libro Diario'!I377=0,"",+'Libro Diario'!I377)</f>
        <v/>
      </c>
      <c r="I255" t="str">
        <f>+IF(Table3[[#This Row],[Tipo Movimiento]]="Estructura Balance y PyG","Excluir","Incluir")</f>
        <v>Incluir</v>
      </c>
      <c r="J255" s="153">
        <f>+IF(Table3[[#This Row],[Sin cuenta]]="Con Mov.",(IF(Table3[[#This Row],[Movimiento]]="Debe",Table3[[#This Row],[Importe]],IF(Table3[[#This Row],[Movimiento]]="Haber",Table3[[#This Row],[Importe]]*-1,0))),0)</f>
        <v>0</v>
      </c>
      <c r="K255" s="145">
        <f t="shared" si="10"/>
        <v>0</v>
      </c>
      <c r="L255" s="145" t="str">
        <f t="shared" si="11"/>
        <v/>
      </c>
      <c r="M255" t="str">
        <f>_xlfn.XLOOKUP(Table3[[#This Row],[Cuenta]],Estructura_Balance[Nombre Cuenta ()],Estructura_Balance[Grupo],"",0)</f>
        <v/>
      </c>
      <c r="N255" t="str">
        <f>_xlfn.XLOOKUP(Table3[[#This Row],[Cuenta]],Estructura_Balance[Nombre Cuenta ()],Estructura_Balance[Nivel 1],"",0)</f>
        <v/>
      </c>
      <c r="O255" t="str">
        <f>_xlfn.XLOOKUP(Table3[[#This Row],[Cuenta]],Estructura_Balance[Nombre Cuenta ()],Estructura_Balance[Nivel 2],"",0)</f>
        <v/>
      </c>
      <c r="P255" t="str">
        <f>_xlfn.XLOOKUP(Table3[[#This Row],[Cuenta]],Estructura_Balance[Nombre Cuenta ()],Estructura_Balance[Nivel 3],"",0)</f>
        <v/>
      </c>
      <c r="Q255" t="str">
        <f>_xlfn.XLOOKUP(Table3[[#This Row],[Cuenta]],Estructura_Balance[Nombre Cuenta ()],Estructura_Balance[Nivel 4],"",0)</f>
        <v/>
      </c>
      <c r="R255" t="str">
        <f>_xlfn.XLOOKUP(Table3[[#This Row],[Cuenta]],Table8[Nombre Cuenta ()],Table8[Nivel 1],"",0)</f>
        <v/>
      </c>
      <c r="S255" t="str">
        <f>_xlfn.XLOOKUP(Table3[[#This Row],[Cuenta]],Table8[Nombre Cuenta ()],Table8[Nivel 2],"",0)</f>
        <v/>
      </c>
      <c r="T255" t="str">
        <f>_xlfn.XLOOKUP(Table3[[#This Row],[Cuenta]],Table8[Nombre Cuenta ()],Table8[Nivel 3],"",0)</f>
        <v/>
      </c>
      <c r="U255">
        <v>543</v>
      </c>
      <c r="V255" t="str">
        <f>_xlfn.XLOOKUP(Table3[[#This Row],[Cuenta]],Estructura_Balance[Nombre Cuenta ()],Estructura_Balance[Niveles:2],"",0)</f>
        <v/>
      </c>
      <c r="W255" t="str">
        <f>_xlfn.XLOOKUP(Table3[[#This Row],[Cuenta]],Estructura_Balance[Nombre Cuenta ()],Estructura_Balance[Niveles:3],"",0)</f>
        <v/>
      </c>
      <c r="X255" t="str">
        <f>_xlfn.XLOOKUP(Table3[[#This Row],[Cuenta]],Estructura_Balance[Nombre Cuenta ()],Estructura_Balance[Grupos],"Grupo 1",0)</f>
        <v>Grupo 1</v>
      </c>
      <c r="Y255" t="str">
        <f>+Table3[[#This Row],[BS_Nivel_1]]</f>
        <v/>
      </c>
    </row>
    <row r="256" spans="1:25">
      <c r="A256">
        <f>+'Libro Diario'!F378</f>
        <v>0</v>
      </c>
      <c r="B256" s="144">
        <f>VALUE(IF(+'Libro Diario'!G378="","01/01/2025",+'Libro Diario'!G378))</f>
        <v>45658</v>
      </c>
      <c r="C256">
        <f>IF(ISNUMBER(+IF(IFERROR(VALUE(MID('Libro Diario'!C378,1,4)),0)&lt;&gt;0,'Libro Diario'!C378,0))=FALSE,'Libro Diario'!C378,0)</f>
        <v>0</v>
      </c>
      <c r="D256" s="145" t="str">
        <f>+'Libro Diario'!B378</f>
        <v>DEBE</v>
      </c>
      <c r="E256" s="139" t="s">
        <v>445</v>
      </c>
      <c r="F256" t="str">
        <f t="shared" si="9"/>
        <v>Sin Mov.</v>
      </c>
      <c r="G256" t="str">
        <f>IF(+'Libro Diario'!H378=0,"",+'Libro Diario'!H378)</f>
        <v/>
      </c>
      <c r="H256" t="str">
        <f>IF(+'Libro Diario'!I378=0,"",+'Libro Diario'!I378)</f>
        <v/>
      </c>
      <c r="I256" t="str">
        <f>+IF(Table3[[#This Row],[Tipo Movimiento]]="Estructura Balance y PyG","Excluir","Incluir")</f>
        <v>Incluir</v>
      </c>
      <c r="J256" s="153">
        <f>+IF(Table3[[#This Row],[Sin cuenta]]="Con Mov.",(IF(Table3[[#This Row],[Movimiento]]="Debe",Table3[[#This Row],[Importe]],IF(Table3[[#This Row],[Movimiento]]="Haber",Table3[[#This Row],[Importe]]*-1,0))),0)</f>
        <v>0</v>
      </c>
      <c r="K256" s="145" t="str">
        <f t="shared" si="10"/>
        <v>DEBE</v>
      </c>
      <c r="L256" s="145" t="str">
        <f t="shared" si="11"/>
        <v/>
      </c>
      <c r="M256" t="str">
        <f>_xlfn.XLOOKUP(Table3[[#This Row],[Cuenta]],Estructura_Balance[Nombre Cuenta ()],Estructura_Balance[Grupo],"",0)</f>
        <v/>
      </c>
      <c r="N256" t="str">
        <f>_xlfn.XLOOKUP(Table3[[#This Row],[Cuenta]],Estructura_Balance[Nombre Cuenta ()],Estructura_Balance[Nivel 1],"",0)</f>
        <v/>
      </c>
      <c r="O256" t="str">
        <f>_xlfn.XLOOKUP(Table3[[#This Row],[Cuenta]],Estructura_Balance[Nombre Cuenta ()],Estructura_Balance[Nivel 2],"",0)</f>
        <v/>
      </c>
      <c r="P256" t="str">
        <f>_xlfn.XLOOKUP(Table3[[#This Row],[Cuenta]],Estructura_Balance[Nombre Cuenta ()],Estructura_Balance[Nivel 3],"",0)</f>
        <v/>
      </c>
      <c r="Q256" t="str">
        <f>_xlfn.XLOOKUP(Table3[[#This Row],[Cuenta]],Estructura_Balance[Nombre Cuenta ()],Estructura_Balance[Nivel 4],"",0)</f>
        <v/>
      </c>
      <c r="R256" t="str">
        <f>_xlfn.XLOOKUP(Table3[[#This Row],[Cuenta]],Table8[Nombre Cuenta ()],Table8[Nivel 1],"",0)</f>
        <v/>
      </c>
      <c r="S256" t="str">
        <f>_xlfn.XLOOKUP(Table3[[#This Row],[Cuenta]],Table8[Nombre Cuenta ()],Table8[Nivel 2],"",0)</f>
        <v/>
      </c>
      <c r="T256" t="str">
        <f>_xlfn.XLOOKUP(Table3[[#This Row],[Cuenta]],Table8[Nombre Cuenta ()],Table8[Nivel 3],"",0)</f>
        <v/>
      </c>
      <c r="U256">
        <v>544</v>
      </c>
      <c r="V256" t="str">
        <f>_xlfn.XLOOKUP(Table3[[#This Row],[Cuenta]],Estructura_Balance[Nombre Cuenta ()],Estructura_Balance[Niveles:2],"",0)</f>
        <v/>
      </c>
      <c r="W256" t="str">
        <f>_xlfn.XLOOKUP(Table3[[#This Row],[Cuenta]],Estructura_Balance[Nombre Cuenta ()],Estructura_Balance[Niveles:3],"",0)</f>
        <v/>
      </c>
      <c r="X256" t="str">
        <f>_xlfn.XLOOKUP(Table3[[#This Row],[Cuenta]],Estructura_Balance[Nombre Cuenta ()],Estructura_Balance[Grupos],"Grupo 1",0)</f>
        <v>Grupo 1</v>
      </c>
      <c r="Y256" t="str">
        <f>+Table3[[#This Row],[BS_Nivel_1]]</f>
        <v/>
      </c>
    </row>
    <row r="257" spans="1:25">
      <c r="A257">
        <f>+'Libro Diario'!F379</f>
        <v>0</v>
      </c>
      <c r="B257" s="144">
        <f>VALUE(IF(+'Libro Diario'!G379="","01/01/2025",+'Libro Diario'!G379))</f>
        <v>45658</v>
      </c>
      <c r="C257">
        <f>IF(ISNUMBER(+IF(IFERROR(VALUE(MID('Libro Diario'!C379,1,4)),0)&lt;&gt;0,'Libro Diario'!C379,0))=FALSE,'Libro Diario'!C379,0)</f>
        <v>0</v>
      </c>
      <c r="D257" s="145">
        <f>+'Libro Diario'!B379</f>
        <v>0</v>
      </c>
      <c r="E257" s="139" t="s">
        <v>445</v>
      </c>
      <c r="F257" t="str">
        <f t="shared" si="9"/>
        <v>Sin Mov.</v>
      </c>
      <c r="G257" t="str">
        <f>IF(+'Libro Diario'!H379=0,"",+'Libro Diario'!H379)</f>
        <v/>
      </c>
      <c r="H257" t="str">
        <f>IF(+'Libro Diario'!I379=0,"",+'Libro Diario'!I379)</f>
        <v/>
      </c>
      <c r="I257" t="str">
        <f>+IF(Table3[[#This Row],[Tipo Movimiento]]="Estructura Balance y PyG","Excluir","Incluir")</f>
        <v>Incluir</v>
      </c>
      <c r="J257" s="153">
        <f>+IF(Table3[[#This Row],[Sin cuenta]]="Con Mov.",(IF(Table3[[#This Row],[Movimiento]]="Debe",Table3[[#This Row],[Importe]],IF(Table3[[#This Row],[Movimiento]]="Haber",Table3[[#This Row],[Importe]]*-1,0))),0)</f>
        <v>0</v>
      </c>
      <c r="K257" s="145">
        <f t="shared" si="10"/>
        <v>0</v>
      </c>
      <c r="L257" s="145" t="str">
        <f t="shared" si="11"/>
        <v/>
      </c>
      <c r="M257" t="str">
        <f>_xlfn.XLOOKUP(Table3[[#This Row],[Cuenta]],Estructura_Balance[Nombre Cuenta ()],Estructura_Balance[Grupo],"",0)</f>
        <v/>
      </c>
      <c r="N257" t="str">
        <f>_xlfn.XLOOKUP(Table3[[#This Row],[Cuenta]],Estructura_Balance[Nombre Cuenta ()],Estructura_Balance[Nivel 1],"",0)</f>
        <v/>
      </c>
      <c r="O257" t="str">
        <f>_xlfn.XLOOKUP(Table3[[#This Row],[Cuenta]],Estructura_Balance[Nombre Cuenta ()],Estructura_Balance[Nivel 2],"",0)</f>
        <v/>
      </c>
      <c r="P257" t="str">
        <f>_xlfn.XLOOKUP(Table3[[#This Row],[Cuenta]],Estructura_Balance[Nombre Cuenta ()],Estructura_Balance[Nivel 3],"",0)</f>
        <v/>
      </c>
      <c r="Q257" t="str">
        <f>_xlfn.XLOOKUP(Table3[[#This Row],[Cuenta]],Estructura_Balance[Nombre Cuenta ()],Estructura_Balance[Nivel 4],"",0)</f>
        <v/>
      </c>
      <c r="R257" t="str">
        <f>_xlfn.XLOOKUP(Table3[[#This Row],[Cuenta]],Table8[Nombre Cuenta ()],Table8[Nivel 1],"",0)</f>
        <v/>
      </c>
      <c r="S257" t="str">
        <f>_xlfn.XLOOKUP(Table3[[#This Row],[Cuenta]],Table8[Nombre Cuenta ()],Table8[Nivel 2],"",0)</f>
        <v/>
      </c>
      <c r="T257" t="str">
        <f>_xlfn.XLOOKUP(Table3[[#This Row],[Cuenta]],Table8[Nombre Cuenta ()],Table8[Nivel 3],"",0)</f>
        <v/>
      </c>
      <c r="U257">
        <v>547</v>
      </c>
      <c r="V257" t="str">
        <f>_xlfn.XLOOKUP(Table3[[#This Row],[Cuenta]],Estructura_Balance[Nombre Cuenta ()],Estructura_Balance[Niveles:2],"",0)</f>
        <v/>
      </c>
      <c r="W257" t="str">
        <f>_xlfn.XLOOKUP(Table3[[#This Row],[Cuenta]],Estructura_Balance[Nombre Cuenta ()],Estructura_Balance[Niveles:3],"",0)</f>
        <v/>
      </c>
      <c r="X257" t="str">
        <f>_xlfn.XLOOKUP(Table3[[#This Row],[Cuenta]],Estructura_Balance[Nombre Cuenta ()],Estructura_Balance[Grupos],"Grupo 1",0)</f>
        <v>Grupo 1</v>
      </c>
      <c r="Y257" t="str">
        <f>+Table3[[#This Row],[BS_Nivel_1]]</f>
        <v/>
      </c>
    </row>
    <row r="258" spans="1:25">
      <c r="A258">
        <f>+'Libro Diario'!F382</f>
        <v>0</v>
      </c>
      <c r="B258" s="144">
        <f>VALUE(IF(+'Libro Diario'!G382="","01/01/2025",+'Libro Diario'!G382))</f>
        <v>45658</v>
      </c>
      <c r="C258">
        <f>IF(ISNUMBER(+IF(IFERROR(VALUE(MID('Libro Diario'!C382,1,4)),0)&lt;&gt;0,'Libro Diario'!C382,0))=FALSE,'Libro Diario'!C382,0)</f>
        <v>0</v>
      </c>
      <c r="D258" s="145" t="str">
        <f>+'Libro Diario'!B382</f>
        <v>Operaciones del Ejercicio</v>
      </c>
      <c r="E258" s="139" t="s">
        <v>445</v>
      </c>
      <c r="F258" t="str">
        <f t="shared" si="9"/>
        <v>Sin Mov.</v>
      </c>
      <c r="G258" t="str">
        <f>IF(+'Libro Diario'!H382=0,"",+'Libro Diario'!H382)</f>
        <v/>
      </c>
      <c r="H258" t="str">
        <f>IF(+'Libro Diario'!I382=0,"",+'Libro Diario'!I382)</f>
        <v/>
      </c>
      <c r="I258" t="str">
        <f>+IF(Table3[[#This Row],[Tipo Movimiento]]="Estructura Balance y PyG","Excluir","Incluir")</f>
        <v>Incluir</v>
      </c>
      <c r="J258" s="153">
        <f>+IF(Table3[[#This Row],[Sin cuenta]]="Con Mov.",(IF(Table3[[#This Row],[Movimiento]]="Debe",Table3[[#This Row],[Importe]],IF(Table3[[#This Row],[Movimiento]]="Haber",Table3[[#This Row],[Importe]]*-1,0))),0)</f>
        <v>0</v>
      </c>
      <c r="K258" s="145" t="str">
        <f t="shared" si="10"/>
        <v>Operaciones del Ejercicio</v>
      </c>
      <c r="L258" s="145" t="str">
        <f t="shared" si="11"/>
        <v/>
      </c>
      <c r="M258" t="str">
        <f>_xlfn.XLOOKUP(Table3[[#This Row],[Cuenta]],Estructura_Balance[Nombre Cuenta ()],Estructura_Balance[Grupo],"",0)</f>
        <v/>
      </c>
      <c r="N258" t="str">
        <f>_xlfn.XLOOKUP(Table3[[#This Row],[Cuenta]],Estructura_Balance[Nombre Cuenta ()],Estructura_Balance[Nivel 1],"",0)</f>
        <v/>
      </c>
      <c r="O258" t="str">
        <f>_xlfn.XLOOKUP(Table3[[#This Row],[Cuenta]],Estructura_Balance[Nombre Cuenta ()],Estructura_Balance[Nivel 2],"",0)</f>
        <v/>
      </c>
      <c r="P258" t="str">
        <f>_xlfn.XLOOKUP(Table3[[#This Row],[Cuenta]],Estructura_Balance[Nombre Cuenta ()],Estructura_Balance[Nivel 3],"",0)</f>
        <v/>
      </c>
      <c r="Q258" t="str">
        <f>_xlfn.XLOOKUP(Table3[[#This Row],[Cuenta]],Estructura_Balance[Nombre Cuenta ()],Estructura_Balance[Nivel 4],"",0)</f>
        <v/>
      </c>
      <c r="R258" t="str">
        <f>_xlfn.XLOOKUP(Table3[[#This Row],[Cuenta]],Table8[Nombre Cuenta ()],Table8[Nivel 1],"",0)</f>
        <v/>
      </c>
      <c r="S258" t="str">
        <f>_xlfn.XLOOKUP(Table3[[#This Row],[Cuenta]],Table8[Nombre Cuenta ()],Table8[Nivel 2],"",0)</f>
        <v/>
      </c>
      <c r="T258" t="str">
        <f>_xlfn.XLOOKUP(Table3[[#This Row],[Cuenta]],Table8[Nombre Cuenta ()],Table8[Nivel 3],"",0)</f>
        <v/>
      </c>
      <c r="U258">
        <v>550</v>
      </c>
      <c r="V258" t="str">
        <f>_xlfn.XLOOKUP(Table3[[#This Row],[Cuenta]],Estructura_Balance[Nombre Cuenta ()],Estructura_Balance[Niveles:2],"",0)</f>
        <v/>
      </c>
      <c r="W258" t="str">
        <f>_xlfn.XLOOKUP(Table3[[#This Row],[Cuenta]],Estructura_Balance[Nombre Cuenta ()],Estructura_Balance[Niveles:3],"",0)</f>
        <v/>
      </c>
      <c r="X258" t="str">
        <f>_xlfn.XLOOKUP(Table3[[#This Row],[Cuenta]],Estructura_Balance[Nombre Cuenta ()],Estructura_Balance[Grupos],"Grupo 1",0)</f>
        <v>Grupo 1</v>
      </c>
      <c r="Y258" t="str">
        <f>+Table3[[#This Row],[BS_Nivel_1]]</f>
        <v/>
      </c>
    </row>
    <row r="259" spans="1:25">
      <c r="A259">
        <f>+'Libro Diario'!F383</f>
        <v>0</v>
      </c>
      <c r="B259" s="144">
        <f>VALUE(IF(+'Libro Diario'!G383="","01/01/2025",+'Libro Diario'!G383))</f>
        <v>45658</v>
      </c>
      <c r="C259">
        <f>IF(ISNUMBER(+IF(IFERROR(VALUE(MID('Libro Diario'!C383,1,4)),0)&lt;&gt;0,'Libro Diario'!C383,0))=FALSE,'Libro Diario'!C383,0)</f>
        <v>0</v>
      </c>
      <c r="D259" s="145" t="str">
        <f>+'Libro Diario'!B383</f>
        <v>Asiento Cuadrado</v>
      </c>
      <c r="E259" s="139" t="s">
        <v>445</v>
      </c>
      <c r="F259" t="str">
        <f t="shared" ref="F259:F322" si="12">+IF(C259=0,"Sin Mov.","Con Mov.")</f>
        <v>Sin Mov.</v>
      </c>
      <c r="G259" t="str">
        <f>IF(+'Libro Diario'!H383=0,"",+'Libro Diario'!H383)</f>
        <v/>
      </c>
      <c r="H259" t="str">
        <f>IF(+'Libro Diario'!I383=0,"",+'Libro Diario'!I383)</f>
        <v/>
      </c>
      <c r="I259" t="str">
        <f>+IF(Table3[[#This Row],[Tipo Movimiento]]="Estructura Balance y PyG","Excluir","Incluir")</f>
        <v>Incluir</v>
      </c>
      <c r="J259" s="153">
        <f>+IF(Table3[[#This Row],[Sin cuenta]]="Con Mov.",(IF(Table3[[#This Row],[Movimiento]]="Debe",Table3[[#This Row],[Importe]],IF(Table3[[#This Row],[Movimiento]]="Haber",Table3[[#This Row],[Importe]]*-1,0))),0)</f>
        <v>0</v>
      </c>
      <c r="K259" s="145" t="str">
        <f t="shared" ref="K259:K322" si="13">+IF(E259="Debe",D259,"")</f>
        <v>Asiento Cuadrado</v>
      </c>
      <c r="L259" s="145" t="str">
        <f t="shared" ref="L259:L322" si="14">+IF(E259="Haber",D259,"")</f>
        <v/>
      </c>
      <c r="M259" t="str">
        <f>_xlfn.XLOOKUP(Table3[[#This Row],[Cuenta]],Estructura_Balance[Nombre Cuenta ()],Estructura_Balance[Grupo],"",0)</f>
        <v/>
      </c>
      <c r="N259" t="str">
        <f>_xlfn.XLOOKUP(Table3[[#This Row],[Cuenta]],Estructura_Balance[Nombre Cuenta ()],Estructura_Balance[Nivel 1],"",0)</f>
        <v/>
      </c>
      <c r="O259" t="str">
        <f>_xlfn.XLOOKUP(Table3[[#This Row],[Cuenta]],Estructura_Balance[Nombre Cuenta ()],Estructura_Balance[Nivel 2],"",0)</f>
        <v/>
      </c>
      <c r="P259" t="str">
        <f>_xlfn.XLOOKUP(Table3[[#This Row],[Cuenta]],Estructura_Balance[Nombre Cuenta ()],Estructura_Balance[Nivel 3],"",0)</f>
        <v/>
      </c>
      <c r="Q259" t="str">
        <f>_xlfn.XLOOKUP(Table3[[#This Row],[Cuenta]],Estructura_Balance[Nombre Cuenta ()],Estructura_Balance[Nivel 4],"",0)</f>
        <v/>
      </c>
      <c r="R259" t="str">
        <f>_xlfn.XLOOKUP(Table3[[#This Row],[Cuenta]],Table8[Nombre Cuenta ()],Table8[Nivel 1],"",0)</f>
        <v/>
      </c>
      <c r="S259" t="str">
        <f>_xlfn.XLOOKUP(Table3[[#This Row],[Cuenta]],Table8[Nombre Cuenta ()],Table8[Nivel 2],"",0)</f>
        <v/>
      </c>
      <c r="T259" t="str">
        <f>_xlfn.XLOOKUP(Table3[[#This Row],[Cuenta]],Table8[Nombre Cuenta ()],Table8[Nivel 3],"",0)</f>
        <v/>
      </c>
      <c r="U259">
        <v>551</v>
      </c>
      <c r="V259" t="str">
        <f>_xlfn.XLOOKUP(Table3[[#This Row],[Cuenta]],Estructura_Balance[Nombre Cuenta ()],Estructura_Balance[Niveles:2],"",0)</f>
        <v/>
      </c>
      <c r="W259" t="str">
        <f>_xlfn.XLOOKUP(Table3[[#This Row],[Cuenta]],Estructura_Balance[Nombre Cuenta ()],Estructura_Balance[Niveles:3],"",0)</f>
        <v/>
      </c>
      <c r="X259" t="str">
        <f>_xlfn.XLOOKUP(Table3[[#This Row],[Cuenta]],Estructura_Balance[Nombre Cuenta ()],Estructura_Balance[Grupos],"Grupo 1",0)</f>
        <v>Grupo 1</v>
      </c>
      <c r="Y259" t="str">
        <f>+Table3[[#This Row],[BS_Nivel_1]]</f>
        <v/>
      </c>
    </row>
    <row r="260" spans="1:25">
      <c r="A260">
        <f>+'Libro Diario'!F384</f>
        <v>0</v>
      </c>
      <c r="B260" s="144">
        <f>VALUE(IF(+'Libro Diario'!G384="","01/01/2025",+'Libro Diario'!G384))</f>
        <v>45658</v>
      </c>
      <c r="C260">
        <f>IF(ISNUMBER(+IF(IFERROR(VALUE(MID('Libro Diario'!C384,1,4)),0)&lt;&gt;0,'Libro Diario'!C384,0))=FALSE,'Libro Diario'!C384,0)</f>
        <v>0</v>
      </c>
      <c r="D260" s="145">
        <f>+'Libro Diario'!B384</f>
        <v>0</v>
      </c>
      <c r="E260" s="139" t="s">
        <v>445</v>
      </c>
      <c r="F260" t="str">
        <f t="shared" si="12"/>
        <v>Sin Mov.</v>
      </c>
      <c r="G260" t="str">
        <f>IF(+'Libro Diario'!H384=0,"",+'Libro Diario'!H384)</f>
        <v/>
      </c>
      <c r="H260" t="str">
        <f>IF(+'Libro Diario'!I384=0,"",+'Libro Diario'!I384)</f>
        <v/>
      </c>
      <c r="I260" t="str">
        <f>+IF(Table3[[#This Row],[Tipo Movimiento]]="Estructura Balance y PyG","Excluir","Incluir")</f>
        <v>Incluir</v>
      </c>
      <c r="J260" s="153">
        <f>+IF(Table3[[#This Row],[Sin cuenta]]="Con Mov.",(IF(Table3[[#This Row],[Movimiento]]="Debe",Table3[[#This Row],[Importe]],IF(Table3[[#This Row],[Movimiento]]="Haber",Table3[[#This Row],[Importe]]*-1,0))),0)</f>
        <v>0</v>
      </c>
      <c r="K260" s="145">
        <f t="shared" si="13"/>
        <v>0</v>
      </c>
      <c r="L260" s="145" t="str">
        <f t="shared" si="14"/>
        <v/>
      </c>
      <c r="M260" t="str">
        <f>_xlfn.XLOOKUP(Table3[[#This Row],[Cuenta]],Estructura_Balance[Nombre Cuenta ()],Estructura_Balance[Grupo],"",0)</f>
        <v/>
      </c>
      <c r="N260" t="str">
        <f>_xlfn.XLOOKUP(Table3[[#This Row],[Cuenta]],Estructura_Balance[Nombre Cuenta ()],Estructura_Balance[Nivel 1],"",0)</f>
        <v/>
      </c>
      <c r="O260" t="str">
        <f>_xlfn.XLOOKUP(Table3[[#This Row],[Cuenta]],Estructura_Balance[Nombre Cuenta ()],Estructura_Balance[Nivel 2],"",0)</f>
        <v/>
      </c>
      <c r="P260" t="str">
        <f>_xlfn.XLOOKUP(Table3[[#This Row],[Cuenta]],Estructura_Balance[Nombre Cuenta ()],Estructura_Balance[Nivel 3],"",0)</f>
        <v/>
      </c>
      <c r="Q260" t="str">
        <f>_xlfn.XLOOKUP(Table3[[#This Row],[Cuenta]],Estructura_Balance[Nombre Cuenta ()],Estructura_Balance[Nivel 4],"",0)</f>
        <v/>
      </c>
      <c r="R260" t="str">
        <f>_xlfn.XLOOKUP(Table3[[#This Row],[Cuenta]],Table8[Nombre Cuenta ()],Table8[Nivel 1],"",0)</f>
        <v/>
      </c>
      <c r="S260" t="str">
        <f>_xlfn.XLOOKUP(Table3[[#This Row],[Cuenta]],Table8[Nombre Cuenta ()],Table8[Nivel 2],"",0)</f>
        <v/>
      </c>
      <c r="T260" t="str">
        <f>_xlfn.XLOOKUP(Table3[[#This Row],[Cuenta]],Table8[Nombre Cuenta ()],Table8[Nivel 3],"",0)</f>
        <v/>
      </c>
      <c r="U260">
        <v>575</v>
      </c>
      <c r="V260" t="str">
        <f>_xlfn.XLOOKUP(Table3[[#This Row],[Cuenta]],Estructura_Balance[Nombre Cuenta ()],Estructura_Balance[Niveles:2],"",0)</f>
        <v/>
      </c>
      <c r="W260" t="str">
        <f>_xlfn.XLOOKUP(Table3[[#This Row],[Cuenta]],Estructura_Balance[Nombre Cuenta ()],Estructura_Balance[Niveles:3],"",0)</f>
        <v/>
      </c>
      <c r="X260" t="str">
        <f>_xlfn.XLOOKUP(Table3[[#This Row],[Cuenta]],Estructura_Balance[Nombre Cuenta ()],Estructura_Balance[Grupos],"Grupo 1",0)</f>
        <v>Grupo 1</v>
      </c>
      <c r="Y260" t="str">
        <f>+Table3[[#This Row],[BS_Nivel_1]]</f>
        <v/>
      </c>
    </row>
    <row r="261" spans="1:25">
      <c r="A261">
        <f>+'Libro Diario'!F385</f>
        <v>0</v>
      </c>
      <c r="B261" s="144">
        <f>VALUE(IF(+'Libro Diario'!G385="","01/01/2025",+'Libro Diario'!G385))</f>
        <v>45658</v>
      </c>
      <c r="C261">
        <f>IF(ISNUMBER(+IF(IFERROR(VALUE(MID('Libro Diario'!C385,1,4)),0)&lt;&gt;0,'Libro Diario'!C385,0))=FALSE,'Libro Diario'!C385,0)</f>
        <v>0</v>
      </c>
      <c r="D261" s="145" t="str">
        <f>+'Libro Diario'!B385</f>
        <v>DEBE</v>
      </c>
      <c r="E261" s="139" t="s">
        <v>445</v>
      </c>
      <c r="F261" t="str">
        <f t="shared" si="12"/>
        <v>Sin Mov.</v>
      </c>
      <c r="G261" t="str">
        <f>IF(+'Libro Diario'!H385=0,"",+'Libro Diario'!H385)</f>
        <v/>
      </c>
      <c r="H261" t="str">
        <f>IF(+'Libro Diario'!I385=0,"",+'Libro Diario'!I385)</f>
        <v/>
      </c>
      <c r="I261" t="str">
        <f>+IF(Table3[[#This Row],[Tipo Movimiento]]="Estructura Balance y PyG","Excluir","Incluir")</f>
        <v>Incluir</v>
      </c>
      <c r="J261" s="153">
        <f>+IF(Table3[[#This Row],[Sin cuenta]]="Con Mov.",(IF(Table3[[#This Row],[Movimiento]]="Debe",Table3[[#This Row],[Importe]],IF(Table3[[#This Row],[Movimiento]]="Haber",Table3[[#This Row],[Importe]]*-1,0))),0)</f>
        <v>0</v>
      </c>
      <c r="K261" s="145" t="str">
        <f t="shared" si="13"/>
        <v>DEBE</v>
      </c>
      <c r="L261" s="145" t="str">
        <f t="shared" si="14"/>
        <v/>
      </c>
      <c r="M261" t="str">
        <f>_xlfn.XLOOKUP(Table3[[#This Row],[Cuenta]],Estructura_Balance[Nombre Cuenta ()],Estructura_Balance[Grupo],"",0)</f>
        <v/>
      </c>
      <c r="N261" t="str">
        <f>_xlfn.XLOOKUP(Table3[[#This Row],[Cuenta]],Estructura_Balance[Nombre Cuenta ()],Estructura_Balance[Nivel 1],"",0)</f>
        <v/>
      </c>
      <c r="O261" t="str">
        <f>_xlfn.XLOOKUP(Table3[[#This Row],[Cuenta]],Estructura_Balance[Nombre Cuenta ()],Estructura_Balance[Nivel 2],"",0)</f>
        <v/>
      </c>
      <c r="P261" t="str">
        <f>_xlfn.XLOOKUP(Table3[[#This Row],[Cuenta]],Estructura_Balance[Nombre Cuenta ()],Estructura_Balance[Nivel 3],"",0)</f>
        <v/>
      </c>
      <c r="Q261" t="str">
        <f>_xlfn.XLOOKUP(Table3[[#This Row],[Cuenta]],Estructura_Balance[Nombre Cuenta ()],Estructura_Balance[Nivel 4],"",0)</f>
        <v/>
      </c>
      <c r="R261" t="str">
        <f>_xlfn.XLOOKUP(Table3[[#This Row],[Cuenta]],Table8[Nombre Cuenta ()],Table8[Nivel 1],"",0)</f>
        <v/>
      </c>
      <c r="S261" t="str">
        <f>_xlfn.XLOOKUP(Table3[[#This Row],[Cuenta]],Table8[Nombre Cuenta ()],Table8[Nivel 2],"",0)</f>
        <v/>
      </c>
      <c r="T261" t="str">
        <f>_xlfn.XLOOKUP(Table3[[#This Row],[Cuenta]],Table8[Nombre Cuenta ()],Table8[Nivel 3],"",0)</f>
        <v/>
      </c>
      <c r="U261">
        <v>576</v>
      </c>
      <c r="V261" t="str">
        <f>_xlfn.XLOOKUP(Table3[[#This Row],[Cuenta]],Estructura_Balance[Nombre Cuenta ()],Estructura_Balance[Niveles:2],"",0)</f>
        <v/>
      </c>
      <c r="W261" t="str">
        <f>_xlfn.XLOOKUP(Table3[[#This Row],[Cuenta]],Estructura_Balance[Nombre Cuenta ()],Estructura_Balance[Niveles:3],"",0)</f>
        <v/>
      </c>
      <c r="X261" t="str">
        <f>_xlfn.XLOOKUP(Table3[[#This Row],[Cuenta]],Estructura_Balance[Nombre Cuenta ()],Estructura_Balance[Grupos],"Grupo 1",0)</f>
        <v>Grupo 1</v>
      </c>
      <c r="Y261" t="str">
        <f>+Table3[[#This Row],[BS_Nivel_1]]</f>
        <v/>
      </c>
    </row>
    <row r="262" spans="1:25">
      <c r="A262">
        <f>+'Libro Diario'!F386</f>
        <v>0</v>
      </c>
      <c r="B262" s="144">
        <f>VALUE(IF(+'Libro Diario'!G386="","01/01/2025",+'Libro Diario'!G386))</f>
        <v>45658</v>
      </c>
      <c r="C262">
        <f>IF(ISNUMBER(+IF(IFERROR(VALUE(MID('Libro Diario'!C386,1,4)),0)&lt;&gt;0,'Libro Diario'!C386,0))=FALSE,'Libro Diario'!C386,0)</f>
        <v>0</v>
      </c>
      <c r="D262" s="145">
        <f>+'Libro Diario'!B386</f>
        <v>0</v>
      </c>
      <c r="E262" s="139" t="s">
        <v>445</v>
      </c>
      <c r="F262" t="str">
        <f t="shared" si="12"/>
        <v>Sin Mov.</v>
      </c>
      <c r="G262" t="str">
        <f>IF(+'Libro Diario'!H386=0,"",+'Libro Diario'!H386)</f>
        <v/>
      </c>
      <c r="H262" t="str">
        <f>IF(+'Libro Diario'!I386=0,"",+'Libro Diario'!I386)</f>
        <v/>
      </c>
      <c r="I262" t="str">
        <f>+IF(Table3[[#This Row],[Tipo Movimiento]]="Estructura Balance y PyG","Excluir","Incluir")</f>
        <v>Incluir</v>
      </c>
      <c r="J262" s="153">
        <f>+IF(Table3[[#This Row],[Sin cuenta]]="Con Mov.",(IF(Table3[[#This Row],[Movimiento]]="Debe",Table3[[#This Row],[Importe]],IF(Table3[[#This Row],[Movimiento]]="Haber",Table3[[#This Row],[Importe]]*-1,0))),0)</f>
        <v>0</v>
      </c>
      <c r="K262" s="145">
        <f t="shared" si="13"/>
        <v>0</v>
      </c>
      <c r="L262" s="145" t="str">
        <f t="shared" si="14"/>
        <v/>
      </c>
      <c r="M262" t="str">
        <f>_xlfn.XLOOKUP(Table3[[#This Row],[Cuenta]],Estructura_Balance[Nombre Cuenta ()],Estructura_Balance[Grupo],"",0)</f>
        <v/>
      </c>
      <c r="N262" t="str">
        <f>_xlfn.XLOOKUP(Table3[[#This Row],[Cuenta]],Estructura_Balance[Nombre Cuenta ()],Estructura_Balance[Nivel 1],"",0)</f>
        <v/>
      </c>
      <c r="O262" t="str">
        <f>_xlfn.XLOOKUP(Table3[[#This Row],[Cuenta]],Estructura_Balance[Nombre Cuenta ()],Estructura_Balance[Nivel 2],"",0)</f>
        <v/>
      </c>
      <c r="P262" t="str">
        <f>_xlfn.XLOOKUP(Table3[[#This Row],[Cuenta]],Estructura_Balance[Nombre Cuenta ()],Estructura_Balance[Nivel 3],"",0)</f>
        <v/>
      </c>
      <c r="Q262" t="str">
        <f>_xlfn.XLOOKUP(Table3[[#This Row],[Cuenta]],Estructura_Balance[Nombre Cuenta ()],Estructura_Balance[Nivel 4],"",0)</f>
        <v/>
      </c>
      <c r="R262" t="str">
        <f>_xlfn.XLOOKUP(Table3[[#This Row],[Cuenta]],Table8[Nombre Cuenta ()],Table8[Nivel 1],"",0)</f>
        <v/>
      </c>
      <c r="S262" t="str">
        <f>_xlfn.XLOOKUP(Table3[[#This Row],[Cuenta]],Table8[Nombre Cuenta ()],Table8[Nivel 2],"",0)</f>
        <v/>
      </c>
      <c r="T262" t="str">
        <f>_xlfn.XLOOKUP(Table3[[#This Row],[Cuenta]],Table8[Nombre Cuenta ()],Table8[Nivel 3],"",0)</f>
        <v/>
      </c>
      <c r="U262">
        <v>577</v>
      </c>
      <c r="V262" t="str">
        <f>_xlfn.XLOOKUP(Table3[[#This Row],[Cuenta]],Estructura_Balance[Nombre Cuenta ()],Estructura_Balance[Niveles:2],"",0)</f>
        <v/>
      </c>
      <c r="W262" t="str">
        <f>_xlfn.XLOOKUP(Table3[[#This Row],[Cuenta]],Estructura_Balance[Nombre Cuenta ()],Estructura_Balance[Niveles:3],"",0)</f>
        <v/>
      </c>
      <c r="X262" t="str">
        <f>_xlfn.XLOOKUP(Table3[[#This Row],[Cuenta]],Estructura_Balance[Nombre Cuenta ()],Estructura_Balance[Grupos],"Grupo 1",0)</f>
        <v>Grupo 1</v>
      </c>
      <c r="Y262" t="str">
        <f>+Table3[[#This Row],[BS_Nivel_1]]</f>
        <v/>
      </c>
    </row>
    <row r="263" spans="1:25">
      <c r="A263">
        <f>+'Libro Diario'!F389</f>
        <v>0</v>
      </c>
      <c r="B263" s="144">
        <f>VALUE(IF(+'Libro Diario'!G389="","01/01/2025",+'Libro Diario'!G389))</f>
        <v>45658</v>
      </c>
      <c r="C263">
        <f>IF(ISNUMBER(+IF(IFERROR(VALUE(MID('Libro Diario'!C389,1,4)),0)&lt;&gt;0,'Libro Diario'!C389,0))=FALSE,'Libro Diario'!C389,0)</f>
        <v>0</v>
      </c>
      <c r="D263" s="145" t="str">
        <f>+'Libro Diario'!B389</f>
        <v>Ajuste por Periodificación</v>
      </c>
      <c r="E263" s="139" t="s">
        <v>445</v>
      </c>
      <c r="F263" t="str">
        <f t="shared" si="12"/>
        <v>Sin Mov.</v>
      </c>
      <c r="G263" t="str">
        <f>IF(+'Libro Diario'!H389=0,"",+'Libro Diario'!H389)</f>
        <v/>
      </c>
      <c r="H263" t="str">
        <f>IF(+'Libro Diario'!I389=0,"",+'Libro Diario'!I389)</f>
        <v/>
      </c>
      <c r="I263" t="str">
        <f>+IF(Table3[[#This Row],[Tipo Movimiento]]="Estructura Balance y PyG","Excluir","Incluir")</f>
        <v>Incluir</v>
      </c>
      <c r="J263" s="153">
        <f>+IF(Table3[[#This Row],[Sin cuenta]]="Con Mov.",(IF(Table3[[#This Row],[Movimiento]]="Debe",Table3[[#This Row],[Importe]],IF(Table3[[#This Row],[Movimiento]]="Haber",Table3[[#This Row],[Importe]]*-1,0))),0)</f>
        <v>0</v>
      </c>
      <c r="K263" s="145" t="str">
        <f t="shared" si="13"/>
        <v>Ajuste por Periodificación</v>
      </c>
      <c r="L263" s="145" t="str">
        <f t="shared" si="14"/>
        <v/>
      </c>
      <c r="M263" t="str">
        <f>_xlfn.XLOOKUP(Table3[[#This Row],[Cuenta]],Estructura_Balance[Nombre Cuenta ()],Estructura_Balance[Grupo],"",0)</f>
        <v/>
      </c>
      <c r="N263" t="str">
        <f>_xlfn.XLOOKUP(Table3[[#This Row],[Cuenta]],Estructura_Balance[Nombre Cuenta ()],Estructura_Balance[Nivel 1],"",0)</f>
        <v/>
      </c>
      <c r="O263" t="str">
        <f>_xlfn.XLOOKUP(Table3[[#This Row],[Cuenta]],Estructura_Balance[Nombre Cuenta ()],Estructura_Balance[Nivel 2],"",0)</f>
        <v/>
      </c>
      <c r="P263" t="str">
        <f>_xlfn.XLOOKUP(Table3[[#This Row],[Cuenta]],Estructura_Balance[Nombre Cuenta ()],Estructura_Balance[Nivel 3],"",0)</f>
        <v/>
      </c>
      <c r="Q263" t="str">
        <f>_xlfn.XLOOKUP(Table3[[#This Row],[Cuenta]],Estructura_Balance[Nombre Cuenta ()],Estructura_Balance[Nivel 4],"",0)</f>
        <v/>
      </c>
      <c r="R263" t="str">
        <f>_xlfn.XLOOKUP(Table3[[#This Row],[Cuenta]],Table8[Nombre Cuenta ()],Table8[Nivel 1],"",0)</f>
        <v/>
      </c>
      <c r="S263" t="str">
        <f>_xlfn.XLOOKUP(Table3[[#This Row],[Cuenta]],Table8[Nombre Cuenta ()],Table8[Nivel 2],"",0)</f>
        <v/>
      </c>
      <c r="T263" t="str">
        <f>_xlfn.XLOOKUP(Table3[[#This Row],[Cuenta]],Table8[Nombre Cuenta ()],Table8[Nivel 3],"",0)</f>
        <v/>
      </c>
      <c r="U263">
        <v>580</v>
      </c>
      <c r="V263" t="str">
        <f>_xlfn.XLOOKUP(Table3[[#This Row],[Cuenta]],Estructura_Balance[Nombre Cuenta ()],Estructura_Balance[Niveles:2],"",0)</f>
        <v/>
      </c>
      <c r="W263" t="str">
        <f>_xlfn.XLOOKUP(Table3[[#This Row],[Cuenta]],Estructura_Balance[Nombre Cuenta ()],Estructura_Balance[Niveles:3],"",0)</f>
        <v/>
      </c>
      <c r="X263" t="str">
        <f>_xlfn.XLOOKUP(Table3[[#This Row],[Cuenta]],Estructura_Balance[Nombre Cuenta ()],Estructura_Balance[Grupos],"Grupo 1",0)</f>
        <v>Grupo 1</v>
      </c>
      <c r="Y263" t="str">
        <f>+Table3[[#This Row],[BS_Nivel_1]]</f>
        <v/>
      </c>
    </row>
    <row r="264" spans="1:25">
      <c r="A264">
        <f>+'Libro Diario'!F390</f>
        <v>0</v>
      </c>
      <c r="B264" s="144">
        <f>VALUE(IF(+'Libro Diario'!G390="","01/01/2025",+'Libro Diario'!G390))</f>
        <v>45658</v>
      </c>
      <c r="C264">
        <f>IF(ISNUMBER(+IF(IFERROR(VALUE(MID('Libro Diario'!C390,1,4)),0)&lt;&gt;0,'Libro Diario'!C390,0))=FALSE,'Libro Diario'!C390,0)</f>
        <v>0</v>
      </c>
      <c r="D264" s="145" t="str">
        <f>+'Libro Diario'!B390</f>
        <v>Asiento Cuadrado</v>
      </c>
      <c r="E264" s="139" t="s">
        <v>445</v>
      </c>
      <c r="F264" t="str">
        <f t="shared" si="12"/>
        <v>Sin Mov.</v>
      </c>
      <c r="G264" t="str">
        <f>IF(+'Libro Diario'!H390=0,"",+'Libro Diario'!H390)</f>
        <v/>
      </c>
      <c r="H264" t="str">
        <f>IF(+'Libro Diario'!I390=0,"",+'Libro Diario'!I390)</f>
        <v/>
      </c>
      <c r="I264" t="str">
        <f>+IF(Table3[[#This Row],[Tipo Movimiento]]="Estructura Balance y PyG","Excluir","Incluir")</f>
        <v>Incluir</v>
      </c>
      <c r="J264" s="153">
        <f>+IF(Table3[[#This Row],[Sin cuenta]]="Con Mov.",(IF(Table3[[#This Row],[Movimiento]]="Debe",Table3[[#This Row],[Importe]],IF(Table3[[#This Row],[Movimiento]]="Haber",Table3[[#This Row],[Importe]]*-1,0))),0)</f>
        <v>0</v>
      </c>
      <c r="K264" s="145" t="str">
        <f t="shared" si="13"/>
        <v>Asiento Cuadrado</v>
      </c>
      <c r="L264" s="145" t="str">
        <f t="shared" si="14"/>
        <v/>
      </c>
      <c r="M264" t="str">
        <f>_xlfn.XLOOKUP(Table3[[#This Row],[Cuenta]],Estructura_Balance[Nombre Cuenta ()],Estructura_Balance[Grupo],"",0)</f>
        <v/>
      </c>
      <c r="N264" t="str">
        <f>_xlfn.XLOOKUP(Table3[[#This Row],[Cuenta]],Estructura_Balance[Nombre Cuenta ()],Estructura_Balance[Nivel 1],"",0)</f>
        <v/>
      </c>
      <c r="O264" t="str">
        <f>_xlfn.XLOOKUP(Table3[[#This Row],[Cuenta]],Estructura_Balance[Nombre Cuenta ()],Estructura_Balance[Nivel 2],"",0)</f>
        <v/>
      </c>
      <c r="P264" t="str">
        <f>_xlfn.XLOOKUP(Table3[[#This Row],[Cuenta]],Estructura_Balance[Nombre Cuenta ()],Estructura_Balance[Nivel 3],"",0)</f>
        <v/>
      </c>
      <c r="Q264" t="str">
        <f>_xlfn.XLOOKUP(Table3[[#This Row],[Cuenta]],Estructura_Balance[Nombre Cuenta ()],Estructura_Balance[Nivel 4],"",0)</f>
        <v/>
      </c>
      <c r="R264" t="str">
        <f>_xlfn.XLOOKUP(Table3[[#This Row],[Cuenta]],Table8[Nombre Cuenta ()],Table8[Nivel 1],"",0)</f>
        <v/>
      </c>
      <c r="S264" t="str">
        <f>_xlfn.XLOOKUP(Table3[[#This Row],[Cuenta]],Table8[Nombre Cuenta ()],Table8[Nivel 2],"",0)</f>
        <v/>
      </c>
      <c r="T264" t="str">
        <f>_xlfn.XLOOKUP(Table3[[#This Row],[Cuenta]],Table8[Nombre Cuenta ()],Table8[Nivel 3],"",0)</f>
        <v/>
      </c>
      <c r="U264">
        <v>581</v>
      </c>
      <c r="V264" t="str">
        <f>_xlfn.XLOOKUP(Table3[[#This Row],[Cuenta]],Estructura_Balance[Nombre Cuenta ()],Estructura_Balance[Niveles:2],"",0)</f>
        <v/>
      </c>
      <c r="W264" t="str">
        <f>_xlfn.XLOOKUP(Table3[[#This Row],[Cuenta]],Estructura_Balance[Nombre Cuenta ()],Estructura_Balance[Niveles:3],"",0)</f>
        <v/>
      </c>
      <c r="X264" t="str">
        <f>_xlfn.XLOOKUP(Table3[[#This Row],[Cuenta]],Estructura_Balance[Nombre Cuenta ()],Estructura_Balance[Grupos],"Grupo 1",0)</f>
        <v>Grupo 1</v>
      </c>
      <c r="Y264" t="str">
        <f>+Table3[[#This Row],[BS_Nivel_1]]</f>
        <v/>
      </c>
    </row>
    <row r="265" spans="1:25">
      <c r="A265">
        <f>+'Libro Diario'!F391</f>
        <v>0</v>
      </c>
      <c r="B265" s="144">
        <f>VALUE(IF(+'Libro Diario'!G391="","01/01/2025",+'Libro Diario'!G391))</f>
        <v>45658</v>
      </c>
      <c r="C265">
        <f>IF(ISNUMBER(+IF(IFERROR(VALUE(MID('Libro Diario'!C391,1,4)),0)&lt;&gt;0,'Libro Diario'!C391,0))=FALSE,'Libro Diario'!C391,0)</f>
        <v>0</v>
      </c>
      <c r="D265" s="145">
        <f>+'Libro Diario'!B391</f>
        <v>0</v>
      </c>
      <c r="E265" s="139" t="s">
        <v>445</v>
      </c>
      <c r="F265" t="str">
        <f t="shared" si="12"/>
        <v>Sin Mov.</v>
      </c>
      <c r="G265" t="str">
        <f>IF(+'Libro Diario'!H391=0,"",+'Libro Diario'!H391)</f>
        <v/>
      </c>
      <c r="H265" t="str">
        <f>IF(+'Libro Diario'!I391=0,"",+'Libro Diario'!I391)</f>
        <v/>
      </c>
      <c r="I265" t="str">
        <f>+IF(Table3[[#This Row],[Tipo Movimiento]]="Estructura Balance y PyG","Excluir","Incluir")</f>
        <v>Incluir</v>
      </c>
      <c r="J265" s="153">
        <f>+IF(Table3[[#This Row],[Sin cuenta]]="Con Mov.",(IF(Table3[[#This Row],[Movimiento]]="Debe",Table3[[#This Row],[Importe]],IF(Table3[[#This Row],[Movimiento]]="Haber",Table3[[#This Row],[Importe]]*-1,0))),0)</f>
        <v>0</v>
      </c>
      <c r="K265" s="145">
        <f t="shared" si="13"/>
        <v>0</v>
      </c>
      <c r="L265" s="145" t="str">
        <f t="shared" si="14"/>
        <v/>
      </c>
      <c r="M265" t="str">
        <f>_xlfn.XLOOKUP(Table3[[#This Row],[Cuenta]],Estructura_Balance[Nombre Cuenta ()],Estructura_Balance[Grupo],"",0)</f>
        <v/>
      </c>
      <c r="N265" t="str">
        <f>_xlfn.XLOOKUP(Table3[[#This Row],[Cuenta]],Estructura_Balance[Nombre Cuenta ()],Estructura_Balance[Nivel 1],"",0)</f>
        <v/>
      </c>
      <c r="O265" t="str">
        <f>_xlfn.XLOOKUP(Table3[[#This Row],[Cuenta]],Estructura_Balance[Nombre Cuenta ()],Estructura_Balance[Nivel 2],"",0)</f>
        <v/>
      </c>
      <c r="P265" t="str">
        <f>_xlfn.XLOOKUP(Table3[[#This Row],[Cuenta]],Estructura_Balance[Nombre Cuenta ()],Estructura_Balance[Nivel 3],"",0)</f>
        <v/>
      </c>
      <c r="Q265" t="str">
        <f>_xlfn.XLOOKUP(Table3[[#This Row],[Cuenta]],Estructura_Balance[Nombre Cuenta ()],Estructura_Balance[Nivel 4],"",0)</f>
        <v/>
      </c>
      <c r="R265" t="str">
        <f>_xlfn.XLOOKUP(Table3[[#This Row],[Cuenta]],Table8[Nombre Cuenta ()],Table8[Nivel 1],"",0)</f>
        <v/>
      </c>
      <c r="S265" t="str">
        <f>_xlfn.XLOOKUP(Table3[[#This Row],[Cuenta]],Table8[Nombre Cuenta ()],Table8[Nivel 2],"",0)</f>
        <v/>
      </c>
      <c r="T265" t="str">
        <f>_xlfn.XLOOKUP(Table3[[#This Row],[Cuenta]],Table8[Nombre Cuenta ()],Table8[Nivel 3],"",0)</f>
        <v/>
      </c>
      <c r="U265">
        <v>582</v>
      </c>
      <c r="V265" t="str">
        <f>_xlfn.XLOOKUP(Table3[[#This Row],[Cuenta]],Estructura_Balance[Nombre Cuenta ()],Estructura_Balance[Niveles:2],"",0)</f>
        <v/>
      </c>
      <c r="W265" t="str">
        <f>_xlfn.XLOOKUP(Table3[[#This Row],[Cuenta]],Estructura_Balance[Nombre Cuenta ()],Estructura_Balance[Niveles:3],"",0)</f>
        <v/>
      </c>
      <c r="X265" t="str">
        <f>_xlfn.XLOOKUP(Table3[[#This Row],[Cuenta]],Estructura_Balance[Nombre Cuenta ()],Estructura_Balance[Grupos],"Grupo 1",0)</f>
        <v>Grupo 1</v>
      </c>
      <c r="Y265" t="str">
        <f>+Table3[[#This Row],[BS_Nivel_1]]</f>
        <v/>
      </c>
    </row>
    <row r="266" spans="1:25">
      <c r="A266">
        <f>+'Libro Diario'!F392</f>
        <v>0</v>
      </c>
      <c r="B266" s="144">
        <f>VALUE(IF(+'Libro Diario'!G392="","01/01/2025",+'Libro Diario'!G392))</f>
        <v>45658</v>
      </c>
      <c r="C266">
        <f>IF(ISNUMBER(+IF(IFERROR(VALUE(MID('Libro Diario'!C392,1,4)),0)&lt;&gt;0,'Libro Diario'!C392,0))=FALSE,'Libro Diario'!C392,0)</f>
        <v>0</v>
      </c>
      <c r="D266" s="145" t="str">
        <f>+'Libro Diario'!B392</f>
        <v>DEBE</v>
      </c>
      <c r="E266" s="139" t="s">
        <v>445</v>
      </c>
      <c r="F266" t="str">
        <f t="shared" si="12"/>
        <v>Sin Mov.</v>
      </c>
      <c r="G266" t="str">
        <f>IF(+'Libro Diario'!H392=0,"",+'Libro Diario'!H392)</f>
        <v/>
      </c>
      <c r="H266" t="str">
        <f>IF(+'Libro Diario'!I392=0,"",+'Libro Diario'!I392)</f>
        <v/>
      </c>
      <c r="I266" t="str">
        <f>+IF(Table3[[#This Row],[Tipo Movimiento]]="Estructura Balance y PyG","Excluir","Incluir")</f>
        <v>Incluir</v>
      </c>
      <c r="J266" s="153">
        <f>+IF(Table3[[#This Row],[Sin cuenta]]="Con Mov.",(IF(Table3[[#This Row],[Movimiento]]="Debe",Table3[[#This Row],[Importe]],IF(Table3[[#This Row],[Movimiento]]="Haber",Table3[[#This Row],[Importe]]*-1,0))),0)</f>
        <v>0</v>
      </c>
      <c r="K266" s="145" t="str">
        <f t="shared" si="13"/>
        <v>DEBE</v>
      </c>
      <c r="L266" s="145" t="str">
        <f t="shared" si="14"/>
        <v/>
      </c>
      <c r="M266" t="str">
        <f>_xlfn.XLOOKUP(Table3[[#This Row],[Cuenta]],Estructura_Balance[Nombre Cuenta ()],Estructura_Balance[Grupo],"",0)</f>
        <v/>
      </c>
      <c r="N266" t="str">
        <f>_xlfn.XLOOKUP(Table3[[#This Row],[Cuenta]],Estructura_Balance[Nombre Cuenta ()],Estructura_Balance[Nivel 1],"",0)</f>
        <v/>
      </c>
      <c r="O266" t="str">
        <f>_xlfn.XLOOKUP(Table3[[#This Row],[Cuenta]],Estructura_Balance[Nombre Cuenta ()],Estructura_Balance[Nivel 2],"",0)</f>
        <v/>
      </c>
      <c r="P266" t="str">
        <f>_xlfn.XLOOKUP(Table3[[#This Row],[Cuenta]],Estructura_Balance[Nombre Cuenta ()],Estructura_Balance[Nivel 3],"",0)</f>
        <v/>
      </c>
      <c r="Q266" t="str">
        <f>_xlfn.XLOOKUP(Table3[[#This Row],[Cuenta]],Estructura_Balance[Nombre Cuenta ()],Estructura_Balance[Nivel 4],"",0)</f>
        <v/>
      </c>
      <c r="R266" t="str">
        <f>_xlfn.XLOOKUP(Table3[[#This Row],[Cuenta]],Table8[Nombre Cuenta ()],Table8[Nivel 1],"",0)</f>
        <v/>
      </c>
      <c r="S266" t="str">
        <f>_xlfn.XLOOKUP(Table3[[#This Row],[Cuenta]],Table8[Nombre Cuenta ()],Table8[Nivel 2],"",0)</f>
        <v/>
      </c>
      <c r="T266" t="str">
        <f>_xlfn.XLOOKUP(Table3[[#This Row],[Cuenta]],Table8[Nombre Cuenta ()],Table8[Nivel 3],"",0)</f>
        <v/>
      </c>
      <c r="U266">
        <v>583</v>
      </c>
      <c r="V266" t="str">
        <f>_xlfn.XLOOKUP(Table3[[#This Row],[Cuenta]],Estructura_Balance[Nombre Cuenta ()],Estructura_Balance[Niveles:2],"",0)</f>
        <v/>
      </c>
      <c r="W266" t="str">
        <f>_xlfn.XLOOKUP(Table3[[#This Row],[Cuenta]],Estructura_Balance[Nombre Cuenta ()],Estructura_Balance[Niveles:3],"",0)</f>
        <v/>
      </c>
      <c r="X266" t="str">
        <f>_xlfn.XLOOKUP(Table3[[#This Row],[Cuenta]],Estructura_Balance[Nombre Cuenta ()],Estructura_Balance[Grupos],"Grupo 1",0)</f>
        <v>Grupo 1</v>
      </c>
      <c r="Y266" t="str">
        <f>+Table3[[#This Row],[BS_Nivel_1]]</f>
        <v/>
      </c>
    </row>
    <row r="267" spans="1:25">
      <c r="A267">
        <f>+'Libro Diario'!F393</f>
        <v>0</v>
      </c>
      <c r="B267" s="144">
        <f>VALUE(IF(+'Libro Diario'!G393="","01/01/2025",+'Libro Diario'!G393))</f>
        <v>45658</v>
      </c>
      <c r="C267">
        <f>IF(ISNUMBER(+IF(IFERROR(VALUE(MID('Libro Diario'!C393,1,4)),0)&lt;&gt;0,'Libro Diario'!C393,0))=FALSE,'Libro Diario'!C393,0)</f>
        <v>0</v>
      </c>
      <c r="D267" s="145">
        <f>+'Libro Diario'!B393</f>
        <v>0</v>
      </c>
      <c r="E267" s="139" t="s">
        <v>445</v>
      </c>
      <c r="F267" t="str">
        <f t="shared" si="12"/>
        <v>Sin Mov.</v>
      </c>
      <c r="G267" t="str">
        <f>IF(+'Libro Diario'!H393=0,"",+'Libro Diario'!H393)</f>
        <v/>
      </c>
      <c r="H267" t="str">
        <f>IF(+'Libro Diario'!I393=0,"",+'Libro Diario'!I393)</f>
        <v/>
      </c>
      <c r="I267" t="str">
        <f>+IF(Table3[[#This Row],[Tipo Movimiento]]="Estructura Balance y PyG","Excluir","Incluir")</f>
        <v>Incluir</v>
      </c>
      <c r="J267" s="153">
        <f>+IF(Table3[[#This Row],[Sin cuenta]]="Con Mov.",(IF(Table3[[#This Row],[Movimiento]]="Debe",Table3[[#This Row],[Importe]],IF(Table3[[#This Row],[Movimiento]]="Haber",Table3[[#This Row],[Importe]]*-1,0))),0)</f>
        <v>0</v>
      </c>
      <c r="K267" s="145">
        <f t="shared" si="13"/>
        <v>0</v>
      </c>
      <c r="L267" s="145" t="str">
        <f t="shared" si="14"/>
        <v/>
      </c>
      <c r="M267" t="str">
        <f>_xlfn.XLOOKUP(Table3[[#This Row],[Cuenta]],Estructura_Balance[Nombre Cuenta ()],Estructura_Balance[Grupo],"",0)</f>
        <v/>
      </c>
      <c r="N267" t="str">
        <f>_xlfn.XLOOKUP(Table3[[#This Row],[Cuenta]],Estructura_Balance[Nombre Cuenta ()],Estructura_Balance[Nivel 1],"",0)</f>
        <v/>
      </c>
      <c r="O267" t="str">
        <f>_xlfn.XLOOKUP(Table3[[#This Row],[Cuenta]],Estructura_Balance[Nombre Cuenta ()],Estructura_Balance[Nivel 2],"",0)</f>
        <v/>
      </c>
      <c r="P267" t="str">
        <f>_xlfn.XLOOKUP(Table3[[#This Row],[Cuenta]],Estructura_Balance[Nombre Cuenta ()],Estructura_Balance[Nivel 3],"",0)</f>
        <v/>
      </c>
      <c r="Q267" t="str">
        <f>_xlfn.XLOOKUP(Table3[[#This Row],[Cuenta]],Estructura_Balance[Nombre Cuenta ()],Estructura_Balance[Nivel 4],"",0)</f>
        <v/>
      </c>
      <c r="R267" t="str">
        <f>_xlfn.XLOOKUP(Table3[[#This Row],[Cuenta]],Table8[Nombre Cuenta ()],Table8[Nivel 1],"",0)</f>
        <v/>
      </c>
      <c r="S267" t="str">
        <f>_xlfn.XLOOKUP(Table3[[#This Row],[Cuenta]],Table8[Nombre Cuenta ()],Table8[Nivel 2],"",0)</f>
        <v/>
      </c>
      <c r="T267" t="str">
        <f>_xlfn.XLOOKUP(Table3[[#This Row],[Cuenta]],Table8[Nombre Cuenta ()],Table8[Nivel 3],"",0)</f>
        <v/>
      </c>
      <c r="U267">
        <v>584</v>
      </c>
      <c r="V267" t="str">
        <f>_xlfn.XLOOKUP(Table3[[#This Row],[Cuenta]],Estructura_Balance[Nombre Cuenta ()],Estructura_Balance[Niveles:2],"",0)</f>
        <v/>
      </c>
      <c r="W267" t="str">
        <f>_xlfn.XLOOKUP(Table3[[#This Row],[Cuenta]],Estructura_Balance[Nombre Cuenta ()],Estructura_Balance[Niveles:3],"",0)</f>
        <v/>
      </c>
      <c r="X267" t="str">
        <f>_xlfn.XLOOKUP(Table3[[#This Row],[Cuenta]],Estructura_Balance[Nombre Cuenta ()],Estructura_Balance[Grupos],"Grupo 1",0)</f>
        <v>Grupo 1</v>
      </c>
      <c r="Y267" t="str">
        <f>+Table3[[#This Row],[BS_Nivel_1]]</f>
        <v/>
      </c>
    </row>
    <row r="268" spans="1:25">
      <c r="A268">
        <f>+'Libro Diario'!F396</f>
        <v>0</v>
      </c>
      <c r="B268" s="144">
        <f>VALUE(IF(+'Libro Diario'!G396="","01/01/2025",+'Libro Diario'!G396))</f>
        <v>45658</v>
      </c>
      <c r="C268">
        <f>IF(ISNUMBER(+IF(IFERROR(VALUE(MID('Libro Diario'!C396,1,4)),0)&lt;&gt;0,'Libro Diario'!C396,0))=FALSE,'Libro Diario'!C396,0)</f>
        <v>0</v>
      </c>
      <c r="D268" s="145" t="str">
        <f>+'Libro Diario'!B396</f>
        <v>Ajuste por Periodificación</v>
      </c>
      <c r="E268" s="139" t="s">
        <v>445</v>
      </c>
      <c r="F268" t="str">
        <f t="shared" si="12"/>
        <v>Sin Mov.</v>
      </c>
      <c r="G268" t="str">
        <f>IF(+'Libro Diario'!H396=0,"",+'Libro Diario'!H396)</f>
        <v/>
      </c>
      <c r="H268" t="str">
        <f>IF(+'Libro Diario'!I396=0,"",+'Libro Diario'!I396)</f>
        <v/>
      </c>
      <c r="I268" t="str">
        <f>+IF(Table3[[#This Row],[Tipo Movimiento]]="Estructura Balance y PyG","Excluir","Incluir")</f>
        <v>Incluir</v>
      </c>
      <c r="J268" s="153">
        <f>+IF(Table3[[#This Row],[Sin cuenta]]="Con Mov.",(IF(Table3[[#This Row],[Movimiento]]="Debe",Table3[[#This Row],[Importe]],IF(Table3[[#This Row],[Movimiento]]="Haber",Table3[[#This Row],[Importe]]*-1,0))),0)</f>
        <v>0</v>
      </c>
      <c r="K268" s="145" t="str">
        <f t="shared" si="13"/>
        <v>Ajuste por Periodificación</v>
      </c>
      <c r="L268" s="145" t="str">
        <f t="shared" si="14"/>
        <v/>
      </c>
      <c r="M268" t="str">
        <f>_xlfn.XLOOKUP(Table3[[#This Row],[Cuenta]],Estructura_Balance[Nombre Cuenta ()],Estructura_Balance[Grupo],"",0)</f>
        <v/>
      </c>
      <c r="N268" t="str">
        <f>_xlfn.XLOOKUP(Table3[[#This Row],[Cuenta]],Estructura_Balance[Nombre Cuenta ()],Estructura_Balance[Nivel 1],"",0)</f>
        <v/>
      </c>
      <c r="O268" t="str">
        <f>_xlfn.XLOOKUP(Table3[[#This Row],[Cuenta]],Estructura_Balance[Nombre Cuenta ()],Estructura_Balance[Nivel 2],"",0)</f>
        <v/>
      </c>
      <c r="P268" t="str">
        <f>_xlfn.XLOOKUP(Table3[[#This Row],[Cuenta]],Estructura_Balance[Nombre Cuenta ()],Estructura_Balance[Nivel 3],"",0)</f>
        <v/>
      </c>
      <c r="Q268" t="str">
        <f>_xlfn.XLOOKUP(Table3[[#This Row],[Cuenta]],Estructura_Balance[Nombre Cuenta ()],Estructura_Balance[Nivel 4],"",0)</f>
        <v/>
      </c>
      <c r="R268" t="str">
        <f>_xlfn.XLOOKUP(Table3[[#This Row],[Cuenta]],Table8[Nombre Cuenta ()],Table8[Nivel 1],"",0)</f>
        <v/>
      </c>
      <c r="S268" t="str">
        <f>_xlfn.XLOOKUP(Table3[[#This Row],[Cuenta]],Table8[Nombre Cuenta ()],Table8[Nivel 2],"",0)</f>
        <v/>
      </c>
      <c r="T268" t="str">
        <f>_xlfn.XLOOKUP(Table3[[#This Row],[Cuenta]],Table8[Nombre Cuenta ()],Table8[Nivel 3],"",0)</f>
        <v/>
      </c>
      <c r="U268">
        <v>587</v>
      </c>
      <c r="V268" t="str">
        <f>_xlfn.XLOOKUP(Table3[[#This Row],[Cuenta]],Estructura_Balance[Nombre Cuenta ()],Estructura_Balance[Niveles:2],"",0)</f>
        <v/>
      </c>
      <c r="W268" t="str">
        <f>_xlfn.XLOOKUP(Table3[[#This Row],[Cuenta]],Estructura_Balance[Nombre Cuenta ()],Estructura_Balance[Niveles:3],"",0)</f>
        <v/>
      </c>
      <c r="X268" t="str">
        <f>_xlfn.XLOOKUP(Table3[[#This Row],[Cuenta]],Estructura_Balance[Nombre Cuenta ()],Estructura_Balance[Grupos],"Grupo 1",0)</f>
        <v>Grupo 1</v>
      </c>
      <c r="Y268" t="str">
        <f>+Table3[[#This Row],[BS_Nivel_1]]</f>
        <v/>
      </c>
    </row>
    <row r="269" spans="1:25">
      <c r="A269">
        <f>+'Libro Diario'!F397</f>
        <v>0</v>
      </c>
      <c r="B269" s="144">
        <f>VALUE(IF(+'Libro Diario'!G397="","01/01/2025",+'Libro Diario'!G397))</f>
        <v>45658</v>
      </c>
      <c r="C269">
        <f>IF(ISNUMBER(+IF(IFERROR(VALUE(MID('Libro Diario'!C397,1,4)),0)&lt;&gt;0,'Libro Diario'!C397,0))=FALSE,'Libro Diario'!C397,0)</f>
        <v>0</v>
      </c>
      <c r="D269" s="145" t="str">
        <f>+'Libro Diario'!B397</f>
        <v>Asiento Cuadrado</v>
      </c>
      <c r="E269" s="139" t="s">
        <v>445</v>
      </c>
      <c r="F269" t="str">
        <f t="shared" si="12"/>
        <v>Sin Mov.</v>
      </c>
      <c r="G269" t="str">
        <f>IF(+'Libro Diario'!H397=0,"",+'Libro Diario'!H397)</f>
        <v/>
      </c>
      <c r="H269" t="str">
        <f>IF(+'Libro Diario'!I397=0,"",+'Libro Diario'!I397)</f>
        <v/>
      </c>
      <c r="I269" t="str">
        <f>+IF(Table3[[#This Row],[Tipo Movimiento]]="Estructura Balance y PyG","Excluir","Incluir")</f>
        <v>Incluir</v>
      </c>
      <c r="J269" s="153">
        <f>+IF(Table3[[#This Row],[Sin cuenta]]="Con Mov.",(IF(Table3[[#This Row],[Movimiento]]="Debe",Table3[[#This Row],[Importe]],IF(Table3[[#This Row],[Movimiento]]="Haber",Table3[[#This Row],[Importe]]*-1,0))),0)</f>
        <v>0</v>
      </c>
      <c r="K269" s="145" t="str">
        <f t="shared" si="13"/>
        <v>Asiento Cuadrado</v>
      </c>
      <c r="L269" s="145" t="str">
        <f t="shared" si="14"/>
        <v/>
      </c>
      <c r="M269" t="str">
        <f>_xlfn.XLOOKUP(Table3[[#This Row],[Cuenta]],Estructura_Balance[Nombre Cuenta ()],Estructura_Balance[Grupo],"",0)</f>
        <v/>
      </c>
      <c r="N269" t="str">
        <f>_xlfn.XLOOKUP(Table3[[#This Row],[Cuenta]],Estructura_Balance[Nombre Cuenta ()],Estructura_Balance[Nivel 1],"",0)</f>
        <v/>
      </c>
      <c r="O269" t="str">
        <f>_xlfn.XLOOKUP(Table3[[#This Row],[Cuenta]],Estructura_Balance[Nombre Cuenta ()],Estructura_Balance[Nivel 2],"",0)</f>
        <v/>
      </c>
      <c r="P269" t="str">
        <f>_xlfn.XLOOKUP(Table3[[#This Row],[Cuenta]],Estructura_Balance[Nombre Cuenta ()],Estructura_Balance[Nivel 3],"",0)</f>
        <v/>
      </c>
      <c r="Q269" t="str">
        <f>_xlfn.XLOOKUP(Table3[[#This Row],[Cuenta]],Estructura_Balance[Nombre Cuenta ()],Estructura_Balance[Nivel 4],"",0)</f>
        <v/>
      </c>
      <c r="R269" t="str">
        <f>_xlfn.XLOOKUP(Table3[[#This Row],[Cuenta]],Table8[Nombre Cuenta ()],Table8[Nivel 1],"",0)</f>
        <v/>
      </c>
      <c r="S269" t="str">
        <f>_xlfn.XLOOKUP(Table3[[#This Row],[Cuenta]],Table8[Nombre Cuenta ()],Table8[Nivel 2],"",0)</f>
        <v/>
      </c>
      <c r="T269" t="str">
        <f>_xlfn.XLOOKUP(Table3[[#This Row],[Cuenta]],Table8[Nombre Cuenta ()],Table8[Nivel 3],"",0)</f>
        <v/>
      </c>
      <c r="U269">
        <v>588</v>
      </c>
      <c r="V269" t="str">
        <f>_xlfn.XLOOKUP(Table3[[#This Row],[Cuenta]],Estructura_Balance[Nombre Cuenta ()],Estructura_Balance[Niveles:2],"",0)</f>
        <v/>
      </c>
      <c r="W269" t="str">
        <f>_xlfn.XLOOKUP(Table3[[#This Row],[Cuenta]],Estructura_Balance[Nombre Cuenta ()],Estructura_Balance[Niveles:3],"",0)</f>
        <v/>
      </c>
      <c r="X269" t="str">
        <f>_xlfn.XLOOKUP(Table3[[#This Row],[Cuenta]],Estructura_Balance[Nombre Cuenta ()],Estructura_Balance[Grupos],"Grupo 1",0)</f>
        <v>Grupo 1</v>
      </c>
      <c r="Y269" t="str">
        <f>+Table3[[#This Row],[BS_Nivel_1]]</f>
        <v/>
      </c>
    </row>
    <row r="270" spans="1:25">
      <c r="A270">
        <f>+'Libro Diario'!F398</f>
        <v>0</v>
      </c>
      <c r="B270" s="144">
        <f>VALUE(IF(+'Libro Diario'!G398="","01/01/2025",+'Libro Diario'!G398))</f>
        <v>45658</v>
      </c>
      <c r="C270">
        <f>IF(ISNUMBER(+IF(IFERROR(VALUE(MID('Libro Diario'!C398,1,4)),0)&lt;&gt;0,'Libro Diario'!C398,0))=FALSE,'Libro Diario'!C398,0)</f>
        <v>0</v>
      </c>
      <c r="D270" s="145">
        <f>+'Libro Diario'!B398</f>
        <v>0</v>
      </c>
      <c r="E270" s="139" t="s">
        <v>445</v>
      </c>
      <c r="F270" t="str">
        <f t="shared" si="12"/>
        <v>Sin Mov.</v>
      </c>
      <c r="G270" t="str">
        <f>IF(+'Libro Diario'!H398=0,"",+'Libro Diario'!H398)</f>
        <v/>
      </c>
      <c r="H270" t="str">
        <f>IF(+'Libro Diario'!I398=0,"",+'Libro Diario'!I398)</f>
        <v/>
      </c>
      <c r="I270" t="str">
        <f>+IF(Table3[[#This Row],[Tipo Movimiento]]="Estructura Balance y PyG","Excluir","Incluir")</f>
        <v>Incluir</v>
      </c>
      <c r="J270" s="153">
        <f>+IF(Table3[[#This Row],[Sin cuenta]]="Con Mov.",(IF(Table3[[#This Row],[Movimiento]]="Debe",Table3[[#This Row],[Importe]],IF(Table3[[#This Row],[Movimiento]]="Haber",Table3[[#This Row],[Importe]]*-1,0))),0)</f>
        <v>0</v>
      </c>
      <c r="K270" s="145">
        <f t="shared" si="13"/>
        <v>0</v>
      </c>
      <c r="L270" s="145" t="str">
        <f t="shared" si="14"/>
        <v/>
      </c>
      <c r="M270" t="str">
        <f>_xlfn.XLOOKUP(Table3[[#This Row],[Cuenta]],Estructura_Balance[Nombre Cuenta ()],Estructura_Balance[Grupo],"",0)</f>
        <v/>
      </c>
      <c r="N270" t="str">
        <f>_xlfn.XLOOKUP(Table3[[#This Row],[Cuenta]],Estructura_Balance[Nombre Cuenta ()],Estructura_Balance[Nivel 1],"",0)</f>
        <v/>
      </c>
      <c r="O270" t="str">
        <f>_xlfn.XLOOKUP(Table3[[#This Row],[Cuenta]],Estructura_Balance[Nombre Cuenta ()],Estructura_Balance[Nivel 2],"",0)</f>
        <v/>
      </c>
      <c r="P270" t="str">
        <f>_xlfn.XLOOKUP(Table3[[#This Row],[Cuenta]],Estructura_Balance[Nombre Cuenta ()],Estructura_Balance[Nivel 3],"",0)</f>
        <v/>
      </c>
      <c r="Q270" t="str">
        <f>_xlfn.XLOOKUP(Table3[[#This Row],[Cuenta]],Estructura_Balance[Nombre Cuenta ()],Estructura_Balance[Nivel 4],"",0)</f>
        <v/>
      </c>
      <c r="R270" t="str">
        <f>_xlfn.XLOOKUP(Table3[[#This Row],[Cuenta]],Table8[Nombre Cuenta ()],Table8[Nivel 1],"",0)</f>
        <v/>
      </c>
      <c r="S270" t="str">
        <f>_xlfn.XLOOKUP(Table3[[#This Row],[Cuenta]],Table8[Nombre Cuenta ()],Table8[Nivel 2],"",0)</f>
        <v/>
      </c>
      <c r="T270" t="str">
        <f>_xlfn.XLOOKUP(Table3[[#This Row],[Cuenta]],Table8[Nombre Cuenta ()],Table8[Nivel 3],"",0)</f>
        <v/>
      </c>
      <c r="U270">
        <v>589</v>
      </c>
      <c r="V270" t="str">
        <f>_xlfn.XLOOKUP(Table3[[#This Row],[Cuenta]],Estructura_Balance[Nombre Cuenta ()],Estructura_Balance[Niveles:2],"",0)</f>
        <v/>
      </c>
      <c r="W270" t="str">
        <f>_xlfn.XLOOKUP(Table3[[#This Row],[Cuenta]],Estructura_Balance[Nombre Cuenta ()],Estructura_Balance[Niveles:3],"",0)</f>
        <v/>
      </c>
      <c r="X270" t="str">
        <f>_xlfn.XLOOKUP(Table3[[#This Row],[Cuenta]],Estructura_Balance[Nombre Cuenta ()],Estructura_Balance[Grupos],"Grupo 1",0)</f>
        <v>Grupo 1</v>
      </c>
      <c r="Y270" t="str">
        <f>+Table3[[#This Row],[BS_Nivel_1]]</f>
        <v/>
      </c>
    </row>
    <row r="271" spans="1:25">
      <c r="A271">
        <f>+'Libro Diario'!F399</f>
        <v>0</v>
      </c>
      <c r="B271" s="144">
        <f>VALUE(IF(+'Libro Diario'!G399="","01/01/2025",+'Libro Diario'!G399))</f>
        <v>45658</v>
      </c>
      <c r="C271">
        <f>IF(ISNUMBER(+IF(IFERROR(VALUE(MID('Libro Diario'!C399,1,4)),0)&lt;&gt;0,'Libro Diario'!C399,0))=FALSE,'Libro Diario'!C399,0)</f>
        <v>0</v>
      </c>
      <c r="D271" s="145" t="str">
        <f>+'Libro Diario'!B399</f>
        <v>DEBE</v>
      </c>
      <c r="E271" s="139" t="s">
        <v>445</v>
      </c>
      <c r="F271" t="str">
        <f t="shared" si="12"/>
        <v>Sin Mov.</v>
      </c>
      <c r="G271" t="str">
        <f>IF(+'Libro Diario'!H399=0,"",+'Libro Diario'!H399)</f>
        <v/>
      </c>
      <c r="H271" t="str">
        <f>IF(+'Libro Diario'!I399=0,"",+'Libro Diario'!I399)</f>
        <v/>
      </c>
      <c r="I271" t="str">
        <f>+IF(Table3[[#This Row],[Tipo Movimiento]]="Estructura Balance y PyG","Excluir","Incluir")</f>
        <v>Incluir</v>
      </c>
      <c r="J271" s="153">
        <f>+IF(Table3[[#This Row],[Sin cuenta]]="Con Mov.",(IF(Table3[[#This Row],[Movimiento]]="Debe",Table3[[#This Row],[Importe]],IF(Table3[[#This Row],[Movimiento]]="Haber",Table3[[#This Row],[Importe]]*-1,0))),0)</f>
        <v>0</v>
      </c>
      <c r="K271" s="145" t="str">
        <f t="shared" si="13"/>
        <v>DEBE</v>
      </c>
      <c r="L271" s="145" t="str">
        <f t="shared" si="14"/>
        <v/>
      </c>
      <c r="M271" t="str">
        <f>_xlfn.XLOOKUP(Table3[[#This Row],[Cuenta]],Estructura_Balance[Nombre Cuenta ()],Estructura_Balance[Grupo],"",0)</f>
        <v/>
      </c>
      <c r="N271" t="str">
        <f>_xlfn.XLOOKUP(Table3[[#This Row],[Cuenta]],Estructura_Balance[Nombre Cuenta ()],Estructura_Balance[Nivel 1],"",0)</f>
        <v/>
      </c>
      <c r="O271" t="str">
        <f>_xlfn.XLOOKUP(Table3[[#This Row],[Cuenta]],Estructura_Balance[Nombre Cuenta ()],Estructura_Balance[Nivel 2],"",0)</f>
        <v/>
      </c>
      <c r="P271" t="str">
        <f>_xlfn.XLOOKUP(Table3[[#This Row],[Cuenta]],Estructura_Balance[Nombre Cuenta ()],Estructura_Balance[Nivel 3],"",0)</f>
        <v/>
      </c>
      <c r="Q271" t="str">
        <f>_xlfn.XLOOKUP(Table3[[#This Row],[Cuenta]],Estructura_Balance[Nombre Cuenta ()],Estructura_Balance[Nivel 4],"",0)</f>
        <v/>
      </c>
      <c r="R271" t="str">
        <f>_xlfn.XLOOKUP(Table3[[#This Row],[Cuenta]],Table8[Nombre Cuenta ()],Table8[Nivel 1],"",0)</f>
        <v/>
      </c>
      <c r="S271" t="str">
        <f>_xlfn.XLOOKUP(Table3[[#This Row],[Cuenta]],Table8[Nombre Cuenta ()],Table8[Nivel 2],"",0)</f>
        <v/>
      </c>
      <c r="T271" t="str">
        <f>_xlfn.XLOOKUP(Table3[[#This Row],[Cuenta]],Table8[Nombre Cuenta ()],Table8[Nivel 3],"",0)</f>
        <v/>
      </c>
      <c r="U271">
        <v>590</v>
      </c>
      <c r="V271" t="str">
        <f>_xlfn.XLOOKUP(Table3[[#This Row],[Cuenta]],Estructura_Balance[Nombre Cuenta ()],Estructura_Balance[Niveles:2],"",0)</f>
        <v/>
      </c>
      <c r="W271" t="str">
        <f>_xlfn.XLOOKUP(Table3[[#This Row],[Cuenta]],Estructura_Balance[Nombre Cuenta ()],Estructura_Balance[Niveles:3],"",0)</f>
        <v/>
      </c>
      <c r="X271" t="str">
        <f>_xlfn.XLOOKUP(Table3[[#This Row],[Cuenta]],Estructura_Balance[Nombre Cuenta ()],Estructura_Balance[Grupos],"Grupo 1",0)</f>
        <v>Grupo 1</v>
      </c>
      <c r="Y271" t="str">
        <f>+Table3[[#This Row],[BS_Nivel_1]]</f>
        <v/>
      </c>
    </row>
    <row r="272" spans="1:25">
      <c r="A272">
        <f>+'Libro Diario'!F400</f>
        <v>0</v>
      </c>
      <c r="B272" s="144">
        <f>VALUE(IF(+'Libro Diario'!G400="","01/01/2025",+'Libro Diario'!G400))</f>
        <v>45658</v>
      </c>
      <c r="C272">
        <f>IF(ISNUMBER(+IF(IFERROR(VALUE(MID('Libro Diario'!C400,1,4)),0)&lt;&gt;0,'Libro Diario'!C400,0))=FALSE,'Libro Diario'!C400,0)</f>
        <v>0</v>
      </c>
      <c r="D272" s="145">
        <f>+'Libro Diario'!B400</f>
        <v>0</v>
      </c>
      <c r="E272" s="139" t="s">
        <v>445</v>
      </c>
      <c r="F272" t="str">
        <f t="shared" si="12"/>
        <v>Sin Mov.</v>
      </c>
      <c r="G272" t="str">
        <f>IF(+'Libro Diario'!H400=0,"",+'Libro Diario'!H400)</f>
        <v/>
      </c>
      <c r="H272" t="str">
        <f>IF(+'Libro Diario'!I400=0,"",+'Libro Diario'!I400)</f>
        <v/>
      </c>
      <c r="I272" t="str">
        <f>+IF(Table3[[#This Row],[Tipo Movimiento]]="Estructura Balance y PyG","Excluir","Incluir")</f>
        <v>Incluir</v>
      </c>
      <c r="J272" s="153">
        <f>+IF(Table3[[#This Row],[Sin cuenta]]="Con Mov.",(IF(Table3[[#This Row],[Movimiento]]="Debe",Table3[[#This Row],[Importe]],IF(Table3[[#This Row],[Movimiento]]="Haber",Table3[[#This Row],[Importe]]*-1,0))),0)</f>
        <v>0</v>
      </c>
      <c r="K272" s="145">
        <f t="shared" si="13"/>
        <v>0</v>
      </c>
      <c r="L272" s="145" t="str">
        <f t="shared" si="14"/>
        <v/>
      </c>
      <c r="M272" t="str">
        <f>_xlfn.XLOOKUP(Table3[[#This Row],[Cuenta]],Estructura_Balance[Nombre Cuenta ()],Estructura_Balance[Grupo],"",0)</f>
        <v/>
      </c>
      <c r="N272" t="str">
        <f>_xlfn.XLOOKUP(Table3[[#This Row],[Cuenta]],Estructura_Balance[Nombre Cuenta ()],Estructura_Balance[Nivel 1],"",0)</f>
        <v/>
      </c>
      <c r="O272" t="str">
        <f>_xlfn.XLOOKUP(Table3[[#This Row],[Cuenta]],Estructura_Balance[Nombre Cuenta ()],Estructura_Balance[Nivel 2],"",0)</f>
        <v/>
      </c>
      <c r="P272" t="str">
        <f>_xlfn.XLOOKUP(Table3[[#This Row],[Cuenta]],Estructura_Balance[Nombre Cuenta ()],Estructura_Balance[Nivel 3],"",0)</f>
        <v/>
      </c>
      <c r="Q272" t="str">
        <f>_xlfn.XLOOKUP(Table3[[#This Row],[Cuenta]],Estructura_Balance[Nombre Cuenta ()],Estructura_Balance[Nivel 4],"",0)</f>
        <v/>
      </c>
      <c r="R272" t="str">
        <f>_xlfn.XLOOKUP(Table3[[#This Row],[Cuenta]],Table8[Nombre Cuenta ()],Table8[Nivel 1],"",0)</f>
        <v/>
      </c>
      <c r="S272" t="str">
        <f>_xlfn.XLOOKUP(Table3[[#This Row],[Cuenta]],Table8[Nombre Cuenta ()],Table8[Nivel 2],"",0)</f>
        <v/>
      </c>
      <c r="T272" t="str">
        <f>_xlfn.XLOOKUP(Table3[[#This Row],[Cuenta]],Table8[Nombre Cuenta ()],Table8[Nivel 3],"",0)</f>
        <v/>
      </c>
      <c r="U272">
        <v>591</v>
      </c>
      <c r="V272" t="str">
        <f>_xlfn.XLOOKUP(Table3[[#This Row],[Cuenta]],Estructura_Balance[Nombre Cuenta ()],Estructura_Balance[Niveles:2],"",0)</f>
        <v/>
      </c>
      <c r="W272" t="str">
        <f>_xlfn.XLOOKUP(Table3[[#This Row],[Cuenta]],Estructura_Balance[Nombre Cuenta ()],Estructura_Balance[Niveles:3],"",0)</f>
        <v/>
      </c>
      <c r="X272" t="str">
        <f>_xlfn.XLOOKUP(Table3[[#This Row],[Cuenta]],Estructura_Balance[Nombre Cuenta ()],Estructura_Balance[Grupos],"Grupo 1",0)</f>
        <v>Grupo 1</v>
      </c>
      <c r="Y272" t="str">
        <f>+Table3[[#This Row],[BS_Nivel_1]]</f>
        <v/>
      </c>
    </row>
    <row r="273" spans="1:25">
      <c r="A273">
        <f>+'Libro Diario'!F403</f>
        <v>0</v>
      </c>
      <c r="B273" s="144">
        <f>VALUE(IF(+'Libro Diario'!G403="","01/01/2025",+'Libro Diario'!G403))</f>
        <v>45658</v>
      </c>
      <c r="C273">
        <f>IF(ISNUMBER(+IF(IFERROR(VALUE(MID('Libro Diario'!C403,1,4)),0)&lt;&gt;0,'Libro Diario'!C403,0))=FALSE,'Libro Diario'!C403,0)</f>
        <v>0</v>
      </c>
      <c r="D273" s="145" t="str">
        <f>+'Libro Diario'!B403</f>
        <v>Ajuste por Periodificación</v>
      </c>
      <c r="E273" s="139" t="s">
        <v>445</v>
      </c>
      <c r="F273" t="str">
        <f t="shared" si="12"/>
        <v>Sin Mov.</v>
      </c>
      <c r="G273" t="str">
        <f>IF(+'Libro Diario'!H403=0,"",+'Libro Diario'!H403)</f>
        <v/>
      </c>
      <c r="H273" t="str">
        <f>IF(+'Libro Diario'!I403=0,"",+'Libro Diario'!I403)</f>
        <v/>
      </c>
      <c r="I273" t="str">
        <f>+IF(Table3[[#This Row],[Tipo Movimiento]]="Estructura Balance y PyG","Excluir","Incluir")</f>
        <v>Incluir</v>
      </c>
      <c r="J273" s="153">
        <f>+IF(Table3[[#This Row],[Sin cuenta]]="Con Mov.",(IF(Table3[[#This Row],[Movimiento]]="Debe",Table3[[#This Row],[Importe]],IF(Table3[[#This Row],[Movimiento]]="Haber",Table3[[#This Row],[Importe]]*-1,0))),0)</f>
        <v>0</v>
      </c>
      <c r="K273" s="145" t="str">
        <f t="shared" si="13"/>
        <v>Ajuste por Periodificación</v>
      </c>
      <c r="L273" s="145" t="str">
        <f t="shared" si="14"/>
        <v/>
      </c>
      <c r="M273" t="str">
        <f>_xlfn.XLOOKUP(Table3[[#This Row],[Cuenta]],Estructura_Balance[Nombre Cuenta ()],Estructura_Balance[Grupo],"",0)</f>
        <v/>
      </c>
      <c r="N273" t="str">
        <f>_xlfn.XLOOKUP(Table3[[#This Row],[Cuenta]],Estructura_Balance[Nombre Cuenta ()],Estructura_Balance[Nivel 1],"",0)</f>
        <v/>
      </c>
      <c r="O273" t="str">
        <f>_xlfn.XLOOKUP(Table3[[#This Row],[Cuenta]],Estructura_Balance[Nombre Cuenta ()],Estructura_Balance[Nivel 2],"",0)</f>
        <v/>
      </c>
      <c r="P273" t="str">
        <f>_xlfn.XLOOKUP(Table3[[#This Row],[Cuenta]],Estructura_Balance[Nombre Cuenta ()],Estructura_Balance[Nivel 3],"",0)</f>
        <v/>
      </c>
      <c r="Q273" t="str">
        <f>_xlfn.XLOOKUP(Table3[[#This Row],[Cuenta]],Estructura_Balance[Nombre Cuenta ()],Estructura_Balance[Nivel 4],"",0)</f>
        <v/>
      </c>
      <c r="R273" s="154" t="str">
        <f>_xlfn.XLOOKUP(Table3[[#This Row],[Cuenta]],Table8[Nombre Cuenta ()],Table8[Nivel 1],"",0)</f>
        <v/>
      </c>
      <c r="S273" t="str">
        <f>_xlfn.XLOOKUP(Table3[[#This Row],[Cuenta]],Table8[Nombre Cuenta ()],Table8[Nivel 2],"",0)</f>
        <v/>
      </c>
      <c r="T273" t="str">
        <f>_xlfn.XLOOKUP(Table3[[#This Row],[Cuenta]],Table8[Nombre Cuenta ()],Table8[Nivel 3],"",0)</f>
        <v/>
      </c>
      <c r="U273">
        <v>594</v>
      </c>
      <c r="V273" t="str">
        <f>_xlfn.XLOOKUP(Table3[[#This Row],[Cuenta]],Estructura_Balance[Nombre Cuenta ()],Estructura_Balance[Niveles:2],"",0)</f>
        <v/>
      </c>
      <c r="W273" t="str">
        <f>_xlfn.XLOOKUP(Table3[[#This Row],[Cuenta]],Estructura_Balance[Nombre Cuenta ()],Estructura_Balance[Niveles:3],"",0)</f>
        <v/>
      </c>
      <c r="X273" t="str">
        <f>_xlfn.XLOOKUP(Table3[[#This Row],[Cuenta]],Estructura_Balance[Nombre Cuenta ()],Estructura_Balance[Grupos],"Grupo 1",0)</f>
        <v>Grupo 1</v>
      </c>
      <c r="Y273" t="str">
        <f>+Table3[[#This Row],[BS_Nivel_1]]</f>
        <v/>
      </c>
    </row>
    <row r="274" spans="1:25">
      <c r="A274">
        <f>+'Libro Diario'!F404</f>
        <v>0</v>
      </c>
      <c r="B274" s="144">
        <f>VALUE(IF(+'Libro Diario'!G404="","01/01/2025",+'Libro Diario'!G404))</f>
        <v>45658</v>
      </c>
      <c r="C274">
        <f>IF(ISNUMBER(+IF(IFERROR(VALUE(MID('Libro Diario'!C404,1,4)),0)&lt;&gt;0,'Libro Diario'!C404,0))=FALSE,'Libro Diario'!C404,0)</f>
        <v>0</v>
      </c>
      <c r="D274" s="145" t="str">
        <f>+'Libro Diario'!B404</f>
        <v>Asiento Cuadrado</v>
      </c>
      <c r="E274" s="139" t="s">
        <v>445</v>
      </c>
      <c r="F274" t="str">
        <f t="shared" si="12"/>
        <v>Sin Mov.</v>
      </c>
      <c r="G274" t="str">
        <f>IF(+'Libro Diario'!H404=0,"",+'Libro Diario'!H404)</f>
        <v/>
      </c>
      <c r="H274" t="str">
        <f>IF(+'Libro Diario'!I404=0,"",+'Libro Diario'!I404)</f>
        <v/>
      </c>
      <c r="I274" t="str">
        <f>+IF(Table3[[#This Row],[Tipo Movimiento]]="Estructura Balance y PyG","Excluir","Incluir")</f>
        <v>Incluir</v>
      </c>
      <c r="J274" s="153">
        <f>+IF(Table3[[#This Row],[Sin cuenta]]="Con Mov.",(IF(Table3[[#This Row],[Movimiento]]="Debe",Table3[[#This Row],[Importe]],IF(Table3[[#This Row],[Movimiento]]="Haber",Table3[[#This Row],[Importe]]*-1,0))),0)</f>
        <v>0</v>
      </c>
      <c r="K274" s="145" t="str">
        <f t="shared" si="13"/>
        <v>Asiento Cuadrado</v>
      </c>
      <c r="L274" s="145" t="str">
        <f t="shared" si="14"/>
        <v/>
      </c>
      <c r="M274" t="str">
        <f>_xlfn.XLOOKUP(Table3[[#This Row],[Cuenta]],Estructura_Balance[Nombre Cuenta ()],Estructura_Balance[Grupo],"",0)</f>
        <v/>
      </c>
      <c r="N274" t="str">
        <f>_xlfn.XLOOKUP(Table3[[#This Row],[Cuenta]],Estructura_Balance[Nombre Cuenta ()],Estructura_Balance[Nivel 1],"",0)</f>
        <v/>
      </c>
      <c r="O274" t="str">
        <f>_xlfn.XLOOKUP(Table3[[#This Row],[Cuenta]],Estructura_Balance[Nombre Cuenta ()],Estructura_Balance[Nivel 2],"",0)</f>
        <v/>
      </c>
      <c r="P274" t="str">
        <f>_xlfn.XLOOKUP(Table3[[#This Row],[Cuenta]],Estructura_Balance[Nombre Cuenta ()],Estructura_Balance[Nivel 3],"",0)</f>
        <v/>
      </c>
      <c r="Q274" t="str">
        <f>_xlfn.XLOOKUP(Table3[[#This Row],[Cuenta]],Estructura_Balance[Nombre Cuenta ()],Estructura_Balance[Nivel 4],"",0)</f>
        <v/>
      </c>
      <c r="R274" s="154" t="str">
        <f>_xlfn.XLOOKUP(Table3[[#This Row],[Cuenta]],Table8[Nombre Cuenta ()],Table8[Nivel 1],"",0)</f>
        <v/>
      </c>
      <c r="S274" t="str">
        <f>_xlfn.XLOOKUP(Table3[[#This Row],[Cuenta]],Table8[Nombre Cuenta ()],Table8[Nivel 2],"",0)</f>
        <v/>
      </c>
      <c r="T274" t="str">
        <f>_xlfn.XLOOKUP(Table3[[#This Row],[Cuenta]],Table8[Nombre Cuenta ()],Table8[Nivel 3],"",0)</f>
        <v/>
      </c>
      <c r="U274">
        <v>595</v>
      </c>
      <c r="V274" t="str">
        <f>_xlfn.XLOOKUP(Table3[[#This Row],[Cuenta]],Estructura_Balance[Nombre Cuenta ()],Estructura_Balance[Niveles:2],"",0)</f>
        <v/>
      </c>
      <c r="W274" t="str">
        <f>_xlfn.XLOOKUP(Table3[[#This Row],[Cuenta]],Estructura_Balance[Nombre Cuenta ()],Estructura_Balance[Niveles:3],"",0)</f>
        <v/>
      </c>
      <c r="X274" t="str">
        <f>_xlfn.XLOOKUP(Table3[[#This Row],[Cuenta]],Estructura_Balance[Nombre Cuenta ()],Estructura_Balance[Grupos],"Grupo 1",0)</f>
        <v>Grupo 1</v>
      </c>
      <c r="Y274" t="str">
        <f>+Table3[[#This Row],[BS_Nivel_1]]</f>
        <v/>
      </c>
    </row>
    <row r="275" spans="1:25">
      <c r="A275">
        <f>+'Libro Diario'!F405</f>
        <v>0</v>
      </c>
      <c r="B275" s="144">
        <f>VALUE(IF(+'Libro Diario'!G405="","01/01/2025",+'Libro Diario'!G405))</f>
        <v>45658</v>
      </c>
      <c r="C275">
        <f>IF(ISNUMBER(+IF(IFERROR(VALUE(MID('Libro Diario'!C405,1,4)),0)&lt;&gt;0,'Libro Diario'!C405,0))=FALSE,'Libro Diario'!C405,0)</f>
        <v>0</v>
      </c>
      <c r="D275" s="145">
        <f>+'Libro Diario'!B405</f>
        <v>0</v>
      </c>
      <c r="E275" s="139" t="s">
        <v>445</v>
      </c>
      <c r="F275" t="str">
        <f t="shared" si="12"/>
        <v>Sin Mov.</v>
      </c>
      <c r="G275" t="str">
        <f>IF(+'Libro Diario'!H405=0,"",+'Libro Diario'!H405)</f>
        <v/>
      </c>
      <c r="H275" t="str">
        <f>IF(+'Libro Diario'!I405=0,"",+'Libro Diario'!I405)</f>
        <v/>
      </c>
      <c r="I275" t="str">
        <f>+IF(Table3[[#This Row],[Tipo Movimiento]]="Estructura Balance y PyG","Excluir","Incluir")</f>
        <v>Incluir</v>
      </c>
      <c r="J275" s="153">
        <f>+IF(Table3[[#This Row],[Sin cuenta]]="Con Mov.",(IF(Table3[[#This Row],[Movimiento]]="Debe",Table3[[#This Row],[Importe]],IF(Table3[[#This Row],[Movimiento]]="Haber",Table3[[#This Row],[Importe]]*-1,0))),0)</f>
        <v>0</v>
      </c>
      <c r="K275" s="145">
        <f t="shared" si="13"/>
        <v>0</v>
      </c>
      <c r="L275" s="145" t="str">
        <f t="shared" si="14"/>
        <v/>
      </c>
      <c r="M275" t="str">
        <f>_xlfn.XLOOKUP(Table3[[#This Row],[Cuenta]],Estructura_Balance[Nombre Cuenta ()],Estructura_Balance[Grupo],"",0)</f>
        <v/>
      </c>
      <c r="N275" t="str">
        <f>_xlfn.XLOOKUP(Table3[[#This Row],[Cuenta]],Estructura_Balance[Nombre Cuenta ()],Estructura_Balance[Nivel 1],"",0)</f>
        <v/>
      </c>
      <c r="O275" t="str">
        <f>_xlfn.XLOOKUP(Table3[[#This Row],[Cuenta]],Estructura_Balance[Nombre Cuenta ()],Estructura_Balance[Nivel 2],"",0)</f>
        <v/>
      </c>
      <c r="P275" t="str">
        <f>_xlfn.XLOOKUP(Table3[[#This Row],[Cuenta]],Estructura_Balance[Nombre Cuenta ()],Estructura_Balance[Nivel 3],"",0)</f>
        <v/>
      </c>
      <c r="Q275" t="str">
        <f>_xlfn.XLOOKUP(Table3[[#This Row],[Cuenta]],Estructura_Balance[Nombre Cuenta ()],Estructura_Balance[Nivel 4],"",0)</f>
        <v/>
      </c>
      <c r="R275" s="154" t="str">
        <f>_xlfn.XLOOKUP(Table3[[#This Row],[Cuenta]],Table8[Nombre Cuenta ()],Table8[Nivel 1],"",0)</f>
        <v/>
      </c>
      <c r="S275" t="str">
        <f>_xlfn.XLOOKUP(Table3[[#This Row],[Cuenta]],Table8[Nombre Cuenta ()],Table8[Nivel 2],"",0)</f>
        <v/>
      </c>
      <c r="T275" t="str">
        <f>_xlfn.XLOOKUP(Table3[[#This Row],[Cuenta]],Table8[Nombre Cuenta ()],Table8[Nivel 3],"",0)</f>
        <v/>
      </c>
      <c r="U275">
        <v>596</v>
      </c>
      <c r="V275" t="str">
        <f>_xlfn.XLOOKUP(Table3[[#This Row],[Cuenta]],Estructura_Balance[Nombre Cuenta ()],Estructura_Balance[Niveles:2],"",0)</f>
        <v/>
      </c>
      <c r="W275" t="str">
        <f>_xlfn.XLOOKUP(Table3[[#This Row],[Cuenta]],Estructura_Balance[Nombre Cuenta ()],Estructura_Balance[Niveles:3],"",0)</f>
        <v/>
      </c>
      <c r="X275" t="str">
        <f>_xlfn.XLOOKUP(Table3[[#This Row],[Cuenta]],Estructura_Balance[Nombre Cuenta ()],Estructura_Balance[Grupos],"Grupo 1",0)</f>
        <v>Grupo 1</v>
      </c>
      <c r="Y275" t="str">
        <f>+Table3[[#This Row],[BS_Nivel_1]]</f>
        <v/>
      </c>
    </row>
    <row r="276" spans="1:25">
      <c r="A276">
        <f>+'Libro Diario'!F406</f>
        <v>0</v>
      </c>
      <c r="B276" s="144">
        <f>VALUE(IF(+'Libro Diario'!G406="","01/01/2025",+'Libro Diario'!G406))</f>
        <v>45658</v>
      </c>
      <c r="C276">
        <f>IF(ISNUMBER(+IF(IFERROR(VALUE(MID('Libro Diario'!C406,1,4)),0)&lt;&gt;0,'Libro Diario'!C406,0))=FALSE,'Libro Diario'!C406,0)</f>
        <v>0</v>
      </c>
      <c r="D276" s="145" t="str">
        <f>+'Libro Diario'!B406</f>
        <v>DEBE</v>
      </c>
      <c r="E276" s="139" t="s">
        <v>445</v>
      </c>
      <c r="F276" t="str">
        <f t="shared" si="12"/>
        <v>Sin Mov.</v>
      </c>
      <c r="G276" t="str">
        <f>IF(+'Libro Diario'!H406=0,"",+'Libro Diario'!H406)</f>
        <v/>
      </c>
      <c r="H276" t="str">
        <f>IF(+'Libro Diario'!I406=0,"",+'Libro Diario'!I406)</f>
        <v/>
      </c>
      <c r="I276" t="str">
        <f>+IF(Table3[[#This Row],[Tipo Movimiento]]="Estructura Balance y PyG","Excluir","Incluir")</f>
        <v>Incluir</v>
      </c>
      <c r="J276" s="153">
        <f>+IF(Table3[[#This Row],[Sin cuenta]]="Con Mov.",(IF(Table3[[#This Row],[Movimiento]]="Debe",Table3[[#This Row],[Importe]],IF(Table3[[#This Row],[Movimiento]]="Haber",Table3[[#This Row],[Importe]]*-1,0))),0)</f>
        <v>0</v>
      </c>
      <c r="K276" s="145" t="str">
        <f t="shared" si="13"/>
        <v>DEBE</v>
      </c>
      <c r="L276" s="145" t="str">
        <f t="shared" si="14"/>
        <v/>
      </c>
      <c r="M276" t="str">
        <f>_xlfn.XLOOKUP(Table3[[#This Row],[Cuenta]],Estructura_Balance[Nombre Cuenta ()],Estructura_Balance[Grupo],"",0)</f>
        <v/>
      </c>
      <c r="N276" t="str">
        <f>_xlfn.XLOOKUP(Table3[[#This Row],[Cuenta]],Estructura_Balance[Nombre Cuenta ()],Estructura_Balance[Nivel 1],"",0)</f>
        <v/>
      </c>
      <c r="O276" t="str">
        <f>_xlfn.XLOOKUP(Table3[[#This Row],[Cuenta]],Estructura_Balance[Nombre Cuenta ()],Estructura_Balance[Nivel 2],"",0)</f>
        <v/>
      </c>
      <c r="P276" t="str">
        <f>_xlfn.XLOOKUP(Table3[[#This Row],[Cuenta]],Estructura_Balance[Nombre Cuenta ()],Estructura_Balance[Nivel 3],"",0)</f>
        <v/>
      </c>
      <c r="Q276" t="str">
        <f>_xlfn.XLOOKUP(Table3[[#This Row],[Cuenta]],Estructura_Balance[Nombre Cuenta ()],Estructura_Balance[Nivel 4],"",0)</f>
        <v/>
      </c>
      <c r="R276" s="154" t="str">
        <f>_xlfn.XLOOKUP(Table3[[#This Row],[Cuenta]],Table8[Nombre Cuenta ()],Table8[Nivel 1],"",0)</f>
        <v/>
      </c>
      <c r="S276" t="str">
        <f>_xlfn.XLOOKUP(Table3[[#This Row],[Cuenta]],Table8[Nombre Cuenta ()],Table8[Nivel 2],"",0)</f>
        <v/>
      </c>
      <c r="T276" t="str">
        <f>_xlfn.XLOOKUP(Table3[[#This Row],[Cuenta]],Table8[Nombre Cuenta ()],Table8[Nivel 3],"",0)</f>
        <v/>
      </c>
      <c r="U276">
        <v>597</v>
      </c>
      <c r="V276" t="str">
        <f>_xlfn.XLOOKUP(Table3[[#This Row],[Cuenta]],Estructura_Balance[Nombre Cuenta ()],Estructura_Balance[Niveles:2],"",0)</f>
        <v/>
      </c>
      <c r="W276" t="str">
        <f>_xlfn.XLOOKUP(Table3[[#This Row],[Cuenta]],Estructura_Balance[Nombre Cuenta ()],Estructura_Balance[Niveles:3],"",0)</f>
        <v/>
      </c>
      <c r="X276" t="str">
        <f>_xlfn.XLOOKUP(Table3[[#This Row],[Cuenta]],Estructura_Balance[Nombre Cuenta ()],Estructura_Balance[Grupos],"Grupo 1",0)</f>
        <v>Grupo 1</v>
      </c>
      <c r="Y276" t="str">
        <f>+Table3[[#This Row],[BS_Nivel_1]]</f>
        <v/>
      </c>
    </row>
    <row r="277" spans="1:25">
      <c r="A277">
        <f>+'Libro Diario'!F407</f>
        <v>0</v>
      </c>
      <c r="B277" s="144">
        <f>VALUE(IF(+'Libro Diario'!G407="","01/01/2025",+'Libro Diario'!G407))</f>
        <v>45658</v>
      </c>
      <c r="C277">
        <f>IF(ISNUMBER(+IF(IFERROR(VALUE(MID('Libro Diario'!C407,1,4)),0)&lt;&gt;0,'Libro Diario'!C407,0))=FALSE,'Libro Diario'!C407,0)</f>
        <v>0</v>
      </c>
      <c r="D277" s="145">
        <f>+'Libro Diario'!B407</f>
        <v>0</v>
      </c>
      <c r="E277" s="139" t="s">
        <v>445</v>
      </c>
      <c r="F277" t="str">
        <f t="shared" si="12"/>
        <v>Sin Mov.</v>
      </c>
      <c r="G277" t="str">
        <f>IF(+'Libro Diario'!H407=0,"",+'Libro Diario'!H407)</f>
        <v/>
      </c>
      <c r="H277" t="str">
        <f>IF(+'Libro Diario'!I407=0,"",+'Libro Diario'!I407)</f>
        <v/>
      </c>
      <c r="I277" t="str">
        <f>+IF(Table3[[#This Row],[Tipo Movimiento]]="Estructura Balance y PyG","Excluir","Incluir")</f>
        <v>Incluir</v>
      </c>
      <c r="J277" s="153">
        <f>+IF(Table3[[#This Row],[Sin cuenta]]="Con Mov.",(IF(Table3[[#This Row],[Movimiento]]="Debe",Table3[[#This Row],[Importe]],IF(Table3[[#This Row],[Movimiento]]="Haber",Table3[[#This Row],[Importe]]*-1,0))),0)</f>
        <v>0</v>
      </c>
      <c r="K277" s="145">
        <f t="shared" si="13"/>
        <v>0</v>
      </c>
      <c r="L277" s="145" t="str">
        <f t="shared" si="14"/>
        <v/>
      </c>
      <c r="M277" t="str">
        <f>_xlfn.XLOOKUP(Table3[[#This Row],[Cuenta]],Estructura_Balance[Nombre Cuenta ()],Estructura_Balance[Grupo],"",0)</f>
        <v/>
      </c>
      <c r="N277" t="str">
        <f>_xlfn.XLOOKUP(Table3[[#This Row],[Cuenta]],Estructura_Balance[Nombre Cuenta ()],Estructura_Balance[Nivel 1],"",0)</f>
        <v/>
      </c>
      <c r="O277" t="str">
        <f>_xlfn.XLOOKUP(Table3[[#This Row],[Cuenta]],Estructura_Balance[Nombre Cuenta ()],Estructura_Balance[Nivel 2],"",0)</f>
        <v/>
      </c>
      <c r="P277" t="str">
        <f>_xlfn.XLOOKUP(Table3[[#This Row],[Cuenta]],Estructura_Balance[Nombre Cuenta ()],Estructura_Balance[Nivel 3],"",0)</f>
        <v/>
      </c>
      <c r="Q277" t="str">
        <f>_xlfn.XLOOKUP(Table3[[#This Row],[Cuenta]],Estructura_Balance[Nombre Cuenta ()],Estructura_Balance[Nivel 4],"",0)</f>
        <v/>
      </c>
      <c r="R277" s="154" t="str">
        <f>_xlfn.XLOOKUP(Table3[[#This Row],[Cuenta]],Table8[Nombre Cuenta ()],Table8[Nivel 1],"",0)</f>
        <v/>
      </c>
      <c r="S277" t="str">
        <f>_xlfn.XLOOKUP(Table3[[#This Row],[Cuenta]],Table8[Nombre Cuenta ()],Table8[Nivel 2],"",0)</f>
        <v/>
      </c>
      <c r="T277" t="str">
        <f>_xlfn.XLOOKUP(Table3[[#This Row],[Cuenta]],Table8[Nombre Cuenta ()],Table8[Nivel 3],"",0)</f>
        <v/>
      </c>
      <c r="U277">
        <v>598</v>
      </c>
      <c r="V277" t="str">
        <f>_xlfn.XLOOKUP(Table3[[#This Row],[Cuenta]],Estructura_Balance[Nombre Cuenta ()],Estructura_Balance[Niveles:2],"",0)</f>
        <v/>
      </c>
      <c r="W277" t="str">
        <f>_xlfn.XLOOKUP(Table3[[#This Row],[Cuenta]],Estructura_Balance[Nombre Cuenta ()],Estructura_Balance[Niveles:3],"",0)</f>
        <v/>
      </c>
      <c r="X277" t="str">
        <f>_xlfn.XLOOKUP(Table3[[#This Row],[Cuenta]],Estructura_Balance[Nombre Cuenta ()],Estructura_Balance[Grupos],"Grupo 1",0)</f>
        <v>Grupo 1</v>
      </c>
      <c r="Y277" t="str">
        <f>+Table3[[#This Row],[BS_Nivel_1]]</f>
        <v/>
      </c>
    </row>
    <row r="278" spans="1:25">
      <c r="A278">
        <f>+'Libro Diario'!F410</f>
        <v>0</v>
      </c>
      <c r="B278" s="144">
        <f>VALUE(IF(+'Libro Diario'!G410="","01/01/2025",+'Libro Diario'!G410))</f>
        <v>45658</v>
      </c>
      <c r="C278">
        <f>IF(ISNUMBER(+IF(IFERROR(VALUE(MID('Libro Diario'!C410,1,4)),0)&lt;&gt;0,'Libro Diario'!C410,0))=FALSE,'Libro Diario'!C410,0)</f>
        <v>0</v>
      </c>
      <c r="D278" s="145" t="str">
        <f>+'Libro Diario'!B410</f>
        <v>Ajuste por Reclasificación</v>
      </c>
      <c r="E278" s="139" t="s">
        <v>445</v>
      </c>
      <c r="F278" t="str">
        <f t="shared" si="12"/>
        <v>Sin Mov.</v>
      </c>
      <c r="G278" t="str">
        <f>IF(+'Libro Diario'!H410=0,"",+'Libro Diario'!H410)</f>
        <v/>
      </c>
      <c r="H278" t="str">
        <f>IF(+'Libro Diario'!I410=0,"",+'Libro Diario'!I410)</f>
        <v/>
      </c>
      <c r="I278" t="str">
        <f>+IF(Table3[[#This Row],[Tipo Movimiento]]="Estructura Balance y PyG","Excluir","Incluir")</f>
        <v>Incluir</v>
      </c>
      <c r="J278" s="153">
        <f>+IF(Table3[[#This Row],[Sin cuenta]]="Con Mov.",(IF(Table3[[#This Row],[Movimiento]]="Debe",Table3[[#This Row],[Importe]],IF(Table3[[#This Row],[Movimiento]]="Haber",Table3[[#This Row],[Importe]]*-1,0))),0)</f>
        <v>0</v>
      </c>
      <c r="K278" s="145" t="str">
        <f t="shared" si="13"/>
        <v>Ajuste por Reclasificación</v>
      </c>
      <c r="L278" s="145" t="str">
        <f t="shared" si="14"/>
        <v/>
      </c>
      <c r="M278" t="str">
        <f>_xlfn.XLOOKUP(Table3[[#This Row],[Cuenta]],Estructura_Balance[Nombre Cuenta ()],Estructura_Balance[Grupo],"",0)</f>
        <v/>
      </c>
      <c r="N278" t="str">
        <f>_xlfn.XLOOKUP(Table3[[#This Row],[Cuenta]],Estructura_Balance[Nombre Cuenta ()],Estructura_Balance[Nivel 1],"",0)</f>
        <v/>
      </c>
      <c r="O278" t="str">
        <f>_xlfn.XLOOKUP(Table3[[#This Row],[Cuenta]],Estructura_Balance[Nombre Cuenta ()],Estructura_Balance[Nivel 2],"",0)</f>
        <v/>
      </c>
      <c r="P278" t="str">
        <f>_xlfn.XLOOKUP(Table3[[#This Row],[Cuenta]],Estructura_Balance[Nombre Cuenta ()],Estructura_Balance[Nivel 3],"",0)</f>
        <v/>
      </c>
      <c r="Q278" t="str">
        <f>_xlfn.XLOOKUP(Table3[[#This Row],[Cuenta]],Estructura_Balance[Nombre Cuenta ()],Estructura_Balance[Nivel 4],"",0)</f>
        <v/>
      </c>
      <c r="R278" s="154" t="str">
        <f>_xlfn.XLOOKUP(Table3[[#This Row],[Cuenta]],Table8[Nombre Cuenta ()],Table8[Nivel 1],"",0)</f>
        <v/>
      </c>
      <c r="S278" t="str">
        <f>_xlfn.XLOOKUP(Table3[[#This Row],[Cuenta]],Table8[Nombre Cuenta ()],Table8[Nivel 2],"",0)</f>
        <v/>
      </c>
      <c r="T278" t="str">
        <f>_xlfn.XLOOKUP(Table3[[#This Row],[Cuenta]],Table8[Nombre Cuenta ()],Table8[Nivel 3],"",0)</f>
        <v/>
      </c>
      <c r="U278">
        <v>601</v>
      </c>
      <c r="V278" t="str">
        <f>_xlfn.XLOOKUP(Table3[[#This Row],[Cuenta]],Estructura_Balance[Nombre Cuenta ()],Estructura_Balance[Niveles:2],"",0)</f>
        <v/>
      </c>
      <c r="W278" t="str">
        <f>_xlfn.XLOOKUP(Table3[[#This Row],[Cuenta]],Estructura_Balance[Nombre Cuenta ()],Estructura_Balance[Niveles:3],"",0)</f>
        <v/>
      </c>
      <c r="X278" t="str">
        <f>_xlfn.XLOOKUP(Table3[[#This Row],[Cuenta]],Estructura_Balance[Nombre Cuenta ()],Estructura_Balance[Grupos],"Grupo 1",0)</f>
        <v>Grupo 1</v>
      </c>
      <c r="Y278" t="str">
        <f>+Table3[[#This Row],[BS_Nivel_1]]</f>
        <v/>
      </c>
    </row>
    <row r="279" spans="1:25">
      <c r="A279">
        <f>+'Libro Diario'!F411</f>
        <v>0</v>
      </c>
      <c r="B279" s="144">
        <f>VALUE(IF(+'Libro Diario'!G411="","01/01/2025",+'Libro Diario'!G411))</f>
        <v>45658</v>
      </c>
      <c r="C279">
        <f>IF(ISNUMBER(+IF(IFERROR(VALUE(MID('Libro Diario'!C411,1,4)),0)&lt;&gt;0,'Libro Diario'!C411,0))=FALSE,'Libro Diario'!C411,0)</f>
        <v>0</v>
      </c>
      <c r="D279" s="145" t="str">
        <f>+'Libro Diario'!B411</f>
        <v>Asiento Cuadrado</v>
      </c>
      <c r="E279" s="139" t="s">
        <v>445</v>
      </c>
      <c r="F279" t="str">
        <f t="shared" si="12"/>
        <v>Sin Mov.</v>
      </c>
      <c r="G279" t="str">
        <f>IF(+'Libro Diario'!H411=0,"",+'Libro Diario'!H411)</f>
        <v/>
      </c>
      <c r="H279" t="str">
        <f>IF(+'Libro Diario'!I411=0,"",+'Libro Diario'!I411)</f>
        <v/>
      </c>
      <c r="I279" t="str">
        <f>+IF(Table3[[#This Row],[Tipo Movimiento]]="Estructura Balance y PyG","Excluir","Incluir")</f>
        <v>Incluir</v>
      </c>
      <c r="J279" s="153">
        <f>+IF(Table3[[#This Row],[Sin cuenta]]="Con Mov.",(IF(Table3[[#This Row],[Movimiento]]="Debe",Table3[[#This Row],[Importe]],IF(Table3[[#This Row],[Movimiento]]="Haber",Table3[[#This Row],[Importe]]*-1,0))),0)</f>
        <v>0</v>
      </c>
      <c r="K279" s="145" t="str">
        <f t="shared" si="13"/>
        <v>Asiento Cuadrado</v>
      </c>
      <c r="L279" s="145" t="str">
        <f t="shared" si="14"/>
        <v/>
      </c>
      <c r="M279" t="str">
        <f>_xlfn.XLOOKUP(Table3[[#This Row],[Cuenta]],Estructura_Balance[Nombre Cuenta ()],Estructura_Balance[Grupo],"",0)</f>
        <v/>
      </c>
      <c r="N279" t="str">
        <f>_xlfn.XLOOKUP(Table3[[#This Row],[Cuenta]],Estructura_Balance[Nombre Cuenta ()],Estructura_Balance[Nivel 1],"",0)</f>
        <v/>
      </c>
      <c r="O279" t="str">
        <f>_xlfn.XLOOKUP(Table3[[#This Row],[Cuenta]],Estructura_Balance[Nombre Cuenta ()],Estructura_Balance[Nivel 2],"",0)</f>
        <v/>
      </c>
      <c r="P279" t="str">
        <f>_xlfn.XLOOKUP(Table3[[#This Row],[Cuenta]],Estructura_Balance[Nombre Cuenta ()],Estructura_Balance[Nivel 3],"",0)</f>
        <v/>
      </c>
      <c r="Q279" t="str">
        <f>_xlfn.XLOOKUP(Table3[[#This Row],[Cuenta]],Estructura_Balance[Nombre Cuenta ()],Estructura_Balance[Nivel 4],"",0)</f>
        <v/>
      </c>
      <c r="R279" s="154" t="str">
        <f>_xlfn.XLOOKUP(Table3[[#This Row],[Cuenta]],Table8[Nombre Cuenta ()],Table8[Nivel 1],"",0)</f>
        <v/>
      </c>
      <c r="S279" t="str">
        <f>_xlfn.XLOOKUP(Table3[[#This Row],[Cuenta]],Table8[Nombre Cuenta ()],Table8[Nivel 2],"",0)</f>
        <v/>
      </c>
      <c r="T279" t="str">
        <f>_xlfn.XLOOKUP(Table3[[#This Row],[Cuenta]],Table8[Nombre Cuenta ()],Table8[Nivel 3],"",0)</f>
        <v/>
      </c>
      <c r="U279">
        <v>602</v>
      </c>
      <c r="V279" t="str">
        <f>_xlfn.XLOOKUP(Table3[[#This Row],[Cuenta]],Estructura_Balance[Nombre Cuenta ()],Estructura_Balance[Niveles:2],"",0)</f>
        <v/>
      </c>
      <c r="W279" t="str">
        <f>_xlfn.XLOOKUP(Table3[[#This Row],[Cuenta]],Estructura_Balance[Nombre Cuenta ()],Estructura_Balance[Niveles:3],"",0)</f>
        <v/>
      </c>
      <c r="X279" t="str">
        <f>_xlfn.XLOOKUP(Table3[[#This Row],[Cuenta]],Estructura_Balance[Nombre Cuenta ()],Estructura_Balance[Grupos],"Grupo 1",0)</f>
        <v>Grupo 1</v>
      </c>
      <c r="Y279" t="str">
        <f>+Table3[[#This Row],[BS_Nivel_1]]</f>
        <v/>
      </c>
    </row>
    <row r="280" spans="1:25">
      <c r="A280">
        <f>+'Libro Diario'!F412</f>
        <v>0</v>
      </c>
      <c r="B280" s="144">
        <f>VALUE(IF(+'Libro Diario'!G412="","01/01/2025",+'Libro Diario'!G412))</f>
        <v>45658</v>
      </c>
      <c r="C280">
        <f>IF(ISNUMBER(+IF(IFERROR(VALUE(MID('Libro Diario'!C412,1,4)),0)&lt;&gt;0,'Libro Diario'!C412,0))=FALSE,'Libro Diario'!C412,0)</f>
        <v>0</v>
      </c>
      <c r="D280" s="145">
        <f>+'Libro Diario'!B412</f>
        <v>0</v>
      </c>
      <c r="E280" s="139" t="s">
        <v>445</v>
      </c>
      <c r="F280" t="str">
        <f t="shared" si="12"/>
        <v>Sin Mov.</v>
      </c>
      <c r="G280" t="str">
        <f>IF(+'Libro Diario'!H412=0,"",+'Libro Diario'!H412)</f>
        <v/>
      </c>
      <c r="H280" t="str">
        <f>IF(+'Libro Diario'!I412=0,"",+'Libro Diario'!I412)</f>
        <v/>
      </c>
      <c r="I280" t="str">
        <f>+IF(Table3[[#This Row],[Tipo Movimiento]]="Estructura Balance y PyG","Excluir","Incluir")</f>
        <v>Incluir</v>
      </c>
      <c r="J280" s="153">
        <f>+IF(Table3[[#This Row],[Sin cuenta]]="Con Mov.",(IF(Table3[[#This Row],[Movimiento]]="Debe",Table3[[#This Row],[Importe]],IF(Table3[[#This Row],[Movimiento]]="Haber",Table3[[#This Row],[Importe]]*-1,0))),0)</f>
        <v>0</v>
      </c>
      <c r="K280" s="145">
        <f t="shared" si="13"/>
        <v>0</v>
      </c>
      <c r="L280" s="145" t="str">
        <f t="shared" si="14"/>
        <v/>
      </c>
      <c r="M280" t="str">
        <f>_xlfn.XLOOKUP(Table3[[#This Row],[Cuenta]],Estructura_Balance[Nombre Cuenta ()],Estructura_Balance[Grupo],"",0)</f>
        <v/>
      </c>
      <c r="N280" t="str">
        <f>_xlfn.XLOOKUP(Table3[[#This Row],[Cuenta]],Estructura_Balance[Nombre Cuenta ()],Estructura_Balance[Nivel 1],"",0)</f>
        <v/>
      </c>
      <c r="O280" t="str">
        <f>_xlfn.XLOOKUP(Table3[[#This Row],[Cuenta]],Estructura_Balance[Nombre Cuenta ()],Estructura_Balance[Nivel 2],"",0)</f>
        <v/>
      </c>
      <c r="P280" t="str">
        <f>_xlfn.XLOOKUP(Table3[[#This Row],[Cuenta]],Estructura_Balance[Nombre Cuenta ()],Estructura_Balance[Nivel 3],"",0)</f>
        <v/>
      </c>
      <c r="Q280" t="str">
        <f>_xlfn.XLOOKUP(Table3[[#This Row],[Cuenta]],Estructura_Balance[Nombre Cuenta ()],Estructura_Balance[Nivel 4],"",0)</f>
        <v/>
      </c>
      <c r="R280" s="154" t="str">
        <f>_xlfn.XLOOKUP(Table3[[#This Row],[Cuenta]],Table8[Nombre Cuenta ()],Table8[Nivel 1],"",0)</f>
        <v/>
      </c>
      <c r="S280" t="str">
        <f>_xlfn.XLOOKUP(Table3[[#This Row],[Cuenta]],Table8[Nombre Cuenta ()],Table8[Nivel 2],"",0)</f>
        <v/>
      </c>
      <c r="T280" t="str">
        <f>_xlfn.XLOOKUP(Table3[[#This Row],[Cuenta]],Table8[Nombre Cuenta ()],Table8[Nivel 3],"",0)</f>
        <v/>
      </c>
      <c r="U280">
        <v>603</v>
      </c>
      <c r="V280" t="str">
        <f>_xlfn.XLOOKUP(Table3[[#This Row],[Cuenta]],Estructura_Balance[Nombre Cuenta ()],Estructura_Balance[Niveles:2],"",0)</f>
        <v/>
      </c>
      <c r="W280" t="str">
        <f>_xlfn.XLOOKUP(Table3[[#This Row],[Cuenta]],Estructura_Balance[Nombre Cuenta ()],Estructura_Balance[Niveles:3],"",0)</f>
        <v/>
      </c>
      <c r="X280" t="str">
        <f>_xlfn.XLOOKUP(Table3[[#This Row],[Cuenta]],Estructura_Balance[Nombre Cuenta ()],Estructura_Balance[Grupos],"Grupo 1",0)</f>
        <v>Grupo 1</v>
      </c>
      <c r="Y280" t="str">
        <f>+Table3[[#This Row],[BS_Nivel_1]]</f>
        <v/>
      </c>
    </row>
    <row r="281" spans="1:25">
      <c r="A281">
        <f>+'Libro Diario'!F413</f>
        <v>0</v>
      </c>
      <c r="B281" s="144">
        <f>VALUE(IF(+'Libro Diario'!G413="","01/01/2025",+'Libro Diario'!G413))</f>
        <v>45658</v>
      </c>
      <c r="C281">
        <f>IF(ISNUMBER(+IF(IFERROR(VALUE(MID('Libro Diario'!C413,1,4)),0)&lt;&gt;0,'Libro Diario'!C413,0))=FALSE,'Libro Diario'!C413,0)</f>
        <v>0</v>
      </c>
      <c r="D281" s="145" t="str">
        <f>+'Libro Diario'!B413</f>
        <v>DEBE</v>
      </c>
      <c r="E281" s="139" t="s">
        <v>445</v>
      </c>
      <c r="F281" t="str">
        <f t="shared" si="12"/>
        <v>Sin Mov.</v>
      </c>
      <c r="G281" t="str">
        <f>IF(+'Libro Diario'!H413=0,"",+'Libro Diario'!H413)</f>
        <v/>
      </c>
      <c r="H281" t="str">
        <f>IF(+'Libro Diario'!I413=0,"",+'Libro Diario'!I413)</f>
        <v/>
      </c>
      <c r="I281" t="str">
        <f>+IF(Table3[[#This Row],[Tipo Movimiento]]="Estructura Balance y PyG","Excluir","Incluir")</f>
        <v>Incluir</v>
      </c>
      <c r="J281" s="153">
        <f>+IF(Table3[[#This Row],[Sin cuenta]]="Con Mov.",(IF(Table3[[#This Row],[Movimiento]]="Debe",Table3[[#This Row],[Importe]],IF(Table3[[#This Row],[Movimiento]]="Haber",Table3[[#This Row],[Importe]]*-1,0))),0)</f>
        <v>0</v>
      </c>
      <c r="K281" s="145" t="str">
        <f t="shared" si="13"/>
        <v>DEBE</v>
      </c>
      <c r="L281" s="145" t="str">
        <f t="shared" si="14"/>
        <v/>
      </c>
      <c r="M281" t="str">
        <f>_xlfn.XLOOKUP(Table3[[#This Row],[Cuenta]],Estructura_Balance[Nombre Cuenta ()],Estructura_Balance[Grupo],"",0)</f>
        <v/>
      </c>
      <c r="N281" t="str">
        <f>_xlfn.XLOOKUP(Table3[[#This Row],[Cuenta]],Estructura_Balance[Nombre Cuenta ()],Estructura_Balance[Nivel 1],"",0)</f>
        <v/>
      </c>
      <c r="O281" t="str">
        <f>_xlfn.XLOOKUP(Table3[[#This Row],[Cuenta]],Estructura_Balance[Nombre Cuenta ()],Estructura_Balance[Nivel 2],"",0)</f>
        <v/>
      </c>
      <c r="P281" t="str">
        <f>_xlfn.XLOOKUP(Table3[[#This Row],[Cuenta]],Estructura_Balance[Nombre Cuenta ()],Estructura_Balance[Nivel 3],"",0)</f>
        <v/>
      </c>
      <c r="Q281" t="str">
        <f>_xlfn.XLOOKUP(Table3[[#This Row],[Cuenta]],Estructura_Balance[Nombre Cuenta ()],Estructura_Balance[Nivel 4],"",0)</f>
        <v/>
      </c>
      <c r="R281" s="154" t="str">
        <f>_xlfn.XLOOKUP(Table3[[#This Row],[Cuenta]],Table8[Nombre Cuenta ()],Table8[Nivel 1],"",0)</f>
        <v/>
      </c>
      <c r="S281" t="str">
        <f>_xlfn.XLOOKUP(Table3[[#This Row],[Cuenta]],Table8[Nombre Cuenta ()],Table8[Nivel 2],"",0)</f>
        <v/>
      </c>
      <c r="T281" t="str">
        <f>_xlfn.XLOOKUP(Table3[[#This Row],[Cuenta]],Table8[Nombre Cuenta ()],Table8[Nivel 3],"",0)</f>
        <v/>
      </c>
      <c r="U281">
        <v>604</v>
      </c>
      <c r="V281" t="str">
        <f>_xlfn.XLOOKUP(Table3[[#This Row],[Cuenta]],Estructura_Balance[Nombre Cuenta ()],Estructura_Balance[Niveles:2],"",0)</f>
        <v/>
      </c>
      <c r="W281" t="str">
        <f>_xlfn.XLOOKUP(Table3[[#This Row],[Cuenta]],Estructura_Balance[Nombre Cuenta ()],Estructura_Balance[Niveles:3],"",0)</f>
        <v/>
      </c>
      <c r="X281" t="str">
        <f>_xlfn.XLOOKUP(Table3[[#This Row],[Cuenta]],Estructura_Balance[Nombre Cuenta ()],Estructura_Balance[Grupos],"Grupo 1",0)</f>
        <v>Grupo 1</v>
      </c>
      <c r="Y281" t="str">
        <f>+Table3[[#This Row],[BS_Nivel_1]]</f>
        <v/>
      </c>
    </row>
    <row r="282" spans="1:25">
      <c r="A282">
        <f>+'Libro Diario'!F414</f>
        <v>0</v>
      </c>
      <c r="B282" s="144">
        <f>VALUE(IF(+'Libro Diario'!G414="","01/01/2025",+'Libro Diario'!G414))</f>
        <v>45658</v>
      </c>
      <c r="C282">
        <f>IF(ISNUMBER(+IF(IFERROR(VALUE(MID('Libro Diario'!C414,1,4)),0)&lt;&gt;0,'Libro Diario'!C414,0))=FALSE,'Libro Diario'!C414,0)</f>
        <v>0</v>
      </c>
      <c r="D282" s="145">
        <f>+'Libro Diario'!B414</f>
        <v>0</v>
      </c>
      <c r="E282" s="139" t="s">
        <v>445</v>
      </c>
      <c r="F282" t="str">
        <f t="shared" si="12"/>
        <v>Sin Mov.</v>
      </c>
      <c r="G282" t="str">
        <f>IF(+'Libro Diario'!H414=0,"",+'Libro Diario'!H414)</f>
        <v/>
      </c>
      <c r="H282" t="str">
        <f>IF(+'Libro Diario'!I414=0,"",+'Libro Diario'!I414)</f>
        <v/>
      </c>
      <c r="I282" t="str">
        <f>+IF(Table3[[#This Row],[Tipo Movimiento]]="Estructura Balance y PyG","Excluir","Incluir")</f>
        <v>Incluir</v>
      </c>
      <c r="J282" s="153">
        <f>+IF(Table3[[#This Row],[Sin cuenta]]="Con Mov.",(IF(Table3[[#This Row],[Movimiento]]="Debe",Table3[[#This Row],[Importe]],IF(Table3[[#This Row],[Movimiento]]="Haber",Table3[[#This Row],[Importe]]*-1,0))),0)</f>
        <v>0</v>
      </c>
      <c r="K282" s="145">
        <f t="shared" si="13"/>
        <v>0</v>
      </c>
      <c r="L282" s="145" t="str">
        <f t="shared" si="14"/>
        <v/>
      </c>
      <c r="M282" t="str">
        <f>_xlfn.XLOOKUP(Table3[[#This Row],[Cuenta]],Estructura_Balance[Nombre Cuenta ()],Estructura_Balance[Grupo],"",0)</f>
        <v/>
      </c>
      <c r="N282" t="str">
        <f>_xlfn.XLOOKUP(Table3[[#This Row],[Cuenta]],Estructura_Balance[Nombre Cuenta ()],Estructura_Balance[Nivel 1],"",0)</f>
        <v/>
      </c>
      <c r="O282" t="str">
        <f>_xlfn.XLOOKUP(Table3[[#This Row],[Cuenta]],Estructura_Balance[Nombre Cuenta ()],Estructura_Balance[Nivel 2],"",0)</f>
        <v/>
      </c>
      <c r="P282" t="str">
        <f>_xlfn.XLOOKUP(Table3[[#This Row],[Cuenta]],Estructura_Balance[Nombre Cuenta ()],Estructura_Balance[Nivel 3],"",0)</f>
        <v/>
      </c>
      <c r="Q282" t="str">
        <f>_xlfn.XLOOKUP(Table3[[#This Row],[Cuenta]],Estructura_Balance[Nombre Cuenta ()],Estructura_Balance[Nivel 4],"",0)</f>
        <v/>
      </c>
      <c r="R282" s="154" t="str">
        <f>_xlfn.XLOOKUP(Table3[[#This Row],[Cuenta]],Table8[Nombre Cuenta ()],Table8[Nivel 1],"",0)</f>
        <v/>
      </c>
      <c r="S282" t="str">
        <f>_xlfn.XLOOKUP(Table3[[#This Row],[Cuenta]],Table8[Nombre Cuenta ()],Table8[Nivel 2],"",0)</f>
        <v/>
      </c>
      <c r="T282" t="str">
        <f>_xlfn.XLOOKUP(Table3[[#This Row],[Cuenta]],Table8[Nombre Cuenta ()],Table8[Nivel 3],"",0)</f>
        <v/>
      </c>
      <c r="U282">
        <v>605</v>
      </c>
      <c r="V282" t="str">
        <f>_xlfn.XLOOKUP(Table3[[#This Row],[Cuenta]],Estructura_Balance[Nombre Cuenta ()],Estructura_Balance[Niveles:2],"",0)</f>
        <v/>
      </c>
      <c r="W282" t="str">
        <f>_xlfn.XLOOKUP(Table3[[#This Row],[Cuenta]],Estructura_Balance[Nombre Cuenta ()],Estructura_Balance[Niveles:3],"",0)</f>
        <v/>
      </c>
      <c r="X282" t="str">
        <f>_xlfn.XLOOKUP(Table3[[#This Row],[Cuenta]],Estructura_Balance[Nombre Cuenta ()],Estructura_Balance[Grupos],"Grupo 1",0)</f>
        <v>Grupo 1</v>
      </c>
      <c r="Y282" t="str">
        <f>+Table3[[#This Row],[BS_Nivel_1]]</f>
        <v/>
      </c>
    </row>
    <row r="283" spans="1:25">
      <c r="A283">
        <f>+'Libro Diario'!F417</f>
        <v>0</v>
      </c>
      <c r="B283" s="144">
        <f>VALUE(IF(+'Libro Diario'!G417="","01/01/2025",+'Libro Diario'!G417))</f>
        <v>45658</v>
      </c>
      <c r="C283">
        <f>IF(ISNUMBER(+IF(IFERROR(VALUE(MID('Libro Diario'!C417,1,4)),0)&lt;&gt;0,'Libro Diario'!C417,0))=FALSE,'Libro Diario'!C417,0)</f>
        <v>0</v>
      </c>
      <c r="D283" s="145" t="str">
        <f>+'Libro Diario'!B417</f>
        <v>Ajuste por Reclasificación</v>
      </c>
      <c r="E283" s="139" t="s">
        <v>445</v>
      </c>
      <c r="F283" t="str">
        <f t="shared" si="12"/>
        <v>Sin Mov.</v>
      </c>
      <c r="G283" t="str">
        <f>IF(+'Libro Diario'!H417=0,"",+'Libro Diario'!H417)</f>
        <v/>
      </c>
      <c r="H283" t="str">
        <f>IF(+'Libro Diario'!I417=0,"",+'Libro Diario'!I417)</f>
        <v/>
      </c>
      <c r="I283" t="str">
        <f>+IF(Table3[[#This Row],[Tipo Movimiento]]="Estructura Balance y PyG","Excluir","Incluir")</f>
        <v>Incluir</v>
      </c>
      <c r="J283" s="153">
        <f>+IF(Table3[[#This Row],[Sin cuenta]]="Con Mov.",(IF(Table3[[#This Row],[Movimiento]]="Debe",Table3[[#This Row],[Importe]],IF(Table3[[#This Row],[Movimiento]]="Haber",Table3[[#This Row],[Importe]]*-1,0))),0)</f>
        <v>0</v>
      </c>
      <c r="K283" s="145" t="str">
        <f t="shared" si="13"/>
        <v>Ajuste por Reclasificación</v>
      </c>
      <c r="L283" s="145" t="str">
        <f t="shared" si="14"/>
        <v/>
      </c>
      <c r="M283" t="str">
        <f>_xlfn.XLOOKUP(Table3[[#This Row],[Cuenta]],Estructura_Balance[Nombre Cuenta ()],Estructura_Balance[Grupo],"",0)</f>
        <v/>
      </c>
      <c r="N283" t="str">
        <f>_xlfn.XLOOKUP(Table3[[#This Row],[Cuenta]],Estructura_Balance[Nombre Cuenta ()],Estructura_Balance[Nivel 1],"",0)</f>
        <v/>
      </c>
      <c r="O283" t="str">
        <f>_xlfn.XLOOKUP(Table3[[#This Row],[Cuenta]],Estructura_Balance[Nombre Cuenta ()],Estructura_Balance[Nivel 2],"",0)</f>
        <v/>
      </c>
      <c r="P283" t="str">
        <f>_xlfn.XLOOKUP(Table3[[#This Row],[Cuenta]],Estructura_Balance[Nombre Cuenta ()],Estructura_Balance[Nivel 3],"",0)</f>
        <v/>
      </c>
      <c r="Q283" t="str">
        <f>_xlfn.XLOOKUP(Table3[[#This Row],[Cuenta]],Estructura_Balance[Nombre Cuenta ()],Estructura_Balance[Nivel 4],"",0)</f>
        <v/>
      </c>
      <c r="R283" s="154" t="str">
        <f>_xlfn.XLOOKUP(Table3[[#This Row],[Cuenta]],Table8[Nombre Cuenta ()],Table8[Nivel 1],"",0)</f>
        <v/>
      </c>
      <c r="S283" t="str">
        <f>_xlfn.XLOOKUP(Table3[[#This Row],[Cuenta]],Table8[Nombre Cuenta ()],Table8[Nivel 2],"",0)</f>
        <v/>
      </c>
      <c r="T283" t="str">
        <f>_xlfn.XLOOKUP(Table3[[#This Row],[Cuenta]],Table8[Nombre Cuenta ()],Table8[Nivel 3],"",0)</f>
        <v/>
      </c>
      <c r="U283">
        <v>608</v>
      </c>
      <c r="V283" t="str">
        <f>_xlfn.XLOOKUP(Table3[[#This Row],[Cuenta]],Estructura_Balance[Nombre Cuenta ()],Estructura_Balance[Niveles:2],"",0)</f>
        <v/>
      </c>
      <c r="W283" t="str">
        <f>_xlfn.XLOOKUP(Table3[[#This Row],[Cuenta]],Estructura_Balance[Nombre Cuenta ()],Estructura_Balance[Niveles:3],"",0)</f>
        <v/>
      </c>
      <c r="X283" t="str">
        <f>_xlfn.XLOOKUP(Table3[[#This Row],[Cuenta]],Estructura_Balance[Nombre Cuenta ()],Estructura_Balance[Grupos],"Grupo 1",0)</f>
        <v>Grupo 1</v>
      </c>
      <c r="Y283" t="str">
        <f>+Table3[[#This Row],[BS_Nivel_1]]</f>
        <v/>
      </c>
    </row>
    <row r="284" spans="1:25">
      <c r="A284">
        <f>+'Libro Diario'!F418</f>
        <v>0</v>
      </c>
      <c r="B284" s="144">
        <f>VALUE(IF(+'Libro Diario'!G418="","01/01/2025",+'Libro Diario'!G418))</f>
        <v>45658</v>
      </c>
      <c r="C284">
        <f>IF(ISNUMBER(+IF(IFERROR(VALUE(MID('Libro Diario'!C418,1,4)),0)&lt;&gt;0,'Libro Diario'!C418,0))=FALSE,'Libro Diario'!C418,0)</f>
        <v>0</v>
      </c>
      <c r="D284" s="145" t="str">
        <f>+'Libro Diario'!B418</f>
        <v>Asiento Cuadrado</v>
      </c>
      <c r="E284" s="139" t="s">
        <v>445</v>
      </c>
      <c r="F284" t="str">
        <f t="shared" si="12"/>
        <v>Sin Mov.</v>
      </c>
      <c r="G284" t="str">
        <f>IF(+'Libro Diario'!H418=0,"",+'Libro Diario'!H418)</f>
        <v/>
      </c>
      <c r="H284" t="str">
        <f>IF(+'Libro Diario'!I418=0,"",+'Libro Diario'!I418)</f>
        <v/>
      </c>
      <c r="I284" t="str">
        <f>+IF(Table3[[#This Row],[Tipo Movimiento]]="Estructura Balance y PyG","Excluir","Incluir")</f>
        <v>Incluir</v>
      </c>
      <c r="J284" s="153">
        <f>+IF(Table3[[#This Row],[Sin cuenta]]="Con Mov.",(IF(Table3[[#This Row],[Movimiento]]="Debe",Table3[[#This Row],[Importe]],IF(Table3[[#This Row],[Movimiento]]="Haber",Table3[[#This Row],[Importe]]*-1,0))),0)</f>
        <v>0</v>
      </c>
      <c r="K284" s="145" t="str">
        <f t="shared" si="13"/>
        <v>Asiento Cuadrado</v>
      </c>
      <c r="L284" s="145" t="str">
        <f t="shared" si="14"/>
        <v/>
      </c>
      <c r="M284" t="str">
        <f>_xlfn.XLOOKUP(Table3[[#This Row],[Cuenta]],Estructura_Balance[Nombre Cuenta ()],Estructura_Balance[Grupo],"",0)</f>
        <v/>
      </c>
      <c r="N284" t="str">
        <f>_xlfn.XLOOKUP(Table3[[#This Row],[Cuenta]],Estructura_Balance[Nombre Cuenta ()],Estructura_Balance[Nivel 1],"",0)</f>
        <v/>
      </c>
      <c r="O284" t="str">
        <f>_xlfn.XLOOKUP(Table3[[#This Row],[Cuenta]],Estructura_Balance[Nombre Cuenta ()],Estructura_Balance[Nivel 2],"",0)</f>
        <v/>
      </c>
      <c r="P284" t="str">
        <f>_xlfn.XLOOKUP(Table3[[#This Row],[Cuenta]],Estructura_Balance[Nombre Cuenta ()],Estructura_Balance[Nivel 3],"",0)</f>
        <v/>
      </c>
      <c r="Q284" t="str">
        <f>_xlfn.XLOOKUP(Table3[[#This Row],[Cuenta]],Estructura_Balance[Nombre Cuenta ()],Estructura_Balance[Nivel 4],"",0)</f>
        <v/>
      </c>
      <c r="R284" s="154" t="str">
        <f>_xlfn.XLOOKUP(Table3[[#This Row],[Cuenta]],Table8[Nombre Cuenta ()],Table8[Nivel 1],"",0)</f>
        <v/>
      </c>
      <c r="S284" t="str">
        <f>_xlfn.XLOOKUP(Table3[[#This Row],[Cuenta]],Table8[Nombre Cuenta ()],Table8[Nivel 2],"",0)</f>
        <v/>
      </c>
      <c r="T284" t="str">
        <f>_xlfn.XLOOKUP(Table3[[#This Row],[Cuenta]],Table8[Nombre Cuenta ()],Table8[Nivel 3],"",0)</f>
        <v/>
      </c>
      <c r="U284">
        <v>609</v>
      </c>
      <c r="V284" t="str">
        <f>_xlfn.XLOOKUP(Table3[[#This Row],[Cuenta]],Estructura_Balance[Nombre Cuenta ()],Estructura_Balance[Niveles:2],"",0)</f>
        <v/>
      </c>
      <c r="W284" t="str">
        <f>_xlfn.XLOOKUP(Table3[[#This Row],[Cuenta]],Estructura_Balance[Nombre Cuenta ()],Estructura_Balance[Niveles:3],"",0)</f>
        <v/>
      </c>
      <c r="X284" t="str">
        <f>_xlfn.XLOOKUP(Table3[[#This Row],[Cuenta]],Estructura_Balance[Nombre Cuenta ()],Estructura_Balance[Grupos],"Grupo 1",0)</f>
        <v>Grupo 1</v>
      </c>
      <c r="Y284" t="str">
        <f>+Table3[[#This Row],[BS_Nivel_1]]</f>
        <v/>
      </c>
    </row>
    <row r="285" spans="1:25">
      <c r="A285">
        <f>+'Libro Diario'!F419</f>
        <v>0</v>
      </c>
      <c r="B285" s="144">
        <f>VALUE(IF(+'Libro Diario'!G419="","01/01/2025",+'Libro Diario'!G419))</f>
        <v>45658</v>
      </c>
      <c r="C285">
        <f>IF(ISNUMBER(+IF(IFERROR(VALUE(MID('Libro Diario'!C419,1,4)),0)&lt;&gt;0,'Libro Diario'!C419,0))=FALSE,'Libro Diario'!C419,0)</f>
        <v>0</v>
      </c>
      <c r="D285" s="145">
        <f>+'Libro Diario'!B419</f>
        <v>0</v>
      </c>
      <c r="E285" s="139" t="s">
        <v>445</v>
      </c>
      <c r="F285" t="str">
        <f t="shared" si="12"/>
        <v>Sin Mov.</v>
      </c>
      <c r="G285" t="str">
        <f>IF(+'Libro Diario'!H419=0,"",+'Libro Diario'!H419)</f>
        <v/>
      </c>
      <c r="H285" t="str">
        <f>IF(+'Libro Diario'!I419=0,"",+'Libro Diario'!I419)</f>
        <v/>
      </c>
      <c r="I285" t="str">
        <f>+IF(Table3[[#This Row],[Tipo Movimiento]]="Estructura Balance y PyG","Excluir","Incluir")</f>
        <v>Incluir</v>
      </c>
      <c r="J285" s="153">
        <f>+IF(Table3[[#This Row],[Sin cuenta]]="Con Mov.",(IF(Table3[[#This Row],[Movimiento]]="Debe",Table3[[#This Row],[Importe]],IF(Table3[[#This Row],[Movimiento]]="Haber",Table3[[#This Row],[Importe]]*-1,0))),0)</f>
        <v>0</v>
      </c>
      <c r="K285" s="145">
        <f t="shared" si="13"/>
        <v>0</v>
      </c>
      <c r="L285" s="145" t="str">
        <f t="shared" si="14"/>
        <v/>
      </c>
      <c r="M285" t="str">
        <f>_xlfn.XLOOKUP(Table3[[#This Row],[Cuenta]],Estructura_Balance[Nombre Cuenta ()],Estructura_Balance[Grupo],"",0)</f>
        <v/>
      </c>
      <c r="N285" t="str">
        <f>_xlfn.XLOOKUP(Table3[[#This Row],[Cuenta]],Estructura_Balance[Nombre Cuenta ()],Estructura_Balance[Nivel 1],"",0)</f>
        <v/>
      </c>
      <c r="O285" t="str">
        <f>_xlfn.XLOOKUP(Table3[[#This Row],[Cuenta]],Estructura_Balance[Nombre Cuenta ()],Estructura_Balance[Nivel 2],"",0)</f>
        <v/>
      </c>
      <c r="P285" t="str">
        <f>_xlfn.XLOOKUP(Table3[[#This Row],[Cuenta]],Estructura_Balance[Nombre Cuenta ()],Estructura_Balance[Nivel 3],"",0)</f>
        <v/>
      </c>
      <c r="Q285" t="str">
        <f>_xlfn.XLOOKUP(Table3[[#This Row],[Cuenta]],Estructura_Balance[Nombre Cuenta ()],Estructura_Balance[Nivel 4],"",0)</f>
        <v/>
      </c>
      <c r="R285" s="154" t="str">
        <f>_xlfn.XLOOKUP(Table3[[#This Row],[Cuenta]],Table8[Nombre Cuenta ()],Table8[Nivel 1],"",0)</f>
        <v/>
      </c>
      <c r="S285" t="str">
        <f>_xlfn.XLOOKUP(Table3[[#This Row],[Cuenta]],Table8[Nombre Cuenta ()],Table8[Nivel 2],"",0)</f>
        <v/>
      </c>
      <c r="T285" t="str">
        <f>_xlfn.XLOOKUP(Table3[[#This Row],[Cuenta]],Table8[Nombre Cuenta ()],Table8[Nivel 3],"",0)</f>
        <v/>
      </c>
      <c r="U285">
        <v>610</v>
      </c>
      <c r="V285" t="str">
        <f>_xlfn.XLOOKUP(Table3[[#This Row],[Cuenta]],Estructura_Balance[Nombre Cuenta ()],Estructura_Balance[Niveles:2],"",0)</f>
        <v/>
      </c>
      <c r="W285" t="str">
        <f>_xlfn.XLOOKUP(Table3[[#This Row],[Cuenta]],Estructura_Balance[Nombre Cuenta ()],Estructura_Balance[Niveles:3],"",0)</f>
        <v/>
      </c>
      <c r="X285" t="str">
        <f>_xlfn.XLOOKUP(Table3[[#This Row],[Cuenta]],Estructura_Balance[Nombre Cuenta ()],Estructura_Balance[Grupos],"Grupo 1",0)</f>
        <v>Grupo 1</v>
      </c>
      <c r="Y285" t="str">
        <f>+Table3[[#This Row],[BS_Nivel_1]]</f>
        <v/>
      </c>
    </row>
    <row r="286" spans="1:25">
      <c r="A286">
        <f>+'Libro Diario'!F420</f>
        <v>0</v>
      </c>
      <c r="B286" s="144">
        <f>VALUE(IF(+'Libro Diario'!G420="","01/01/2025",+'Libro Diario'!G420))</f>
        <v>45658</v>
      </c>
      <c r="C286">
        <f>IF(ISNUMBER(+IF(IFERROR(VALUE(MID('Libro Diario'!C420,1,4)),0)&lt;&gt;0,'Libro Diario'!C420,0))=FALSE,'Libro Diario'!C420,0)</f>
        <v>0</v>
      </c>
      <c r="D286" s="145" t="str">
        <f>+'Libro Diario'!B420</f>
        <v>DEBE</v>
      </c>
      <c r="E286" s="139" t="s">
        <v>445</v>
      </c>
      <c r="F286" t="str">
        <f t="shared" si="12"/>
        <v>Sin Mov.</v>
      </c>
      <c r="G286" t="str">
        <f>IF(+'Libro Diario'!H420=0,"",+'Libro Diario'!H420)</f>
        <v/>
      </c>
      <c r="H286" t="str">
        <f>IF(+'Libro Diario'!I420=0,"",+'Libro Diario'!I420)</f>
        <v/>
      </c>
      <c r="I286" t="str">
        <f>+IF(Table3[[#This Row],[Tipo Movimiento]]="Estructura Balance y PyG","Excluir","Incluir")</f>
        <v>Incluir</v>
      </c>
      <c r="J286" s="153">
        <f>+IF(Table3[[#This Row],[Sin cuenta]]="Con Mov.",(IF(Table3[[#This Row],[Movimiento]]="Debe",Table3[[#This Row],[Importe]],IF(Table3[[#This Row],[Movimiento]]="Haber",Table3[[#This Row],[Importe]]*-1,0))),0)</f>
        <v>0</v>
      </c>
      <c r="K286" s="145" t="str">
        <f t="shared" si="13"/>
        <v>DEBE</v>
      </c>
      <c r="L286" s="145" t="str">
        <f t="shared" si="14"/>
        <v/>
      </c>
      <c r="M286" t="str">
        <f>_xlfn.XLOOKUP(Table3[[#This Row],[Cuenta]],Estructura_Balance[Nombre Cuenta ()],Estructura_Balance[Grupo],"",0)</f>
        <v/>
      </c>
      <c r="N286" t="str">
        <f>_xlfn.XLOOKUP(Table3[[#This Row],[Cuenta]],Estructura_Balance[Nombre Cuenta ()],Estructura_Balance[Nivel 1],"",0)</f>
        <v/>
      </c>
      <c r="O286" t="str">
        <f>_xlfn.XLOOKUP(Table3[[#This Row],[Cuenta]],Estructura_Balance[Nombre Cuenta ()],Estructura_Balance[Nivel 2],"",0)</f>
        <v/>
      </c>
      <c r="P286" t="str">
        <f>_xlfn.XLOOKUP(Table3[[#This Row],[Cuenta]],Estructura_Balance[Nombre Cuenta ()],Estructura_Balance[Nivel 3],"",0)</f>
        <v/>
      </c>
      <c r="Q286" t="str">
        <f>_xlfn.XLOOKUP(Table3[[#This Row],[Cuenta]],Estructura_Balance[Nombre Cuenta ()],Estructura_Balance[Nivel 4],"",0)</f>
        <v/>
      </c>
      <c r="R286" s="154" t="str">
        <f>_xlfn.XLOOKUP(Table3[[#This Row],[Cuenta]],Table8[Nombre Cuenta ()],Table8[Nivel 1],"",0)</f>
        <v/>
      </c>
      <c r="S286" t="str">
        <f>_xlfn.XLOOKUP(Table3[[#This Row],[Cuenta]],Table8[Nombre Cuenta ()],Table8[Nivel 2],"",0)</f>
        <v/>
      </c>
      <c r="T286" t="str">
        <f>_xlfn.XLOOKUP(Table3[[#This Row],[Cuenta]],Table8[Nombre Cuenta ()],Table8[Nivel 3],"",0)</f>
        <v/>
      </c>
      <c r="U286">
        <v>611</v>
      </c>
      <c r="V286" t="str">
        <f>_xlfn.XLOOKUP(Table3[[#This Row],[Cuenta]],Estructura_Balance[Nombre Cuenta ()],Estructura_Balance[Niveles:2],"",0)</f>
        <v/>
      </c>
      <c r="W286" t="str">
        <f>_xlfn.XLOOKUP(Table3[[#This Row],[Cuenta]],Estructura_Balance[Nombre Cuenta ()],Estructura_Balance[Niveles:3],"",0)</f>
        <v/>
      </c>
      <c r="X286" t="str">
        <f>_xlfn.XLOOKUP(Table3[[#This Row],[Cuenta]],Estructura_Balance[Nombre Cuenta ()],Estructura_Balance[Grupos],"Grupo 1",0)</f>
        <v>Grupo 1</v>
      </c>
      <c r="Y286" t="str">
        <f>+Table3[[#This Row],[BS_Nivel_1]]</f>
        <v/>
      </c>
    </row>
    <row r="287" spans="1:25">
      <c r="A287">
        <f>+'Libro Diario'!F421</f>
        <v>0</v>
      </c>
      <c r="B287" s="144">
        <f>VALUE(IF(+'Libro Diario'!G421="","01/01/2025",+'Libro Diario'!G421))</f>
        <v>45658</v>
      </c>
      <c r="C287">
        <f>IF(ISNUMBER(+IF(IFERROR(VALUE(MID('Libro Diario'!C421,1,4)),0)&lt;&gt;0,'Libro Diario'!C421,0))=FALSE,'Libro Diario'!C421,0)</f>
        <v>0</v>
      </c>
      <c r="D287" s="145">
        <f>+'Libro Diario'!B421</f>
        <v>0</v>
      </c>
      <c r="E287" s="139" t="s">
        <v>445</v>
      </c>
      <c r="F287" t="str">
        <f t="shared" si="12"/>
        <v>Sin Mov.</v>
      </c>
      <c r="G287" t="str">
        <f>IF(+'Libro Diario'!H421=0,"",+'Libro Diario'!H421)</f>
        <v/>
      </c>
      <c r="H287" t="str">
        <f>IF(+'Libro Diario'!I421=0,"",+'Libro Diario'!I421)</f>
        <v/>
      </c>
      <c r="I287" t="str">
        <f>+IF(Table3[[#This Row],[Tipo Movimiento]]="Estructura Balance y PyG","Excluir","Incluir")</f>
        <v>Incluir</v>
      </c>
      <c r="J287" s="153">
        <f>+IF(Table3[[#This Row],[Sin cuenta]]="Con Mov.",(IF(Table3[[#This Row],[Movimiento]]="Debe",Table3[[#This Row],[Importe]],IF(Table3[[#This Row],[Movimiento]]="Haber",Table3[[#This Row],[Importe]]*-1,0))),0)</f>
        <v>0</v>
      </c>
      <c r="K287" s="145">
        <f t="shared" si="13"/>
        <v>0</v>
      </c>
      <c r="L287" s="145" t="str">
        <f t="shared" si="14"/>
        <v/>
      </c>
      <c r="M287" t="str">
        <f>_xlfn.XLOOKUP(Table3[[#This Row],[Cuenta]],Estructura_Balance[Nombre Cuenta ()],Estructura_Balance[Grupo],"",0)</f>
        <v/>
      </c>
      <c r="N287" t="str">
        <f>_xlfn.XLOOKUP(Table3[[#This Row],[Cuenta]],Estructura_Balance[Nombre Cuenta ()],Estructura_Balance[Nivel 1],"",0)</f>
        <v/>
      </c>
      <c r="O287" t="str">
        <f>_xlfn.XLOOKUP(Table3[[#This Row],[Cuenta]],Estructura_Balance[Nombre Cuenta ()],Estructura_Balance[Nivel 2],"",0)</f>
        <v/>
      </c>
      <c r="P287" t="str">
        <f>_xlfn.XLOOKUP(Table3[[#This Row],[Cuenta]],Estructura_Balance[Nombre Cuenta ()],Estructura_Balance[Nivel 3],"",0)</f>
        <v/>
      </c>
      <c r="Q287" t="str">
        <f>_xlfn.XLOOKUP(Table3[[#This Row],[Cuenta]],Estructura_Balance[Nombre Cuenta ()],Estructura_Balance[Nivel 4],"",0)</f>
        <v/>
      </c>
      <c r="R287" s="154" t="str">
        <f>_xlfn.XLOOKUP(Table3[[#This Row],[Cuenta]],Table8[Nombre Cuenta ()],Table8[Nivel 1],"",0)</f>
        <v/>
      </c>
      <c r="S287" t="str">
        <f>_xlfn.XLOOKUP(Table3[[#This Row],[Cuenta]],Table8[Nombre Cuenta ()],Table8[Nivel 2],"",0)</f>
        <v/>
      </c>
      <c r="T287" t="str">
        <f>_xlfn.XLOOKUP(Table3[[#This Row],[Cuenta]],Table8[Nombre Cuenta ()],Table8[Nivel 3],"",0)</f>
        <v/>
      </c>
      <c r="U287">
        <v>612</v>
      </c>
      <c r="V287" t="str">
        <f>_xlfn.XLOOKUP(Table3[[#This Row],[Cuenta]],Estructura_Balance[Nombre Cuenta ()],Estructura_Balance[Niveles:2],"",0)</f>
        <v/>
      </c>
      <c r="W287" t="str">
        <f>_xlfn.XLOOKUP(Table3[[#This Row],[Cuenta]],Estructura_Balance[Nombre Cuenta ()],Estructura_Balance[Niveles:3],"",0)</f>
        <v/>
      </c>
      <c r="X287" t="str">
        <f>_xlfn.XLOOKUP(Table3[[#This Row],[Cuenta]],Estructura_Balance[Nombre Cuenta ()],Estructura_Balance[Grupos],"Grupo 1",0)</f>
        <v>Grupo 1</v>
      </c>
      <c r="Y287" t="str">
        <f>+Table3[[#This Row],[BS_Nivel_1]]</f>
        <v/>
      </c>
    </row>
    <row r="288" spans="1:25">
      <c r="A288">
        <f>+'Libro Diario'!F424</f>
        <v>0</v>
      </c>
      <c r="B288" s="144">
        <f>VALUE(IF(+'Libro Diario'!G424="","01/01/2025",+'Libro Diario'!G424))</f>
        <v>45658</v>
      </c>
      <c r="C288">
        <f>IF(ISNUMBER(+IF(IFERROR(VALUE(MID('Libro Diario'!C424,1,4)),0)&lt;&gt;0,'Libro Diario'!C424,0))=FALSE,'Libro Diario'!C424,0)</f>
        <v>0</v>
      </c>
      <c r="D288" s="145" t="str">
        <f>+'Libro Diario'!B424</f>
        <v>Corrección Valorativa - Amortización</v>
      </c>
      <c r="E288" s="139" t="s">
        <v>445</v>
      </c>
      <c r="F288" t="str">
        <f t="shared" si="12"/>
        <v>Sin Mov.</v>
      </c>
      <c r="G288" t="str">
        <f>IF(+'Libro Diario'!H424=0,"",+'Libro Diario'!H424)</f>
        <v/>
      </c>
      <c r="H288" t="str">
        <f>IF(+'Libro Diario'!I424=0,"",+'Libro Diario'!I424)</f>
        <v/>
      </c>
      <c r="I288" t="str">
        <f>+IF(Table3[[#This Row],[Tipo Movimiento]]="Estructura Balance y PyG","Excluir","Incluir")</f>
        <v>Incluir</v>
      </c>
      <c r="J288" s="153">
        <f>+IF(Table3[[#This Row],[Sin cuenta]]="Con Mov.",(IF(Table3[[#This Row],[Movimiento]]="Debe",Table3[[#This Row],[Importe]],IF(Table3[[#This Row],[Movimiento]]="Haber",Table3[[#This Row],[Importe]]*-1,0))),0)</f>
        <v>0</v>
      </c>
      <c r="K288" s="145" t="str">
        <f t="shared" si="13"/>
        <v>Corrección Valorativa - Amortización</v>
      </c>
      <c r="L288" s="145" t="str">
        <f t="shared" si="14"/>
        <v/>
      </c>
      <c r="M288" t="str">
        <f>_xlfn.XLOOKUP(Table3[[#This Row],[Cuenta]],Estructura_Balance[Nombre Cuenta ()],Estructura_Balance[Grupo],"",0)</f>
        <v/>
      </c>
      <c r="N288" t="str">
        <f>_xlfn.XLOOKUP(Table3[[#This Row],[Cuenta]],Estructura_Balance[Nombre Cuenta ()],Estructura_Balance[Nivel 1],"",0)</f>
        <v/>
      </c>
      <c r="O288" t="str">
        <f>_xlfn.XLOOKUP(Table3[[#This Row],[Cuenta]],Estructura_Balance[Nombre Cuenta ()],Estructura_Balance[Nivel 2],"",0)</f>
        <v/>
      </c>
      <c r="P288" t="str">
        <f>_xlfn.XLOOKUP(Table3[[#This Row],[Cuenta]],Estructura_Balance[Nombre Cuenta ()],Estructura_Balance[Nivel 3],"",0)</f>
        <v/>
      </c>
      <c r="Q288" t="str">
        <f>_xlfn.XLOOKUP(Table3[[#This Row],[Cuenta]],Estructura_Balance[Nombre Cuenta ()],Estructura_Balance[Nivel 4],"",0)</f>
        <v/>
      </c>
      <c r="R288" s="154" t="str">
        <f>_xlfn.XLOOKUP(Table3[[#This Row],[Cuenta]],Table8[Nombre Cuenta ()],Table8[Nivel 1],"",0)</f>
        <v/>
      </c>
      <c r="S288" t="str">
        <f>_xlfn.XLOOKUP(Table3[[#This Row],[Cuenta]],Table8[Nombre Cuenta ()],Table8[Nivel 2],"",0)</f>
        <v/>
      </c>
      <c r="T288" t="str">
        <f>_xlfn.XLOOKUP(Table3[[#This Row],[Cuenta]],Table8[Nombre Cuenta ()],Table8[Nivel 3],"",0)</f>
        <v/>
      </c>
      <c r="U288">
        <v>615</v>
      </c>
      <c r="V288" t="str">
        <f>_xlfn.XLOOKUP(Table3[[#This Row],[Cuenta]],Estructura_Balance[Nombre Cuenta ()],Estructura_Balance[Niveles:2],"",0)</f>
        <v/>
      </c>
      <c r="W288" t="str">
        <f>_xlfn.XLOOKUP(Table3[[#This Row],[Cuenta]],Estructura_Balance[Nombre Cuenta ()],Estructura_Balance[Niveles:3],"",0)</f>
        <v/>
      </c>
      <c r="X288" t="str">
        <f>_xlfn.XLOOKUP(Table3[[#This Row],[Cuenta]],Estructura_Balance[Nombre Cuenta ()],Estructura_Balance[Grupos],"Grupo 1",0)</f>
        <v>Grupo 1</v>
      </c>
      <c r="Y288" t="str">
        <f>+Table3[[#This Row],[BS_Nivel_1]]</f>
        <v/>
      </c>
    </row>
    <row r="289" spans="1:25">
      <c r="A289">
        <f>+'Libro Diario'!F425</f>
        <v>0</v>
      </c>
      <c r="B289" s="144">
        <f>VALUE(IF(+'Libro Diario'!G425="","01/01/2025",+'Libro Diario'!G425))</f>
        <v>45658</v>
      </c>
      <c r="C289">
        <f>IF(ISNUMBER(+IF(IFERROR(VALUE(MID('Libro Diario'!C425,1,4)),0)&lt;&gt;0,'Libro Diario'!C425,0))=FALSE,'Libro Diario'!C425,0)</f>
        <v>0</v>
      </c>
      <c r="D289" s="145" t="str">
        <f>+'Libro Diario'!B425</f>
        <v>Asiento Cuadrado</v>
      </c>
      <c r="E289" s="139" t="s">
        <v>445</v>
      </c>
      <c r="F289" t="str">
        <f t="shared" si="12"/>
        <v>Sin Mov.</v>
      </c>
      <c r="G289" t="str">
        <f>IF(+'Libro Diario'!H425=0,"",+'Libro Diario'!H425)</f>
        <v/>
      </c>
      <c r="H289" t="str">
        <f>IF(+'Libro Diario'!I425=0,"",+'Libro Diario'!I425)</f>
        <v/>
      </c>
      <c r="I289" t="str">
        <f>+IF(Table3[[#This Row],[Tipo Movimiento]]="Estructura Balance y PyG","Excluir","Incluir")</f>
        <v>Incluir</v>
      </c>
      <c r="J289" s="153">
        <f>+IF(Table3[[#This Row],[Sin cuenta]]="Con Mov.",(IF(Table3[[#This Row],[Movimiento]]="Debe",Table3[[#This Row],[Importe]],IF(Table3[[#This Row],[Movimiento]]="Haber",Table3[[#This Row],[Importe]]*-1,0))),0)</f>
        <v>0</v>
      </c>
      <c r="K289" s="145" t="str">
        <f t="shared" si="13"/>
        <v>Asiento Cuadrado</v>
      </c>
      <c r="L289" s="145" t="str">
        <f t="shared" si="14"/>
        <v/>
      </c>
      <c r="M289" t="str">
        <f>_xlfn.XLOOKUP(Table3[[#This Row],[Cuenta]],Estructura_Balance[Nombre Cuenta ()],Estructura_Balance[Grupo],"",0)</f>
        <v/>
      </c>
      <c r="N289" t="str">
        <f>_xlfn.XLOOKUP(Table3[[#This Row],[Cuenta]],Estructura_Balance[Nombre Cuenta ()],Estructura_Balance[Nivel 1],"",0)</f>
        <v/>
      </c>
      <c r="O289" t="str">
        <f>_xlfn.XLOOKUP(Table3[[#This Row],[Cuenta]],Estructura_Balance[Nombre Cuenta ()],Estructura_Balance[Nivel 2],"",0)</f>
        <v/>
      </c>
      <c r="P289" t="str">
        <f>_xlfn.XLOOKUP(Table3[[#This Row],[Cuenta]],Estructura_Balance[Nombre Cuenta ()],Estructura_Balance[Nivel 3],"",0)</f>
        <v/>
      </c>
      <c r="Q289" t="str">
        <f>_xlfn.XLOOKUP(Table3[[#This Row],[Cuenta]],Estructura_Balance[Nombre Cuenta ()],Estructura_Balance[Nivel 4],"",0)</f>
        <v/>
      </c>
      <c r="R289" s="154" t="str">
        <f>_xlfn.XLOOKUP(Table3[[#This Row],[Cuenta]],Table8[Nombre Cuenta ()],Table8[Nivel 1],"",0)</f>
        <v/>
      </c>
      <c r="S289" t="str">
        <f>_xlfn.XLOOKUP(Table3[[#This Row],[Cuenta]],Table8[Nombre Cuenta ()],Table8[Nivel 2],"",0)</f>
        <v/>
      </c>
      <c r="T289" t="str">
        <f>_xlfn.XLOOKUP(Table3[[#This Row],[Cuenta]],Table8[Nombre Cuenta ()],Table8[Nivel 3],"",0)</f>
        <v/>
      </c>
      <c r="U289">
        <v>616</v>
      </c>
      <c r="V289" t="str">
        <f>_xlfn.XLOOKUP(Table3[[#This Row],[Cuenta]],Estructura_Balance[Nombre Cuenta ()],Estructura_Balance[Niveles:2],"",0)</f>
        <v/>
      </c>
      <c r="W289" t="str">
        <f>_xlfn.XLOOKUP(Table3[[#This Row],[Cuenta]],Estructura_Balance[Nombre Cuenta ()],Estructura_Balance[Niveles:3],"",0)</f>
        <v/>
      </c>
      <c r="X289" t="str">
        <f>_xlfn.XLOOKUP(Table3[[#This Row],[Cuenta]],Estructura_Balance[Nombre Cuenta ()],Estructura_Balance[Grupos],"Grupo 1",0)</f>
        <v>Grupo 1</v>
      </c>
      <c r="Y289" t="str">
        <f>+Table3[[#This Row],[BS_Nivel_1]]</f>
        <v/>
      </c>
    </row>
    <row r="290" spans="1:25">
      <c r="A290">
        <f>+'Libro Diario'!F426</f>
        <v>0</v>
      </c>
      <c r="B290" s="144">
        <f>VALUE(IF(+'Libro Diario'!G426="","01/01/2025",+'Libro Diario'!G426))</f>
        <v>45658</v>
      </c>
      <c r="C290">
        <f>IF(ISNUMBER(+IF(IFERROR(VALUE(MID('Libro Diario'!C426,1,4)),0)&lt;&gt;0,'Libro Diario'!C426,0))=FALSE,'Libro Diario'!C426,0)</f>
        <v>0</v>
      </c>
      <c r="D290" s="145">
        <f>+'Libro Diario'!B426</f>
        <v>0</v>
      </c>
      <c r="E290" s="139" t="s">
        <v>445</v>
      </c>
      <c r="F290" t="str">
        <f t="shared" si="12"/>
        <v>Sin Mov.</v>
      </c>
      <c r="G290" t="str">
        <f>IF(+'Libro Diario'!H426=0,"",+'Libro Diario'!H426)</f>
        <v/>
      </c>
      <c r="H290" t="str">
        <f>IF(+'Libro Diario'!I426=0,"",+'Libro Diario'!I426)</f>
        <v/>
      </c>
      <c r="I290" t="str">
        <f>+IF(Table3[[#This Row],[Tipo Movimiento]]="Estructura Balance y PyG","Excluir","Incluir")</f>
        <v>Incluir</v>
      </c>
      <c r="J290" s="153">
        <f>+IF(Table3[[#This Row],[Sin cuenta]]="Con Mov.",(IF(Table3[[#This Row],[Movimiento]]="Debe",Table3[[#This Row],[Importe]],IF(Table3[[#This Row],[Movimiento]]="Haber",Table3[[#This Row],[Importe]]*-1,0))),0)</f>
        <v>0</v>
      </c>
      <c r="K290" s="145">
        <f t="shared" si="13"/>
        <v>0</v>
      </c>
      <c r="L290" s="145" t="str">
        <f t="shared" si="14"/>
        <v/>
      </c>
      <c r="M290" t="str">
        <f>_xlfn.XLOOKUP(Table3[[#This Row],[Cuenta]],Estructura_Balance[Nombre Cuenta ()],Estructura_Balance[Grupo],"",0)</f>
        <v/>
      </c>
      <c r="N290" t="str">
        <f>_xlfn.XLOOKUP(Table3[[#This Row],[Cuenta]],Estructura_Balance[Nombre Cuenta ()],Estructura_Balance[Nivel 1],"",0)</f>
        <v/>
      </c>
      <c r="O290" t="str">
        <f>_xlfn.XLOOKUP(Table3[[#This Row],[Cuenta]],Estructura_Balance[Nombre Cuenta ()],Estructura_Balance[Nivel 2],"",0)</f>
        <v/>
      </c>
      <c r="P290" t="str">
        <f>_xlfn.XLOOKUP(Table3[[#This Row],[Cuenta]],Estructura_Balance[Nombre Cuenta ()],Estructura_Balance[Nivel 3],"",0)</f>
        <v/>
      </c>
      <c r="Q290" t="str">
        <f>_xlfn.XLOOKUP(Table3[[#This Row],[Cuenta]],Estructura_Balance[Nombre Cuenta ()],Estructura_Balance[Nivel 4],"",0)</f>
        <v/>
      </c>
      <c r="R290" s="154" t="str">
        <f>_xlfn.XLOOKUP(Table3[[#This Row],[Cuenta]],Table8[Nombre Cuenta ()],Table8[Nivel 1],"",0)</f>
        <v/>
      </c>
      <c r="S290" t="str">
        <f>_xlfn.XLOOKUP(Table3[[#This Row],[Cuenta]],Table8[Nombre Cuenta ()],Table8[Nivel 2],"",0)</f>
        <v/>
      </c>
      <c r="T290" t="str">
        <f>_xlfn.XLOOKUP(Table3[[#This Row],[Cuenta]],Table8[Nombre Cuenta ()],Table8[Nivel 3],"",0)</f>
        <v/>
      </c>
      <c r="U290">
        <v>617</v>
      </c>
      <c r="V290" t="str">
        <f>_xlfn.XLOOKUP(Table3[[#This Row],[Cuenta]],Estructura_Balance[Nombre Cuenta ()],Estructura_Balance[Niveles:2],"",0)</f>
        <v/>
      </c>
      <c r="W290" t="str">
        <f>_xlfn.XLOOKUP(Table3[[#This Row],[Cuenta]],Estructura_Balance[Nombre Cuenta ()],Estructura_Balance[Niveles:3],"",0)</f>
        <v/>
      </c>
      <c r="X290" t="str">
        <f>_xlfn.XLOOKUP(Table3[[#This Row],[Cuenta]],Estructura_Balance[Nombre Cuenta ()],Estructura_Balance[Grupos],"Grupo 1",0)</f>
        <v>Grupo 1</v>
      </c>
      <c r="Y290" t="str">
        <f>+Table3[[#This Row],[BS_Nivel_1]]</f>
        <v/>
      </c>
    </row>
    <row r="291" spans="1:25">
      <c r="A291">
        <f>+'Libro Diario'!F427</f>
        <v>0</v>
      </c>
      <c r="B291" s="144">
        <f>VALUE(IF(+'Libro Diario'!G427="","01/01/2025",+'Libro Diario'!G427))</f>
        <v>45658</v>
      </c>
      <c r="C291">
        <f>IF(ISNUMBER(+IF(IFERROR(VALUE(MID('Libro Diario'!C427,1,4)),0)&lt;&gt;0,'Libro Diario'!C427,0))=FALSE,'Libro Diario'!C427,0)</f>
        <v>0</v>
      </c>
      <c r="D291" s="145" t="str">
        <f>+'Libro Diario'!B427</f>
        <v>DEBE</v>
      </c>
      <c r="E291" s="139" t="s">
        <v>445</v>
      </c>
      <c r="F291" t="str">
        <f t="shared" si="12"/>
        <v>Sin Mov.</v>
      </c>
      <c r="G291" t="str">
        <f>IF(+'Libro Diario'!H427=0,"",+'Libro Diario'!H427)</f>
        <v/>
      </c>
      <c r="H291" t="str">
        <f>IF(+'Libro Diario'!I427=0,"",+'Libro Diario'!I427)</f>
        <v/>
      </c>
      <c r="I291" t="str">
        <f>+IF(Table3[[#This Row],[Tipo Movimiento]]="Estructura Balance y PyG","Excluir","Incluir")</f>
        <v>Incluir</v>
      </c>
      <c r="J291" s="153">
        <f>+IF(Table3[[#This Row],[Sin cuenta]]="Con Mov.",(IF(Table3[[#This Row],[Movimiento]]="Debe",Table3[[#This Row],[Importe]],IF(Table3[[#This Row],[Movimiento]]="Haber",Table3[[#This Row],[Importe]]*-1,0))),0)</f>
        <v>0</v>
      </c>
      <c r="K291" s="145" t="str">
        <f t="shared" si="13"/>
        <v>DEBE</v>
      </c>
      <c r="L291" s="145" t="str">
        <f t="shared" si="14"/>
        <v/>
      </c>
      <c r="M291" t="str">
        <f>_xlfn.XLOOKUP(Table3[[#This Row],[Cuenta]],Estructura_Balance[Nombre Cuenta ()],Estructura_Balance[Grupo],"",0)</f>
        <v/>
      </c>
      <c r="N291" t="str">
        <f>_xlfn.XLOOKUP(Table3[[#This Row],[Cuenta]],Estructura_Balance[Nombre Cuenta ()],Estructura_Balance[Nivel 1],"",0)</f>
        <v/>
      </c>
      <c r="O291" t="str">
        <f>_xlfn.XLOOKUP(Table3[[#This Row],[Cuenta]],Estructura_Balance[Nombre Cuenta ()],Estructura_Balance[Nivel 2],"",0)</f>
        <v/>
      </c>
      <c r="P291" t="str">
        <f>_xlfn.XLOOKUP(Table3[[#This Row],[Cuenta]],Estructura_Balance[Nombre Cuenta ()],Estructura_Balance[Nivel 3],"",0)</f>
        <v/>
      </c>
      <c r="Q291" t="str">
        <f>_xlfn.XLOOKUP(Table3[[#This Row],[Cuenta]],Estructura_Balance[Nombre Cuenta ()],Estructura_Balance[Nivel 4],"",0)</f>
        <v/>
      </c>
      <c r="R291" s="154" t="str">
        <f>_xlfn.XLOOKUP(Table3[[#This Row],[Cuenta]],Table8[Nombre Cuenta ()],Table8[Nivel 1],"",0)</f>
        <v/>
      </c>
      <c r="S291" t="str">
        <f>_xlfn.XLOOKUP(Table3[[#This Row],[Cuenta]],Table8[Nombre Cuenta ()],Table8[Nivel 2],"",0)</f>
        <v/>
      </c>
      <c r="T291" t="str">
        <f>_xlfn.XLOOKUP(Table3[[#This Row],[Cuenta]],Table8[Nombre Cuenta ()],Table8[Nivel 3],"",0)</f>
        <v/>
      </c>
      <c r="U291">
        <v>618</v>
      </c>
      <c r="V291" t="str">
        <f>_xlfn.XLOOKUP(Table3[[#This Row],[Cuenta]],Estructura_Balance[Nombre Cuenta ()],Estructura_Balance[Niveles:2],"",0)</f>
        <v/>
      </c>
      <c r="W291" t="str">
        <f>_xlfn.XLOOKUP(Table3[[#This Row],[Cuenta]],Estructura_Balance[Nombre Cuenta ()],Estructura_Balance[Niveles:3],"",0)</f>
        <v/>
      </c>
      <c r="X291" t="str">
        <f>_xlfn.XLOOKUP(Table3[[#This Row],[Cuenta]],Estructura_Balance[Nombre Cuenta ()],Estructura_Balance[Grupos],"Grupo 1",0)</f>
        <v>Grupo 1</v>
      </c>
      <c r="Y291" t="str">
        <f>+Table3[[#This Row],[BS_Nivel_1]]</f>
        <v/>
      </c>
    </row>
    <row r="292" spans="1:25">
      <c r="A292">
        <f>+'Libro Diario'!F428</f>
        <v>0</v>
      </c>
      <c r="B292" s="144">
        <f>VALUE(IF(+'Libro Diario'!G428="","01/01/2025",+'Libro Diario'!G428))</f>
        <v>45658</v>
      </c>
      <c r="C292">
        <f>IF(ISNUMBER(+IF(IFERROR(VALUE(MID('Libro Diario'!C428,1,4)),0)&lt;&gt;0,'Libro Diario'!C428,0))=FALSE,'Libro Diario'!C428,0)</f>
        <v>0</v>
      </c>
      <c r="D292" s="145">
        <f>+'Libro Diario'!B428</f>
        <v>0</v>
      </c>
      <c r="E292" s="139" t="s">
        <v>445</v>
      </c>
      <c r="F292" t="str">
        <f t="shared" si="12"/>
        <v>Sin Mov.</v>
      </c>
      <c r="G292" t="str">
        <f>IF(+'Libro Diario'!H428=0,"",+'Libro Diario'!H428)</f>
        <v/>
      </c>
      <c r="H292" t="str">
        <f>IF(+'Libro Diario'!I428=0,"",+'Libro Diario'!I428)</f>
        <v/>
      </c>
      <c r="I292" t="str">
        <f>+IF(Table3[[#This Row],[Tipo Movimiento]]="Estructura Balance y PyG","Excluir","Incluir")</f>
        <v>Incluir</v>
      </c>
      <c r="J292" s="153">
        <f>+IF(Table3[[#This Row],[Sin cuenta]]="Con Mov.",(IF(Table3[[#This Row],[Movimiento]]="Debe",Table3[[#This Row],[Importe]],IF(Table3[[#This Row],[Movimiento]]="Haber",Table3[[#This Row],[Importe]]*-1,0))),0)</f>
        <v>0</v>
      </c>
      <c r="K292" s="145">
        <f t="shared" si="13"/>
        <v>0</v>
      </c>
      <c r="L292" s="145" t="str">
        <f t="shared" si="14"/>
        <v/>
      </c>
      <c r="M292" t="str">
        <f>_xlfn.XLOOKUP(Table3[[#This Row],[Cuenta]],Estructura_Balance[Nombre Cuenta ()],Estructura_Balance[Grupo],"",0)</f>
        <v/>
      </c>
      <c r="N292" t="str">
        <f>_xlfn.XLOOKUP(Table3[[#This Row],[Cuenta]],Estructura_Balance[Nombre Cuenta ()],Estructura_Balance[Nivel 1],"",0)</f>
        <v/>
      </c>
      <c r="O292" t="str">
        <f>_xlfn.XLOOKUP(Table3[[#This Row],[Cuenta]],Estructura_Balance[Nombre Cuenta ()],Estructura_Balance[Nivel 2],"",0)</f>
        <v/>
      </c>
      <c r="P292" t="str">
        <f>_xlfn.XLOOKUP(Table3[[#This Row],[Cuenta]],Estructura_Balance[Nombre Cuenta ()],Estructura_Balance[Nivel 3],"",0)</f>
        <v/>
      </c>
      <c r="Q292" t="str">
        <f>_xlfn.XLOOKUP(Table3[[#This Row],[Cuenta]],Estructura_Balance[Nombre Cuenta ()],Estructura_Balance[Nivel 4],"",0)</f>
        <v/>
      </c>
      <c r="R292" s="154" t="str">
        <f>_xlfn.XLOOKUP(Table3[[#This Row],[Cuenta]],Table8[Nombre Cuenta ()],Table8[Nivel 1],"",0)</f>
        <v/>
      </c>
      <c r="S292" t="str">
        <f>_xlfn.XLOOKUP(Table3[[#This Row],[Cuenta]],Table8[Nombre Cuenta ()],Table8[Nivel 2],"",0)</f>
        <v/>
      </c>
      <c r="T292" t="str">
        <f>_xlfn.XLOOKUP(Table3[[#This Row],[Cuenta]],Table8[Nombre Cuenta ()],Table8[Nivel 3],"",0)</f>
        <v/>
      </c>
      <c r="U292">
        <v>619</v>
      </c>
      <c r="V292" t="str">
        <f>_xlfn.XLOOKUP(Table3[[#This Row],[Cuenta]],Estructura_Balance[Nombre Cuenta ()],Estructura_Balance[Niveles:2],"",0)</f>
        <v/>
      </c>
      <c r="W292" t="str">
        <f>_xlfn.XLOOKUP(Table3[[#This Row],[Cuenta]],Estructura_Balance[Nombre Cuenta ()],Estructura_Balance[Niveles:3],"",0)</f>
        <v/>
      </c>
      <c r="X292" t="str">
        <f>_xlfn.XLOOKUP(Table3[[#This Row],[Cuenta]],Estructura_Balance[Nombre Cuenta ()],Estructura_Balance[Grupos],"Grupo 1",0)</f>
        <v>Grupo 1</v>
      </c>
      <c r="Y292" t="str">
        <f>+Table3[[#This Row],[BS_Nivel_1]]</f>
        <v/>
      </c>
    </row>
    <row r="293" spans="1:25">
      <c r="A293">
        <f>+'Libro Diario'!F431</f>
        <v>0</v>
      </c>
      <c r="B293" s="144">
        <f>VALUE(IF(+'Libro Diario'!G431="","01/01/2025",+'Libro Diario'!G431))</f>
        <v>45658</v>
      </c>
      <c r="C293">
        <f>IF(ISNUMBER(+IF(IFERROR(VALUE(MID('Libro Diario'!C431,1,4)),0)&lt;&gt;0,'Libro Diario'!C431,0))=FALSE,'Libro Diario'!C431,0)</f>
        <v>0</v>
      </c>
      <c r="D293" s="145" t="str">
        <f>+'Libro Diario'!B431</f>
        <v>Corrección Valorativa - Amortización</v>
      </c>
      <c r="E293" s="139" t="s">
        <v>445</v>
      </c>
      <c r="F293" t="str">
        <f t="shared" si="12"/>
        <v>Sin Mov.</v>
      </c>
      <c r="G293" t="str">
        <f>IF(+'Libro Diario'!H431=0,"",+'Libro Diario'!H431)</f>
        <v/>
      </c>
      <c r="H293" t="str">
        <f>IF(+'Libro Diario'!I431=0,"",+'Libro Diario'!I431)</f>
        <v/>
      </c>
      <c r="I293" t="str">
        <f>+IF(Table3[[#This Row],[Tipo Movimiento]]="Estructura Balance y PyG","Excluir","Incluir")</f>
        <v>Incluir</v>
      </c>
      <c r="J293" s="153">
        <f>+IF(Table3[[#This Row],[Sin cuenta]]="Con Mov.",(IF(Table3[[#This Row],[Movimiento]]="Debe",Table3[[#This Row],[Importe]],IF(Table3[[#This Row],[Movimiento]]="Haber",Table3[[#This Row],[Importe]]*-1,0))),0)</f>
        <v>0</v>
      </c>
      <c r="K293" s="145" t="str">
        <f t="shared" si="13"/>
        <v>Corrección Valorativa - Amortización</v>
      </c>
      <c r="L293" s="145" t="str">
        <f t="shared" si="14"/>
        <v/>
      </c>
      <c r="M293" t="str">
        <f>_xlfn.XLOOKUP(Table3[[#This Row],[Cuenta]],Estructura_Balance[Nombre Cuenta ()],Estructura_Balance[Grupo],"",0)</f>
        <v/>
      </c>
      <c r="N293" t="str">
        <f>_xlfn.XLOOKUP(Table3[[#This Row],[Cuenta]],Estructura_Balance[Nombre Cuenta ()],Estructura_Balance[Nivel 1],"",0)</f>
        <v/>
      </c>
      <c r="O293" t="str">
        <f>_xlfn.XLOOKUP(Table3[[#This Row],[Cuenta]],Estructura_Balance[Nombre Cuenta ()],Estructura_Balance[Nivel 2],"",0)</f>
        <v/>
      </c>
      <c r="P293" t="str">
        <f>_xlfn.XLOOKUP(Table3[[#This Row],[Cuenta]],Estructura_Balance[Nombre Cuenta ()],Estructura_Balance[Nivel 3],"",0)</f>
        <v/>
      </c>
      <c r="Q293" t="str">
        <f>_xlfn.XLOOKUP(Table3[[#This Row],[Cuenta]],Estructura_Balance[Nombre Cuenta ()],Estructura_Balance[Nivel 4],"",0)</f>
        <v/>
      </c>
      <c r="R293" s="154" t="str">
        <f>_xlfn.XLOOKUP(Table3[[#This Row],[Cuenta]],Table8[Nombre Cuenta ()],Table8[Nivel 1],"",0)</f>
        <v/>
      </c>
      <c r="S293" t="str">
        <f>_xlfn.XLOOKUP(Table3[[#This Row],[Cuenta]],Table8[Nombre Cuenta ()],Table8[Nivel 2],"",0)</f>
        <v/>
      </c>
      <c r="T293" t="str">
        <f>_xlfn.XLOOKUP(Table3[[#This Row],[Cuenta]],Table8[Nombre Cuenta ()],Table8[Nivel 3],"",0)</f>
        <v/>
      </c>
      <c r="U293">
        <v>622</v>
      </c>
      <c r="V293" t="str">
        <f>_xlfn.XLOOKUP(Table3[[#This Row],[Cuenta]],Estructura_Balance[Nombre Cuenta ()],Estructura_Balance[Niveles:2],"",0)</f>
        <v/>
      </c>
      <c r="W293" t="str">
        <f>_xlfn.XLOOKUP(Table3[[#This Row],[Cuenta]],Estructura_Balance[Nombre Cuenta ()],Estructura_Balance[Niveles:3],"",0)</f>
        <v/>
      </c>
      <c r="X293" t="str">
        <f>_xlfn.XLOOKUP(Table3[[#This Row],[Cuenta]],Estructura_Balance[Nombre Cuenta ()],Estructura_Balance[Grupos],"Grupo 1",0)</f>
        <v>Grupo 1</v>
      </c>
      <c r="Y293" t="str">
        <f>+Table3[[#This Row],[BS_Nivel_1]]</f>
        <v/>
      </c>
    </row>
    <row r="294" spans="1:25">
      <c r="A294">
        <f>+'Libro Diario'!F432</f>
        <v>0</v>
      </c>
      <c r="B294" s="144">
        <f>VALUE(IF(+'Libro Diario'!G432="","01/01/2025",+'Libro Diario'!G432))</f>
        <v>45658</v>
      </c>
      <c r="C294">
        <f>IF(ISNUMBER(+IF(IFERROR(VALUE(MID('Libro Diario'!C432,1,4)),0)&lt;&gt;0,'Libro Diario'!C432,0))=FALSE,'Libro Diario'!C432,0)</f>
        <v>0</v>
      </c>
      <c r="D294" s="145" t="str">
        <f>+'Libro Diario'!B432</f>
        <v>Asiento Cuadrado</v>
      </c>
      <c r="E294" s="139" t="s">
        <v>445</v>
      </c>
      <c r="F294" t="str">
        <f t="shared" si="12"/>
        <v>Sin Mov.</v>
      </c>
      <c r="G294" t="str">
        <f>IF(+'Libro Diario'!H432=0,"",+'Libro Diario'!H432)</f>
        <v/>
      </c>
      <c r="H294" t="str">
        <f>IF(+'Libro Diario'!I432=0,"",+'Libro Diario'!I432)</f>
        <v/>
      </c>
      <c r="I294" t="str">
        <f>+IF(Table3[[#This Row],[Tipo Movimiento]]="Estructura Balance y PyG","Excluir","Incluir")</f>
        <v>Incluir</v>
      </c>
      <c r="J294" s="153">
        <f>+IF(Table3[[#This Row],[Sin cuenta]]="Con Mov.",(IF(Table3[[#This Row],[Movimiento]]="Debe",Table3[[#This Row],[Importe]],IF(Table3[[#This Row],[Movimiento]]="Haber",Table3[[#This Row],[Importe]]*-1,0))),0)</f>
        <v>0</v>
      </c>
      <c r="K294" s="145" t="str">
        <f t="shared" si="13"/>
        <v>Asiento Cuadrado</v>
      </c>
      <c r="L294" s="145" t="str">
        <f t="shared" si="14"/>
        <v/>
      </c>
      <c r="M294" t="str">
        <f>_xlfn.XLOOKUP(Table3[[#This Row],[Cuenta]],Estructura_Balance[Nombre Cuenta ()],Estructura_Balance[Grupo],"",0)</f>
        <v/>
      </c>
      <c r="N294" t="str">
        <f>_xlfn.XLOOKUP(Table3[[#This Row],[Cuenta]],Estructura_Balance[Nombre Cuenta ()],Estructura_Balance[Nivel 1],"",0)</f>
        <v/>
      </c>
      <c r="O294" t="str">
        <f>_xlfn.XLOOKUP(Table3[[#This Row],[Cuenta]],Estructura_Balance[Nombre Cuenta ()],Estructura_Balance[Nivel 2],"",0)</f>
        <v/>
      </c>
      <c r="P294" t="str">
        <f>_xlfn.XLOOKUP(Table3[[#This Row],[Cuenta]],Estructura_Balance[Nombre Cuenta ()],Estructura_Balance[Nivel 3],"",0)</f>
        <v/>
      </c>
      <c r="Q294" t="str">
        <f>_xlfn.XLOOKUP(Table3[[#This Row],[Cuenta]],Estructura_Balance[Nombre Cuenta ()],Estructura_Balance[Nivel 4],"",0)</f>
        <v/>
      </c>
      <c r="R294" s="154" t="str">
        <f>_xlfn.XLOOKUP(Table3[[#This Row],[Cuenta]],Table8[Nombre Cuenta ()],Table8[Nivel 1],"",0)</f>
        <v/>
      </c>
      <c r="S294" t="str">
        <f>_xlfn.XLOOKUP(Table3[[#This Row],[Cuenta]],Table8[Nombre Cuenta ()],Table8[Nivel 2],"",0)</f>
        <v/>
      </c>
      <c r="T294" t="str">
        <f>_xlfn.XLOOKUP(Table3[[#This Row],[Cuenta]],Table8[Nombre Cuenta ()],Table8[Nivel 3],"",0)</f>
        <v/>
      </c>
      <c r="U294">
        <v>623</v>
      </c>
      <c r="V294" t="str">
        <f>_xlfn.XLOOKUP(Table3[[#This Row],[Cuenta]],Estructura_Balance[Nombre Cuenta ()],Estructura_Balance[Niveles:2],"",0)</f>
        <v/>
      </c>
      <c r="W294" t="str">
        <f>_xlfn.XLOOKUP(Table3[[#This Row],[Cuenta]],Estructura_Balance[Nombre Cuenta ()],Estructura_Balance[Niveles:3],"",0)</f>
        <v/>
      </c>
      <c r="X294" t="str">
        <f>_xlfn.XLOOKUP(Table3[[#This Row],[Cuenta]],Estructura_Balance[Nombre Cuenta ()],Estructura_Balance[Grupos],"Grupo 1",0)</f>
        <v>Grupo 1</v>
      </c>
      <c r="Y294" t="str">
        <f>+Table3[[#This Row],[BS_Nivel_1]]</f>
        <v/>
      </c>
    </row>
    <row r="295" spans="1:25">
      <c r="A295">
        <f>+'Libro Diario'!F433</f>
        <v>0</v>
      </c>
      <c r="B295" s="144">
        <f>VALUE(IF(+'Libro Diario'!G433="","01/01/2025",+'Libro Diario'!G433))</f>
        <v>45658</v>
      </c>
      <c r="C295">
        <f>IF(ISNUMBER(+IF(IFERROR(VALUE(MID('Libro Diario'!C433,1,4)),0)&lt;&gt;0,'Libro Diario'!C433,0))=FALSE,'Libro Diario'!C433,0)</f>
        <v>0</v>
      </c>
      <c r="D295" s="145">
        <f>+'Libro Diario'!B433</f>
        <v>0</v>
      </c>
      <c r="E295" s="139" t="s">
        <v>445</v>
      </c>
      <c r="F295" t="str">
        <f t="shared" si="12"/>
        <v>Sin Mov.</v>
      </c>
      <c r="G295" t="str">
        <f>IF(+'Libro Diario'!H433=0,"",+'Libro Diario'!H433)</f>
        <v/>
      </c>
      <c r="H295" t="str">
        <f>IF(+'Libro Diario'!I433=0,"",+'Libro Diario'!I433)</f>
        <v/>
      </c>
      <c r="I295" t="str">
        <f>+IF(Table3[[#This Row],[Tipo Movimiento]]="Estructura Balance y PyG","Excluir","Incluir")</f>
        <v>Incluir</v>
      </c>
      <c r="J295" s="153">
        <f>+IF(Table3[[#This Row],[Sin cuenta]]="Con Mov.",(IF(Table3[[#This Row],[Movimiento]]="Debe",Table3[[#This Row],[Importe]],IF(Table3[[#This Row],[Movimiento]]="Haber",Table3[[#This Row],[Importe]]*-1,0))),0)</f>
        <v>0</v>
      </c>
      <c r="K295" s="145">
        <f t="shared" si="13"/>
        <v>0</v>
      </c>
      <c r="L295" s="145" t="str">
        <f t="shared" si="14"/>
        <v/>
      </c>
      <c r="M295" t="str">
        <f>_xlfn.XLOOKUP(Table3[[#This Row],[Cuenta]],Estructura_Balance[Nombre Cuenta ()],Estructura_Balance[Grupo],"",0)</f>
        <v/>
      </c>
      <c r="N295" t="str">
        <f>_xlfn.XLOOKUP(Table3[[#This Row],[Cuenta]],Estructura_Balance[Nombre Cuenta ()],Estructura_Balance[Nivel 1],"",0)</f>
        <v/>
      </c>
      <c r="O295" t="str">
        <f>_xlfn.XLOOKUP(Table3[[#This Row],[Cuenta]],Estructura_Balance[Nombre Cuenta ()],Estructura_Balance[Nivel 2],"",0)</f>
        <v/>
      </c>
      <c r="P295" t="str">
        <f>_xlfn.XLOOKUP(Table3[[#This Row],[Cuenta]],Estructura_Balance[Nombre Cuenta ()],Estructura_Balance[Nivel 3],"",0)</f>
        <v/>
      </c>
      <c r="Q295" t="str">
        <f>_xlfn.XLOOKUP(Table3[[#This Row],[Cuenta]],Estructura_Balance[Nombre Cuenta ()],Estructura_Balance[Nivel 4],"",0)</f>
        <v/>
      </c>
      <c r="R295" s="154" t="str">
        <f>_xlfn.XLOOKUP(Table3[[#This Row],[Cuenta]],Table8[Nombre Cuenta ()],Table8[Nivel 1],"",0)</f>
        <v/>
      </c>
      <c r="S295" t="str">
        <f>_xlfn.XLOOKUP(Table3[[#This Row],[Cuenta]],Table8[Nombre Cuenta ()],Table8[Nivel 2],"",0)</f>
        <v/>
      </c>
      <c r="T295" t="str">
        <f>_xlfn.XLOOKUP(Table3[[#This Row],[Cuenta]],Table8[Nombre Cuenta ()],Table8[Nivel 3],"",0)</f>
        <v/>
      </c>
      <c r="U295">
        <v>624</v>
      </c>
      <c r="V295" t="str">
        <f>_xlfn.XLOOKUP(Table3[[#This Row],[Cuenta]],Estructura_Balance[Nombre Cuenta ()],Estructura_Balance[Niveles:2],"",0)</f>
        <v/>
      </c>
      <c r="W295" t="str">
        <f>_xlfn.XLOOKUP(Table3[[#This Row],[Cuenta]],Estructura_Balance[Nombre Cuenta ()],Estructura_Balance[Niveles:3],"",0)</f>
        <v/>
      </c>
      <c r="X295" t="str">
        <f>_xlfn.XLOOKUP(Table3[[#This Row],[Cuenta]],Estructura_Balance[Nombre Cuenta ()],Estructura_Balance[Grupos],"Grupo 1",0)</f>
        <v>Grupo 1</v>
      </c>
      <c r="Y295" t="str">
        <f>+Table3[[#This Row],[BS_Nivel_1]]</f>
        <v/>
      </c>
    </row>
    <row r="296" spans="1:25">
      <c r="A296">
        <f>+'Libro Diario'!F434</f>
        <v>0</v>
      </c>
      <c r="B296" s="144">
        <f>VALUE(IF(+'Libro Diario'!G434="","01/01/2025",+'Libro Diario'!G434))</f>
        <v>45658</v>
      </c>
      <c r="C296">
        <f>IF(ISNUMBER(+IF(IFERROR(VALUE(MID('Libro Diario'!C434,1,4)),0)&lt;&gt;0,'Libro Diario'!C434,0))=FALSE,'Libro Diario'!C434,0)</f>
        <v>0</v>
      </c>
      <c r="D296" s="145" t="str">
        <f>+'Libro Diario'!B434</f>
        <v>DEBE</v>
      </c>
      <c r="E296" s="139" t="s">
        <v>445</v>
      </c>
      <c r="F296" t="str">
        <f t="shared" si="12"/>
        <v>Sin Mov.</v>
      </c>
      <c r="G296" t="str">
        <f>IF(+'Libro Diario'!H434=0,"",+'Libro Diario'!H434)</f>
        <v/>
      </c>
      <c r="H296" t="str">
        <f>IF(+'Libro Diario'!I434=0,"",+'Libro Diario'!I434)</f>
        <v/>
      </c>
      <c r="I296" t="str">
        <f>+IF(Table3[[#This Row],[Tipo Movimiento]]="Estructura Balance y PyG","Excluir","Incluir")</f>
        <v>Incluir</v>
      </c>
      <c r="J296" s="153">
        <f>+IF(Table3[[#This Row],[Sin cuenta]]="Con Mov.",(IF(Table3[[#This Row],[Movimiento]]="Debe",Table3[[#This Row],[Importe]],IF(Table3[[#This Row],[Movimiento]]="Haber",Table3[[#This Row],[Importe]]*-1,0))),0)</f>
        <v>0</v>
      </c>
      <c r="K296" s="145" t="str">
        <f t="shared" si="13"/>
        <v>DEBE</v>
      </c>
      <c r="L296" s="145" t="str">
        <f t="shared" si="14"/>
        <v/>
      </c>
      <c r="M296" t="str">
        <f>_xlfn.XLOOKUP(Table3[[#This Row],[Cuenta]],Estructura_Balance[Nombre Cuenta ()],Estructura_Balance[Grupo],"",0)</f>
        <v/>
      </c>
      <c r="N296" t="str">
        <f>_xlfn.XLOOKUP(Table3[[#This Row],[Cuenta]],Estructura_Balance[Nombre Cuenta ()],Estructura_Balance[Nivel 1],"",0)</f>
        <v/>
      </c>
      <c r="O296" t="str">
        <f>_xlfn.XLOOKUP(Table3[[#This Row],[Cuenta]],Estructura_Balance[Nombre Cuenta ()],Estructura_Balance[Nivel 2],"",0)</f>
        <v/>
      </c>
      <c r="P296" t="str">
        <f>_xlfn.XLOOKUP(Table3[[#This Row],[Cuenta]],Estructura_Balance[Nombre Cuenta ()],Estructura_Balance[Nivel 3],"",0)</f>
        <v/>
      </c>
      <c r="Q296" t="str">
        <f>_xlfn.XLOOKUP(Table3[[#This Row],[Cuenta]],Estructura_Balance[Nombre Cuenta ()],Estructura_Balance[Nivel 4],"",0)</f>
        <v/>
      </c>
      <c r="R296" s="154" t="str">
        <f>_xlfn.XLOOKUP(Table3[[#This Row],[Cuenta]],Table8[Nombre Cuenta ()],Table8[Nivel 1],"",0)</f>
        <v/>
      </c>
      <c r="S296" t="str">
        <f>_xlfn.XLOOKUP(Table3[[#This Row],[Cuenta]],Table8[Nombre Cuenta ()],Table8[Nivel 2],"",0)</f>
        <v/>
      </c>
      <c r="T296" t="str">
        <f>_xlfn.XLOOKUP(Table3[[#This Row],[Cuenta]],Table8[Nombre Cuenta ()],Table8[Nivel 3],"",0)</f>
        <v/>
      </c>
      <c r="U296">
        <v>625</v>
      </c>
      <c r="V296" t="str">
        <f>_xlfn.XLOOKUP(Table3[[#This Row],[Cuenta]],Estructura_Balance[Nombre Cuenta ()],Estructura_Balance[Niveles:2],"",0)</f>
        <v/>
      </c>
      <c r="W296" t="str">
        <f>_xlfn.XLOOKUP(Table3[[#This Row],[Cuenta]],Estructura_Balance[Nombre Cuenta ()],Estructura_Balance[Niveles:3],"",0)</f>
        <v/>
      </c>
      <c r="X296" t="str">
        <f>_xlfn.XLOOKUP(Table3[[#This Row],[Cuenta]],Estructura_Balance[Nombre Cuenta ()],Estructura_Balance[Grupos],"Grupo 1",0)</f>
        <v>Grupo 1</v>
      </c>
      <c r="Y296" t="str">
        <f>+Table3[[#This Row],[BS_Nivel_1]]</f>
        <v/>
      </c>
    </row>
    <row r="297" spans="1:25">
      <c r="A297">
        <f>+'Libro Diario'!F435</f>
        <v>0</v>
      </c>
      <c r="B297" s="144">
        <f>VALUE(IF(+'Libro Diario'!G435="","01/01/2025",+'Libro Diario'!G435))</f>
        <v>45658</v>
      </c>
      <c r="C297">
        <f>IF(ISNUMBER(+IF(IFERROR(VALUE(MID('Libro Diario'!C435,1,4)),0)&lt;&gt;0,'Libro Diario'!C435,0))=FALSE,'Libro Diario'!C435,0)</f>
        <v>0</v>
      </c>
      <c r="D297" s="145">
        <f>+'Libro Diario'!B435</f>
        <v>0</v>
      </c>
      <c r="E297" s="139" t="s">
        <v>445</v>
      </c>
      <c r="F297" t="str">
        <f t="shared" si="12"/>
        <v>Sin Mov.</v>
      </c>
      <c r="G297" t="str">
        <f>IF(+'Libro Diario'!H435=0,"",+'Libro Diario'!H435)</f>
        <v/>
      </c>
      <c r="H297" t="str">
        <f>IF(+'Libro Diario'!I435=0,"",+'Libro Diario'!I435)</f>
        <v/>
      </c>
      <c r="I297" t="str">
        <f>+IF(Table3[[#This Row],[Tipo Movimiento]]="Estructura Balance y PyG","Excluir","Incluir")</f>
        <v>Incluir</v>
      </c>
      <c r="J297" s="153">
        <f>+IF(Table3[[#This Row],[Sin cuenta]]="Con Mov.",(IF(Table3[[#This Row],[Movimiento]]="Debe",Table3[[#This Row],[Importe]],IF(Table3[[#This Row],[Movimiento]]="Haber",Table3[[#This Row],[Importe]]*-1,0))),0)</f>
        <v>0</v>
      </c>
      <c r="K297" s="145">
        <f t="shared" si="13"/>
        <v>0</v>
      </c>
      <c r="L297" s="145" t="str">
        <f t="shared" si="14"/>
        <v/>
      </c>
      <c r="M297" t="str">
        <f>_xlfn.XLOOKUP(Table3[[#This Row],[Cuenta]],Estructura_Balance[Nombre Cuenta ()],Estructura_Balance[Grupo],"",0)</f>
        <v/>
      </c>
      <c r="N297" t="str">
        <f>_xlfn.XLOOKUP(Table3[[#This Row],[Cuenta]],Estructura_Balance[Nombre Cuenta ()],Estructura_Balance[Nivel 1],"",0)</f>
        <v/>
      </c>
      <c r="O297" t="str">
        <f>_xlfn.XLOOKUP(Table3[[#This Row],[Cuenta]],Estructura_Balance[Nombre Cuenta ()],Estructura_Balance[Nivel 2],"",0)</f>
        <v/>
      </c>
      <c r="P297" t="str">
        <f>_xlfn.XLOOKUP(Table3[[#This Row],[Cuenta]],Estructura_Balance[Nombre Cuenta ()],Estructura_Balance[Nivel 3],"",0)</f>
        <v/>
      </c>
      <c r="Q297" t="str">
        <f>_xlfn.XLOOKUP(Table3[[#This Row],[Cuenta]],Estructura_Balance[Nombre Cuenta ()],Estructura_Balance[Nivel 4],"",0)</f>
        <v/>
      </c>
      <c r="R297" s="154" t="str">
        <f>_xlfn.XLOOKUP(Table3[[#This Row],[Cuenta]],Table8[Nombre Cuenta ()],Table8[Nivel 1],"",0)</f>
        <v/>
      </c>
      <c r="S297" t="str">
        <f>_xlfn.XLOOKUP(Table3[[#This Row],[Cuenta]],Table8[Nombre Cuenta ()],Table8[Nivel 2],"",0)</f>
        <v/>
      </c>
      <c r="T297" t="str">
        <f>_xlfn.XLOOKUP(Table3[[#This Row],[Cuenta]],Table8[Nombre Cuenta ()],Table8[Nivel 3],"",0)</f>
        <v/>
      </c>
      <c r="U297">
        <v>626</v>
      </c>
      <c r="V297" t="str">
        <f>_xlfn.XLOOKUP(Table3[[#This Row],[Cuenta]],Estructura_Balance[Nombre Cuenta ()],Estructura_Balance[Niveles:2],"",0)</f>
        <v/>
      </c>
      <c r="W297" t="str">
        <f>_xlfn.XLOOKUP(Table3[[#This Row],[Cuenta]],Estructura_Balance[Nombre Cuenta ()],Estructura_Balance[Niveles:3],"",0)</f>
        <v/>
      </c>
      <c r="X297" t="str">
        <f>_xlfn.XLOOKUP(Table3[[#This Row],[Cuenta]],Estructura_Balance[Nombre Cuenta ()],Estructura_Balance[Grupos],"Grupo 1",0)</f>
        <v>Grupo 1</v>
      </c>
      <c r="Y297" t="str">
        <f>+Table3[[#This Row],[BS_Nivel_1]]</f>
        <v/>
      </c>
    </row>
    <row r="298" spans="1:25">
      <c r="A298">
        <f>+'Libro Diario'!F438</f>
        <v>0</v>
      </c>
      <c r="B298" s="144">
        <f>VALUE(IF(+'Libro Diario'!G438="","01/01/2025",+'Libro Diario'!G438))</f>
        <v>45658</v>
      </c>
      <c r="C298">
        <f>IF(ISNUMBER(+IF(IFERROR(VALUE(MID('Libro Diario'!C438,1,4)),0)&lt;&gt;0,'Libro Diario'!C438,0))=FALSE,'Libro Diario'!C438,0)</f>
        <v>0</v>
      </c>
      <c r="D298" s="145" t="str">
        <f>+'Libro Diario'!B438</f>
        <v>Corrección Valorativa - Amortización</v>
      </c>
      <c r="E298" s="139" t="s">
        <v>445</v>
      </c>
      <c r="F298" t="str">
        <f t="shared" si="12"/>
        <v>Sin Mov.</v>
      </c>
      <c r="G298" t="str">
        <f>IF(+'Libro Diario'!H438=0,"",+'Libro Diario'!H438)</f>
        <v/>
      </c>
      <c r="H298" t="str">
        <f>IF(+'Libro Diario'!I438=0,"",+'Libro Diario'!I438)</f>
        <v/>
      </c>
      <c r="I298" t="str">
        <f>+IF(Table3[[#This Row],[Tipo Movimiento]]="Estructura Balance y PyG","Excluir","Incluir")</f>
        <v>Incluir</v>
      </c>
      <c r="J298" s="153">
        <f>+IF(Table3[[#This Row],[Sin cuenta]]="Con Mov.",(IF(Table3[[#This Row],[Movimiento]]="Debe",Table3[[#This Row],[Importe]],IF(Table3[[#This Row],[Movimiento]]="Haber",Table3[[#This Row],[Importe]]*-1,0))),0)</f>
        <v>0</v>
      </c>
      <c r="K298" s="145" t="str">
        <f t="shared" si="13"/>
        <v>Corrección Valorativa - Amortización</v>
      </c>
      <c r="L298" s="145" t="str">
        <f t="shared" si="14"/>
        <v/>
      </c>
      <c r="M298" t="str">
        <f>_xlfn.XLOOKUP(Table3[[#This Row],[Cuenta]],Estructura_Balance[Nombre Cuenta ()],Estructura_Balance[Grupo],"",0)</f>
        <v/>
      </c>
      <c r="N298" t="str">
        <f>_xlfn.XLOOKUP(Table3[[#This Row],[Cuenta]],Estructura_Balance[Nombre Cuenta ()],Estructura_Balance[Nivel 1],"",0)</f>
        <v/>
      </c>
      <c r="O298" t="str">
        <f>_xlfn.XLOOKUP(Table3[[#This Row],[Cuenta]],Estructura_Balance[Nombre Cuenta ()],Estructura_Balance[Nivel 2],"",0)</f>
        <v/>
      </c>
      <c r="P298" t="str">
        <f>_xlfn.XLOOKUP(Table3[[#This Row],[Cuenta]],Estructura_Balance[Nombre Cuenta ()],Estructura_Balance[Nivel 3],"",0)</f>
        <v/>
      </c>
      <c r="Q298" t="str">
        <f>_xlfn.XLOOKUP(Table3[[#This Row],[Cuenta]],Estructura_Balance[Nombre Cuenta ()],Estructura_Balance[Nivel 4],"",0)</f>
        <v/>
      </c>
      <c r="R298" s="154" t="str">
        <f>_xlfn.XLOOKUP(Table3[[#This Row],[Cuenta]],Table8[Nombre Cuenta ()],Table8[Nivel 1],"",0)</f>
        <v/>
      </c>
      <c r="S298" t="str">
        <f>_xlfn.XLOOKUP(Table3[[#This Row],[Cuenta]],Table8[Nombre Cuenta ()],Table8[Nivel 2],"",0)</f>
        <v/>
      </c>
      <c r="T298" t="str">
        <f>_xlfn.XLOOKUP(Table3[[#This Row],[Cuenta]],Table8[Nombre Cuenta ()],Table8[Nivel 3],"",0)</f>
        <v/>
      </c>
      <c r="U298">
        <v>629</v>
      </c>
      <c r="V298" t="str">
        <f>_xlfn.XLOOKUP(Table3[[#This Row],[Cuenta]],Estructura_Balance[Nombre Cuenta ()],Estructura_Balance[Niveles:2],"",0)</f>
        <v/>
      </c>
      <c r="W298" t="str">
        <f>_xlfn.XLOOKUP(Table3[[#This Row],[Cuenta]],Estructura_Balance[Nombre Cuenta ()],Estructura_Balance[Niveles:3],"",0)</f>
        <v/>
      </c>
      <c r="X298" t="str">
        <f>_xlfn.XLOOKUP(Table3[[#This Row],[Cuenta]],Estructura_Balance[Nombre Cuenta ()],Estructura_Balance[Grupos],"Grupo 1",0)</f>
        <v>Grupo 1</v>
      </c>
      <c r="Y298" t="str">
        <f>+Table3[[#This Row],[BS_Nivel_1]]</f>
        <v/>
      </c>
    </row>
    <row r="299" spans="1:25">
      <c r="A299">
        <f>+'Libro Diario'!F439</f>
        <v>0</v>
      </c>
      <c r="B299" s="144">
        <f>VALUE(IF(+'Libro Diario'!G439="","01/01/2025",+'Libro Diario'!G439))</f>
        <v>45658</v>
      </c>
      <c r="C299">
        <f>IF(ISNUMBER(+IF(IFERROR(VALUE(MID('Libro Diario'!C439,1,4)),0)&lt;&gt;0,'Libro Diario'!C439,0))=FALSE,'Libro Diario'!C439,0)</f>
        <v>0</v>
      </c>
      <c r="D299" s="145" t="str">
        <f>+'Libro Diario'!B439</f>
        <v>Asiento Cuadrado</v>
      </c>
      <c r="E299" s="139" t="s">
        <v>445</v>
      </c>
      <c r="F299" t="str">
        <f t="shared" si="12"/>
        <v>Sin Mov.</v>
      </c>
      <c r="G299" t="str">
        <f>IF(+'Libro Diario'!H439=0,"",+'Libro Diario'!H439)</f>
        <v/>
      </c>
      <c r="H299" t="str">
        <f>IF(+'Libro Diario'!I439=0,"",+'Libro Diario'!I439)</f>
        <v/>
      </c>
      <c r="I299" t="str">
        <f>+IF(Table3[[#This Row],[Tipo Movimiento]]="Estructura Balance y PyG","Excluir","Incluir")</f>
        <v>Incluir</v>
      </c>
      <c r="J299" s="153">
        <f>+IF(Table3[[#This Row],[Sin cuenta]]="Con Mov.",(IF(Table3[[#This Row],[Movimiento]]="Debe",Table3[[#This Row],[Importe]],IF(Table3[[#This Row],[Movimiento]]="Haber",Table3[[#This Row],[Importe]]*-1,0))),0)</f>
        <v>0</v>
      </c>
      <c r="K299" s="145" t="str">
        <f t="shared" si="13"/>
        <v>Asiento Cuadrado</v>
      </c>
      <c r="L299" s="145" t="str">
        <f t="shared" si="14"/>
        <v/>
      </c>
      <c r="M299" t="str">
        <f>_xlfn.XLOOKUP(Table3[[#This Row],[Cuenta]],Estructura_Balance[Nombre Cuenta ()],Estructura_Balance[Grupo],"",0)</f>
        <v/>
      </c>
      <c r="N299" t="str">
        <f>_xlfn.XLOOKUP(Table3[[#This Row],[Cuenta]],Estructura_Balance[Nombre Cuenta ()],Estructura_Balance[Nivel 1],"",0)</f>
        <v/>
      </c>
      <c r="O299" t="str">
        <f>_xlfn.XLOOKUP(Table3[[#This Row],[Cuenta]],Estructura_Balance[Nombre Cuenta ()],Estructura_Balance[Nivel 2],"",0)</f>
        <v/>
      </c>
      <c r="P299" t="str">
        <f>_xlfn.XLOOKUP(Table3[[#This Row],[Cuenta]],Estructura_Balance[Nombre Cuenta ()],Estructura_Balance[Nivel 3],"",0)</f>
        <v/>
      </c>
      <c r="Q299" t="str">
        <f>_xlfn.XLOOKUP(Table3[[#This Row],[Cuenta]],Estructura_Balance[Nombre Cuenta ()],Estructura_Balance[Nivel 4],"",0)</f>
        <v/>
      </c>
      <c r="R299" t="str">
        <f>_xlfn.XLOOKUP(Table3[[#This Row],[Cuenta]],Table8[Nombre Cuenta ()],Table8[Nivel 1],"",0)</f>
        <v/>
      </c>
      <c r="S299" t="str">
        <f>_xlfn.XLOOKUP(Table3[[#This Row],[Cuenta]],Table8[Nombre Cuenta ()],Table8[Nivel 2],"",0)</f>
        <v/>
      </c>
      <c r="T299" t="str">
        <f>_xlfn.XLOOKUP(Table3[[#This Row],[Cuenta]],Table8[Nombre Cuenta ()],Table8[Nivel 3],"",0)</f>
        <v/>
      </c>
      <c r="U299">
        <v>630</v>
      </c>
      <c r="V299" t="str">
        <f>_xlfn.XLOOKUP(Table3[[#This Row],[Cuenta]],Estructura_Balance[Nombre Cuenta ()],Estructura_Balance[Niveles:2],"",0)</f>
        <v/>
      </c>
      <c r="W299" t="str">
        <f>_xlfn.XLOOKUP(Table3[[#This Row],[Cuenta]],Estructura_Balance[Nombre Cuenta ()],Estructura_Balance[Niveles:3],"",0)</f>
        <v/>
      </c>
      <c r="X299" t="str">
        <f>_xlfn.XLOOKUP(Table3[[#This Row],[Cuenta]],Estructura_Balance[Nombre Cuenta ()],Estructura_Balance[Grupos],"Grupo 1",0)</f>
        <v>Grupo 1</v>
      </c>
      <c r="Y299" t="str">
        <f>+Table3[[#This Row],[BS_Nivel_1]]</f>
        <v/>
      </c>
    </row>
    <row r="300" spans="1:25">
      <c r="A300">
        <f>+'Libro Diario'!F440</f>
        <v>0</v>
      </c>
      <c r="B300" s="144">
        <f>VALUE(IF(+'Libro Diario'!G440="","01/01/2025",+'Libro Diario'!G440))</f>
        <v>45658</v>
      </c>
      <c r="C300">
        <f>IF(ISNUMBER(+IF(IFERROR(VALUE(MID('Libro Diario'!C440,1,4)),0)&lt;&gt;0,'Libro Diario'!C440,0))=FALSE,'Libro Diario'!C440,0)</f>
        <v>0</v>
      </c>
      <c r="D300" s="145">
        <f>+'Libro Diario'!B440</f>
        <v>0</v>
      </c>
      <c r="E300" s="139" t="s">
        <v>445</v>
      </c>
      <c r="F300" t="str">
        <f t="shared" si="12"/>
        <v>Sin Mov.</v>
      </c>
      <c r="G300" t="str">
        <f>IF(+'Libro Diario'!H440=0,"",+'Libro Diario'!H440)</f>
        <v/>
      </c>
      <c r="H300" t="str">
        <f>IF(+'Libro Diario'!I440=0,"",+'Libro Diario'!I440)</f>
        <v/>
      </c>
      <c r="I300" t="str">
        <f>+IF(Table3[[#This Row],[Tipo Movimiento]]="Estructura Balance y PyG","Excluir","Incluir")</f>
        <v>Incluir</v>
      </c>
      <c r="J300" s="153">
        <f>+IF(Table3[[#This Row],[Sin cuenta]]="Con Mov.",(IF(Table3[[#This Row],[Movimiento]]="Debe",Table3[[#This Row],[Importe]],IF(Table3[[#This Row],[Movimiento]]="Haber",Table3[[#This Row],[Importe]]*-1,0))),0)</f>
        <v>0</v>
      </c>
      <c r="K300" s="145">
        <f t="shared" si="13"/>
        <v>0</v>
      </c>
      <c r="L300" s="145" t="str">
        <f t="shared" si="14"/>
        <v/>
      </c>
      <c r="M300" t="str">
        <f>_xlfn.XLOOKUP(Table3[[#This Row],[Cuenta]],Estructura_Balance[Nombre Cuenta ()],Estructura_Balance[Grupo],"",0)</f>
        <v/>
      </c>
      <c r="N300" t="str">
        <f>_xlfn.XLOOKUP(Table3[[#This Row],[Cuenta]],Estructura_Balance[Nombre Cuenta ()],Estructura_Balance[Nivel 1],"",0)</f>
        <v/>
      </c>
      <c r="O300" t="str">
        <f>_xlfn.XLOOKUP(Table3[[#This Row],[Cuenta]],Estructura_Balance[Nombre Cuenta ()],Estructura_Balance[Nivel 2],"",0)</f>
        <v/>
      </c>
      <c r="P300" t="str">
        <f>_xlfn.XLOOKUP(Table3[[#This Row],[Cuenta]],Estructura_Balance[Nombre Cuenta ()],Estructura_Balance[Nivel 3],"",0)</f>
        <v/>
      </c>
      <c r="Q300" t="str">
        <f>_xlfn.XLOOKUP(Table3[[#This Row],[Cuenta]],Estructura_Balance[Nombre Cuenta ()],Estructura_Balance[Nivel 4],"",0)</f>
        <v/>
      </c>
      <c r="R300" s="154" t="str">
        <f>_xlfn.XLOOKUP(Table3[[#This Row],[Cuenta]],Table8[Nombre Cuenta ()],Table8[Nivel 1],"",0)</f>
        <v/>
      </c>
      <c r="S300" t="str">
        <f>_xlfn.XLOOKUP(Table3[[#This Row],[Cuenta]],Table8[Nombre Cuenta ()],Table8[Nivel 2],"",0)</f>
        <v/>
      </c>
      <c r="T300" t="str">
        <f>_xlfn.XLOOKUP(Table3[[#This Row],[Cuenta]],Table8[Nombre Cuenta ()],Table8[Nivel 3],"",0)</f>
        <v/>
      </c>
      <c r="U300">
        <v>631</v>
      </c>
      <c r="V300" t="str">
        <f>_xlfn.XLOOKUP(Table3[[#This Row],[Cuenta]],Estructura_Balance[Nombre Cuenta ()],Estructura_Balance[Niveles:2],"",0)</f>
        <v/>
      </c>
      <c r="W300" t="str">
        <f>_xlfn.XLOOKUP(Table3[[#This Row],[Cuenta]],Estructura_Balance[Nombre Cuenta ()],Estructura_Balance[Niveles:3],"",0)</f>
        <v/>
      </c>
      <c r="X300" t="str">
        <f>_xlfn.XLOOKUP(Table3[[#This Row],[Cuenta]],Estructura_Balance[Nombre Cuenta ()],Estructura_Balance[Grupos],"Grupo 1",0)</f>
        <v>Grupo 1</v>
      </c>
      <c r="Y300" t="str">
        <f>+Table3[[#This Row],[BS_Nivel_1]]</f>
        <v/>
      </c>
    </row>
    <row r="301" spans="1:25">
      <c r="A301">
        <f>+'Libro Diario'!F441</f>
        <v>0</v>
      </c>
      <c r="B301" s="144">
        <f>VALUE(IF(+'Libro Diario'!G441="","01/01/2025",+'Libro Diario'!G441))</f>
        <v>45658</v>
      </c>
      <c r="C301">
        <f>IF(ISNUMBER(+IF(IFERROR(VALUE(MID('Libro Diario'!C441,1,4)),0)&lt;&gt;0,'Libro Diario'!C441,0))=FALSE,'Libro Diario'!C441,0)</f>
        <v>0</v>
      </c>
      <c r="D301" s="145" t="str">
        <f>+'Libro Diario'!B441</f>
        <v>DEBE</v>
      </c>
      <c r="E301" s="139" t="s">
        <v>445</v>
      </c>
      <c r="F301" t="str">
        <f t="shared" si="12"/>
        <v>Sin Mov.</v>
      </c>
      <c r="G301" t="str">
        <f>IF(+'Libro Diario'!H441=0,"",+'Libro Diario'!H441)</f>
        <v/>
      </c>
      <c r="H301" t="str">
        <f>IF(+'Libro Diario'!I441=0,"",+'Libro Diario'!I441)</f>
        <v/>
      </c>
      <c r="I301" t="str">
        <f>+IF(Table3[[#This Row],[Tipo Movimiento]]="Estructura Balance y PyG","Excluir","Incluir")</f>
        <v>Incluir</v>
      </c>
      <c r="J301" s="153">
        <f>+IF(Table3[[#This Row],[Sin cuenta]]="Con Mov.",(IF(Table3[[#This Row],[Movimiento]]="Debe",Table3[[#This Row],[Importe]],IF(Table3[[#This Row],[Movimiento]]="Haber",Table3[[#This Row],[Importe]]*-1,0))),0)</f>
        <v>0</v>
      </c>
      <c r="K301" s="145" t="str">
        <f t="shared" si="13"/>
        <v>DEBE</v>
      </c>
      <c r="L301" s="145" t="str">
        <f t="shared" si="14"/>
        <v/>
      </c>
      <c r="M301" t="str">
        <f>_xlfn.XLOOKUP(Table3[[#This Row],[Cuenta]],Estructura_Balance[Nombre Cuenta ()],Estructura_Balance[Grupo],"",0)</f>
        <v/>
      </c>
      <c r="N301" t="str">
        <f>_xlfn.XLOOKUP(Table3[[#This Row],[Cuenta]],Estructura_Balance[Nombre Cuenta ()],Estructura_Balance[Nivel 1],"",0)</f>
        <v/>
      </c>
      <c r="O301" t="str">
        <f>_xlfn.XLOOKUP(Table3[[#This Row],[Cuenta]],Estructura_Balance[Nombre Cuenta ()],Estructura_Balance[Nivel 2],"",0)</f>
        <v/>
      </c>
      <c r="P301" t="str">
        <f>_xlfn.XLOOKUP(Table3[[#This Row],[Cuenta]],Estructura_Balance[Nombre Cuenta ()],Estructura_Balance[Nivel 3],"",0)</f>
        <v/>
      </c>
      <c r="Q301" t="str">
        <f>_xlfn.XLOOKUP(Table3[[#This Row],[Cuenta]],Estructura_Balance[Nombre Cuenta ()],Estructura_Balance[Nivel 4],"",0)</f>
        <v/>
      </c>
      <c r="R301" t="str">
        <f>_xlfn.XLOOKUP(Table3[[#This Row],[Cuenta]],Table8[Nombre Cuenta ()],Table8[Nivel 1],"",0)</f>
        <v/>
      </c>
      <c r="S301" t="str">
        <f>_xlfn.XLOOKUP(Table3[[#This Row],[Cuenta]],Table8[Nombre Cuenta ()],Table8[Nivel 2],"",0)</f>
        <v/>
      </c>
      <c r="T301" t="str">
        <f>_xlfn.XLOOKUP(Table3[[#This Row],[Cuenta]],Table8[Nombre Cuenta ()],Table8[Nivel 3],"",0)</f>
        <v/>
      </c>
      <c r="U301">
        <v>632</v>
      </c>
      <c r="V301" t="str">
        <f>_xlfn.XLOOKUP(Table3[[#This Row],[Cuenta]],Estructura_Balance[Nombre Cuenta ()],Estructura_Balance[Niveles:2],"",0)</f>
        <v/>
      </c>
      <c r="W301" t="str">
        <f>_xlfn.XLOOKUP(Table3[[#This Row],[Cuenta]],Estructura_Balance[Nombre Cuenta ()],Estructura_Balance[Niveles:3],"",0)</f>
        <v/>
      </c>
      <c r="X301" t="str">
        <f>_xlfn.XLOOKUP(Table3[[#This Row],[Cuenta]],Estructura_Balance[Nombre Cuenta ()],Estructura_Balance[Grupos],"Grupo 1",0)</f>
        <v>Grupo 1</v>
      </c>
      <c r="Y301" t="str">
        <f>+Table3[[#This Row],[BS_Nivel_1]]</f>
        <v/>
      </c>
    </row>
    <row r="302" spans="1:25">
      <c r="A302">
        <f>+'Libro Diario'!F442</f>
        <v>0</v>
      </c>
      <c r="B302" s="144">
        <f>VALUE(IF(+'Libro Diario'!G442="","01/01/2025",+'Libro Diario'!G442))</f>
        <v>45658</v>
      </c>
      <c r="C302">
        <f>IF(ISNUMBER(+IF(IFERROR(VALUE(MID('Libro Diario'!C442,1,4)),0)&lt;&gt;0,'Libro Diario'!C442,0))=FALSE,'Libro Diario'!C442,0)</f>
        <v>0</v>
      </c>
      <c r="D302" s="145">
        <f>+'Libro Diario'!B442</f>
        <v>0</v>
      </c>
      <c r="E302" s="139" t="s">
        <v>445</v>
      </c>
      <c r="F302" t="str">
        <f t="shared" si="12"/>
        <v>Sin Mov.</v>
      </c>
      <c r="G302" t="str">
        <f>IF(+'Libro Diario'!H442=0,"",+'Libro Diario'!H442)</f>
        <v/>
      </c>
      <c r="H302" t="str">
        <f>IF(+'Libro Diario'!I442=0,"",+'Libro Diario'!I442)</f>
        <v/>
      </c>
      <c r="I302" t="str">
        <f>+IF(Table3[[#This Row],[Tipo Movimiento]]="Estructura Balance y PyG","Excluir","Incluir")</f>
        <v>Incluir</v>
      </c>
      <c r="J302" s="153">
        <f>+IF(Table3[[#This Row],[Sin cuenta]]="Con Mov.",(IF(Table3[[#This Row],[Movimiento]]="Debe",Table3[[#This Row],[Importe]],IF(Table3[[#This Row],[Movimiento]]="Haber",Table3[[#This Row],[Importe]]*-1,0))),0)</f>
        <v>0</v>
      </c>
      <c r="K302" s="145">
        <f t="shared" si="13"/>
        <v>0</v>
      </c>
      <c r="L302" s="145" t="str">
        <f t="shared" si="14"/>
        <v/>
      </c>
      <c r="M302" t="str">
        <f>_xlfn.XLOOKUP(Table3[[#This Row],[Cuenta]],Estructura_Balance[Nombre Cuenta ()],Estructura_Balance[Grupo],"",0)</f>
        <v/>
      </c>
      <c r="N302" t="str">
        <f>_xlfn.XLOOKUP(Table3[[#This Row],[Cuenta]],Estructura_Balance[Nombre Cuenta ()],Estructura_Balance[Nivel 1],"",0)</f>
        <v/>
      </c>
      <c r="O302" t="str">
        <f>_xlfn.XLOOKUP(Table3[[#This Row],[Cuenta]],Estructura_Balance[Nombre Cuenta ()],Estructura_Balance[Nivel 2],"",0)</f>
        <v/>
      </c>
      <c r="P302" t="str">
        <f>_xlfn.XLOOKUP(Table3[[#This Row],[Cuenta]],Estructura_Balance[Nombre Cuenta ()],Estructura_Balance[Nivel 3],"",0)</f>
        <v/>
      </c>
      <c r="Q302" t="str">
        <f>_xlfn.XLOOKUP(Table3[[#This Row],[Cuenta]],Estructura_Balance[Nombre Cuenta ()],Estructura_Balance[Nivel 4],"",0)</f>
        <v/>
      </c>
      <c r="R302" s="154" t="str">
        <f>_xlfn.XLOOKUP(Table3[[#This Row],[Cuenta]],Table8[Nombre Cuenta ()],Table8[Nivel 1],"",0)</f>
        <v/>
      </c>
      <c r="S302" t="str">
        <f>_xlfn.XLOOKUP(Table3[[#This Row],[Cuenta]],Table8[Nombre Cuenta ()],Table8[Nivel 2],"",0)</f>
        <v/>
      </c>
      <c r="T302" t="str">
        <f>_xlfn.XLOOKUP(Table3[[#This Row],[Cuenta]],Table8[Nombre Cuenta ()],Table8[Nivel 3],"",0)</f>
        <v/>
      </c>
      <c r="U302">
        <v>633</v>
      </c>
      <c r="V302" t="str">
        <f>_xlfn.XLOOKUP(Table3[[#This Row],[Cuenta]],Estructura_Balance[Nombre Cuenta ()],Estructura_Balance[Niveles:2],"",0)</f>
        <v/>
      </c>
      <c r="W302" t="str">
        <f>_xlfn.XLOOKUP(Table3[[#This Row],[Cuenta]],Estructura_Balance[Nombre Cuenta ()],Estructura_Balance[Niveles:3],"",0)</f>
        <v/>
      </c>
      <c r="X302" t="str">
        <f>_xlfn.XLOOKUP(Table3[[#This Row],[Cuenta]],Estructura_Balance[Nombre Cuenta ()],Estructura_Balance[Grupos],"Grupo 1",0)</f>
        <v>Grupo 1</v>
      </c>
      <c r="Y302" t="str">
        <f>+Table3[[#This Row],[BS_Nivel_1]]</f>
        <v/>
      </c>
    </row>
    <row r="303" spans="1:25">
      <c r="A303">
        <f>+'Libro Diario'!F445</f>
        <v>0</v>
      </c>
      <c r="B303" s="144">
        <f>VALUE(IF(+'Libro Diario'!G445="","01/01/2025",+'Libro Diario'!G445))</f>
        <v>45658</v>
      </c>
      <c r="C303">
        <f>IF(ISNUMBER(+IF(IFERROR(VALUE(MID('Libro Diario'!C445,1,4)),0)&lt;&gt;0,'Libro Diario'!C445,0))=FALSE,'Libro Diario'!C445,0)</f>
        <v>0</v>
      </c>
      <c r="D303" s="145" t="str">
        <f>+'Libro Diario'!B445</f>
        <v>Corrección Valorativa - Deterioro de Valor</v>
      </c>
      <c r="E303" s="139" t="s">
        <v>445</v>
      </c>
      <c r="F303" t="str">
        <f t="shared" si="12"/>
        <v>Sin Mov.</v>
      </c>
      <c r="G303" t="str">
        <f>IF(+'Libro Diario'!H445=0,"",+'Libro Diario'!H445)</f>
        <v/>
      </c>
      <c r="H303" t="str">
        <f>IF(+'Libro Diario'!I445=0,"",+'Libro Diario'!I445)</f>
        <v/>
      </c>
      <c r="I303" t="str">
        <f>+IF(Table3[[#This Row],[Tipo Movimiento]]="Estructura Balance y PyG","Excluir","Incluir")</f>
        <v>Incluir</v>
      </c>
      <c r="J303" s="153">
        <f>+IF(Table3[[#This Row],[Sin cuenta]]="Con Mov.",(IF(Table3[[#This Row],[Movimiento]]="Debe",Table3[[#This Row],[Importe]],IF(Table3[[#This Row],[Movimiento]]="Haber",Table3[[#This Row],[Importe]]*-1,0))),0)</f>
        <v>0</v>
      </c>
      <c r="K303" s="145" t="str">
        <f t="shared" si="13"/>
        <v>Corrección Valorativa - Deterioro de Valor</v>
      </c>
      <c r="L303" s="145" t="str">
        <f t="shared" si="14"/>
        <v/>
      </c>
      <c r="M303" t="str">
        <f>_xlfn.XLOOKUP(Table3[[#This Row],[Cuenta]],Estructura_Balance[Nombre Cuenta ()],Estructura_Balance[Grupo],"",0)</f>
        <v/>
      </c>
      <c r="N303" t="str">
        <f>_xlfn.XLOOKUP(Table3[[#This Row],[Cuenta]],Estructura_Balance[Nombre Cuenta ()],Estructura_Balance[Nivel 1],"",0)</f>
        <v/>
      </c>
      <c r="O303" t="str">
        <f>_xlfn.XLOOKUP(Table3[[#This Row],[Cuenta]],Estructura_Balance[Nombre Cuenta ()],Estructura_Balance[Nivel 2],"",0)</f>
        <v/>
      </c>
      <c r="P303" t="str">
        <f>_xlfn.XLOOKUP(Table3[[#This Row],[Cuenta]],Estructura_Balance[Nombre Cuenta ()],Estructura_Balance[Nivel 3],"",0)</f>
        <v/>
      </c>
      <c r="Q303" t="str">
        <f>_xlfn.XLOOKUP(Table3[[#This Row],[Cuenta]],Estructura_Balance[Nombre Cuenta ()],Estructura_Balance[Nivel 4],"",0)</f>
        <v/>
      </c>
      <c r="R303" t="str">
        <f>_xlfn.XLOOKUP(Table3[[#This Row],[Cuenta]],Table8[Nombre Cuenta ()],Table8[Nivel 1],"",0)</f>
        <v/>
      </c>
      <c r="S303" t="str">
        <f>_xlfn.XLOOKUP(Table3[[#This Row],[Cuenta]],Table8[Nombre Cuenta ()],Table8[Nivel 2],"",0)</f>
        <v/>
      </c>
      <c r="T303" t="str">
        <f>_xlfn.XLOOKUP(Table3[[#This Row],[Cuenta]],Table8[Nombre Cuenta ()],Table8[Nivel 3],"",0)</f>
        <v/>
      </c>
      <c r="U303">
        <v>636</v>
      </c>
      <c r="V303" t="str">
        <f>_xlfn.XLOOKUP(Table3[[#This Row],[Cuenta]],Estructura_Balance[Nombre Cuenta ()],Estructura_Balance[Niveles:2],"",0)</f>
        <v/>
      </c>
      <c r="W303" t="str">
        <f>_xlfn.XLOOKUP(Table3[[#This Row],[Cuenta]],Estructura_Balance[Nombre Cuenta ()],Estructura_Balance[Niveles:3],"",0)</f>
        <v/>
      </c>
      <c r="X303" t="str">
        <f>_xlfn.XLOOKUP(Table3[[#This Row],[Cuenta]],Estructura_Balance[Nombre Cuenta ()],Estructura_Balance[Grupos],"Grupo 1",0)</f>
        <v>Grupo 1</v>
      </c>
      <c r="Y303" t="str">
        <f>+Table3[[#This Row],[BS_Nivel_1]]</f>
        <v/>
      </c>
    </row>
    <row r="304" spans="1:25">
      <c r="A304">
        <f>+'Libro Diario'!F446</f>
        <v>0</v>
      </c>
      <c r="B304" s="144">
        <f>VALUE(IF(+'Libro Diario'!G446="","01/01/2025",+'Libro Diario'!G446))</f>
        <v>45658</v>
      </c>
      <c r="C304">
        <f>IF(ISNUMBER(+IF(IFERROR(VALUE(MID('Libro Diario'!C446,1,4)),0)&lt;&gt;0,'Libro Diario'!C446,0))=FALSE,'Libro Diario'!C446,0)</f>
        <v>0</v>
      </c>
      <c r="D304" s="145" t="str">
        <f>+'Libro Diario'!B446</f>
        <v>Asiento Cuadrado</v>
      </c>
      <c r="E304" s="139" t="s">
        <v>445</v>
      </c>
      <c r="F304" t="str">
        <f t="shared" si="12"/>
        <v>Sin Mov.</v>
      </c>
      <c r="G304" t="str">
        <f>IF(+'Libro Diario'!H446=0,"",+'Libro Diario'!H446)</f>
        <v/>
      </c>
      <c r="H304" t="str">
        <f>IF(+'Libro Diario'!I446=0,"",+'Libro Diario'!I446)</f>
        <v/>
      </c>
      <c r="I304" t="str">
        <f>+IF(Table3[[#This Row],[Tipo Movimiento]]="Estructura Balance y PyG","Excluir","Incluir")</f>
        <v>Incluir</v>
      </c>
      <c r="J304" s="153">
        <f>+IF(Table3[[#This Row],[Sin cuenta]]="Con Mov.",(IF(Table3[[#This Row],[Movimiento]]="Debe",Table3[[#This Row],[Importe]],IF(Table3[[#This Row],[Movimiento]]="Haber",Table3[[#This Row],[Importe]]*-1,0))),0)</f>
        <v>0</v>
      </c>
      <c r="K304" s="145" t="str">
        <f t="shared" si="13"/>
        <v>Asiento Cuadrado</v>
      </c>
      <c r="L304" s="145" t="str">
        <f t="shared" si="14"/>
        <v/>
      </c>
      <c r="M304" t="str">
        <f>_xlfn.XLOOKUP(Table3[[#This Row],[Cuenta]],Estructura_Balance[Nombre Cuenta ()],Estructura_Balance[Grupo],"",0)</f>
        <v/>
      </c>
      <c r="N304" t="str">
        <f>_xlfn.XLOOKUP(Table3[[#This Row],[Cuenta]],Estructura_Balance[Nombre Cuenta ()],Estructura_Balance[Nivel 1],"",0)</f>
        <v/>
      </c>
      <c r="O304" t="str">
        <f>_xlfn.XLOOKUP(Table3[[#This Row],[Cuenta]],Estructura_Balance[Nombre Cuenta ()],Estructura_Balance[Nivel 2],"",0)</f>
        <v/>
      </c>
      <c r="P304" t="str">
        <f>_xlfn.XLOOKUP(Table3[[#This Row],[Cuenta]],Estructura_Balance[Nombre Cuenta ()],Estructura_Balance[Nivel 3],"",0)</f>
        <v/>
      </c>
      <c r="Q304" t="str">
        <f>_xlfn.XLOOKUP(Table3[[#This Row],[Cuenta]],Estructura_Balance[Nombre Cuenta ()],Estructura_Balance[Nivel 4],"",0)</f>
        <v/>
      </c>
      <c r="R304" s="154" t="str">
        <f>_xlfn.XLOOKUP(Table3[[#This Row],[Cuenta]],Table8[Nombre Cuenta ()],Table8[Nivel 1],"",0)</f>
        <v/>
      </c>
      <c r="S304" t="str">
        <f>_xlfn.XLOOKUP(Table3[[#This Row],[Cuenta]],Table8[Nombre Cuenta ()],Table8[Nivel 2],"",0)</f>
        <v/>
      </c>
      <c r="T304" t="str">
        <f>_xlfn.XLOOKUP(Table3[[#This Row],[Cuenta]],Table8[Nombre Cuenta ()],Table8[Nivel 3],"",0)</f>
        <v/>
      </c>
      <c r="U304">
        <v>637</v>
      </c>
      <c r="V304" t="str">
        <f>_xlfn.XLOOKUP(Table3[[#This Row],[Cuenta]],Estructura_Balance[Nombre Cuenta ()],Estructura_Balance[Niveles:2],"",0)</f>
        <v/>
      </c>
      <c r="W304" t="str">
        <f>_xlfn.XLOOKUP(Table3[[#This Row],[Cuenta]],Estructura_Balance[Nombre Cuenta ()],Estructura_Balance[Niveles:3],"",0)</f>
        <v/>
      </c>
      <c r="X304" t="str">
        <f>_xlfn.XLOOKUP(Table3[[#This Row],[Cuenta]],Estructura_Balance[Nombre Cuenta ()],Estructura_Balance[Grupos],"Grupo 1",0)</f>
        <v>Grupo 1</v>
      </c>
      <c r="Y304" t="str">
        <f>+Table3[[#This Row],[BS_Nivel_1]]</f>
        <v/>
      </c>
    </row>
    <row r="305" spans="1:25">
      <c r="A305">
        <f>+'Libro Diario'!F447</f>
        <v>0</v>
      </c>
      <c r="B305" s="144">
        <f>VALUE(IF(+'Libro Diario'!G447="","01/01/2025",+'Libro Diario'!G447))</f>
        <v>45658</v>
      </c>
      <c r="C305">
        <f>IF(ISNUMBER(+IF(IFERROR(VALUE(MID('Libro Diario'!C447,1,4)),0)&lt;&gt;0,'Libro Diario'!C447,0))=FALSE,'Libro Diario'!C447,0)</f>
        <v>0</v>
      </c>
      <c r="D305" s="145">
        <f>+'Libro Diario'!B447</f>
        <v>0</v>
      </c>
      <c r="E305" s="139" t="s">
        <v>445</v>
      </c>
      <c r="F305" t="str">
        <f t="shared" si="12"/>
        <v>Sin Mov.</v>
      </c>
      <c r="G305" t="str">
        <f>IF(+'Libro Diario'!H447=0,"",+'Libro Diario'!H447)</f>
        <v/>
      </c>
      <c r="H305" t="str">
        <f>IF(+'Libro Diario'!I447=0,"",+'Libro Diario'!I447)</f>
        <v/>
      </c>
      <c r="I305" t="str">
        <f>+IF(Table3[[#This Row],[Tipo Movimiento]]="Estructura Balance y PyG","Excluir","Incluir")</f>
        <v>Incluir</v>
      </c>
      <c r="J305" s="153">
        <f>+IF(Table3[[#This Row],[Sin cuenta]]="Con Mov.",(IF(Table3[[#This Row],[Movimiento]]="Debe",Table3[[#This Row],[Importe]],IF(Table3[[#This Row],[Movimiento]]="Haber",Table3[[#This Row],[Importe]]*-1,0))),0)</f>
        <v>0</v>
      </c>
      <c r="K305" s="145">
        <f t="shared" si="13"/>
        <v>0</v>
      </c>
      <c r="L305" s="145" t="str">
        <f t="shared" si="14"/>
        <v/>
      </c>
      <c r="M305" t="str">
        <f>_xlfn.XLOOKUP(Table3[[#This Row],[Cuenta]],Estructura_Balance[Nombre Cuenta ()],Estructura_Balance[Grupo],"",0)</f>
        <v/>
      </c>
      <c r="N305" t="str">
        <f>_xlfn.XLOOKUP(Table3[[#This Row],[Cuenta]],Estructura_Balance[Nombre Cuenta ()],Estructura_Balance[Nivel 1],"",0)</f>
        <v/>
      </c>
      <c r="O305" t="str">
        <f>_xlfn.XLOOKUP(Table3[[#This Row],[Cuenta]],Estructura_Balance[Nombre Cuenta ()],Estructura_Balance[Nivel 2],"",0)</f>
        <v/>
      </c>
      <c r="P305" t="str">
        <f>_xlfn.XLOOKUP(Table3[[#This Row],[Cuenta]],Estructura_Balance[Nombre Cuenta ()],Estructura_Balance[Nivel 3],"",0)</f>
        <v/>
      </c>
      <c r="Q305" t="str">
        <f>_xlfn.XLOOKUP(Table3[[#This Row],[Cuenta]],Estructura_Balance[Nombre Cuenta ()],Estructura_Balance[Nivel 4],"",0)</f>
        <v/>
      </c>
      <c r="R305" t="str">
        <f>_xlfn.XLOOKUP(Table3[[#This Row],[Cuenta]],Table8[Nombre Cuenta ()],Table8[Nivel 1],"",0)</f>
        <v/>
      </c>
      <c r="S305" t="str">
        <f>_xlfn.XLOOKUP(Table3[[#This Row],[Cuenta]],Table8[Nombre Cuenta ()],Table8[Nivel 2],"",0)</f>
        <v/>
      </c>
      <c r="T305" t="str">
        <f>_xlfn.XLOOKUP(Table3[[#This Row],[Cuenta]],Table8[Nombre Cuenta ()],Table8[Nivel 3],"",0)</f>
        <v/>
      </c>
      <c r="U305">
        <v>638</v>
      </c>
      <c r="V305" t="str">
        <f>_xlfn.XLOOKUP(Table3[[#This Row],[Cuenta]],Estructura_Balance[Nombre Cuenta ()],Estructura_Balance[Niveles:2],"",0)</f>
        <v/>
      </c>
      <c r="W305" t="str">
        <f>_xlfn.XLOOKUP(Table3[[#This Row],[Cuenta]],Estructura_Balance[Nombre Cuenta ()],Estructura_Balance[Niveles:3],"",0)</f>
        <v/>
      </c>
      <c r="X305" t="str">
        <f>_xlfn.XLOOKUP(Table3[[#This Row],[Cuenta]],Estructura_Balance[Nombre Cuenta ()],Estructura_Balance[Grupos],"Grupo 1",0)</f>
        <v>Grupo 1</v>
      </c>
      <c r="Y305" t="str">
        <f>+Table3[[#This Row],[BS_Nivel_1]]</f>
        <v/>
      </c>
    </row>
    <row r="306" spans="1:25">
      <c r="A306">
        <f>+'Libro Diario'!F448</f>
        <v>0</v>
      </c>
      <c r="B306" s="144">
        <f>VALUE(IF(+'Libro Diario'!G448="","01/01/2025",+'Libro Diario'!G448))</f>
        <v>45658</v>
      </c>
      <c r="C306">
        <f>IF(ISNUMBER(+IF(IFERROR(VALUE(MID('Libro Diario'!C448,1,4)),0)&lt;&gt;0,'Libro Diario'!C448,0))=FALSE,'Libro Diario'!C448,0)</f>
        <v>0</v>
      </c>
      <c r="D306" s="145" t="str">
        <f>+'Libro Diario'!B448</f>
        <v>DEBE</v>
      </c>
      <c r="E306" s="139" t="s">
        <v>445</v>
      </c>
      <c r="F306" t="str">
        <f t="shared" si="12"/>
        <v>Sin Mov.</v>
      </c>
      <c r="G306" t="str">
        <f>IF(+'Libro Diario'!H448=0,"",+'Libro Diario'!H448)</f>
        <v/>
      </c>
      <c r="H306" t="str">
        <f>IF(+'Libro Diario'!I448=0,"",+'Libro Diario'!I448)</f>
        <v/>
      </c>
      <c r="I306" t="str">
        <f>+IF(Table3[[#This Row],[Tipo Movimiento]]="Estructura Balance y PyG","Excluir","Incluir")</f>
        <v>Incluir</v>
      </c>
      <c r="J306" s="153">
        <f>+IF(Table3[[#This Row],[Sin cuenta]]="Con Mov.",(IF(Table3[[#This Row],[Movimiento]]="Debe",Table3[[#This Row],[Importe]],IF(Table3[[#This Row],[Movimiento]]="Haber",Table3[[#This Row],[Importe]]*-1,0))),0)</f>
        <v>0</v>
      </c>
      <c r="K306" s="145" t="str">
        <f t="shared" si="13"/>
        <v>DEBE</v>
      </c>
      <c r="L306" s="145" t="str">
        <f t="shared" si="14"/>
        <v/>
      </c>
      <c r="M306" t="str">
        <f>_xlfn.XLOOKUP(Table3[[#This Row],[Cuenta]],Estructura_Balance[Nombre Cuenta ()],Estructura_Balance[Grupo],"",0)</f>
        <v/>
      </c>
      <c r="N306" t="str">
        <f>_xlfn.XLOOKUP(Table3[[#This Row],[Cuenta]],Estructura_Balance[Nombre Cuenta ()],Estructura_Balance[Nivel 1],"",0)</f>
        <v/>
      </c>
      <c r="O306" t="str">
        <f>_xlfn.XLOOKUP(Table3[[#This Row],[Cuenta]],Estructura_Balance[Nombre Cuenta ()],Estructura_Balance[Nivel 2],"",0)</f>
        <v/>
      </c>
      <c r="P306" t="str">
        <f>_xlfn.XLOOKUP(Table3[[#This Row],[Cuenta]],Estructura_Balance[Nombre Cuenta ()],Estructura_Balance[Nivel 3],"",0)</f>
        <v/>
      </c>
      <c r="Q306" t="str">
        <f>_xlfn.XLOOKUP(Table3[[#This Row],[Cuenta]],Estructura_Balance[Nombre Cuenta ()],Estructura_Balance[Nivel 4],"",0)</f>
        <v/>
      </c>
      <c r="R306" s="154" t="str">
        <f>_xlfn.XLOOKUP(Table3[[#This Row],[Cuenta]],Table8[Nombre Cuenta ()],Table8[Nivel 1],"",0)</f>
        <v/>
      </c>
      <c r="S306" t="str">
        <f>_xlfn.XLOOKUP(Table3[[#This Row],[Cuenta]],Table8[Nombre Cuenta ()],Table8[Nivel 2],"",0)</f>
        <v/>
      </c>
      <c r="T306" t="str">
        <f>_xlfn.XLOOKUP(Table3[[#This Row],[Cuenta]],Table8[Nombre Cuenta ()],Table8[Nivel 3],"",0)</f>
        <v/>
      </c>
      <c r="U306">
        <v>639</v>
      </c>
      <c r="V306" t="str">
        <f>_xlfn.XLOOKUP(Table3[[#This Row],[Cuenta]],Estructura_Balance[Nombre Cuenta ()],Estructura_Balance[Niveles:2],"",0)</f>
        <v/>
      </c>
      <c r="W306" t="str">
        <f>_xlfn.XLOOKUP(Table3[[#This Row],[Cuenta]],Estructura_Balance[Nombre Cuenta ()],Estructura_Balance[Niveles:3],"",0)</f>
        <v/>
      </c>
      <c r="X306" t="str">
        <f>_xlfn.XLOOKUP(Table3[[#This Row],[Cuenta]],Estructura_Balance[Nombre Cuenta ()],Estructura_Balance[Grupos],"Grupo 1",0)</f>
        <v>Grupo 1</v>
      </c>
      <c r="Y306" t="str">
        <f>+Table3[[#This Row],[BS_Nivel_1]]</f>
        <v/>
      </c>
    </row>
    <row r="307" spans="1:25">
      <c r="A307">
        <f>+'Libro Diario'!F449</f>
        <v>0</v>
      </c>
      <c r="B307" s="144">
        <f>VALUE(IF(+'Libro Diario'!G449="","01/01/2025",+'Libro Diario'!G449))</f>
        <v>45658</v>
      </c>
      <c r="C307">
        <f>IF(ISNUMBER(+IF(IFERROR(VALUE(MID('Libro Diario'!C449,1,4)),0)&lt;&gt;0,'Libro Diario'!C449,0))=FALSE,'Libro Diario'!C449,0)</f>
        <v>0</v>
      </c>
      <c r="D307" s="145">
        <f>+'Libro Diario'!B449</f>
        <v>0</v>
      </c>
      <c r="E307" s="139" t="s">
        <v>445</v>
      </c>
      <c r="F307" t="str">
        <f t="shared" si="12"/>
        <v>Sin Mov.</v>
      </c>
      <c r="G307" t="str">
        <f>IF(+'Libro Diario'!H449=0,"",+'Libro Diario'!H449)</f>
        <v/>
      </c>
      <c r="H307" t="str">
        <f>IF(+'Libro Diario'!I449=0,"",+'Libro Diario'!I449)</f>
        <v/>
      </c>
      <c r="I307" t="str">
        <f>+IF(Table3[[#This Row],[Tipo Movimiento]]="Estructura Balance y PyG","Excluir","Incluir")</f>
        <v>Incluir</v>
      </c>
      <c r="J307" s="153">
        <f>+IF(Table3[[#This Row],[Sin cuenta]]="Con Mov.",(IF(Table3[[#This Row],[Movimiento]]="Debe",Table3[[#This Row],[Importe]],IF(Table3[[#This Row],[Movimiento]]="Haber",Table3[[#This Row],[Importe]]*-1,0))),0)</f>
        <v>0</v>
      </c>
      <c r="K307" s="145">
        <f t="shared" si="13"/>
        <v>0</v>
      </c>
      <c r="L307" s="145" t="str">
        <f t="shared" si="14"/>
        <v/>
      </c>
      <c r="M307" t="str">
        <f>_xlfn.XLOOKUP(Table3[[#This Row],[Cuenta]],Estructura_Balance[Nombre Cuenta ()],Estructura_Balance[Grupo],"",0)</f>
        <v/>
      </c>
      <c r="N307" t="str">
        <f>_xlfn.XLOOKUP(Table3[[#This Row],[Cuenta]],Estructura_Balance[Nombre Cuenta ()],Estructura_Balance[Nivel 1],"",0)</f>
        <v/>
      </c>
      <c r="O307" t="str">
        <f>_xlfn.XLOOKUP(Table3[[#This Row],[Cuenta]],Estructura_Balance[Nombre Cuenta ()],Estructura_Balance[Nivel 2],"",0)</f>
        <v/>
      </c>
      <c r="P307" t="str">
        <f>_xlfn.XLOOKUP(Table3[[#This Row],[Cuenta]],Estructura_Balance[Nombre Cuenta ()],Estructura_Balance[Nivel 3],"",0)</f>
        <v/>
      </c>
      <c r="Q307" t="str">
        <f>_xlfn.XLOOKUP(Table3[[#This Row],[Cuenta]],Estructura_Balance[Nombre Cuenta ()],Estructura_Balance[Nivel 4],"",0)</f>
        <v/>
      </c>
      <c r="R307" t="str">
        <f>_xlfn.XLOOKUP(Table3[[#This Row],[Cuenta]],Table8[Nombre Cuenta ()],Table8[Nivel 1],"",0)</f>
        <v/>
      </c>
      <c r="S307" t="str">
        <f>_xlfn.XLOOKUP(Table3[[#This Row],[Cuenta]],Table8[Nombre Cuenta ()],Table8[Nivel 2],"",0)</f>
        <v/>
      </c>
      <c r="T307" t="str">
        <f>_xlfn.XLOOKUP(Table3[[#This Row],[Cuenta]],Table8[Nombre Cuenta ()],Table8[Nivel 3],"",0)</f>
        <v/>
      </c>
      <c r="U307">
        <v>640</v>
      </c>
      <c r="V307" t="str">
        <f>_xlfn.XLOOKUP(Table3[[#This Row],[Cuenta]],Estructura_Balance[Nombre Cuenta ()],Estructura_Balance[Niveles:2],"",0)</f>
        <v/>
      </c>
      <c r="W307" t="str">
        <f>_xlfn.XLOOKUP(Table3[[#This Row],[Cuenta]],Estructura_Balance[Nombre Cuenta ()],Estructura_Balance[Niveles:3],"",0)</f>
        <v/>
      </c>
      <c r="X307" t="str">
        <f>_xlfn.XLOOKUP(Table3[[#This Row],[Cuenta]],Estructura_Balance[Nombre Cuenta ()],Estructura_Balance[Grupos],"Grupo 1",0)</f>
        <v>Grupo 1</v>
      </c>
      <c r="Y307" t="str">
        <f>+Table3[[#This Row],[BS_Nivel_1]]</f>
        <v/>
      </c>
    </row>
    <row r="308" spans="1:25">
      <c r="A308">
        <f>+'Libro Diario'!F452</f>
        <v>0</v>
      </c>
      <c r="B308" s="144">
        <f>VALUE(IF(+'Libro Diario'!G452="","01/01/2025",+'Libro Diario'!G452))</f>
        <v>45658</v>
      </c>
      <c r="C308">
        <f>IF(ISNUMBER(+IF(IFERROR(VALUE(MID('Libro Diario'!C452,1,4)),0)&lt;&gt;0,'Libro Diario'!C452,0))=FALSE,'Libro Diario'!C452,0)</f>
        <v>0</v>
      </c>
      <c r="D308" s="145" t="str">
        <f>+'Libro Diario'!B452</f>
        <v>Corrección Valorativa - Deterioro de Valor</v>
      </c>
      <c r="E308" s="139" t="s">
        <v>445</v>
      </c>
      <c r="F308" t="str">
        <f t="shared" si="12"/>
        <v>Sin Mov.</v>
      </c>
      <c r="G308" t="str">
        <f>IF(+'Libro Diario'!H452=0,"",+'Libro Diario'!H452)</f>
        <v/>
      </c>
      <c r="H308" t="str">
        <f>IF(+'Libro Diario'!I452=0,"",+'Libro Diario'!I452)</f>
        <v/>
      </c>
      <c r="I308" t="str">
        <f>+IF(Table3[[#This Row],[Tipo Movimiento]]="Estructura Balance y PyG","Excluir","Incluir")</f>
        <v>Incluir</v>
      </c>
      <c r="J308" s="153">
        <f>+IF(Table3[[#This Row],[Sin cuenta]]="Con Mov.",(IF(Table3[[#This Row],[Movimiento]]="Debe",Table3[[#This Row],[Importe]],IF(Table3[[#This Row],[Movimiento]]="Haber",Table3[[#This Row],[Importe]]*-1,0))),0)</f>
        <v>0</v>
      </c>
      <c r="K308" s="145" t="str">
        <f t="shared" si="13"/>
        <v>Corrección Valorativa - Deterioro de Valor</v>
      </c>
      <c r="L308" s="145" t="str">
        <f t="shared" si="14"/>
        <v/>
      </c>
      <c r="M308" t="str">
        <f>_xlfn.XLOOKUP(Table3[[#This Row],[Cuenta]],Estructura_Balance[Nombre Cuenta ()],Estructura_Balance[Grupo],"",0)</f>
        <v/>
      </c>
      <c r="N308" t="str">
        <f>_xlfn.XLOOKUP(Table3[[#This Row],[Cuenta]],Estructura_Balance[Nombre Cuenta ()],Estructura_Balance[Nivel 1],"",0)</f>
        <v/>
      </c>
      <c r="O308" t="str">
        <f>_xlfn.XLOOKUP(Table3[[#This Row],[Cuenta]],Estructura_Balance[Nombre Cuenta ()],Estructura_Balance[Nivel 2],"",0)</f>
        <v/>
      </c>
      <c r="P308" t="str">
        <f>_xlfn.XLOOKUP(Table3[[#This Row],[Cuenta]],Estructura_Balance[Nombre Cuenta ()],Estructura_Balance[Nivel 3],"",0)</f>
        <v/>
      </c>
      <c r="Q308" t="str">
        <f>_xlfn.XLOOKUP(Table3[[#This Row],[Cuenta]],Estructura_Balance[Nombre Cuenta ()],Estructura_Balance[Nivel 4],"",0)</f>
        <v/>
      </c>
      <c r="R308" s="154" t="str">
        <f>_xlfn.XLOOKUP(Table3[[#This Row],[Cuenta]],Table8[Nombre Cuenta ()],Table8[Nivel 1],"",0)</f>
        <v/>
      </c>
      <c r="S308" t="str">
        <f>_xlfn.XLOOKUP(Table3[[#This Row],[Cuenta]],Table8[Nombre Cuenta ()],Table8[Nivel 2],"",0)</f>
        <v/>
      </c>
      <c r="T308" t="str">
        <f>_xlfn.XLOOKUP(Table3[[#This Row],[Cuenta]],Table8[Nombre Cuenta ()],Table8[Nivel 3],"",0)</f>
        <v/>
      </c>
      <c r="U308">
        <v>643</v>
      </c>
      <c r="V308" t="str">
        <f>_xlfn.XLOOKUP(Table3[[#This Row],[Cuenta]],Estructura_Balance[Nombre Cuenta ()],Estructura_Balance[Niveles:2],"",0)</f>
        <v/>
      </c>
      <c r="W308" t="str">
        <f>_xlfn.XLOOKUP(Table3[[#This Row],[Cuenta]],Estructura_Balance[Nombre Cuenta ()],Estructura_Balance[Niveles:3],"",0)</f>
        <v/>
      </c>
      <c r="X308" t="str">
        <f>_xlfn.XLOOKUP(Table3[[#This Row],[Cuenta]],Estructura_Balance[Nombre Cuenta ()],Estructura_Balance[Grupos],"Grupo 1",0)</f>
        <v>Grupo 1</v>
      </c>
      <c r="Y308" t="str">
        <f>+Table3[[#This Row],[BS_Nivel_1]]</f>
        <v/>
      </c>
    </row>
    <row r="309" spans="1:25">
      <c r="A309">
        <f>+'Libro Diario'!F453</f>
        <v>0</v>
      </c>
      <c r="B309" s="144">
        <f>VALUE(IF(+'Libro Diario'!G453="","01/01/2025",+'Libro Diario'!G453))</f>
        <v>45658</v>
      </c>
      <c r="C309">
        <f>IF(ISNUMBER(+IF(IFERROR(VALUE(MID('Libro Diario'!C453,1,4)),0)&lt;&gt;0,'Libro Diario'!C453,0))=FALSE,'Libro Diario'!C453,0)</f>
        <v>0</v>
      </c>
      <c r="D309" s="145" t="str">
        <f>+'Libro Diario'!B453</f>
        <v>Asiento Cuadrado</v>
      </c>
      <c r="E309" s="139" t="s">
        <v>445</v>
      </c>
      <c r="F309" t="str">
        <f t="shared" si="12"/>
        <v>Sin Mov.</v>
      </c>
      <c r="G309" t="str">
        <f>IF(+'Libro Diario'!H453=0,"",+'Libro Diario'!H453)</f>
        <v/>
      </c>
      <c r="H309" t="str">
        <f>IF(+'Libro Diario'!I453=0,"",+'Libro Diario'!I453)</f>
        <v/>
      </c>
      <c r="I309" t="str">
        <f>+IF(Table3[[#This Row],[Tipo Movimiento]]="Estructura Balance y PyG","Excluir","Incluir")</f>
        <v>Incluir</v>
      </c>
      <c r="J309" s="153">
        <f>+IF(Table3[[#This Row],[Sin cuenta]]="Con Mov.",(IF(Table3[[#This Row],[Movimiento]]="Debe",Table3[[#This Row],[Importe]],IF(Table3[[#This Row],[Movimiento]]="Haber",Table3[[#This Row],[Importe]]*-1,0))),0)</f>
        <v>0</v>
      </c>
      <c r="K309" s="145" t="str">
        <f t="shared" si="13"/>
        <v>Asiento Cuadrado</v>
      </c>
      <c r="L309" s="145" t="str">
        <f t="shared" si="14"/>
        <v/>
      </c>
      <c r="M309" t="str">
        <f>_xlfn.XLOOKUP(Table3[[#This Row],[Cuenta]],Estructura_Balance[Nombre Cuenta ()],Estructura_Balance[Grupo],"",0)</f>
        <v/>
      </c>
      <c r="N309" t="str">
        <f>_xlfn.XLOOKUP(Table3[[#This Row],[Cuenta]],Estructura_Balance[Nombre Cuenta ()],Estructura_Balance[Nivel 1],"",0)</f>
        <v/>
      </c>
      <c r="O309" t="str">
        <f>_xlfn.XLOOKUP(Table3[[#This Row],[Cuenta]],Estructura_Balance[Nombre Cuenta ()],Estructura_Balance[Nivel 2],"",0)</f>
        <v/>
      </c>
      <c r="P309" t="str">
        <f>_xlfn.XLOOKUP(Table3[[#This Row],[Cuenta]],Estructura_Balance[Nombre Cuenta ()],Estructura_Balance[Nivel 3],"",0)</f>
        <v/>
      </c>
      <c r="Q309" t="str">
        <f>_xlfn.XLOOKUP(Table3[[#This Row],[Cuenta]],Estructura_Balance[Nombre Cuenta ()],Estructura_Balance[Nivel 4],"",0)</f>
        <v/>
      </c>
      <c r="R309" t="str">
        <f>_xlfn.XLOOKUP(Table3[[#This Row],[Cuenta]],Table8[Nombre Cuenta ()],Table8[Nivel 1],"",0)</f>
        <v/>
      </c>
      <c r="S309" t="str">
        <f>_xlfn.XLOOKUP(Table3[[#This Row],[Cuenta]],Table8[Nombre Cuenta ()],Table8[Nivel 2],"",0)</f>
        <v/>
      </c>
      <c r="T309" t="str">
        <f>_xlfn.XLOOKUP(Table3[[#This Row],[Cuenta]],Table8[Nombre Cuenta ()],Table8[Nivel 3],"",0)</f>
        <v/>
      </c>
      <c r="U309">
        <v>644</v>
      </c>
      <c r="V309" t="str">
        <f>_xlfn.XLOOKUP(Table3[[#This Row],[Cuenta]],Estructura_Balance[Nombre Cuenta ()],Estructura_Balance[Niveles:2],"",0)</f>
        <v/>
      </c>
      <c r="W309" t="str">
        <f>_xlfn.XLOOKUP(Table3[[#This Row],[Cuenta]],Estructura_Balance[Nombre Cuenta ()],Estructura_Balance[Niveles:3],"",0)</f>
        <v/>
      </c>
      <c r="X309" t="str">
        <f>_xlfn.XLOOKUP(Table3[[#This Row],[Cuenta]],Estructura_Balance[Nombre Cuenta ()],Estructura_Balance[Grupos],"Grupo 1",0)</f>
        <v>Grupo 1</v>
      </c>
      <c r="Y309" t="str">
        <f>+Table3[[#This Row],[BS_Nivel_1]]</f>
        <v/>
      </c>
    </row>
    <row r="310" spans="1:25">
      <c r="A310">
        <f>+'Libro Diario'!F454</f>
        <v>0</v>
      </c>
      <c r="B310" s="144">
        <f>VALUE(IF(+'Libro Diario'!G454="","01/01/2025",+'Libro Diario'!G454))</f>
        <v>45658</v>
      </c>
      <c r="C310">
        <f>IF(ISNUMBER(+IF(IFERROR(VALUE(MID('Libro Diario'!C454,1,4)),0)&lt;&gt;0,'Libro Diario'!C454,0))=FALSE,'Libro Diario'!C454,0)</f>
        <v>0</v>
      </c>
      <c r="D310" s="145">
        <f>+'Libro Diario'!B454</f>
        <v>0</v>
      </c>
      <c r="E310" s="139" t="s">
        <v>445</v>
      </c>
      <c r="F310" t="str">
        <f t="shared" si="12"/>
        <v>Sin Mov.</v>
      </c>
      <c r="G310" t="str">
        <f>IF(+'Libro Diario'!H454=0,"",+'Libro Diario'!H454)</f>
        <v/>
      </c>
      <c r="H310" t="str">
        <f>IF(+'Libro Diario'!I454=0,"",+'Libro Diario'!I454)</f>
        <v/>
      </c>
      <c r="I310" t="str">
        <f>+IF(Table3[[#This Row],[Tipo Movimiento]]="Estructura Balance y PyG","Excluir","Incluir")</f>
        <v>Incluir</v>
      </c>
      <c r="J310" s="153">
        <f>+IF(Table3[[#This Row],[Sin cuenta]]="Con Mov.",(IF(Table3[[#This Row],[Movimiento]]="Debe",Table3[[#This Row],[Importe]],IF(Table3[[#This Row],[Movimiento]]="Haber",Table3[[#This Row],[Importe]]*-1,0))),0)</f>
        <v>0</v>
      </c>
      <c r="K310" s="145">
        <f t="shared" si="13"/>
        <v>0</v>
      </c>
      <c r="L310" s="145" t="str">
        <f t="shared" si="14"/>
        <v/>
      </c>
      <c r="M310" t="str">
        <f>_xlfn.XLOOKUP(Table3[[#This Row],[Cuenta]],Estructura_Balance[Nombre Cuenta ()],Estructura_Balance[Grupo],"",0)</f>
        <v/>
      </c>
      <c r="N310" t="str">
        <f>_xlfn.XLOOKUP(Table3[[#This Row],[Cuenta]],Estructura_Balance[Nombre Cuenta ()],Estructura_Balance[Nivel 1],"",0)</f>
        <v/>
      </c>
      <c r="O310" t="str">
        <f>_xlfn.XLOOKUP(Table3[[#This Row],[Cuenta]],Estructura_Balance[Nombre Cuenta ()],Estructura_Balance[Nivel 2],"",0)</f>
        <v/>
      </c>
      <c r="P310" t="str">
        <f>_xlfn.XLOOKUP(Table3[[#This Row],[Cuenta]],Estructura_Balance[Nombre Cuenta ()],Estructura_Balance[Nivel 3],"",0)</f>
        <v/>
      </c>
      <c r="Q310" t="str">
        <f>_xlfn.XLOOKUP(Table3[[#This Row],[Cuenta]],Estructura_Balance[Nombre Cuenta ()],Estructura_Balance[Nivel 4],"",0)</f>
        <v/>
      </c>
      <c r="R310" s="154" t="str">
        <f>_xlfn.XLOOKUP(Table3[[#This Row],[Cuenta]],Table8[Nombre Cuenta ()],Table8[Nivel 1],"",0)</f>
        <v/>
      </c>
      <c r="S310" t="str">
        <f>_xlfn.XLOOKUP(Table3[[#This Row],[Cuenta]],Table8[Nombre Cuenta ()],Table8[Nivel 2],"",0)</f>
        <v/>
      </c>
      <c r="T310" t="str">
        <f>_xlfn.XLOOKUP(Table3[[#This Row],[Cuenta]],Table8[Nombre Cuenta ()],Table8[Nivel 3],"",0)</f>
        <v/>
      </c>
      <c r="U310">
        <v>645</v>
      </c>
      <c r="V310" t="str">
        <f>_xlfn.XLOOKUP(Table3[[#This Row],[Cuenta]],Estructura_Balance[Nombre Cuenta ()],Estructura_Balance[Niveles:2],"",0)</f>
        <v/>
      </c>
      <c r="W310" t="str">
        <f>_xlfn.XLOOKUP(Table3[[#This Row],[Cuenta]],Estructura_Balance[Nombre Cuenta ()],Estructura_Balance[Niveles:3],"",0)</f>
        <v/>
      </c>
      <c r="X310" t="str">
        <f>_xlfn.XLOOKUP(Table3[[#This Row],[Cuenta]],Estructura_Balance[Nombre Cuenta ()],Estructura_Balance[Grupos],"Grupo 1",0)</f>
        <v>Grupo 1</v>
      </c>
      <c r="Y310" t="str">
        <f>+Table3[[#This Row],[BS_Nivel_1]]</f>
        <v/>
      </c>
    </row>
    <row r="311" spans="1:25">
      <c r="A311">
        <f>+'Libro Diario'!F455</f>
        <v>0</v>
      </c>
      <c r="B311" s="144">
        <f>VALUE(IF(+'Libro Diario'!G455="","01/01/2025",+'Libro Diario'!G455))</f>
        <v>45658</v>
      </c>
      <c r="C311">
        <f>IF(ISNUMBER(+IF(IFERROR(VALUE(MID('Libro Diario'!C455,1,4)),0)&lt;&gt;0,'Libro Diario'!C455,0))=FALSE,'Libro Diario'!C455,0)</f>
        <v>0</v>
      </c>
      <c r="D311" s="145" t="str">
        <f>+'Libro Diario'!B455</f>
        <v>DEBE</v>
      </c>
      <c r="E311" s="139" t="s">
        <v>445</v>
      </c>
      <c r="F311" t="str">
        <f t="shared" si="12"/>
        <v>Sin Mov.</v>
      </c>
      <c r="G311" t="str">
        <f>IF(+'Libro Diario'!H455=0,"",+'Libro Diario'!H455)</f>
        <v/>
      </c>
      <c r="H311" t="str">
        <f>IF(+'Libro Diario'!I455=0,"",+'Libro Diario'!I455)</f>
        <v/>
      </c>
      <c r="I311" t="str">
        <f>+IF(Table3[[#This Row],[Tipo Movimiento]]="Estructura Balance y PyG","Excluir","Incluir")</f>
        <v>Incluir</v>
      </c>
      <c r="J311" s="153">
        <f>+IF(Table3[[#This Row],[Sin cuenta]]="Con Mov.",(IF(Table3[[#This Row],[Movimiento]]="Debe",Table3[[#This Row],[Importe]],IF(Table3[[#This Row],[Movimiento]]="Haber",Table3[[#This Row],[Importe]]*-1,0))),0)</f>
        <v>0</v>
      </c>
      <c r="K311" s="145" t="str">
        <f t="shared" si="13"/>
        <v>DEBE</v>
      </c>
      <c r="L311" s="145" t="str">
        <f t="shared" si="14"/>
        <v/>
      </c>
      <c r="M311" t="str">
        <f>_xlfn.XLOOKUP(Table3[[#This Row],[Cuenta]],Estructura_Balance[Nombre Cuenta ()],Estructura_Balance[Grupo],"",0)</f>
        <v/>
      </c>
      <c r="N311" t="str">
        <f>_xlfn.XLOOKUP(Table3[[#This Row],[Cuenta]],Estructura_Balance[Nombre Cuenta ()],Estructura_Balance[Nivel 1],"",0)</f>
        <v/>
      </c>
      <c r="O311" t="str">
        <f>_xlfn.XLOOKUP(Table3[[#This Row],[Cuenta]],Estructura_Balance[Nombre Cuenta ()],Estructura_Balance[Nivel 2],"",0)</f>
        <v/>
      </c>
      <c r="P311" t="str">
        <f>_xlfn.XLOOKUP(Table3[[#This Row],[Cuenta]],Estructura_Balance[Nombre Cuenta ()],Estructura_Balance[Nivel 3],"",0)</f>
        <v/>
      </c>
      <c r="Q311" t="str">
        <f>_xlfn.XLOOKUP(Table3[[#This Row],[Cuenta]],Estructura_Balance[Nombre Cuenta ()],Estructura_Balance[Nivel 4],"",0)</f>
        <v/>
      </c>
      <c r="R311" s="154" t="str">
        <f>_xlfn.XLOOKUP(Table3[[#This Row],[Cuenta]],Table8[Nombre Cuenta ()],Table8[Nivel 1],"",0)</f>
        <v/>
      </c>
      <c r="S311" t="str">
        <f>_xlfn.XLOOKUP(Table3[[#This Row],[Cuenta]],Table8[Nombre Cuenta ()],Table8[Nivel 2],"",0)</f>
        <v/>
      </c>
      <c r="T311" t="str">
        <f>_xlfn.XLOOKUP(Table3[[#This Row],[Cuenta]],Table8[Nombre Cuenta ()],Table8[Nivel 3],"",0)</f>
        <v/>
      </c>
      <c r="U311">
        <v>646</v>
      </c>
      <c r="V311" t="str">
        <f>_xlfn.XLOOKUP(Table3[[#This Row],[Cuenta]],Estructura_Balance[Nombre Cuenta ()],Estructura_Balance[Niveles:2],"",0)</f>
        <v/>
      </c>
      <c r="W311" t="str">
        <f>_xlfn.XLOOKUP(Table3[[#This Row],[Cuenta]],Estructura_Balance[Nombre Cuenta ()],Estructura_Balance[Niveles:3],"",0)</f>
        <v/>
      </c>
      <c r="X311" t="str">
        <f>_xlfn.XLOOKUP(Table3[[#This Row],[Cuenta]],Estructura_Balance[Nombre Cuenta ()],Estructura_Balance[Grupos],"Grupo 1",0)</f>
        <v>Grupo 1</v>
      </c>
      <c r="Y311" t="str">
        <f>+Table3[[#This Row],[BS_Nivel_1]]</f>
        <v/>
      </c>
    </row>
    <row r="312" spans="1:25">
      <c r="A312">
        <f>+'Libro Diario'!F456</f>
        <v>0</v>
      </c>
      <c r="B312" s="144">
        <f>VALUE(IF(+'Libro Diario'!G456="","01/01/2025",+'Libro Diario'!G456))</f>
        <v>45658</v>
      </c>
      <c r="C312">
        <f>IF(ISNUMBER(+IF(IFERROR(VALUE(MID('Libro Diario'!C456,1,4)),0)&lt;&gt;0,'Libro Diario'!C456,0))=FALSE,'Libro Diario'!C456,0)</f>
        <v>0</v>
      </c>
      <c r="D312" s="145">
        <f>+'Libro Diario'!B456</f>
        <v>0</v>
      </c>
      <c r="E312" s="139" t="s">
        <v>445</v>
      </c>
      <c r="F312" t="str">
        <f t="shared" si="12"/>
        <v>Sin Mov.</v>
      </c>
      <c r="G312" t="str">
        <f>IF(+'Libro Diario'!H456=0,"",+'Libro Diario'!H456)</f>
        <v/>
      </c>
      <c r="H312" t="str">
        <f>IF(+'Libro Diario'!I456=0,"",+'Libro Diario'!I456)</f>
        <v/>
      </c>
      <c r="I312" t="str">
        <f>+IF(Table3[[#This Row],[Tipo Movimiento]]="Estructura Balance y PyG","Excluir","Incluir")</f>
        <v>Incluir</v>
      </c>
      <c r="J312" s="153">
        <f>+IF(Table3[[#This Row],[Sin cuenta]]="Con Mov.",(IF(Table3[[#This Row],[Movimiento]]="Debe",Table3[[#This Row],[Importe]],IF(Table3[[#This Row],[Movimiento]]="Haber",Table3[[#This Row],[Importe]]*-1,0))),0)</f>
        <v>0</v>
      </c>
      <c r="K312" s="145">
        <f t="shared" si="13"/>
        <v>0</v>
      </c>
      <c r="L312" s="145" t="str">
        <f t="shared" si="14"/>
        <v/>
      </c>
      <c r="M312" t="str">
        <f>_xlfn.XLOOKUP(Table3[[#This Row],[Cuenta]],Estructura_Balance[Nombre Cuenta ()],Estructura_Balance[Grupo],"",0)</f>
        <v/>
      </c>
      <c r="N312" t="str">
        <f>_xlfn.XLOOKUP(Table3[[#This Row],[Cuenta]],Estructura_Balance[Nombre Cuenta ()],Estructura_Balance[Nivel 1],"",0)</f>
        <v/>
      </c>
      <c r="O312" t="str">
        <f>_xlfn.XLOOKUP(Table3[[#This Row],[Cuenta]],Estructura_Balance[Nombre Cuenta ()],Estructura_Balance[Nivel 2],"",0)</f>
        <v/>
      </c>
      <c r="P312" t="str">
        <f>_xlfn.XLOOKUP(Table3[[#This Row],[Cuenta]],Estructura_Balance[Nombre Cuenta ()],Estructura_Balance[Nivel 3],"",0)</f>
        <v/>
      </c>
      <c r="Q312" t="str">
        <f>_xlfn.XLOOKUP(Table3[[#This Row],[Cuenta]],Estructura_Balance[Nombre Cuenta ()],Estructura_Balance[Nivel 4],"",0)</f>
        <v/>
      </c>
      <c r="R312" s="154" t="str">
        <f>_xlfn.XLOOKUP(Table3[[#This Row],[Cuenta]],Table8[Nombre Cuenta ()],Table8[Nivel 1],"",0)</f>
        <v/>
      </c>
      <c r="S312" t="str">
        <f>_xlfn.XLOOKUP(Table3[[#This Row],[Cuenta]],Table8[Nombre Cuenta ()],Table8[Nivel 2],"",0)</f>
        <v/>
      </c>
      <c r="T312" t="str">
        <f>_xlfn.XLOOKUP(Table3[[#This Row],[Cuenta]],Table8[Nombre Cuenta ()],Table8[Nivel 3],"",0)</f>
        <v/>
      </c>
      <c r="U312">
        <v>647</v>
      </c>
      <c r="V312" t="str">
        <f>_xlfn.XLOOKUP(Table3[[#This Row],[Cuenta]],Estructura_Balance[Nombre Cuenta ()],Estructura_Balance[Niveles:2],"",0)</f>
        <v/>
      </c>
      <c r="W312" t="str">
        <f>_xlfn.XLOOKUP(Table3[[#This Row],[Cuenta]],Estructura_Balance[Nombre Cuenta ()],Estructura_Balance[Niveles:3],"",0)</f>
        <v/>
      </c>
      <c r="X312" t="str">
        <f>_xlfn.XLOOKUP(Table3[[#This Row],[Cuenta]],Estructura_Balance[Nombre Cuenta ()],Estructura_Balance[Grupos],"Grupo 1",0)</f>
        <v>Grupo 1</v>
      </c>
      <c r="Y312" t="str">
        <f>+Table3[[#This Row],[BS_Nivel_1]]</f>
        <v/>
      </c>
    </row>
    <row r="313" spans="1:25">
      <c r="A313">
        <f>+'Libro Diario'!F459</f>
        <v>0</v>
      </c>
      <c r="B313" s="144">
        <f>VALUE(IF(+'Libro Diario'!G459="","01/01/2025",+'Libro Diario'!G459))</f>
        <v>45658</v>
      </c>
      <c r="C313">
        <f>IF(ISNUMBER(+IF(IFERROR(VALUE(MID('Libro Diario'!C459,1,4)),0)&lt;&gt;0,'Libro Diario'!C459,0))=FALSE,'Libro Diario'!C459,0)</f>
        <v>0</v>
      </c>
      <c r="D313" s="145" t="str">
        <f>+'Libro Diario'!B459</f>
        <v>Corrección Valorativa - Deterioro de Valor</v>
      </c>
      <c r="E313" s="139" t="s">
        <v>445</v>
      </c>
      <c r="F313" t="str">
        <f t="shared" si="12"/>
        <v>Sin Mov.</v>
      </c>
      <c r="G313" t="str">
        <f>IF(+'Libro Diario'!H459=0,"",+'Libro Diario'!H459)</f>
        <v/>
      </c>
      <c r="H313" t="str">
        <f>IF(+'Libro Diario'!I459=0,"",+'Libro Diario'!I459)</f>
        <v/>
      </c>
      <c r="I313" t="str">
        <f>+IF(Table3[[#This Row],[Tipo Movimiento]]="Estructura Balance y PyG","Excluir","Incluir")</f>
        <v>Incluir</v>
      </c>
      <c r="J313" s="153">
        <f>+IF(Table3[[#This Row],[Sin cuenta]]="Con Mov.",(IF(Table3[[#This Row],[Movimiento]]="Debe",Table3[[#This Row],[Importe]],IF(Table3[[#This Row],[Movimiento]]="Haber",Table3[[#This Row],[Importe]]*-1,0))),0)</f>
        <v>0</v>
      </c>
      <c r="K313" s="145" t="str">
        <f t="shared" si="13"/>
        <v>Corrección Valorativa - Deterioro de Valor</v>
      </c>
      <c r="L313" s="145" t="str">
        <f t="shared" si="14"/>
        <v/>
      </c>
      <c r="M313" t="str">
        <f>_xlfn.XLOOKUP(Table3[[#This Row],[Cuenta]],Estructura_Balance[Nombre Cuenta ()],Estructura_Balance[Grupo],"",0)</f>
        <v/>
      </c>
      <c r="N313" t="str">
        <f>_xlfn.XLOOKUP(Table3[[#This Row],[Cuenta]],Estructura_Balance[Nombre Cuenta ()],Estructura_Balance[Nivel 1],"",0)</f>
        <v/>
      </c>
      <c r="O313" t="str">
        <f>_xlfn.XLOOKUP(Table3[[#This Row],[Cuenta]],Estructura_Balance[Nombre Cuenta ()],Estructura_Balance[Nivel 2],"",0)</f>
        <v/>
      </c>
      <c r="P313" t="str">
        <f>_xlfn.XLOOKUP(Table3[[#This Row],[Cuenta]],Estructura_Balance[Nombre Cuenta ()],Estructura_Balance[Nivel 3],"",0)</f>
        <v/>
      </c>
      <c r="Q313" t="str">
        <f>_xlfn.XLOOKUP(Table3[[#This Row],[Cuenta]],Estructura_Balance[Nombre Cuenta ()],Estructura_Balance[Nivel 4],"",0)</f>
        <v/>
      </c>
      <c r="R313" s="154" t="str">
        <f>_xlfn.XLOOKUP(Table3[[#This Row],[Cuenta]],Table8[Nombre Cuenta ()],Table8[Nivel 1],"",0)</f>
        <v/>
      </c>
      <c r="S313" t="str">
        <f>_xlfn.XLOOKUP(Table3[[#This Row],[Cuenta]],Table8[Nombre Cuenta ()],Table8[Nivel 2],"",0)</f>
        <v/>
      </c>
      <c r="T313" t="str">
        <f>_xlfn.XLOOKUP(Table3[[#This Row],[Cuenta]],Table8[Nombre Cuenta ()],Table8[Nivel 3],"",0)</f>
        <v/>
      </c>
      <c r="U313">
        <v>650</v>
      </c>
      <c r="V313" t="str">
        <f>_xlfn.XLOOKUP(Table3[[#This Row],[Cuenta]],Estructura_Balance[Nombre Cuenta ()],Estructura_Balance[Niveles:2],"",0)</f>
        <v/>
      </c>
      <c r="W313" t="str">
        <f>_xlfn.XLOOKUP(Table3[[#This Row],[Cuenta]],Estructura_Balance[Nombre Cuenta ()],Estructura_Balance[Niveles:3],"",0)</f>
        <v/>
      </c>
      <c r="X313" t="str">
        <f>_xlfn.XLOOKUP(Table3[[#This Row],[Cuenta]],Estructura_Balance[Nombre Cuenta ()],Estructura_Balance[Grupos],"Grupo 1",0)</f>
        <v>Grupo 1</v>
      </c>
      <c r="Y313" t="str">
        <f>+Table3[[#This Row],[BS_Nivel_1]]</f>
        <v/>
      </c>
    </row>
    <row r="314" spans="1:25">
      <c r="A314">
        <f>+'Libro Diario'!F460</f>
        <v>0</v>
      </c>
      <c r="B314" s="144">
        <f>VALUE(IF(+'Libro Diario'!G460="","01/01/2025",+'Libro Diario'!G460))</f>
        <v>45658</v>
      </c>
      <c r="C314">
        <f>IF(ISNUMBER(+IF(IFERROR(VALUE(MID('Libro Diario'!C460,1,4)),0)&lt;&gt;0,'Libro Diario'!C460,0))=FALSE,'Libro Diario'!C460,0)</f>
        <v>0</v>
      </c>
      <c r="D314" s="145" t="str">
        <f>+'Libro Diario'!B460</f>
        <v>Asiento Cuadrado</v>
      </c>
      <c r="E314" s="139" t="s">
        <v>445</v>
      </c>
      <c r="F314" t="str">
        <f t="shared" si="12"/>
        <v>Sin Mov.</v>
      </c>
      <c r="G314" t="str">
        <f>IF(+'Libro Diario'!H460=0,"",+'Libro Diario'!H460)</f>
        <v/>
      </c>
      <c r="H314" t="str">
        <f>IF(+'Libro Diario'!I460=0,"",+'Libro Diario'!I460)</f>
        <v/>
      </c>
      <c r="I314" t="str">
        <f>+IF(Table3[[#This Row],[Tipo Movimiento]]="Estructura Balance y PyG","Excluir","Incluir")</f>
        <v>Incluir</v>
      </c>
      <c r="J314" s="153">
        <f>+IF(Table3[[#This Row],[Sin cuenta]]="Con Mov.",(IF(Table3[[#This Row],[Movimiento]]="Debe",Table3[[#This Row],[Importe]],IF(Table3[[#This Row],[Movimiento]]="Haber",Table3[[#This Row],[Importe]]*-1,0))),0)</f>
        <v>0</v>
      </c>
      <c r="K314" s="145" t="str">
        <f t="shared" si="13"/>
        <v>Asiento Cuadrado</v>
      </c>
      <c r="L314" s="145" t="str">
        <f t="shared" si="14"/>
        <v/>
      </c>
      <c r="M314" t="str">
        <f>_xlfn.XLOOKUP(Table3[[#This Row],[Cuenta]],Estructura_Balance[Nombre Cuenta ()],Estructura_Balance[Grupo],"",0)</f>
        <v/>
      </c>
      <c r="N314" t="str">
        <f>_xlfn.XLOOKUP(Table3[[#This Row],[Cuenta]],Estructura_Balance[Nombre Cuenta ()],Estructura_Balance[Nivel 1],"",0)</f>
        <v/>
      </c>
      <c r="O314" t="str">
        <f>_xlfn.XLOOKUP(Table3[[#This Row],[Cuenta]],Estructura_Balance[Nombre Cuenta ()],Estructura_Balance[Nivel 2],"",0)</f>
        <v/>
      </c>
      <c r="P314" t="str">
        <f>_xlfn.XLOOKUP(Table3[[#This Row],[Cuenta]],Estructura_Balance[Nombre Cuenta ()],Estructura_Balance[Nivel 3],"",0)</f>
        <v/>
      </c>
      <c r="Q314" t="str">
        <f>_xlfn.XLOOKUP(Table3[[#This Row],[Cuenta]],Estructura_Balance[Nombre Cuenta ()],Estructura_Balance[Nivel 4],"",0)</f>
        <v/>
      </c>
      <c r="R314" t="str">
        <f>_xlfn.XLOOKUP(Table3[[#This Row],[Cuenta]],Table8[Nombre Cuenta ()],Table8[Nivel 1],"",0)</f>
        <v/>
      </c>
      <c r="S314" t="str">
        <f>_xlfn.XLOOKUP(Table3[[#This Row],[Cuenta]],Table8[Nombre Cuenta ()],Table8[Nivel 2],"",0)</f>
        <v/>
      </c>
      <c r="T314" t="str">
        <f>_xlfn.XLOOKUP(Table3[[#This Row],[Cuenta]],Table8[Nombre Cuenta ()],Table8[Nivel 3],"",0)</f>
        <v/>
      </c>
      <c r="U314">
        <v>651</v>
      </c>
      <c r="V314" t="str">
        <f>_xlfn.XLOOKUP(Table3[[#This Row],[Cuenta]],Estructura_Balance[Nombre Cuenta ()],Estructura_Balance[Niveles:2],"",0)</f>
        <v/>
      </c>
      <c r="W314" t="str">
        <f>_xlfn.XLOOKUP(Table3[[#This Row],[Cuenta]],Estructura_Balance[Nombre Cuenta ()],Estructura_Balance[Niveles:3],"",0)</f>
        <v/>
      </c>
      <c r="X314" t="str">
        <f>_xlfn.XLOOKUP(Table3[[#This Row],[Cuenta]],Estructura_Balance[Nombre Cuenta ()],Estructura_Balance[Grupos],"Grupo 1",0)</f>
        <v>Grupo 1</v>
      </c>
      <c r="Y314" t="str">
        <f>+Table3[[#This Row],[BS_Nivel_1]]</f>
        <v/>
      </c>
    </row>
    <row r="315" spans="1:25">
      <c r="A315">
        <f>+'Libro Diario'!F461</f>
        <v>0</v>
      </c>
      <c r="B315" s="144">
        <f>VALUE(IF(+'Libro Diario'!G461="","01/01/2025",+'Libro Diario'!G461))</f>
        <v>45658</v>
      </c>
      <c r="C315">
        <f>IF(ISNUMBER(+IF(IFERROR(VALUE(MID('Libro Diario'!C461,1,4)),0)&lt;&gt;0,'Libro Diario'!C461,0))=FALSE,'Libro Diario'!C461,0)</f>
        <v>0</v>
      </c>
      <c r="D315" s="145">
        <f>+'Libro Diario'!B461</f>
        <v>0</v>
      </c>
      <c r="E315" s="139" t="s">
        <v>445</v>
      </c>
      <c r="F315" t="str">
        <f t="shared" si="12"/>
        <v>Sin Mov.</v>
      </c>
      <c r="G315" t="str">
        <f>IF(+'Libro Diario'!H461=0,"",+'Libro Diario'!H461)</f>
        <v/>
      </c>
      <c r="H315" t="str">
        <f>IF(+'Libro Diario'!I461=0,"",+'Libro Diario'!I461)</f>
        <v/>
      </c>
      <c r="I315" t="str">
        <f>+IF(Table3[[#This Row],[Tipo Movimiento]]="Estructura Balance y PyG","Excluir","Incluir")</f>
        <v>Incluir</v>
      </c>
      <c r="J315" s="153">
        <f>+IF(Table3[[#This Row],[Sin cuenta]]="Con Mov.",(IF(Table3[[#This Row],[Movimiento]]="Debe",Table3[[#This Row],[Importe]],IF(Table3[[#This Row],[Movimiento]]="Haber",Table3[[#This Row],[Importe]]*-1,0))),0)</f>
        <v>0</v>
      </c>
      <c r="K315" s="145">
        <f t="shared" si="13"/>
        <v>0</v>
      </c>
      <c r="L315" s="145" t="str">
        <f t="shared" si="14"/>
        <v/>
      </c>
      <c r="M315" t="str">
        <f>_xlfn.XLOOKUP(Table3[[#This Row],[Cuenta]],Estructura_Balance[Nombre Cuenta ()],Estructura_Balance[Grupo],"",0)</f>
        <v/>
      </c>
      <c r="N315" t="str">
        <f>_xlfn.XLOOKUP(Table3[[#This Row],[Cuenta]],Estructura_Balance[Nombre Cuenta ()],Estructura_Balance[Nivel 1],"",0)</f>
        <v/>
      </c>
      <c r="O315" t="str">
        <f>_xlfn.XLOOKUP(Table3[[#This Row],[Cuenta]],Estructura_Balance[Nombre Cuenta ()],Estructura_Balance[Nivel 2],"",0)</f>
        <v/>
      </c>
      <c r="P315" t="str">
        <f>_xlfn.XLOOKUP(Table3[[#This Row],[Cuenta]],Estructura_Balance[Nombre Cuenta ()],Estructura_Balance[Nivel 3],"",0)</f>
        <v/>
      </c>
      <c r="Q315" t="str">
        <f>_xlfn.XLOOKUP(Table3[[#This Row],[Cuenta]],Estructura_Balance[Nombre Cuenta ()],Estructura_Balance[Nivel 4],"",0)</f>
        <v/>
      </c>
      <c r="R315" t="str">
        <f>_xlfn.XLOOKUP(Table3[[#This Row],[Cuenta]],Table8[Nombre Cuenta ()],Table8[Nivel 1],"",0)</f>
        <v/>
      </c>
      <c r="S315" t="str">
        <f>_xlfn.XLOOKUP(Table3[[#This Row],[Cuenta]],Table8[Nombre Cuenta ()],Table8[Nivel 2],"",0)</f>
        <v/>
      </c>
      <c r="T315" t="str">
        <f>_xlfn.XLOOKUP(Table3[[#This Row],[Cuenta]],Table8[Nombre Cuenta ()],Table8[Nivel 3],"",0)</f>
        <v/>
      </c>
      <c r="U315">
        <v>652</v>
      </c>
      <c r="V315" t="str">
        <f>_xlfn.XLOOKUP(Table3[[#This Row],[Cuenta]],Estructura_Balance[Nombre Cuenta ()],Estructura_Balance[Niveles:2],"",0)</f>
        <v/>
      </c>
      <c r="W315" t="str">
        <f>_xlfn.XLOOKUP(Table3[[#This Row],[Cuenta]],Estructura_Balance[Nombre Cuenta ()],Estructura_Balance[Niveles:3],"",0)</f>
        <v/>
      </c>
      <c r="X315" t="str">
        <f>_xlfn.XLOOKUP(Table3[[#This Row],[Cuenta]],Estructura_Balance[Nombre Cuenta ()],Estructura_Balance[Grupos],"Grupo 1",0)</f>
        <v>Grupo 1</v>
      </c>
      <c r="Y315" t="str">
        <f>+Table3[[#This Row],[BS_Nivel_1]]</f>
        <v/>
      </c>
    </row>
    <row r="316" spans="1:25">
      <c r="A316">
        <f>+'Libro Diario'!F462</f>
        <v>0</v>
      </c>
      <c r="B316" s="144">
        <f>VALUE(IF(+'Libro Diario'!G462="","01/01/2025",+'Libro Diario'!G462))</f>
        <v>45658</v>
      </c>
      <c r="C316">
        <f>IF(ISNUMBER(+IF(IFERROR(VALUE(MID('Libro Diario'!C462,1,4)),0)&lt;&gt;0,'Libro Diario'!C462,0))=FALSE,'Libro Diario'!C462,0)</f>
        <v>0</v>
      </c>
      <c r="D316" s="145" t="str">
        <f>+'Libro Diario'!B462</f>
        <v>DEBE</v>
      </c>
      <c r="E316" s="139" t="s">
        <v>445</v>
      </c>
      <c r="F316" t="str">
        <f t="shared" si="12"/>
        <v>Sin Mov.</v>
      </c>
      <c r="G316" t="str">
        <f>IF(+'Libro Diario'!H462=0,"",+'Libro Diario'!H462)</f>
        <v/>
      </c>
      <c r="H316" t="str">
        <f>IF(+'Libro Diario'!I462=0,"",+'Libro Diario'!I462)</f>
        <v/>
      </c>
      <c r="I316" t="str">
        <f>+IF(Table3[[#This Row],[Tipo Movimiento]]="Estructura Balance y PyG","Excluir","Incluir")</f>
        <v>Incluir</v>
      </c>
      <c r="J316" s="153">
        <f>+IF(Table3[[#This Row],[Sin cuenta]]="Con Mov.",(IF(Table3[[#This Row],[Movimiento]]="Debe",Table3[[#This Row],[Importe]],IF(Table3[[#This Row],[Movimiento]]="Haber",Table3[[#This Row],[Importe]]*-1,0))),0)</f>
        <v>0</v>
      </c>
      <c r="K316" s="145" t="str">
        <f t="shared" si="13"/>
        <v>DEBE</v>
      </c>
      <c r="L316" s="145" t="str">
        <f t="shared" si="14"/>
        <v/>
      </c>
      <c r="M316" t="str">
        <f>_xlfn.XLOOKUP(Table3[[#This Row],[Cuenta]],Estructura_Balance[Nombre Cuenta ()],Estructura_Balance[Grupo],"",0)</f>
        <v/>
      </c>
      <c r="N316" t="str">
        <f>_xlfn.XLOOKUP(Table3[[#This Row],[Cuenta]],Estructura_Balance[Nombre Cuenta ()],Estructura_Balance[Nivel 1],"",0)</f>
        <v/>
      </c>
      <c r="O316" t="str">
        <f>_xlfn.XLOOKUP(Table3[[#This Row],[Cuenta]],Estructura_Balance[Nombre Cuenta ()],Estructura_Balance[Nivel 2],"",0)</f>
        <v/>
      </c>
      <c r="P316" t="str">
        <f>_xlfn.XLOOKUP(Table3[[#This Row],[Cuenta]],Estructura_Balance[Nombre Cuenta ()],Estructura_Balance[Nivel 3],"",0)</f>
        <v/>
      </c>
      <c r="Q316" t="str">
        <f>_xlfn.XLOOKUP(Table3[[#This Row],[Cuenta]],Estructura_Balance[Nombre Cuenta ()],Estructura_Balance[Nivel 4],"",0)</f>
        <v/>
      </c>
      <c r="R316" s="154" t="str">
        <f>_xlfn.XLOOKUP(Table3[[#This Row],[Cuenta]],Table8[Nombre Cuenta ()],Table8[Nivel 1],"",0)</f>
        <v/>
      </c>
      <c r="S316" t="str">
        <f>_xlfn.XLOOKUP(Table3[[#This Row],[Cuenta]],Table8[Nombre Cuenta ()],Table8[Nivel 2],"",0)</f>
        <v/>
      </c>
      <c r="T316" t="str">
        <f>_xlfn.XLOOKUP(Table3[[#This Row],[Cuenta]],Table8[Nombre Cuenta ()],Table8[Nivel 3],"",0)</f>
        <v/>
      </c>
      <c r="U316">
        <v>653</v>
      </c>
      <c r="V316" t="str">
        <f>_xlfn.XLOOKUP(Table3[[#This Row],[Cuenta]],Estructura_Balance[Nombre Cuenta ()],Estructura_Balance[Niveles:2],"",0)</f>
        <v/>
      </c>
      <c r="W316" t="str">
        <f>_xlfn.XLOOKUP(Table3[[#This Row],[Cuenta]],Estructura_Balance[Nombre Cuenta ()],Estructura_Balance[Niveles:3],"",0)</f>
        <v/>
      </c>
      <c r="X316" t="str">
        <f>_xlfn.XLOOKUP(Table3[[#This Row],[Cuenta]],Estructura_Balance[Nombre Cuenta ()],Estructura_Balance[Grupos],"Grupo 1",0)</f>
        <v>Grupo 1</v>
      </c>
      <c r="Y316" t="str">
        <f>+Table3[[#This Row],[BS_Nivel_1]]</f>
        <v/>
      </c>
    </row>
    <row r="317" spans="1:25">
      <c r="A317">
        <f>+'Libro Diario'!F463</f>
        <v>0</v>
      </c>
      <c r="B317" s="144">
        <f>VALUE(IF(+'Libro Diario'!G463="","01/01/2025",+'Libro Diario'!G463))</f>
        <v>45658</v>
      </c>
      <c r="C317">
        <f>IF(ISNUMBER(+IF(IFERROR(VALUE(MID('Libro Diario'!C463,1,4)),0)&lt;&gt;0,'Libro Diario'!C463,0))=FALSE,'Libro Diario'!C463,0)</f>
        <v>0</v>
      </c>
      <c r="D317" s="145">
        <f>+'Libro Diario'!B463</f>
        <v>0</v>
      </c>
      <c r="E317" s="139" t="s">
        <v>445</v>
      </c>
      <c r="F317" t="str">
        <f t="shared" si="12"/>
        <v>Sin Mov.</v>
      </c>
      <c r="G317" t="str">
        <f>IF(+'Libro Diario'!H463=0,"",+'Libro Diario'!H463)</f>
        <v/>
      </c>
      <c r="H317" t="str">
        <f>IF(+'Libro Diario'!I463=0,"",+'Libro Diario'!I463)</f>
        <v/>
      </c>
      <c r="I317" t="str">
        <f>+IF(Table3[[#This Row],[Tipo Movimiento]]="Estructura Balance y PyG","Excluir","Incluir")</f>
        <v>Incluir</v>
      </c>
      <c r="J317" s="153">
        <f>+IF(Table3[[#This Row],[Sin cuenta]]="Con Mov.",(IF(Table3[[#This Row],[Movimiento]]="Debe",Table3[[#This Row],[Importe]],IF(Table3[[#This Row],[Movimiento]]="Haber",Table3[[#This Row],[Importe]]*-1,0))),0)</f>
        <v>0</v>
      </c>
      <c r="K317" s="145">
        <f t="shared" si="13"/>
        <v>0</v>
      </c>
      <c r="L317" s="145" t="str">
        <f t="shared" si="14"/>
        <v/>
      </c>
      <c r="M317" t="str">
        <f>_xlfn.XLOOKUP(Table3[[#This Row],[Cuenta]],Estructura_Balance[Nombre Cuenta ()],Estructura_Balance[Grupo],"",0)</f>
        <v/>
      </c>
      <c r="N317" t="str">
        <f>_xlfn.XLOOKUP(Table3[[#This Row],[Cuenta]],Estructura_Balance[Nombre Cuenta ()],Estructura_Balance[Nivel 1],"",0)</f>
        <v/>
      </c>
      <c r="O317" t="str">
        <f>_xlfn.XLOOKUP(Table3[[#This Row],[Cuenta]],Estructura_Balance[Nombre Cuenta ()],Estructura_Balance[Nivel 2],"",0)</f>
        <v/>
      </c>
      <c r="P317" t="str">
        <f>_xlfn.XLOOKUP(Table3[[#This Row],[Cuenta]],Estructura_Balance[Nombre Cuenta ()],Estructura_Balance[Nivel 3],"",0)</f>
        <v/>
      </c>
      <c r="Q317" t="str">
        <f>_xlfn.XLOOKUP(Table3[[#This Row],[Cuenta]],Estructura_Balance[Nombre Cuenta ()],Estructura_Balance[Nivel 4],"",0)</f>
        <v/>
      </c>
      <c r="R317" s="154" t="str">
        <f>_xlfn.XLOOKUP(Table3[[#This Row],[Cuenta]],Table8[Nombre Cuenta ()],Table8[Nivel 1],"",0)</f>
        <v/>
      </c>
      <c r="S317" t="str">
        <f>_xlfn.XLOOKUP(Table3[[#This Row],[Cuenta]],Table8[Nombre Cuenta ()],Table8[Nivel 2],"",0)</f>
        <v/>
      </c>
      <c r="T317" t="str">
        <f>_xlfn.XLOOKUP(Table3[[#This Row],[Cuenta]],Table8[Nombre Cuenta ()],Table8[Nivel 3],"",0)</f>
        <v/>
      </c>
      <c r="U317">
        <v>654</v>
      </c>
      <c r="V317" t="str">
        <f>_xlfn.XLOOKUP(Table3[[#This Row],[Cuenta]],Estructura_Balance[Nombre Cuenta ()],Estructura_Balance[Niveles:2],"",0)</f>
        <v/>
      </c>
      <c r="W317" t="str">
        <f>_xlfn.XLOOKUP(Table3[[#This Row],[Cuenta]],Estructura_Balance[Nombre Cuenta ()],Estructura_Balance[Niveles:3],"",0)</f>
        <v/>
      </c>
      <c r="X317" t="str">
        <f>_xlfn.XLOOKUP(Table3[[#This Row],[Cuenta]],Estructura_Balance[Nombre Cuenta ()],Estructura_Balance[Grupos],"Grupo 1",0)</f>
        <v>Grupo 1</v>
      </c>
      <c r="Y317" t="str">
        <f>+Table3[[#This Row],[BS_Nivel_1]]</f>
        <v/>
      </c>
    </row>
    <row r="318" spans="1:25">
      <c r="A318">
        <f>+'Libro Diario'!F466</f>
        <v>0</v>
      </c>
      <c r="B318" s="144">
        <f>VALUE(IF(+'Libro Diario'!G466="","01/01/2025",+'Libro Diario'!G466))</f>
        <v>45658</v>
      </c>
      <c r="C318">
        <f>IF(ISNUMBER(+IF(IFERROR(VALUE(MID('Libro Diario'!C466,1,4)),0)&lt;&gt;0,'Libro Diario'!C466,0))=FALSE,'Libro Diario'!C466,0)</f>
        <v>0</v>
      </c>
      <c r="D318" s="145" t="str">
        <f>+'Libro Diario'!B466</f>
        <v>Regularización de Existencias</v>
      </c>
      <c r="E318" s="139" t="s">
        <v>445</v>
      </c>
      <c r="F318" t="str">
        <f t="shared" si="12"/>
        <v>Sin Mov.</v>
      </c>
      <c r="G318" t="str">
        <f>IF(+'Libro Diario'!H466=0,"",+'Libro Diario'!H466)</f>
        <v/>
      </c>
      <c r="H318" t="str">
        <f>IF(+'Libro Diario'!I466=0,"",+'Libro Diario'!I466)</f>
        <v/>
      </c>
      <c r="I318" t="str">
        <f>+IF(Table3[[#This Row],[Tipo Movimiento]]="Estructura Balance y PyG","Excluir","Incluir")</f>
        <v>Incluir</v>
      </c>
      <c r="J318" s="153">
        <f>+IF(Table3[[#This Row],[Sin cuenta]]="Con Mov.",(IF(Table3[[#This Row],[Movimiento]]="Debe",Table3[[#This Row],[Importe]],IF(Table3[[#This Row],[Movimiento]]="Haber",Table3[[#This Row],[Importe]]*-1,0))),0)</f>
        <v>0</v>
      </c>
      <c r="K318" s="145" t="str">
        <f t="shared" si="13"/>
        <v>Regularización de Existencias</v>
      </c>
      <c r="L318" s="145" t="str">
        <f t="shared" si="14"/>
        <v/>
      </c>
      <c r="M318" t="str">
        <f>_xlfn.XLOOKUP(Table3[[#This Row],[Cuenta]],Estructura_Balance[Nombre Cuenta ()],Estructura_Balance[Grupo],"",0)</f>
        <v/>
      </c>
      <c r="N318" t="str">
        <f>_xlfn.XLOOKUP(Table3[[#This Row],[Cuenta]],Estructura_Balance[Nombre Cuenta ()],Estructura_Balance[Nivel 1],"",0)</f>
        <v/>
      </c>
      <c r="O318" t="str">
        <f>_xlfn.XLOOKUP(Table3[[#This Row],[Cuenta]],Estructura_Balance[Nombre Cuenta ()],Estructura_Balance[Nivel 2],"",0)</f>
        <v/>
      </c>
      <c r="P318" t="str">
        <f>_xlfn.XLOOKUP(Table3[[#This Row],[Cuenta]],Estructura_Balance[Nombre Cuenta ()],Estructura_Balance[Nivel 3],"",0)</f>
        <v/>
      </c>
      <c r="Q318" t="str">
        <f>_xlfn.XLOOKUP(Table3[[#This Row],[Cuenta]],Estructura_Balance[Nombre Cuenta ()],Estructura_Balance[Nivel 4],"",0)</f>
        <v/>
      </c>
      <c r="R318" s="154" t="str">
        <f>_xlfn.XLOOKUP(Table3[[#This Row],[Cuenta]],Table8[Nombre Cuenta ()],Table8[Nivel 1],"",0)</f>
        <v/>
      </c>
      <c r="S318" t="str">
        <f>_xlfn.XLOOKUP(Table3[[#This Row],[Cuenta]],Table8[Nombre Cuenta ()],Table8[Nivel 2],"",0)</f>
        <v/>
      </c>
      <c r="T318" t="str">
        <f>_xlfn.XLOOKUP(Table3[[#This Row],[Cuenta]],Table8[Nombre Cuenta ()],Table8[Nivel 3],"",0)</f>
        <v/>
      </c>
      <c r="U318">
        <v>657</v>
      </c>
      <c r="V318" t="str">
        <f>_xlfn.XLOOKUP(Table3[[#This Row],[Cuenta]],Estructura_Balance[Nombre Cuenta ()],Estructura_Balance[Niveles:2],"",0)</f>
        <v/>
      </c>
      <c r="W318" t="str">
        <f>_xlfn.XLOOKUP(Table3[[#This Row],[Cuenta]],Estructura_Balance[Nombre Cuenta ()],Estructura_Balance[Niveles:3],"",0)</f>
        <v/>
      </c>
      <c r="X318" t="str">
        <f>_xlfn.XLOOKUP(Table3[[#This Row],[Cuenta]],Estructura_Balance[Nombre Cuenta ()],Estructura_Balance[Grupos],"Grupo 1",0)</f>
        <v>Grupo 1</v>
      </c>
      <c r="Y318" t="str">
        <f>+Table3[[#This Row],[BS_Nivel_1]]</f>
        <v/>
      </c>
    </row>
    <row r="319" spans="1:25">
      <c r="A319">
        <f>+'Libro Diario'!F467</f>
        <v>0</v>
      </c>
      <c r="B319" s="144">
        <f>VALUE(IF(+'Libro Diario'!G467="","01/01/2025",+'Libro Diario'!G467))</f>
        <v>45658</v>
      </c>
      <c r="C319">
        <f>IF(ISNUMBER(+IF(IFERROR(VALUE(MID('Libro Diario'!C467,1,4)),0)&lt;&gt;0,'Libro Diario'!C467,0))=FALSE,'Libro Diario'!C467,0)</f>
        <v>0</v>
      </c>
      <c r="D319" s="145" t="str">
        <f>+'Libro Diario'!B467</f>
        <v>Asiento Cuadrado</v>
      </c>
      <c r="E319" s="139" t="s">
        <v>445</v>
      </c>
      <c r="F319" t="str">
        <f t="shared" si="12"/>
        <v>Sin Mov.</v>
      </c>
      <c r="G319" t="str">
        <f>IF(+'Libro Diario'!H467=0,"",+'Libro Diario'!H467)</f>
        <v/>
      </c>
      <c r="H319" t="str">
        <f>IF(+'Libro Diario'!I467=0,"",+'Libro Diario'!I467)</f>
        <v/>
      </c>
      <c r="I319" t="str">
        <f>+IF(Table3[[#This Row],[Tipo Movimiento]]="Estructura Balance y PyG","Excluir","Incluir")</f>
        <v>Incluir</v>
      </c>
      <c r="J319" s="153">
        <f>+IF(Table3[[#This Row],[Sin cuenta]]="Con Mov.",(IF(Table3[[#This Row],[Movimiento]]="Debe",Table3[[#This Row],[Importe]],IF(Table3[[#This Row],[Movimiento]]="Haber",Table3[[#This Row],[Importe]]*-1,0))),0)</f>
        <v>0</v>
      </c>
      <c r="K319" s="145" t="str">
        <f t="shared" si="13"/>
        <v>Asiento Cuadrado</v>
      </c>
      <c r="L319" s="145" t="str">
        <f t="shared" si="14"/>
        <v/>
      </c>
      <c r="M319" t="str">
        <f>_xlfn.XLOOKUP(Table3[[#This Row],[Cuenta]],Estructura_Balance[Nombre Cuenta ()],Estructura_Balance[Grupo],"",0)</f>
        <v/>
      </c>
      <c r="N319" t="str">
        <f>_xlfn.XLOOKUP(Table3[[#This Row],[Cuenta]],Estructura_Balance[Nombre Cuenta ()],Estructura_Balance[Nivel 1],"",0)</f>
        <v/>
      </c>
      <c r="O319" t="str">
        <f>_xlfn.XLOOKUP(Table3[[#This Row],[Cuenta]],Estructura_Balance[Nombre Cuenta ()],Estructura_Balance[Nivel 2],"",0)</f>
        <v/>
      </c>
      <c r="P319" t="str">
        <f>_xlfn.XLOOKUP(Table3[[#This Row],[Cuenta]],Estructura_Balance[Nombre Cuenta ()],Estructura_Balance[Nivel 3],"",0)</f>
        <v/>
      </c>
      <c r="Q319" t="str">
        <f>_xlfn.XLOOKUP(Table3[[#This Row],[Cuenta]],Estructura_Balance[Nombre Cuenta ()],Estructura_Balance[Nivel 4],"",0)</f>
        <v/>
      </c>
      <c r="R319" s="154" t="str">
        <f>_xlfn.XLOOKUP(Table3[[#This Row],[Cuenta]],Table8[Nombre Cuenta ()],Table8[Nivel 1],"",0)</f>
        <v/>
      </c>
      <c r="S319" t="str">
        <f>_xlfn.XLOOKUP(Table3[[#This Row],[Cuenta]],Table8[Nombre Cuenta ()],Table8[Nivel 2],"",0)</f>
        <v/>
      </c>
      <c r="T319" t="str">
        <f>_xlfn.XLOOKUP(Table3[[#This Row],[Cuenta]],Table8[Nombre Cuenta ()],Table8[Nivel 3],"",0)</f>
        <v/>
      </c>
      <c r="U319">
        <v>658</v>
      </c>
      <c r="V319" t="str">
        <f>_xlfn.XLOOKUP(Table3[[#This Row],[Cuenta]],Estructura_Balance[Nombre Cuenta ()],Estructura_Balance[Niveles:2],"",0)</f>
        <v/>
      </c>
      <c r="W319" t="str">
        <f>_xlfn.XLOOKUP(Table3[[#This Row],[Cuenta]],Estructura_Balance[Nombre Cuenta ()],Estructura_Balance[Niveles:3],"",0)</f>
        <v/>
      </c>
      <c r="X319" t="str">
        <f>_xlfn.XLOOKUP(Table3[[#This Row],[Cuenta]],Estructura_Balance[Nombre Cuenta ()],Estructura_Balance[Grupos],"Grupo 1",0)</f>
        <v>Grupo 1</v>
      </c>
      <c r="Y319" t="str">
        <f>+Table3[[#This Row],[BS_Nivel_1]]</f>
        <v/>
      </c>
    </row>
    <row r="320" spans="1:25">
      <c r="A320">
        <f>+'Libro Diario'!F468</f>
        <v>0</v>
      </c>
      <c r="B320" s="144">
        <f>VALUE(IF(+'Libro Diario'!G468="","01/01/2025",+'Libro Diario'!G468))</f>
        <v>45658</v>
      </c>
      <c r="C320">
        <f>IF(ISNUMBER(+IF(IFERROR(VALUE(MID('Libro Diario'!C468,1,4)),0)&lt;&gt;0,'Libro Diario'!C468,0))=FALSE,'Libro Diario'!C468,0)</f>
        <v>0</v>
      </c>
      <c r="D320" s="145">
        <f>+'Libro Diario'!B468</f>
        <v>0</v>
      </c>
      <c r="E320" s="139" t="s">
        <v>445</v>
      </c>
      <c r="F320" t="str">
        <f t="shared" si="12"/>
        <v>Sin Mov.</v>
      </c>
      <c r="G320" t="str">
        <f>IF(+'Libro Diario'!H468=0,"",+'Libro Diario'!H468)</f>
        <v/>
      </c>
      <c r="H320" t="str">
        <f>IF(+'Libro Diario'!I468=0,"",+'Libro Diario'!I468)</f>
        <v/>
      </c>
      <c r="I320" t="str">
        <f>+IF(Table3[[#This Row],[Tipo Movimiento]]="Estructura Balance y PyG","Excluir","Incluir")</f>
        <v>Incluir</v>
      </c>
      <c r="J320" s="153">
        <f>+IF(Table3[[#This Row],[Sin cuenta]]="Con Mov.",(IF(Table3[[#This Row],[Movimiento]]="Debe",Table3[[#This Row],[Importe]],IF(Table3[[#This Row],[Movimiento]]="Haber",Table3[[#This Row],[Importe]]*-1,0))),0)</f>
        <v>0</v>
      </c>
      <c r="K320" s="145">
        <f t="shared" si="13"/>
        <v>0</v>
      </c>
      <c r="L320" s="145" t="str">
        <f t="shared" si="14"/>
        <v/>
      </c>
      <c r="M320" t="str">
        <f>_xlfn.XLOOKUP(Table3[[#This Row],[Cuenta]],Estructura_Balance[Nombre Cuenta ()],Estructura_Balance[Grupo],"",0)</f>
        <v/>
      </c>
      <c r="N320" t="str">
        <f>_xlfn.XLOOKUP(Table3[[#This Row],[Cuenta]],Estructura_Balance[Nombre Cuenta ()],Estructura_Balance[Nivel 1],"",0)</f>
        <v/>
      </c>
      <c r="O320" t="str">
        <f>_xlfn.XLOOKUP(Table3[[#This Row],[Cuenta]],Estructura_Balance[Nombre Cuenta ()],Estructura_Balance[Nivel 2],"",0)</f>
        <v/>
      </c>
      <c r="P320" t="str">
        <f>_xlfn.XLOOKUP(Table3[[#This Row],[Cuenta]],Estructura_Balance[Nombre Cuenta ()],Estructura_Balance[Nivel 3],"",0)</f>
        <v/>
      </c>
      <c r="Q320" t="str">
        <f>_xlfn.XLOOKUP(Table3[[#This Row],[Cuenta]],Estructura_Balance[Nombre Cuenta ()],Estructura_Balance[Nivel 4],"",0)</f>
        <v/>
      </c>
      <c r="R320" s="154" t="str">
        <f>_xlfn.XLOOKUP(Table3[[#This Row],[Cuenta]],Table8[Nombre Cuenta ()],Table8[Nivel 1],"",0)</f>
        <v/>
      </c>
      <c r="S320" t="str">
        <f>_xlfn.XLOOKUP(Table3[[#This Row],[Cuenta]],Table8[Nombre Cuenta ()],Table8[Nivel 2],"",0)</f>
        <v/>
      </c>
      <c r="T320" t="str">
        <f>_xlfn.XLOOKUP(Table3[[#This Row],[Cuenta]],Table8[Nombre Cuenta ()],Table8[Nivel 3],"",0)</f>
        <v/>
      </c>
      <c r="U320">
        <v>659</v>
      </c>
      <c r="V320" t="str">
        <f>_xlfn.XLOOKUP(Table3[[#This Row],[Cuenta]],Estructura_Balance[Nombre Cuenta ()],Estructura_Balance[Niveles:2],"",0)</f>
        <v/>
      </c>
      <c r="W320" t="str">
        <f>_xlfn.XLOOKUP(Table3[[#This Row],[Cuenta]],Estructura_Balance[Nombre Cuenta ()],Estructura_Balance[Niveles:3],"",0)</f>
        <v/>
      </c>
      <c r="X320" t="str">
        <f>_xlfn.XLOOKUP(Table3[[#This Row],[Cuenta]],Estructura_Balance[Nombre Cuenta ()],Estructura_Balance[Grupos],"Grupo 1",0)</f>
        <v>Grupo 1</v>
      </c>
      <c r="Y320" t="str">
        <f>+Table3[[#This Row],[BS_Nivel_1]]</f>
        <v/>
      </c>
    </row>
    <row r="321" spans="1:25">
      <c r="A321">
        <f>+'Libro Diario'!F469</f>
        <v>0</v>
      </c>
      <c r="B321" s="144">
        <f>VALUE(IF(+'Libro Diario'!G469="","01/01/2025",+'Libro Diario'!G469))</f>
        <v>45658</v>
      </c>
      <c r="C321">
        <f>IF(ISNUMBER(+IF(IFERROR(VALUE(MID('Libro Diario'!C469,1,4)),0)&lt;&gt;0,'Libro Diario'!C469,0))=FALSE,'Libro Diario'!C469,0)</f>
        <v>0</v>
      </c>
      <c r="D321" s="145" t="str">
        <f>+'Libro Diario'!B469</f>
        <v>DEBE</v>
      </c>
      <c r="E321" s="139" t="s">
        <v>445</v>
      </c>
      <c r="F321" t="str">
        <f t="shared" si="12"/>
        <v>Sin Mov.</v>
      </c>
      <c r="G321" t="str">
        <f>IF(+'Libro Diario'!H469=0,"",+'Libro Diario'!H469)</f>
        <v/>
      </c>
      <c r="H321" t="str">
        <f>IF(+'Libro Diario'!I469=0,"",+'Libro Diario'!I469)</f>
        <v/>
      </c>
      <c r="I321" t="str">
        <f>+IF(Table3[[#This Row],[Tipo Movimiento]]="Estructura Balance y PyG","Excluir","Incluir")</f>
        <v>Incluir</v>
      </c>
      <c r="J321" s="153">
        <f>+IF(Table3[[#This Row],[Sin cuenta]]="Con Mov.",(IF(Table3[[#This Row],[Movimiento]]="Debe",Table3[[#This Row],[Importe]],IF(Table3[[#This Row],[Movimiento]]="Haber",Table3[[#This Row],[Importe]]*-1,0))),0)</f>
        <v>0</v>
      </c>
      <c r="K321" s="145" t="str">
        <f t="shared" si="13"/>
        <v>DEBE</v>
      </c>
      <c r="L321" s="145" t="str">
        <f t="shared" si="14"/>
        <v/>
      </c>
      <c r="M321" t="str">
        <f>_xlfn.XLOOKUP(Table3[[#This Row],[Cuenta]],Estructura_Balance[Nombre Cuenta ()],Estructura_Balance[Grupo],"",0)</f>
        <v/>
      </c>
      <c r="N321" t="str">
        <f>_xlfn.XLOOKUP(Table3[[#This Row],[Cuenta]],Estructura_Balance[Nombre Cuenta ()],Estructura_Balance[Nivel 1],"",0)</f>
        <v/>
      </c>
      <c r="O321" t="str">
        <f>_xlfn.XLOOKUP(Table3[[#This Row],[Cuenta]],Estructura_Balance[Nombre Cuenta ()],Estructura_Balance[Nivel 2],"",0)</f>
        <v/>
      </c>
      <c r="P321" t="str">
        <f>_xlfn.XLOOKUP(Table3[[#This Row],[Cuenta]],Estructura_Balance[Nombre Cuenta ()],Estructura_Balance[Nivel 3],"",0)</f>
        <v/>
      </c>
      <c r="Q321" t="str">
        <f>_xlfn.XLOOKUP(Table3[[#This Row],[Cuenta]],Estructura_Balance[Nombre Cuenta ()],Estructura_Balance[Nivel 4],"",0)</f>
        <v/>
      </c>
      <c r="R321" s="154" t="str">
        <f>_xlfn.XLOOKUP(Table3[[#This Row],[Cuenta]],Table8[Nombre Cuenta ()],Table8[Nivel 1],"",0)</f>
        <v/>
      </c>
      <c r="S321" t="str">
        <f>_xlfn.XLOOKUP(Table3[[#This Row],[Cuenta]],Table8[Nombre Cuenta ()],Table8[Nivel 2],"",0)</f>
        <v/>
      </c>
      <c r="T321" t="str">
        <f>_xlfn.XLOOKUP(Table3[[#This Row],[Cuenta]],Table8[Nombre Cuenta ()],Table8[Nivel 3],"",0)</f>
        <v/>
      </c>
      <c r="U321">
        <v>660</v>
      </c>
      <c r="V321" t="str">
        <f>_xlfn.XLOOKUP(Table3[[#This Row],[Cuenta]],Estructura_Balance[Nombre Cuenta ()],Estructura_Balance[Niveles:2],"",0)</f>
        <v/>
      </c>
      <c r="W321" t="str">
        <f>_xlfn.XLOOKUP(Table3[[#This Row],[Cuenta]],Estructura_Balance[Nombre Cuenta ()],Estructura_Balance[Niveles:3],"",0)</f>
        <v/>
      </c>
      <c r="X321" t="str">
        <f>_xlfn.XLOOKUP(Table3[[#This Row],[Cuenta]],Estructura_Balance[Nombre Cuenta ()],Estructura_Balance[Grupos],"Grupo 1",0)</f>
        <v>Grupo 1</v>
      </c>
      <c r="Y321" t="str">
        <f>+Table3[[#This Row],[BS_Nivel_1]]</f>
        <v/>
      </c>
    </row>
    <row r="322" spans="1:25">
      <c r="A322">
        <f>+'Libro Diario'!F470</f>
        <v>0</v>
      </c>
      <c r="B322" s="144">
        <f>VALUE(IF(+'Libro Diario'!G470="","01/01/2025",+'Libro Diario'!G470))</f>
        <v>45658</v>
      </c>
      <c r="C322">
        <f>IF(ISNUMBER(+IF(IFERROR(VALUE(MID('Libro Diario'!C470,1,4)),0)&lt;&gt;0,'Libro Diario'!C470,0))=FALSE,'Libro Diario'!C470,0)</f>
        <v>0</v>
      </c>
      <c r="D322" s="145">
        <f>+'Libro Diario'!B470</f>
        <v>0</v>
      </c>
      <c r="E322" s="139" t="s">
        <v>445</v>
      </c>
      <c r="F322" t="str">
        <f t="shared" si="12"/>
        <v>Sin Mov.</v>
      </c>
      <c r="G322" t="str">
        <f>IF(+'Libro Diario'!H470=0,"",+'Libro Diario'!H470)</f>
        <v/>
      </c>
      <c r="H322" t="str">
        <f>IF(+'Libro Diario'!I470=0,"",+'Libro Diario'!I470)</f>
        <v/>
      </c>
      <c r="I322" t="str">
        <f>+IF(Table3[[#This Row],[Tipo Movimiento]]="Estructura Balance y PyG","Excluir","Incluir")</f>
        <v>Incluir</v>
      </c>
      <c r="J322" s="153">
        <f>+IF(Table3[[#This Row],[Sin cuenta]]="Con Mov.",(IF(Table3[[#This Row],[Movimiento]]="Debe",Table3[[#This Row],[Importe]],IF(Table3[[#This Row],[Movimiento]]="Haber",Table3[[#This Row],[Importe]]*-1,0))),0)</f>
        <v>0</v>
      </c>
      <c r="K322" s="145">
        <f t="shared" si="13"/>
        <v>0</v>
      </c>
      <c r="L322" s="145" t="str">
        <f t="shared" si="14"/>
        <v/>
      </c>
      <c r="M322" t="str">
        <f>_xlfn.XLOOKUP(Table3[[#This Row],[Cuenta]],Estructura_Balance[Nombre Cuenta ()],Estructura_Balance[Grupo],"",0)</f>
        <v/>
      </c>
      <c r="N322" t="str">
        <f>_xlfn.XLOOKUP(Table3[[#This Row],[Cuenta]],Estructura_Balance[Nombre Cuenta ()],Estructura_Balance[Nivel 1],"",0)</f>
        <v/>
      </c>
      <c r="O322" t="str">
        <f>_xlfn.XLOOKUP(Table3[[#This Row],[Cuenta]],Estructura_Balance[Nombre Cuenta ()],Estructura_Balance[Nivel 2],"",0)</f>
        <v/>
      </c>
      <c r="P322" t="str">
        <f>_xlfn.XLOOKUP(Table3[[#This Row],[Cuenta]],Estructura_Balance[Nombre Cuenta ()],Estructura_Balance[Nivel 3],"",0)</f>
        <v/>
      </c>
      <c r="Q322" t="str">
        <f>_xlfn.XLOOKUP(Table3[[#This Row],[Cuenta]],Estructura_Balance[Nombre Cuenta ()],Estructura_Balance[Nivel 4],"",0)</f>
        <v/>
      </c>
      <c r="R322" s="154" t="str">
        <f>_xlfn.XLOOKUP(Table3[[#This Row],[Cuenta]],Table8[Nombre Cuenta ()],Table8[Nivel 1],"",0)</f>
        <v/>
      </c>
      <c r="S322" t="str">
        <f>_xlfn.XLOOKUP(Table3[[#This Row],[Cuenta]],Table8[Nombre Cuenta ()],Table8[Nivel 2],"",0)</f>
        <v/>
      </c>
      <c r="T322" t="str">
        <f>_xlfn.XLOOKUP(Table3[[#This Row],[Cuenta]],Table8[Nombre Cuenta ()],Table8[Nivel 3],"",0)</f>
        <v/>
      </c>
      <c r="U322">
        <v>661</v>
      </c>
      <c r="V322" t="str">
        <f>_xlfn.XLOOKUP(Table3[[#This Row],[Cuenta]],Estructura_Balance[Nombre Cuenta ()],Estructura_Balance[Niveles:2],"",0)</f>
        <v/>
      </c>
      <c r="W322" t="str">
        <f>_xlfn.XLOOKUP(Table3[[#This Row],[Cuenta]],Estructura_Balance[Nombre Cuenta ()],Estructura_Balance[Niveles:3],"",0)</f>
        <v/>
      </c>
      <c r="X322" t="str">
        <f>_xlfn.XLOOKUP(Table3[[#This Row],[Cuenta]],Estructura_Balance[Nombre Cuenta ()],Estructura_Balance[Grupos],"Grupo 1",0)</f>
        <v>Grupo 1</v>
      </c>
      <c r="Y322" t="str">
        <f>+Table3[[#This Row],[BS_Nivel_1]]</f>
        <v/>
      </c>
    </row>
    <row r="323" spans="1:25">
      <c r="A323">
        <f>+'Libro Diario'!F473</f>
        <v>0</v>
      </c>
      <c r="B323" s="144">
        <f>VALUE(IF(+'Libro Diario'!G473="","01/01/2025",+'Libro Diario'!G473))</f>
        <v>45658</v>
      </c>
      <c r="C323">
        <f>IF(ISNUMBER(+IF(IFERROR(VALUE(MID('Libro Diario'!C473,1,4)),0)&lt;&gt;0,'Libro Diario'!C473,0))=FALSE,'Libro Diario'!C473,0)</f>
        <v>0</v>
      </c>
      <c r="D323" s="145" t="str">
        <f>+'Libro Diario'!B473</f>
        <v>Regularización de Existencias</v>
      </c>
      <c r="E323" s="139" t="s">
        <v>445</v>
      </c>
      <c r="F323" t="str">
        <f t="shared" ref="F323:F386" si="15">+IF(C323=0,"Sin Mov.","Con Mov.")</f>
        <v>Sin Mov.</v>
      </c>
      <c r="G323" t="str">
        <f>IF(+'Libro Diario'!H473=0,"",+'Libro Diario'!H473)</f>
        <v/>
      </c>
      <c r="H323" t="str">
        <f>IF(+'Libro Diario'!I473=0,"",+'Libro Diario'!I473)</f>
        <v/>
      </c>
      <c r="I323" t="str">
        <f>+IF(Table3[[#This Row],[Tipo Movimiento]]="Estructura Balance y PyG","Excluir","Incluir")</f>
        <v>Incluir</v>
      </c>
      <c r="J323" s="153">
        <f>+IF(Table3[[#This Row],[Sin cuenta]]="Con Mov.",(IF(Table3[[#This Row],[Movimiento]]="Debe",Table3[[#This Row],[Importe]],IF(Table3[[#This Row],[Movimiento]]="Haber",Table3[[#This Row],[Importe]]*-1,0))),0)</f>
        <v>0</v>
      </c>
      <c r="K323" s="145" t="str">
        <f t="shared" ref="K323:K386" si="16">+IF(E323="Debe",D323,"")</f>
        <v>Regularización de Existencias</v>
      </c>
      <c r="L323" s="145" t="str">
        <f t="shared" ref="L323:L386" si="17">+IF(E323="Haber",D323,"")</f>
        <v/>
      </c>
      <c r="M323" t="str">
        <f>_xlfn.XLOOKUP(Table3[[#This Row],[Cuenta]],Estructura_Balance[Nombre Cuenta ()],Estructura_Balance[Grupo],"",0)</f>
        <v/>
      </c>
      <c r="N323" t="str">
        <f>_xlfn.XLOOKUP(Table3[[#This Row],[Cuenta]],Estructura_Balance[Nombre Cuenta ()],Estructura_Balance[Nivel 1],"",0)</f>
        <v/>
      </c>
      <c r="O323" t="str">
        <f>_xlfn.XLOOKUP(Table3[[#This Row],[Cuenta]],Estructura_Balance[Nombre Cuenta ()],Estructura_Balance[Nivel 2],"",0)</f>
        <v/>
      </c>
      <c r="P323" t="str">
        <f>_xlfn.XLOOKUP(Table3[[#This Row],[Cuenta]],Estructura_Balance[Nombre Cuenta ()],Estructura_Balance[Nivel 3],"",0)</f>
        <v/>
      </c>
      <c r="Q323" t="str">
        <f>_xlfn.XLOOKUP(Table3[[#This Row],[Cuenta]],Estructura_Balance[Nombre Cuenta ()],Estructura_Balance[Nivel 4],"",0)</f>
        <v/>
      </c>
      <c r="R323" t="str">
        <f>_xlfn.XLOOKUP(Table3[[#This Row],[Cuenta]],Table8[Nombre Cuenta ()],Table8[Nivel 1],"",0)</f>
        <v/>
      </c>
      <c r="S323" t="str">
        <f>_xlfn.XLOOKUP(Table3[[#This Row],[Cuenta]],Table8[Nombre Cuenta ()],Table8[Nivel 2],"",0)</f>
        <v/>
      </c>
      <c r="T323" t="str">
        <f>_xlfn.XLOOKUP(Table3[[#This Row],[Cuenta]],Table8[Nombre Cuenta ()],Table8[Nivel 3],"",0)</f>
        <v/>
      </c>
      <c r="U323">
        <v>664</v>
      </c>
      <c r="V323" t="str">
        <f>_xlfn.XLOOKUP(Table3[[#This Row],[Cuenta]],Estructura_Balance[Nombre Cuenta ()],Estructura_Balance[Niveles:2],"",0)</f>
        <v/>
      </c>
      <c r="W323" t="str">
        <f>_xlfn.XLOOKUP(Table3[[#This Row],[Cuenta]],Estructura_Balance[Nombre Cuenta ()],Estructura_Balance[Niveles:3],"",0)</f>
        <v/>
      </c>
      <c r="X323" t="str">
        <f>_xlfn.XLOOKUP(Table3[[#This Row],[Cuenta]],Estructura_Balance[Nombre Cuenta ()],Estructura_Balance[Grupos],"Grupo 1",0)</f>
        <v>Grupo 1</v>
      </c>
      <c r="Y323" t="str">
        <f>+Table3[[#This Row],[BS_Nivel_1]]</f>
        <v/>
      </c>
    </row>
    <row r="324" spans="1:25">
      <c r="A324">
        <f>+'Libro Diario'!F474</f>
        <v>0</v>
      </c>
      <c r="B324" s="144">
        <f>VALUE(IF(+'Libro Diario'!G474="","01/01/2025",+'Libro Diario'!G474))</f>
        <v>45658</v>
      </c>
      <c r="C324">
        <f>IF(ISNUMBER(+IF(IFERROR(VALUE(MID('Libro Diario'!C474,1,4)),0)&lt;&gt;0,'Libro Diario'!C474,0))=FALSE,'Libro Diario'!C474,0)</f>
        <v>0</v>
      </c>
      <c r="D324" s="145" t="str">
        <f>+'Libro Diario'!B474</f>
        <v>Asiento Cuadrado</v>
      </c>
      <c r="E324" s="139" t="s">
        <v>445</v>
      </c>
      <c r="F324" t="str">
        <f t="shared" si="15"/>
        <v>Sin Mov.</v>
      </c>
      <c r="G324" t="str">
        <f>IF(+'Libro Diario'!H474=0,"",+'Libro Diario'!H474)</f>
        <v/>
      </c>
      <c r="H324" t="str">
        <f>IF(+'Libro Diario'!I474=0,"",+'Libro Diario'!I474)</f>
        <v/>
      </c>
      <c r="I324" t="str">
        <f>+IF(Table3[[#This Row],[Tipo Movimiento]]="Estructura Balance y PyG","Excluir","Incluir")</f>
        <v>Incluir</v>
      </c>
      <c r="J324" s="153">
        <f>+IF(Table3[[#This Row],[Sin cuenta]]="Con Mov.",(IF(Table3[[#This Row],[Movimiento]]="Debe",Table3[[#This Row],[Importe]],IF(Table3[[#This Row],[Movimiento]]="Haber",Table3[[#This Row],[Importe]]*-1,0))),0)</f>
        <v>0</v>
      </c>
      <c r="K324" s="145" t="str">
        <f t="shared" si="16"/>
        <v>Asiento Cuadrado</v>
      </c>
      <c r="L324" s="145" t="str">
        <f t="shared" si="17"/>
        <v/>
      </c>
      <c r="M324" t="str">
        <f>_xlfn.XLOOKUP(Table3[[#This Row],[Cuenta]],Estructura_Balance[Nombre Cuenta ()],Estructura_Balance[Grupo],"",0)</f>
        <v/>
      </c>
      <c r="N324" t="str">
        <f>_xlfn.XLOOKUP(Table3[[#This Row],[Cuenta]],Estructura_Balance[Nombre Cuenta ()],Estructura_Balance[Nivel 1],"",0)</f>
        <v/>
      </c>
      <c r="O324" t="str">
        <f>_xlfn.XLOOKUP(Table3[[#This Row],[Cuenta]],Estructura_Balance[Nombre Cuenta ()],Estructura_Balance[Nivel 2],"",0)</f>
        <v/>
      </c>
      <c r="P324" t="str">
        <f>_xlfn.XLOOKUP(Table3[[#This Row],[Cuenta]],Estructura_Balance[Nombre Cuenta ()],Estructura_Balance[Nivel 3],"",0)</f>
        <v/>
      </c>
      <c r="Q324" t="str">
        <f>_xlfn.XLOOKUP(Table3[[#This Row],[Cuenta]],Estructura_Balance[Nombre Cuenta ()],Estructura_Balance[Nivel 4],"",0)</f>
        <v/>
      </c>
      <c r="R324" s="154" t="str">
        <f>_xlfn.XLOOKUP(Table3[[#This Row],[Cuenta]],Table8[Nombre Cuenta ()],Table8[Nivel 1],"",0)</f>
        <v/>
      </c>
      <c r="S324" t="str">
        <f>_xlfn.XLOOKUP(Table3[[#This Row],[Cuenta]],Table8[Nombre Cuenta ()],Table8[Nivel 2],"",0)</f>
        <v/>
      </c>
      <c r="T324" t="str">
        <f>_xlfn.XLOOKUP(Table3[[#This Row],[Cuenta]],Table8[Nombre Cuenta ()],Table8[Nivel 3],"",0)</f>
        <v/>
      </c>
      <c r="U324">
        <v>665</v>
      </c>
      <c r="V324" t="str">
        <f>_xlfn.XLOOKUP(Table3[[#This Row],[Cuenta]],Estructura_Balance[Nombre Cuenta ()],Estructura_Balance[Niveles:2],"",0)</f>
        <v/>
      </c>
      <c r="W324" t="str">
        <f>_xlfn.XLOOKUP(Table3[[#This Row],[Cuenta]],Estructura_Balance[Nombre Cuenta ()],Estructura_Balance[Niveles:3],"",0)</f>
        <v/>
      </c>
      <c r="X324" t="str">
        <f>_xlfn.XLOOKUP(Table3[[#This Row],[Cuenta]],Estructura_Balance[Nombre Cuenta ()],Estructura_Balance[Grupos],"Grupo 1",0)</f>
        <v>Grupo 1</v>
      </c>
      <c r="Y324" t="str">
        <f>+Table3[[#This Row],[BS_Nivel_1]]</f>
        <v/>
      </c>
    </row>
    <row r="325" spans="1:25">
      <c r="A325">
        <f>+'Libro Diario'!F475</f>
        <v>0</v>
      </c>
      <c r="B325" s="144">
        <f>VALUE(IF(+'Libro Diario'!G475="","01/01/2025",+'Libro Diario'!G475))</f>
        <v>45658</v>
      </c>
      <c r="C325">
        <f>IF(ISNUMBER(+IF(IFERROR(VALUE(MID('Libro Diario'!C475,1,4)),0)&lt;&gt;0,'Libro Diario'!C475,0))=FALSE,'Libro Diario'!C475,0)</f>
        <v>0</v>
      </c>
      <c r="D325" s="145">
        <f>+'Libro Diario'!B475</f>
        <v>0</v>
      </c>
      <c r="E325" s="139" t="s">
        <v>445</v>
      </c>
      <c r="F325" t="str">
        <f t="shared" si="15"/>
        <v>Sin Mov.</v>
      </c>
      <c r="G325" t="str">
        <f>IF(+'Libro Diario'!H475=0,"",+'Libro Diario'!H475)</f>
        <v/>
      </c>
      <c r="H325" t="str">
        <f>IF(+'Libro Diario'!I475=0,"",+'Libro Diario'!I475)</f>
        <v/>
      </c>
      <c r="I325" t="str">
        <f>+IF(Table3[[#This Row],[Tipo Movimiento]]="Estructura Balance y PyG","Excluir","Incluir")</f>
        <v>Incluir</v>
      </c>
      <c r="J325" s="153">
        <f>+IF(Table3[[#This Row],[Sin cuenta]]="Con Mov.",(IF(Table3[[#This Row],[Movimiento]]="Debe",Table3[[#This Row],[Importe]],IF(Table3[[#This Row],[Movimiento]]="Haber",Table3[[#This Row],[Importe]]*-1,0))),0)</f>
        <v>0</v>
      </c>
      <c r="K325" s="145">
        <f t="shared" si="16"/>
        <v>0</v>
      </c>
      <c r="L325" s="145" t="str">
        <f t="shared" si="17"/>
        <v/>
      </c>
      <c r="M325" t="str">
        <f>_xlfn.XLOOKUP(Table3[[#This Row],[Cuenta]],Estructura_Balance[Nombre Cuenta ()],Estructura_Balance[Grupo],"",0)</f>
        <v/>
      </c>
      <c r="N325" t="str">
        <f>_xlfn.XLOOKUP(Table3[[#This Row],[Cuenta]],Estructura_Balance[Nombre Cuenta ()],Estructura_Balance[Nivel 1],"",0)</f>
        <v/>
      </c>
      <c r="O325" t="str">
        <f>_xlfn.XLOOKUP(Table3[[#This Row],[Cuenta]],Estructura_Balance[Nombre Cuenta ()],Estructura_Balance[Nivel 2],"",0)</f>
        <v/>
      </c>
      <c r="P325" t="str">
        <f>_xlfn.XLOOKUP(Table3[[#This Row],[Cuenta]],Estructura_Balance[Nombre Cuenta ()],Estructura_Balance[Nivel 3],"",0)</f>
        <v/>
      </c>
      <c r="Q325" t="str">
        <f>_xlfn.XLOOKUP(Table3[[#This Row],[Cuenta]],Estructura_Balance[Nombre Cuenta ()],Estructura_Balance[Nivel 4],"",0)</f>
        <v/>
      </c>
      <c r="R325" s="154" t="str">
        <f>_xlfn.XLOOKUP(Table3[[#This Row],[Cuenta]],Table8[Nombre Cuenta ()],Table8[Nivel 1],"",0)</f>
        <v/>
      </c>
      <c r="S325" t="str">
        <f>_xlfn.XLOOKUP(Table3[[#This Row],[Cuenta]],Table8[Nombre Cuenta ()],Table8[Nivel 2],"",0)</f>
        <v/>
      </c>
      <c r="T325" t="str">
        <f>_xlfn.XLOOKUP(Table3[[#This Row],[Cuenta]],Table8[Nombre Cuenta ()],Table8[Nivel 3],"",0)</f>
        <v/>
      </c>
      <c r="U325">
        <v>666</v>
      </c>
      <c r="V325" t="str">
        <f>_xlfn.XLOOKUP(Table3[[#This Row],[Cuenta]],Estructura_Balance[Nombre Cuenta ()],Estructura_Balance[Niveles:2],"",0)</f>
        <v/>
      </c>
      <c r="W325" t="str">
        <f>_xlfn.XLOOKUP(Table3[[#This Row],[Cuenta]],Estructura_Balance[Nombre Cuenta ()],Estructura_Balance[Niveles:3],"",0)</f>
        <v/>
      </c>
      <c r="X325" t="str">
        <f>_xlfn.XLOOKUP(Table3[[#This Row],[Cuenta]],Estructura_Balance[Nombre Cuenta ()],Estructura_Balance[Grupos],"Grupo 1",0)</f>
        <v>Grupo 1</v>
      </c>
      <c r="Y325" t="str">
        <f>+Table3[[#This Row],[BS_Nivel_1]]</f>
        <v/>
      </c>
    </row>
    <row r="326" spans="1:25">
      <c r="A326">
        <f>+'Libro Diario'!F476</f>
        <v>0</v>
      </c>
      <c r="B326" s="144">
        <f>VALUE(IF(+'Libro Diario'!G476="","01/01/2025",+'Libro Diario'!G476))</f>
        <v>45658</v>
      </c>
      <c r="C326">
        <f>IF(ISNUMBER(+IF(IFERROR(VALUE(MID('Libro Diario'!C476,1,4)),0)&lt;&gt;0,'Libro Diario'!C476,0))=FALSE,'Libro Diario'!C476,0)</f>
        <v>0</v>
      </c>
      <c r="D326" s="145" t="str">
        <f>+'Libro Diario'!B476</f>
        <v>DEBE</v>
      </c>
      <c r="E326" s="139" t="s">
        <v>445</v>
      </c>
      <c r="F326" t="str">
        <f t="shared" si="15"/>
        <v>Sin Mov.</v>
      </c>
      <c r="G326" t="str">
        <f>IF(+'Libro Diario'!H476=0,"",+'Libro Diario'!H476)</f>
        <v/>
      </c>
      <c r="H326" t="str">
        <f>IF(+'Libro Diario'!I476=0,"",+'Libro Diario'!I476)</f>
        <v/>
      </c>
      <c r="I326" t="str">
        <f>+IF(Table3[[#This Row],[Tipo Movimiento]]="Estructura Balance y PyG","Excluir","Incluir")</f>
        <v>Incluir</v>
      </c>
      <c r="J326" s="153">
        <f>+IF(Table3[[#This Row],[Sin cuenta]]="Con Mov.",(IF(Table3[[#This Row],[Movimiento]]="Debe",Table3[[#This Row],[Importe]],IF(Table3[[#This Row],[Movimiento]]="Haber",Table3[[#This Row],[Importe]]*-1,0))),0)</f>
        <v>0</v>
      </c>
      <c r="K326" s="145" t="str">
        <f t="shared" si="16"/>
        <v>DEBE</v>
      </c>
      <c r="L326" s="145" t="str">
        <f t="shared" si="17"/>
        <v/>
      </c>
      <c r="M326" t="str">
        <f>_xlfn.XLOOKUP(Table3[[#This Row],[Cuenta]],Estructura_Balance[Nombre Cuenta ()],Estructura_Balance[Grupo],"",0)</f>
        <v/>
      </c>
      <c r="N326" t="str">
        <f>_xlfn.XLOOKUP(Table3[[#This Row],[Cuenta]],Estructura_Balance[Nombre Cuenta ()],Estructura_Balance[Nivel 1],"",0)</f>
        <v/>
      </c>
      <c r="O326" t="str">
        <f>_xlfn.XLOOKUP(Table3[[#This Row],[Cuenta]],Estructura_Balance[Nombre Cuenta ()],Estructura_Balance[Nivel 2],"",0)</f>
        <v/>
      </c>
      <c r="P326" t="str">
        <f>_xlfn.XLOOKUP(Table3[[#This Row],[Cuenta]],Estructura_Balance[Nombre Cuenta ()],Estructura_Balance[Nivel 3],"",0)</f>
        <v/>
      </c>
      <c r="Q326" t="str">
        <f>_xlfn.XLOOKUP(Table3[[#This Row],[Cuenta]],Estructura_Balance[Nombre Cuenta ()],Estructura_Balance[Nivel 4],"",0)</f>
        <v/>
      </c>
      <c r="R326" s="154" t="str">
        <f>_xlfn.XLOOKUP(Table3[[#This Row],[Cuenta]],Table8[Nombre Cuenta ()],Table8[Nivel 1],"",0)</f>
        <v/>
      </c>
      <c r="S326" t="str">
        <f>_xlfn.XLOOKUP(Table3[[#This Row],[Cuenta]],Table8[Nombre Cuenta ()],Table8[Nivel 2],"",0)</f>
        <v/>
      </c>
      <c r="T326" t="str">
        <f>_xlfn.XLOOKUP(Table3[[#This Row],[Cuenta]],Table8[Nombre Cuenta ()],Table8[Nivel 3],"",0)</f>
        <v/>
      </c>
      <c r="U326">
        <v>667</v>
      </c>
      <c r="V326" t="str">
        <f>_xlfn.XLOOKUP(Table3[[#This Row],[Cuenta]],Estructura_Balance[Nombre Cuenta ()],Estructura_Balance[Niveles:2],"",0)</f>
        <v/>
      </c>
      <c r="W326" t="str">
        <f>_xlfn.XLOOKUP(Table3[[#This Row],[Cuenta]],Estructura_Balance[Nombre Cuenta ()],Estructura_Balance[Niveles:3],"",0)</f>
        <v/>
      </c>
      <c r="X326" t="str">
        <f>_xlfn.XLOOKUP(Table3[[#This Row],[Cuenta]],Estructura_Balance[Nombre Cuenta ()],Estructura_Balance[Grupos],"Grupo 1",0)</f>
        <v>Grupo 1</v>
      </c>
      <c r="Y326" t="str">
        <f>+Table3[[#This Row],[BS_Nivel_1]]</f>
        <v/>
      </c>
    </row>
    <row r="327" spans="1:25">
      <c r="A327">
        <f>+'Libro Diario'!F477</f>
        <v>0</v>
      </c>
      <c r="B327" s="144">
        <f>VALUE(IF(+'Libro Diario'!G477="","01/01/2025",+'Libro Diario'!G477))</f>
        <v>45658</v>
      </c>
      <c r="C327">
        <f>IF(ISNUMBER(+IF(IFERROR(VALUE(MID('Libro Diario'!C477,1,4)),0)&lt;&gt;0,'Libro Diario'!C477,0))=FALSE,'Libro Diario'!C477,0)</f>
        <v>0</v>
      </c>
      <c r="D327" s="145">
        <f>+'Libro Diario'!B477</f>
        <v>0</v>
      </c>
      <c r="E327" s="139" t="s">
        <v>445</v>
      </c>
      <c r="F327" t="str">
        <f t="shared" si="15"/>
        <v>Sin Mov.</v>
      </c>
      <c r="G327" t="str">
        <f>IF(+'Libro Diario'!H477=0,"",+'Libro Diario'!H477)</f>
        <v/>
      </c>
      <c r="H327" t="str">
        <f>IF(+'Libro Diario'!I477=0,"",+'Libro Diario'!I477)</f>
        <v/>
      </c>
      <c r="I327" t="str">
        <f>+IF(Table3[[#This Row],[Tipo Movimiento]]="Estructura Balance y PyG","Excluir","Incluir")</f>
        <v>Incluir</v>
      </c>
      <c r="J327" s="153">
        <f>+IF(Table3[[#This Row],[Sin cuenta]]="Con Mov.",(IF(Table3[[#This Row],[Movimiento]]="Debe",Table3[[#This Row],[Importe]],IF(Table3[[#This Row],[Movimiento]]="Haber",Table3[[#This Row],[Importe]]*-1,0))),0)</f>
        <v>0</v>
      </c>
      <c r="K327" s="145">
        <f t="shared" si="16"/>
        <v>0</v>
      </c>
      <c r="L327" s="145" t="str">
        <f t="shared" si="17"/>
        <v/>
      </c>
      <c r="M327" t="str">
        <f>_xlfn.XLOOKUP(Table3[[#This Row],[Cuenta]],Estructura_Balance[Nombre Cuenta ()],Estructura_Balance[Grupo],"",0)</f>
        <v/>
      </c>
      <c r="N327" t="str">
        <f>_xlfn.XLOOKUP(Table3[[#This Row],[Cuenta]],Estructura_Balance[Nombre Cuenta ()],Estructura_Balance[Nivel 1],"",0)</f>
        <v/>
      </c>
      <c r="O327" t="str">
        <f>_xlfn.XLOOKUP(Table3[[#This Row],[Cuenta]],Estructura_Balance[Nombre Cuenta ()],Estructura_Balance[Nivel 2],"",0)</f>
        <v/>
      </c>
      <c r="P327" t="str">
        <f>_xlfn.XLOOKUP(Table3[[#This Row],[Cuenta]],Estructura_Balance[Nombre Cuenta ()],Estructura_Balance[Nivel 3],"",0)</f>
        <v/>
      </c>
      <c r="Q327" t="str">
        <f>_xlfn.XLOOKUP(Table3[[#This Row],[Cuenta]],Estructura_Balance[Nombre Cuenta ()],Estructura_Balance[Nivel 4],"",0)</f>
        <v/>
      </c>
      <c r="R327" t="str">
        <f>_xlfn.XLOOKUP(Table3[[#This Row],[Cuenta]],Table8[Nombre Cuenta ()],Table8[Nivel 1],"",0)</f>
        <v/>
      </c>
      <c r="S327" t="str">
        <f>_xlfn.XLOOKUP(Table3[[#This Row],[Cuenta]],Table8[Nombre Cuenta ()],Table8[Nivel 2],"",0)</f>
        <v/>
      </c>
      <c r="T327" t="str">
        <f>_xlfn.XLOOKUP(Table3[[#This Row],[Cuenta]],Table8[Nombre Cuenta ()],Table8[Nivel 3],"",0)</f>
        <v/>
      </c>
      <c r="U327">
        <v>668</v>
      </c>
      <c r="V327" t="str">
        <f>_xlfn.XLOOKUP(Table3[[#This Row],[Cuenta]],Estructura_Balance[Nombre Cuenta ()],Estructura_Balance[Niveles:2],"",0)</f>
        <v/>
      </c>
      <c r="W327" t="str">
        <f>_xlfn.XLOOKUP(Table3[[#This Row],[Cuenta]],Estructura_Balance[Nombre Cuenta ()],Estructura_Balance[Niveles:3],"",0)</f>
        <v/>
      </c>
      <c r="X327" t="str">
        <f>_xlfn.XLOOKUP(Table3[[#This Row],[Cuenta]],Estructura_Balance[Nombre Cuenta ()],Estructura_Balance[Grupos],"Grupo 1",0)</f>
        <v>Grupo 1</v>
      </c>
      <c r="Y327" t="str">
        <f>+Table3[[#This Row],[BS_Nivel_1]]</f>
        <v/>
      </c>
    </row>
    <row r="328" spans="1:25">
      <c r="A328">
        <f>+'Libro Diario'!F480</f>
        <v>0</v>
      </c>
      <c r="B328" s="144">
        <f>VALUE(IF(+'Libro Diario'!G480="","01/01/2025",+'Libro Diario'!G480))</f>
        <v>45658</v>
      </c>
      <c r="C328">
        <f>IF(ISNUMBER(+IF(IFERROR(VALUE(MID('Libro Diario'!C480,1,4)),0)&lt;&gt;0,'Libro Diario'!C480,0))=FALSE,'Libro Diario'!C480,0)</f>
        <v>0</v>
      </c>
      <c r="D328" s="145" t="str">
        <f>+'Libro Diario'!B480</f>
        <v>Regularización de Existencias</v>
      </c>
      <c r="E328" s="139" t="s">
        <v>445</v>
      </c>
      <c r="F328" t="str">
        <f t="shared" si="15"/>
        <v>Sin Mov.</v>
      </c>
      <c r="G328" t="str">
        <f>IF(+'Libro Diario'!H480=0,"",+'Libro Diario'!H480)</f>
        <v/>
      </c>
      <c r="H328" t="str">
        <f>IF(+'Libro Diario'!I480=0,"",+'Libro Diario'!I480)</f>
        <v/>
      </c>
      <c r="I328" t="str">
        <f>+IF(Table3[[#This Row],[Tipo Movimiento]]="Estructura Balance y PyG","Excluir","Incluir")</f>
        <v>Incluir</v>
      </c>
      <c r="J328" s="153">
        <f>+IF(Table3[[#This Row],[Sin cuenta]]="Con Mov.",(IF(Table3[[#This Row],[Movimiento]]="Debe",Table3[[#This Row],[Importe]],IF(Table3[[#This Row],[Movimiento]]="Haber",Table3[[#This Row],[Importe]]*-1,0))),0)</f>
        <v>0</v>
      </c>
      <c r="K328" s="145" t="str">
        <f t="shared" si="16"/>
        <v>Regularización de Existencias</v>
      </c>
      <c r="L328" s="145" t="str">
        <f t="shared" si="17"/>
        <v/>
      </c>
      <c r="M328" t="str">
        <f>_xlfn.XLOOKUP(Table3[[#This Row],[Cuenta]],Estructura_Balance[Nombre Cuenta ()],Estructura_Balance[Grupo],"",0)</f>
        <v/>
      </c>
      <c r="N328" t="str">
        <f>_xlfn.XLOOKUP(Table3[[#This Row],[Cuenta]],Estructura_Balance[Nombre Cuenta ()],Estructura_Balance[Nivel 1],"",0)</f>
        <v/>
      </c>
      <c r="O328" t="str">
        <f>_xlfn.XLOOKUP(Table3[[#This Row],[Cuenta]],Estructura_Balance[Nombre Cuenta ()],Estructura_Balance[Nivel 2],"",0)</f>
        <v/>
      </c>
      <c r="P328" t="str">
        <f>_xlfn.XLOOKUP(Table3[[#This Row],[Cuenta]],Estructura_Balance[Nombre Cuenta ()],Estructura_Balance[Nivel 3],"",0)</f>
        <v/>
      </c>
      <c r="Q328" t="str">
        <f>_xlfn.XLOOKUP(Table3[[#This Row],[Cuenta]],Estructura_Balance[Nombre Cuenta ()],Estructura_Balance[Nivel 4],"",0)</f>
        <v/>
      </c>
      <c r="R328" s="154" t="str">
        <f>_xlfn.XLOOKUP(Table3[[#This Row],[Cuenta]],Table8[Nombre Cuenta ()],Table8[Nivel 1],"",0)</f>
        <v/>
      </c>
      <c r="S328" t="str">
        <f>_xlfn.XLOOKUP(Table3[[#This Row],[Cuenta]],Table8[Nombre Cuenta ()],Table8[Nivel 2],"",0)</f>
        <v/>
      </c>
      <c r="T328" t="str">
        <f>_xlfn.XLOOKUP(Table3[[#This Row],[Cuenta]],Table8[Nombre Cuenta ()],Table8[Nivel 3],"",0)</f>
        <v/>
      </c>
      <c r="U328">
        <v>671</v>
      </c>
      <c r="V328" t="str">
        <f>_xlfn.XLOOKUP(Table3[[#This Row],[Cuenta]],Estructura_Balance[Nombre Cuenta ()],Estructura_Balance[Niveles:2],"",0)</f>
        <v/>
      </c>
      <c r="W328" t="str">
        <f>_xlfn.XLOOKUP(Table3[[#This Row],[Cuenta]],Estructura_Balance[Nombre Cuenta ()],Estructura_Balance[Niveles:3],"",0)</f>
        <v/>
      </c>
      <c r="X328" t="str">
        <f>_xlfn.XLOOKUP(Table3[[#This Row],[Cuenta]],Estructura_Balance[Nombre Cuenta ()],Estructura_Balance[Grupos],"Grupo 1",0)</f>
        <v>Grupo 1</v>
      </c>
      <c r="Y328" t="str">
        <f>+Table3[[#This Row],[BS_Nivel_1]]</f>
        <v/>
      </c>
    </row>
    <row r="329" spans="1:25">
      <c r="A329">
        <f>+'Libro Diario'!F481</f>
        <v>0</v>
      </c>
      <c r="B329" s="144">
        <f>VALUE(IF(+'Libro Diario'!G481="","01/01/2025",+'Libro Diario'!G481))</f>
        <v>45658</v>
      </c>
      <c r="C329">
        <f>IF(ISNUMBER(+IF(IFERROR(VALUE(MID('Libro Diario'!C481,1,4)),0)&lt;&gt;0,'Libro Diario'!C481,0))=FALSE,'Libro Diario'!C481,0)</f>
        <v>0</v>
      </c>
      <c r="D329" s="145" t="str">
        <f>+'Libro Diario'!B481</f>
        <v>Asiento Cuadrado</v>
      </c>
      <c r="E329" s="139" t="s">
        <v>445</v>
      </c>
      <c r="F329" t="str">
        <f t="shared" si="15"/>
        <v>Sin Mov.</v>
      </c>
      <c r="G329" t="str">
        <f>IF(+'Libro Diario'!H481=0,"",+'Libro Diario'!H481)</f>
        <v/>
      </c>
      <c r="H329" t="str">
        <f>IF(+'Libro Diario'!I481=0,"",+'Libro Diario'!I481)</f>
        <v/>
      </c>
      <c r="I329" t="str">
        <f>+IF(Table3[[#This Row],[Tipo Movimiento]]="Estructura Balance y PyG","Excluir","Incluir")</f>
        <v>Incluir</v>
      </c>
      <c r="J329" s="153">
        <f>+IF(Table3[[#This Row],[Sin cuenta]]="Con Mov.",(IF(Table3[[#This Row],[Movimiento]]="Debe",Table3[[#This Row],[Importe]],IF(Table3[[#This Row],[Movimiento]]="Haber",Table3[[#This Row],[Importe]]*-1,0))),0)</f>
        <v>0</v>
      </c>
      <c r="K329" s="145" t="str">
        <f t="shared" si="16"/>
        <v>Asiento Cuadrado</v>
      </c>
      <c r="L329" s="145" t="str">
        <f t="shared" si="17"/>
        <v/>
      </c>
      <c r="M329" t="str">
        <f>_xlfn.XLOOKUP(Table3[[#This Row],[Cuenta]],Estructura_Balance[Nombre Cuenta ()],Estructura_Balance[Grupo],"",0)</f>
        <v/>
      </c>
      <c r="N329" t="str">
        <f>_xlfn.XLOOKUP(Table3[[#This Row],[Cuenta]],Estructura_Balance[Nombre Cuenta ()],Estructura_Balance[Nivel 1],"",0)</f>
        <v/>
      </c>
      <c r="O329" t="str">
        <f>_xlfn.XLOOKUP(Table3[[#This Row],[Cuenta]],Estructura_Balance[Nombre Cuenta ()],Estructura_Balance[Nivel 2],"",0)</f>
        <v/>
      </c>
      <c r="P329" t="str">
        <f>_xlfn.XLOOKUP(Table3[[#This Row],[Cuenta]],Estructura_Balance[Nombre Cuenta ()],Estructura_Balance[Nivel 3],"",0)</f>
        <v/>
      </c>
      <c r="Q329" t="str">
        <f>_xlfn.XLOOKUP(Table3[[#This Row],[Cuenta]],Estructura_Balance[Nombre Cuenta ()],Estructura_Balance[Nivel 4],"",0)</f>
        <v/>
      </c>
      <c r="R329" t="str">
        <f>_xlfn.XLOOKUP(Table3[[#This Row],[Cuenta]],Table8[Nombre Cuenta ()],Table8[Nivel 1],"",0)</f>
        <v/>
      </c>
      <c r="S329" t="str">
        <f>_xlfn.XLOOKUP(Table3[[#This Row],[Cuenta]],Table8[Nombre Cuenta ()],Table8[Nivel 2],"",0)</f>
        <v/>
      </c>
      <c r="T329" t="str">
        <f>_xlfn.XLOOKUP(Table3[[#This Row],[Cuenta]],Table8[Nombre Cuenta ()],Table8[Nivel 3],"",0)</f>
        <v/>
      </c>
      <c r="U329">
        <v>672</v>
      </c>
      <c r="V329" t="str">
        <f>_xlfn.XLOOKUP(Table3[[#This Row],[Cuenta]],Estructura_Balance[Nombre Cuenta ()],Estructura_Balance[Niveles:2],"",0)</f>
        <v/>
      </c>
      <c r="W329" t="str">
        <f>_xlfn.XLOOKUP(Table3[[#This Row],[Cuenta]],Estructura_Balance[Nombre Cuenta ()],Estructura_Balance[Niveles:3],"",0)</f>
        <v/>
      </c>
      <c r="X329" t="str">
        <f>_xlfn.XLOOKUP(Table3[[#This Row],[Cuenta]],Estructura_Balance[Nombre Cuenta ()],Estructura_Balance[Grupos],"Grupo 1",0)</f>
        <v>Grupo 1</v>
      </c>
      <c r="Y329" t="str">
        <f>+Table3[[#This Row],[BS_Nivel_1]]</f>
        <v/>
      </c>
    </row>
    <row r="330" spans="1:25">
      <c r="A330">
        <f>+'Libro Diario'!F482</f>
        <v>0</v>
      </c>
      <c r="B330" s="144">
        <f>VALUE(IF(+'Libro Diario'!G482="","01/01/2025",+'Libro Diario'!G482))</f>
        <v>45658</v>
      </c>
      <c r="C330">
        <f>IF(ISNUMBER(+IF(IFERROR(VALUE(MID('Libro Diario'!C482,1,4)),0)&lt;&gt;0,'Libro Diario'!C482,0))=FALSE,'Libro Diario'!C482,0)</f>
        <v>0</v>
      </c>
      <c r="D330" s="145">
        <f>+'Libro Diario'!B482</f>
        <v>0</v>
      </c>
      <c r="E330" s="139" t="s">
        <v>445</v>
      </c>
      <c r="F330" t="str">
        <f t="shared" si="15"/>
        <v>Sin Mov.</v>
      </c>
      <c r="G330" t="str">
        <f>IF(+'Libro Diario'!H482=0,"",+'Libro Diario'!H482)</f>
        <v/>
      </c>
      <c r="H330" t="str">
        <f>IF(+'Libro Diario'!I482=0,"",+'Libro Diario'!I482)</f>
        <v/>
      </c>
      <c r="I330" t="str">
        <f>+IF(Table3[[#This Row],[Tipo Movimiento]]="Estructura Balance y PyG","Excluir","Incluir")</f>
        <v>Incluir</v>
      </c>
      <c r="J330" s="153">
        <f>+IF(Table3[[#This Row],[Sin cuenta]]="Con Mov.",(IF(Table3[[#This Row],[Movimiento]]="Debe",Table3[[#This Row],[Importe]],IF(Table3[[#This Row],[Movimiento]]="Haber",Table3[[#This Row],[Importe]]*-1,0))),0)</f>
        <v>0</v>
      </c>
      <c r="K330" s="145">
        <f t="shared" si="16"/>
        <v>0</v>
      </c>
      <c r="L330" s="145" t="str">
        <f t="shared" si="17"/>
        <v/>
      </c>
      <c r="M330" t="str">
        <f>_xlfn.XLOOKUP(Table3[[#This Row],[Cuenta]],Estructura_Balance[Nombre Cuenta ()],Estructura_Balance[Grupo],"",0)</f>
        <v/>
      </c>
      <c r="N330" t="str">
        <f>_xlfn.XLOOKUP(Table3[[#This Row],[Cuenta]],Estructura_Balance[Nombre Cuenta ()],Estructura_Balance[Nivel 1],"",0)</f>
        <v/>
      </c>
      <c r="O330" t="str">
        <f>_xlfn.XLOOKUP(Table3[[#This Row],[Cuenta]],Estructura_Balance[Nombre Cuenta ()],Estructura_Balance[Nivel 2],"",0)</f>
        <v/>
      </c>
      <c r="P330" t="str">
        <f>_xlfn.XLOOKUP(Table3[[#This Row],[Cuenta]],Estructura_Balance[Nombre Cuenta ()],Estructura_Balance[Nivel 3],"",0)</f>
        <v/>
      </c>
      <c r="Q330" t="str">
        <f>_xlfn.XLOOKUP(Table3[[#This Row],[Cuenta]],Estructura_Balance[Nombre Cuenta ()],Estructura_Balance[Nivel 4],"",0)</f>
        <v/>
      </c>
      <c r="R330" s="154" t="str">
        <f>_xlfn.XLOOKUP(Table3[[#This Row],[Cuenta]],Table8[Nombre Cuenta ()],Table8[Nivel 1],"",0)</f>
        <v/>
      </c>
      <c r="S330" t="str">
        <f>_xlfn.XLOOKUP(Table3[[#This Row],[Cuenta]],Table8[Nombre Cuenta ()],Table8[Nivel 2],"",0)</f>
        <v/>
      </c>
      <c r="T330" t="str">
        <f>_xlfn.XLOOKUP(Table3[[#This Row],[Cuenta]],Table8[Nombre Cuenta ()],Table8[Nivel 3],"",0)</f>
        <v/>
      </c>
      <c r="U330">
        <v>673</v>
      </c>
      <c r="V330" t="str">
        <f>_xlfn.XLOOKUP(Table3[[#This Row],[Cuenta]],Estructura_Balance[Nombre Cuenta ()],Estructura_Balance[Niveles:2],"",0)</f>
        <v/>
      </c>
      <c r="W330" t="str">
        <f>_xlfn.XLOOKUP(Table3[[#This Row],[Cuenta]],Estructura_Balance[Nombre Cuenta ()],Estructura_Balance[Niveles:3],"",0)</f>
        <v/>
      </c>
      <c r="X330" t="str">
        <f>_xlfn.XLOOKUP(Table3[[#This Row],[Cuenta]],Estructura_Balance[Nombre Cuenta ()],Estructura_Balance[Grupos],"Grupo 1",0)</f>
        <v>Grupo 1</v>
      </c>
      <c r="Y330" t="str">
        <f>+Table3[[#This Row],[BS_Nivel_1]]</f>
        <v/>
      </c>
    </row>
    <row r="331" spans="1:25">
      <c r="A331">
        <f>+'Libro Diario'!F483</f>
        <v>0</v>
      </c>
      <c r="B331" s="144">
        <f>VALUE(IF(+'Libro Diario'!G483="","01/01/2025",+'Libro Diario'!G483))</f>
        <v>45658</v>
      </c>
      <c r="C331">
        <f>IF(ISNUMBER(+IF(IFERROR(VALUE(MID('Libro Diario'!C483,1,4)),0)&lt;&gt;0,'Libro Diario'!C483,0))=FALSE,'Libro Diario'!C483,0)</f>
        <v>0</v>
      </c>
      <c r="D331" s="145" t="str">
        <f>+'Libro Diario'!B483</f>
        <v>DEBE</v>
      </c>
      <c r="E331" s="139" t="s">
        <v>445</v>
      </c>
      <c r="F331" t="str">
        <f t="shared" si="15"/>
        <v>Sin Mov.</v>
      </c>
      <c r="G331" t="str">
        <f>IF(+'Libro Diario'!H483=0,"",+'Libro Diario'!H483)</f>
        <v/>
      </c>
      <c r="H331" t="str">
        <f>IF(+'Libro Diario'!I483=0,"",+'Libro Diario'!I483)</f>
        <v/>
      </c>
      <c r="I331" t="str">
        <f>+IF(Table3[[#This Row],[Tipo Movimiento]]="Estructura Balance y PyG","Excluir","Incluir")</f>
        <v>Incluir</v>
      </c>
      <c r="J331" s="153">
        <f>+IF(Table3[[#This Row],[Sin cuenta]]="Con Mov.",(IF(Table3[[#This Row],[Movimiento]]="Debe",Table3[[#This Row],[Importe]],IF(Table3[[#This Row],[Movimiento]]="Haber",Table3[[#This Row],[Importe]]*-1,0))),0)</f>
        <v>0</v>
      </c>
      <c r="K331" s="145" t="str">
        <f t="shared" si="16"/>
        <v>DEBE</v>
      </c>
      <c r="L331" s="145" t="str">
        <f t="shared" si="17"/>
        <v/>
      </c>
      <c r="M331" t="str">
        <f>_xlfn.XLOOKUP(Table3[[#This Row],[Cuenta]],Estructura_Balance[Nombre Cuenta ()],Estructura_Balance[Grupo],"",0)</f>
        <v/>
      </c>
      <c r="N331" t="str">
        <f>_xlfn.XLOOKUP(Table3[[#This Row],[Cuenta]],Estructura_Balance[Nombre Cuenta ()],Estructura_Balance[Nivel 1],"",0)</f>
        <v/>
      </c>
      <c r="O331" t="str">
        <f>_xlfn.XLOOKUP(Table3[[#This Row],[Cuenta]],Estructura_Balance[Nombre Cuenta ()],Estructura_Balance[Nivel 2],"",0)</f>
        <v/>
      </c>
      <c r="P331" t="str">
        <f>_xlfn.XLOOKUP(Table3[[#This Row],[Cuenta]],Estructura_Balance[Nombre Cuenta ()],Estructura_Balance[Nivel 3],"",0)</f>
        <v/>
      </c>
      <c r="Q331" t="str">
        <f>_xlfn.XLOOKUP(Table3[[#This Row],[Cuenta]],Estructura_Balance[Nombre Cuenta ()],Estructura_Balance[Nivel 4],"",0)</f>
        <v/>
      </c>
      <c r="R331" t="str">
        <f>_xlfn.XLOOKUP(Table3[[#This Row],[Cuenta]],Table8[Nombre Cuenta ()],Table8[Nivel 1],"",0)</f>
        <v/>
      </c>
      <c r="S331" t="str">
        <f>_xlfn.XLOOKUP(Table3[[#This Row],[Cuenta]],Table8[Nombre Cuenta ()],Table8[Nivel 2],"",0)</f>
        <v/>
      </c>
      <c r="T331" t="str">
        <f>_xlfn.XLOOKUP(Table3[[#This Row],[Cuenta]],Table8[Nombre Cuenta ()],Table8[Nivel 3],"",0)</f>
        <v/>
      </c>
      <c r="U331">
        <v>674</v>
      </c>
      <c r="V331" t="str">
        <f>_xlfn.XLOOKUP(Table3[[#This Row],[Cuenta]],Estructura_Balance[Nombre Cuenta ()],Estructura_Balance[Niveles:2],"",0)</f>
        <v/>
      </c>
      <c r="W331" t="str">
        <f>_xlfn.XLOOKUP(Table3[[#This Row],[Cuenta]],Estructura_Balance[Nombre Cuenta ()],Estructura_Balance[Niveles:3],"",0)</f>
        <v/>
      </c>
      <c r="X331" t="str">
        <f>_xlfn.XLOOKUP(Table3[[#This Row],[Cuenta]],Estructura_Balance[Nombre Cuenta ()],Estructura_Balance[Grupos],"Grupo 1",0)</f>
        <v>Grupo 1</v>
      </c>
      <c r="Y331" t="str">
        <f>+Table3[[#This Row],[BS_Nivel_1]]</f>
        <v/>
      </c>
    </row>
    <row r="332" spans="1:25">
      <c r="A332">
        <f>+'Libro Diario'!F484</f>
        <v>0</v>
      </c>
      <c r="B332" s="144">
        <f>VALUE(IF(+'Libro Diario'!G484="","01/01/2025",+'Libro Diario'!G484))</f>
        <v>45658</v>
      </c>
      <c r="C332">
        <f>IF(ISNUMBER(+IF(IFERROR(VALUE(MID('Libro Diario'!C484,1,4)),0)&lt;&gt;0,'Libro Diario'!C484,0))=FALSE,'Libro Diario'!C484,0)</f>
        <v>0</v>
      </c>
      <c r="D332" s="145">
        <f>+'Libro Diario'!B484</f>
        <v>0</v>
      </c>
      <c r="E332" s="139" t="s">
        <v>445</v>
      </c>
      <c r="F332" t="str">
        <f t="shared" si="15"/>
        <v>Sin Mov.</v>
      </c>
      <c r="G332" t="str">
        <f>IF(+'Libro Diario'!H484=0,"",+'Libro Diario'!H484)</f>
        <v/>
      </c>
      <c r="H332" t="str">
        <f>IF(+'Libro Diario'!I484=0,"",+'Libro Diario'!I484)</f>
        <v/>
      </c>
      <c r="I332" t="str">
        <f>+IF(Table3[[#This Row],[Tipo Movimiento]]="Estructura Balance y PyG","Excluir","Incluir")</f>
        <v>Incluir</v>
      </c>
      <c r="J332" s="153">
        <f>+IF(Table3[[#This Row],[Sin cuenta]]="Con Mov.",(IF(Table3[[#This Row],[Movimiento]]="Debe",Table3[[#This Row],[Importe]],IF(Table3[[#This Row],[Movimiento]]="Haber",Table3[[#This Row],[Importe]]*-1,0))),0)</f>
        <v>0</v>
      </c>
      <c r="K332" s="145">
        <f t="shared" si="16"/>
        <v>0</v>
      </c>
      <c r="L332" s="145" t="str">
        <f t="shared" si="17"/>
        <v/>
      </c>
      <c r="M332" t="str">
        <f>_xlfn.XLOOKUP(Table3[[#This Row],[Cuenta]],Estructura_Balance[Nombre Cuenta ()],Estructura_Balance[Grupo],"",0)</f>
        <v/>
      </c>
      <c r="N332" t="str">
        <f>_xlfn.XLOOKUP(Table3[[#This Row],[Cuenta]],Estructura_Balance[Nombre Cuenta ()],Estructura_Balance[Nivel 1],"",0)</f>
        <v/>
      </c>
      <c r="O332" t="str">
        <f>_xlfn.XLOOKUP(Table3[[#This Row],[Cuenta]],Estructura_Balance[Nombre Cuenta ()],Estructura_Balance[Nivel 2],"",0)</f>
        <v/>
      </c>
      <c r="P332" t="str">
        <f>_xlfn.XLOOKUP(Table3[[#This Row],[Cuenta]],Estructura_Balance[Nombre Cuenta ()],Estructura_Balance[Nivel 3],"",0)</f>
        <v/>
      </c>
      <c r="Q332" t="str">
        <f>_xlfn.XLOOKUP(Table3[[#This Row],[Cuenta]],Estructura_Balance[Nombre Cuenta ()],Estructura_Balance[Nivel 4],"",0)</f>
        <v/>
      </c>
      <c r="R332" s="154" t="str">
        <f>_xlfn.XLOOKUP(Table3[[#This Row],[Cuenta]],Table8[Nombre Cuenta ()],Table8[Nivel 1],"",0)</f>
        <v/>
      </c>
      <c r="S332" t="str">
        <f>_xlfn.XLOOKUP(Table3[[#This Row],[Cuenta]],Table8[Nombre Cuenta ()],Table8[Nivel 2],"",0)</f>
        <v/>
      </c>
      <c r="T332" t="str">
        <f>_xlfn.XLOOKUP(Table3[[#This Row],[Cuenta]],Table8[Nombre Cuenta ()],Table8[Nivel 3],"",0)</f>
        <v/>
      </c>
      <c r="U332">
        <v>675</v>
      </c>
      <c r="V332" t="str">
        <f>_xlfn.XLOOKUP(Table3[[#This Row],[Cuenta]],Estructura_Balance[Nombre Cuenta ()],Estructura_Balance[Niveles:2],"",0)</f>
        <v/>
      </c>
      <c r="W332" t="str">
        <f>_xlfn.XLOOKUP(Table3[[#This Row],[Cuenta]],Estructura_Balance[Nombre Cuenta ()],Estructura_Balance[Niveles:3],"",0)</f>
        <v/>
      </c>
      <c r="X332" t="str">
        <f>_xlfn.XLOOKUP(Table3[[#This Row],[Cuenta]],Estructura_Balance[Nombre Cuenta ()],Estructura_Balance[Grupos],"Grupo 1",0)</f>
        <v>Grupo 1</v>
      </c>
      <c r="Y332" t="str">
        <f>+Table3[[#This Row],[BS_Nivel_1]]</f>
        <v/>
      </c>
    </row>
    <row r="333" spans="1:25">
      <c r="A333">
        <f>+'Libro Diario'!F487</f>
        <v>0</v>
      </c>
      <c r="B333" s="144">
        <f>VALUE(IF(+'Libro Diario'!G487="","01/01/2025",+'Libro Diario'!G487))</f>
        <v>45658</v>
      </c>
      <c r="C333">
        <f>IF(ISNUMBER(+IF(IFERROR(VALUE(MID('Libro Diario'!C487,1,4)),0)&lt;&gt;0,'Libro Diario'!C487,0))=FALSE,'Libro Diario'!C487,0)</f>
        <v>0</v>
      </c>
      <c r="D333" s="145" t="str">
        <f>+'Libro Diario'!B487</f>
        <v>Regularización de Existencias</v>
      </c>
      <c r="E333" s="139" t="s">
        <v>445</v>
      </c>
      <c r="F333" t="str">
        <f t="shared" si="15"/>
        <v>Sin Mov.</v>
      </c>
      <c r="G333" t="str">
        <f>IF(+'Libro Diario'!H487=0,"",+'Libro Diario'!H487)</f>
        <v/>
      </c>
      <c r="H333" t="str">
        <f>IF(+'Libro Diario'!I487=0,"",+'Libro Diario'!I487)</f>
        <v/>
      </c>
      <c r="I333" t="str">
        <f>+IF(Table3[[#This Row],[Tipo Movimiento]]="Estructura Balance y PyG","Excluir","Incluir")</f>
        <v>Incluir</v>
      </c>
      <c r="J333" s="153">
        <f>+IF(Table3[[#This Row],[Sin cuenta]]="Con Mov.",(IF(Table3[[#This Row],[Movimiento]]="Debe",Table3[[#This Row],[Importe]],IF(Table3[[#This Row],[Movimiento]]="Haber",Table3[[#This Row],[Importe]]*-1,0))),0)</f>
        <v>0</v>
      </c>
      <c r="K333" s="145" t="str">
        <f t="shared" si="16"/>
        <v>Regularización de Existencias</v>
      </c>
      <c r="L333" s="145" t="str">
        <f t="shared" si="17"/>
        <v/>
      </c>
      <c r="M333" t="str">
        <f>_xlfn.XLOOKUP(Table3[[#This Row],[Cuenta]],Estructura_Balance[Nombre Cuenta ()],Estructura_Balance[Grupo],"",0)</f>
        <v/>
      </c>
      <c r="N333" t="str">
        <f>_xlfn.XLOOKUP(Table3[[#This Row],[Cuenta]],Estructura_Balance[Nombre Cuenta ()],Estructura_Balance[Nivel 1],"",0)</f>
        <v/>
      </c>
      <c r="O333" t="str">
        <f>_xlfn.XLOOKUP(Table3[[#This Row],[Cuenta]],Estructura_Balance[Nombre Cuenta ()],Estructura_Balance[Nivel 2],"",0)</f>
        <v/>
      </c>
      <c r="P333" t="str">
        <f>_xlfn.XLOOKUP(Table3[[#This Row],[Cuenta]],Estructura_Balance[Nombre Cuenta ()],Estructura_Balance[Nivel 3],"",0)</f>
        <v/>
      </c>
      <c r="Q333" t="str">
        <f>_xlfn.XLOOKUP(Table3[[#This Row],[Cuenta]],Estructura_Balance[Nombre Cuenta ()],Estructura_Balance[Nivel 4],"",0)</f>
        <v/>
      </c>
      <c r="R333" s="154" t="str">
        <f>_xlfn.XLOOKUP(Table3[[#This Row],[Cuenta]],Table8[Nombre Cuenta ()],Table8[Nivel 1],"",0)</f>
        <v/>
      </c>
      <c r="S333" t="str">
        <f>_xlfn.XLOOKUP(Table3[[#This Row],[Cuenta]],Table8[Nombre Cuenta ()],Table8[Nivel 2],"",0)</f>
        <v/>
      </c>
      <c r="T333" t="str">
        <f>_xlfn.XLOOKUP(Table3[[#This Row],[Cuenta]],Table8[Nombre Cuenta ()],Table8[Nivel 3],"",0)</f>
        <v/>
      </c>
      <c r="U333">
        <v>678</v>
      </c>
      <c r="V333" t="str">
        <f>_xlfn.XLOOKUP(Table3[[#This Row],[Cuenta]],Estructura_Balance[Nombre Cuenta ()],Estructura_Balance[Niveles:2],"",0)</f>
        <v/>
      </c>
      <c r="W333" t="str">
        <f>_xlfn.XLOOKUP(Table3[[#This Row],[Cuenta]],Estructura_Balance[Nombre Cuenta ()],Estructura_Balance[Niveles:3],"",0)</f>
        <v/>
      </c>
      <c r="X333" t="str">
        <f>_xlfn.XLOOKUP(Table3[[#This Row],[Cuenta]],Estructura_Balance[Nombre Cuenta ()],Estructura_Balance[Grupos],"Grupo 1",0)</f>
        <v>Grupo 1</v>
      </c>
      <c r="Y333" t="str">
        <f>+Table3[[#This Row],[BS_Nivel_1]]</f>
        <v/>
      </c>
    </row>
    <row r="334" spans="1:25">
      <c r="A334">
        <f>+'Libro Diario'!F488</f>
        <v>0</v>
      </c>
      <c r="B334" s="144">
        <f>VALUE(IF(+'Libro Diario'!G488="","01/01/2025",+'Libro Diario'!G488))</f>
        <v>45658</v>
      </c>
      <c r="C334">
        <f>IF(ISNUMBER(+IF(IFERROR(VALUE(MID('Libro Diario'!C488,1,4)),0)&lt;&gt;0,'Libro Diario'!C488,0))=FALSE,'Libro Diario'!C488,0)</f>
        <v>0</v>
      </c>
      <c r="D334" s="145" t="str">
        <f>+'Libro Diario'!B488</f>
        <v>Asiento Cuadrado</v>
      </c>
      <c r="E334" s="139" t="s">
        <v>445</v>
      </c>
      <c r="F334" t="str">
        <f t="shared" si="15"/>
        <v>Sin Mov.</v>
      </c>
      <c r="G334" t="str">
        <f>IF(+'Libro Diario'!H488=0,"",+'Libro Diario'!H488)</f>
        <v/>
      </c>
      <c r="H334" t="str">
        <f>IF(+'Libro Diario'!I488=0,"",+'Libro Diario'!I488)</f>
        <v/>
      </c>
      <c r="I334" t="str">
        <f>+IF(Table3[[#This Row],[Tipo Movimiento]]="Estructura Balance y PyG","Excluir","Incluir")</f>
        <v>Incluir</v>
      </c>
      <c r="J334" s="153">
        <f>+IF(Table3[[#This Row],[Sin cuenta]]="Con Mov.",(IF(Table3[[#This Row],[Movimiento]]="Debe",Table3[[#This Row],[Importe]],IF(Table3[[#This Row],[Movimiento]]="Haber",Table3[[#This Row],[Importe]]*-1,0))),0)</f>
        <v>0</v>
      </c>
      <c r="K334" s="145" t="str">
        <f t="shared" si="16"/>
        <v>Asiento Cuadrado</v>
      </c>
      <c r="L334" s="145" t="str">
        <f t="shared" si="17"/>
        <v/>
      </c>
      <c r="M334" t="str">
        <f>_xlfn.XLOOKUP(Table3[[#This Row],[Cuenta]],Estructura_Balance[Nombre Cuenta ()],Estructura_Balance[Grupo],"",0)</f>
        <v/>
      </c>
      <c r="N334" t="str">
        <f>_xlfn.XLOOKUP(Table3[[#This Row],[Cuenta]],Estructura_Balance[Nombre Cuenta ()],Estructura_Balance[Nivel 1],"",0)</f>
        <v/>
      </c>
      <c r="O334" t="str">
        <f>_xlfn.XLOOKUP(Table3[[#This Row],[Cuenta]],Estructura_Balance[Nombre Cuenta ()],Estructura_Balance[Nivel 2],"",0)</f>
        <v/>
      </c>
      <c r="P334" t="str">
        <f>_xlfn.XLOOKUP(Table3[[#This Row],[Cuenta]],Estructura_Balance[Nombre Cuenta ()],Estructura_Balance[Nivel 3],"",0)</f>
        <v/>
      </c>
      <c r="Q334" t="str">
        <f>_xlfn.XLOOKUP(Table3[[#This Row],[Cuenta]],Estructura_Balance[Nombre Cuenta ()],Estructura_Balance[Nivel 4],"",0)</f>
        <v/>
      </c>
      <c r="R334" s="154" t="str">
        <f>_xlfn.XLOOKUP(Table3[[#This Row],[Cuenta]],Table8[Nombre Cuenta ()],Table8[Nivel 1],"",0)</f>
        <v/>
      </c>
      <c r="S334" t="str">
        <f>_xlfn.XLOOKUP(Table3[[#This Row],[Cuenta]],Table8[Nombre Cuenta ()],Table8[Nivel 2],"",0)</f>
        <v/>
      </c>
      <c r="T334" t="str">
        <f>_xlfn.XLOOKUP(Table3[[#This Row],[Cuenta]],Table8[Nombre Cuenta ()],Table8[Nivel 3],"",0)</f>
        <v/>
      </c>
      <c r="U334">
        <v>679</v>
      </c>
      <c r="V334" t="str">
        <f>_xlfn.XLOOKUP(Table3[[#This Row],[Cuenta]],Estructura_Balance[Nombre Cuenta ()],Estructura_Balance[Niveles:2],"",0)</f>
        <v/>
      </c>
      <c r="W334" t="str">
        <f>_xlfn.XLOOKUP(Table3[[#This Row],[Cuenta]],Estructura_Balance[Nombre Cuenta ()],Estructura_Balance[Niveles:3],"",0)</f>
        <v/>
      </c>
      <c r="X334" t="str">
        <f>_xlfn.XLOOKUP(Table3[[#This Row],[Cuenta]],Estructura_Balance[Nombre Cuenta ()],Estructura_Balance[Grupos],"Grupo 1",0)</f>
        <v>Grupo 1</v>
      </c>
      <c r="Y334" t="str">
        <f>+Table3[[#This Row],[BS_Nivel_1]]</f>
        <v/>
      </c>
    </row>
    <row r="335" spans="1:25">
      <c r="A335">
        <f>+'Libro Diario'!F489</f>
        <v>0</v>
      </c>
      <c r="B335" s="144">
        <f>VALUE(IF(+'Libro Diario'!G489="","01/01/2025",+'Libro Diario'!G489))</f>
        <v>45658</v>
      </c>
      <c r="C335">
        <f>IF(ISNUMBER(+IF(IFERROR(VALUE(MID('Libro Diario'!C489,1,4)),0)&lt;&gt;0,'Libro Diario'!C489,0))=FALSE,'Libro Diario'!C489,0)</f>
        <v>0</v>
      </c>
      <c r="D335" s="145">
        <f>+'Libro Diario'!B489</f>
        <v>0</v>
      </c>
      <c r="E335" s="139" t="s">
        <v>445</v>
      </c>
      <c r="F335" t="str">
        <f t="shared" si="15"/>
        <v>Sin Mov.</v>
      </c>
      <c r="G335" t="str">
        <f>IF(+'Libro Diario'!H489=0,"",+'Libro Diario'!H489)</f>
        <v/>
      </c>
      <c r="H335" t="str">
        <f>IF(+'Libro Diario'!I489=0,"",+'Libro Diario'!I489)</f>
        <v/>
      </c>
      <c r="I335" t="str">
        <f>+IF(Table3[[#This Row],[Tipo Movimiento]]="Estructura Balance y PyG","Excluir","Incluir")</f>
        <v>Incluir</v>
      </c>
      <c r="J335" s="153">
        <f>+IF(Table3[[#This Row],[Sin cuenta]]="Con Mov.",(IF(Table3[[#This Row],[Movimiento]]="Debe",Table3[[#This Row],[Importe]],IF(Table3[[#This Row],[Movimiento]]="Haber",Table3[[#This Row],[Importe]]*-1,0))),0)</f>
        <v>0</v>
      </c>
      <c r="K335" s="145">
        <f t="shared" si="16"/>
        <v>0</v>
      </c>
      <c r="L335" s="145" t="str">
        <f t="shared" si="17"/>
        <v/>
      </c>
      <c r="M335" t="str">
        <f>_xlfn.XLOOKUP(Table3[[#This Row],[Cuenta]],Estructura_Balance[Nombre Cuenta ()],Estructura_Balance[Grupo],"",0)</f>
        <v/>
      </c>
      <c r="N335" t="str">
        <f>_xlfn.XLOOKUP(Table3[[#This Row],[Cuenta]],Estructura_Balance[Nombre Cuenta ()],Estructura_Balance[Nivel 1],"",0)</f>
        <v/>
      </c>
      <c r="O335" t="str">
        <f>_xlfn.XLOOKUP(Table3[[#This Row],[Cuenta]],Estructura_Balance[Nombre Cuenta ()],Estructura_Balance[Nivel 2],"",0)</f>
        <v/>
      </c>
      <c r="P335" t="str">
        <f>_xlfn.XLOOKUP(Table3[[#This Row],[Cuenta]],Estructura_Balance[Nombre Cuenta ()],Estructura_Balance[Nivel 3],"",0)</f>
        <v/>
      </c>
      <c r="Q335" t="str">
        <f>_xlfn.XLOOKUP(Table3[[#This Row],[Cuenta]],Estructura_Balance[Nombre Cuenta ()],Estructura_Balance[Nivel 4],"",0)</f>
        <v/>
      </c>
      <c r="R335" s="154" t="str">
        <f>_xlfn.XLOOKUP(Table3[[#This Row],[Cuenta]],Table8[Nombre Cuenta ()],Table8[Nivel 1],"",0)</f>
        <v/>
      </c>
      <c r="S335" t="str">
        <f>_xlfn.XLOOKUP(Table3[[#This Row],[Cuenta]],Table8[Nombre Cuenta ()],Table8[Nivel 2],"",0)</f>
        <v/>
      </c>
      <c r="T335" t="str">
        <f>_xlfn.XLOOKUP(Table3[[#This Row],[Cuenta]],Table8[Nombre Cuenta ()],Table8[Nivel 3],"",0)</f>
        <v/>
      </c>
      <c r="U335">
        <v>680</v>
      </c>
      <c r="V335" t="str">
        <f>_xlfn.XLOOKUP(Table3[[#This Row],[Cuenta]],Estructura_Balance[Nombre Cuenta ()],Estructura_Balance[Niveles:2],"",0)</f>
        <v/>
      </c>
      <c r="W335" t="str">
        <f>_xlfn.XLOOKUP(Table3[[#This Row],[Cuenta]],Estructura_Balance[Nombre Cuenta ()],Estructura_Balance[Niveles:3],"",0)</f>
        <v/>
      </c>
      <c r="X335" t="str">
        <f>_xlfn.XLOOKUP(Table3[[#This Row],[Cuenta]],Estructura_Balance[Nombre Cuenta ()],Estructura_Balance[Grupos],"Grupo 1",0)</f>
        <v>Grupo 1</v>
      </c>
      <c r="Y335" t="str">
        <f>+Table3[[#This Row],[BS_Nivel_1]]</f>
        <v/>
      </c>
    </row>
    <row r="336" spans="1:25">
      <c r="A336">
        <f>+'Libro Diario'!F490</f>
        <v>0</v>
      </c>
      <c r="B336" s="144">
        <f>VALUE(IF(+'Libro Diario'!G490="","01/01/2025",+'Libro Diario'!G490))</f>
        <v>45658</v>
      </c>
      <c r="C336">
        <f>IF(ISNUMBER(+IF(IFERROR(VALUE(MID('Libro Diario'!C490,1,4)),0)&lt;&gt;0,'Libro Diario'!C490,0))=FALSE,'Libro Diario'!C490,0)</f>
        <v>0</v>
      </c>
      <c r="D336" s="145" t="str">
        <f>+'Libro Diario'!B490</f>
        <v>DEBE</v>
      </c>
      <c r="E336" s="139" t="s">
        <v>445</v>
      </c>
      <c r="F336" t="str">
        <f t="shared" si="15"/>
        <v>Sin Mov.</v>
      </c>
      <c r="G336" t="str">
        <f>IF(+'Libro Diario'!H490=0,"",+'Libro Diario'!H490)</f>
        <v/>
      </c>
      <c r="H336" t="str">
        <f>IF(+'Libro Diario'!I490=0,"",+'Libro Diario'!I490)</f>
        <v/>
      </c>
      <c r="I336" t="str">
        <f>+IF(Table3[[#This Row],[Tipo Movimiento]]="Estructura Balance y PyG","Excluir","Incluir")</f>
        <v>Incluir</v>
      </c>
      <c r="J336" s="153">
        <f>+IF(Table3[[#This Row],[Sin cuenta]]="Con Mov.",(IF(Table3[[#This Row],[Movimiento]]="Debe",Table3[[#This Row],[Importe]],IF(Table3[[#This Row],[Movimiento]]="Haber",Table3[[#This Row],[Importe]]*-1,0))),0)</f>
        <v>0</v>
      </c>
      <c r="K336" s="145" t="str">
        <f t="shared" si="16"/>
        <v>DEBE</v>
      </c>
      <c r="L336" s="145" t="str">
        <f t="shared" si="17"/>
        <v/>
      </c>
      <c r="M336" t="str">
        <f>_xlfn.XLOOKUP(Table3[[#This Row],[Cuenta]],Estructura_Balance[Nombre Cuenta ()],Estructura_Balance[Grupo],"",0)</f>
        <v/>
      </c>
      <c r="N336" t="str">
        <f>_xlfn.XLOOKUP(Table3[[#This Row],[Cuenta]],Estructura_Balance[Nombre Cuenta ()],Estructura_Balance[Nivel 1],"",0)</f>
        <v/>
      </c>
      <c r="O336" t="str">
        <f>_xlfn.XLOOKUP(Table3[[#This Row],[Cuenta]],Estructura_Balance[Nombre Cuenta ()],Estructura_Balance[Nivel 2],"",0)</f>
        <v/>
      </c>
      <c r="P336" t="str">
        <f>_xlfn.XLOOKUP(Table3[[#This Row],[Cuenta]],Estructura_Balance[Nombre Cuenta ()],Estructura_Balance[Nivel 3],"",0)</f>
        <v/>
      </c>
      <c r="Q336" t="str">
        <f>_xlfn.XLOOKUP(Table3[[#This Row],[Cuenta]],Estructura_Balance[Nombre Cuenta ()],Estructura_Balance[Nivel 4],"",0)</f>
        <v/>
      </c>
      <c r="R336" s="154" t="str">
        <f>_xlfn.XLOOKUP(Table3[[#This Row],[Cuenta]],Table8[Nombre Cuenta ()],Table8[Nivel 1],"",0)</f>
        <v/>
      </c>
      <c r="S336" t="str">
        <f>_xlfn.XLOOKUP(Table3[[#This Row],[Cuenta]],Table8[Nombre Cuenta ()],Table8[Nivel 2],"",0)</f>
        <v/>
      </c>
      <c r="T336" t="str">
        <f>_xlfn.XLOOKUP(Table3[[#This Row],[Cuenta]],Table8[Nombre Cuenta ()],Table8[Nivel 3],"",0)</f>
        <v/>
      </c>
      <c r="U336">
        <v>681</v>
      </c>
      <c r="V336" t="str">
        <f>_xlfn.XLOOKUP(Table3[[#This Row],[Cuenta]],Estructura_Balance[Nombre Cuenta ()],Estructura_Balance[Niveles:2],"",0)</f>
        <v/>
      </c>
      <c r="W336" t="str">
        <f>_xlfn.XLOOKUP(Table3[[#This Row],[Cuenta]],Estructura_Balance[Nombre Cuenta ()],Estructura_Balance[Niveles:3],"",0)</f>
        <v/>
      </c>
      <c r="X336" t="str">
        <f>_xlfn.XLOOKUP(Table3[[#This Row],[Cuenta]],Estructura_Balance[Nombre Cuenta ()],Estructura_Balance[Grupos],"Grupo 1",0)</f>
        <v>Grupo 1</v>
      </c>
      <c r="Y336" t="str">
        <f>+Table3[[#This Row],[BS_Nivel_1]]</f>
        <v/>
      </c>
    </row>
    <row r="337" spans="1:25">
      <c r="A337">
        <f>+'Libro Diario'!F491</f>
        <v>0</v>
      </c>
      <c r="B337" s="144">
        <f>VALUE(IF(+'Libro Diario'!G491="","01/01/2025",+'Libro Diario'!G491))</f>
        <v>45658</v>
      </c>
      <c r="C337">
        <f>IF(ISNUMBER(+IF(IFERROR(VALUE(MID('Libro Diario'!C491,1,4)),0)&lt;&gt;0,'Libro Diario'!C491,0))=FALSE,'Libro Diario'!C491,0)</f>
        <v>0</v>
      </c>
      <c r="D337" s="145">
        <f>+'Libro Diario'!B491</f>
        <v>0</v>
      </c>
      <c r="E337" s="139" t="s">
        <v>445</v>
      </c>
      <c r="F337" t="str">
        <f t="shared" si="15"/>
        <v>Sin Mov.</v>
      </c>
      <c r="G337" t="str">
        <f>IF(+'Libro Diario'!H491=0,"",+'Libro Diario'!H491)</f>
        <v/>
      </c>
      <c r="H337" t="str">
        <f>IF(+'Libro Diario'!I491=0,"",+'Libro Diario'!I491)</f>
        <v/>
      </c>
      <c r="I337" t="str">
        <f>+IF(Table3[[#This Row],[Tipo Movimiento]]="Estructura Balance y PyG","Excluir","Incluir")</f>
        <v>Incluir</v>
      </c>
      <c r="J337" s="153">
        <f>+IF(Table3[[#This Row],[Sin cuenta]]="Con Mov.",(IF(Table3[[#This Row],[Movimiento]]="Debe",Table3[[#This Row],[Importe]],IF(Table3[[#This Row],[Movimiento]]="Haber",Table3[[#This Row],[Importe]]*-1,0))),0)</f>
        <v>0</v>
      </c>
      <c r="K337" s="145">
        <f t="shared" si="16"/>
        <v>0</v>
      </c>
      <c r="L337" s="145" t="str">
        <f t="shared" si="17"/>
        <v/>
      </c>
      <c r="M337" t="str">
        <f>_xlfn.XLOOKUP(Table3[[#This Row],[Cuenta]],Estructura_Balance[Nombre Cuenta ()],Estructura_Balance[Grupo],"",0)</f>
        <v/>
      </c>
      <c r="N337" t="str">
        <f>_xlfn.XLOOKUP(Table3[[#This Row],[Cuenta]],Estructura_Balance[Nombre Cuenta ()],Estructura_Balance[Nivel 1],"",0)</f>
        <v/>
      </c>
      <c r="O337" t="str">
        <f>_xlfn.XLOOKUP(Table3[[#This Row],[Cuenta]],Estructura_Balance[Nombre Cuenta ()],Estructura_Balance[Nivel 2],"",0)</f>
        <v/>
      </c>
      <c r="P337" t="str">
        <f>_xlfn.XLOOKUP(Table3[[#This Row],[Cuenta]],Estructura_Balance[Nombre Cuenta ()],Estructura_Balance[Nivel 3],"",0)</f>
        <v/>
      </c>
      <c r="Q337" t="str">
        <f>_xlfn.XLOOKUP(Table3[[#This Row],[Cuenta]],Estructura_Balance[Nombre Cuenta ()],Estructura_Balance[Nivel 4],"",0)</f>
        <v/>
      </c>
      <c r="R337" t="str">
        <f>_xlfn.XLOOKUP(Table3[[#This Row],[Cuenta]],Table8[Nombre Cuenta ()],Table8[Nivel 1],"",0)</f>
        <v/>
      </c>
      <c r="S337" t="str">
        <f>_xlfn.XLOOKUP(Table3[[#This Row],[Cuenta]],Table8[Nombre Cuenta ()],Table8[Nivel 2],"",0)</f>
        <v/>
      </c>
      <c r="T337" t="str">
        <f>_xlfn.XLOOKUP(Table3[[#This Row],[Cuenta]],Table8[Nombre Cuenta ()],Table8[Nivel 3],"",0)</f>
        <v/>
      </c>
      <c r="U337">
        <v>682</v>
      </c>
      <c r="V337" t="str">
        <f>_xlfn.XLOOKUP(Table3[[#This Row],[Cuenta]],Estructura_Balance[Nombre Cuenta ()],Estructura_Balance[Niveles:2],"",0)</f>
        <v/>
      </c>
      <c r="W337" t="str">
        <f>_xlfn.XLOOKUP(Table3[[#This Row],[Cuenta]],Estructura_Balance[Nombre Cuenta ()],Estructura_Balance[Niveles:3],"",0)</f>
        <v/>
      </c>
      <c r="X337" t="str">
        <f>_xlfn.XLOOKUP(Table3[[#This Row],[Cuenta]],Estructura_Balance[Nombre Cuenta ()],Estructura_Balance[Grupos],"Grupo 1",0)</f>
        <v>Grupo 1</v>
      </c>
      <c r="Y337" t="str">
        <f>+Table3[[#This Row],[BS_Nivel_1]]</f>
        <v/>
      </c>
    </row>
    <row r="338" spans="1:25">
      <c r="A338">
        <f>+'Libro Diario'!F494</f>
        <v>0</v>
      </c>
      <c r="B338" s="144">
        <f>VALUE(IF(+'Libro Diario'!G494="","01/01/2025",+'Libro Diario'!G494))</f>
        <v>45658</v>
      </c>
      <c r="C338">
        <f>IF(ISNUMBER(+IF(IFERROR(VALUE(MID('Libro Diario'!C494,1,4)),0)&lt;&gt;0,'Libro Diario'!C494,0))=FALSE,'Libro Diario'!C494,0)</f>
        <v>0</v>
      </c>
      <c r="D338" s="145" t="str">
        <f>+'Libro Diario'!B494</f>
        <v>Regularización de Existencias</v>
      </c>
      <c r="E338" s="139" t="s">
        <v>445</v>
      </c>
      <c r="F338" t="str">
        <f t="shared" si="15"/>
        <v>Sin Mov.</v>
      </c>
      <c r="G338" t="str">
        <f>IF(+'Libro Diario'!H494=0,"",+'Libro Diario'!H494)</f>
        <v/>
      </c>
      <c r="H338" t="str">
        <f>IF(+'Libro Diario'!I494=0,"",+'Libro Diario'!I494)</f>
        <v/>
      </c>
      <c r="I338" t="str">
        <f>+IF(Table3[[#This Row],[Tipo Movimiento]]="Estructura Balance y PyG","Excluir","Incluir")</f>
        <v>Incluir</v>
      </c>
      <c r="J338" s="153">
        <f>+IF(Table3[[#This Row],[Sin cuenta]]="Con Mov.",(IF(Table3[[#This Row],[Movimiento]]="Debe",Table3[[#This Row],[Importe]],IF(Table3[[#This Row],[Movimiento]]="Haber",Table3[[#This Row],[Importe]]*-1,0))),0)</f>
        <v>0</v>
      </c>
      <c r="K338" s="145" t="str">
        <f t="shared" si="16"/>
        <v>Regularización de Existencias</v>
      </c>
      <c r="L338" s="145" t="str">
        <f t="shared" si="17"/>
        <v/>
      </c>
      <c r="M338" t="str">
        <f>_xlfn.XLOOKUP(Table3[[#This Row],[Cuenta]],Estructura_Balance[Nombre Cuenta ()],Estructura_Balance[Grupo],"",0)</f>
        <v/>
      </c>
      <c r="N338" t="str">
        <f>_xlfn.XLOOKUP(Table3[[#This Row],[Cuenta]],Estructura_Balance[Nombre Cuenta ()],Estructura_Balance[Nivel 1],"",0)</f>
        <v/>
      </c>
      <c r="O338" t="str">
        <f>_xlfn.XLOOKUP(Table3[[#This Row],[Cuenta]],Estructura_Balance[Nombre Cuenta ()],Estructura_Balance[Nivel 2],"",0)</f>
        <v/>
      </c>
      <c r="P338" t="str">
        <f>_xlfn.XLOOKUP(Table3[[#This Row],[Cuenta]],Estructura_Balance[Nombre Cuenta ()],Estructura_Balance[Nivel 3],"",0)</f>
        <v/>
      </c>
      <c r="Q338" t="str">
        <f>_xlfn.XLOOKUP(Table3[[#This Row],[Cuenta]],Estructura_Balance[Nombre Cuenta ()],Estructura_Balance[Nivel 4],"",0)</f>
        <v/>
      </c>
      <c r="R338" s="154" t="str">
        <f>_xlfn.XLOOKUP(Table3[[#This Row],[Cuenta]],Table8[Nombre Cuenta ()],Table8[Nivel 1],"",0)</f>
        <v/>
      </c>
      <c r="S338" t="str">
        <f>_xlfn.XLOOKUP(Table3[[#This Row],[Cuenta]],Table8[Nombre Cuenta ()],Table8[Nivel 2],"",0)</f>
        <v/>
      </c>
      <c r="T338" t="str">
        <f>_xlfn.XLOOKUP(Table3[[#This Row],[Cuenta]],Table8[Nombre Cuenta ()],Table8[Nivel 3],"",0)</f>
        <v/>
      </c>
      <c r="U338">
        <v>685</v>
      </c>
      <c r="V338" t="str">
        <f>_xlfn.XLOOKUP(Table3[[#This Row],[Cuenta]],Estructura_Balance[Nombre Cuenta ()],Estructura_Balance[Niveles:2],"",0)</f>
        <v/>
      </c>
      <c r="W338" t="str">
        <f>_xlfn.XLOOKUP(Table3[[#This Row],[Cuenta]],Estructura_Balance[Nombre Cuenta ()],Estructura_Balance[Niveles:3],"",0)</f>
        <v/>
      </c>
      <c r="X338" t="str">
        <f>_xlfn.XLOOKUP(Table3[[#This Row],[Cuenta]],Estructura_Balance[Nombre Cuenta ()],Estructura_Balance[Grupos],"Grupo 1",0)</f>
        <v>Grupo 1</v>
      </c>
      <c r="Y338" t="str">
        <f>+Table3[[#This Row],[BS_Nivel_1]]</f>
        <v/>
      </c>
    </row>
    <row r="339" spans="1:25">
      <c r="A339">
        <f>+'Libro Diario'!F495</f>
        <v>0</v>
      </c>
      <c r="B339" s="144">
        <f>VALUE(IF(+'Libro Diario'!G495="","01/01/2025",+'Libro Diario'!G495))</f>
        <v>45658</v>
      </c>
      <c r="C339">
        <f>IF(ISNUMBER(+IF(IFERROR(VALUE(MID('Libro Diario'!C495,1,4)),0)&lt;&gt;0,'Libro Diario'!C495,0))=FALSE,'Libro Diario'!C495,0)</f>
        <v>0</v>
      </c>
      <c r="D339" s="145" t="str">
        <f>+'Libro Diario'!B495</f>
        <v>Asiento Cuadrado</v>
      </c>
      <c r="E339" s="139" t="s">
        <v>445</v>
      </c>
      <c r="F339" t="str">
        <f t="shared" si="15"/>
        <v>Sin Mov.</v>
      </c>
      <c r="G339" t="str">
        <f>IF(+'Libro Diario'!H495=0,"",+'Libro Diario'!H495)</f>
        <v/>
      </c>
      <c r="H339" t="str">
        <f>IF(+'Libro Diario'!I495=0,"",+'Libro Diario'!I495)</f>
        <v/>
      </c>
      <c r="I339" t="str">
        <f>+IF(Table3[[#This Row],[Tipo Movimiento]]="Estructura Balance y PyG","Excluir","Incluir")</f>
        <v>Incluir</v>
      </c>
      <c r="J339" s="153">
        <f>+IF(Table3[[#This Row],[Sin cuenta]]="Con Mov.",(IF(Table3[[#This Row],[Movimiento]]="Debe",Table3[[#This Row],[Importe]],IF(Table3[[#This Row],[Movimiento]]="Haber",Table3[[#This Row],[Importe]]*-1,0))),0)</f>
        <v>0</v>
      </c>
      <c r="K339" s="145" t="str">
        <f t="shared" si="16"/>
        <v>Asiento Cuadrado</v>
      </c>
      <c r="L339" s="145" t="str">
        <f t="shared" si="17"/>
        <v/>
      </c>
      <c r="M339" t="str">
        <f>_xlfn.XLOOKUP(Table3[[#This Row],[Cuenta]],Estructura_Balance[Nombre Cuenta ()],Estructura_Balance[Grupo],"",0)</f>
        <v/>
      </c>
      <c r="N339" t="str">
        <f>_xlfn.XLOOKUP(Table3[[#This Row],[Cuenta]],Estructura_Balance[Nombre Cuenta ()],Estructura_Balance[Nivel 1],"",0)</f>
        <v/>
      </c>
      <c r="O339" t="str">
        <f>_xlfn.XLOOKUP(Table3[[#This Row],[Cuenta]],Estructura_Balance[Nombre Cuenta ()],Estructura_Balance[Nivel 2],"",0)</f>
        <v/>
      </c>
      <c r="P339" t="str">
        <f>_xlfn.XLOOKUP(Table3[[#This Row],[Cuenta]],Estructura_Balance[Nombre Cuenta ()],Estructura_Balance[Nivel 3],"",0)</f>
        <v/>
      </c>
      <c r="Q339" t="str">
        <f>_xlfn.XLOOKUP(Table3[[#This Row],[Cuenta]],Estructura_Balance[Nombre Cuenta ()],Estructura_Balance[Nivel 4],"",0)</f>
        <v/>
      </c>
      <c r="R339" s="154" t="str">
        <f>_xlfn.XLOOKUP(Table3[[#This Row],[Cuenta]],Table8[Nombre Cuenta ()],Table8[Nivel 1],"",0)</f>
        <v/>
      </c>
      <c r="S339" t="str">
        <f>_xlfn.XLOOKUP(Table3[[#This Row],[Cuenta]],Table8[Nombre Cuenta ()],Table8[Nivel 2],"",0)</f>
        <v/>
      </c>
      <c r="T339" t="str">
        <f>_xlfn.XLOOKUP(Table3[[#This Row],[Cuenta]],Table8[Nombre Cuenta ()],Table8[Nivel 3],"",0)</f>
        <v/>
      </c>
      <c r="U339">
        <v>686</v>
      </c>
      <c r="V339" t="str">
        <f>_xlfn.XLOOKUP(Table3[[#This Row],[Cuenta]],Estructura_Balance[Nombre Cuenta ()],Estructura_Balance[Niveles:2],"",0)</f>
        <v/>
      </c>
      <c r="W339" t="str">
        <f>_xlfn.XLOOKUP(Table3[[#This Row],[Cuenta]],Estructura_Balance[Nombre Cuenta ()],Estructura_Balance[Niveles:3],"",0)</f>
        <v/>
      </c>
      <c r="X339" t="str">
        <f>_xlfn.XLOOKUP(Table3[[#This Row],[Cuenta]],Estructura_Balance[Nombre Cuenta ()],Estructura_Balance[Grupos],"Grupo 1",0)</f>
        <v>Grupo 1</v>
      </c>
      <c r="Y339" t="str">
        <f>+Table3[[#This Row],[BS_Nivel_1]]</f>
        <v/>
      </c>
    </row>
    <row r="340" spans="1:25">
      <c r="A340">
        <f>+'Libro Diario'!F496</f>
        <v>0</v>
      </c>
      <c r="B340" s="144">
        <f>VALUE(IF(+'Libro Diario'!G496="","01/01/2025",+'Libro Diario'!G496))</f>
        <v>45658</v>
      </c>
      <c r="C340">
        <f>IF(ISNUMBER(+IF(IFERROR(VALUE(MID('Libro Diario'!C496,1,4)),0)&lt;&gt;0,'Libro Diario'!C496,0))=FALSE,'Libro Diario'!C496,0)</f>
        <v>0</v>
      </c>
      <c r="D340" s="145">
        <f>+'Libro Diario'!B496</f>
        <v>0</v>
      </c>
      <c r="E340" s="139" t="s">
        <v>445</v>
      </c>
      <c r="F340" t="str">
        <f t="shared" si="15"/>
        <v>Sin Mov.</v>
      </c>
      <c r="G340" t="str">
        <f>IF(+'Libro Diario'!H496=0,"",+'Libro Diario'!H496)</f>
        <v/>
      </c>
      <c r="H340" t="str">
        <f>IF(+'Libro Diario'!I496=0,"",+'Libro Diario'!I496)</f>
        <v/>
      </c>
      <c r="I340" t="str">
        <f>+IF(Table3[[#This Row],[Tipo Movimiento]]="Estructura Balance y PyG","Excluir","Incluir")</f>
        <v>Incluir</v>
      </c>
      <c r="J340" s="153">
        <f>+IF(Table3[[#This Row],[Sin cuenta]]="Con Mov.",(IF(Table3[[#This Row],[Movimiento]]="Debe",Table3[[#This Row],[Importe]],IF(Table3[[#This Row],[Movimiento]]="Haber",Table3[[#This Row],[Importe]]*-1,0))),0)</f>
        <v>0</v>
      </c>
      <c r="K340" s="145">
        <f t="shared" si="16"/>
        <v>0</v>
      </c>
      <c r="L340" s="145" t="str">
        <f t="shared" si="17"/>
        <v/>
      </c>
      <c r="M340" t="str">
        <f>_xlfn.XLOOKUP(Table3[[#This Row],[Cuenta]],Estructura_Balance[Nombre Cuenta ()],Estructura_Balance[Grupo],"",0)</f>
        <v/>
      </c>
      <c r="N340" t="str">
        <f>_xlfn.XLOOKUP(Table3[[#This Row],[Cuenta]],Estructura_Balance[Nombre Cuenta ()],Estructura_Balance[Nivel 1],"",0)</f>
        <v/>
      </c>
      <c r="O340" t="str">
        <f>_xlfn.XLOOKUP(Table3[[#This Row],[Cuenta]],Estructura_Balance[Nombre Cuenta ()],Estructura_Balance[Nivel 2],"",0)</f>
        <v/>
      </c>
      <c r="P340" t="str">
        <f>_xlfn.XLOOKUP(Table3[[#This Row],[Cuenta]],Estructura_Balance[Nombre Cuenta ()],Estructura_Balance[Nivel 3],"",0)</f>
        <v/>
      </c>
      <c r="Q340" t="str">
        <f>_xlfn.XLOOKUP(Table3[[#This Row],[Cuenta]],Estructura_Balance[Nombre Cuenta ()],Estructura_Balance[Nivel 4],"",0)</f>
        <v/>
      </c>
      <c r="R340" s="154" t="str">
        <f>_xlfn.XLOOKUP(Table3[[#This Row],[Cuenta]],Table8[Nombre Cuenta ()],Table8[Nivel 1],"",0)</f>
        <v/>
      </c>
      <c r="S340" t="str">
        <f>_xlfn.XLOOKUP(Table3[[#This Row],[Cuenta]],Table8[Nombre Cuenta ()],Table8[Nivel 2],"",0)</f>
        <v/>
      </c>
      <c r="T340" t="str">
        <f>_xlfn.XLOOKUP(Table3[[#This Row],[Cuenta]],Table8[Nombre Cuenta ()],Table8[Nivel 3],"",0)</f>
        <v/>
      </c>
      <c r="U340">
        <v>687</v>
      </c>
      <c r="V340" t="str">
        <f>_xlfn.XLOOKUP(Table3[[#This Row],[Cuenta]],Estructura_Balance[Nombre Cuenta ()],Estructura_Balance[Niveles:2],"",0)</f>
        <v/>
      </c>
      <c r="W340" t="str">
        <f>_xlfn.XLOOKUP(Table3[[#This Row],[Cuenta]],Estructura_Balance[Nombre Cuenta ()],Estructura_Balance[Niveles:3],"",0)</f>
        <v/>
      </c>
      <c r="X340" t="str">
        <f>_xlfn.XLOOKUP(Table3[[#This Row],[Cuenta]],Estructura_Balance[Nombre Cuenta ()],Estructura_Balance[Grupos],"Grupo 1",0)</f>
        <v>Grupo 1</v>
      </c>
      <c r="Y340" t="str">
        <f>+Table3[[#This Row],[BS_Nivel_1]]</f>
        <v/>
      </c>
    </row>
    <row r="341" spans="1:25">
      <c r="A341">
        <f>+'Libro Diario'!F497</f>
        <v>0</v>
      </c>
      <c r="B341" s="144">
        <f>VALUE(IF(+'Libro Diario'!G497="","01/01/2025",+'Libro Diario'!G497))</f>
        <v>45658</v>
      </c>
      <c r="C341">
        <f>IF(ISNUMBER(+IF(IFERROR(VALUE(MID('Libro Diario'!C497,1,4)),0)&lt;&gt;0,'Libro Diario'!C497,0))=FALSE,'Libro Diario'!C497,0)</f>
        <v>0</v>
      </c>
      <c r="D341" s="145" t="str">
        <f>+'Libro Diario'!B497</f>
        <v>DEBE</v>
      </c>
      <c r="E341" s="139" t="s">
        <v>445</v>
      </c>
      <c r="F341" t="str">
        <f t="shared" si="15"/>
        <v>Sin Mov.</v>
      </c>
      <c r="G341" t="str">
        <f>IF(+'Libro Diario'!H497=0,"",+'Libro Diario'!H497)</f>
        <v/>
      </c>
      <c r="H341" t="str">
        <f>IF(+'Libro Diario'!I497=0,"",+'Libro Diario'!I497)</f>
        <v/>
      </c>
      <c r="I341" t="str">
        <f>+IF(Table3[[#This Row],[Tipo Movimiento]]="Estructura Balance y PyG","Excluir","Incluir")</f>
        <v>Incluir</v>
      </c>
      <c r="J341" s="153">
        <f>+IF(Table3[[#This Row],[Sin cuenta]]="Con Mov.",(IF(Table3[[#This Row],[Movimiento]]="Debe",Table3[[#This Row],[Importe]],IF(Table3[[#This Row],[Movimiento]]="Haber",Table3[[#This Row],[Importe]]*-1,0))),0)</f>
        <v>0</v>
      </c>
      <c r="K341" s="145" t="str">
        <f t="shared" si="16"/>
        <v>DEBE</v>
      </c>
      <c r="L341" s="145" t="str">
        <f t="shared" si="17"/>
        <v/>
      </c>
      <c r="M341" t="str">
        <f>_xlfn.XLOOKUP(Table3[[#This Row],[Cuenta]],Estructura_Balance[Nombre Cuenta ()],Estructura_Balance[Grupo],"",0)</f>
        <v/>
      </c>
      <c r="N341" t="str">
        <f>_xlfn.XLOOKUP(Table3[[#This Row],[Cuenta]],Estructura_Balance[Nombre Cuenta ()],Estructura_Balance[Nivel 1],"",0)</f>
        <v/>
      </c>
      <c r="O341" t="str">
        <f>_xlfn.XLOOKUP(Table3[[#This Row],[Cuenta]],Estructura_Balance[Nombre Cuenta ()],Estructura_Balance[Nivel 2],"",0)</f>
        <v/>
      </c>
      <c r="P341" t="str">
        <f>_xlfn.XLOOKUP(Table3[[#This Row],[Cuenta]],Estructura_Balance[Nombre Cuenta ()],Estructura_Balance[Nivel 3],"",0)</f>
        <v/>
      </c>
      <c r="Q341" t="str">
        <f>_xlfn.XLOOKUP(Table3[[#This Row],[Cuenta]],Estructura_Balance[Nombre Cuenta ()],Estructura_Balance[Nivel 4],"",0)</f>
        <v/>
      </c>
      <c r="R341" t="str">
        <f>_xlfn.XLOOKUP(Table3[[#This Row],[Cuenta]],Table8[Nombre Cuenta ()],Table8[Nivel 1],"",0)</f>
        <v/>
      </c>
      <c r="S341" t="str">
        <f>_xlfn.XLOOKUP(Table3[[#This Row],[Cuenta]],Table8[Nombre Cuenta ()],Table8[Nivel 2],"",0)</f>
        <v/>
      </c>
      <c r="T341" t="str">
        <f>_xlfn.XLOOKUP(Table3[[#This Row],[Cuenta]],Table8[Nombre Cuenta ()],Table8[Nivel 3],"",0)</f>
        <v/>
      </c>
      <c r="U341">
        <v>688</v>
      </c>
      <c r="V341" t="str">
        <f>_xlfn.XLOOKUP(Table3[[#This Row],[Cuenta]],Estructura_Balance[Nombre Cuenta ()],Estructura_Balance[Niveles:2],"",0)</f>
        <v/>
      </c>
      <c r="W341" t="str">
        <f>_xlfn.XLOOKUP(Table3[[#This Row],[Cuenta]],Estructura_Balance[Nombre Cuenta ()],Estructura_Balance[Niveles:3],"",0)</f>
        <v/>
      </c>
      <c r="X341" t="str">
        <f>_xlfn.XLOOKUP(Table3[[#This Row],[Cuenta]],Estructura_Balance[Nombre Cuenta ()],Estructura_Balance[Grupos],"Grupo 1",0)</f>
        <v>Grupo 1</v>
      </c>
      <c r="Y341" t="str">
        <f>+Table3[[#This Row],[BS_Nivel_1]]</f>
        <v/>
      </c>
    </row>
    <row r="342" spans="1:25">
      <c r="A342">
        <f>+'Libro Diario'!F498</f>
        <v>0</v>
      </c>
      <c r="B342" s="144">
        <f>VALUE(IF(+'Libro Diario'!G498="","01/01/2025",+'Libro Diario'!G498))</f>
        <v>45658</v>
      </c>
      <c r="C342">
        <f>IF(ISNUMBER(+IF(IFERROR(VALUE(MID('Libro Diario'!C498,1,4)),0)&lt;&gt;0,'Libro Diario'!C498,0))=FALSE,'Libro Diario'!C498,0)</f>
        <v>0</v>
      </c>
      <c r="D342" s="145">
        <f>+'Libro Diario'!B498</f>
        <v>0</v>
      </c>
      <c r="E342" s="139" t="s">
        <v>445</v>
      </c>
      <c r="F342" t="str">
        <f t="shared" si="15"/>
        <v>Sin Mov.</v>
      </c>
      <c r="G342" t="str">
        <f>IF(+'Libro Diario'!H498=0,"",+'Libro Diario'!H498)</f>
        <v/>
      </c>
      <c r="H342" t="str">
        <f>IF(+'Libro Diario'!I498=0,"",+'Libro Diario'!I498)</f>
        <v/>
      </c>
      <c r="I342" t="str">
        <f>+IF(Table3[[#This Row],[Tipo Movimiento]]="Estructura Balance y PyG","Excluir","Incluir")</f>
        <v>Incluir</v>
      </c>
      <c r="J342" s="153">
        <f>+IF(Table3[[#This Row],[Sin cuenta]]="Con Mov.",(IF(Table3[[#This Row],[Movimiento]]="Debe",Table3[[#This Row],[Importe]],IF(Table3[[#This Row],[Movimiento]]="Haber",Table3[[#This Row],[Importe]]*-1,0))),0)</f>
        <v>0</v>
      </c>
      <c r="K342" s="145">
        <f t="shared" si="16"/>
        <v>0</v>
      </c>
      <c r="L342" s="145" t="str">
        <f t="shared" si="17"/>
        <v/>
      </c>
      <c r="M342" t="str">
        <f>_xlfn.XLOOKUP(Table3[[#This Row],[Cuenta]],Estructura_Balance[Nombre Cuenta ()],Estructura_Balance[Grupo],"",0)</f>
        <v/>
      </c>
      <c r="N342" t="str">
        <f>_xlfn.XLOOKUP(Table3[[#This Row],[Cuenta]],Estructura_Balance[Nombre Cuenta ()],Estructura_Balance[Nivel 1],"",0)</f>
        <v/>
      </c>
      <c r="O342" t="str">
        <f>_xlfn.XLOOKUP(Table3[[#This Row],[Cuenta]],Estructura_Balance[Nombre Cuenta ()],Estructura_Balance[Nivel 2],"",0)</f>
        <v/>
      </c>
      <c r="P342" t="str">
        <f>_xlfn.XLOOKUP(Table3[[#This Row],[Cuenta]],Estructura_Balance[Nombre Cuenta ()],Estructura_Balance[Nivel 3],"",0)</f>
        <v/>
      </c>
      <c r="Q342" t="str">
        <f>_xlfn.XLOOKUP(Table3[[#This Row],[Cuenta]],Estructura_Balance[Nombre Cuenta ()],Estructura_Balance[Nivel 4],"",0)</f>
        <v/>
      </c>
      <c r="R342" s="154" t="str">
        <f>_xlfn.XLOOKUP(Table3[[#This Row],[Cuenta]],Table8[Nombre Cuenta ()],Table8[Nivel 1],"",0)</f>
        <v/>
      </c>
      <c r="S342" t="str">
        <f>_xlfn.XLOOKUP(Table3[[#This Row],[Cuenta]],Table8[Nombre Cuenta ()],Table8[Nivel 2],"",0)</f>
        <v/>
      </c>
      <c r="T342" t="str">
        <f>_xlfn.XLOOKUP(Table3[[#This Row],[Cuenta]],Table8[Nombre Cuenta ()],Table8[Nivel 3],"",0)</f>
        <v/>
      </c>
      <c r="U342">
        <v>689</v>
      </c>
      <c r="V342" t="str">
        <f>_xlfn.XLOOKUP(Table3[[#This Row],[Cuenta]],Estructura_Balance[Nombre Cuenta ()],Estructura_Balance[Niveles:2],"",0)</f>
        <v/>
      </c>
      <c r="W342" t="str">
        <f>_xlfn.XLOOKUP(Table3[[#This Row],[Cuenta]],Estructura_Balance[Nombre Cuenta ()],Estructura_Balance[Niveles:3],"",0)</f>
        <v/>
      </c>
      <c r="X342" t="str">
        <f>_xlfn.XLOOKUP(Table3[[#This Row],[Cuenta]],Estructura_Balance[Nombre Cuenta ()],Estructura_Balance[Grupos],"Grupo 1",0)</f>
        <v>Grupo 1</v>
      </c>
      <c r="Y342" t="str">
        <f>+Table3[[#This Row],[BS_Nivel_1]]</f>
        <v/>
      </c>
    </row>
    <row r="343" spans="1:25">
      <c r="A343">
        <f>+'Libro Diario'!F501</f>
        <v>0</v>
      </c>
      <c r="B343" s="144">
        <f>VALUE(IF(+'Libro Diario'!G501="","01/01/2025",+'Libro Diario'!G501))</f>
        <v>45658</v>
      </c>
      <c r="C343">
        <f>IF(ISNUMBER(+IF(IFERROR(VALUE(MID('Libro Diario'!C501,1,4)),0)&lt;&gt;0,'Libro Diario'!C501,0))=FALSE,'Libro Diario'!C501,0)</f>
        <v>0</v>
      </c>
      <c r="D343" s="145" t="str">
        <f>+'Libro Diario'!B501</f>
        <v>Regularización de Existencias</v>
      </c>
      <c r="E343" s="139" t="s">
        <v>445</v>
      </c>
      <c r="F343" t="str">
        <f t="shared" si="15"/>
        <v>Sin Mov.</v>
      </c>
      <c r="G343" t="str">
        <f>IF(+'Libro Diario'!H501=0,"",+'Libro Diario'!H501)</f>
        <v/>
      </c>
      <c r="H343" t="str">
        <f>IF(+'Libro Diario'!I501=0,"",+'Libro Diario'!I501)</f>
        <v/>
      </c>
      <c r="I343" t="str">
        <f>+IF(Table3[[#This Row],[Tipo Movimiento]]="Estructura Balance y PyG","Excluir","Incluir")</f>
        <v>Incluir</v>
      </c>
      <c r="J343" s="153">
        <f>+IF(Table3[[#This Row],[Sin cuenta]]="Con Mov.",(IF(Table3[[#This Row],[Movimiento]]="Debe",Table3[[#This Row],[Importe]],IF(Table3[[#This Row],[Movimiento]]="Haber",Table3[[#This Row],[Importe]]*-1,0))),0)</f>
        <v>0</v>
      </c>
      <c r="K343" s="145" t="str">
        <f t="shared" si="16"/>
        <v>Regularización de Existencias</v>
      </c>
      <c r="L343" s="145" t="str">
        <f t="shared" si="17"/>
        <v/>
      </c>
      <c r="M343" t="str">
        <f>_xlfn.XLOOKUP(Table3[[#This Row],[Cuenta]],Estructura_Balance[Nombre Cuenta ()],Estructura_Balance[Grupo],"",0)</f>
        <v/>
      </c>
      <c r="N343" t="str">
        <f>_xlfn.XLOOKUP(Table3[[#This Row],[Cuenta]],Estructura_Balance[Nombre Cuenta ()],Estructura_Balance[Nivel 1],"",0)</f>
        <v/>
      </c>
      <c r="O343" t="str">
        <f>_xlfn.XLOOKUP(Table3[[#This Row],[Cuenta]],Estructura_Balance[Nombre Cuenta ()],Estructura_Balance[Nivel 2],"",0)</f>
        <v/>
      </c>
      <c r="P343" t="str">
        <f>_xlfn.XLOOKUP(Table3[[#This Row],[Cuenta]],Estructura_Balance[Nombre Cuenta ()],Estructura_Balance[Nivel 3],"",0)</f>
        <v/>
      </c>
      <c r="Q343" t="str">
        <f>_xlfn.XLOOKUP(Table3[[#This Row],[Cuenta]],Estructura_Balance[Nombre Cuenta ()],Estructura_Balance[Nivel 4],"",0)</f>
        <v/>
      </c>
      <c r="R343" t="str">
        <f>_xlfn.XLOOKUP(Table3[[#This Row],[Cuenta]],Table8[Nombre Cuenta ()],Table8[Nivel 1],"",0)</f>
        <v/>
      </c>
      <c r="S343" t="str">
        <f>_xlfn.XLOOKUP(Table3[[#This Row],[Cuenta]],Table8[Nombre Cuenta ()],Table8[Nivel 2],"",0)</f>
        <v/>
      </c>
      <c r="T343" t="str">
        <f>_xlfn.XLOOKUP(Table3[[#This Row],[Cuenta]],Table8[Nombre Cuenta ()],Table8[Nivel 3],"",0)</f>
        <v/>
      </c>
      <c r="U343">
        <v>692</v>
      </c>
      <c r="V343" t="str">
        <f>_xlfn.XLOOKUP(Table3[[#This Row],[Cuenta]],Estructura_Balance[Nombre Cuenta ()],Estructura_Balance[Niveles:2],"",0)</f>
        <v/>
      </c>
      <c r="W343" t="str">
        <f>_xlfn.XLOOKUP(Table3[[#This Row],[Cuenta]],Estructura_Balance[Nombre Cuenta ()],Estructura_Balance[Niveles:3],"",0)</f>
        <v/>
      </c>
      <c r="X343" t="str">
        <f>_xlfn.XLOOKUP(Table3[[#This Row],[Cuenta]],Estructura_Balance[Nombre Cuenta ()],Estructura_Balance[Grupos],"Grupo 1",0)</f>
        <v>Grupo 1</v>
      </c>
      <c r="Y343" t="str">
        <f>+Table3[[#This Row],[BS_Nivel_1]]</f>
        <v/>
      </c>
    </row>
    <row r="344" spans="1:25">
      <c r="A344">
        <f>+'Libro Diario'!F502</f>
        <v>0</v>
      </c>
      <c r="B344" s="144">
        <f>VALUE(IF(+'Libro Diario'!G502="","01/01/2025",+'Libro Diario'!G502))</f>
        <v>45658</v>
      </c>
      <c r="C344">
        <f>IF(ISNUMBER(+IF(IFERROR(VALUE(MID('Libro Diario'!C502,1,4)),0)&lt;&gt;0,'Libro Diario'!C502,0))=FALSE,'Libro Diario'!C502,0)</f>
        <v>0</v>
      </c>
      <c r="D344" s="145" t="str">
        <f>+'Libro Diario'!B502</f>
        <v>Asiento Cuadrado</v>
      </c>
      <c r="E344" s="139" t="s">
        <v>445</v>
      </c>
      <c r="F344" t="str">
        <f t="shared" si="15"/>
        <v>Sin Mov.</v>
      </c>
      <c r="G344" t="str">
        <f>IF(+'Libro Diario'!H502=0,"",+'Libro Diario'!H502)</f>
        <v/>
      </c>
      <c r="H344" t="str">
        <f>IF(+'Libro Diario'!I502=0,"",+'Libro Diario'!I502)</f>
        <v/>
      </c>
      <c r="I344" t="str">
        <f>+IF(Table3[[#This Row],[Tipo Movimiento]]="Estructura Balance y PyG","Excluir","Incluir")</f>
        <v>Incluir</v>
      </c>
      <c r="J344" s="153">
        <f>+IF(Table3[[#This Row],[Sin cuenta]]="Con Mov.",(IF(Table3[[#This Row],[Movimiento]]="Debe",Table3[[#This Row],[Importe]],IF(Table3[[#This Row],[Movimiento]]="Haber",Table3[[#This Row],[Importe]]*-1,0))),0)</f>
        <v>0</v>
      </c>
      <c r="K344" s="145" t="str">
        <f t="shared" si="16"/>
        <v>Asiento Cuadrado</v>
      </c>
      <c r="L344" s="145" t="str">
        <f t="shared" si="17"/>
        <v/>
      </c>
      <c r="M344" t="str">
        <f>_xlfn.XLOOKUP(Table3[[#This Row],[Cuenta]],Estructura_Balance[Nombre Cuenta ()],Estructura_Balance[Grupo],"",0)</f>
        <v/>
      </c>
      <c r="N344" t="str">
        <f>_xlfn.XLOOKUP(Table3[[#This Row],[Cuenta]],Estructura_Balance[Nombre Cuenta ()],Estructura_Balance[Nivel 1],"",0)</f>
        <v/>
      </c>
      <c r="O344" t="str">
        <f>_xlfn.XLOOKUP(Table3[[#This Row],[Cuenta]],Estructura_Balance[Nombre Cuenta ()],Estructura_Balance[Nivel 2],"",0)</f>
        <v/>
      </c>
      <c r="P344" t="str">
        <f>_xlfn.XLOOKUP(Table3[[#This Row],[Cuenta]],Estructura_Balance[Nombre Cuenta ()],Estructura_Balance[Nivel 3],"",0)</f>
        <v/>
      </c>
      <c r="Q344" t="str">
        <f>_xlfn.XLOOKUP(Table3[[#This Row],[Cuenta]],Estructura_Balance[Nombre Cuenta ()],Estructura_Balance[Nivel 4],"",0)</f>
        <v/>
      </c>
      <c r="R344" s="154" t="str">
        <f>_xlfn.XLOOKUP(Table3[[#This Row],[Cuenta]],Table8[Nombre Cuenta ()],Table8[Nivel 1],"",0)</f>
        <v/>
      </c>
      <c r="S344" t="str">
        <f>_xlfn.XLOOKUP(Table3[[#This Row],[Cuenta]],Table8[Nombre Cuenta ()],Table8[Nivel 2],"",0)</f>
        <v/>
      </c>
      <c r="T344" t="str">
        <f>_xlfn.XLOOKUP(Table3[[#This Row],[Cuenta]],Table8[Nombre Cuenta ()],Table8[Nivel 3],"",0)</f>
        <v/>
      </c>
      <c r="U344">
        <v>693</v>
      </c>
      <c r="V344" t="str">
        <f>_xlfn.XLOOKUP(Table3[[#This Row],[Cuenta]],Estructura_Balance[Nombre Cuenta ()],Estructura_Balance[Niveles:2],"",0)</f>
        <v/>
      </c>
      <c r="W344" t="str">
        <f>_xlfn.XLOOKUP(Table3[[#This Row],[Cuenta]],Estructura_Balance[Nombre Cuenta ()],Estructura_Balance[Niveles:3],"",0)</f>
        <v/>
      </c>
      <c r="X344" t="str">
        <f>_xlfn.XLOOKUP(Table3[[#This Row],[Cuenta]],Estructura_Balance[Nombre Cuenta ()],Estructura_Balance[Grupos],"Grupo 1",0)</f>
        <v>Grupo 1</v>
      </c>
      <c r="Y344" t="str">
        <f>+Table3[[#This Row],[BS_Nivel_1]]</f>
        <v/>
      </c>
    </row>
    <row r="345" spans="1:25">
      <c r="A345">
        <f>+'Libro Diario'!F503</f>
        <v>0</v>
      </c>
      <c r="B345" s="144">
        <f>VALUE(IF(+'Libro Diario'!G503="","01/01/2025",+'Libro Diario'!G503))</f>
        <v>45658</v>
      </c>
      <c r="C345">
        <f>IF(ISNUMBER(+IF(IFERROR(VALUE(MID('Libro Diario'!C503,1,4)),0)&lt;&gt;0,'Libro Diario'!C503,0))=FALSE,'Libro Diario'!C503,0)</f>
        <v>0</v>
      </c>
      <c r="D345" s="145">
        <f>+'Libro Diario'!B503</f>
        <v>0</v>
      </c>
      <c r="E345" s="139" t="s">
        <v>445</v>
      </c>
      <c r="F345" t="str">
        <f t="shared" si="15"/>
        <v>Sin Mov.</v>
      </c>
      <c r="G345" t="str">
        <f>IF(+'Libro Diario'!H503=0,"",+'Libro Diario'!H503)</f>
        <v/>
      </c>
      <c r="H345" t="str">
        <f>IF(+'Libro Diario'!I503=0,"",+'Libro Diario'!I503)</f>
        <v/>
      </c>
      <c r="I345" t="str">
        <f>+IF(Table3[[#This Row],[Tipo Movimiento]]="Estructura Balance y PyG","Excluir","Incluir")</f>
        <v>Incluir</v>
      </c>
      <c r="J345" s="153">
        <f>+IF(Table3[[#This Row],[Sin cuenta]]="Con Mov.",(IF(Table3[[#This Row],[Movimiento]]="Debe",Table3[[#This Row],[Importe]],IF(Table3[[#This Row],[Movimiento]]="Haber",Table3[[#This Row],[Importe]]*-1,0))),0)</f>
        <v>0</v>
      </c>
      <c r="K345" s="145">
        <f t="shared" si="16"/>
        <v>0</v>
      </c>
      <c r="L345" s="145" t="str">
        <f t="shared" si="17"/>
        <v/>
      </c>
      <c r="M345" t="str">
        <f>_xlfn.XLOOKUP(Table3[[#This Row],[Cuenta]],Estructura_Balance[Nombre Cuenta ()],Estructura_Balance[Grupo],"",0)</f>
        <v/>
      </c>
      <c r="N345" t="str">
        <f>_xlfn.XLOOKUP(Table3[[#This Row],[Cuenta]],Estructura_Balance[Nombre Cuenta ()],Estructura_Balance[Nivel 1],"",0)</f>
        <v/>
      </c>
      <c r="O345" t="str">
        <f>_xlfn.XLOOKUP(Table3[[#This Row],[Cuenta]],Estructura_Balance[Nombre Cuenta ()],Estructura_Balance[Nivel 2],"",0)</f>
        <v/>
      </c>
      <c r="P345" t="str">
        <f>_xlfn.XLOOKUP(Table3[[#This Row],[Cuenta]],Estructura_Balance[Nombre Cuenta ()],Estructura_Balance[Nivel 3],"",0)</f>
        <v/>
      </c>
      <c r="Q345" t="str">
        <f>_xlfn.XLOOKUP(Table3[[#This Row],[Cuenta]],Estructura_Balance[Nombre Cuenta ()],Estructura_Balance[Nivel 4],"",0)</f>
        <v/>
      </c>
      <c r="R345" s="154" t="str">
        <f>_xlfn.XLOOKUP(Table3[[#This Row],[Cuenta]],Table8[Nombre Cuenta ()],Table8[Nivel 1],"",0)</f>
        <v/>
      </c>
      <c r="S345" t="str">
        <f>_xlfn.XLOOKUP(Table3[[#This Row],[Cuenta]],Table8[Nombre Cuenta ()],Table8[Nivel 2],"",0)</f>
        <v/>
      </c>
      <c r="T345" t="str">
        <f>_xlfn.XLOOKUP(Table3[[#This Row],[Cuenta]],Table8[Nombre Cuenta ()],Table8[Nivel 3],"",0)</f>
        <v/>
      </c>
      <c r="U345">
        <v>694</v>
      </c>
      <c r="V345" t="str">
        <f>_xlfn.XLOOKUP(Table3[[#This Row],[Cuenta]],Estructura_Balance[Nombre Cuenta ()],Estructura_Balance[Niveles:2],"",0)</f>
        <v/>
      </c>
      <c r="W345" t="str">
        <f>_xlfn.XLOOKUP(Table3[[#This Row],[Cuenta]],Estructura_Balance[Nombre Cuenta ()],Estructura_Balance[Niveles:3],"",0)</f>
        <v/>
      </c>
      <c r="X345" t="str">
        <f>_xlfn.XLOOKUP(Table3[[#This Row],[Cuenta]],Estructura_Balance[Nombre Cuenta ()],Estructura_Balance[Grupos],"Grupo 1",0)</f>
        <v>Grupo 1</v>
      </c>
      <c r="Y345" t="str">
        <f>+Table3[[#This Row],[BS_Nivel_1]]</f>
        <v/>
      </c>
    </row>
    <row r="346" spans="1:25">
      <c r="A346">
        <f>+'Libro Diario'!F504</f>
        <v>0</v>
      </c>
      <c r="B346" s="144">
        <f>VALUE(IF(+'Libro Diario'!G504="","01/01/2025",+'Libro Diario'!G504))</f>
        <v>45658</v>
      </c>
      <c r="C346">
        <f>IF(ISNUMBER(+IF(IFERROR(VALUE(MID('Libro Diario'!C504,1,4)),0)&lt;&gt;0,'Libro Diario'!C504,0))=FALSE,'Libro Diario'!C504,0)</f>
        <v>0</v>
      </c>
      <c r="D346" s="145" t="str">
        <f>+'Libro Diario'!B504</f>
        <v>DEBE</v>
      </c>
      <c r="E346" s="139" t="s">
        <v>445</v>
      </c>
      <c r="F346" t="str">
        <f t="shared" si="15"/>
        <v>Sin Mov.</v>
      </c>
      <c r="G346" t="str">
        <f>IF(+'Libro Diario'!H504=0,"",+'Libro Diario'!H504)</f>
        <v/>
      </c>
      <c r="H346" t="str">
        <f>IF(+'Libro Diario'!I504=0,"",+'Libro Diario'!I504)</f>
        <v/>
      </c>
      <c r="I346" t="str">
        <f>+IF(Table3[[#This Row],[Tipo Movimiento]]="Estructura Balance y PyG","Excluir","Incluir")</f>
        <v>Incluir</v>
      </c>
      <c r="J346" s="153">
        <f>+IF(Table3[[#This Row],[Sin cuenta]]="Con Mov.",(IF(Table3[[#This Row],[Movimiento]]="Debe",Table3[[#This Row],[Importe]],IF(Table3[[#This Row],[Movimiento]]="Haber",Table3[[#This Row],[Importe]]*-1,0))),0)</f>
        <v>0</v>
      </c>
      <c r="K346" s="145" t="str">
        <f t="shared" si="16"/>
        <v>DEBE</v>
      </c>
      <c r="L346" s="145" t="str">
        <f t="shared" si="17"/>
        <v/>
      </c>
      <c r="M346" t="str">
        <f>_xlfn.XLOOKUP(Table3[[#This Row],[Cuenta]],Estructura_Balance[Nombre Cuenta ()],Estructura_Balance[Grupo],"",0)</f>
        <v/>
      </c>
      <c r="N346" t="str">
        <f>_xlfn.XLOOKUP(Table3[[#This Row],[Cuenta]],Estructura_Balance[Nombre Cuenta ()],Estructura_Balance[Nivel 1],"",0)</f>
        <v/>
      </c>
      <c r="O346" t="str">
        <f>_xlfn.XLOOKUP(Table3[[#This Row],[Cuenta]],Estructura_Balance[Nombre Cuenta ()],Estructura_Balance[Nivel 2],"",0)</f>
        <v/>
      </c>
      <c r="P346" t="str">
        <f>_xlfn.XLOOKUP(Table3[[#This Row],[Cuenta]],Estructura_Balance[Nombre Cuenta ()],Estructura_Balance[Nivel 3],"",0)</f>
        <v/>
      </c>
      <c r="Q346" t="str">
        <f>_xlfn.XLOOKUP(Table3[[#This Row],[Cuenta]],Estructura_Balance[Nombre Cuenta ()],Estructura_Balance[Nivel 4],"",0)</f>
        <v/>
      </c>
      <c r="R346" s="154" t="str">
        <f>_xlfn.XLOOKUP(Table3[[#This Row],[Cuenta]],Table8[Nombre Cuenta ()],Table8[Nivel 1],"",0)</f>
        <v/>
      </c>
      <c r="S346" t="str">
        <f>_xlfn.XLOOKUP(Table3[[#This Row],[Cuenta]],Table8[Nombre Cuenta ()],Table8[Nivel 2],"",0)</f>
        <v/>
      </c>
      <c r="T346" t="str">
        <f>_xlfn.XLOOKUP(Table3[[#This Row],[Cuenta]],Table8[Nombre Cuenta ()],Table8[Nivel 3],"",0)</f>
        <v/>
      </c>
      <c r="U346">
        <v>695</v>
      </c>
      <c r="V346" t="str">
        <f>_xlfn.XLOOKUP(Table3[[#This Row],[Cuenta]],Estructura_Balance[Nombre Cuenta ()],Estructura_Balance[Niveles:2],"",0)</f>
        <v/>
      </c>
      <c r="W346" t="str">
        <f>_xlfn.XLOOKUP(Table3[[#This Row],[Cuenta]],Estructura_Balance[Nombre Cuenta ()],Estructura_Balance[Niveles:3],"",0)</f>
        <v/>
      </c>
      <c r="X346" t="str">
        <f>_xlfn.XLOOKUP(Table3[[#This Row],[Cuenta]],Estructura_Balance[Nombre Cuenta ()],Estructura_Balance[Grupos],"Grupo 1",0)</f>
        <v>Grupo 1</v>
      </c>
      <c r="Y346" t="str">
        <f>+Table3[[#This Row],[BS_Nivel_1]]</f>
        <v/>
      </c>
    </row>
    <row r="347" spans="1:25">
      <c r="A347">
        <f>+'Libro Diario'!F505</f>
        <v>0</v>
      </c>
      <c r="B347" s="144">
        <f>VALUE(IF(+'Libro Diario'!G505="","01/01/2025",+'Libro Diario'!G505))</f>
        <v>45658</v>
      </c>
      <c r="C347">
        <f>IF(ISNUMBER(+IF(IFERROR(VALUE(MID('Libro Diario'!C505,1,4)),0)&lt;&gt;0,'Libro Diario'!C505,0))=FALSE,'Libro Diario'!C505,0)</f>
        <v>0</v>
      </c>
      <c r="D347" s="145">
        <f>+'Libro Diario'!B505</f>
        <v>0</v>
      </c>
      <c r="E347" s="139" t="s">
        <v>445</v>
      </c>
      <c r="F347" t="str">
        <f t="shared" si="15"/>
        <v>Sin Mov.</v>
      </c>
      <c r="G347" t="str">
        <f>IF(+'Libro Diario'!H505=0,"",+'Libro Diario'!H505)</f>
        <v/>
      </c>
      <c r="H347" t="str">
        <f>IF(+'Libro Diario'!I505=0,"",+'Libro Diario'!I505)</f>
        <v/>
      </c>
      <c r="I347" t="str">
        <f>+IF(Table3[[#This Row],[Tipo Movimiento]]="Estructura Balance y PyG","Excluir","Incluir")</f>
        <v>Incluir</v>
      </c>
      <c r="J347" s="153">
        <f>+IF(Table3[[#This Row],[Sin cuenta]]="Con Mov.",(IF(Table3[[#This Row],[Movimiento]]="Debe",Table3[[#This Row],[Importe]],IF(Table3[[#This Row],[Movimiento]]="Haber",Table3[[#This Row],[Importe]]*-1,0))),0)</f>
        <v>0</v>
      </c>
      <c r="K347" s="145">
        <f t="shared" si="16"/>
        <v>0</v>
      </c>
      <c r="L347" s="145" t="str">
        <f t="shared" si="17"/>
        <v/>
      </c>
      <c r="M347" t="str">
        <f>_xlfn.XLOOKUP(Table3[[#This Row],[Cuenta]],Estructura_Balance[Nombre Cuenta ()],Estructura_Balance[Grupo],"",0)</f>
        <v/>
      </c>
      <c r="N347" t="str">
        <f>_xlfn.XLOOKUP(Table3[[#This Row],[Cuenta]],Estructura_Balance[Nombre Cuenta ()],Estructura_Balance[Nivel 1],"",0)</f>
        <v/>
      </c>
      <c r="O347" t="str">
        <f>_xlfn.XLOOKUP(Table3[[#This Row],[Cuenta]],Estructura_Balance[Nombre Cuenta ()],Estructura_Balance[Nivel 2],"",0)</f>
        <v/>
      </c>
      <c r="P347" t="str">
        <f>_xlfn.XLOOKUP(Table3[[#This Row],[Cuenta]],Estructura_Balance[Nombre Cuenta ()],Estructura_Balance[Nivel 3],"",0)</f>
        <v/>
      </c>
      <c r="Q347" t="str">
        <f>_xlfn.XLOOKUP(Table3[[#This Row],[Cuenta]],Estructura_Balance[Nombre Cuenta ()],Estructura_Balance[Nivel 4],"",0)</f>
        <v/>
      </c>
      <c r="R347" s="154" t="str">
        <f>_xlfn.XLOOKUP(Table3[[#This Row],[Cuenta]],Table8[Nombre Cuenta ()],Table8[Nivel 1],"",0)</f>
        <v/>
      </c>
      <c r="S347" t="str">
        <f>_xlfn.XLOOKUP(Table3[[#This Row],[Cuenta]],Table8[Nombre Cuenta ()],Table8[Nivel 2],"",0)</f>
        <v/>
      </c>
      <c r="T347" t="str">
        <f>_xlfn.XLOOKUP(Table3[[#This Row],[Cuenta]],Table8[Nombre Cuenta ()],Table8[Nivel 3],"",0)</f>
        <v/>
      </c>
      <c r="U347">
        <v>696</v>
      </c>
      <c r="V347" t="str">
        <f>_xlfn.XLOOKUP(Table3[[#This Row],[Cuenta]],Estructura_Balance[Nombre Cuenta ()],Estructura_Balance[Niveles:2],"",0)</f>
        <v/>
      </c>
      <c r="W347" t="str">
        <f>_xlfn.XLOOKUP(Table3[[#This Row],[Cuenta]],Estructura_Balance[Nombre Cuenta ()],Estructura_Balance[Niveles:3],"",0)</f>
        <v/>
      </c>
      <c r="X347" t="str">
        <f>_xlfn.XLOOKUP(Table3[[#This Row],[Cuenta]],Estructura_Balance[Nombre Cuenta ()],Estructura_Balance[Grupos],"Grupo 1",0)</f>
        <v>Grupo 1</v>
      </c>
      <c r="Y347" t="str">
        <f>+Table3[[#This Row],[BS_Nivel_1]]</f>
        <v/>
      </c>
    </row>
    <row r="348" spans="1:25">
      <c r="A348">
        <f>+'Libro Diario'!F508</f>
        <v>0</v>
      </c>
      <c r="B348" s="144">
        <f>VALUE(IF(+'Libro Diario'!G508="","01/01/2025",+'Libro Diario'!G508))</f>
        <v>45658</v>
      </c>
      <c r="C348">
        <f>IF(ISNUMBER(+IF(IFERROR(VALUE(MID('Libro Diario'!C508,1,4)),0)&lt;&gt;0,'Libro Diario'!C508,0))=FALSE,'Libro Diario'!C508,0)</f>
        <v>0</v>
      </c>
      <c r="D348" s="145" t="str">
        <f>+'Libro Diario'!B508</f>
        <v>Provisiones</v>
      </c>
      <c r="E348" s="139" t="s">
        <v>445</v>
      </c>
      <c r="F348" t="str">
        <f t="shared" si="15"/>
        <v>Sin Mov.</v>
      </c>
      <c r="G348" t="str">
        <f>IF(+'Libro Diario'!H508=0,"",+'Libro Diario'!H508)</f>
        <v/>
      </c>
      <c r="H348" t="str">
        <f>IF(+'Libro Diario'!I508=0,"",+'Libro Diario'!I508)</f>
        <v/>
      </c>
      <c r="I348" t="str">
        <f>+IF(Table3[[#This Row],[Tipo Movimiento]]="Estructura Balance y PyG","Excluir","Incluir")</f>
        <v>Incluir</v>
      </c>
      <c r="J348" s="153">
        <f>+IF(Table3[[#This Row],[Sin cuenta]]="Con Mov.",(IF(Table3[[#This Row],[Movimiento]]="Debe",Table3[[#This Row],[Importe]],IF(Table3[[#This Row],[Movimiento]]="Haber",Table3[[#This Row],[Importe]]*-1,0))),0)</f>
        <v>0</v>
      </c>
      <c r="K348" s="145" t="str">
        <f t="shared" si="16"/>
        <v>Provisiones</v>
      </c>
      <c r="L348" s="145" t="str">
        <f t="shared" si="17"/>
        <v/>
      </c>
      <c r="M348" t="str">
        <f>_xlfn.XLOOKUP(Table3[[#This Row],[Cuenta]],Estructura_Balance[Nombre Cuenta ()],Estructura_Balance[Grupo],"",0)</f>
        <v/>
      </c>
      <c r="N348" t="str">
        <f>_xlfn.XLOOKUP(Table3[[#This Row],[Cuenta]],Estructura_Balance[Nombre Cuenta ()],Estructura_Balance[Nivel 1],"",0)</f>
        <v/>
      </c>
      <c r="O348" t="str">
        <f>_xlfn.XLOOKUP(Table3[[#This Row],[Cuenta]],Estructura_Balance[Nombre Cuenta ()],Estructura_Balance[Nivel 2],"",0)</f>
        <v/>
      </c>
      <c r="P348" t="str">
        <f>_xlfn.XLOOKUP(Table3[[#This Row],[Cuenta]],Estructura_Balance[Nombre Cuenta ()],Estructura_Balance[Nivel 3],"",0)</f>
        <v/>
      </c>
      <c r="Q348" t="str">
        <f>_xlfn.XLOOKUP(Table3[[#This Row],[Cuenta]],Estructura_Balance[Nombre Cuenta ()],Estructura_Balance[Nivel 4],"",0)</f>
        <v/>
      </c>
      <c r="R348" s="154" t="str">
        <f>_xlfn.XLOOKUP(Table3[[#This Row],[Cuenta]],Table8[Nombre Cuenta ()],Table8[Nivel 1],"",0)</f>
        <v/>
      </c>
      <c r="S348" t="str">
        <f>_xlfn.XLOOKUP(Table3[[#This Row],[Cuenta]],Table8[Nombre Cuenta ()],Table8[Nivel 2],"",0)</f>
        <v/>
      </c>
      <c r="T348" t="str">
        <f>_xlfn.XLOOKUP(Table3[[#This Row],[Cuenta]],Table8[Nombre Cuenta ()],Table8[Nivel 3],"",0)</f>
        <v/>
      </c>
      <c r="U348">
        <v>699</v>
      </c>
      <c r="V348" t="str">
        <f>_xlfn.XLOOKUP(Table3[[#This Row],[Cuenta]],Estructura_Balance[Nombre Cuenta ()],Estructura_Balance[Niveles:2],"",0)</f>
        <v/>
      </c>
      <c r="W348" t="str">
        <f>_xlfn.XLOOKUP(Table3[[#This Row],[Cuenta]],Estructura_Balance[Nombre Cuenta ()],Estructura_Balance[Niveles:3],"",0)</f>
        <v/>
      </c>
      <c r="X348" t="str">
        <f>_xlfn.XLOOKUP(Table3[[#This Row],[Cuenta]],Estructura_Balance[Nombre Cuenta ()],Estructura_Balance[Grupos],"Grupo 1",0)</f>
        <v>Grupo 1</v>
      </c>
      <c r="Y348" t="str">
        <f>+Table3[[#This Row],[BS_Nivel_1]]</f>
        <v/>
      </c>
    </row>
    <row r="349" spans="1:25">
      <c r="A349">
        <f>+'Libro Diario'!F509</f>
        <v>0</v>
      </c>
      <c r="B349" s="144">
        <f>VALUE(IF(+'Libro Diario'!G509="","01/01/2025",+'Libro Diario'!G509))</f>
        <v>45658</v>
      </c>
      <c r="C349">
        <f>IF(ISNUMBER(+IF(IFERROR(VALUE(MID('Libro Diario'!C509,1,4)),0)&lt;&gt;0,'Libro Diario'!C509,0))=FALSE,'Libro Diario'!C509,0)</f>
        <v>0</v>
      </c>
      <c r="D349" s="145" t="str">
        <f>+'Libro Diario'!B509</f>
        <v>Asiento Cuadrado</v>
      </c>
      <c r="E349" s="139" t="s">
        <v>445</v>
      </c>
      <c r="F349" t="str">
        <f t="shared" si="15"/>
        <v>Sin Mov.</v>
      </c>
      <c r="G349" t="str">
        <f>IF(+'Libro Diario'!H509=0,"",+'Libro Diario'!H509)</f>
        <v/>
      </c>
      <c r="H349" t="str">
        <f>IF(+'Libro Diario'!I509=0,"",+'Libro Diario'!I509)</f>
        <v/>
      </c>
      <c r="I349" t="str">
        <f>+IF(Table3[[#This Row],[Tipo Movimiento]]="Estructura Balance y PyG","Excluir","Incluir")</f>
        <v>Incluir</v>
      </c>
      <c r="J349" s="153">
        <f>+IF(Table3[[#This Row],[Sin cuenta]]="Con Mov.",(IF(Table3[[#This Row],[Movimiento]]="Debe",Table3[[#This Row],[Importe]],IF(Table3[[#This Row],[Movimiento]]="Haber",Table3[[#This Row],[Importe]]*-1,0))),0)</f>
        <v>0</v>
      </c>
      <c r="K349" s="145" t="str">
        <f t="shared" si="16"/>
        <v>Asiento Cuadrado</v>
      </c>
      <c r="L349" s="145" t="str">
        <f t="shared" si="17"/>
        <v/>
      </c>
      <c r="M349" t="str">
        <f>_xlfn.XLOOKUP(Table3[[#This Row],[Cuenta]],Estructura_Balance[Nombre Cuenta ()],Estructura_Balance[Grupo],"",0)</f>
        <v/>
      </c>
      <c r="N349" t="str">
        <f>_xlfn.XLOOKUP(Table3[[#This Row],[Cuenta]],Estructura_Balance[Nombre Cuenta ()],Estructura_Balance[Nivel 1],"",0)</f>
        <v/>
      </c>
      <c r="O349" t="str">
        <f>_xlfn.XLOOKUP(Table3[[#This Row],[Cuenta]],Estructura_Balance[Nombre Cuenta ()],Estructura_Balance[Nivel 2],"",0)</f>
        <v/>
      </c>
      <c r="P349" t="str">
        <f>_xlfn.XLOOKUP(Table3[[#This Row],[Cuenta]],Estructura_Balance[Nombre Cuenta ()],Estructura_Balance[Nivel 3],"",0)</f>
        <v/>
      </c>
      <c r="Q349" t="str">
        <f>_xlfn.XLOOKUP(Table3[[#This Row],[Cuenta]],Estructura_Balance[Nombre Cuenta ()],Estructura_Balance[Nivel 4],"",0)</f>
        <v/>
      </c>
      <c r="R349" t="str">
        <f>_xlfn.XLOOKUP(Table3[[#This Row],[Cuenta]],Table8[Nombre Cuenta ()],Table8[Nivel 1],"",0)</f>
        <v/>
      </c>
      <c r="S349" t="str">
        <f>_xlfn.XLOOKUP(Table3[[#This Row],[Cuenta]],Table8[Nombre Cuenta ()],Table8[Nivel 2],"",0)</f>
        <v/>
      </c>
      <c r="T349" t="str">
        <f>_xlfn.XLOOKUP(Table3[[#This Row],[Cuenta]],Table8[Nombre Cuenta ()],Table8[Nivel 3],"",0)</f>
        <v/>
      </c>
      <c r="U349">
        <v>700</v>
      </c>
      <c r="V349" t="str">
        <f>_xlfn.XLOOKUP(Table3[[#This Row],[Cuenta]],Estructura_Balance[Nombre Cuenta ()],Estructura_Balance[Niveles:2],"",0)</f>
        <v/>
      </c>
      <c r="W349" t="str">
        <f>_xlfn.XLOOKUP(Table3[[#This Row],[Cuenta]],Estructura_Balance[Nombre Cuenta ()],Estructura_Balance[Niveles:3],"",0)</f>
        <v/>
      </c>
      <c r="X349" t="str">
        <f>_xlfn.XLOOKUP(Table3[[#This Row],[Cuenta]],Estructura_Balance[Nombre Cuenta ()],Estructura_Balance[Grupos],"Grupo 1",0)</f>
        <v>Grupo 1</v>
      </c>
      <c r="Y349" t="str">
        <f>+Table3[[#This Row],[BS_Nivel_1]]</f>
        <v/>
      </c>
    </row>
    <row r="350" spans="1:25">
      <c r="A350">
        <f>+'Libro Diario'!F510</f>
        <v>0</v>
      </c>
      <c r="B350" s="144">
        <f>VALUE(IF(+'Libro Diario'!G510="","01/01/2025",+'Libro Diario'!G510))</f>
        <v>45658</v>
      </c>
      <c r="C350">
        <f>IF(ISNUMBER(+IF(IFERROR(VALUE(MID('Libro Diario'!C510,1,4)),0)&lt;&gt;0,'Libro Diario'!C510,0))=FALSE,'Libro Diario'!C510,0)</f>
        <v>0</v>
      </c>
      <c r="D350" s="145">
        <f>+'Libro Diario'!B510</f>
        <v>0</v>
      </c>
      <c r="E350" s="139" t="s">
        <v>445</v>
      </c>
      <c r="F350" t="str">
        <f t="shared" si="15"/>
        <v>Sin Mov.</v>
      </c>
      <c r="G350" t="str">
        <f>IF(+'Libro Diario'!H510=0,"",+'Libro Diario'!H510)</f>
        <v/>
      </c>
      <c r="H350" t="str">
        <f>IF(+'Libro Diario'!I510=0,"",+'Libro Diario'!I510)</f>
        <v/>
      </c>
      <c r="I350" t="str">
        <f>+IF(Table3[[#This Row],[Tipo Movimiento]]="Estructura Balance y PyG","Excluir","Incluir")</f>
        <v>Incluir</v>
      </c>
      <c r="J350" s="153">
        <f>+IF(Table3[[#This Row],[Sin cuenta]]="Con Mov.",(IF(Table3[[#This Row],[Movimiento]]="Debe",Table3[[#This Row],[Importe]],IF(Table3[[#This Row],[Movimiento]]="Haber",Table3[[#This Row],[Importe]]*-1,0))),0)</f>
        <v>0</v>
      </c>
      <c r="K350" s="145">
        <f t="shared" si="16"/>
        <v>0</v>
      </c>
      <c r="L350" s="145" t="str">
        <f t="shared" si="17"/>
        <v/>
      </c>
      <c r="M350" t="str">
        <f>_xlfn.XLOOKUP(Table3[[#This Row],[Cuenta]],Estructura_Balance[Nombre Cuenta ()],Estructura_Balance[Grupo],"",0)</f>
        <v/>
      </c>
      <c r="N350" t="str">
        <f>_xlfn.XLOOKUP(Table3[[#This Row],[Cuenta]],Estructura_Balance[Nombre Cuenta ()],Estructura_Balance[Nivel 1],"",0)</f>
        <v/>
      </c>
      <c r="O350" t="str">
        <f>_xlfn.XLOOKUP(Table3[[#This Row],[Cuenta]],Estructura_Balance[Nombre Cuenta ()],Estructura_Balance[Nivel 2],"",0)</f>
        <v/>
      </c>
      <c r="P350" t="str">
        <f>_xlfn.XLOOKUP(Table3[[#This Row],[Cuenta]],Estructura_Balance[Nombre Cuenta ()],Estructura_Balance[Nivel 3],"",0)</f>
        <v/>
      </c>
      <c r="Q350" t="str">
        <f>_xlfn.XLOOKUP(Table3[[#This Row],[Cuenta]],Estructura_Balance[Nombre Cuenta ()],Estructura_Balance[Nivel 4],"",0)</f>
        <v/>
      </c>
      <c r="R350" t="str">
        <f>_xlfn.XLOOKUP(Table3[[#This Row],[Cuenta]],Table8[Nombre Cuenta ()],Table8[Nivel 1],"",0)</f>
        <v/>
      </c>
      <c r="S350" t="str">
        <f>_xlfn.XLOOKUP(Table3[[#This Row],[Cuenta]],Table8[Nombre Cuenta ()],Table8[Nivel 2],"",0)</f>
        <v/>
      </c>
      <c r="T350" t="str">
        <f>_xlfn.XLOOKUP(Table3[[#This Row],[Cuenta]],Table8[Nombre Cuenta ()],Table8[Nivel 3],"",0)</f>
        <v/>
      </c>
      <c r="U350">
        <v>701</v>
      </c>
      <c r="V350" t="str">
        <f>_xlfn.XLOOKUP(Table3[[#This Row],[Cuenta]],Estructura_Balance[Nombre Cuenta ()],Estructura_Balance[Niveles:2],"",0)</f>
        <v/>
      </c>
      <c r="W350" t="str">
        <f>_xlfn.XLOOKUP(Table3[[#This Row],[Cuenta]],Estructura_Balance[Nombre Cuenta ()],Estructura_Balance[Niveles:3],"",0)</f>
        <v/>
      </c>
      <c r="X350" t="str">
        <f>_xlfn.XLOOKUP(Table3[[#This Row],[Cuenta]],Estructura_Balance[Nombre Cuenta ()],Estructura_Balance[Grupos],"Grupo 1",0)</f>
        <v>Grupo 1</v>
      </c>
      <c r="Y350" t="str">
        <f>+Table3[[#This Row],[BS_Nivel_1]]</f>
        <v/>
      </c>
    </row>
    <row r="351" spans="1:25">
      <c r="A351">
        <f>+'Libro Diario'!F511</f>
        <v>0</v>
      </c>
      <c r="B351" s="144">
        <f>VALUE(IF(+'Libro Diario'!G511="","01/01/2025",+'Libro Diario'!G511))</f>
        <v>45658</v>
      </c>
      <c r="C351">
        <f>IF(ISNUMBER(+IF(IFERROR(VALUE(MID('Libro Diario'!C511,1,4)),0)&lt;&gt;0,'Libro Diario'!C511,0))=FALSE,'Libro Diario'!C511,0)</f>
        <v>0</v>
      </c>
      <c r="D351" s="145" t="str">
        <f>+'Libro Diario'!B511</f>
        <v>DEBE</v>
      </c>
      <c r="E351" s="139" t="s">
        <v>445</v>
      </c>
      <c r="F351" t="str">
        <f t="shared" si="15"/>
        <v>Sin Mov.</v>
      </c>
      <c r="G351" t="str">
        <f>IF(+'Libro Diario'!H511=0,"",+'Libro Diario'!H511)</f>
        <v/>
      </c>
      <c r="H351" t="str">
        <f>IF(+'Libro Diario'!I511=0,"",+'Libro Diario'!I511)</f>
        <v/>
      </c>
      <c r="I351" t="str">
        <f>+IF(Table3[[#This Row],[Tipo Movimiento]]="Estructura Balance y PyG","Excluir","Incluir")</f>
        <v>Incluir</v>
      </c>
      <c r="J351" s="153">
        <f>+IF(Table3[[#This Row],[Sin cuenta]]="Con Mov.",(IF(Table3[[#This Row],[Movimiento]]="Debe",Table3[[#This Row],[Importe]],IF(Table3[[#This Row],[Movimiento]]="Haber",Table3[[#This Row],[Importe]]*-1,0))),0)</f>
        <v>0</v>
      </c>
      <c r="K351" s="145" t="str">
        <f t="shared" si="16"/>
        <v>DEBE</v>
      </c>
      <c r="L351" s="145" t="str">
        <f t="shared" si="17"/>
        <v/>
      </c>
      <c r="M351" t="str">
        <f>_xlfn.XLOOKUP(Table3[[#This Row],[Cuenta]],Estructura_Balance[Nombre Cuenta ()],Estructura_Balance[Grupo],"",0)</f>
        <v/>
      </c>
      <c r="N351" t="str">
        <f>_xlfn.XLOOKUP(Table3[[#This Row],[Cuenta]],Estructura_Balance[Nombre Cuenta ()],Estructura_Balance[Nivel 1],"",0)</f>
        <v/>
      </c>
      <c r="O351" t="str">
        <f>_xlfn.XLOOKUP(Table3[[#This Row],[Cuenta]],Estructura_Balance[Nombre Cuenta ()],Estructura_Balance[Nivel 2],"",0)</f>
        <v/>
      </c>
      <c r="P351" t="str">
        <f>_xlfn.XLOOKUP(Table3[[#This Row],[Cuenta]],Estructura_Balance[Nombre Cuenta ()],Estructura_Balance[Nivel 3],"",0)</f>
        <v/>
      </c>
      <c r="Q351" t="str">
        <f>_xlfn.XLOOKUP(Table3[[#This Row],[Cuenta]],Estructura_Balance[Nombre Cuenta ()],Estructura_Balance[Nivel 4],"",0)</f>
        <v/>
      </c>
      <c r="R351" t="str">
        <f>_xlfn.XLOOKUP(Table3[[#This Row],[Cuenta]],Table8[Nombre Cuenta ()],Table8[Nivel 1],"",0)</f>
        <v/>
      </c>
      <c r="S351" t="str">
        <f>_xlfn.XLOOKUP(Table3[[#This Row],[Cuenta]],Table8[Nombre Cuenta ()],Table8[Nivel 2],"",0)</f>
        <v/>
      </c>
      <c r="T351" t="str">
        <f>_xlfn.XLOOKUP(Table3[[#This Row],[Cuenta]],Table8[Nombre Cuenta ()],Table8[Nivel 3],"",0)</f>
        <v/>
      </c>
      <c r="U351">
        <v>702</v>
      </c>
      <c r="V351" t="str">
        <f>_xlfn.XLOOKUP(Table3[[#This Row],[Cuenta]],Estructura_Balance[Nombre Cuenta ()],Estructura_Balance[Niveles:2],"",0)</f>
        <v/>
      </c>
      <c r="W351" t="str">
        <f>_xlfn.XLOOKUP(Table3[[#This Row],[Cuenta]],Estructura_Balance[Nombre Cuenta ()],Estructura_Balance[Niveles:3],"",0)</f>
        <v/>
      </c>
      <c r="X351" t="str">
        <f>_xlfn.XLOOKUP(Table3[[#This Row],[Cuenta]],Estructura_Balance[Nombre Cuenta ()],Estructura_Balance[Grupos],"Grupo 1",0)</f>
        <v>Grupo 1</v>
      </c>
      <c r="Y351" t="str">
        <f>+Table3[[#This Row],[BS_Nivel_1]]</f>
        <v/>
      </c>
    </row>
    <row r="352" spans="1:25">
      <c r="A352">
        <f>+'Libro Diario'!F512</f>
        <v>0</v>
      </c>
      <c r="B352" s="144">
        <f>VALUE(IF(+'Libro Diario'!G512="","01/01/2025",+'Libro Diario'!G512))</f>
        <v>45658</v>
      </c>
      <c r="C352">
        <f>IF(ISNUMBER(+IF(IFERROR(VALUE(MID('Libro Diario'!C512,1,4)),0)&lt;&gt;0,'Libro Diario'!C512,0))=FALSE,'Libro Diario'!C512,0)</f>
        <v>0</v>
      </c>
      <c r="D352" s="145">
        <f>+'Libro Diario'!B512</f>
        <v>0</v>
      </c>
      <c r="E352" s="139" t="s">
        <v>445</v>
      </c>
      <c r="F352" t="str">
        <f t="shared" si="15"/>
        <v>Sin Mov.</v>
      </c>
      <c r="G352" t="str">
        <f>IF(+'Libro Diario'!H512=0,"",+'Libro Diario'!H512)</f>
        <v/>
      </c>
      <c r="H352" t="str">
        <f>IF(+'Libro Diario'!I512=0,"",+'Libro Diario'!I512)</f>
        <v/>
      </c>
      <c r="I352" t="str">
        <f>+IF(Table3[[#This Row],[Tipo Movimiento]]="Estructura Balance y PyG","Excluir","Incluir")</f>
        <v>Incluir</v>
      </c>
      <c r="J352" s="153">
        <f>+IF(Table3[[#This Row],[Sin cuenta]]="Con Mov.",(IF(Table3[[#This Row],[Movimiento]]="Debe",Table3[[#This Row],[Importe]],IF(Table3[[#This Row],[Movimiento]]="Haber",Table3[[#This Row],[Importe]]*-1,0))),0)</f>
        <v>0</v>
      </c>
      <c r="K352" s="145">
        <f t="shared" si="16"/>
        <v>0</v>
      </c>
      <c r="L352" s="145" t="str">
        <f t="shared" si="17"/>
        <v/>
      </c>
      <c r="M352" t="str">
        <f>_xlfn.XLOOKUP(Table3[[#This Row],[Cuenta]],Estructura_Balance[Nombre Cuenta ()],Estructura_Balance[Grupo],"",0)</f>
        <v/>
      </c>
      <c r="N352" t="str">
        <f>_xlfn.XLOOKUP(Table3[[#This Row],[Cuenta]],Estructura_Balance[Nombre Cuenta ()],Estructura_Balance[Nivel 1],"",0)</f>
        <v/>
      </c>
      <c r="O352" t="str">
        <f>_xlfn.XLOOKUP(Table3[[#This Row],[Cuenta]],Estructura_Balance[Nombre Cuenta ()],Estructura_Balance[Nivel 2],"",0)</f>
        <v/>
      </c>
      <c r="P352" t="str">
        <f>_xlfn.XLOOKUP(Table3[[#This Row],[Cuenta]],Estructura_Balance[Nombre Cuenta ()],Estructura_Balance[Nivel 3],"",0)</f>
        <v/>
      </c>
      <c r="Q352" t="str">
        <f>_xlfn.XLOOKUP(Table3[[#This Row],[Cuenta]],Estructura_Balance[Nombre Cuenta ()],Estructura_Balance[Nivel 4],"",0)</f>
        <v/>
      </c>
      <c r="R352" s="154" t="str">
        <f>_xlfn.XLOOKUP(Table3[[#This Row],[Cuenta]],Table8[Nombre Cuenta ()],Table8[Nivel 1],"",0)</f>
        <v/>
      </c>
      <c r="S352" t="str">
        <f>_xlfn.XLOOKUP(Table3[[#This Row],[Cuenta]],Table8[Nombre Cuenta ()],Table8[Nivel 2],"",0)</f>
        <v/>
      </c>
      <c r="T352" t="str">
        <f>_xlfn.XLOOKUP(Table3[[#This Row],[Cuenta]],Table8[Nombre Cuenta ()],Table8[Nivel 3],"",0)</f>
        <v/>
      </c>
      <c r="U352">
        <v>703</v>
      </c>
      <c r="V352" t="str">
        <f>_xlfn.XLOOKUP(Table3[[#This Row],[Cuenta]],Estructura_Balance[Nombre Cuenta ()],Estructura_Balance[Niveles:2],"",0)</f>
        <v/>
      </c>
      <c r="W352" t="str">
        <f>_xlfn.XLOOKUP(Table3[[#This Row],[Cuenta]],Estructura_Balance[Nombre Cuenta ()],Estructura_Balance[Niveles:3],"",0)</f>
        <v/>
      </c>
      <c r="X352" t="str">
        <f>_xlfn.XLOOKUP(Table3[[#This Row],[Cuenta]],Estructura_Balance[Nombre Cuenta ()],Estructura_Balance[Grupos],"Grupo 1",0)</f>
        <v>Grupo 1</v>
      </c>
      <c r="Y352" t="str">
        <f>+Table3[[#This Row],[BS_Nivel_1]]</f>
        <v/>
      </c>
    </row>
    <row r="353" spans="1:25">
      <c r="A353">
        <f>+'Libro Diario'!F529</f>
        <v>0</v>
      </c>
      <c r="B353" s="144">
        <f>VALUE(IF(+'Libro Diario'!G529="","01/01/2025",+'Libro Diario'!G529))</f>
        <v>45658</v>
      </c>
      <c r="C353">
        <f>IF(ISNUMBER(+IF(IFERROR(VALUE(MID('Libro Diario'!C529,1,4)),0)&lt;&gt;0,'Libro Diario'!C529,0))=FALSE,'Libro Diario'!C529,0)</f>
        <v>0</v>
      </c>
      <c r="D353" s="145" t="str">
        <f>+'Libro Diario'!B529</f>
        <v>Determinación de Resultado Contable</v>
      </c>
      <c r="E353" s="139" t="s">
        <v>445</v>
      </c>
      <c r="F353" t="str">
        <f t="shared" si="15"/>
        <v>Sin Mov.</v>
      </c>
      <c r="G353" t="str">
        <f>IF(+'Libro Diario'!H529=0,"",+'Libro Diario'!H529)</f>
        <v/>
      </c>
      <c r="H353" t="str">
        <f>IF(+'Libro Diario'!I529=0,"",+'Libro Diario'!I529)</f>
        <v/>
      </c>
      <c r="I353" t="str">
        <f>+IF(Table3[[#This Row],[Tipo Movimiento]]="Estructura Balance y PyG","Excluir","Incluir")</f>
        <v>Incluir</v>
      </c>
      <c r="J353" s="153">
        <f>+IF(Table3[[#This Row],[Sin cuenta]]="Con Mov.",(IF(Table3[[#This Row],[Movimiento]]="Debe",Table3[[#This Row],[Importe]],IF(Table3[[#This Row],[Movimiento]]="Haber",Table3[[#This Row],[Importe]]*-1,0))),0)</f>
        <v>0</v>
      </c>
      <c r="K353" s="145" t="str">
        <f t="shared" si="16"/>
        <v>Determinación de Resultado Contable</v>
      </c>
      <c r="L353" s="145" t="str">
        <f t="shared" si="17"/>
        <v/>
      </c>
      <c r="M353" t="str">
        <f>_xlfn.XLOOKUP(Table3[[#This Row],[Cuenta]],Estructura_Balance[Nombre Cuenta ()],Estructura_Balance[Grupo],"",0)</f>
        <v/>
      </c>
      <c r="N353" t="str">
        <f>_xlfn.XLOOKUP(Table3[[#This Row],[Cuenta]],Estructura_Balance[Nombre Cuenta ()],Estructura_Balance[Nivel 1],"",0)</f>
        <v/>
      </c>
      <c r="O353" t="str">
        <f>_xlfn.XLOOKUP(Table3[[#This Row],[Cuenta]],Estructura_Balance[Nombre Cuenta ()],Estructura_Balance[Nivel 2],"",0)</f>
        <v/>
      </c>
      <c r="P353" t="str">
        <f>_xlfn.XLOOKUP(Table3[[#This Row],[Cuenta]],Estructura_Balance[Nombre Cuenta ()],Estructura_Balance[Nivel 3],"",0)</f>
        <v/>
      </c>
      <c r="Q353" t="str">
        <f>_xlfn.XLOOKUP(Table3[[#This Row],[Cuenta]],Estructura_Balance[Nombre Cuenta ()],Estructura_Balance[Nivel 4],"",0)</f>
        <v/>
      </c>
      <c r="R353" t="str">
        <f>_xlfn.XLOOKUP(Table3[[#This Row],[Cuenta]],Table8[Nombre Cuenta ()],Table8[Nivel 1],"",0)</f>
        <v/>
      </c>
      <c r="S353" t="str">
        <f>_xlfn.XLOOKUP(Table3[[#This Row],[Cuenta]],Table8[Nombre Cuenta ()],Table8[Nivel 2],"",0)</f>
        <v/>
      </c>
      <c r="T353" t="str">
        <f>_xlfn.XLOOKUP(Table3[[#This Row],[Cuenta]],Table8[Nombre Cuenta ()],Table8[Nivel 3],"",0)</f>
        <v/>
      </c>
      <c r="U353">
        <v>720</v>
      </c>
      <c r="V353" t="str">
        <f>_xlfn.XLOOKUP(Table3[[#This Row],[Cuenta]],Estructura_Balance[Nombre Cuenta ()],Estructura_Balance[Niveles:2],"",0)</f>
        <v/>
      </c>
      <c r="W353" t="str">
        <f>_xlfn.XLOOKUP(Table3[[#This Row],[Cuenta]],Estructura_Balance[Nombre Cuenta ()],Estructura_Balance[Niveles:3],"",0)</f>
        <v/>
      </c>
      <c r="X353" t="str">
        <f>_xlfn.XLOOKUP(Table3[[#This Row],[Cuenta]],Estructura_Balance[Nombre Cuenta ()],Estructura_Balance[Grupos],"Grupo 1",0)</f>
        <v>Grupo 1</v>
      </c>
      <c r="Y353" t="str">
        <f>+Table3[[#This Row],[BS_Nivel_1]]</f>
        <v/>
      </c>
    </row>
    <row r="354" spans="1:25">
      <c r="A354">
        <f>+'Libro Diario'!F530</f>
        <v>0</v>
      </c>
      <c r="B354" s="144">
        <f>VALUE(IF(+'Libro Diario'!G530="","01/01/2025",+'Libro Diario'!G530))</f>
        <v>45658</v>
      </c>
      <c r="C354">
        <f>IF(ISNUMBER(+IF(IFERROR(VALUE(MID('Libro Diario'!C530,1,4)),0)&lt;&gt;0,'Libro Diario'!C530,0))=FALSE,'Libro Diario'!C530,0)</f>
        <v>0</v>
      </c>
      <c r="D354" s="145" t="str">
        <f>+'Libro Diario'!B530</f>
        <v>Asiento Cuadrado</v>
      </c>
      <c r="E354" s="139" t="s">
        <v>445</v>
      </c>
      <c r="F354" t="str">
        <f t="shared" si="15"/>
        <v>Sin Mov.</v>
      </c>
      <c r="G354" t="str">
        <f>IF(+'Libro Diario'!H530=0,"",+'Libro Diario'!H530)</f>
        <v/>
      </c>
      <c r="H354" t="str">
        <f>IF(+'Libro Diario'!I530=0,"",+'Libro Diario'!I530)</f>
        <v/>
      </c>
      <c r="I354" t="str">
        <f>+IF(Table3[[#This Row],[Tipo Movimiento]]="Estructura Balance y PyG","Excluir","Incluir")</f>
        <v>Incluir</v>
      </c>
      <c r="J354" s="153">
        <f>+IF(Table3[[#This Row],[Sin cuenta]]="Con Mov.",(IF(Table3[[#This Row],[Movimiento]]="Debe",Table3[[#This Row],[Importe]],IF(Table3[[#This Row],[Movimiento]]="Haber",Table3[[#This Row],[Importe]]*-1,0))),0)</f>
        <v>0</v>
      </c>
      <c r="K354" s="145" t="str">
        <f t="shared" si="16"/>
        <v>Asiento Cuadrado</v>
      </c>
      <c r="L354" s="145" t="str">
        <f t="shared" si="17"/>
        <v/>
      </c>
      <c r="M354" t="str">
        <f>_xlfn.XLOOKUP(Table3[[#This Row],[Cuenta]],Estructura_Balance[Nombre Cuenta ()],Estructura_Balance[Grupo],"",0)</f>
        <v/>
      </c>
      <c r="N354" t="str">
        <f>_xlfn.XLOOKUP(Table3[[#This Row],[Cuenta]],Estructura_Balance[Nombre Cuenta ()],Estructura_Balance[Nivel 1],"",0)</f>
        <v/>
      </c>
      <c r="O354" t="str">
        <f>_xlfn.XLOOKUP(Table3[[#This Row],[Cuenta]],Estructura_Balance[Nombre Cuenta ()],Estructura_Balance[Nivel 2],"",0)</f>
        <v/>
      </c>
      <c r="P354" t="str">
        <f>_xlfn.XLOOKUP(Table3[[#This Row],[Cuenta]],Estructura_Balance[Nombre Cuenta ()],Estructura_Balance[Nivel 3],"",0)</f>
        <v/>
      </c>
      <c r="Q354" t="str">
        <f>_xlfn.XLOOKUP(Table3[[#This Row],[Cuenta]],Estructura_Balance[Nombre Cuenta ()],Estructura_Balance[Nivel 4],"",0)</f>
        <v/>
      </c>
      <c r="R354" s="154" t="str">
        <f>_xlfn.XLOOKUP(Table3[[#This Row],[Cuenta]],Table8[Nombre Cuenta ()],Table8[Nivel 1],"",0)</f>
        <v/>
      </c>
      <c r="S354" t="str">
        <f>_xlfn.XLOOKUP(Table3[[#This Row],[Cuenta]],Table8[Nombre Cuenta ()],Table8[Nivel 2],"",0)</f>
        <v/>
      </c>
      <c r="T354" t="str">
        <f>_xlfn.XLOOKUP(Table3[[#This Row],[Cuenta]],Table8[Nombre Cuenta ()],Table8[Nivel 3],"",0)</f>
        <v/>
      </c>
      <c r="U354">
        <v>721</v>
      </c>
      <c r="V354" t="str">
        <f>_xlfn.XLOOKUP(Table3[[#This Row],[Cuenta]],Estructura_Balance[Nombre Cuenta ()],Estructura_Balance[Niveles:2],"",0)</f>
        <v/>
      </c>
      <c r="W354" t="str">
        <f>_xlfn.XLOOKUP(Table3[[#This Row],[Cuenta]],Estructura_Balance[Nombre Cuenta ()],Estructura_Balance[Niveles:3],"",0)</f>
        <v/>
      </c>
      <c r="X354" t="str">
        <f>_xlfn.XLOOKUP(Table3[[#This Row],[Cuenta]],Estructura_Balance[Nombre Cuenta ()],Estructura_Balance[Grupos],"Grupo 1",0)</f>
        <v>Grupo 1</v>
      </c>
      <c r="Y354" t="str">
        <f>+Table3[[#This Row],[BS_Nivel_1]]</f>
        <v/>
      </c>
    </row>
    <row r="355" spans="1:25">
      <c r="A355">
        <f>+'Libro Diario'!F531</f>
        <v>0</v>
      </c>
      <c r="B355" s="144">
        <f>VALUE(IF(+'Libro Diario'!G531="","01/01/2025",+'Libro Diario'!G531))</f>
        <v>45658</v>
      </c>
      <c r="C355">
        <f>IF(ISNUMBER(+IF(IFERROR(VALUE(MID('Libro Diario'!C531,1,4)),0)&lt;&gt;0,'Libro Diario'!C531,0))=FALSE,'Libro Diario'!C531,0)</f>
        <v>0</v>
      </c>
      <c r="D355" s="145">
        <f>+'Libro Diario'!B531</f>
        <v>0</v>
      </c>
      <c r="E355" s="139" t="s">
        <v>445</v>
      </c>
      <c r="F355" t="str">
        <f t="shared" si="15"/>
        <v>Sin Mov.</v>
      </c>
      <c r="G355" t="str">
        <f>IF(+'Libro Diario'!H531=0,"",+'Libro Diario'!H531)</f>
        <v/>
      </c>
      <c r="H355" t="str">
        <f>IF(+'Libro Diario'!I531=0,"",+'Libro Diario'!I531)</f>
        <v/>
      </c>
      <c r="I355" t="str">
        <f>+IF(Table3[[#This Row],[Tipo Movimiento]]="Estructura Balance y PyG","Excluir","Incluir")</f>
        <v>Incluir</v>
      </c>
      <c r="J355" s="153">
        <f>+IF(Table3[[#This Row],[Sin cuenta]]="Con Mov.",(IF(Table3[[#This Row],[Movimiento]]="Debe",Table3[[#This Row],[Importe]],IF(Table3[[#This Row],[Movimiento]]="Haber",Table3[[#This Row],[Importe]]*-1,0))),0)</f>
        <v>0</v>
      </c>
      <c r="K355" s="145">
        <f t="shared" si="16"/>
        <v>0</v>
      </c>
      <c r="L355" s="145" t="str">
        <f t="shared" si="17"/>
        <v/>
      </c>
      <c r="M355" t="str">
        <f>_xlfn.XLOOKUP(Table3[[#This Row],[Cuenta]],Estructura_Balance[Nombre Cuenta ()],Estructura_Balance[Grupo],"",0)</f>
        <v/>
      </c>
      <c r="N355" t="str">
        <f>_xlfn.XLOOKUP(Table3[[#This Row],[Cuenta]],Estructura_Balance[Nombre Cuenta ()],Estructura_Balance[Nivel 1],"",0)</f>
        <v/>
      </c>
      <c r="O355" t="str">
        <f>_xlfn.XLOOKUP(Table3[[#This Row],[Cuenta]],Estructura_Balance[Nombre Cuenta ()],Estructura_Balance[Nivel 2],"",0)</f>
        <v/>
      </c>
      <c r="P355" t="str">
        <f>_xlfn.XLOOKUP(Table3[[#This Row],[Cuenta]],Estructura_Balance[Nombre Cuenta ()],Estructura_Balance[Nivel 3],"",0)</f>
        <v/>
      </c>
      <c r="Q355" t="str">
        <f>_xlfn.XLOOKUP(Table3[[#This Row],[Cuenta]],Estructura_Balance[Nombre Cuenta ()],Estructura_Balance[Nivel 4],"",0)</f>
        <v/>
      </c>
      <c r="R355" t="str">
        <f>_xlfn.XLOOKUP(Table3[[#This Row],[Cuenta]],Table8[Nombre Cuenta ()],Table8[Nivel 1],"",0)</f>
        <v/>
      </c>
      <c r="S355" t="str">
        <f>_xlfn.XLOOKUP(Table3[[#This Row],[Cuenta]],Table8[Nombre Cuenta ()],Table8[Nivel 2],"",0)</f>
        <v/>
      </c>
      <c r="T355" t="str">
        <f>_xlfn.XLOOKUP(Table3[[#This Row],[Cuenta]],Table8[Nombre Cuenta ()],Table8[Nivel 3],"",0)</f>
        <v/>
      </c>
      <c r="U355">
        <v>722</v>
      </c>
      <c r="V355" t="str">
        <f>_xlfn.XLOOKUP(Table3[[#This Row],[Cuenta]],Estructura_Balance[Nombre Cuenta ()],Estructura_Balance[Niveles:2],"",0)</f>
        <v/>
      </c>
      <c r="W355" t="str">
        <f>_xlfn.XLOOKUP(Table3[[#This Row],[Cuenta]],Estructura_Balance[Nombre Cuenta ()],Estructura_Balance[Niveles:3],"",0)</f>
        <v/>
      </c>
      <c r="X355" t="str">
        <f>_xlfn.XLOOKUP(Table3[[#This Row],[Cuenta]],Estructura_Balance[Nombre Cuenta ()],Estructura_Balance[Grupos],"Grupo 1",0)</f>
        <v>Grupo 1</v>
      </c>
      <c r="Y355" t="str">
        <f>+Table3[[#This Row],[BS_Nivel_1]]</f>
        <v/>
      </c>
    </row>
    <row r="356" spans="1:25">
      <c r="A356">
        <f>+'Libro Diario'!F532</f>
        <v>0</v>
      </c>
      <c r="B356" s="144">
        <f>VALUE(IF(+'Libro Diario'!G532="","01/01/2025",+'Libro Diario'!G532))</f>
        <v>45658</v>
      </c>
      <c r="C356">
        <f>IF(ISNUMBER(+IF(IFERROR(VALUE(MID('Libro Diario'!C532,1,4)),0)&lt;&gt;0,'Libro Diario'!C532,0))=FALSE,'Libro Diario'!C532,0)</f>
        <v>0</v>
      </c>
      <c r="D356" s="145" t="str">
        <f>+'Libro Diario'!B532</f>
        <v>DEBE</v>
      </c>
      <c r="E356" s="139" t="s">
        <v>445</v>
      </c>
      <c r="F356" t="str">
        <f t="shared" si="15"/>
        <v>Sin Mov.</v>
      </c>
      <c r="G356" t="str">
        <f>IF(+'Libro Diario'!H532=0,"",+'Libro Diario'!H532)</f>
        <v/>
      </c>
      <c r="H356" t="str">
        <f>IF(+'Libro Diario'!I532=0,"",+'Libro Diario'!I532)</f>
        <v/>
      </c>
      <c r="I356" t="str">
        <f>+IF(Table3[[#This Row],[Tipo Movimiento]]="Estructura Balance y PyG","Excluir","Incluir")</f>
        <v>Incluir</v>
      </c>
      <c r="J356" s="153">
        <f>+IF(Table3[[#This Row],[Sin cuenta]]="Con Mov.",(IF(Table3[[#This Row],[Movimiento]]="Debe",Table3[[#This Row],[Importe]],IF(Table3[[#This Row],[Movimiento]]="Haber",Table3[[#This Row],[Importe]]*-1,0))),0)</f>
        <v>0</v>
      </c>
      <c r="K356" s="145" t="str">
        <f t="shared" si="16"/>
        <v>DEBE</v>
      </c>
      <c r="L356" s="145" t="str">
        <f t="shared" si="17"/>
        <v/>
      </c>
      <c r="M356" t="str">
        <f>_xlfn.XLOOKUP(Table3[[#This Row],[Cuenta]],Estructura_Balance[Nombre Cuenta ()],Estructura_Balance[Grupo],"",0)</f>
        <v/>
      </c>
      <c r="N356" t="str">
        <f>_xlfn.XLOOKUP(Table3[[#This Row],[Cuenta]],Estructura_Balance[Nombre Cuenta ()],Estructura_Balance[Nivel 1],"",0)</f>
        <v/>
      </c>
      <c r="O356" t="str">
        <f>_xlfn.XLOOKUP(Table3[[#This Row],[Cuenta]],Estructura_Balance[Nombre Cuenta ()],Estructura_Balance[Nivel 2],"",0)</f>
        <v/>
      </c>
      <c r="P356" t="str">
        <f>_xlfn.XLOOKUP(Table3[[#This Row],[Cuenta]],Estructura_Balance[Nombre Cuenta ()],Estructura_Balance[Nivel 3],"",0)</f>
        <v/>
      </c>
      <c r="Q356" t="str">
        <f>_xlfn.XLOOKUP(Table3[[#This Row],[Cuenta]],Estructura_Balance[Nombre Cuenta ()],Estructura_Balance[Nivel 4],"",0)</f>
        <v/>
      </c>
      <c r="R356" s="154" t="str">
        <f>_xlfn.XLOOKUP(Table3[[#This Row],[Cuenta]],Table8[Nombre Cuenta ()],Table8[Nivel 1],"",0)</f>
        <v/>
      </c>
      <c r="S356" t="str">
        <f>_xlfn.XLOOKUP(Table3[[#This Row],[Cuenta]],Table8[Nombre Cuenta ()],Table8[Nivel 2],"",0)</f>
        <v/>
      </c>
      <c r="T356" t="str">
        <f>_xlfn.XLOOKUP(Table3[[#This Row],[Cuenta]],Table8[Nombre Cuenta ()],Table8[Nivel 3],"",0)</f>
        <v/>
      </c>
      <c r="U356">
        <v>723</v>
      </c>
      <c r="V356" t="str">
        <f>_xlfn.XLOOKUP(Table3[[#This Row],[Cuenta]],Estructura_Balance[Nombre Cuenta ()],Estructura_Balance[Niveles:2],"",0)</f>
        <v/>
      </c>
      <c r="W356" t="str">
        <f>_xlfn.XLOOKUP(Table3[[#This Row],[Cuenta]],Estructura_Balance[Nombre Cuenta ()],Estructura_Balance[Niveles:3],"",0)</f>
        <v/>
      </c>
      <c r="X356" t="str">
        <f>_xlfn.XLOOKUP(Table3[[#This Row],[Cuenta]],Estructura_Balance[Nombre Cuenta ()],Estructura_Balance[Grupos],"Grupo 1",0)</f>
        <v>Grupo 1</v>
      </c>
      <c r="Y356" t="str">
        <f>+Table3[[#This Row],[BS_Nivel_1]]</f>
        <v/>
      </c>
    </row>
    <row r="357" spans="1:25">
      <c r="A357">
        <f>+'Libro Diario'!F533</f>
        <v>0</v>
      </c>
      <c r="B357" s="144">
        <f>VALUE(IF(+'Libro Diario'!G533="","01/01/2025",+'Libro Diario'!G533))</f>
        <v>45658</v>
      </c>
      <c r="C357">
        <f>IF(ISNUMBER(+IF(IFERROR(VALUE(MID('Libro Diario'!C533,1,4)),0)&lt;&gt;0,'Libro Diario'!C533,0))=FALSE,'Libro Diario'!C533,0)</f>
        <v>0</v>
      </c>
      <c r="D357" s="145">
        <f>+'Libro Diario'!B533</f>
        <v>0</v>
      </c>
      <c r="E357" s="139" t="s">
        <v>445</v>
      </c>
      <c r="F357" t="str">
        <f t="shared" si="15"/>
        <v>Sin Mov.</v>
      </c>
      <c r="G357" t="str">
        <f>IF(+'Libro Diario'!H533=0,"",+'Libro Diario'!H533)</f>
        <v/>
      </c>
      <c r="H357" t="str">
        <f>IF(+'Libro Diario'!I533=0,"",+'Libro Diario'!I533)</f>
        <v/>
      </c>
      <c r="I357" t="str">
        <f>+IF(Table3[[#This Row],[Tipo Movimiento]]="Estructura Balance y PyG","Excluir","Incluir")</f>
        <v>Incluir</v>
      </c>
      <c r="J357" s="153">
        <f>+IF(Table3[[#This Row],[Sin cuenta]]="Con Mov.",(IF(Table3[[#This Row],[Movimiento]]="Debe",Table3[[#This Row],[Importe]],IF(Table3[[#This Row],[Movimiento]]="Haber",Table3[[#This Row],[Importe]]*-1,0))),0)</f>
        <v>0</v>
      </c>
      <c r="K357" s="145">
        <f t="shared" si="16"/>
        <v>0</v>
      </c>
      <c r="L357" s="145" t="str">
        <f t="shared" si="17"/>
        <v/>
      </c>
      <c r="M357" t="str">
        <f>_xlfn.XLOOKUP(Table3[[#This Row],[Cuenta]],Estructura_Balance[Nombre Cuenta ()],Estructura_Balance[Grupo],"",0)</f>
        <v/>
      </c>
      <c r="N357" t="str">
        <f>_xlfn.XLOOKUP(Table3[[#This Row],[Cuenta]],Estructura_Balance[Nombre Cuenta ()],Estructura_Balance[Nivel 1],"",0)</f>
        <v/>
      </c>
      <c r="O357" t="str">
        <f>_xlfn.XLOOKUP(Table3[[#This Row],[Cuenta]],Estructura_Balance[Nombre Cuenta ()],Estructura_Balance[Nivel 2],"",0)</f>
        <v/>
      </c>
      <c r="P357" t="str">
        <f>_xlfn.XLOOKUP(Table3[[#This Row],[Cuenta]],Estructura_Balance[Nombre Cuenta ()],Estructura_Balance[Nivel 3],"",0)</f>
        <v/>
      </c>
      <c r="Q357" t="str">
        <f>_xlfn.XLOOKUP(Table3[[#This Row],[Cuenta]],Estructura_Balance[Nombre Cuenta ()],Estructura_Balance[Nivel 4],"",0)</f>
        <v/>
      </c>
      <c r="R357" t="str">
        <f>_xlfn.XLOOKUP(Table3[[#This Row],[Cuenta]],Table8[Nombre Cuenta ()],Table8[Nivel 1],"",0)</f>
        <v/>
      </c>
      <c r="S357" t="str">
        <f>_xlfn.XLOOKUP(Table3[[#This Row],[Cuenta]],Table8[Nombre Cuenta ()],Table8[Nivel 2],"",0)</f>
        <v/>
      </c>
      <c r="T357" t="str">
        <f>_xlfn.XLOOKUP(Table3[[#This Row],[Cuenta]],Table8[Nombre Cuenta ()],Table8[Nivel 3],"",0)</f>
        <v/>
      </c>
      <c r="U357">
        <v>724</v>
      </c>
      <c r="V357" t="str">
        <f>_xlfn.XLOOKUP(Table3[[#This Row],[Cuenta]],Estructura_Balance[Nombre Cuenta ()],Estructura_Balance[Niveles:2],"",0)</f>
        <v/>
      </c>
      <c r="W357" t="str">
        <f>_xlfn.XLOOKUP(Table3[[#This Row],[Cuenta]],Estructura_Balance[Nombre Cuenta ()],Estructura_Balance[Niveles:3],"",0)</f>
        <v/>
      </c>
      <c r="X357" t="str">
        <f>_xlfn.XLOOKUP(Table3[[#This Row],[Cuenta]],Estructura_Balance[Nombre Cuenta ()],Estructura_Balance[Grupos],"Grupo 1",0)</f>
        <v>Grupo 1</v>
      </c>
      <c r="Y357" t="str">
        <f>+Table3[[#This Row],[BS_Nivel_1]]</f>
        <v/>
      </c>
    </row>
    <row r="358" spans="1:25">
      <c r="A358">
        <f>+'Libro Diario'!F546</f>
        <v>0</v>
      </c>
      <c r="B358" s="144">
        <f>VALUE(IF(+'Libro Diario'!G546="","01/01/2025",+'Libro Diario'!G546))</f>
        <v>45658</v>
      </c>
      <c r="C358">
        <f>IF(ISNUMBER(+IF(IFERROR(VALUE(MID('Libro Diario'!C546,1,4)),0)&lt;&gt;0,'Libro Diario'!C546,0))=FALSE,'Libro Diario'!C546,0)</f>
        <v>0</v>
      </c>
      <c r="D358" s="145" t="str">
        <f>+'Libro Diario'!B546</f>
        <v>Determinación de Resultado Contable</v>
      </c>
      <c r="E358" s="139" t="s">
        <v>445</v>
      </c>
      <c r="F358" t="str">
        <f t="shared" si="15"/>
        <v>Sin Mov.</v>
      </c>
      <c r="G358" t="str">
        <f>IF(+'Libro Diario'!H546=0,"",+'Libro Diario'!H546)</f>
        <v/>
      </c>
      <c r="H358" t="str">
        <f>IF(+'Libro Diario'!I546=0,"",+'Libro Diario'!I546)</f>
        <v/>
      </c>
      <c r="I358" t="str">
        <f>+IF(Table3[[#This Row],[Tipo Movimiento]]="Estructura Balance y PyG","Excluir","Incluir")</f>
        <v>Incluir</v>
      </c>
      <c r="J358" s="153">
        <f>+IF(Table3[[#This Row],[Sin cuenta]]="Con Mov.",(IF(Table3[[#This Row],[Movimiento]]="Debe",Table3[[#This Row],[Importe]],IF(Table3[[#This Row],[Movimiento]]="Haber",Table3[[#This Row],[Importe]]*-1,0))),0)</f>
        <v>0</v>
      </c>
      <c r="K358" s="145" t="str">
        <f t="shared" si="16"/>
        <v>Determinación de Resultado Contable</v>
      </c>
      <c r="L358" s="145" t="str">
        <f t="shared" si="17"/>
        <v/>
      </c>
      <c r="M358" t="str">
        <f>_xlfn.XLOOKUP(Table3[[#This Row],[Cuenta]],Estructura_Balance[Nombre Cuenta ()],Estructura_Balance[Grupo],"",0)</f>
        <v/>
      </c>
      <c r="N358" t="str">
        <f>_xlfn.XLOOKUP(Table3[[#This Row],[Cuenta]],Estructura_Balance[Nombre Cuenta ()],Estructura_Balance[Nivel 1],"",0)</f>
        <v/>
      </c>
      <c r="O358" t="str">
        <f>_xlfn.XLOOKUP(Table3[[#This Row],[Cuenta]],Estructura_Balance[Nombre Cuenta ()],Estructura_Balance[Nivel 2],"",0)</f>
        <v/>
      </c>
      <c r="P358" t="str">
        <f>_xlfn.XLOOKUP(Table3[[#This Row],[Cuenta]],Estructura_Balance[Nombre Cuenta ()],Estructura_Balance[Nivel 3],"",0)</f>
        <v/>
      </c>
      <c r="Q358" t="str">
        <f>_xlfn.XLOOKUP(Table3[[#This Row],[Cuenta]],Estructura_Balance[Nombre Cuenta ()],Estructura_Balance[Nivel 4],"",0)</f>
        <v/>
      </c>
      <c r="R358" s="154" t="str">
        <f>_xlfn.XLOOKUP(Table3[[#This Row],[Cuenta]],Table8[Nombre Cuenta ()],Table8[Nivel 1],"",0)</f>
        <v/>
      </c>
      <c r="S358" t="str">
        <f>_xlfn.XLOOKUP(Table3[[#This Row],[Cuenta]],Table8[Nombre Cuenta ()],Table8[Nivel 2],"",0)</f>
        <v/>
      </c>
      <c r="T358" t="str">
        <f>_xlfn.XLOOKUP(Table3[[#This Row],[Cuenta]],Table8[Nombre Cuenta ()],Table8[Nivel 3],"",0)</f>
        <v/>
      </c>
      <c r="U358">
        <v>737</v>
      </c>
      <c r="V358" t="str">
        <f>_xlfn.XLOOKUP(Table3[[#This Row],[Cuenta]],Estructura_Balance[Nombre Cuenta ()],Estructura_Balance[Niveles:2],"",0)</f>
        <v/>
      </c>
      <c r="W358" t="str">
        <f>_xlfn.XLOOKUP(Table3[[#This Row],[Cuenta]],Estructura_Balance[Nombre Cuenta ()],Estructura_Balance[Niveles:3],"",0)</f>
        <v/>
      </c>
      <c r="X358" t="str">
        <f>_xlfn.XLOOKUP(Table3[[#This Row],[Cuenta]],Estructura_Balance[Nombre Cuenta ()],Estructura_Balance[Grupos],"Grupo 1",0)</f>
        <v>Grupo 1</v>
      </c>
      <c r="Y358" t="str">
        <f>+Table3[[#This Row],[BS_Nivel_1]]</f>
        <v/>
      </c>
    </row>
    <row r="359" spans="1:25">
      <c r="A359">
        <f>+'Libro Diario'!F547</f>
        <v>0</v>
      </c>
      <c r="B359" s="144">
        <f>VALUE(IF(+'Libro Diario'!G547="","01/01/2025",+'Libro Diario'!G547))</f>
        <v>45658</v>
      </c>
      <c r="C359">
        <f>IF(ISNUMBER(+IF(IFERROR(VALUE(MID('Libro Diario'!C547,1,4)),0)&lt;&gt;0,'Libro Diario'!C547,0))=FALSE,'Libro Diario'!C547,0)</f>
        <v>0</v>
      </c>
      <c r="D359" s="145" t="str">
        <f>+'Libro Diario'!B547</f>
        <v>Asiento Cuadrado</v>
      </c>
      <c r="E359" s="139" t="s">
        <v>445</v>
      </c>
      <c r="F359" t="str">
        <f t="shared" si="15"/>
        <v>Sin Mov.</v>
      </c>
      <c r="G359" t="str">
        <f>IF(+'Libro Diario'!H547=0,"",+'Libro Diario'!H547)</f>
        <v/>
      </c>
      <c r="H359" t="str">
        <f>IF(+'Libro Diario'!I547=0,"",+'Libro Diario'!I547)</f>
        <v/>
      </c>
      <c r="I359" t="str">
        <f>+IF(Table3[[#This Row],[Tipo Movimiento]]="Estructura Balance y PyG","Excluir","Incluir")</f>
        <v>Incluir</v>
      </c>
      <c r="J359" s="153">
        <f>+IF(Table3[[#This Row],[Sin cuenta]]="Con Mov.",(IF(Table3[[#This Row],[Movimiento]]="Debe",Table3[[#This Row],[Importe]],IF(Table3[[#This Row],[Movimiento]]="Haber",Table3[[#This Row],[Importe]]*-1,0))),0)</f>
        <v>0</v>
      </c>
      <c r="K359" s="145" t="str">
        <f t="shared" si="16"/>
        <v>Asiento Cuadrado</v>
      </c>
      <c r="L359" s="145" t="str">
        <f t="shared" si="17"/>
        <v/>
      </c>
      <c r="M359" t="str">
        <f>_xlfn.XLOOKUP(Table3[[#This Row],[Cuenta]],Estructura_Balance[Nombre Cuenta ()],Estructura_Balance[Grupo],"",0)</f>
        <v/>
      </c>
      <c r="N359" t="str">
        <f>_xlfn.XLOOKUP(Table3[[#This Row],[Cuenta]],Estructura_Balance[Nombre Cuenta ()],Estructura_Balance[Nivel 1],"",0)</f>
        <v/>
      </c>
      <c r="O359" t="str">
        <f>_xlfn.XLOOKUP(Table3[[#This Row],[Cuenta]],Estructura_Balance[Nombre Cuenta ()],Estructura_Balance[Nivel 2],"",0)</f>
        <v/>
      </c>
      <c r="P359" t="str">
        <f>_xlfn.XLOOKUP(Table3[[#This Row],[Cuenta]],Estructura_Balance[Nombre Cuenta ()],Estructura_Balance[Nivel 3],"",0)</f>
        <v/>
      </c>
      <c r="Q359" t="str">
        <f>_xlfn.XLOOKUP(Table3[[#This Row],[Cuenta]],Estructura_Balance[Nombre Cuenta ()],Estructura_Balance[Nivel 4],"",0)</f>
        <v/>
      </c>
      <c r="R359" s="154" t="str">
        <f>_xlfn.XLOOKUP(Table3[[#This Row],[Cuenta]],Table8[Nombre Cuenta ()],Table8[Nivel 1],"",0)</f>
        <v/>
      </c>
      <c r="S359" t="str">
        <f>_xlfn.XLOOKUP(Table3[[#This Row],[Cuenta]],Table8[Nombre Cuenta ()],Table8[Nivel 2],"",0)</f>
        <v/>
      </c>
      <c r="T359" t="str">
        <f>_xlfn.XLOOKUP(Table3[[#This Row],[Cuenta]],Table8[Nombre Cuenta ()],Table8[Nivel 3],"",0)</f>
        <v/>
      </c>
      <c r="U359">
        <v>738</v>
      </c>
      <c r="V359" t="str">
        <f>_xlfn.XLOOKUP(Table3[[#This Row],[Cuenta]],Estructura_Balance[Nombre Cuenta ()],Estructura_Balance[Niveles:2],"",0)</f>
        <v/>
      </c>
      <c r="W359" t="str">
        <f>_xlfn.XLOOKUP(Table3[[#This Row],[Cuenta]],Estructura_Balance[Nombre Cuenta ()],Estructura_Balance[Niveles:3],"",0)</f>
        <v/>
      </c>
      <c r="X359" t="str">
        <f>_xlfn.XLOOKUP(Table3[[#This Row],[Cuenta]],Estructura_Balance[Nombre Cuenta ()],Estructura_Balance[Grupos],"Grupo 1",0)</f>
        <v>Grupo 1</v>
      </c>
      <c r="Y359" t="str">
        <f>+Table3[[#This Row],[BS_Nivel_1]]</f>
        <v/>
      </c>
    </row>
    <row r="360" spans="1:25">
      <c r="A360">
        <f>+'Libro Diario'!F548</f>
        <v>0</v>
      </c>
      <c r="B360" s="144">
        <f>VALUE(IF(+'Libro Diario'!G548="","01/01/2025",+'Libro Diario'!G548))</f>
        <v>45658</v>
      </c>
      <c r="C360">
        <f>IF(ISNUMBER(+IF(IFERROR(VALUE(MID('Libro Diario'!C548,1,4)),0)&lt;&gt;0,'Libro Diario'!C548,0))=FALSE,'Libro Diario'!C548,0)</f>
        <v>0</v>
      </c>
      <c r="D360" s="145">
        <f>+'Libro Diario'!B548</f>
        <v>0</v>
      </c>
      <c r="E360" s="139" t="s">
        <v>445</v>
      </c>
      <c r="F360" t="str">
        <f t="shared" si="15"/>
        <v>Sin Mov.</v>
      </c>
      <c r="G360" t="str">
        <f>IF(+'Libro Diario'!H548=0,"",+'Libro Diario'!H548)</f>
        <v/>
      </c>
      <c r="H360" t="str">
        <f>IF(+'Libro Diario'!I548=0,"",+'Libro Diario'!I548)</f>
        <v/>
      </c>
      <c r="I360" t="str">
        <f>+IF(Table3[[#This Row],[Tipo Movimiento]]="Estructura Balance y PyG","Excluir","Incluir")</f>
        <v>Incluir</v>
      </c>
      <c r="J360" s="153">
        <f>+IF(Table3[[#This Row],[Sin cuenta]]="Con Mov.",(IF(Table3[[#This Row],[Movimiento]]="Debe",Table3[[#This Row],[Importe]],IF(Table3[[#This Row],[Movimiento]]="Haber",Table3[[#This Row],[Importe]]*-1,0))),0)</f>
        <v>0</v>
      </c>
      <c r="K360" s="145">
        <f t="shared" si="16"/>
        <v>0</v>
      </c>
      <c r="L360" s="145" t="str">
        <f t="shared" si="17"/>
        <v/>
      </c>
      <c r="M360" t="str">
        <f>_xlfn.XLOOKUP(Table3[[#This Row],[Cuenta]],Estructura_Balance[Nombre Cuenta ()],Estructura_Balance[Grupo],"",0)</f>
        <v/>
      </c>
      <c r="N360" t="str">
        <f>_xlfn.XLOOKUP(Table3[[#This Row],[Cuenta]],Estructura_Balance[Nombre Cuenta ()],Estructura_Balance[Nivel 1],"",0)</f>
        <v/>
      </c>
      <c r="O360" t="str">
        <f>_xlfn.XLOOKUP(Table3[[#This Row],[Cuenta]],Estructura_Balance[Nombre Cuenta ()],Estructura_Balance[Nivel 2],"",0)</f>
        <v/>
      </c>
      <c r="P360" t="str">
        <f>_xlfn.XLOOKUP(Table3[[#This Row],[Cuenta]],Estructura_Balance[Nombre Cuenta ()],Estructura_Balance[Nivel 3],"",0)</f>
        <v/>
      </c>
      <c r="Q360" t="str">
        <f>_xlfn.XLOOKUP(Table3[[#This Row],[Cuenta]],Estructura_Balance[Nombre Cuenta ()],Estructura_Balance[Nivel 4],"",0)</f>
        <v/>
      </c>
      <c r="R360" s="154" t="str">
        <f>_xlfn.XLOOKUP(Table3[[#This Row],[Cuenta]],Table8[Nombre Cuenta ()],Table8[Nivel 1],"",0)</f>
        <v/>
      </c>
      <c r="S360" t="str">
        <f>_xlfn.XLOOKUP(Table3[[#This Row],[Cuenta]],Table8[Nombre Cuenta ()],Table8[Nivel 2],"",0)</f>
        <v/>
      </c>
      <c r="T360" t="str">
        <f>_xlfn.XLOOKUP(Table3[[#This Row],[Cuenta]],Table8[Nombre Cuenta ()],Table8[Nivel 3],"",0)</f>
        <v/>
      </c>
      <c r="U360">
        <v>739</v>
      </c>
      <c r="V360" t="str">
        <f>_xlfn.XLOOKUP(Table3[[#This Row],[Cuenta]],Estructura_Balance[Nombre Cuenta ()],Estructura_Balance[Niveles:2],"",0)</f>
        <v/>
      </c>
      <c r="W360" t="str">
        <f>_xlfn.XLOOKUP(Table3[[#This Row],[Cuenta]],Estructura_Balance[Nombre Cuenta ()],Estructura_Balance[Niveles:3],"",0)</f>
        <v/>
      </c>
      <c r="X360" t="str">
        <f>_xlfn.XLOOKUP(Table3[[#This Row],[Cuenta]],Estructura_Balance[Nombre Cuenta ()],Estructura_Balance[Grupos],"Grupo 1",0)</f>
        <v>Grupo 1</v>
      </c>
      <c r="Y360" t="str">
        <f>+Table3[[#This Row],[BS_Nivel_1]]</f>
        <v/>
      </c>
    </row>
    <row r="361" spans="1:25">
      <c r="A361">
        <f>+'Libro Diario'!F549</f>
        <v>0</v>
      </c>
      <c r="B361" s="144">
        <f>VALUE(IF(+'Libro Diario'!G549="","01/01/2025",+'Libro Diario'!G549))</f>
        <v>45658</v>
      </c>
      <c r="C361">
        <f>IF(ISNUMBER(+IF(IFERROR(VALUE(MID('Libro Diario'!C549,1,4)),0)&lt;&gt;0,'Libro Diario'!C549,0))=FALSE,'Libro Diario'!C549,0)</f>
        <v>0</v>
      </c>
      <c r="D361" s="145" t="str">
        <f>+'Libro Diario'!B549</f>
        <v>DEBE</v>
      </c>
      <c r="E361" s="139" t="s">
        <v>445</v>
      </c>
      <c r="F361" t="str">
        <f t="shared" si="15"/>
        <v>Sin Mov.</v>
      </c>
      <c r="G361" t="str">
        <f>IF(+'Libro Diario'!H549=0,"",+'Libro Diario'!H549)</f>
        <v/>
      </c>
      <c r="H361" t="str">
        <f>IF(+'Libro Diario'!I549=0,"",+'Libro Diario'!I549)</f>
        <v/>
      </c>
      <c r="I361" t="str">
        <f>+IF(Table3[[#This Row],[Tipo Movimiento]]="Estructura Balance y PyG","Excluir","Incluir")</f>
        <v>Incluir</v>
      </c>
      <c r="J361" s="153">
        <f>+IF(Table3[[#This Row],[Sin cuenta]]="Con Mov.",(IF(Table3[[#This Row],[Movimiento]]="Debe",Table3[[#This Row],[Importe]],IF(Table3[[#This Row],[Movimiento]]="Haber",Table3[[#This Row],[Importe]]*-1,0))),0)</f>
        <v>0</v>
      </c>
      <c r="K361" s="145" t="str">
        <f t="shared" si="16"/>
        <v>DEBE</v>
      </c>
      <c r="L361" s="145" t="str">
        <f t="shared" si="17"/>
        <v/>
      </c>
      <c r="M361" t="str">
        <f>_xlfn.XLOOKUP(Table3[[#This Row],[Cuenta]],Estructura_Balance[Nombre Cuenta ()],Estructura_Balance[Grupo],"",0)</f>
        <v/>
      </c>
      <c r="N361" t="str">
        <f>_xlfn.XLOOKUP(Table3[[#This Row],[Cuenta]],Estructura_Balance[Nombre Cuenta ()],Estructura_Balance[Nivel 1],"",0)</f>
        <v/>
      </c>
      <c r="O361" t="str">
        <f>_xlfn.XLOOKUP(Table3[[#This Row],[Cuenta]],Estructura_Balance[Nombre Cuenta ()],Estructura_Balance[Nivel 2],"",0)</f>
        <v/>
      </c>
      <c r="P361" t="str">
        <f>_xlfn.XLOOKUP(Table3[[#This Row],[Cuenta]],Estructura_Balance[Nombre Cuenta ()],Estructura_Balance[Nivel 3],"",0)</f>
        <v/>
      </c>
      <c r="Q361" t="str">
        <f>_xlfn.XLOOKUP(Table3[[#This Row],[Cuenta]],Estructura_Balance[Nombre Cuenta ()],Estructura_Balance[Nivel 4],"",0)</f>
        <v/>
      </c>
      <c r="R361" t="str">
        <f>_xlfn.XLOOKUP(Table3[[#This Row],[Cuenta]],Table8[Nombre Cuenta ()],Table8[Nivel 1],"",0)</f>
        <v/>
      </c>
      <c r="S361" t="str">
        <f>_xlfn.XLOOKUP(Table3[[#This Row],[Cuenta]],Table8[Nombre Cuenta ()],Table8[Nivel 2],"",0)</f>
        <v/>
      </c>
      <c r="T361" t="str">
        <f>_xlfn.XLOOKUP(Table3[[#This Row],[Cuenta]],Table8[Nombre Cuenta ()],Table8[Nivel 3],"",0)</f>
        <v/>
      </c>
      <c r="U361">
        <v>740</v>
      </c>
      <c r="V361" t="str">
        <f>_xlfn.XLOOKUP(Table3[[#This Row],[Cuenta]],Estructura_Balance[Nombre Cuenta ()],Estructura_Balance[Niveles:2],"",0)</f>
        <v/>
      </c>
      <c r="W361" t="str">
        <f>_xlfn.XLOOKUP(Table3[[#This Row],[Cuenta]],Estructura_Balance[Nombre Cuenta ()],Estructura_Balance[Niveles:3],"",0)</f>
        <v/>
      </c>
      <c r="X361" t="str">
        <f>_xlfn.XLOOKUP(Table3[[#This Row],[Cuenta]],Estructura_Balance[Nombre Cuenta ()],Estructura_Balance[Grupos],"Grupo 1",0)</f>
        <v>Grupo 1</v>
      </c>
      <c r="Y361" t="str">
        <f>+Table3[[#This Row],[BS_Nivel_1]]</f>
        <v/>
      </c>
    </row>
    <row r="362" spans="1:25">
      <c r="A362">
        <f>+'Libro Diario'!F550</f>
        <v>0</v>
      </c>
      <c r="B362" s="144">
        <f>VALUE(IF(+'Libro Diario'!G550="","01/01/2025",+'Libro Diario'!G550))</f>
        <v>45658</v>
      </c>
      <c r="C362">
        <f>IF(ISNUMBER(+IF(IFERROR(VALUE(MID('Libro Diario'!C550,1,4)),0)&lt;&gt;0,'Libro Diario'!C550,0))=FALSE,'Libro Diario'!C550,0)</f>
        <v>0</v>
      </c>
      <c r="D362" s="145">
        <f>+'Libro Diario'!B550</f>
        <v>0</v>
      </c>
      <c r="E362" s="139" t="s">
        <v>445</v>
      </c>
      <c r="F362" t="str">
        <f t="shared" si="15"/>
        <v>Sin Mov.</v>
      </c>
      <c r="G362" t="str">
        <f>IF(+'Libro Diario'!H550=0,"",+'Libro Diario'!H550)</f>
        <v/>
      </c>
      <c r="H362" t="str">
        <f>IF(+'Libro Diario'!I550=0,"",+'Libro Diario'!I550)</f>
        <v/>
      </c>
      <c r="I362" t="str">
        <f>+IF(Table3[[#This Row],[Tipo Movimiento]]="Estructura Balance y PyG","Excluir","Incluir")</f>
        <v>Incluir</v>
      </c>
      <c r="J362" s="153">
        <f>+IF(Table3[[#This Row],[Sin cuenta]]="Con Mov.",(IF(Table3[[#This Row],[Movimiento]]="Debe",Table3[[#This Row],[Importe]],IF(Table3[[#This Row],[Movimiento]]="Haber",Table3[[#This Row],[Importe]]*-1,0))),0)</f>
        <v>0</v>
      </c>
      <c r="K362" s="145">
        <f t="shared" si="16"/>
        <v>0</v>
      </c>
      <c r="L362" s="145" t="str">
        <f t="shared" si="17"/>
        <v/>
      </c>
      <c r="M362" t="str">
        <f>_xlfn.XLOOKUP(Table3[[#This Row],[Cuenta]],Estructura_Balance[Nombre Cuenta ()],Estructura_Balance[Grupo],"",0)</f>
        <v/>
      </c>
      <c r="N362" t="str">
        <f>_xlfn.XLOOKUP(Table3[[#This Row],[Cuenta]],Estructura_Balance[Nombre Cuenta ()],Estructura_Balance[Nivel 1],"",0)</f>
        <v/>
      </c>
      <c r="O362" t="str">
        <f>_xlfn.XLOOKUP(Table3[[#This Row],[Cuenta]],Estructura_Balance[Nombre Cuenta ()],Estructura_Balance[Nivel 2],"",0)</f>
        <v/>
      </c>
      <c r="P362" t="str">
        <f>_xlfn.XLOOKUP(Table3[[#This Row],[Cuenta]],Estructura_Balance[Nombre Cuenta ()],Estructura_Balance[Nivel 3],"",0)</f>
        <v/>
      </c>
      <c r="Q362" t="str">
        <f>_xlfn.XLOOKUP(Table3[[#This Row],[Cuenta]],Estructura_Balance[Nombre Cuenta ()],Estructura_Balance[Nivel 4],"",0)</f>
        <v/>
      </c>
      <c r="R362" s="154" t="str">
        <f>_xlfn.XLOOKUP(Table3[[#This Row],[Cuenta]],Table8[Nombre Cuenta ()],Table8[Nivel 1],"",0)</f>
        <v/>
      </c>
      <c r="S362" t="str">
        <f>_xlfn.XLOOKUP(Table3[[#This Row],[Cuenta]],Table8[Nombre Cuenta ()],Table8[Nivel 2],"",0)</f>
        <v/>
      </c>
      <c r="T362" t="str">
        <f>_xlfn.XLOOKUP(Table3[[#This Row],[Cuenta]],Table8[Nombre Cuenta ()],Table8[Nivel 3],"",0)</f>
        <v/>
      </c>
      <c r="U362">
        <v>741</v>
      </c>
      <c r="V362" t="str">
        <f>_xlfn.XLOOKUP(Table3[[#This Row],[Cuenta]],Estructura_Balance[Nombre Cuenta ()],Estructura_Balance[Niveles:2],"",0)</f>
        <v/>
      </c>
      <c r="W362" t="str">
        <f>_xlfn.XLOOKUP(Table3[[#This Row],[Cuenta]],Estructura_Balance[Nombre Cuenta ()],Estructura_Balance[Niveles:3],"",0)</f>
        <v/>
      </c>
      <c r="X362" t="str">
        <f>_xlfn.XLOOKUP(Table3[[#This Row],[Cuenta]],Estructura_Balance[Nombre Cuenta ()],Estructura_Balance[Grupos],"Grupo 1",0)</f>
        <v>Grupo 1</v>
      </c>
      <c r="Y362" t="str">
        <f>+Table3[[#This Row],[BS_Nivel_1]]</f>
        <v/>
      </c>
    </row>
    <row r="363" spans="1:25">
      <c r="A363">
        <f>+'Libro Diario'!F553</f>
        <v>0</v>
      </c>
      <c r="B363" s="144">
        <f>VALUE(IF(+'Libro Diario'!G553="","01/01/2025",+'Libro Diario'!G553))</f>
        <v>45658</v>
      </c>
      <c r="C363">
        <f>IF(ISNUMBER(+IF(IFERROR(VALUE(MID('Libro Diario'!C553,1,4)),0)&lt;&gt;0,'Libro Diario'!C553,0))=FALSE,'Libro Diario'!C553,0)</f>
        <v>0</v>
      </c>
      <c r="D363" s="145" t="str">
        <f>+'Libro Diario'!B553</f>
        <v>Impuesto de Sociedades</v>
      </c>
      <c r="E363" s="139" t="s">
        <v>445</v>
      </c>
      <c r="F363" t="str">
        <f t="shared" si="15"/>
        <v>Sin Mov.</v>
      </c>
      <c r="G363" t="str">
        <f>IF(+'Libro Diario'!H553=0,"",+'Libro Diario'!H553)</f>
        <v/>
      </c>
      <c r="H363" t="str">
        <f>IF(+'Libro Diario'!I553=0,"",+'Libro Diario'!I553)</f>
        <v/>
      </c>
      <c r="I363" t="str">
        <f>+IF(Table3[[#This Row],[Tipo Movimiento]]="Estructura Balance y PyG","Excluir","Incluir")</f>
        <v>Incluir</v>
      </c>
      <c r="J363" s="153">
        <f>+IF(Table3[[#This Row],[Sin cuenta]]="Con Mov.",(IF(Table3[[#This Row],[Movimiento]]="Debe",Table3[[#This Row],[Importe]],IF(Table3[[#This Row],[Movimiento]]="Haber",Table3[[#This Row],[Importe]]*-1,0))),0)</f>
        <v>0</v>
      </c>
      <c r="K363" s="145" t="str">
        <f t="shared" si="16"/>
        <v>Impuesto de Sociedades</v>
      </c>
      <c r="L363" s="145" t="str">
        <f t="shared" si="17"/>
        <v/>
      </c>
      <c r="M363" t="str">
        <f>_xlfn.XLOOKUP(Table3[[#This Row],[Cuenta]],Estructura_Balance[Nombre Cuenta ()],Estructura_Balance[Grupo],"",0)</f>
        <v/>
      </c>
      <c r="N363" t="str">
        <f>_xlfn.XLOOKUP(Table3[[#This Row],[Cuenta]],Estructura_Balance[Nombre Cuenta ()],Estructura_Balance[Nivel 1],"",0)</f>
        <v/>
      </c>
      <c r="O363" t="str">
        <f>_xlfn.XLOOKUP(Table3[[#This Row],[Cuenta]],Estructura_Balance[Nombre Cuenta ()],Estructura_Balance[Nivel 2],"",0)</f>
        <v/>
      </c>
      <c r="P363" t="str">
        <f>_xlfn.XLOOKUP(Table3[[#This Row],[Cuenta]],Estructura_Balance[Nombre Cuenta ()],Estructura_Balance[Nivel 3],"",0)</f>
        <v/>
      </c>
      <c r="Q363" t="str">
        <f>_xlfn.XLOOKUP(Table3[[#This Row],[Cuenta]],Estructura_Balance[Nombre Cuenta ()],Estructura_Balance[Nivel 4],"",0)</f>
        <v/>
      </c>
      <c r="R363" t="str">
        <f>_xlfn.XLOOKUP(Table3[[#This Row],[Cuenta]],Table8[Nombre Cuenta ()],Table8[Nivel 1],"",0)</f>
        <v/>
      </c>
      <c r="S363" t="str">
        <f>_xlfn.XLOOKUP(Table3[[#This Row],[Cuenta]],Table8[Nombre Cuenta ()],Table8[Nivel 2],"",0)</f>
        <v/>
      </c>
      <c r="T363" t="str">
        <f>_xlfn.XLOOKUP(Table3[[#This Row],[Cuenta]],Table8[Nombre Cuenta ()],Table8[Nivel 3],"",0)</f>
        <v/>
      </c>
      <c r="U363">
        <v>744</v>
      </c>
      <c r="V363" t="str">
        <f>_xlfn.XLOOKUP(Table3[[#This Row],[Cuenta]],Estructura_Balance[Nombre Cuenta ()],Estructura_Balance[Niveles:2],"",0)</f>
        <v/>
      </c>
      <c r="W363" t="str">
        <f>_xlfn.XLOOKUP(Table3[[#This Row],[Cuenta]],Estructura_Balance[Nombre Cuenta ()],Estructura_Balance[Niveles:3],"",0)</f>
        <v/>
      </c>
      <c r="X363" t="str">
        <f>_xlfn.XLOOKUP(Table3[[#This Row],[Cuenta]],Estructura_Balance[Nombre Cuenta ()],Estructura_Balance[Grupos],"Grupo 1",0)</f>
        <v>Grupo 1</v>
      </c>
      <c r="Y363" t="str">
        <f>+Table3[[#This Row],[BS_Nivel_1]]</f>
        <v/>
      </c>
    </row>
    <row r="364" spans="1:25">
      <c r="A364">
        <f>+'Libro Diario'!F554</f>
        <v>0</v>
      </c>
      <c r="B364" s="144">
        <f>VALUE(IF(+'Libro Diario'!G554="","01/01/2025",+'Libro Diario'!G554))</f>
        <v>45658</v>
      </c>
      <c r="C364">
        <f>IF(ISNUMBER(+IF(IFERROR(VALUE(MID('Libro Diario'!C554,1,4)),0)&lt;&gt;0,'Libro Diario'!C554,0))=FALSE,'Libro Diario'!C554,0)</f>
        <v>0</v>
      </c>
      <c r="D364" s="145" t="str">
        <f>+'Libro Diario'!B554</f>
        <v>Asiento Cuadrado</v>
      </c>
      <c r="E364" s="139" t="s">
        <v>445</v>
      </c>
      <c r="F364" t="str">
        <f t="shared" si="15"/>
        <v>Sin Mov.</v>
      </c>
      <c r="G364" t="str">
        <f>IF(+'Libro Diario'!H554=0,"",+'Libro Diario'!H554)</f>
        <v/>
      </c>
      <c r="H364" t="str">
        <f>IF(+'Libro Diario'!I554=0,"",+'Libro Diario'!I554)</f>
        <v/>
      </c>
      <c r="I364" t="str">
        <f>+IF(Table3[[#This Row],[Tipo Movimiento]]="Estructura Balance y PyG","Excluir","Incluir")</f>
        <v>Incluir</v>
      </c>
      <c r="J364" s="153">
        <f>+IF(Table3[[#This Row],[Sin cuenta]]="Con Mov.",(IF(Table3[[#This Row],[Movimiento]]="Debe",Table3[[#This Row],[Importe]],IF(Table3[[#This Row],[Movimiento]]="Haber",Table3[[#This Row],[Importe]]*-1,0))),0)</f>
        <v>0</v>
      </c>
      <c r="K364" s="145" t="str">
        <f t="shared" si="16"/>
        <v>Asiento Cuadrado</v>
      </c>
      <c r="L364" s="145" t="str">
        <f t="shared" si="17"/>
        <v/>
      </c>
      <c r="M364" t="str">
        <f>_xlfn.XLOOKUP(Table3[[#This Row],[Cuenta]],Estructura_Balance[Nombre Cuenta ()],Estructura_Balance[Grupo],"",0)</f>
        <v/>
      </c>
      <c r="N364" t="str">
        <f>_xlfn.XLOOKUP(Table3[[#This Row],[Cuenta]],Estructura_Balance[Nombre Cuenta ()],Estructura_Balance[Nivel 1],"",0)</f>
        <v/>
      </c>
      <c r="O364" t="str">
        <f>_xlfn.XLOOKUP(Table3[[#This Row],[Cuenta]],Estructura_Balance[Nombre Cuenta ()],Estructura_Balance[Nivel 2],"",0)</f>
        <v/>
      </c>
      <c r="P364" t="str">
        <f>_xlfn.XLOOKUP(Table3[[#This Row],[Cuenta]],Estructura_Balance[Nombre Cuenta ()],Estructura_Balance[Nivel 3],"",0)</f>
        <v/>
      </c>
      <c r="Q364" t="str">
        <f>_xlfn.XLOOKUP(Table3[[#This Row],[Cuenta]],Estructura_Balance[Nombre Cuenta ()],Estructura_Balance[Nivel 4],"",0)</f>
        <v/>
      </c>
      <c r="R364" s="154" t="str">
        <f>_xlfn.XLOOKUP(Table3[[#This Row],[Cuenta]],Table8[Nombre Cuenta ()],Table8[Nivel 1],"",0)</f>
        <v/>
      </c>
      <c r="S364" t="str">
        <f>_xlfn.XLOOKUP(Table3[[#This Row],[Cuenta]],Table8[Nombre Cuenta ()],Table8[Nivel 2],"",0)</f>
        <v/>
      </c>
      <c r="T364" t="str">
        <f>_xlfn.XLOOKUP(Table3[[#This Row],[Cuenta]],Table8[Nombre Cuenta ()],Table8[Nivel 3],"",0)</f>
        <v/>
      </c>
      <c r="U364">
        <v>745</v>
      </c>
      <c r="V364" t="str">
        <f>_xlfn.XLOOKUP(Table3[[#This Row],[Cuenta]],Estructura_Balance[Nombre Cuenta ()],Estructura_Balance[Niveles:2],"",0)</f>
        <v/>
      </c>
      <c r="W364" t="str">
        <f>_xlfn.XLOOKUP(Table3[[#This Row],[Cuenta]],Estructura_Balance[Nombre Cuenta ()],Estructura_Balance[Niveles:3],"",0)</f>
        <v/>
      </c>
      <c r="X364" t="str">
        <f>_xlfn.XLOOKUP(Table3[[#This Row],[Cuenta]],Estructura_Balance[Nombre Cuenta ()],Estructura_Balance[Grupos],"Grupo 1",0)</f>
        <v>Grupo 1</v>
      </c>
      <c r="Y364" t="str">
        <f>+Table3[[#This Row],[BS_Nivel_1]]</f>
        <v/>
      </c>
    </row>
    <row r="365" spans="1:25">
      <c r="A365">
        <f>+'Libro Diario'!F555</f>
        <v>0</v>
      </c>
      <c r="B365" s="144">
        <f>VALUE(IF(+'Libro Diario'!G555="","01/01/2025",+'Libro Diario'!G555))</f>
        <v>45658</v>
      </c>
      <c r="C365">
        <f>IF(ISNUMBER(+IF(IFERROR(VALUE(MID('Libro Diario'!C555,1,4)),0)&lt;&gt;0,'Libro Diario'!C555,0))=FALSE,'Libro Diario'!C555,0)</f>
        <v>0</v>
      </c>
      <c r="D365" s="145">
        <f>+'Libro Diario'!B555</f>
        <v>0</v>
      </c>
      <c r="E365" s="139" t="s">
        <v>445</v>
      </c>
      <c r="F365" t="str">
        <f t="shared" si="15"/>
        <v>Sin Mov.</v>
      </c>
      <c r="G365" t="str">
        <f>IF(+'Libro Diario'!H555=0,"",+'Libro Diario'!H555)</f>
        <v/>
      </c>
      <c r="H365" t="str">
        <f>IF(+'Libro Diario'!I555=0,"",+'Libro Diario'!I555)</f>
        <v/>
      </c>
      <c r="I365" t="str">
        <f>+IF(Table3[[#This Row],[Tipo Movimiento]]="Estructura Balance y PyG","Excluir","Incluir")</f>
        <v>Incluir</v>
      </c>
      <c r="J365" s="153">
        <f>+IF(Table3[[#This Row],[Sin cuenta]]="Con Mov.",(IF(Table3[[#This Row],[Movimiento]]="Debe",Table3[[#This Row],[Importe]],IF(Table3[[#This Row],[Movimiento]]="Haber",Table3[[#This Row],[Importe]]*-1,0))),0)</f>
        <v>0</v>
      </c>
      <c r="K365" s="145">
        <f t="shared" si="16"/>
        <v>0</v>
      </c>
      <c r="L365" s="145" t="str">
        <f t="shared" si="17"/>
        <v/>
      </c>
      <c r="M365" t="str">
        <f>_xlfn.XLOOKUP(Table3[[#This Row],[Cuenta]],Estructura_Balance[Nombre Cuenta ()],Estructura_Balance[Grupo],"",0)</f>
        <v/>
      </c>
      <c r="N365" t="str">
        <f>_xlfn.XLOOKUP(Table3[[#This Row],[Cuenta]],Estructura_Balance[Nombre Cuenta ()],Estructura_Balance[Nivel 1],"",0)</f>
        <v/>
      </c>
      <c r="O365" t="str">
        <f>_xlfn.XLOOKUP(Table3[[#This Row],[Cuenta]],Estructura_Balance[Nombre Cuenta ()],Estructura_Balance[Nivel 2],"",0)</f>
        <v/>
      </c>
      <c r="P365" t="str">
        <f>_xlfn.XLOOKUP(Table3[[#This Row],[Cuenta]],Estructura_Balance[Nombre Cuenta ()],Estructura_Balance[Nivel 3],"",0)</f>
        <v/>
      </c>
      <c r="Q365" t="str">
        <f>_xlfn.XLOOKUP(Table3[[#This Row],[Cuenta]],Estructura_Balance[Nombre Cuenta ()],Estructura_Balance[Nivel 4],"",0)</f>
        <v/>
      </c>
      <c r="R365" t="str">
        <f>_xlfn.XLOOKUP(Table3[[#This Row],[Cuenta]],Table8[Nombre Cuenta ()],Table8[Nivel 1],"",0)</f>
        <v/>
      </c>
      <c r="S365" t="str">
        <f>_xlfn.XLOOKUP(Table3[[#This Row],[Cuenta]],Table8[Nombre Cuenta ()],Table8[Nivel 2],"",0)</f>
        <v/>
      </c>
      <c r="T365" t="str">
        <f>_xlfn.XLOOKUP(Table3[[#This Row],[Cuenta]],Table8[Nombre Cuenta ()],Table8[Nivel 3],"",0)</f>
        <v/>
      </c>
      <c r="U365">
        <v>746</v>
      </c>
      <c r="V365" t="str">
        <f>_xlfn.XLOOKUP(Table3[[#This Row],[Cuenta]],Estructura_Balance[Nombre Cuenta ()],Estructura_Balance[Niveles:2],"",0)</f>
        <v/>
      </c>
      <c r="W365" t="str">
        <f>_xlfn.XLOOKUP(Table3[[#This Row],[Cuenta]],Estructura_Balance[Nombre Cuenta ()],Estructura_Balance[Niveles:3],"",0)</f>
        <v/>
      </c>
      <c r="X365" t="str">
        <f>_xlfn.XLOOKUP(Table3[[#This Row],[Cuenta]],Estructura_Balance[Nombre Cuenta ()],Estructura_Balance[Grupos],"Grupo 1",0)</f>
        <v>Grupo 1</v>
      </c>
      <c r="Y365" t="str">
        <f>+Table3[[#This Row],[BS_Nivel_1]]</f>
        <v/>
      </c>
    </row>
    <row r="366" spans="1:25">
      <c r="A366">
        <f>+'Libro Diario'!F556</f>
        <v>0</v>
      </c>
      <c r="B366" s="144">
        <f>VALUE(IF(+'Libro Diario'!G556="","01/01/2025",+'Libro Diario'!G556))</f>
        <v>45658</v>
      </c>
      <c r="C366">
        <f>IF(ISNUMBER(+IF(IFERROR(VALUE(MID('Libro Diario'!C556,1,4)),0)&lt;&gt;0,'Libro Diario'!C556,0))=FALSE,'Libro Diario'!C556,0)</f>
        <v>0</v>
      </c>
      <c r="D366" s="145" t="str">
        <f>+'Libro Diario'!B556</f>
        <v>DEBE</v>
      </c>
      <c r="E366" s="139" t="s">
        <v>445</v>
      </c>
      <c r="F366" t="str">
        <f t="shared" si="15"/>
        <v>Sin Mov.</v>
      </c>
      <c r="G366" t="str">
        <f>IF(+'Libro Diario'!H556=0,"",+'Libro Diario'!H556)</f>
        <v/>
      </c>
      <c r="H366" t="str">
        <f>IF(+'Libro Diario'!I556=0,"",+'Libro Diario'!I556)</f>
        <v/>
      </c>
      <c r="I366" t="str">
        <f>+IF(Table3[[#This Row],[Tipo Movimiento]]="Estructura Balance y PyG","Excluir","Incluir")</f>
        <v>Incluir</v>
      </c>
      <c r="J366" s="153">
        <f>+IF(Table3[[#This Row],[Sin cuenta]]="Con Mov.",(IF(Table3[[#This Row],[Movimiento]]="Debe",Table3[[#This Row],[Importe]],IF(Table3[[#This Row],[Movimiento]]="Haber",Table3[[#This Row],[Importe]]*-1,0))),0)</f>
        <v>0</v>
      </c>
      <c r="K366" s="145" t="str">
        <f t="shared" si="16"/>
        <v>DEBE</v>
      </c>
      <c r="L366" s="145" t="str">
        <f t="shared" si="17"/>
        <v/>
      </c>
      <c r="M366" t="str">
        <f>_xlfn.XLOOKUP(Table3[[#This Row],[Cuenta]],Estructura_Balance[Nombre Cuenta ()],Estructura_Balance[Grupo],"",0)</f>
        <v/>
      </c>
      <c r="N366" t="str">
        <f>_xlfn.XLOOKUP(Table3[[#This Row],[Cuenta]],Estructura_Balance[Nombre Cuenta ()],Estructura_Balance[Nivel 1],"",0)</f>
        <v/>
      </c>
      <c r="O366" t="str">
        <f>_xlfn.XLOOKUP(Table3[[#This Row],[Cuenta]],Estructura_Balance[Nombre Cuenta ()],Estructura_Balance[Nivel 2],"",0)</f>
        <v/>
      </c>
      <c r="P366" t="str">
        <f>_xlfn.XLOOKUP(Table3[[#This Row],[Cuenta]],Estructura_Balance[Nombre Cuenta ()],Estructura_Balance[Nivel 3],"",0)</f>
        <v/>
      </c>
      <c r="Q366" t="str">
        <f>_xlfn.XLOOKUP(Table3[[#This Row],[Cuenta]],Estructura_Balance[Nombre Cuenta ()],Estructura_Balance[Nivel 4],"",0)</f>
        <v/>
      </c>
      <c r="R366" s="154" t="str">
        <f>_xlfn.XLOOKUP(Table3[[#This Row],[Cuenta]],Table8[Nombre Cuenta ()],Table8[Nivel 1],"",0)</f>
        <v/>
      </c>
      <c r="S366" t="str">
        <f>_xlfn.XLOOKUP(Table3[[#This Row],[Cuenta]],Table8[Nombre Cuenta ()],Table8[Nivel 2],"",0)</f>
        <v/>
      </c>
      <c r="T366" t="str">
        <f>_xlfn.XLOOKUP(Table3[[#This Row],[Cuenta]],Table8[Nombre Cuenta ()],Table8[Nivel 3],"",0)</f>
        <v/>
      </c>
      <c r="U366">
        <v>747</v>
      </c>
      <c r="V366" t="str">
        <f>_xlfn.XLOOKUP(Table3[[#This Row],[Cuenta]],Estructura_Balance[Nombre Cuenta ()],Estructura_Balance[Niveles:2],"",0)</f>
        <v/>
      </c>
      <c r="W366" t="str">
        <f>_xlfn.XLOOKUP(Table3[[#This Row],[Cuenta]],Estructura_Balance[Nombre Cuenta ()],Estructura_Balance[Niveles:3],"",0)</f>
        <v/>
      </c>
      <c r="X366" t="str">
        <f>_xlfn.XLOOKUP(Table3[[#This Row],[Cuenta]],Estructura_Balance[Nombre Cuenta ()],Estructura_Balance[Grupos],"Grupo 1",0)</f>
        <v>Grupo 1</v>
      </c>
      <c r="Y366" t="str">
        <f>+Table3[[#This Row],[BS_Nivel_1]]</f>
        <v/>
      </c>
    </row>
    <row r="367" spans="1:25">
      <c r="A367">
        <f>+'Libro Diario'!F557</f>
        <v>0</v>
      </c>
      <c r="B367" s="144">
        <f>VALUE(IF(+'Libro Diario'!G557="","01/01/2025",+'Libro Diario'!G557))</f>
        <v>45658</v>
      </c>
      <c r="C367">
        <f>IF(ISNUMBER(+IF(IFERROR(VALUE(MID('Libro Diario'!C557,1,4)),0)&lt;&gt;0,'Libro Diario'!C557,0))=FALSE,'Libro Diario'!C557,0)</f>
        <v>0</v>
      </c>
      <c r="D367" s="145">
        <f>+'Libro Diario'!B557</f>
        <v>0</v>
      </c>
      <c r="E367" s="139" t="s">
        <v>445</v>
      </c>
      <c r="F367" t="str">
        <f t="shared" si="15"/>
        <v>Sin Mov.</v>
      </c>
      <c r="G367" t="str">
        <f>IF(+'Libro Diario'!H557=0,"",+'Libro Diario'!H557)</f>
        <v/>
      </c>
      <c r="H367" t="str">
        <f>IF(+'Libro Diario'!I557=0,"",+'Libro Diario'!I557)</f>
        <v/>
      </c>
      <c r="I367" t="str">
        <f>+IF(Table3[[#This Row],[Tipo Movimiento]]="Estructura Balance y PyG","Excluir","Incluir")</f>
        <v>Incluir</v>
      </c>
      <c r="J367" s="153">
        <f>+IF(Table3[[#This Row],[Sin cuenta]]="Con Mov.",(IF(Table3[[#This Row],[Movimiento]]="Debe",Table3[[#This Row],[Importe]],IF(Table3[[#This Row],[Movimiento]]="Haber",Table3[[#This Row],[Importe]]*-1,0))),0)</f>
        <v>0</v>
      </c>
      <c r="K367" s="145">
        <f t="shared" si="16"/>
        <v>0</v>
      </c>
      <c r="L367" s="145" t="str">
        <f t="shared" si="17"/>
        <v/>
      </c>
      <c r="M367" t="str">
        <f>_xlfn.XLOOKUP(Table3[[#This Row],[Cuenta]],Estructura_Balance[Nombre Cuenta ()],Estructura_Balance[Grupo],"",0)</f>
        <v/>
      </c>
      <c r="N367" t="str">
        <f>_xlfn.XLOOKUP(Table3[[#This Row],[Cuenta]],Estructura_Balance[Nombre Cuenta ()],Estructura_Balance[Nivel 1],"",0)</f>
        <v/>
      </c>
      <c r="O367" t="str">
        <f>_xlfn.XLOOKUP(Table3[[#This Row],[Cuenta]],Estructura_Balance[Nombre Cuenta ()],Estructura_Balance[Nivel 2],"",0)</f>
        <v/>
      </c>
      <c r="P367" t="str">
        <f>_xlfn.XLOOKUP(Table3[[#This Row],[Cuenta]],Estructura_Balance[Nombre Cuenta ()],Estructura_Balance[Nivel 3],"",0)</f>
        <v/>
      </c>
      <c r="Q367" t="str">
        <f>_xlfn.XLOOKUP(Table3[[#This Row],[Cuenta]],Estructura_Balance[Nombre Cuenta ()],Estructura_Balance[Nivel 4],"",0)</f>
        <v/>
      </c>
      <c r="R367" t="str">
        <f>_xlfn.XLOOKUP(Table3[[#This Row],[Cuenta]],Table8[Nombre Cuenta ()],Table8[Nivel 1],"",0)</f>
        <v/>
      </c>
      <c r="S367" t="str">
        <f>_xlfn.XLOOKUP(Table3[[#This Row],[Cuenta]],Table8[Nombre Cuenta ()],Table8[Nivel 2],"",0)</f>
        <v/>
      </c>
      <c r="T367" t="str">
        <f>_xlfn.XLOOKUP(Table3[[#This Row],[Cuenta]],Table8[Nombre Cuenta ()],Table8[Nivel 3],"",0)</f>
        <v/>
      </c>
      <c r="U367">
        <v>748</v>
      </c>
      <c r="V367" t="str">
        <f>_xlfn.XLOOKUP(Table3[[#This Row],[Cuenta]],Estructura_Balance[Nombre Cuenta ()],Estructura_Balance[Niveles:2],"",0)</f>
        <v/>
      </c>
      <c r="W367" t="str">
        <f>_xlfn.XLOOKUP(Table3[[#This Row],[Cuenta]],Estructura_Balance[Nombre Cuenta ()],Estructura_Balance[Niveles:3],"",0)</f>
        <v/>
      </c>
      <c r="X367" t="str">
        <f>_xlfn.XLOOKUP(Table3[[#This Row],[Cuenta]],Estructura_Balance[Nombre Cuenta ()],Estructura_Balance[Grupos],"Grupo 1",0)</f>
        <v>Grupo 1</v>
      </c>
      <c r="Y367" t="str">
        <f>+Table3[[#This Row],[BS_Nivel_1]]</f>
        <v/>
      </c>
    </row>
    <row r="368" spans="1:25">
      <c r="A368">
        <f>+'Libro Diario'!F559</f>
        <v>0</v>
      </c>
      <c r="B368" s="144">
        <f>VALUE(IF(+'Libro Diario'!G559="","01/01/2025",+'Libro Diario'!G559))</f>
        <v>45658</v>
      </c>
      <c r="C368">
        <f>IF(ISNUMBER(+IF(IFERROR(VALUE(MID('Libro Diario'!C559,1,4)),0)&lt;&gt;0,'Libro Diario'!C559,0))=FALSE,'Libro Diario'!C559,0)</f>
        <v>0</v>
      </c>
      <c r="D368" s="145" t="str">
        <f>+'Libro Diario'!B559</f>
        <v>Determinación de Resultado Contable</v>
      </c>
      <c r="E368" s="139" t="s">
        <v>445</v>
      </c>
      <c r="F368" t="str">
        <f t="shared" si="15"/>
        <v>Sin Mov.</v>
      </c>
      <c r="G368" t="str">
        <f>IF(+'Libro Diario'!H559=0,"",+'Libro Diario'!H559)</f>
        <v/>
      </c>
      <c r="H368" t="str">
        <f>IF(+'Libro Diario'!I559=0,"",+'Libro Diario'!I559)</f>
        <v/>
      </c>
      <c r="I368" t="str">
        <f>+IF(Table3[[#This Row],[Tipo Movimiento]]="Estructura Balance y PyG","Excluir","Incluir")</f>
        <v>Incluir</v>
      </c>
      <c r="J368" s="153">
        <f>+IF(Table3[[#This Row],[Sin cuenta]]="Con Mov.",(IF(Table3[[#This Row],[Movimiento]]="Debe",Table3[[#This Row],[Importe]],IF(Table3[[#This Row],[Movimiento]]="Haber",Table3[[#This Row],[Importe]]*-1,0))),0)</f>
        <v>0</v>
      </c>
      <c r="K368" s="145" t="str">
        <f t="shared" si="16"/>
        <v>Determinación de Resultado Contable</v>
      </c>
      <c r="L368" s="145" t="str">
        <f t="shared" si="17"/>
        <v/>
      </c>
      <c r="M368" t="str">
        <f>_xlfn.XLOOKUP(Table3[[#This Row],[Cuenta]],Estructura_Balance[Nombre Cuenta ()],Estructura_Balance[Grupo],"",0)</f>
        <v/>
      </c>
      <c r="N368" t="str">
        <f>_xlfn.XLOOKUP(Table3[[#This Row],[Cuenta]],Estructura_Balance[Nombre Cuenta ()],Estructura_Balance[Nivel 1],"",0)</f>
        <v/>
      </c>
      <c r="O368" t="str">
        <f>_xlfn.XLOOKUP(Table3[[#This Row],[Cuenta]],Estructura_Balance[Nombre Cuenta ()],Estructura_Balance[Nivel 2],"",0)</f>
        <v/>
      </c>
      <c r="P368" t="str">
        <f>_xlfn.XLOOKUP(Table3[[#This Row],[Cuenta]],Estructura_Balance[Nombre Cuenta ()],Estructura_Balance[Nivel 3],"",0)</f>
        <v/>
      </c>
      <c r="Q368" t="str">
        <f>_xlfn.XLOOKUP(Table3[[#This Row],[Cuenta]],Estructura_Balance[Nombre Cuenta ()],Estructura_Balance[Nivel 4],"",0)</f>
        <v/>
      </c>
      <c r="R368" s="154" t="str">
        <f>_xlfn.XLOOKUP(Table3[[#This Row],[Cuenta]],Table8[Nombre Cuenta ()],Table8[Nivel 1],"",0)</f>
        <v/>
      </c>
      <c r="S368" t="str">
        <f>_xlfn.XLOOKUP(Table3[[#This Row],[Cuenta]],Table8[Nombre Cuenta ()],Table8[Nivel 2],"",0)</f>
        <v/>
      </c>
      <c r="T368" t="str">
        <f>_xlfn.XLOOKUP(Table3[[#This Row],[Cuenta]],Table8[Nombre Cuenta ()],Table8[Nivel 3],"",0)</f>
        <v/>
      </c>
      <c r="U368">
        <v>751</v>
      </c>
      <c r="V368" t="str">
        <f>_xlfn.XLOOKUP(Table3[[#This Row],[Cuenta]],Estructura_Balance[Nombre Cuenta ()],Estructura_Balance[Niveles:2],"",0)</f>
        <v/>
      </c>
      <c r="W368" t="str">
        <f>_xlfn.XLOOKUP(Table3[[#This Row],[Cuenta]],Estructura_Balance[Nombre Cuenta ()],Estructura_Balance[Niveles:3],"",0)</f>
        <v/>
      </c>
      <c r="X368" t="str">
        <f>_xlfn.XLOOKUP(Table3[[#This Row],[Cuenta]],Estructura_Balance[Nombre Cuenta ()],Estructura_Balance[Grupos],"Grupo 1",0)</f>
        <v>Grupo 1</v>
      </c>
      <c r="Y368" t="str">
        <f>+Table3[[#This Row],[BS_Nivel_1]]</f>
        <v/>
      </c>
    </row>
    <row r="369" spans="1:25">
      <c r="A369">
        <f>+'Libro Diario'!F560</f>
        <v>0</v>
      </c>
      <c r="B369" s="144">
        <f>VALUE(IF(+'Libro Diario'!G560="","01/01/2025",+'Libro Diario'!G560))</f>
        <v>45658</v>
      </c>
      <c r="C369">
        <f>IF(ISNUMBER(+IF(IFERROR(VALUE(MID('Libro Diario'!C560,1,4)),0)&lt;&gt;0,'Libro Diario'!C560,0))=FALSE,'Libro Diario'!C560,0)</f>
        <v>0</v>
      </c>
      <c r="D369" s="145" t="str">
        <f>+'Libro Diario'!B560</f>
        <v>Asiento Cuadrado</v>
      </c>
      <c r="E369" s="139" t="s">
        <v>445</v>
      </c>
      <c r="F369" t="str">
        <f t="shared" si="15"/>
        <v>Sin Mov.</v>
      </c>
      <c r="G369" t="str">
        <f>IF(+'Libro Diario'!H560=0,"",+'Libro Diario'!H560)</f>
        <v/>
      </c>
      <c r="H369" t="str">
        <f>IF(+'Libro Diario'!I560=0,"",+'Libro Diario'!I560)</f>
        <v/>
      </c>
      <c r="I369" t="str">
        <f>+IF(Table3[[#This Row],[Tipo Movimiento]]="Estructura Balance y PyG","Excluir","Incluir")</f>
        <v>Incluir</v>
      </c>
      <c r="J369" s="153">
        <f>+IF(Table3[[#This Row],[Sin cuenta]]="Con Mov.",(IF(Table3[[#This Row],[Movimiento]]="Debe",Table3[[#This Row],[Importe]],IF(Table3[[#This Row],[Movimiento]]="Haber",Table3[[#This Row],[Importe]]*-1,0))),0)</f>
        <v>0</v>
      </c>
      <c r="K369" s="145" t="str">
        <f t="shared" si="16"/>
        <v>Asiento Cuadrado</v>
      </c>
      <c r="L369" s="145" t="str">
        <f t="shared" si="17"/>
        <v/>
      </c>
      <c r="M369" t="str">
        <f>_xlfn.XLOOKUP(Table3[[#This Row],[Cuenta]],Estructura_Balance[Nombre Cuenta ()],Estructura_Balance[Grupo],"",0)</f>
        <v/>
      </c>
      <c r="N369" t="str">
        <f>_xlfn.XLOOKUP(Table3[[#This Row],[Cuenta]],Estructura_Balance[Nombre Cuenta ()],Estructura_Balance[Nivel 1],"",0)</f>
        <v/>
      </c>
      <c r="O369" t="str">
        <f>_xlfn.XLOOKUP(Table3[[#This Row],[Cuenta]],Estructura_Balance[Nombre Cuenta ()],Estructura_Balance[Nivel 2],"",0)</f>
        <v/>
      </c>
      <c r="P369" t="str">
        <f>_xlfn.XLOOKUP(Table3[[#This Row],[Cuenta]],Estructura_Balance[Nombre Cuenta ()],Estructura_Balance[Nivel 3],"",0)</f>
        <v/>
      </c>
      <c r="Q369" t="str">
        <f>_xlfn.XLOOKUP(Table3[[#This Row],[Cuenta]],Estructura_Balance[Nombre Cuenta ()],Estructura_Balance[Nivel 4],"",0)</f>
        <v/>
      </c>
      <c r="R369" s="154" t="str">
        <f>_xlfn.XLOOKUP(Table3[[#This Row],[Cuenta]],Table8[Nombre Cuenta ()],Table8[Nivel 1],"",0)</f>
        <v/>
      </c>
      <c r="S369" t="str">
        <f>_xlfn.XLOOKUP(Table3[[#This Row],[Cuenta]],Table8[Nombre Cuenta ()],Table8[Nivel 2],"",0)</f>
        <v/>
      </c>
      <c r="T369" t="str">
        <f>_xlfn.XLOOKUP(Table3[[#This Row],[Cuenta]],Table8[Nombre Cuenta ()],Table8[Nivel 3],"",0)</f>
        <v/>
      </c>
      <c r="U369">
        <v>752</v>
      </c>
      <c r="V369" t="str">
        <f>_xlfn.XLOOKUP(Table3[[#This Row],[Cuenta]],Estructura_Balance[Nombre Cuenta ()],Estructura_Balance[Niveles:2],"",0)</f>
        <v/>
      </c>
      <c r="W369" t="str">
        <f>_xlfn.XLOOKUP(Table3[[#This Row],[Cuenta]],Estructura_Balance[Nombre Cuenta ()],Estructura_Balance[Niveles:3],"",0)</f>
        <v/>
      </c>
      <c r="X369" t="str">
        <f>_xlfn.XLOOKUP(Table3[[#This Row],[Cuenta]],Estructura_Balance[Nombre Cuenta ()],Estructura_Balance[Grupos],"Grupo 1",0)</f>
        <v>Grupo 1</v>
      </c>
      <c r="Y369" t="str">
        <f>+Table3[[#This Row],[BS_Nivel_1]]</f>
        <v/>
      </c>
    </row>
    <row r="370" spans="1:25">
      <c r="A370">
        <f>+'Libro Diario'!F561</f>
        <v>0</v>
      </c>
      <c r="B370" s="144">
        <f>VALUE(IF(+'Libro Diario'!G561="","01/01/2025",+'Libro Diario'!G561))</f>
        <v>45658</v>
      </c>
      <c r="C370">
        <f>IF(ISNUMBER(+IF(IFERROR(VALUE(MID('Libro Diario'!C561,1,4)),0)&lt;&gt;0,'Libro Diario'!C561,0))=FALSE,'Libro Diario'!C561,0)</f>
        <v>0</v>
      </c>
      <c r="D370" s="145">
        <f>+'Libro Diario'!B561</f>
        <v>0</v>
      </c>
      <c r="E370" s="139" t="s">
        <v>445</v>
      </c>
      <c r="F370" t="str">
        <f t="shared" si="15"/>
        <v>Sin Mov.</v>
      </c>
      <c r="G370" t="str">
        <f>IF(+'Libro Diario'!H561=0,"",+'Libro Diario'!H561)</f>
        <v/>
      </c>
      <c r="H370" t="str">
        <f>IF(+'Libro Diario'!I561=0,"",+'Libro Diario'!I561)</f>
        <v/>
      </c>
      <c r="I370" t="str">
        <f>+IF(Table3[[#This Row],[Tipo Movimiento]]="Estructura Balance y PyG","Excluir","Incluir")</f>
        <v>Incluir</v>
      </c>
      <c r="J370" s="153">
        <f>+IF(Table3[[#This Row],[Sin cuenta]]="Con Mov.",(IF(Table3[[#This Row],[Movimiento]]="Debe",Table3[[#This Row],[Importe]],IF(Table3[[#This Row],[Movimiento]]="Haber",Table3[[#This Row],[Importe]]*-1,0))),0)</f>
        <v>0</v>
      </c>
      <c r="K370" s="145">
        <f t="shared" si="16"/>
        <v>0</v>
      </c>
      <c r="L370" s="145" t="str">
        <f t="shared" si="17"/>
        <v/>
      </c>
      <c r="M370" t="str">
        <f>_xlfn.XLOOKUP(Table3[[#This Row],[Cuenta]],Estructura_Balance[Nombre Cuenta ()],Estructura_Balance[Grupo],"",0)</f>
        <v/>
      </c>
      <c r="N370" t="str">
        <f>_xlfn.XLOOKUP(Table3[[#This Row],[Cuenta]],Estructura_Balance[Nombre Cuenta ()],Estructura_Balance[Nivel 1],"",0)</f>
        <v/>
      </c>
      <c r="O370" t="str">
        <f>_xlfn.XLOOKUP(Table3[[#This Row],[Cuenta]],Estructura_Balance[Nombre Cuenta ()],Estructura_Balance[Nivel 2],"",0)</f>
        <v/>
      </c>
      <c r="P370" t="str">
        <f>_xlfn.XLOOKUP(Table3[[#This Row],[Cuenta]],Estructura_Balance[Nombre Cuenta ()],Estructura_Balance[Nivel 3],"",0)</f>
        <v/>
      </c>
      <c r="Q370" t="str">
        <f>_xlfn.XLOOKUP(Table3[[#This Row],[Cuenta]],Estructura_Balance[Nombre Cuenta ()],Estructura_Balance[Nivel 4],"",0)</f>
        <v/>
      </c>
      <c r="R370" s="154" t="str">
        <f>_xlfn.XLOOKUP(Table3[[#This Row],[Cuenta]],Table8[Nombre Cuenta ()],Table8[Nivel 1],"",0)</f>
        <v/>
      </c>
      <c r="S370" t="str">
        <f>_xlfn.XLOOKUP(Table3[[#This Row],[Cuenta]],Table8[Nombre Cuenta ()],Table8[Nivel 2],"",0)</f>
        <v/>
      </c>
      <c r="T370" t="str">
        <f>_xlfn.XLOOKUP(Table3[[#This Row],[Cuenta]],Table8[Nombre Cuenta ()],Table8[Nivel 3],"",0)</f>
        <v/>
      </c>
      <c r="U370">
        <v>753</v>
      </c>
      <c r="V370" t="str">
        <f>_xlfn.XLOOKUP(Table3[[#This Row],[Cuenta]],Estructura_Balance[Nombre Cuenta ()],Estructura_Balance[Niveles:2],"",0)</f>
        <v/>
      </c>
      <c r="W370" t="str">
        <f>_xlfn.XLOOKUP(Table3[[#This Row],[Cuenta]],Estructura_Balance[Nombre Cuenta ()],Estructura_Balance[Niveles:3],"",0)</f>
        <v/>
      </c>
      <c r="X370" t="str">
        <f>_xlfn.XLOOKUP(Table3[[#This Row],[Cuenta]],Estructura_Balance[Nombre Cuenta ()],Estructura_Balance[Grupos],"Grupo 1",0)</f>
        <v>Grupo 1</v>
      </c>
      <c r="Y370" t="str">
        <f>+Table3[[#This Row],[BS_Nivel_1]]</f>
        <v/>
      </c>
    </row>
    <row r="371" spans="1:25">
      <c r="A371">
        <f>+'Libro Diario'!F562</f>
        <v>0</v>
      </c>
      <c r="B371" s="144">
        <f>VALUE(IF(+'Libro Diario'!G562="","01/01/2025",+'Libro Diario'!G562))</f>
        <v>45658</v>
      </c>
      <c r="C371">
        <f>IF(ISNUMBER(+IF(IFERROR(VALUE(MID('Libro Diario'!C562,1,4)),0)&lt;&gt;0,'Libro Diario'!C562,0))=FALSE,'Libro Diario'!C562,0)</f>
        <v>0</v>
      </c>
      <c r="D371" s="145" t="str">
        <f>+'Libro Diario'!B562</f>
        <v>DEBE</v>
      </c>
      <c r="E371" s="139" t="s">
        <v>445</v>
      </c>
      <c r="F371" t="str">
        <f t="shared" si="15"/>
        <v>Sin Mov.</v>
      </c>
      <c r="G371" t="str">
        <f>IF(+'Libro Diario'!H562=0,"",+'Libro Diario'!H562)</f>
        <v/>
      </c>
      <c r="H371" t="str">
        <f>IF(+'Libro Diario'!I562=0,"",+'Libro Diario'!I562)</f>
        <v/>
      </c>
      <c r="I371" t="str">
        <f>+IF(Table3[[#This Row],[Tipo Movimiento]]="Estructura Balance y PyG","Excluir","Incluir")</f>
        <v>Incluir</v>
      </c>
      <c r="J371" s="153">
        <f>+IF(Table3[[#This Row],[Sin cuenta]]="Con Mov.",(IF(Table3[[#This Row],[Movimiento]]="Debe",Table3[[#This Row],[Importe]],IF(Table3[[#This Row],[Movimiento]]="Haber",Table3[[#This Row],[Importe]]*-1,0))),0)</f>
        <v>0</v>
      </c>
      <c r="K371" s="145" t="str">
        <f t="shared" si="16"/>
        <v>DEBE</v>
      </c>
      <c r="L371" s="145" t="str">
        <f t="shared" si="17"/>
        <v/>
      </c>
      <c r="M371" t="str">
        <f>_xlfn.XLOOKUP(Table3[[#This Row],[Cuenta]],Estructura_Balance[Nombre Cuenta ()],Estructura_Balance[Grupo],"",0)</f>
        <v/>
      </c>
      <c r="N371" t="str">
        <f>_xlfn.XLOOKUP(Table3[[#This Row],[Cuenta]],Estructura_Balance[Nombre Cuenta ()],Estructura_Balance[Nivel 1],"",0)</f>
        <v/>
      </c>
      <c r="O371" t="str">
        <f>_xlfn.XLOOKUP(Table3[[#This Row],[Cuenta]],Estructura_Balance[Nombre Cuenta ()],Estructura_Balance[Nivel 2],"",0)</f>
        <v/>
      </c>
      <c r="P371" t="str">
        <f>_xlfn.XLOOKUP(Table3[[#This Row],[Cuenta]],Estructura_Balance[Nombre Cuenta ()],Estructura_Balance[Nivel 3],"",0)</f>
        <v/>
      </c>
      <c r="Q371" t="str">
        <f>_xlfn.XLOOKUP(Table3[[#This Row],[Cuenta]],Estructura_Balance[Nombre Cuenta ()],Estructura_Balance[Nivel 4],"",0)</f>
        <v/>
      </c>
      <c r="R371" t="str">
        <f>_xlfn.XLOOKUP(Table3[[#This Row],[Cuenta]],Table8[Nombre Cuenta ()],Table8[Nivel 1],"",0)</f>
        <v/>
      </c>
      <c r="S371" t="str">
        <f>_xlfn.XLOOKUP(Table3[[#This Row],[Cuenta]],Table8[Nombre Cuenta ()],Table8[Nivel 2],"",0)</f>
        <v/>
      </c>
      <c r="T371" t="str">
        <f>_xlfn.XLOOKUP(Table3[[#This Row],[Cuenta]],Table8[Nombre Cuenta ()],Table8[Nivel 3],"",0)</f>
        <v/>
      </c>
      <c r="U371">
        <v>754</v>
      </c>
      <c r="V371" t="str">
        <f>_xlfn.XLOOKUP(Table3[[#This Row],[Cuenta]],Estructura_Balance[Nombre Cuenta ()],Estructura_Balance[Niveles:2],"",0)</f>
        <v/>
      </c>
      <c r="W371" t="str">
        <f>_xlfn.XLOOKUP(Table3[[#This Row],[Cuenta]],Estructura_Balance[Nombre Cuenta ()],Estructura_Balance[Niveles:3],"",0)</f>
        <v/>
      </c>
      <c r="X371" t="str">
        <f>_xlfn.XLOOKUP(Table3[[#This Row],[Cuenta]],Estructura_Balance[Nombre Cuenta ()],Estructura_Balance[Grupos],"Grupo 1",0)</f>
        <v>Grupo 1</v>
      </c>
      <c r="Y371" t="str">
        <f>+Table3[[#This Row],[BS_Nivel_1]]</f>
        <v/>
      </c>
    </row>
    <row r="372" spans="1:25">
      <c r="A372">
        <f>+'Libro Diario'!F563</f>
        <v>0</v>
      </c>
      <c r="B372" s="144">
        <f>VALUE(IF(+'Libro Diario'!G563="","01/01/2025",+'Libro Diario'!G563))</f>
        <v>45658</v>
      </c>
      <c r="C372">
        <f>IF(ISNUMBER(+IF(IFERROR(VALUE(MID('Libro Diario'!C563,1,4)),0)&lt;&gt;0,'Libro Diario'!C563,0))=FALSE,'Libro Diario'!C563,0)</f>
        <v>0</v>
      </c>
      <c r="D372" s="145">
        <f>+'Libro Diario'!B563</f>
        <v>0</v>
      </c>
      <c r="E372" s="139" t="s">
        <v>445</v>
      </c>
      <c r="F372" t="str">
        <f t="shared" si="15"/>
        <v>Sin Mov.</v>
      </c>
      <c r="G372" t="str">
        <f>IF(+'Libro Diario'!H563=0,"",+'Libro Diario'!H563)</f>
        <v/>
      </c>
      <c r="H372" t="str">
        <f>IF(+'Libro Diario'!I563=0,"",+'Libro Diario'!I563)</f>
        <v/>
      </c>
      <c r="I372" t="str">
        <f>+IF(Table3[[#This Row],[Tipo Movimiento]]="Estructura Balance y PyG","Excluir","Incluir")</f>
        <v>Incluir</v>
      </c>
      <c r="J372" s="153">
        <f>+IF(Table3[[#This Row],[Sin cuenta]]="Con Mov.",(IF(Table3[[#This Row],[Movimiento]]="Debe",Table3[[#This Row],[Importe]],IF(Table3[[#This Row],[Movimiento]]="Haber",Table3[[#This Row],[Importe]]*-1,0))),0)</f>
        <v>0</v>
      </c>
      <c r="K372" s="145">
        <f t="shared" si="16"/>
        <v>0</v>
      </c>
      <c r="L372" s="145" t="str">
        <f t="shared" si="17"/>
        <v/>
      </c>
      <c r="M372" t="str">
        <f>_xlfn.XLOOKUP(Table3[[#This Row],[Cuenta]],Estructura_Balance[Nombre Cuenta ()],Estructura_Balance[Grupo],"",0)</f>
        <v/>
      </c>
      <c r="N372" t="str">
        <f>_xlfn.XLOOKUP(Table3[[#This Row],[Cuenta]],Estructura_Balance[Nombre Cuenta ()],Estructura_Balance[Nivel 1],"",0)</f>
        <v/>
      </c>
      <c r="O372" t="str">
        <f>_xlfn.XLOOKUP(Table3[[#This Row],[Cuenta]],Estructura_Balance[Nombre Cuenta ()],Estructura_Balance[Nivel 2],"",0)</f>
        <v/>
      </c>
      <c r="P372" t="str">
        <f>_xlfn.XLOOKUP(Table3[[#This Row],[Cuenta]],Estructura_Balance[Nombre Cuenta ()],Estructura_Balance[Nivel 3],"",0)</f>
        <v/>
      </c>
      <c r="Q372" t="str">
        <f>_xlfn.XLOOKUP(Table3[[#This Row],[Cuenta]],Estructura_Balance[Nombre Cuenta ()],Estructura_Balance[Nivel 4],"",0)</f>
        <v/>
      </c>
      <c r="R372" s="154" t="str">
        <f>_xlfn.XLOOKUP(Table3[[#This Row],[Cuenta]],Table8[Nombre Cuenta ()],Table8[Nivel 1],"",0)</f>
        <v/>
      </c>
      <c r="S372" t="str">
        <f>_xlfn.XLOOKUP(Table3[[#This Row],[Cuenta]],Table8[Nombre Cuenta ()],Table8[Nivel 2],"",0)</f>
        <v/>
      </c>
      <c r="T372" t="str">
        <f>_xlfn.XLOOKUP(Table3[[#This Row],[Cuenta]],Table8[Nombre Cuenta ()],Table8[Nivel 3],"",0)</f>
        <v/>
      </c>
      <c r="U372">
        <v>755</v>
      </c>
      <c r="V372" t="str">
        <f>_xlfn.XLOOKUP(Table3[[#This Row],[Cuenta]],Estructura_Balance[Nombre Cuenta ()],Estructura_Balance[Niveles:2],"",0)</f>
        <v/>
      </c>
      <c r="W372" t="str">
        <f>_xlfn.XLOOKUP(Table3[[#This Row],[Cuenta]],Estructura_Balance[Nombre Cuenta ()],Estructura_Balance[Niveles:3],"",0)</f>
        <v/>
      </c>
      <c r="X372" t="str">
        <f>_xlfn.XLOOKUP(Table3[[#This Row],[Cuenta]],Estructura_Balance[Nombre Cuenta ()],Estructura_Balance[Grupos],"Grupo 1",0)</f>
        <v>Grupo 1</v>
      </c>
      <c r="Y372" t="str">
        <f>+Table3[[#This Row],[BS_Nivel_1]]</f>
        <v/>
      </c>
    </row>
    <row r="373" spans="1:25">
      <c r="A373">
        <f>+'Libro Diario'!F587</f>
        <v>0</v>
      </c>
      <c r="B373" s="144">
        <f>VALUE(IF(+'Libro Diario'!G587="","01/01/2025",+'Libro Diario'!G587))</f>
        <v>45658</v>
      </c>
      <c r="C373">
        <f>IF(ISNUMBER(+IF(IFERROR(VALUE(MID('Libro Diario'!C587,1,4)),0)&lt;&gt;0,'Libro Diario'!C587,0))=FALSE,'Libro Diario'!C587,0)</f>
        <v>0</v>
      </c>
      <c r="D373" s="145" t="str">
        <f>+'Libro Diario'!B587</f>
        <v>Asiento de Cierre</v>
      </c>
      <c r="E373" s="139" t="s">
        <v>445</v>
      </c>
      <c r="F373" t="str">
        <f t="shared" si="15"/>
        <v>Sin Mov.</v>
      </c>
      <c r="G373" t="str">
        <f>IF(+'Libro Diario'!H587=0,"",+'Libro Diario'!H587)</f>
        <v/>
      </c>
      <c r="H373" t="str">
        <f>IF(+'Libro Diario'!I587=0,"",+'Libro Diario'!I587)</f>
        <v/>
      </c>
      <c r="I373" t="str">
        <f>+IF(Table3[[#This Row],[Tipo Movimiento]]="Estructura Balance y PyG","Excluir","Incluir")</f>
        <v>Incluir</v>
      </c>
      <c r="J373" s="153">
        <f>+IF(Table3[[#This Row],[Sin cuenta]]="Con Mov.",(IF(Table3[[#This Row],[Movimiento]]="Debe",Table3[[#This Row],[Importe]],IF(Table3[[#This Row],[Movimiento]]="Haber",Table3[[#This Row],[Importe]]*-1,0))),0)</f>
        <v>0</v>
      </c>
      <c r="K373" s="145" t="str">
        <f t="shared" si="16"/>
        <v>Asiento de Cierre</v>
      </c>
      <c r="L373" s="145" t="str">
        <f t="shared" si="17"/>
        <v/>
      </c>
      <c r="M373" t="str">
        <f>_xlfn.XLOOKUP(Table3[[#This Row],[Cuenta]],Estructura_Balance[Nombre Cuenta ()],Estructura_Balance[Grupo],"",0)</f>
        <v/>
      </c>
      <c r="N373" t="str">
        <f>_xlfn.XLOOKUP(Table3[[#This Row],[Cuenta]],Estructura_Balance[Nombre Cuenta ()],Estructura_Balance[Nivel 1],"",0)</f>
        <v/>
      </c>
      <c r="O373" t="str">
        <f>_xlfn.XLOOKUP(Table3[[#This Row],[Cuenta]],Estructura_Balance[Nombre Cuenta ()],Estructura_Balance[Nivel 2],"",0)</f>
        <v/>
      </c>
      <c r="P373" t="str">
        <f>_xlfn.XLOOKUP(Table3[[#This Row],[Cuenta]],Estructura_Balance[Nombre Cuenta ()],Estructura_Balance[Nivel 3],"",0)</f>
        <v/>
      </c>
      <c r="Q373" t="str">
        <f>_xlfn.XLOOKUP(Table3[[#This Row],[Cuenta]],Estructura_Balance[Nombre Cuenta ()],Estructura_Balance[Nivel 4],"",0)</f>
        <v/>
      </c>
      <c r="R373" s="154" t="str">
        <f>_xlfn.XLOOKUP(Table3[[#This Row],[Cuenta]],Table8[Nombre Cuenta ()],Table8[Nivel 1],"",0)</f>
        <v/>
      </c>
      <c r="S373" t="str">
        <f>_xlfn.XLOOKUP(Table3[[#This Row],[Cuenta]],Table8[Nombre Cuenta ()],Table8[Nivel 2],"",0)</f>
        <v/>
      </c>
      <c r="T373" t="str">
        <f>_xlfn.XLOOKUP(Table3[[#This Row],[Cuenta]],Table8[Nombre Cuenta ()],Table8[Nivel 3],"",0)</f>
        <v/>
      </c>
      <c r="U373">
        <v>779</v>
      </c>
      <c r="V373" t="str">
        <f>_xlfn.XLOOKUP(Table3[[#This Row],[Cuenta]],Estructura_Balance[Nombre Cuenta ()],Estructura_Balance[Niveles:2],"",0)</f>
        <v/>
      </c>
      <c r="W373" t="str">
        <f>_xlfn.XLOOKUP(Table3[[#This Row],[Cuenta]],Estructura_Balance[Nombre Cuenta ()],Estructura_Balance[Niveles:3],"",0)</f>
        <v/>
      </c>
      <c r="X373" t="str">
        <f>_xlfn.XLOOKUP(Table3[[#This Row],[Cuenta]],Estructura_Balance[Nombre Cuenta ()],Estructura_Balance[Grupos],"Grupo 1",0)</f>
        <v>Grupo 1</v>
      </c>
      <c r="Y373" t="str">
        <f>+Table3[[#This Row],[BS_Nivel_1]]</f>
        <v/>
      </c>
    </row>
    <row r="374" spans="1:25">
      <c r="A374">
        <f>+'Libro Diario'!F588</f>
        <v>0</v>
      </c>
      <c r="B374" s="144">
        <f>VALUE(IF(+'Libro Diario'!G588="","01/01/2025",+'Libro Diario'!G588))</f>
        <v>45658</v>
      </c>
      <c r="C374">
        <f>IF(ISNUMBER(+IF(IFERROR(VALUE(MID('Libro Diario'!C588,1,4)),0)&lt;&gt;0,'Libro Diario'!C588,0))=FALSE,'Libro Diario'!C588,0)</f>
        <v>0</v>
      </c>
      <c r="D374" s="145" t="str">
        <f>+'Libro Diario'!B588</f>
        <v>Asiento Cuadrado</v>
      </c>
      <c r="E374" s="139" t="s">
        <v>445</v>
      </c>
      <c r="F374" t="str">
        <f t="shared" si="15"/>
        <v>Sin Mov.</v>
      </c>
      <c r="G374" t="str">
        <f>IF(+'Libro Diario'!H588=0,"",+'Libro Diario'!H588)</f>
        <v/>
      </c>
      <c r="H374" t="str">
        <f>IF(+'Libro Diario'!I588=0,"",+'Libro Diario'!I588)</f>
        <v/>
      </c>
      <c r="I374" t="str">
        <f>+IF(Table3[[#This Row],[Tipo Movimiento]]="Estructura Balance y PyG","Excluir","Incluir")</f>
        <v>Incluir</v>
      </c>
      <c r="J374" s="153">
        <f>+IF(Table3[[#This Row],[Sin cuenta]]="Con Mov.",(IF(Table3[[#This Row],[Movimiento]]="Debe",Table3[[#This Row],[Importe]],IF(Table3[[#This Row],[Movimiento]]="Haber",Table3[[#This Row],[Importe]]*-1,0))),0)</f>
        <v>0</v>
      </c>
      <c r="K374" s="145" t="str">
        <f t="shared" si="16"/>
        <v>Asiento Cuadrado</v>
      </c>
      <c r="L374" s="145" t="str">
        <f t="shared" si="17"/>
        <v/>
      </c>
      <c r="M374" t="str">
        <f>_xlfn.XLOOKUP(Table3[[#This Row],[Cuenta]],Estructura_Balance[Nombre Cuenta ()],Estructura_Balance[Grupo],"",0)</f>
        <v/>
      </c>
      <c r="N374" t="str">
        <f>_xlfn.XLOOKUP(Table3[[#This Row],[Cuenta]],Estructura_Balance[Nombre Cuenta ()],Estructura_Balance[Nivel 1],"",0)</f>
        <v/>
      </c>
      <c r="O374" t="str">
        <f>_xlfn.XLOOKUP(Table3[[#This Row],[Cuenta]],Estructura_Balance[Nombre Cuenta ()],Estructura_Balance[Nivel 2],"",0)</f>
        <v/>
      </c>
      <c r="P374" t="str">
        <f>_xlfn.XLOOKUP(Table3[[#This Row],[Cuenta]],Estructura_Balance[Nombre Cuenta ()],Estructura_Balance[Nivel 3],"",0)</f>
        <v/>
      </c>
      <c r="Q374" t="str">
        <f>_xlfn.XLOOKUP(Table3[[#This Row],[Cuenta]],Estructura_Balance[Nombre Cuenta ()],Estructura_Balance[Nivel 4],"",0)</f>
        <v/>
      </c>
      <c r="R374" s="154" t="str">
        <f>_xlfn.XLOOKUP(Table3[[#This Row],[Cuenta]],Table8[Nombre Cuenta ()],Table8[Nivel 1],"",0)</f>
        <v/>
      </c>
      <c r="S374" t="str">
        <f>_xlfn.XLOOKUP(Table3[[#This Row],[Cuenta]],Table8[Nombre Cuenta ()],Table8[Nivel 2],"",0)</f>
        <v/>
      </c>
      <c r="T374" t="str">
        <f>_xlfn.XLOOKUP(Table3[[#This Row],[Cuenta]],Table8[Nombre Cuenta ()],Table8[Nivel 3],"",0)</f>
        <v/>
      </c>
      <c r="U374">
        <v>780</v>
      </c>
      <c r="V374" t="str">
        <f>_xlfn.XLOOKUP(Table3[[#This Row],[Cuenta]],Estructura_Balance[Nombre Cuenta ()],Estructura_Balance[Niveles:2],"",0)</f>
        <v/>
      </c>
      <c r="W374" t="str">
        <f>_xlfn.XLOOKUP(Table3[[#This Row],[Cuenta]],Estructura_Balance[Nombre Cuenta ()],Estructura_Balance[Niveles:3],"",0)</f>
        <v/>
      </c>
      <c r="X374" t="str">
        <f>_xlfn.XLOOKUP(Table3[[#This Row],[Cuenta]],Estructura_Balance[Nombre Cuenta ()],Estructura_Balance[Grupos],"Grupo 1",0)</f>
        <v>Grupo 1</v>
      </c>
      <c r="Y374" t="str">
        <f>+Table3[[#This Row],[BS_Nivel_1]]</f>
        <v/>
      </c>
    </row>
    <row r="375" spans="1:25">
      <c r="A375">
        <f>+'Libro Diario'!F589</f>
        <v>0</v>
      </c>
      <c r="B375" s="144">
        <f>VALUE(IF(+'Libro Diario'!G589="","01/01/2025",+'Libro Diario'!G589))</f>
        <v>45658</v>
      </c>
      <c r="C375">
        <f>IF(ISNUMBER(+IF(IFERROR(VALUE(MID('Libro Diario'!C589,1,4)),0)&lt;&gt;0,'Libro Diario'!C589,0))=FALSE,'Libro Diario'!C589,0)</f>
        <v>0</v>
      </c>
      <c r="D375" s="145">
        <f>+'Libro Diario'!B589</f>
        <v>0</v>
      </c>
      <c r="E375" s="139" t="s">
        <v>445</v>
      </c>
      <c r="F375" t="str">
        <f t="shared" si="15"/>
        <v>Sin Mov.</v>
      </c>
      <c r="G375" t="str">
        <f>IF(+'Libro Diario'!H589=0,"",+'Libro Diario'!H589)</f>
        <v/>
      </c>
      <c r="H375" t="str">
        <f>IF(+'Libro Diario'!I589=0,"",+'Libro Diario'!I589)</f>
        <v/>
      </c>
      <c r="I375" t="str">
        <f>+IF(Table3[[#This Row],[Tipo Movimiento]]="Estructura Balance y PyG","Excluir","Incluir")</f>
        <v>Incluir</v>
      </c>
      <c r="J375" s="153">
        <f>+IF(Table3[[#This Row],[Sin cuenta]]="Con Mov.",(IF(Table3[[#This Row],[Movimiento]]="Debe",Table3[[#This Row],[Importe]],IF(Table3[[#This Row],[Movimiento]]="Haber",Table3[[#This Row],[Importe]]*-1,0))),0)</f>
        <v>0</v>
      </c>
      <c r="K375" s="145">
        <f t="shared" si="16"/>
        <v>0</v>
      </c>
      <c r="L375" s="145" t="str">
        <f t="shared" si="17"/>
        <v/>
      </c>
      <c r="M375" t="str">
        <f>_xlfn.XLOOKUP(Table3[[#This Row],[Cuenta]],Estructura_Balance[Nombre Cuenta ()],Estructura_Balance[Grupo],"",0)</f>
        <v/>
      </c>
      <c r="N375" t="str">
        <f>_xlfn.XLOOKUP(Table3[[#This Row],[Cuenta]],Estructura_Balance[Nombre Cuenta ()],Estructura_Balance[Nivel 1],"",0)</f>
        <v/>
      </c>
      <c r="O375" t="str">
        <f>_xlfn.XLOOKUP(Table3[[#This Row],[Cuenta]],Estructura_Balance[Nombre Cuenta ()],Estructura_Balance[Nivel 2],"",0)</f>
        <v/>
      </c>
      <c r="P375" t="str">
        <f>_xlfn.XLOOKUP(Table3[[#This Row],[Cuenta]],Estructura_Balance[Nombre Cuenta ()],Estructura_Balance[Nivel 3],"",0)</f>
        <v/>
      </c>
      <c r="Q375" t="str">
        <f>_xlfn.XLOOKUP(Table3[[#This Row],[Cuenta]],Estructura_Balance[Nombre Cuenta ()],Estructura_Balance[Nivel 4],"",0)</f>
        <v/>
      </c>
      <c r="R375" s="154" t="str">
        <f>_xlfn.XLOOKUP(Table3[[#This Row],[Cuenta]],Table8[Nombre Cuenta ()],Table8[Nivel 1],"",0)</f>
        <v/>
      </c>
      <c r="S375" t="str">
        <f>_xlfn.XLOOKUP(Table3[[#This Row],[Cuenta]],Table8[Nombre Cuenta ()],Table8[Nivel 2],"",0)</f>
        <v/>
      </c>
      <c r="T375" t="str">
        <f>_xlfn.XLOOKUP(Table3[[#This Row],[Cuenta]],Table8[Nombre Cuenta ()],Table8[Nivel 3],"",0)</f>
        <v/>
      </c>
      <c r="U375">
        <v>781</v>
      </c>
      <c r="V375" t="str">
        <f>_xlfn.XLOOKUP(Table3[[#This Row],[Cuenta]],Estructura_Balance[Nombre Cuenta ()],Estructura_Balance[Niveles:2],"",0)</f>
        <v/>
      </c>
      <c r="W375" t="str">
        <f>_xlfn.XLOOKUP(Table3[[#This Row],[Cuenta]],Estructura_Balance[Nombre Cuenta ()],Estructura_Balance[Niveles:3],"",0)</f>
        <v/>
      </c>
      <c r="X375" t="str">
        <f>_xlfn.XLOOKUP(Table3[[#This Row],[Cuenta]],Estructura_Balance[Nombre Cuenta ()],Estructura_Balance[Grupos],"Grupo 1",0)</f>
        <v>Grupo 1</v>
      </c>
      <c r="Y375" t="str">
        <f>+Table3[[#This Row],[BS_Nivel_1]]</f>
        <v/>
      </c>
    </row>
    <row r="376" spans="1:25">
      <c r="A376">
        <f>+'Libro Diario'!F590</f>
        <v>0</v>
      </c>
      <c r="B376" s="144">
        <f>VALUE(IF(+'Libro Diario'!G590="","01/01/2025",+'Libro Diario'!G590))</f>
        <v>45658</v>
      </c>
      <c r="C376">
        <f>IF(ISNUMBER(+IF(IFERROR(VALUE(MID('Libro Diario'!C590,1,4)),0)&lt;&gt;0,'Libro Diario'!C590,0))=FALSE,'Libro Diario'!C590,0)</f>
        <v>0</v>
      </c>
      <c r="D376" s="145" t="str">
        <f>+'Libro Diario'!B590</f>
        <v>DEBE</v>
      </c>
      <c r="E376" s="139" t="s">
        <v>445</v>
      </c>
      <c r="F376" t="str">
        <f t="shared" si="15"/>
        <v>Sin Mov.</v>
      </c>
      <c r="G376" t="str">
        <f>IF(+'Libro Diario'!H590=0,"",+'Libro Diario'!H590)</f>
        <v/>
      </c>
      <c r="H376" t="str">
        <f>IF(+'Libro Diario'!I590=0,"",+'Libro Diario'!I590)</f>
        <v/>
      </c>
      <c r="I376" t="str">
        <f>+IF(Table3[[#This Row],[Tipo Movimiento]]="Estructura Balance y PyG","Excluir","Incluir")</f>
        <v>Incluir</v>
      </c>
      <c r="J376" s="153">
        <f>+IF(Table3[[#This Row],[Sin cuenta]]="Con Mov.",(IF(Table3[[#This Row],[Movimiento]]="Debe",Table3[[#This Row],[Importe]],IF(Table3[[#This Row],[Movimiento]]="Haber",Table3[[#This Row],[Importe]]*-1,0))),0)</f>
        <v>0</v>
      </c>
      <c r="K376" s="145" t="str">
        <f t="shared" si="16"/>
        <v>DEBE</v>
      </c>
      <c r="L376" s="145" t="str">
        <f t="shared" si="17"/>
        <v/>
      </c>
      <c r="M376" t="str">
        <f>_xlfn.XLOOKUP(Table3[[#This Row],[Cuenta]],Estructura_Balance[Nombre Cuenta ()],Estructura_Balance[Grupo],"",0)</f>
        <v/>
      </c>
      <c r="N376" t="str">
        <f>_xlfn.XLOOKUP(Table3[[#This Row],[Cuenta]],Estructura_Balance[Nombre Cuenta ()],Estructura_Balance[Nivel 1],"",0)</f>
        <v/>
      </c>
      <c r="O376" t="str">
        <f>_xlfn.XLOOKUP(Table3[[#This Row],[Cuenta]],Estructura_Balance[Nombre Cuenta ()],Estructura_Balance[Nivel 2],"",0)</f>
        <v/>
      </c>
      <c r="P376" t="str">
        <f>_xlfn.XLOOKUP(Table3[[#This Row],[Cuenta]],Estructura_Balance[Nombre Cuenta ()],Estructura_Balance[Nivel 3],"",0)</f>
        <v/>
      </c>
      <c r="Q376" t="str">
        <f>_xlfn.XLOOKUP(Table3[[#This Row],[Cuenta]],Estructura_Balance[Nombre Cuenta ()],Estructura_Balance[Nivel 4],"",0)</f>
        <v/>
      </c>
      <c r="R376" s="154" t="str">
        <f>_xlfn.XLOOKUP(Table3[[#This Row],[Cuenta]],Table8[Nombre Cuenta ()],Table8[Nivel 1],"",0)</f>
        <v/>
      </c>
      <c r="S376" t="str">
        <f>_xlfn.XLOOKUP(Table3[[#This Row],[Cuenta]],Table8[Nombre Cuenta ()],Table8[Nivel 2],"",0)</f>
        <v/>
      </c>
      <c r="T376" t="str">
        <f>_xlfn.XLOOKUP(Table3[[#This Row],[Cuenta]],Table8[Nombre Cuenta ()],Table8[Nivel 3],"",0)</f>
        <v/>
      </c>
      <c r="U376">
        <v>782</v>
      </c>
      <c r="V376" t="str">
        <f>_xlfn.XLOOKUP(Table3[[#This Row],[Cuenta]],Estructura_Balance[Nombre Cuenta ()],Estructura_Balance[Niveles:2],"",0)</f>
        <v/>
      </c>
      <c r="W376" t="str">
        <f>_xlfn.XLOOKUP(Table3[[#This Row],[Cuenta]],Estructura_Balance[Nombre Cuenta ()],Estructura_Balance[Niveles:3],"",0)</f>
        <v/>
      </c>
      <c r="X376" t="str">
        <f>_xlfn.XLOOKUP(Table3[[#This Row],[Cuenta]],Estructura_Balance[Nombre Cuenta ()],Estructura_Balance[Grupos],"Grupo 1",0)</f>
        <v>Grupo 1</v>
      </c>
      <c r="Y376" t="str">
        <f>+Table3[[#This Row],[BS_Nivel_1]]</f>
        <v/>
      </c>
    </row>
    <row r="377" spans="1:25">
      <c r="A377">
        <f>+'Libro Diario'!F591</f>
        <v>0</v>
      </c>
      <c r="B377" s="144">
        <f>VALUE(IF(+'Libro Diario'!G591="","01/01/2025",+'Libro Diario'!G591))</f>
        <v>45658</v>
      </c>
      <c r="C377">
        <f>IF(ISNUMBER(+IF(IFERROR(VALUE(MID('Libro Diario'!C591,1,4)),0)&lt;&gt;0,'Libro Diario'!C591,0))=FALSE,'Libro Diario'!C591,0)</f>
        <v>0</v>
      </c>
      <c r="D377" s="145">
        <f>+'Libro Diario'!B591</f>
        <v>0</v>
      </c>
      <c r="E377" s="139" t="s">
        <v>445</v>
      </c>
      <c r="F377" t="str">
        <f t="shared" si="15"/>
        <v>Sin Mov.</v>
      </c>
      <c r="G377" t="str">
        <f>IF(+'Libro Diario'!H591=0,"",+'Libro Diario'!H591)</f>
        <v/>
      </c>
      <c r="H377" t="str">
        <f>IF(+'Libro Diario'!I591=0,"",+'Libro Diario'!I591)</f>
        <v/>
      </c>
      <c r="I377" t="str">
        <f>+IF(Table3[[#This Row],[Tipo Movimiento]]="Estructura Balance y PyG","Excluir","Incluir")</f>
        <v>Incluir</v>
      </c>
      <c r="J377" s="153">
        <f>+IF(Table3[[#This Row],[Sin cuenta]]="Con Mov.",(IF(Table3[[#This Row],[Movimiento]]="Debe",Table3[[#This Row],[Importe]],IF(Table3[[#This Row],[Movimiento]]="Haber",Table3[[#This Row],[Importe]]*-1,0))),0)</f>
        <v>0</v>
      </c>
      <c r="K377" s="145">
        <f t="shared" si="16"/>
        <v>0</v>
      </c>
      <c r="L377" s="145" t="str">
        <f t="shared" si="17"/>
        <v/>
      </c>
      <c r="M377" t="str">
        <f>_xlfn.XLOOKUP(Table3[[#This Row],[Cuenta]],Estructura_Balance[Nombre Cuenta ()],Estructura_Balance[Grupo],"",0)</f>
        <v/>
      </c>
      <c r="N377" t="str">
        <f>_xlfn.XLOOKUP(Table3[[#This Row],[Cuenta]],Estructura_Balance[Nombre Cuenta ()],Estructura_Balance[Nivel 1],"",0)</f>
        <v/>
      </c>
      <c r="O377" t="str">
        <f>_xlfn.XLOOKUP(Table3[[#This Row],[Cuenta]],Estructura_Balance[Nombre Cuenta ()],Estructura_Balance[Nivel 2],"",0)</f>
        <v/>
      </c>
      <c r="P377" t="str">
        <f>_xlfn.XLOOKUP(Table3[[#This Row],[Cuenta]],Estructura_Balance[Nombre Cuenta ()],Estructura_Balance[Nivel 3],"",0)</f>
        <v/>
      </c>
      <c r="Q377" t="str">
        <f>_xlfn.XLOOKUP(Table3[[#This Row],[Cuenta]],Estructura_Balance[Nombre Cuenta ()],Estructura_Balance[Nivel 4],"",0)</f>
        <v/>
      </c>
      <c r="R377" s="154" t="str">
        <f>_xlfn.XLOOKUP(Table3[[#This Row],[Cuenta]],Table8[Nombre Cuenta ()],Table8[Nivel 1],"",0)</f>
        <v/>
      </c>
      <c r="S377" t="str">
        <f>_xlfn.XLOOKUP(Table3[[#This Row],[Cuenta]],Table8[Nombre Cuenta ()],Table8[Nivel 2],"",0)</f>
        <v/>
      </c>
      <c r="T377" t="str">
        <f>_xlfn.XLOOKUP(Table3[[#This Row],[Cuenta]],Table8[Nombre Cuenta ()],Table8[Nivel 3],"",0)</f>
        <v/>
      </c>
      <c r="U377">
        <v>783</v>
      </c>
      <c r="V377" t="str">
        <f>_xlfn.XLOOKUP(Table3[[#This Row],[Cuenta]],Estructura_Balance[Nombre Cuenta ()],Estructura_Balance[Niveles:2],"",0)</f>
        <v/>
      </c>
      <c r="W377" t="str">
        <f>_xlfn.XLOOKUP(Table3[[#This Row],[Cuenta]],Estructura_Balance[Nombre Cuenta ()],Estructura_Balance[Niveles:3],"",0)</f>
        <v/>
      </c>
      <c r="X377" t="str">
        <f>_xlfn.XLOOKUP(Table3[[#This Row],[Cuenta]],Estructura_Balance[Nombre Cuenta ()],Estructura_Balance[Grupos],"Grupo 1",0)</f>
        <v>Grupo 1</v>
      </c>
      <c r="Y377" t="str">
        <f>+Table3[[#This Row],[BS_Nivel_1]]</f>
        <v/>
      </c>
    </row>
    <row r="378" spans="1:25">
      <c r="A378">
        <f>+'Libro Diario'!F592</f>
        <v>67</v>
      </c>
      <c r="B378" s="144">
        <f>VALUE(IF(+'Libro Diario'!G592="","01/01/2025",+'Libro Diario'!G592))</f>
        <v>0</v>
      </c>
      <c r="C378">
        <f>IF(ISNUMBER(+IF(IFERROR(VALUE(MID('Libro Diario'!C592,1,4)),0)&lt;&gt;0,'Libro Diario'!C592,0))=FALSE,'Libro Diario'!C592,0)</f>
        <v>0</v>
      </c>
      <c r="D378" s="145">
        <f>+'Libro Diario'!B592</f>
        <v>0</v>
      </c>
      <c r="E378" s="139" t="s">
        <v>445</v>
      </c>
      <c r="F378" t="str">
        <f t="shared" si="15"/>
        <v>Sin Mov.</v>
      </c>
      <c r="G378" t="str">
        <f>IF(+'Libro Diario'!H592=0,"",+'Libro Diario'!H592)</f>
        <v>Operaciones del Ejercicio</v>
      </c>
      <c r="H378" t="str">
        <f>IF(+'Libro Diario'!I592=0,"",+'Libro Diario'!I592)</f>
        <v/>
      </c>
      <c r="I378" t="str">
        <f>+IF(Table3[[#This Row],[Tipo Movimiento]]="Estructura Balance y PyG","Excluir","Incluir")</f>
        <v>Incluir</v>
      </c>
      <c r="J378" s="153">
        <f>+IF(Table3[[#This Row],[Sin cuenta]]="Con Mov.",(IF(Table3[[#This Row],[Movimiento]]="Debe",Table3[[#This Row],[Importe]],IF(Table3[[#This Row],[Movimiento]]="Haber",Table3[[#This Row],[Importe]]*-1,0))),0)</f>
        <v>0</v>
      </c>
      <c r="K378" s="145">
        <f t="shared" si="16"/>
        <v>0</v>
      </c>
      <c r="L378" s="145" t="str">
        <f t="shared" si="17"/>
        <v/>
      </c>
      <c r="M378" t="str">
        <f>_xlfn.XLOOKUP(Table3[[#This Row],[Cuenta]],Estructura_Balance[Nombre Cuenta ()],Estructura_Balance[Grupo],"",0)</f>
        <v/>
      </c>
      <c r="N378" t="str">
        <f>_xlfn.XLOOKUP(Table3[[#This Row],[Cuenta]],Estructura_Balance[Nombre Cuenta ()],Estructura_Balance[Nivel 1],"",0)</f>
        <v/>
      </c>
      <c r="O378" t="str">
        <f>_xlfn.XLOOKUP(Table3[[#This Row],[Cuenta]],Estructura_Balance[Nombre Cuenta ()],Estructura_Balance[Nivel 2],"",0)</f>
        <v/>
      </c>
      <c r="P378" t="str">
        <f>_xlfn.XLOOKUP(Table3[[#This Row],[Cuenta]],Estructura_Balance[Nombre Cuenta ()],Estructura_Balance[Nivel 3],"",0)</f>
        <v/>
      </c>
      <c r="Q378" t="str">
        <f>_xlfn.XLOOKUP(Table3[[#This Row],[Cuenta]],Estructura_Balance[Nombre Cuenta ()],Estructura_Balance[Nivel 4],"",0)</f>
        <v/>
      </c>
      <c r="R378" t="str">
        <f>_xlfn.XLOOKUP(Table3[[#This Row],[Cuenta]],Table8[Nombre Cuenta ()],Table8[Nivel 1],"",0)</f>
        <v/>
      </c>
      <c r="S378" t="str">
        <f>_xlfn.XLOOKUP(Table3[[#This Row],[Cuenta]],Table8[Nombre Cuenta ()],Table8[Nivel 2],"",0)</f>
        <v/>
      </c>
      <c r="T378" t="str">
        <f>_xlfn.XLOOKUP(Table3[[#This Row],[Cuenta]],Table8[Nombre Cuenta ()],Table8[Nivel 3],"",0)</f>
        <v/>
      </c>
      <c r="U378">
        <v>784</v>
      </c>
      <c r="V378" t="str">
        <f>_xlfn.XLOOKUP(Table3[[#This Row],[Cuenta]],Estructura_Balance[Nombre Cuenta ()],Estructura_Balance[Niveles:2],"",0)</f>
        <v/>
      </c>
      <c r="W378" t="str">
        <f>_xlfn.XLOOKUP(Table3[[#This Row],[Cuenta]],Estructura_Balance[Nombre Cuenta ()],Estructura_Balance[Niveles:3],"",0)</f>
        <v/>
      </c>
      <c r="X378" t="str">
        <f>_xlfn.XLOOKUP(Table3[[#This Row],[Cuenta]],Estructura_Balance[Nombre Cuenta ()],Estructura_Balance[Grupos],"Grupo 1",0)</f>
        <v>Grupo 1</v>
      </c>
      <c r="Y378" t="str">
        <f>+Table3[[#This Row],[BS_Nivel_1]]</f>
        <v/>
      </c>
    </row>
    <row r="379" spans="1:25">
      <c r="A379">
        <f>+'Libro Diario'!F593</f>
        <v>67</v>
      </c>
      <c r="B379" s="144">
        <f>VALUE(IF(+'Libro Diario'!G593="","01/01/2025",+'Libro Diario'!G593))</f>
        <v>0</v>
      </c>
      <c r="C379">
        <f>IF(ISNUMBER(+IF(IFERROR(VALUE(MID('Libro Diario'!C593,1,4)),0)&lt;&gt;0,'Libro Diario'!C593,0))=FALSE,'Libro Diario'!C593,0)</f>
        <v>0</v>
      </c>
      <c r="D379" s="145">
        <f>+'Libro Diario'!B593</f>
        <v>0</v>
      </c>
      <c r="E379" s="139" t="s">
        <v>445</v>
      </c>
      <c r="F379" t="str">
        <f t="shared" si="15"/>
        <v>Sin Mov.</v>
      </c>
      <c r="G379" t="str">
        <f>IF(+'Libro Diario'!H593=0,"",+'Libro Diario'!H593)</f>
        <v>Operaciones del Ejercicio</v>
      </c>
      <c r="H379" t="str">
        <f>IF(+'Libro Diario'!I593=0,"",+'Libro Diario'!I593)</f>
        <v/>
      </c>
      <c r="I379" t="str">
        <f>+IF(Table3[[#This Row],[Tipo Movimiento]]="Estructura Balance y PyG","Excluir","Incluir")</f>
        <v>Incluir</v>
      </c>
      <c r="J379" s="153">
        <f>+IF(Table3[[#This Row],[Sin cuenta]]="Con Mov.",(IF(Table3[[#This Row],[Movimiento]]="Debe",Table3[[#This Row],[Importe]],IF(Table3[[#This Row],[Movimiento]]="Haber",Table3[[#This Row],[Importe]]*-1,0))),0)</f>
        <v>0</v>
      </c>
      <c r="K379" s="145">
        <f t="shared" si="16"/>
        <v>0</v>
      </c>
      <c r="L379" s="145" t="str">
        <f t="shared" si="17"/>
        <v/>
      </c>
      <c r="M379" t="str">
        <f>_xlfn.XLOOKUP(Table3[[#This Row],[Cuenta]],Estructura_Balance[Nombre Cuenta ()],Estructura_Balance[Grupo],"",0)</f>
        <v/>
      </c>
      <c r="N379" t="str">
        <f>_xlfn.XLOOKUP(Table3[[#This Row],[Cuenta]],Estructura_Balance[Nombre Cuenta ()],Estructura_Balance[Nivel 1],"",0)</f>
        <v/>
      </c>
      <c r="O379" t="str">
        <f>_xlfn.XLOOKUP(Table3[[#This Row],[Cuenta]],Estructura_Balance[Nombre Cuenta ()],Estructura_Balance[Nivel 2],"",0)</f>
        <v/>
      </c>
      <c r="P379" t="str">
        <f>_xlfn.XLOOKUP(Table3[[#This Row],[Cuenta]],Estructura_Balance[Nombre Cuenta ()],Estructura_Balance[Nivel 3],"",0)</f>
        <v/>
      </c>
      <c r="Q379" t="str">
        <f>_xlfn.XLOOKUP(Table3[[#This Row],[Cuenta]],Estructura_Balance[Nombre Cuenta ()],Estructura_Balance[Nivel 4],"",0)</f>
        <v/>
      </c>
      <c r="R379" s="154" t="str">
        <f>_xlfn.XLOOKUP(Table3[[#This Row],[Cuenta]],Table8[Nombre Cuenta ()],Table8[Nivel 1],"",0)</f>
        <v/>
      </c>
      <c r="S379" t="str">
        <f>_xlfn.XLOOKUP(Table3[[#This Row],[Cuenta]],Table8[Nombre Cuenta ()],Table8[Nivel 2],"",0)</f>
        <v/>
      </c>
      <c r="T379" t="str">
        <f>_xlfn.XLOOKUP(Table3[[#This Row],[Cuenta]],Table8[Nombre Cuenta ()],Table8[Nivel 3],"",0)</f>
        <v/>
      </c>
      <c r="U379">
        <v>785</v>
      </c>
      <c r="V379" t="str">
        <f>_xlfn.XLOOKUP(Table3[[#This Row],[Cuenta]],Estructura_Balance[Nombre Cuenta ()],Estructura_Balance[Niveles:2],"",0)</f>
        <v/>
      </c>
      <c r="W379" t="str">
        <f>_xlfn.XLOOKUP(Table3[[#This Row],[Cuenta]],Estructura_Balance[Nombre Cuenta ()],Estructura_Balance[Niveles:3],"",0)</f>
        <v/>
      </c>
      <c r="X379" t="str">
        <f>_xlfn.XLOOKUP(Table3[[#This Row],[Cuenta]],Estructura_Balance[Nombre Cuenta ()],Estructura_Balance[Grupos],"Grupo 1",0)</f>
        <v>Grupo 1</v>
      </c>
      <c r="Y379" t="str">
        <f>+Table3[[#This Row],[BS_Nivel_1]]</f>
        <v/>
      </c>
    </row>
    <row r="380" spans="1:25">
      <c r="A380">
        <f>+'Libro Diario'!F594</f>
        <v>0</v>
      </c>
      <c r="B380" s="144">
        <f>VALUE(IF(+'Libro Diario'!G594="","01/01/2025",+'Libro Diario'!G594))</f>
        <v>45658</v>
      </c>
      <c r="C380">
        <f>IF(ISNUMBER(+IF(IFERROR(VALUE(MID('Libro Diario'!C594,1,4)),0)&lt;&gt;0,'Libro Diario'!C594,0))=FALSE,'Libro Diario'!C594,0)</f>
        <v>0</v>
      </c>
      <c r="D380" s="145" t="str">
        <f>+'Libro Diario'!B594</f>
        <v>Operaciones del Ejercicio</v>
      </c>
      <c r="E380" s="139" t="s">
        <v>445</v>
      </c>
      <c r="F380" t="str">
        <f t="shared" si="15"/>
        <v>Sin Mov.</v>
      </c>
      <c r="G380" t="str">
        <f>IF(+'Libro Diario'!H594=0,"",+'Libro Diario'!H594)</f>
        <v/>
      </c>
      <c r="H380" t="str">
        <f>IF(+'Libro Diario'!I594=0,"",+'Libro Diario'!I594)</f>
        <v/>
      </c>
      <c r="I380" t="str">
        <f>+IF(Table3[[#This Row],[Tipo Movimiento]]="Estructura Balance y PyG","Excluir","Incluir")</f>
        <v>Incluir</v>
      </c>
      <c r="J380" s="153">
        <f>+IF(Table3[[#This Row],[Sin cuenta]]="Con Mov.",(IF(Table3[[#This Row],[Movimiento]]="Debe",Table3[[#This Row],[Importe]],IF(Table3[[#This Row],[Movimiento]]="Haber",Table3[[#This Row],[Importe]]*-1,0))),0)</f>
        <v>0</v>
      </c>
      <c r="K380" s="145" t="str">
        <f t="shared" si="16"/>
        <v>Operaciones del Ejercicio</v>
      </c>
      <c r="L380" s="145" t="str">
        <f t="shared" si="17"/>
        <v/>
      </c>
      <c r="M380" t="str">
        <f>_xlfn.XLOOKUP(Table3[[#This Row],[Cuenta]],Estructura_Balance[Nombre Cuenta ()],Estructura_Balance[Grupo],"",0)</f>
        <v/>
      </c>
      <c r="N380" t="str">
        <f>_xlfn.XLOOKUP(Table3[[#This Row],[Cuenta]],Estructura_Balance[Nombre Cuenta ()],Estructura_Balance[Nivel 1],"",0)</f>
        <v/>
      </c>
      <c r="O380" t="str">
        <f>_xlfn.XLOOKUP(Table3[[#This Row],[Cuenta]],Estructura_Balance[Nombre Cuenta ()],Estructura_Balance[Nivel 2],"",0)</f>
        <v/>
      </c>
      <c r="P380" t="str">
        <f>_xlfn.XLOOKUP(Table3[[#This Row],[Cuenta]],Estructura_Balance[Nombre Cuenta ()],Estructura_Balance[Nivel 3],"",0)</f>
        <v/>
      </c>
      <c r="Q380" t="str">
        <f>_xlfn.XLOOKUP(Table3[[#This Row],[Cuenta]],Estructura_Balance[Nombre Cuenta ()],Estructura_Balance[Nivel 4],"",0)</f>
        <v/>
      </c>
      <c r="R380" t="str">
        <f>_xlfn.XLOOKUP(Table3[[#This Row],[Cuenta]],Table8[Nombre Cuenta ()],Table8[Nivel 1],"",0)</f>
        <v/>
      </c>
      <c r="S380" t="str">
        <f>_xlfn.XLOOKUP(Table3[[#This Row],[Cuenta]],Table8[Nombre Cuenta ()],Table8[Nivel 2],"",0)</f>
        <v/>
      </c>
      <c r="T380" t="str">
        <f>_xlfn.XLOOKUP(Table3[[#This Row],[Cuenta]],Table8[Nombre Cuenta ()],Table8[Nivel 3],"",0)</f>
        <v/>
      </c>
      <c r="U380">
        <v>786</v>
      </c>
      <c r="V380" t="str">
        <f>_xlfn.XLOOKUP(Table3[[#This Row],[Cuenta]],Estructura_Balance[Nombre Cuenta ()],Estructura_Balance[Niveles:2],"",0)</f>
        <v/>
      </c>
      <c r="W380" t="str">
        <f>_xlfn.XLOOKUP(Table3[[#This Row],[Cuenta]],Estructura_Balance[Nombre Cuenta ()],Estructura_Balance[Niveles:3],"",0)</f>
        <v/>
      </c>
      <c r="X380" t="str">
        <f>_xlfn.XLOOKUP(Table3[[#This Row],[Cuenta]],Estructura_Balance[Nombre Cuenta ()],Estructura_Balance[Grupos],"Grupo 1",0)</f>
        <v>Grupo 1</v>
      </c>
      <c r="Y380" t="str">
        <f>+Table3[[#This Row],[BS_Nivel_1]]</f>
        <v/>
      </c>
    </row>
    <row r="381" spans="1:25">
      <c r="A381">
        <f>+'Libro Diario'!F595</f>
        <v>0</v>
      </c>
      <c r="B381" s="144">
        <f>VALUE(IF(+'Libro Diario'!G595="","01/01/2025",+'Libro Diario'!G595))</f>
        <v>45658</v>
      </c>
      <c r="C381">
        <f>IF(ISNUMBER(+IF(IFERROR(VALUE(MID('Libro Diario'!C595,1,4)),0)&lt;&gt;0,'Libro Diario'!C595,0))=FALSE,'Libro Diario'!C595,0)</f>
        <v>0</v>
      </c>
      <c r="D381" s="145" t="str">
        <f>+'Libro Diario'!B595</f>
        <v>Asiento Cuadrado</v>
      </c>
      <c r="E381" s="139" t="s">
        <v>445</v>
      </c>
      <c r="F381" t="str">
        <f t="shared" si="15"/>
        <v>Sin Mov.</v>
      </c>
      <c r="G381" t="str">
        <f>IF(+'Libro Diario'!H595=0,"",+'Libro Diario'!H595)</f>
        <v/>
      </c>
      <c r="H381" t="str">
        <f>IF(+'Libro Diario'!I595=0,"",+'Libro Diario'!I595)</f>
        <v/>
      </c>
      <c r="I381" t="str">
        <f>+IF(Table3[[#This Row],[Tipo Movimiento]]="Estructura Balance y PyG","Excluir","Incluir")</f>
        <v>Incluir</v>
      </c>
      <c r="J381" s="153">
        <f>+IF(Table3[[#This Row],[Sin cuenta]]="Con Mov.",(IF(Table3[[#This Row],[Movimiento]]="Debe",Table3[[#This Row],[Importe]],IF(Table3[[#This Row],[Movimiento]]="Haber",Table3[[#This Row],[Importe]]*-1,0))),0)</f>
        <v>0</v>
      </c>
      <c r="K381" s="145" t="str">
        <f t="shared" si="16"/>
        <v>Asiento Cuadrado</v>
      </c>
      <c r="L381" s="145" t="str">
        <f t="shared" si="17"/>
        <v/>
      </c>
      <c r="M381" t="str">
        <f>_xlfn.XLOOKUP(Table3[[#This Row],[Cuenta]],Estructura_Balance[Nombre Cuenta ()],Estructura_Balance[Grupo],"",0)</f>
        <v/>
      </c>
      <c r="N381" t="str">
        <f>_xlfn.XLOOKUP(Table3[[#This Row],[Cuenta]],Estructura_Balance[Nombre Cuenta ()],Estructura_Balance[Nivel 1],"",0)</f>
        <v/>
      </c>
      <c r="O381" t="str">
        <f>_xlfn.XLOOKUP(Table3[[#This Row],[Cuenta]],Estructura_Balance[Nombre Cuenta ()],Estructura_Balance[Nivel 2],"",0)</f>
        <v/>
      </c>
      <c r="P381" t="str">
        <f>_xlfn.XLOOKUP(Table3[[#This Row],[Cuenta]],Estructura_Balance[Nombre Cuenta ()],Estructura_Balance[Nivel 3],"",0)</f>
        <v/>
      </c>
      <c r="Q381" t="str">
        <f>_xlfn.XLOOKUP(Table3[[#This Row],[Cuenta]],Estructura_Balance[Nombre Cuenta ()],Estructura_Balance[Nivel 4],"",0)</f>
        <v/>
      </c>
      <c r="R381" s="154" t="str">
        <f>_xlfn.XLOOKUP(Table3[[#This Row],[Cuenta]],Table8[Nombre Cuenta ()],Table8[Nivel 1],"",0)</f>
        <v/>
      </c>
      <c r="S381" t="str">
        <f>_xlfn.XLOOKUP(Table3[[#This Row],[Cuenta]],Table8[Nombre Cuenta ()],Table8[Nivel 2],"",0)</f>
        <v/>
      </c>
      <c r="T381" t="str">
        <f>_xlfn.XLOOKUP(Table3[[#This Row],[Cuenta]],Table8[Nombre Cuenta ()],Table8[Nivel 3],"",0)</f>
        <v/>
      </c>
      <c r="U381">
        <v>787</v>
      </c>
      <c r="V381" t="str">
        <f>_xlfn.XLOOKUP(Table3[[#This Row],[Cuenta]],Estructura_Balance[Nombre Cuenta ()],Estructura_Balance[Niveles:2],"",0)</f>
        <v/>
      </c>
      <c r="W381" t="str">
        <f>_xlfn.XLOOKUP(Table3[[#This Row],[Cuenta]],Estructura_Balance[Nombre Cuenta ()],Estructura_Balance[Niveles:3],"",0)</f>
        <v/>
      </c>
      <c r="X381" t="str">
        <f>_xlfn.XLOOKUP(Table3[[#This Row],[Cuenta]],Estructura_Balance[Nombre Cuenta ()],Estructura_Balance[Grupos],"Grupo 1",0)</f>
        <v>Grupo 1</v>
      </c>
      <c r="Y381" t="str">
        <f>+Table3[[#This Row],[BS_Nivel_1]]</f>
        <v/>
      </c>
    </row>
    <row r="382" spans="1:25">
      <c r="A382">
        <f>+'Libro Diario'!F596</f>
        <v>0</v>
      </c>
      <c r="B382" s="144">
        <f>VALUE(IF(+'Libro Diario'!G596="","01/01/2025",+'Libro Diario'!G596))</f>
        <v>45658</v>
      </c>
      <c r="C382">
        <f>IF(ISNUMBER(+IF(IFERROR(VALUE(MID('Libro Diario'!C596,1,4)),0)&lt;&gt;0,'Libro Diario'!C596,0))=FALSE,'Libro Diario'!C596,0)</f>
        <v>0</v>
      </c>
      <c r="D382" s="145">
        <f>+'Libro Diario'!B596</f>
        <v>0</v>
      </c>
      <c r="E382" s="139" t="s">
        <v>445</v>
      </c>
      <c r="F382" t="str">
        <f t="shared" si="15"/>
        <v>Sin Mov.</v>
      </c>
      <c r="G382" t="str">
        <f>IF(+'Libro Diario'!H596=0,"",+'Libro Diario'!H596)</f>
        <v/>
      </c>
      <c r="H382" t="str">
        <f>IF(+'Libro Diario'!I596=0,"",+'Libro Diario'!I596)</f>
        <v/>
      </c>
      <c r="I382" t="str">
        <f>+IF(Table3[[#This Row],[Tipo Movimiento]]="Estructura Balance y PyG","Excluir","Incluir")</f>
        <v>Incluir</v>
      </c>
      <c r="J382" s="153">
        <f>+IF(Table3[[#This Row],[Sin cuenta]]="Con Mov.",(IF(Table3[[#This Row],[Movimiento]]="Debe",Table3[[#This Row],[Importe]],IF(Table3[[#This Row],[Movimiento]]="Haber",Table3[[#This Row],[Importe]]*-1,0))),0)</f>
        <v>0</v>
      </c>
      <c r="K382" s="145">
        <f t="shared" si="16"/>
        <v>0</v>
      </c>
      <c r="L382" s="145" t="str">
        <f t="shared" si="17"/>
        <v/>
      </c>
      <c r="M382" t="str">
        <f>_xlfn.XLOOKUP(Table3[[#This Row],[Cuenta]],Estructura_Balance[Nombre Cuenta ()],Estructura_Balance[Grupo],"",0)</f>
        <v/>
      </c>
      <c r="N382" t="str">
        <f>_xlfn.XLOOKUP(Table3[[#This Row],[Cuenta]],Estructura_Balance[Nombre Cuenta ()],Estructura_Balance[Nivel 1],"",0)</f>
        <v/>
      </c>
      <c r="O382" t="str">
        <f>_xlfn.XLOOKUP(Table3[[#This Row],[Cuenta]],Estructura_Balance[Nombre Cuenta ()],Estructura_Balance[Nivel 2],"",0)</f>
        <v/>
      </c>
      <c r="P382" t="str">
        <f>_xlfn.XLOOKUP(Table3[[#This Row],[Cuenta]],Estructura_Balance[Nombre Cuenta ()],Estructura_Balance[Nivel 3],"",0)</f>
        <v/>
      </c>
      <c r="Q382" t="str">
        <f>_xlfn.XLOOKUP(Table3[[#This Row],[Cuenta]],Estructura_Balance[Nombre Cuenta ()],Estructura_Balance[Nivel 4],"",0)</f>
        <v/>
      </c>
      <c r="R382" t="str">
        <f>_xlfn.XLOOKUP(Table3[[#This Row],[Cuenta]],Table8[Nombre Cuenta ()],Table8[Nivel 1],"",0)</f>
        <v/>
      </c>
      <c r="S382" t="str">
        <f>_xlfn.XLOOKUP(Table3[[#This Row],[Cuenta]],Table8[Nombre Cuenta ()],Table8[Nivel 2],"",0)</f>
        <v/>
      </c>
      <c r="T382" t="str">
        <f>_xlfn.XLOOKUP(Table3[[#This Row],[Cuenta]],Table8[Nombre Cuenta ()],Table8[Nivel 3],"",0)</f>
        <v/>
      </c>
      <c r="U382">
        <v>788</v>
      </c>
      <c r="V382" t="str">
        <f>_xlfn.XLOOKUP(Table3[[#This Row],[Cuenta]],Estructura_Balance[Nombre Cuenta ()],Estructura_Balance[Niveles:2],"",0)</f>
        <v/>
      </c>
      <c r="W382" t="str">
        <f>_xlfn.XLOOKUP(Table3[[#This Row],[Cuenta]],Estructura_Balance[Nombre Cuenta ()],Estructura_Balance[Niveles:3],"",0)</f>
        <v/>
      </c>
      <c r="X382" t="str">
        <f>_xlfn.XLOOKUP(Table3[[#This Row],[Cuenta]],Estructura_Balance[Nombre Cuenta ()],Estructura_Balance[Grupos],"Grupo 1",0)</f>
        <v>Grupo 1</v>
      </c>
      <c r="Y382" t="str">
        <f>+Table3[[#This Row],[BS_Nivel_1]]</f>
        <v/>
      </c>
    </row>
    <row r="383" spans="1:25">
      <c r="A383">
        <f>+'Libro Diario'!F597</f>
        <v>0</v>
      </c>
      <c r="B383" s="144">
        <f>VALUE(IF(+'Libro Diario'!G597="","01/01/2025",+'Libro Diario'!G597))</f>
        <v>45658</v>
      </c>
      <c r="C383">
        <f>IF(ISNUMBER(+IF(IFERROR(VALUE(MID('Libro Diario'!C597,1,4)),0)&lt;&gt;0,'Libro Diario'!C597,0))=FALSE,'Libro Diario'!C597,0)</f>
        <v>0</v>
      </c>
      <c r="D383" s="145" t="str">
        <f>+'Libro Diario'!B597</f>
        <v>DEBE</v>
      </c>
      <c r="E383" s="139" t="s">
        <v>445</v>
      </c>
      <c r="F383" t="str">
        <f t="shared" si="15"/>
        <v>Sin Mov.</v>
      </c>
      <c r="G383" t="str">
        <f>IF(+'Libro Diario'!H597=0,"",+'Libro Diario'!H597)</f>
        <v/>
      </c>
      <c r="H383" t="str">
        <f>IF(+'Libro Diario'!I597=0,"",+'Libro Diario'!I597)</f>
        <v/>
      </c>
      <c r="I383" t="str">
        <f>+IF(Table3[[#This Row],[Tipo Movimiento]]="Estructura Balance y PyG","Excluir","Incluir")</f>
        <v>Incluir</v>
      </c>
      <c r="J383" s="153">
        <f>+IF(Table3[[#This Row],[Sin cuenta]]="Con Mov.",(IF(Table3[[#This Row],[Movimiento]]="Debe",Table3[[#This Row],[Importe]],IF(Table3[[#This Row],[Movimiento]]="Haber",Table3[[#This Row],[Importe]]*-1,0))),0)</f>
        <v>0</v>
      </c>
      <c r="K383" s="145" t="str">
        <f t="shared" si="16"/>
        <v>DEBE</v>
      </c>
      <c r="L383" s="145" t="str">
        <f t="shared" si="17"/>
        <v/>
      </c>
      <c r="M383" t="str">
        <f>_xlfn.XLOOKUP(Table3[[#This Row],[Cuenta]],Estructura_Balance[Nombre Cuenta ()],Estructura_Balance[Grupo],"",0)</f>
        <v/>
      </c>
      <c r="N383" t="str">
        <f>_xlfn.XLOOKUP(Table3[[#This Row],[Cuenta]],Estructura_Balance[Nombre Cuenta ()],Estructura_Balance[Nivel 1],"",0)</f>
        <v/>
      </c>
      <c r="O383" t="str">
        <f>_xlfn.XLOOKUP(Table3[[#This Row],[Cuenta]],Estructura_Balance[Nombre Cuenta ()],Estructura_Balance[Nivel 2],"",0)</f>
        <v/>
      </c>
      <c r="P383" t="str">
        <f>_xlfn.XLOOKUP(Table3[[#This Row],[Cuenta]],Estructura_Balance[Nombre Cuenta ()],Estructura_Balance[Nivel 3],"",0)</f>
        <v/>
      </c>
      <c r="Q383" t="str">
        <f>_xlfn.XLOOKUP(Table3[[#This Row],[Cuenta]],Estructura_Balance[Nombre Cuenta ()],Estructura_Balance[Nivel 4],"",0)</f>
        <v/>
      </c>
      <c r="R383" s="154" t="str">
        <f>_xlfn.XLOOKUP(Table3[[#This Row],[Cuenta]],Table8[Nombre Cuenta ()],Table8[Nivel 1],"",0)</f>
        <v/>
      </c>
      <c r="S383" t="str">
        <f>_xlfn.XLOOKUP(Table3[[#This Row],[Cuenta]],Table8[Nombre Cuenta ()],Table8[Nivel 2],"",0)</f>
        <v/>
      </c>
      <c r="T383" t="str">
        <f>_xlfn.XLOOKUP(Table3[[#This Row],[Cuenta]],Table8[Nombre Cuenta ()],Table8[Nivel 3],"",0)</f>
        <v/>
      </c>
      <c r="U383">
        <v>789</v>
      </c>
      <c r="V383" t="str">
        <f>_xlfn.XLOOKUP(Table3[[#This Row],[Cuenta]],Estructura_Balance[Nombre Cuenta ()],Estructura_Balance[Niveles:2],"",0)</f>
        <v/>
      </c>
      <c r="W383" t="str">
        <f>_xlfn.XLOOKUP(Table3[[#This Row],[Cuenta]],Estructura_Balance[Nombre Cuenta ()],Estructura_Balance[Niveles:3],"",0)</f>
        <v/>
      </c>
      <c r="X383" t="str">
        <f>_xlfn.XLOOKUP(Table3[[#This Row],[Cuenta]],Estructura_Balance[Nombre Cuenta ()],Estructura_Balance[Grupos],"Grupo 1",0)</f>
        <v>Grupo 1</v>
      </c>
      <c r="Y383" t="str">
        <f>+Table3[[#This Row],[BS_Nivel_1]]</f>
        <v/>
      </c>
    </row>
    <row r="384" spans="1:25">
      <c r="A384">
        <f>+'Libro Diario'!F598</f>
        <v>0</v>
      </c>
      <c r="B384" s="144">
        <f>VALUE(IF(+'Libro Diario'!G598="","01/01/2025",+'Libro Diario'!G598))</f>
        <v>45658</v>
      </c>
      <c r="C384">
        <f>IF(ISNUMBER(+IF(IFERROR(VALUE(MID('Libro Diario'!C598,1,4)),0)&lt;&gt;0,'Libro Diario'!C598,0))=FALSE,'Libro Diario'!C598,0)</f>
        <v>0</v>
      </c>
      <c r="D384" s="145">
        <f>+'Libro Diario'!B598</f>
        <v>0</v>
      </c>
      <c r="E384" s="139" t="s">
        <v>445</v>
      </c>
      <c r="F384" t="str">
        <f t="shared" si="15"/>
        <v>Sin Mov.</v>
      </c>
      <c r="G384" t="str">
        <f>IF(+'Libro Diario'!H598=0,"",+'Libro Diario'!H598)</f>
        <v/>
      </c>
      <c r="H384" t="str">
        <f>IF(+'Libro Diario'!I598=0,"",+'Libro Diario'!I598)</f>
        <v/>
      </c>
      <c r="I384" t="str">
        <f>+IF(Table3[[#This Row],[Tipo Movimiento]]="Estructura Balance y PyG","Excluir","Incluir")</f>
        <v>Incluir</v>
      </c>
      <c r="J384" s="153">
        <f>+IF(Table3[[#This Row],[Sin cuenta]]="Con Mov.",(IF(Table3[[#This Row],[Movimiento]]="Debe",Table3[[#This Row],[Importe]],IF(Table3[[#This Row],[Movimiento]]="Haber",Table3[[#This Row],[Importe]]*-1,0))),0)</f>
        <v>0</v>
      </c>
      <c r="K384" s="145">
        <f t="shared" si="16"/>
        <v>0</v>
      </c>
      <c r="L384" s="145" t="str">
        <f t="shared" si="17"/>
        <v/>
      </c>
      <c r="M384" t="str">
        <f>_xlfn.XLOOKUP(Table3[[#This Row],[Cuenta]],Estructura_Balance[Nombre Cuenta ()],Estructura_Balance[Grupo],"",0)</f>
        <v/>
      </c>
      <c r="N384" t="str">
        <f>_xlfn.XLOOKUP(Table3[[#This Row],[Cuenta]],Estructura_Balance[Nombre Cuenta ()],Estructura_Balance[Nivel 1],"",0)</f>
        <v/>
      </c>
      <c r="O384" t="str">
        <f>_xlfn.XLOOKUP(Table3[[#This Row],[Cuenta]],Estructura_Balance[Nombre Cuenta ()],Estructura_Balance[Nivel 2],"",0)</f>
        <v/>
      </c>
      <c r="P384" t="str">
        <f>_xlfn.XLOOKUP(Table3[[#This Row],[Cuenta]],Estructura_Balance[Nombre Cuenta ()],Estructura_Balance[Nivel 3],"",0)</f>
        <v/>
      </c>
      <c r="Q384" t="str">
        <f>_xlfn.XLOOKUP(Table3[[#This Row],[Cuenta]],Estructura_Balance[Nombre Cuenta ()],Estructura_Balance[Nivel 4],"",0)</f>
        <v/>
      </c>
      <c r="R384" t="str">
        <f>_xlfn.XLOOKUP(Table3[[#This Row],[Cuenta]],Table8[Nombre Cuenta ()],Table8[Nivel 1],"",0)</f>
        <v/>
      </c>
      <c r="S384" t="str">
        <f>_xlfn.XLOOKUP(Table3[[#This Row],[Cuenta]],Table8[Nombre Cuenta ()],Table8[Nivel 2],"",0)</f>
        <v/>
      </c>
      <c r="T384" t="str">
        <f>_xlfn.XLOOKUP(Table3[[#This Row],[Cuenta]],Table8[Nombre Cuenta ()],Table8[Nivel 3],"",0)</f>
        <v/>
      </c>
      <c r="U384">
        <v>790</v>
      </c>
      <c r="V384" t="str">
        <f>_xlfn.XLOOKUP(Table3[[#This Row],[Cuenta]],Estructura_Balance[Nombre Cuenta ()],Estructura_Balance[Niveles:2],"",0)</f>
        <v/>
      </c>
      <c r="W384" t="str">
        <f>_xlfn.XLOOKUP(Table3[[#This Row],[Cuenta]],Estructura_Balance[Nombre Cuenta ()],Estructura_Balance[Niveles:3],"",0)</f>
        <v/>
      </c>
      <c r="X384" t="str">
        <f>_xlfn.XLOOKUP(Table3[[#This Row],[Cuenta]],Estructura_Balance[Nombre Cuenta ()],Estructura_Balance[Grupos],"Grupo 1",0)</f>
        <v>Grupo 1</v>
      </c>
      <c r="Y384" t="str">
        <f>+Table3[[#This Row],[BS_Nivel_1]]</f>
        <v/>
      </c>
    </row>
    <row r="385" spans="1:25">
      <c r="A385">
        <f>+'Libro Diario'!F599</f>
        <v>68</v>
      </c>
      <c r="B385" s="144">
        <f>VALUE(IF(+'Libro Diario'!G599="","01/01/2025",+'Libro Diario'!G599))</f>
        <v>0</v>
      </c>
      <c r="C385">
        <f>IF(ISNUMBER(+IF(IFERROR(VALUE(MID('Libro Diario'!C599,1,4)),0)&lt;&gt;0,'Libro Diario'!C599,0))=FALSE,'Libro Diario'!C599,0)</f>
        <v>0</v>
      </c>
      <c r="D385" s="145">
        <f>+'Libro Diario'!B599</f>
        <v>0</v>
      </c>
      <c r="E385" s="139" t="s">
        <v>445</v>
      </c>
      <c r="F385" t="str">
        <f t="shared" si="15"/>
        <v>Sin Mov.</v>
      </c>
      <c r="G385" t="str">
        <f>IF(+'Libro Diario'!H599=0,"",+'Libro Diario'!H599)</f>
        <v>Ajuste por Periodificación</v>
      </c>
      <c r="H385" t="str">
        <f>IF(+'Libro Diario'!I599=0,"",+'Libro Diario'!I599)</f>
        <v/>
      </c>
      <c r="I385" t="str">
        <f>+IF(Table3[[#This Row],[Tipo Movimiento]]="Estructura Balance y PyG","Excluir","Incluir")</f>
        <v>Incluir</v>
      </c>
      <c r="J385" s="153">
        <f>+IF(Table3[[#This Row],[Sin cuenta]]="Con Mov.",(IF(Table3[[#This Row],[Movimiento]]="Debe",Table3[[#This Row],[Importe]],IF(Table3[[#This Row],[Movimiento]]="Haber",Table3[[#This Row],[Importe]]*-1,0))),0)</f>
        <v>0</v>
      </c>
      <c r="K385" s="145">
        <f t="shared" si="16"/>
        <v>0</v>
      </c>
      <c r="L385" s="145" t="str">
        <f t="shared" si="17"/>
        <v/>
      </c>
      <c r="M385" t="str">
        <f>_xlfn.XLOOKUP(Table3[[#This Row],[Cuenta]],Estructura_Balance[Nombre Cuenta ()],Estructura_Balance[Grupo],"",0)</f>
        <v/>
      </c>
      <c r="N385" t="str">
        <f>_xlfn.XLOOKUP(Table3[[#This Row],[Cuenta]],Estructura_Balance[Nombre Cuenta ()],Estructura_Balance[Nivel 1],"",0)</f>
        <v/>
      </c>
      <c r="O385" t="str">
        <f>_xlfn.XLOOKUP(Table3[[#This Row],[Cuenta]],Estructura_Balance[Nombre Cuenta ()],Estructura_Balance[Nivel 2],"",0)</f>
        <v/>
      </c>
      <c r="P385" t="str">
        <f>_xlfn.XLOOKUP(Table3[[#This Row],[Cuenta]],Estructura_Balance[Nombre Cuenta ()],Estructura_Balance[Nivel 3],"",0)</f>
        <v/>
      </c>
      <c r="Q385" t="str">
        <f>_xlfn.XLOOKUP(Table3[[#This Row],[Cuenta]],Estructura_Balance[Nombre Cuenta ()],Estructura_Balance[Nivel 4],"",0)</f>
        <v/>
      </c>
      <c r="R385" s="154" t="str">
        <f>_xlfn.XLOOKUP(Table3[[#This Row],[Cuenta]],Table8[Nombre Cuenta ()],Table8[Nivel 1],"",0)</f>
        <v/>
      </c>
      <c r="S385" t="str">
        <f>_xlfn.XLOOKUP(Table3[[#This Row],[Cuenta]],Table8[Nombre Cuenta ()],Table8[Nivel 2],"",0)</f>
        <v/>
      </c>
      <c r="T385" t="str">
        <f>_xlfn.XLOOKUP(Table3[[#This Row],[Cuenta]],Table8[Nombre Cuenta ()],Table8[Nivel 3],"",0)</f>
        <v/>
      </c>
      <c r="U385">
        <v>791</v>
      </c>
      <c r="V385" t="str">
        <f>_xlfn.XLOOKUP(Table3[[#This Row],[Cuenta]],Estructura_Balance[Nombre Cuenta ()],Estructura_Balance[Niveles:2],"",0)</f>
        <v/>
      </c>
      <c r="W385" t="str">
        <f>_xlfn.XLOOKUP(Table3[[#This Row],[Cuenta]],Estructura_Balance[Nombre Cuenta ()],Estructura_Balance[Niveles:3],"",0)</f>
        <v/>
      </c>
      <c r="X385" t="str">
        <f>_xlfn.XLOOKUP(Table3[[#This Row],[Cuenta]],Estructura_Balance[Nombre Cuenta ()],Estructura_Balance[Grupos],"Grupo 1",0)</f>
        <v>Grupo 1</v>
      </c>
      <c r="Y385" t="str">
        <f>+Table3[[#This Row],[BS_Nivel_1]]</f>
        <v/>
      </c>
    </row>
    <row r="386" spans="1:25">
      <c r="A386">
        <f>+'Libro Diario'!F600</f>
        <v>68</v>
      </c>
      <c r="B386" s="144">
        <f>VALUE(IF(+'Libro Diario'!G600="","01/01/2025",+'Libro Diario'!G600))</f>
        <v>0</v>
      </c>
      <c r="C386">
        <f>IF(ISNUMBER(+IF(IFERROR(VALUE(MID('Libro Diario'!C600,1,4)),0)&lt;&gt;0,'Libro Diario'!C600,0))=FALSE,'Libro Diario'!C600,0)</f>
        <v>0</v>
      </c>
      <c r="D386" s="145">
        <f>+'Libro Diario'!B600</f>
        <v>0</v>
      </c>
      <c r="E386" s="139" t="s">
        <v>445</v>
      </c>
      <c r="F386" t="str">
        <f t="shared" si="15"/>
        <v>Sin Mov.</v>
      </c>
      <c r="G386" t="str">
        <f>IF(+'Libro Diario'!H600=0,"",+'Libro Diario'!H600)</f>
        <v>Ajuste por Periodificación</v>
      </c>
      <c r="H386" t="str">
        <f>IF(+'Libro Diario'!I600=0,"",+'Libro Diario'!I600)</f>
        <v/>
      </c>
      <c r="I386" t="str">
        <f>+IF(Table3[[#This Row],[Tipo Movimiento]]="Estructura Balance y PyG","Excluir","Incluir")</f>
        <v>Incluir</v>
      </c>
      <c r="J386" s="153">
        <f>+IF(Table3[[#This Row],[Sin cuenta]]="Con Mov.",(IF(Table3[[#This Row],[Movimiento]]="Debe",Table3[[#This Row],[Importe]],IF(Table3[[#This Row],[Movimiento]]="Haber",Table3[[#This Row],[Importe]]*-1,0))),0)</f>
        <v>0</v>
      </c>
      <c r="K386" s="145">
        <f t="shared" si="16"/>
        <v>0</v>
      </c>
      <c r="L386" s="145" t="str">
        <f t="shared" si="17"/>
        <v/>
      </c>
      <c r="M386" t="str">
        <f>_xlfn.XLOOKUP(Table3[[#This Row],[Cuenta]],Estructura_Balance[Nombre Cuenta ()],Estructura_Balance[Grupo],"",0)</f>
        <v/>
      </c>
      <c r="N386" t="str">
        <f>_xlfn.XLOOKUP(Table3[[#This Row],[Cuenta]],Estructura_Balance[Nombre Cuenta ()],Estructura_Balance[Nivel 1],"",0)</f>
        <v/>
      </c>
      <c r="O386" t="str">
        <f>_xlfn.XLOOKUP(Table3[[#This Row],[Cuenta]],Estructura_Balance[Nombre Cuenta ()],Estructura_Balance[Nivel 2],"",0)</f>
        <v/>
      </c>
      <c r="P386" t="str">
        <f>_xlfn.XLOOKUP(Table3[[#This Row],[Cuenta]],Estructura_Balance[Nombre Cuenta ()],Estructura_Balance[Nivel 3],"",0)</f>
        <v/>
      </c>
      <c r="Q386" t="str">
        <f>_xlfn.XLOOKUP(Table3[[#This Row],[Cuenta]],Estructura_Balance[Nombre Cuenta ()],Estructura_Balance[Nivel 4],"",0)</f>
        <v/>
      </c>
      <c r="R386" t="str">
        <f>_xlfn.XLOOKUP(Table3[[#This Row],[Cuenta]],Table8[Nombre Cuenta ()],Table8[Nivel 1],"",0)</f>
        <v/>
      </c>
      <c r="S386" t="str">
        <f>_xlfn.XLOOKUP(Table3[[#This Row],[Cuenta]],Table8[Nombre Cuenta ()],Table8[Nivel 2],"",0)</f>
        <v/>
      </c>
      <c r="T386" t="str">
        <f>_xlfn.XLOOKUP(Table3[[#This Row],[Cuenta]],Table8[Nombre Cuenta ()],Table8[Nivel 3],"",0)</f>
        <v/>
      </c>
      <c r="U386">
        <v>792</v>
      </c>
      <c r="V386" t="str">
        <f>_xlfn.XLOOKUP(Table3[[#This Row],[Cuenta]],Estructura_Balance[Nombre Cuenta ()],Estructura_Balance[Niveles:2],"",0)</f>
        <v/>
      </c>
      <c r="W386" t="str">
        <f>_xlfn.XLOOKUP(Table3[[#This Row],[Cuenta]],Estructura_Balance[Nombre Cuenta ()],Estructura_Balance[Niveles:3],"",0)</f>
        <v/>
      </c>
      <c r="X386" t="str">
        <f>_xlfn.XLOOKUP(Table3[[#This Row],[Cuenta]],Estructura_Balance[Nombre Cuenta ()],Estructura_Balance[Grupos],"Grupo 1",0)</f>
        <v>Grupo 1</v>
      </c>
      <c r="Y386" t="str">
        <f>+Table3[[#This Row],[BS_Nivel_1]]</f>
        <v/>
      </c>
    </row>
    <row r="387" spans="1:25">
      <c r="A387">
        <f>+'Libro Diario'!F601</f>
        <v>0</v>
      </c>
      <c r="B387" s="144">
        <f>VALUE(IF(+'Libro Diario'!G601="","01/01/2025",+'Libro Diario'!G601))</f>
        <v>45658</v>
      </c>
      <c r="C387">
        <f>IF(ISNUMBER(+IF(IFERROR(VALUE(MID('Libro Diario'!C601,1,4)),0)&lt;&gt;0,'Libro Diario'!C601,0))=FALSE,'Libro Diario'!C601,0)</f>
        <v>0</v>
      </c>
      <c r="D387" s="145" t="str">
        <f>+'Libro Diario'!B601</f>
        <v>Ajuste por Periodificación</v>
      </c>
      <c r="E387" s="139" t="s">
        <v>445</v>
      </c>
      <c r="F387" t="str">
        <f t="shared" ref="F387:F450" si="18">+IF(C387=0,"Sin Mov.","Con Mov.")</f>
        <v>Sin Mov.</v>
      </c>
      <c r="G387" t="str">
        <f>IF(+'Libro Diario'!H601=0,"",+'Libro Diario'!H601)</f>
        <v/>
      </c>
      <c r="H387" t="str">
        <f>IF(+'Libro Diario'!I601=0,"",+'Libro Diario'!I601)</f>
        <v/>
      </c>
      <c r="I387" t="str">
        <f>+IF(Table3[[#This Row],[Tipo Movimiento]]="Estructura Balance y PyG","Excluir","Incluir")</f>
        <v>Incluir</v>
      </c>
      <c r="J387" s="153">
        <f>+IF(Table3[[#This Row],[Sin cuenta]]="Con Mov.",(IF(Table3[[#This Row],[Movimiento]]="Debe",Table3[[#This Row],[Importe]],IF(Table3[[#This Row],[Movimiento]]="Haber",Table3[[#This Row],[Importe]]*-1,0))),0)</f>
        <v>0</v>
      </c>
      <c r="K387" s="145" t="str">
        <f t="shared" ref="K387:K450" si="19">+IF(E387="Debe",D387,"")</f>
        <v>Ajuste por Periodificación</v>
      </c>
      <c r="L387" s="145" t="str">
        <f t="shared" ref="L387:L450" si="20">+IF(E387="Haber",D387,"")</f>
        <v/>
      </c>
      <c r="M387" t="str">
        <f>_xlfn.XLOOKUP(Table3[[#This Row],[Cuenta]],Estructura_Balance[Nombre Cuenta ()],Estructura_Balance[Grupo],"",0)</f>
        <v/>
      </c>
      <c r="N387" t="str">
        <f>_xlfn.XLOOKUP(Table3[[#This Row],[Cuenta]],Estructura_Balance[Nombre Cuenta ()],Estructura_Balance[Nivel 1],"",0)</f>
        <v/>
      </c>
      <c r="O387" t="str">
        <f>_xlfn.XLOOKUP(Table3[[#This Row],[Cuenta]],Estructura_Balance[Nombre Cuenta ()],Estructura_Balance[Nivel 2],"",0)</f>
        <v/>
      </c>
      <c r="P387" t="str">
        <f>_xlfn.XLOOKUP(Table3[[#This Row],[Cuenta]],Estructura_Balance[Nombre Cuenta ()],Estructura_Balance[Nivel 3],"",0)</f>
        <v/>
      </c>
      <c r="Q387" t="str">
        <f>_xlfn.XLOOKUP(Table3[[#This Row],[Cuenta]],Estructura_Balance[Nombre Cuenta ()],Estructura_Balance[Nivel 4],"",0)</f>
        <v/>
      </c>
      <c r="R387" s="154" t="str">
        <f>_xlfn.XLOOKUP(Table3[[#This Row],[Cuenta]],Table8[Nombre Cuenta ()],Table8[Nivel 1],"",0)</f>
        <v/>
      </c>
      <c r="S387" t="str">
        <f>_xlfn.XLOOKUP(Table3[[#This Row],[Cuenta]],Table8[Nombre Cuenta ()],Table8[Nivel 2],"",0)</f>
        <v/>
      </c>
      <c r="T387" t="str">
        <f>_xlfn.XLOOKUP(Table3[[#This Row],[Cuenta]],Table8[Nombre Cuenta ()],Table8[Nivel 3],"",0)</f>
        <v/>
      </c>
      <c r="U387">
        <v>793</v>
      </c>
      <c r="V387" t="str">
        <f>_xlfn.XLOOKUP(Table3[[#This Row],[Cuenta]],Estructura_Balance[Nombre Cuenta ()],Estructura_Balance[Niveles:2],"",0)</f>
        <v/>
      </c>
      <c r="W387" t="str">
        <f>_xlfn.XLOOKUP(Table3[[#This Row],[Cuenta]],Estructura_Balance[Nombre Cuenta ()],Estructura_Balance[Niveles:3],"",0)</f>
        <v/>
      </c>
      <c r="X387" t="str">
        <f>_xlfn.XLOOKUP(Table3[[#This Row],[Cuenta]],Estructura_Balance[Nombre Cuenta ()],Estructura_Balance[Grupos],"Grupo 1",0)</f>
        <v>Grupo 1</v>
      </c>
      <c r="Y387" t="str">
        <f>+Table3[[#This Row],[BS_Nivel_1]]</f>
        <v/>
      </c>
    </row>
    <row r="388" spans="1:25">
      <c r="A388">
        <f>+'Libro Diario'!F602</f>
        <v>0</v>
      </c>
      <c r="B388" s="144">
        <f>VALUE(IF(+'Libro Diario'!G602="","01/01/2025",+'Libro Diario'!G602))</f>
        <v>45658</v>
      </c>
      <c r="C388">
        <f>IF(ISNUMBER(+IF(IFERROR(VALUE(MID('Libro Diario'!C602,1,4)),0)&lt;&gt;0,'Libro Diario'!C602,0))=FALSE,'Libro Diario'!C602,0)</f>
        <v>0</v>
      </c>
      <c r="D388" s="145" t="str">
        <f>+'Libro Diario'!B602</f>
        <v>Asiento Cuadrado</v>
      </c>
      <c r="E388" s="139" t="s">
        <v>445</v>
      </c>
      <c r="F388" t="str">
        <f t="shared" si="18"/>
        <v>Sin Mov.</v>
      </c>
      <c r="G388" t="str">
        <f>IF(+'Libro Diario'!H602=0,"",+'Libro Diario'!H602)</f>
        <v/>
      </c>
      <c r="H388" t="str">
        <f>IF(+'Libro Diario'!I602=0,"",+'Libro Diario'!I602)</f>
        <v/>
      </c>
      <c r="I388" t="str">
        <f>+IF(Table3[[#This Row],[Tipo Movimiento]]="Estructura Balance y PyG","Excluir","Incluir")</f>
        <v>Incluir</v>
      </c>
      <c r="J388" s="153">
        <f>+IF(Table3[[#This Row],[Sin cuenta]]="Con Mov.",(IF(Table3[[#This Row],[Movimiento]]="Debe",Table3[[#This Row],[Importe]],IF(Table3[[#This Row],[Movimiento]]="Haber",Table3[[#This Row],[Importe]]*-1,0))),0)</f>
        <v>0</v>
      </c>
      <c r="K388" s="145" t="str">
        <f t="shared" si="19"/>
        <v>Asiento Cuadrado</v>
      </c>
      <c r="L388" s="145" t="str">
        <f t="shared" si="20"/>
        <v/>
      </c>
      <c r="M388" t="str">
        <f>_xlfn.XLOOKUP(Table3[[#This Row],[Cuenta]],Estructura_Balance[Nombre Cuenta ()],Estructura_Balance[Grupo],"",0)</f>
        <v/>
      </c>
      <c r="N388" t="str">
        <f>_xlfn.XLOOKUP(Table3[[#This Row],[Cuenta]],Estructura_Balance[Nombre Cuenta ()],Estructura_Balance[Nivel 1],"",0)</f>
        <v/>
      </c>
      <c r="O388" t="str">
        <f>_xlfn.XLOOKUP(Table3[[#This Row],[Cuenta]],Estructura_Balance[Nombre Cuenta ()],Estructura_Balance[Nivel 2],"",0)</f>
        <v/>
      </c>
      <c r="P388" t="str">
        <f>_xlfn.XLOOKUP(Table3[[#This Row],[Cuenta]],Estructura_Balance[Nombre Cuenta ()],Estructura_Balance[Nivel 3],"",0)</f>
        <v/>
      </c>
      <c r="Q388" t="str">
        <f>_xlfn.XLOOKUP(Table3[[#This Row],[Cuenta]],Estructura_Balance[Nombre Cuenta ()],Estructura_Balance[Nivel 4],"",0)</f>
        <v/>
      </c>
      <c r="R388" s="154" t="str">
        <f>_xlfn.XLOOKUP(Table3[[#This Row],[Cuenta]],Table8[Nombre Cuenta ()],Table8[Nivel 1],"",0)</f>
        <v/>
      </c>
      <c r="S388" t="str">
        <f>_xlfn.XLOOKUP(Table3[[#This Row],[Cuenta]],Table8[Nombre Cuenta ()],Table8[Nivel 2],"",0)</f>
        <v/>
      </c>
      <c r="T388" t="str">
        <f>_xlfn.XLOOKUP(Table3[[#This Row],[Cuenta]],Table8[Nombre Cuenta ()],Table8[Nivel 3],"",0)</f>
        <v/>
      </c>
      <c r="U388">
        <v>794</v>
      </c>
      <c r="V388" t="str">
        <f>_xlfn.XLOOKUP(Table3[[#This Row],[Cuenta]],Estructura_Balance[Nombre Cuenta ()],Estructura_Balance[Niveles:2],"",0)</f>
        <v/>
      </c>
      <c r="W388" t="str">
        <f>_xlfn.XLOOKUP(Table3[[#This Row],[Cuenta]],Estructura_Balance[Nombre Cuenta ()],Estructura_Balance[Niveles:3],"",0)</f>
        <v/>
      </c>
      <c r="X388" t="str">
        <f>_xlfn.XLOOKUP(Table3[[#This Row],[Cuenta]],Estructura_Balance[Nombre Cuenta ()],Estructura_Balance[Grupos],"Grupo 1",0)</f>
        <v>Grupo 1</v>
      </c>
      <c r="Y388" t="str">
        <f>+Table3[[#This Row],[BS_Nivel_1]]</f>
        <v/>
      </c>
    </row>
    <row r="389" spans="1:25">
      <c r="A389">
        <f>+'Libro Diario'!F603</f>
        <v>0</v>
      </c>
      <c r="B389" s="144">
        <f>VALUE(IF(+'Libro Diario'!G603="","01/01/2025",+'Libro Diario'!G603))</f>
        <v>45658</v>
      </c>
      <c r="C389">
        <f>IF(ISNUMBER(+IF(IFERROR(VALUE(MID('Libro Diario'!C603,1,4)),0)&lt;&gt;0,'Libro Diario'!C603,0))=FALSE,'Libro Diario'!C603,0)</f>
        <v>0</v>
      </c>
      <c r="D389" s="145">
        <f>+'Libro Diario'!B603</f>
        <v>0</v>
      </c>
      <c r="E389" s="139" t="s">
        <v>445</v>
      </c>
      <c r="F389" t="str">
        <f t="shared" si="18"/>
        <v>Sin Mov.</v>
      </c>
      <c r="G389" t="str">
        <f>IF(+'Libro Diario'!H603=0,"",+'Libro Diario'!H603)</f>
        <v/>
      </c>
      <c r="H389" t="str">
        <f>IF(+'Libro Diario'!I603=0,"",+'Libro Diario'!I603)</f>
        <v/>
      </c>
      <c r="I389" t="str">
        <f>+IF(Table3[[#This Row],[Tipo Movimiento]]="Estructura Balance y PyG","Excluir","Incluir")</f>
        <v>Incluir</v>
      </c>
      <c r="J389" s="153">
        <f>+IF(Table3[[#This Row],[Sin cuenta]]="Con Mov.",(IF(Table3[[#This Row],[Movimiento]]="Debe",Table3[[#This Row],[Importe]],IF(Table3[[#This Row],[Movimiento]]="Haber",Table3[[#This Row],[Importe]]*-1,0))),0)</f>
        <v>0</v>
      </c>
      <c r="K389" s="145">
        <f t="shared" si="19"/>
        <v>0</v>
      </c>
      <c r="L389" s="145" t="str">
        <f t="shared" si="20"/>
        <v/>
      </c>
      <c r="M389" t="str">
        <f>_xlfn.XLOOKUP(Table3[[#This Row],[Cuenta]],Estructura_Balance[Nombre Cuenta ()],Estructura_Balance[Grupo],"",0)</f>
        <v/>
      </c>
      <c r="N389" t="str">
        <f>_xlfn.XLOOKUP(Table3[[#This Row],[Cuenta]],Estructura_Balance[Nombre Cuenta ()],Estructura_Balance[Nivel 1],"",0)</f>
        <v/>
      </c>
      <c r="O389" t="str">
        <f>_xlfn.XLOOKUP(Table3[[#This Row],[Cuenta]],Estructura_Balance[Nombre Cuenta ()],Estructura_Balance[Nivel 2],"",0)</f>
        <v/>
      </c>
      <c r="P389" t="str">
        <f>_xlfn.XLOOKUP(Table3[[#This Row],[Cuenta]],Estructura_Balance[Nombre Cuenta ()],Estructura_Balance[Nivel 3],"",0)</f>
        <v/>
      </c>
      <c r="Q389" t="str">
        <f>_xlfn.XLOOKUP(Table3[[#This Row],[Cuenta]],Estructura_Balance[Nombre Cuenta ()],Estructura_Balance[Nivel 4],"",0)</f>
        <v/>
      </c>
      <c r="R389" t="str">
        <f>_xlfn.XLOOKUP(Table3[[#This Row],[Cuenta]],Table8[Nombre Cuenta ()],Table8[Nivel 1],"",0)</f>
        <v/>
      </c>
      <c r="S389" t="str">
        <f>_xlfn.XLOOKUP(Table3[[#This Row],[Cuenta]],Table8[Nombre Cuenta ()],Table8[Nivel 2],"",0)</f>
        <v/>
      </c>
      <c r="T389" t="str">
        <f>_xlfn.XLOOKUP(Table3[[#This Row],[Cuenta]],Table8[Nombre Cuenta ()],Table8[Nivel 3],"",0)</f>
        <v/>
      </c>
      <c r="U389">
        <v>795</v>
      </c>
      <c r="V389" t="str">
        <f>_xlfn.XLOOKUP(Table3[[#This Row],[Cuenta]],Estructura_Balance[Nombre Cuenta ()],Estructura_Balance[Niveles:2],"",0)</f>
        <v/>
      </c>
      <c r="W389" t="str">
        <f>_xlfn.XLOOKUP(Table3[[#This Row],[Cuenta]],Estructura_Balance[Nombre Cuenta ()],Estructura_Balance[Niveles:3],"",0)</f>
        <v/>
      </c>
      <c r="X389" t="str">
        <f>_xlfn.XLOOKUP(Table3[[#This Row],[Cuenta]],Estructura_Balance[Nombre Cuenta ()],Estructura_Balance[Grupos],"Grupo 1",0)</f>
        <v>Grupo 1</v>
      </c>
      <c r="Y389" t="str">
        <f>+Table3[[#This Row],[BS_Nivel_1]]</f>
        <v/>
      </c>
    </row>
    <row r="390" spans="1:25">
      <c r="A390">
        <f>+'Libro Diario'!F604</f>
        <v>0</v>
      </c>
      <c r="B390" s="144">
        <f>VALUE(IF(+'Libro Diario'!G604="","01/01/2025",+'Libro Diario'!G604))</f>
        <v>45658</v>
      </c>
      <c r="C390">
        <f>IF(ISNUMBER(+IF(IFERROR(VALUE(MID('Libro Diario'!C604,1,4)),0)&lt;&gt;0,'Libro Diario'!C604,0))=FALSE,'Libro Diario'!C604,0)</f>
        <v>0</v>
      </c>
      <c r="D390" s="145" t="str">
        <f>+'Libro Diario'!B604</f>
        <v>DEBE</v>
      </c>
      <c r="E390" s="139" t="s">
        <v>445</v>
      </c>
      <c r="F390" t="str">
        <f t="shared" si="18"/>
        <v>Sin Mov.</v>
      </c>
      <c r="G390" t="str">
        <f>IF(+'Libro Diario'!H604=0,"",+'Libro Diario'!H604)</f>
        <v/>
      </c>
      <c r="H390" t="str">
        <f>IF(+'Libro Diario'!I604=0,"",+'Libro Diario'!I604)</f>
        <v/>
      </c>
      <c r="I390" t="str">
        <f>+IF(Table3[[#This Row],[Tipo Movimiento]]="Estructura Balance y PyG","Excluir","Incluir")</f>
        <v>Incluir</v>
      </c>
      <c r="J390" s="153">
        <f>+IF(Table3[[#This Row],[Sin cuenta]]="Con Mov.",(IF(Table3[[#This Row],[Movimiento]]="Debe",Table3[[#This Row],[Importe]],IF(Table3[[#This Row],[Movimiento]]="Haber",Table3[[#This Row],[Importe]]*-1,0))),0)</f>
        <v>0</v>
      </c>
      <c r="K390" s="145" t="str">
        <f t="shared" si="19"/>
        <v>DEBE</v>
      </c>
      <c r="L390" s="145" t="str">
        <f t="shared" si="20"/>
        <v/>
      </c>
      <c r="M390" t="str">
        <f>_xlfn.XLOOKUP(Table3[[#This Row],[Cuenta]],Estructura_Balance[Nombre Cuenta ()],Estructura_Balance[Grupo],"",0)</f>
        <v/>
      </c>
      <c r="N390" t="str">
        <f>_xlfn.XLOOKUP(Table3[[#This Row],[Cuenta]],Estructura_Balance[Nombre Cuenta ()],Estructura_Balance[Nivel 1],"",0)</f>
        <v/>
      </c>
      <c r="O390" t="str">
        <f>_xlfn.XLOOKUP(Table3[[#This Row],[Cuenta]],Estructura_Balance[Nombre Cuenta ()],Estructura_Balance[Nivel 2],"",0)</f>
        <v/>
      </c>
      <c r="P390" t="str">
        <f>_xlfn.XLOOKUP(Table3[[#This Row],[Cuenta]],Estructura_Balance[Nombre Cuenta ()],Estructura_Balance[Nivel 3],"",0)</f>
        <v/>
      </c>
      <c r="Q390" t="str">
        <f>_xlfn.XLOOKUP(Table3[[#This Row],[Cuenta]],Estructura_Balance[Nombre Cuenta ()],Estructura_Balance[Nivel 4],"",0)</f>
        <v/>
      </c>
      <c r="R390" s="154" t="str">
        <f>_xlfn.XLOOKUP(Table3[[#This Row],[Cuenta]],Table8[Nombre Cuenta ()],Table8[Nivel 1],"",0)</f>
        <v/>
      </c>
      <c r="S390" t="str">
        <f>_xlfn.XLOOKUP(Table3[[#This Row],[Cuenta]],Table8[Nombre Cuenta ()],Table8[Nivel 2],"",0)</f>
        <v/>
      </c>
      <c r="T390" t="str">
        <f>_xlfn.XLOOKUP(Table3[[#This Row],[Cuenta]],Table8[Nombre Cuenta ()],Table8[Nivel 3],"",0)</f>
        <v/>
      </c>
      <c r="U390">
        <v>796</v>
      </c>
      <c r="V390" t="str">
        <f>_xlfn.XLOOKUP(Table3[[#This Row],[Cuenta]],Estructura_Balance[Nombre Cuenta ()],Estructura_Balance[Niveles:2],"",0)</f>
        <v/>
      </c>
      <c r="W390" t="str">
        <f>_xlfn.XLOOKUP(Table3[[#This Row],[Cuenta]],Estructura_Balance[Nombre Cuenta ()],Estructura_Balance[Niveles:3],"",0)</f>
        <v/>
      </c>
      <c r="X390" t="str">
        <f>_xlfn.XLOOKUP(Table3[[#This Row],[Cuenta]],Estructura_Balance[Nombre Cuenta ()],Estructura_Balance[Grupos],"Grupo 1",0)</f>
        <v>Grupo 1</v>
      </c>
      <c r="Y390" t="str">
        <f>+Table3[[#This Row],[BS_Nivel_1]]</f>
        <v/>
      </c>
    </row>
    <row r="391" spans="1:25">
      <c r="A391">
        <f>+'Libro Diario'!F605</f>
        <v>0</v>
      </c>
      <c r="B391" s="144">
        <f>VALUE(IF(+'Libro Diario'!G605="","01/01/2025",+'Libro Diario'!G605))</f>
        <v>45658</v>
      </c>
      <c r="C391">
        <f>IF(ISNUMBER(+IF(IFERROR(VALUE(MID('Libro Diario'!C605,1,4)),0)&lt;&gt;0,'Libro Diario'!C605,0))=FALSE,'Libro Diario'!C605,0)</f>
        <v>0</v>
      </c>
      <c r="D391" s="145">
        <f>+'Libro Diario'!B605</f>
        <v>0</v>
      </c>
      <c r="E391" s="139" t="s">
        <v>445</v>
      </c>
      <c r="F391" t="str">
        <f t="shared" si="18"/>
        <v>Sin Mov.</v>
      </c>
      <c r="G391" t="str">
        <f>IF(+'Libro Diario'!H605=0,"",+'Libro Diario'!H605)</f>
        <v/>
      </c>
      <c r="H391" t="str">
        <f>IF(+'Libro Diario'!I605=0,"",+'Libro Diario'!I605)</f>
        <v/>
      </c>
      <c r="I391" t="str">
        <f>+IF(Table3[[#This Row],[Tipo Movimiento]]="Estructura Balance y PyG","Excluir","Incluir")</f>
        <v>Incluir</v>
      </c>
      <c r="J391" s="153">
        <f>+IF(Table3[[#This Row],[Sin cuenta]]="Con Mov.",(IF(Table3[[#This Row],[Movimiento]]="Debe",Table3[[#This Row],[Importe]],IF(Table3[[#This Row],[Movimiento]]="Haber",Table3[[#This Row],[Importe]]*-1,0))),0)</f>
        <v>0</v>
      </c>
      <c r="K391" s="145">
        <f t="shared" si="19"/>
        <v>0</v>
      </c>
      <c r="L391" s="145" t="str">
        <f t="shared" si="20"/>
        <v/>
      </c>
      <c r="M391" t="str">
        <f>_xlfn.XLOOKUP(Table3[[#This Row],[Cuenta]],Estructura_Balance[Nombre Cuenta ()],Estructura_Balance[Grupo],"",0)</f>
        <v/>
      </c>
      <c r="N391" t="str">
        <f>_xlfn.XLOOKUP(Table3[[#This Row],[Cuenta]],Estructura_Balance[Nombre Cuenta ()],Estructura_Balance[Nivel 1],"",0)</f>
        <v/>
      </c>
      <c r="O391" t="str">
        <f>_xlfn.XLOOKUP(Table3[[#This Row],[Cuenta]],Estructura_Balance[Nombre Cuenta ()],Estructura_Balance[Nivel 2],"",0)</f>
        <v/>
      </c>
      <c r="P391" t="str">
        <f>_xlfn.XLOOKUP(Table3[[#This Row],[Cuenta]],Estructura_Balance[Nombre Cuenta ()],Estructura_Balance[Nivel 3],"",0)</f>
        <v/>
      </c>
      <c r="Q391" t="str">
        <f>_xlfn.XLOOKUP(Table3[[#This Row],[Cuenta]],Estructura_Balance[Nombre Cuenta ()],Estructura_Balance[Nivel 4],"",0)</f>
        <v/>
      </c>
      <c r="R391" s="154" t="str">
        <f>_xlfn.XLOOKUP(Table3[[#This Row],[Cuenta]],Table8[Nombre Cuenta ()],Table8[Nivel 1],"",0)</f>
        <v/>
      </c>
      <c r="S391" t="str">
        <f>_xlfn.XLOOKUP(Table3[[#This Row],[Cuenta]],Table8[Nombre Cuenta ()],Table8[Nivel 2],"",0)</f>
        <v/>
      </c>
      <c r="T391" t="str">
        <f>_xlfn.XLOOKUP(Table3[[#This Row],[Cuenta]],Table8[Nombre Cuenta ()],Table8[Nivel 3],"",0)</f>
        <v/>
      </c>
      <c r="U391">
        <v>797</v>
      </c>
      <c r="V391" t="str">
        <f>_xlfn.XLOOKUP(Table3[[#This Row],[Cuenta]],Estructura_Balance[Nombre Cuenta ()],Estructura_Balance[Niveles:2],"",0)</f>
        <v/>
      </c>
      <c r="W391" t="str">
        <f>_xlfn.XLOOKUP(Table3[[#This Row],[Cuenta]],Estructura_Balance[Nombre Cuenta ()],Estructura_Balance[Niveles:3],"",0)</f>
        <v/>
      </c>
      <c r="X391" t="str">
        <f>_xlfn.XLOOKUP(Table3[[#This Row],[Cuenta]],Estructura_Balance[Nombre Cuenta ()],Estructura_Balance[Grupos],"Grupo 1",0)</f>
        <v>Grupo 1</v>
      </c>
      <c r="Y391" t="str">
        <f>+Table3[[#This Row],[BS_Nivel_1]]</f>
        <v/>
      </c>
    </row>
    <row r="392" spans="1:25">
      <c r="A392">
        <f>+'Libro Diario'!F606</f>
        <v>69</v>
      </c>
      <c r="B392" s="144">
        <f>VALUE(IF(+'Libro Diario'!G606="","01/01/2025",+'Libro Diario'!G606))</f>
        <v>0</v>
      </c>
      <c r="C392">
        <f>IF(ISNUMBER(+IF(IFERROR(VALUE(MID('Libro Diario'!C606,1,4)),0)&lt;&gt;0,'Libro Diario'!C606,0))=FALSE,'Libro Diario'!C606,0)</f>
        <v>0</v>
      </c>
      <c r="D392" s="145">
        <f>+'Libro Diario'!B606</f>
        <v>0</v>
      </c>
      <c r="E392" s="139" t="s">
        <v>445</v>
      </c>
      <c r="F392" t="str">
        <f t="shared" si="18"/>
        <v>Sin Mov.</v>
      </c>
      <c r="G392" t="str">
        <f>IF(+'Libro Diario'!H606=0,"",+'Libro Diario'!H606)</f>
        <v>Ajuste por Reclasificación</v>
      </c>
      <c r="H392" t="str">
        <f>IF(+'Libro Diario'!I606=0,"",+'Libro Diario'!I606)</f>
        <v/>
      </c>
      <c r="I392" t="str">
        <f>+IF(Table3[[#This Row],[Tipo Movimiento]]="Estructura Balance y PyG","Excluir","Incluir")</f>
        <v>Incluir</v>
      </c>
      <c r="J392" s="153">
        <f>+IF(Table3[[#This Row],[Sin cuenta]]="Con Mov.",(IF(Table3[[#This Row],[Movimiento]]="Debe",Table3[[#This Row],[Importe]],IF(Table3[[#This Row],[Movimiento]]="Haber",Table3[[#This Row],[Importe]]*-1,0))),0)</f>
        <v>0</v>
      </c>
      <c r="K392" s="145">
        <f t="shared" si="19"/>
        <v>0</v>
      </c>
      <c r="L392" s="145" t="str">
        <f t="shared" si="20"/>
        <v/>
      </c>
      <c r="M392" t="str">
        <f>_xlfn.XLOOKUP(Table3[[#This Row],[Cuenta]],Estructura_Balance[Nombre Cuenta ()],Estructura_Balance[Grupo],"",0)</f>
        <v/>
      </c>
      <c r="N392" t="str">
        <f>_xlfn.XLOOKUP(Table3[[#This Row],[Cuenta]],Estructura_Balance[Nombre Cuenta ()],Estructura_Balance[Nivel 1],"",0)</f>
        <v/>
      </c>
      <c r="O392" t="str">
        <f>_xlfn.XLOOKUP(Table3[[#This Row],[Cuenta]],Estructura_Balance[Nombre Cuenta ()],Estructura_Balance[Nivel 2],"",0)</f>
        <v/>
      </c>
      <c r="P392" t="str">
        <f>_xlfn.XLOOKUP(Table3[[#This Row],[Cuenta]],Estructura_Balance[Nombre Cuenta ()],Estructura_Balance[Nivel 3],"",0)</f>
        <v/>
      </c>
      <c r="Q392" t="str">
        <f>_xlfn.XLOOKUP(Table3[[#This Row],[Cuenta]],Estructura_Balance[Nombre Cuenta ()],Estructura_Balance[Nivel 4],"",0)</f>
        <v/>
      </c>
      <c r="R392" s="154" t="str">
        <f>_xlfn.XLOOKUP(Table3[[#This Row],[Cuenta]],Table8[Nombre Cuenta ()],Table8[Nivel 1],"",0)</f>
        <v/>
      </c>
      <c r="S392" t="str">
        <f>_xlfn.XLOOKUP(Table3[[#This Row],[Cuenta]],Table8[Nombre Cuenta ()],Table8[Nivel 2],"",0)</f>
        <v/>
      </c>
      <c r="T392" t="str">
        <f>_xlfn.XLOOKUP(Table3[[#This Row],[Cuenta]],Table8[Nombre Cuenta ()],Table8[Nivel 3],"",0)</f>
        <v/>
      </c>
      <c r="U392">
        <v>798</v>
      </c>
      <c r="V392" t="str">
        <f>_xlfn.XLOOKUP(Table3[[#This Row],[Cuenta]],Estructura_Balance[Nombre Cuenta ()],Estructura_Balance[Niveles:2],"",0)</f>
        <v/>
      </c>
      <c r="W392" t="str">
        <f>_xlfn.XLOOKUP(Table3[[#This Row],[Cuenta]],Estructura_Balance[Nombre Cuenta ()],Estructura_Balance[Niveles:3],"",0)</f>
        <v/>
      </c>
      <c r="X392" t="str">
        <f>_xlfn.XLOOKUP(Table3[[#This Row],[Cuenta]],Estructura_Balance[Nombre Cuenta ()],Estructura_Balance[Grupos],"Grupo 1",0)</f>
        <v>Grupo 1</v>
      </c>
      <c r="Y392" t="str">
        <f>+Table3[[#This Row],[BS_Nivel_1]]</f>
        <v/>
      </c>
    </row>
    <row r="393" spans="1:25">
      <c r="A393">
        <f>+'Libro Diario'!F607</f>
        <v>69</v>
      </c>
      <c r="B393" s="144">
        <f>VALUE(IF(+'Libro Diario'!G607="","01/01/2025",+'Libro Diario'!G607))</f>
        <v>0</v>
      </c>
      <c r="C393">
        <f>IF(ISNUMBER(+IF(IFERROR(VALUE(MID('Libro Diario'!C607,1,4)),0)&lt;&gt;0,'Libro Diario'!C607,0))=FALSE,'Libro Diario'!C607,0)</f>
        <v>0</v>
      </c>
      <c r="D393" s="145">
        <f>+'Libro Diario'!B607</f>
        <v>0</v>
      </c>
      <c r="E393" s="139" t="s">
        <v>445</v>
      </c>
      <c r="F393" t="str">
        <f t="shared" si="18"/>
        <v>Sin Mov.</v>
      </c>
      <c r="G393" t="str">
        <f>IF(+'Libro Diario'!H607=0,"",+'Libro Diario'!H607)</f>
        <v>Ajuste por Reclasificación</v>
      </c>
      <c r="H393" t="str">
        <f>IF(+'Libro Diario'!I607=0,"",+'Libro Diario'!I607)</f>
        <v/>
      </c>
      <c r="I393" t="str">
        <f>+IF(Table3[[#This Row],[Tipo Movimiento]]="Estructura Balance y PyG","Excluir","Incluir")</f>
        <v>Incluir</v>
      </c>
      <c r="J393" s="153">
        <f>+IF(Table3[[#This Row],[Sin cuenta]]="Con Mov.",(IF(Table3[[#This Row],[Movimiento]]="Debe",Table3[[#This Row],[Importe]],IF(Table3[[#This Row],[Movimiento]]="Haber",Table3[[#This Row],[Importe]]*-1,0))),0)</f>
        <v>0</v>
      </c>
      <c r="K393" s="145">
        <f t="shared" si="19"/>
        <v>0</v>
      </c>
      <c r="L393" s="145" t="str">
        <f t="shared" si="20"/>
        <v/>
      </c>
      <c r="M393" t="str">
        <f>_xlfn.XLOOKUP(Table3[[#This Row],[Cuenta]],Estructura_Balance[Nombre Cuenta ()],Estructura_Balance[Grupo],"",0)</f>
        <v/>
      </c>
      <c r="N393" t="str">
        <f>_xlfn.XLOOKUP(Table3[[#This Row],[Cuenta]],Estructura_Balance[Nombre Cuenta ()],Estructura_Balance[Nivel 1],"",0)</f>
        <v/>
      </c>
      <c r="O393" t="str">
        <f>_xlfn.XLOOKUP(Table3[[#This Row],[Cuenta]],Estructura_Balance[Nombre Cuenta ()],Estructura_Balance[Nivel 2],"",0)</f>
        <v/>
      </c>
      <c r="P393" t="str">
        <f>_xlfn.XLOOKUP(Table3[[#This Row],[Cuenta]],Estructura_Balance[Nombre Cuenta ()],Estructura_Balance[Nivel 3],"",0)</f>
        <v/>
      </c>
      <c r="Q393" t="str">
        <f>_xlfn.XLOOKUP(Table3[[#This Row],[Cuenta]],Estructura_Balance[Nombre Cuenta ()],Estructura_Balance[Nivel 4],"",0)</f>
        <v/>
      </c>
      <c r="R393" s="154" t="str">
        <f>_xlfn.XLOOKUP(Table3[[#This Row],[Cuenta]],Table8[Nombre Cuenta ()],Table8[Nivel 1],"",0)</f>
        <v/>
      </c>
      <c r="S393" t="str">
        <f>_xlfn.XLOOKUP(Table3[[#This Row],[Cuenta]],Table8[Nombre Cuenta ()],Table8[Nivel 2],"",0)</f>
        <v/>
      </c>
      <c r="T393" t="str">
        <f>_xlfn.XLOOKUP(Table3[[#This Row],[Cuenta]],Table8[Nombre Cuenta ()],Table8[Nivel 3],"",0)</f>
        <v/>
      </c>
      <c r="U393">
        <v>799</v>
      </c>
      <c r="V393" t="str">
        <f>_xlfn.XLOOKUP(Table3[[#This Row],[Cuenta]],Estructura_Balance[Nombre Cuenta ()],Estructura_Balance[Niveles:2],"",0)</f>
        <v/>
      </c>
      <c r="W393" t="str">
        <f>_xlfn.XLOOKUP(Table3[[#This Row],[Cuenta]],Estructura_Balance[Nombre Cuenta ()],Estructura_Balance[Niveles:3],"",0)</f>
        <v/>
      </c>
      <c r="X393" t="str">
        <f>_xlfn.XLOOKUP(Table3[[#This Row],[Cuenta]],Estructura_Balance[Nombre Cuenta ()],Estructura_Balance[Grupos],"Grupo 1",0)</f>
        <v>Grupo 1</v>
      </c>
      <c r="Y393" t="str">
        <f>+Table3[[#This Row],[BS_Nivel_1]]</f>
        <v/>
      </c>
    </row>
    <row r="394" spans="1:25">
      <c r="A394">
        <f>+'Libro Diario'!F608</f>
        <v>0</v>
      </c>
      <c r="B394" s="144">
        <f>VALUE(IF(+'Libro Diario'!G608="","01/01/2025",+'Libro Diario'!G608))</f>
        <v>45658</v>
      </c>
      <c r="C394">
        <f>IF(ISNUMBER(+IF(IFERROR(VALUE(MID('Libro Diario'!C608,1,4)),0)&lt;&gt;0,'Libro Diario'!C608,0))=FALSE,'Libro Diario'!C608,0)</f>
        <v>0</v>
      </c>
      <c r="D394" s="145" t="str">
        <f>+'Libro Diario'!B608</f>
        <v>Ajuste por Reclasificación</v>
      </c>
      <c r="E394" s="139" t="s">
        <v>445</v>
      </c>
      <c r="F394" t="str">
        <f t="shared" si="18"/>
        <v>Sin Mov.</v>
      </c>
      <c r="G394" t="str">
        <f>IF(+'Libro Diario'!H608=0,"",+'Libro Diario'!H608)</f>
        <v/>
      </c>
      <c r="H394" t="str">
        <f>IF(+'Libro Diario'!I608=0,"",+'Libro Diario'!I608)</f>
        <v/>
      </c>
      <c r="I394" t="str">
        <f>+IF(Table3[[#This Row],[Tipo Movimiento]]="Estructura Balance y PyG","Excluir","Incluir")</f>
        <v>Incluir</v>
      </c>
      <c r="J394" s="153">
        <f>+IF(Table3[[#This Row],[Sin cuenta]]="Con Mov.",(IF(Table3[[#This Row],[Movimiento]]="Debe",Table3[[#This Row],[Importe]],IF(Table3[[#This Row],[Movimiento]]="Haber",Table3[[#This Row],[Importe]]*-1,0))),0)</f>
        <v>0</v>
      </c>
      <c r="K394" s="145" t="str">
        <f t="shared" si="19"/>
        <v>Ajuste por Reclasificación</v>
      </c>
      <c r="L394" s="145" t="str">
        <f t="shared" si="20"/>
        <v/>
      </c>
      <c r="M394" t="str">
        <f>_xlfn.XLOOKUP(Table3[[#This Row],[Cuenta]],Estructura_Balance[Nombre Cuenta ()],Estructura_Balance[Grupo],"",0)</f>
        <v/>
      </c>
      <c r="N394" t="str">
        <f>_xlfn.XLOOKUP(Table3[[#This Row],[Cuenta]],Estructura_Balance[Nombre Cuenta ()],Estructura_Balance[Nivel 1],"",0)</f>
        <v/>
      </c>
      <c r="O394" t="str">
        <f>_xlfn.XLOOKUP(Table3[[#This Row],[Cuenta]],Estructura_Balance[Nombre Cuenta ()],Estructura_Balance[Nivel 2],"",0)</f>
        <v/>
      </c>
      <c r="P394" t="str">
        <f>_xlfn.XLOOKUP(Table3[[#This Row],[Cuenta]],Estructura_Balance[Nombre Cuenta ()],Estructura_Balance[Nivel 3],"",0)</f>
        <v/>
      </c>
      <c r="Q394" t="str">
        <f>_xlfn.XLOOKUP(Table3[[#This Row],[Cuenta]],Estructura_Balance[Nombre Cuenta ()],Estructura_Balance[Nivel 4],"",0)</f>
        <v/>
      </c>
      <c r="R394" t="str">
        <f>_xlfn.XLOOKUP(Table3[[#This Row],[Cuenta]],Table8[Nombre Cuenta ()],Table8[Nivel 1],"",0)</f>
        <v/>
      </c>
      <c r="S394" t="str">
        <f>_xlfn.XLOOKUP(Table3[[#This Row],[Cuenta]],Table8[Nombre Cuenta ()],Table8[Nivel 2],"",0)</f>
        <v/>
      </c>
      <c r="T394" t="str">
        <f>_xlfn.XLOOKUP(Table3[[#This Row],[Cuenta]],Table8[Nombre Cuenta ()],Table8[Nivel 3],"",0)</f>
        <v/>
      </c>
      <c r="U394">
        <v>800</v>
      </c>
      <c r="V394" t="str">
        <f>_xlfn.XLOOKUP(Table3[[#This Row],[Cuenta]],Estructura_Balance[Nombre Cuenta ()],Estructura_Balance[Niveles:2],"",0)</f>
        <v/>
      </c>
      <c r="W394" t="str">
        <f>_xlfn.XLOOKUP(Table3[[#This Row],[Cuenta]],Estructura_Balance[Nombre Cuenta ()],Estructura_Balance[Niveles:3],"",0)</f>
        <v/>
      </c>
      <c r="X394" t="str">
        <f>_xlfn.XLOOKUP(Table3[[#This Row],[Cuenta]],Estructura_Balance[Nombre Cuenta ()],Estructura_Balance[Grupos],"Grupo 1",0)</f>
        <v>Grupo 1</v>
      </c>
      <c r="Y394" t="str">
        <f>+Table3[[#This Row],[BS_Nivel_1]]</f>
        <v/>
      </c>
    </row>
    <row r="395" spans="1:25">
      <c r="A395">
        <f>+'Libro Diario'!F609</f>
        <v>0</v>
      </c>
      <c r="B395" s="144">
        <f>VALUE(IF(+'Libro Diario'!G609="","01/01/2025",+'Libro Diario'!G609))</f>
        <v>45658</v>
      </c>
      <c r="C395">
        <f>IF(ISNUMBER(+IF(IFERROR(VALUE(MID('Libro Diario'!C609,1,4)),0)&lt;&gt;0,'Libro Diario'!C609,0))=FALSE,'Libro Diario'!C609,0)</f>
        <v>0</v>
      </c>
      <c r="D395" s="145" t="str">
        <f>+'Libro Diario'!B609</f>
        <v>Asiento Cuadrado</v>
      </c>
      <c r="E395" s="139" t="s">
        <v>445</v>
      </c>
      <c r="F395" t="str">
        <f t="shared" si="18"/>
        <v>Sin Mov.</v>
      </c>
      <c r="G395" t="str">
        <f>IF(+'Libro Diario'!H609=0,"",+'Libro Diario'!H609)</f>
        <v/>
      </c>
      <c r="H395" t="str">
        <f>IF(+'Libro Diario'!I609=0,"",+'Libro Diario'!I609)</f>
        <v/>
      </c>
      <c r="I395" t="str">
        <f>+IF(Table3[[#This Row],[Tipo Movimiento]]="Estructura Balance y PyG","Excluir","Incluir")</f>
        <v>Incluir</v>
      </c>
      <c r="J395" s="153">
        <f>+IF(Table3[[#This Row],[Sin cuenta]]="Con Mov.",(IF(Table3[[#This Row],[Movimiento]]="Debe",Table3[[#This Row],[Importe]],IF(Table3[[#This Row],[Movimiento]]="Haber",Table3[[#This Row],[Importe]]*-1,0))),0)</f>
        <v>0</v>
      </c>
      <c r="K395" s="145" t="str">
        <f t="shared" si="19"/>
        <v>Asiento Cuadrado</v>
      </c>
      <c r="L395" s="145" t="str">
        <f t="shared" si="20"/>
        <v/>
      </c>
      <c r="M395" t="str">
        <f>_xlfn.XLOOKUP(Table3[[#This Row],[Cuenta]],Estructura_Balance[Nombre Cuenta ()],Estructura_Balance[Grupo],"",0)</f>
        <v/>
      </c>
      <c r="N395" t="str">
        <f>_xlfn.XLOOKUP(Table3[[#This Row],[Cuenta]],Estructura_Balance[Nombre Cuenta ()],Estructura_Balance[Nivel 1],"",0)</f>
        <v/>
      </c>
      <c r="O395" t="str">
        <f>_xlfn.XLOOKUP(Table3[[#This Row],[Cuenta]],Estructura_Balance[Nombre Cuenta ()],Estructura_Balance[Nivel 2],"",0)</f>
        <v/>
      </c>
      <c r="P395" t="str">
        <f>_xlfn.XLOOKUP(Table3[[#This Row],[Cuenta]],Estructura_Balance[Nombre Cuenta ()],Estructura_Balance[Nivel 3],"",0)</f>
        <v/>
      </c>
      <c r="Q395" t="str">
        <f>_xlfn.XLOOKUP(Table3[[#This Row],[Cuenta]],Estructura_Balance[Nombre Cuenta ()],Estructura_Balance[Nivel 4],"",0)</f>
        <v/>
      </c>
      <c r="R395" s="154" t="str">
        <f>_xlfn.XLOOKUP(Table3[[#This Row],[Cuenta]],Table8[Nombre Cuenta ()],Table8[Nivel 1],"",0)</f>
        <v/>
      </c>
      <c r="S395" t="str">
        <f>_xlfn.XLOOKUP(Table3[[#This Row],[Cuenta]],Table8[Nombre Cuenta ()],Table8[Nivel 2],"",0)</f>
        <v/>
      </c>
      <c r="T395" t="str">
        <f>_xlfn.XLOOKUP(Table3[[#This Row],[Cuenta]],Table8[Nombre Cuenta ()],Table8[Nivel 3],"",0)</f>
        <v/>
      </c>
      <c r="U395">
        <v>801</v>
      </c>
      <c r="V395" t="str">
        <f>_xlfn.XLOOKUP(Table3[[#This Row],[Cuenta]],Estructura_Balance[Nombre Cuenta ()],Estructura_Balance[Niveles:2],"",0)</f>
        <v/>
      </c>
      <c r="W395" t="str">
        <f>_xlfn.XLOOKUP(Table3[[#This Row],[Cuenta]],Estructura_Balance[Nombre Cuenta ()],Estructura_Balance[Niveles:3],"",0)</f>
        <v/>
      </c>
      <c r="X395" t="str">
        <f>_xlfn.XLOOKUP(Table3[[#This Row],[Cuenta]],Estructura_Balance[Nombre Cuenta ()],Estructura_Balance[Grupos],"Grupo 1",0)</f>
        <v>Grupo 1</v>
      </c>
      <c r="Y395" t="str">
        <f>+Table3[[#This Row],[BS_Nivel_1]]</f>
        <v/>
      </c>
    </row>
    <row r="396" spans="1:25">
      <c r="A396">
        <f>+'Libro Diario'!F610</f>
        <v>0</v>
      </c>
      <c r="B396" s="144">
        <f>VALUE(IF(+'Libro Diario'!G610="","01/01/2025",+'Libro Diario'!G610))</f>
        <v>45658</v>
      </c>
      <c r="C396">
        <f>IF(ISNUMBER(+IF(IFERROR(VALUE(MID('Libro Diario'!C610,1,4)),0)&lt;&gt;0,'Libro Diario'!C610,0))=FALSE,'Libro Diario'!C610,0)</f>
        <v>0</v>
      </c>
      <c r="D396" s="145">
        <f>+'Libro Diario'!B610</f>
        <v>0</v>
      </c>
      <c r="E396" s="139" t="s">
        <v>445</v>
      </c>
      <c r="F396" t="str">
        <f t="shared" si="18"/>
        <v>Sin Mov.</v>
      </c>
      <c r="G396" t="str">
        <f>IF(+'Libro Diario'!H610=0,"",+'Libro Diario'!H610)</f>
        <v/>
      </c>
      <c r="H396" t="str">
        <f>IF(+'Libro Diario'!I610=0,"",+'Libro Diario'!I610)</f>
        <v/>
      </c>
      <c r="I396" t="str">
        <f>+IF(Table3[[#This Row],[Tipo Movimiento]]="Estructura Balance y PyG","Excluir","Incluir")</f>
        <v>Incluir</v>
      </c>
      <c r="J396" s="153">
        <f>+IF(Table3[[#This Row],[Sin cuenta]]="Con Mov.",(IF(Table3[[#This Row],[Movimiento]]="Debe",Table3[[#This Row],[Importe]],IF(Table3[[#This Row],[Movimiento]]="Haber",Table3[[#This Row],[Importe]]*-1,0))),0)</f>
        <v>0</v>
      </c>
      <c r="K396" s="145">
        <f t="shared" si="19"/>
        <v>0</v>
      </c>
      <c r="L396" s="145" t="str">
        <f t="shared" si="20"/>
        <v/>
      </c>
      <c r="M396" t="str">
        <f>_xlfn.XLOOKUP(Table3[[#This Row],[Cuenta]],Estructura_Balance[Nombre Cuenta ()],Estructura_Balance[Grupo],"",0)</f>
        <v/>
      </c>
      <c r="N396" t="str">
        <f>_xlfn.XLOOKUP(Table3[[#This Row],[Cuenta]],Estructura_Balance[Nombre Cuenta ()],Estructura_Balance[Nivel 1],"",0)</f>
        <v/>
      </c>
      <c r="O396" t="str">
        <f>_xlfn.XLOOKUP(Table3[[#This Row],[Cuenta]],Estructura_Balance[Nombre Cuenta ()],Estructura_Balance[Nivel 2],"",0)</f>
        <v/>
      </c>
      <c r="P396" t="str">
        <f>_xlfn.XLOOKUP(Table3[[#This Row],[Cuenta]],Estructura_Balance[Nombre Cuenta ()],Estructura_Balance[Nivel 3],"",0)</f>
        <v/>
      </c>
      <c r="Q396" t="str">
        <f>_xlfn.XLOOKUP(Table3[[#This Row],[Cuenta]],Estructura_Balance[Nombre Cuenta ()],Estructura_Balance[Nivel 4],"",0)</f>
        <v/>
      </c>
      <c r="R396" t="str">
        <f>_xlfn.XLOOKUP(Table3[[#This Row],[Cuenta]],Table8[Nombre Cuenta ()],Table8[Nivel 1],"",0)</f>
        <v/>
      </c>
      <c r="S396" t="str">
        <f>_xlfn.XLOOKUP(Table3[[#This Row],[Cuenta]],Table8[Nombre Cuenta ()],Table8[Nivel 2],"",0)</f>
        <v/>
      </c>
      <c r="T396" t="str">
        <f>_xlfn.XLOOKUP(Table3[[#This Row],[Cuenta]],Table8[Nombre Cuenta ()],Table8[Nivel 3],"",0)</f>
        <v/>
      </c>
      <c r="U396">
        <v>802</v>
      </c>
      <c r="V396" t="str">
        <f>_xlfn.XLOOKUP(Table3[[#This Row],[Cuenta]],Estructura_Balance[Nombre Cuenta ()],Estructura_Balance[Niveles:2],"",0)</f>
        <v/>
      </c>
      <c r="W396" t="str">
        <f>_xlfn.XLOOKUP(Table3[[#This Row],[Cuenta]],Estructura_Balance[Nombre Cuenta ()],Estructura_Balance[Niveles:3],"",0)</f>
        <v/>
      </c>
      <c r="X396" t="str">
        <f>_xlfn.XLOOKUP(Table3[[#This Row],[Cuenta]],Estructura_Balance[Nombre Cuenta ()],Estructura_Balance[Grupos],"Grupo 1",0)</f>
        <v>Grupo 1</v>
      </c>
      <c r="Y396" t="str">
        <f>+Table3[[#This Row],[BS_Nivel_1]]</f>
        <v/>
      </c>
    </row>
    <row r="397" spans="1:25">
      <c r="A397">
        <f>+'Libro Diario'!F611</f>
        <v>0</v>
      </c>
      <c r="B397" s="144">
        <f>VALUE(IF(+'Libro Diario'!G611="","01/01/2025",+'Libro Diario'!G611))</f>
        <v>45658</v>
      </c>
      <c r="C397">
        <f>IF(ISNUMBER(+IF(IFERROR(VALUE(MID('Libro Diario'!C611,1,4)),0)&lt;&gt;0,'Libro Diario'!C611,0))=FALSE,'Libro Diario'!C611,0)</f>
        <v>0</v>
      </c>
      <c r="D397" s="145" t="str">
        <f>+'Libro Diario'!B611</f>
        <v>DEBE</v>
      </c>
      <c r="E397" s="139" t="s">
        <v>445</v>
      </c>
      <c r="F397" t="str">
        <f t="shared" si="18"/>
        <v>Sin Mov.</v>
      </c>
      <c r="G397" t="str">
        <f>IF(+'Libro Diario'!H611=0,"",+'Libro Diario'!H611)</f>
        <v/>
      </c>
      <c r="H397" t="str">
        <f>IF(+'Libro Diario'!I611=0,"",+'Libro Diario'!I611)</f>
        <v/>
      </c>
      <c r="I397" t="str">
        <f>+IF(Table3[[#This Row],[Tipo Movimiento]]="Estructura Balance y PyG","Excluir","Incluir")</f>
        <v>Incluir</v>
      </c>
      <c r="J397" s="153">
        <f>+IF(Table3[[#This Row],[Sin cuenta]]="Con Mov.",(IF(Table3[[#This Row],[Movimiento]]="Debe",Table3[[#This Row],[Importe]],IF(Table3[[#This Row],[Movimiento]]="Haber",Table3[[#This Row],[Importe]]*-1,0))),0)</f>
        <v>0</v>
      </c>
      <c r="K397" s="145" t="str">
        <f t="shared" si="19"/>
        <v>DEBE</v>
      </c>
      <c r="L397" s="145" t="str">
        <f t="shared" si="20"/>
        <v/>
      </c>
      <c r="M397" t="str">
        <f>_xlfn.XLOOKUP(Table3[[#This Row],[Cuenta]],Estructura_Balance[Nombre Cuenta ()],Estructura_Balance[Grupo],"",0)</f>
        <v/>
      </c>
      <c r="N397" t="str">
        <f>_xlfn.XLOOKUP(Table3[[#This Row],[Cuenta]],Estructura_Balance[Nombre Cuenta ()],Estructura_Balance[Nivel 1],"",0)</f>
        <v/>
      </c>
      <c r="O397" t="str">
        <f>_xlfn.XLOOKUP(Table3[[#This Row],[Cuenta]],Estructura_Balance[Nombre Cuenta ()],Estructura_Balance[Nivel 2],"",0)</f>
        <v/>
      </c>
      <c r="P397" t="str">
        <f>_xlfn.XLOOKUP(Table3[[#This Row],[Cuenta]],Estructura_Balance[Nombre Cuenta ()],Estructura_Balance[Nivel 3],"",0)</f>
        <v/>
      </c>
      <c r="Q397" t="str">
        <f>_xlfn.XLOOKUP(Table3[[#This Row],[Cuenta]],Estructura_Balance[Nombre Cuenta ()],Estructura_Balance[Nivel 4],"",0)</f>
        <v/>
      </c>
      <c r="R397" s="154" t="str">
        <f>_xlfn.XLOOKUP(Table3[[#This Row],[Cuenta]],Table8[Nombre Cuenta ()],Table8[Nivel 1],"",0)</f>
        <v/>
      </c>
      <c r="S397" t="str">
        <f>_xlfn.XLOOKUP(Table3[[#This Row],[Cuenta]],Table8[Nombre Cuenta ()],Table8[Nivel 2],"",0)</f>
        <v/>
      </c>
      <c r="T397" t="str">
        <f>_xlfn.XLOOKUP(Table3[[#This Row],[Cuenta]],Table8[Nombre Cuenta ()],Table8[Nivel 3],"",0)</f>
        <v/>
      </c>
      <c r="U397">
        <v>803</v>
      </c>
      <c r="V397" t="str">
        <f>_xlfn.XLOOKUP(Table3[[#This Row],[Cuenta]],Estructura_Balance[Nombre Cuenta ()],Estructura_Balance[Niveles:2],"",0)</f>
        <v/>
      </c>
      <c r="W397" t="str">
        <f>_xlfn.XLOOKUP(Table3[[#This Row],[Cuenta]],Estructura_Balance[Nombre Cuenta ()],Estructura_Balance[Niveles:3],"",0)</f>
        <v/>
      </c>
      <c r="X397" t="str">
        <f>_xlfn.XLOOKUP(Table3[[#This Row],[Cuenta]],Estructura_Balance[Nombre Cuenta ()],Estructura_Balance[Grupos],"Grupo 1",0)</f>
        <v>Grupo 1</v>
      </c>
      <c r="Y397" t="str">
        <f>+Table3[[#This Row],[BS_Nivel_1]]</f>
        <v/>
      </c>
    </row>
    <row r="398" spans="1:25">
      <c r="A398">
        <f>+'Libro Diario'!F612</f>
        <v>0</v>
      </c>
      <c r="B398" s="144">
        <f>VALUE(IF(+'Libro Diario'!G612="","01/01/2025",+'Libro Diario'!G612))</f>
        <v>45658</v>
      </c>
      <c r="C398">
        <f>IF(ISNUMBER(+IF(IFERROR(VALUE(MID('Libro Diario'!C612,1,4)),0)&lt;&gt;0,'Libro Diario'!C612,0))=FALSE,'Libro Diario'!C612,0)</f>
        <v>0</v>
      </c>
      <c r="D398" s="145">
        <f>+'Libro Diario'!B612</f>
        <v>0</v>
      </c>
      <c r="E398" s="139" t="s">
        <v>445</v>
      </c>
      <c r="F398" t="str">
        <f t="shared" si="18"/>
        <v>Sin Mov.</v>
      </c>
      <c r="G398" t="str">
        <f>IF(+'Libro Diario'!H612=0,"",+'Libro Diario'!H612)</f>
        <v/>
      </c>
      <c r="H398" t="str">
        <f>IF(+'Libro Diario'!I612=0,"",+'Libro Diario'!I612)</f>
        <v/>
      </c>
      <c r="I398" t="str">
        <f>+IF(Table3[[#This Row],[Tipo Movimiento]]="Estructura Balance y PyG","Excluir","Incluir")</f>
        <v>Incluir</v>
      </c>
      <c r="J398" s="153">
        <f>+IF(Table3[[#This Row],[Sin cuenta]]="Con Mov.",(IF(Table3[[#This Row],[Movimiento]]="Debe",Table3[[#This Row],[Importe]],IF(Table3[[#This Row],[Movimiento]]="Haber",Table3[[#This Row],[Importe]]*-1,0))),0)</f>
        <v>0</v>
      </c>
      <c r="K398" s="145">
        <f t="shared" si="19"/>
        <v>0</v>
      </c>
      <c r="L398" s="145" t="str">
        <f t="shared" si="20"/>
        <v/>
      </c>
      <c r="M398" t="str">
        <f>_xlfn.XLOOKUP(Table3[[#This Row],[Cuenta]],Estructura_Balance[Nombre Cuenta ()],Estructura_Balance[Grupo],"",0)</f>
        <v/>
      </c>
      <c r="N398" t="str">
        <f>_xlfn.XLOOKUP(Table3[[#This Row],[Cuenta]],Estructura_Balance[Nombre Cuenta ()],Estructura_Balance[Nivel 1],"",0)</f>
        <v/>
      </c>
      <c r="O398" t="str">
        <f>_xlfn.XLOOKUP(Table3[[#This Row],[Cuenta]],Estructura_Balance[Nombre Cuenta ()],Estructura_Balance[Nivel 2],"",0)</f>
        <v/>
      </c>
      <c r="P398" t="str">
        <f>_xlfn.XLOOKUP(Table3[[#This Row],[Cuenta]],Estructura_Balance[Nombre Cuenta ()],Estructura_Balance[Nivel 3],"",0)</f>
        <v/>
      </c>
      <c r="Q398" t="str">
        <f>_xlfn.XLOOKUP(Table3[[#This Row],[Cuenta]],Estructura_Balance[Nombre Cuenta ()],Estructura_Balance[Nivel 4],"",0)</f>
        <v/>
      </c>
      <c r="R398" s="154" t="str">
        <f>_xlfn.XLOOKUP(Table3[[#This Row],[Cuenta]],Table8[Nombre Cuenta ()],Table8[Nivel 1],"",0)</f>
        <v/>
      </c>
      <c r="S398" t="str">
        <f>_xlfn.XLOOKUP(Table3[[#This Row],[Cuenta]],Table8[Nombre Cuenta ()],Table8[Nivel 2],"",0)</f>
        <v/>
      </c>
      <c r="T398" t="str">
        <f>_xlfn.XLOOKUP(Table3[[#This Row],[Cuenta]],Table8[Nombre Cuenta ()],Table8[Nivel 3],"",0)</f>
        <v/>
      </c>
      <c r="U398">
        <v>804</v>
      </c>
      <c r="V398" t="str">
        <f>_xlfn.XLOOKUP(Table3[[#This Row],[Cuenta]],Estructura_Balance[Nombre Cuenta ()],Estructura_Balance[Niveles:2],"",0)</f>
        <v/>
      </c>
      <c r="W398" t="str">
        <f>_xlfn.XLOOKUP(Table3[[#This Row],[Cuenta]],Estructura_Balance[Nombre Cuenta ()],Estructura_Balance[Niveles:3],"",0)</f>
        <v/>
      </c>
      <c r="X398" t="str">
        <f>_xlfn.XLOOKUP(Table3[[#This Row],[Cuenta]],Estructura_Balance[Nombre Cuenta ()],Estructura_Balance[Grupos],"Grupo 1",0)</f>
        <v>Grupo 1</v>
      </c>
      <c r="Y398" t="str">
        <f>+Table3[[#This Row],[BS_Nivel_1]]</f>
        <v/>
      </c>
    </row>
    <row r="399" spans="1:25">
      <c r="A399">
        <f>+'Libro Diario'!F613</f>
        <v>70</v>
      </c>
      <c r="B399" s="144">
        <f>VALUE(IF(+'Libro Diario'!G613="","01/01/2025",+'Libro Diario'!G613))</f>
        <v>0</v>
      </c>
      <c r="C399">
        <f>IF(ISNUMBER(+IF(IFERROR(VALUE(MID('Libro Diario'!C613,1,4)),0)&lt;&gt;0,'Libro Diario'!C613,0))=FALSE,'Libro Diario'!C613,0)</f>
        <v>0</v>
      </c>
      <c r="D399" s="145">
        <f>+'Libro Diario'!B613</f>
        <v>0</v>
      </c>
      <c r="E399" s="139" t="s">
        <v>445</v>
      </c>
      <c r="F399" t="str">
        <f t="shared" si="18"/>
        <v>Sin Mov.</v>
      </c>
      <c r="G399" t="str">
        <f>IF(+'Libro Diario'!H613=0,"",+'Libro Diario'!H613)</f>
        <v>Regularización de Existencias</v>
      </c>
      <c r="H399" t="str">
        <f>IF(+'Libro Diario'!I613=0,"",+'Libro Diario'!I613)</f>
        <v/>
      </c>
      <c r="I399" t="str">
        <f>+IF(Table3[[#This Row],[Tipo Movimiento]]="Estructura Balance y PyG","Excluir","Incluir")</f>
        <v>Incluir</v>
      </c>
      <c r="J399" s="153">
        <f>+IF(Table3[[#This Row],[Sin cuenta]]="Con Mov.",(IF(Table3[[#This Row],[Movimiento]]="Debe",Table3[[#This Row],[Importe]],IF(Table3[[#This Row],[Movimiento]]="Haber",Table3[[#This Row],[Importe]]*-1,0))),0)</f>
        <v>0</v>
      </c>
      <c r="K399" s="145">
        <f t="shared" si="19"/>
        <v>0</v>
      </c>
      <c r="L399" s="145" t="str">
        <f t="shared" si="20"/>
        <v/>
      </c>
      <c r="M399" t="str">
        <f>_xlfn.XLOOKUP(Table3[[#This Row],[Cuenta]],Estructura_Balance[Nombre Cuenta ()],Estructura_Balance[Grupo],"",0)</f>
        <v/>
      </c>
      <c r="N399" t="str">
        <f>_xlfn.XLOOKUP(Table3[[#This Row],[Cuenta]],Estructura_Balance[Nombre Cuenta ()],Estructura_Balance[Nivel 1],"",0)</f>
        <v/>
      </c>
      <c r="O399" t="str">
        <f>_xlfn.XLOOKUP(Table3[[#This Row],[Cuenta]],Estructura_Balance[Nombre Cuenta ()],Estructura_Balance[Nivel 2],"",0)</f>
        <v/>
      </c>
      <c r="P399" t="str">
        <f>_xlfn.XLOOKUP(Table3[[#This Row],[Cuenta]],Estructura_Balance[Nombre Cuenta ()],Estructura_Balance[Nivel 3],"",0)</f>
        <v/>
      </c>
      <c r="Q399" t="str">
        <f>_xlfn.XLOOKUP(Table3[[#This Row],[Cuenta]],Estructura_Balance[Nombre Cuenta ()],Estructura_Balance[Nivel 4],"",0)</f>
        <v/>
      </c>
      <c r="R399" t="str">
        <f>_xlfn.XLOOKUP(Table3[[#This Row],[Cuenta]],Table8[Nombre Cuenta ()],Table8[Nivel 1],"",0)</f>
        <v/>
      </c>
      <c r="S399" t="str">
        <f>_xlfn.XLOOKUP(Table3[[#This Row],[Cuenta]],Table8[Nombre Cuenta ()],Table8[Nivel 2],"",0)</f>
        <v/>
      </c>
      <c r="T399" t="str">
        <f>_xlfn.XLOOKUP(Table3[[#This Row],[Cuenta]],Table8[Nombre Cuenta ()],Table8[Nivel 3],"",0)</f>
        <v/>
      </c>
      <c r="U399">
        <v>805</v>
      </c>
      <c r="V399" t="str">
        <f>_xlfn.XLOOKUP(Table3[[#This Row],[Cuenta]],Estructura_Balance[Nombre Cuenta ()],Estructura_Balance[Niveles:2],"",0)</f>
        <v/>
      </c>
      <c r="W399" t="str">
        <f>_xlfn.XLOOKUP(Table3[[#This Row],[Cuenta]],Estructura_Balance[Nombre Cuenta ()],Estructura_Balance[Niveles:3],"",0)</f>
        <v/>
      </c>
      <c r="X399" t="str">
        <f>_xlfn.XLOOKUP(Table3[[#This Row],[Cuenta]],Estructura_Balance[Nombre Cuenta ()],Estructura_Balance[Grupos],"Grupo 1",0)</f>
        <v>Grupo 1</v>
      </c>
      <c r="Y399" t="str">
        <f>+Table3[[#This Row],[BS_Nivel_1]]</f>
        <v/>
      </c>
    </row>
    <row r="400" spans="1:25">
      <c r="A400">
        <f>+'Libro Diario'!F614</f>
        <v>70</v>
      </c>
      <c r="B400" s="144">
        <f>VALUE(IF(+'Libro Diario'!G614="","01/01/2025",+'Libro Diario'!G614))</f>
        <v>0</v>
      </c>
      <c r="C400">
        <f>IF(ISNUMBER(+IF(IFERROR(VALUE(MID('Libro Diario'!C614,1,4)),0)&lt;&gt;0,'Libro Diario'!C614,0))=FALSE,'Libro Diario'!C614,0)</f>
        <v>0</v>
      </c>
      <c r="D400" s="145">
        <f>+'Libro Diario'!B614</f>
        <v>0</v>
      </c>
      <c r="E400" s="139" t="s">
        <v>445</v>
      </c>
      <c r="F400" t="str">
        <f t="shared" si="18"/>
        <v>Sin Mov.</v>
      </c>
      <c r="G400" t="str">
        <f>IF(+'Libro Diario'!H614=0,"",+'Libro Diario'!H614)</f>
        <v>Regularización de Existencias</v>
      </c>
      <c r="H400" t="str">
        <f>IF(+'Libro Diario'!I614=0,"",+'Libro Diario'!I614)</f>
        <v/>
      </c>
      <c r="I400" t="str">
        <f>+IF(Table3[[#This Row],[Tipo Movimiento]]="Estructura Balance y PyG","Excluir","Incluir")</f>
        <v>Incluir</v>
      </c>
      <c r="J400" s="153">
        <f>+IF(Table3[[#This Row],[Sin cuenta]]="Con Mov.",(IF(Table3[[#This Row],[Movimiento]]="Debe",Table3[[#This Row],[Importe]],IF(Table3[[#This Row],[Movimiento]]="Haber",Table3[[#This Row],[Importe]]*-1,0))),0)</f>
        <v>0</v>
      </c>
      <c r="K400" s="145">
        <f t="shared" si="19"/>
        <v>0</v>
      </c>
      <c r="L400" s="145" t="str">
        <f t="shared" si="20"/>
        <v/>
      </c>
      <c r="M400" t="str">
        <f>_xlfn.XLOOKUP(Table3[[#This Row],[Cuenta]],Estructura_Balance[Nombre Cuenta ()],Estructura_Balance[Grupo],"",0)</f>
        <v/>
      </c>
      <c r="N400" t="str">
        <f>_xlfn.XLOOKUP(Table3[[#This Row],[Cuenta]],Estructura_Balance[Nombre Cuenta ()],Estructura_Balance[Nivel 1],"",0)</f>
        <v/>
      </c>
      <c r="O400" t="str">
        <f>_xlfn.XLOOKUP(Table3[[#This Row],[Cuenta]],Estructura_Balance[Nombre Cuenta ()],Estructura_Balance[Nivel 2],"",0)</f>
        <v/>
      </c>
      <c r="P400" t="str">
        <f>_xlfn.XLOOKUP(Table3[[#This Row],[Cuenta]],Estructura_Balance[Nombre Cuenta ()],Estructura_Balance[Nivel 3],"",0)</f>
        <v/>
      </c>
      <c r="Q400" t="str">
        <f>_xlfn.XLOOKUP(Table3[[#This Row],[Cuenta]],Estructura_Balance[Nombre Cuenta ()],Estructura_Balance[Nivel 4],"",0)</f>
        <v/>
      </c>
      <c r="R400" t="str">
        <f>_xlfn.XLOOKUP(Table3[[#This Row],[Cuenta]],Table8[Nombre Cuenta ()],Table8[Nivel 1],"",0)</f>
        <v/>
      </c>
      <c r="S400" t="str">
        <f>_xlfn.XLOOKUP(Table3[[#This Row],[Cuenta]],Table8[Nombre Cuenta ()],Table8[Nivel 2],"",0)</f>
        <v/>
      </c>
      <c r="T400" t="str">
        <f>_xlfn.XLOOKUP(Table3[[#This Row],[Cuenta]],Table8[Nombre Cuenta ()],Table8[Nivel 3],"",0)</f>
        <v/>
      </c>
      <c r="U400">
        <v>806</v>
      </c>
      <c r="V400" t="str">
        <f>_xlfn.XLOOKUP(Table3[[#This Row],[Cuenta]],Estructura_Balance[Nombre Cuenta ()],Estructura_Balance[Niveles:2],"",0)</f>
        <v/>
      </c>
      <c r="W400" t="str">
        <f>_xlfn.XLOOKUP(Table3[[#This Row],[Cuenta]],Estructura_Balance[Nombre Cuenta ()],Estructura_Balance[Niveles:3],"",0)</f>
        <v/>
      </c>
      <c r="X400" t="str">
        <f>_xlfn.XLOOKUP(Table3[[#This Row],[Cuenta]],Estructura_Balance[Nombre Cuenta ()],Estructura_Balance[Grupos],"Grupo 1",0)</f>
        <v>Grupo 1</v>
      </c>
      <c r="Y400" t="str">
        <f>+Table3[[#This Row],[BS_Nivel_1]]</f>
        <v/>
      </c>
    </row>
    <row r="401" spans="1:25">
      <c r="A401">
        <f>+'Libro Diario'!F615</f>
        <v>0</v>
      </c>
      <c r="B401" s="144">
        <f>VALUE(IF(+'Libro Diario'!G615="","01/01/2025",+'Libro Diario'!G615))</f>
        <v>45658</v>
      </c>
      <c r="C401">
        <f>IF(ISNUMBER(+IF(IFERROR(VALUE(MID('Libro Diario'!C615,1,4)),0)&lt;&gt;0,'Libro Diario'!C615,0))=FALSE,'Libro Diario'!C615,0)</f>
        <v>0</v>
      </c>
      <c r="D401" s="145" t="str">
        <f>+'Libro Diario'!B615</f>
        <v>Regularización de Existencias</v>
      </c>
      <c r="E401" s="139" t="s">
        <v>445</v>
      </c>
      <c r="F401" t="str">
        <f t="shared" si="18"/>
        <v>Sin Mov.</v>
      </c>
      <c r="G401" t="str">
        <f>IF(+'Libro Diario'!H615=0,"",+'Libro Diario'!H615)</f>
        <v/>
      </c>
      <c r="H401" t="str">
        <f>IF(+'Libro Diario'!I615=0,"",+'Libro Diario'!I615)</f>
        <v/>
      </c>
      <c r="I401" t="str">
        <f>+IF(Table3[[#This Row],[Tipo Movimiento]]="Estructura Balance y PyG","Excluir","Incluir")</f>
        <v>Incluir</v>
      </c>
      <c r="J401" s="153">
        <f>+IF(Table3[[#This Row],[Sin cuenta]]="Con Mov.",(IF(Table3[[#This Row],[Movimiento]]="Debe",Table3[[#This Row],[Importe]],IF(Table3[[#This Row],[Movimiento]]="Haber",Table3[[#This Row],[Importe]]*-1,0))),0)</f>
        <v>0</v>
      </c>
      <c r="K401" s="145" t="str">
        <f t="shared" si="19"/>
        <v>Regularización de Existencias</v>
      </c>
      <c r="L401" s="145" t="str">
        <f t="shared" si="20"/>
        <v/>
      </c>
      <c r="M401" t="str">
        <f>_xlfn.XLOOKUP(Table3[[#This Row],[Cuenta]],Estructura_Balance[Nombre Cuenta ()],Estructura_Balance[Grupo],"",0)</f>
        <v/>
      </c>
      <c r="N401" t="str">
        <f>_xlfn.XLOOKUP(Table3[[#This Row],[Cuenta]],Estructura_Balance[Nombre Cuenta ()],Estructura_Balance[Nivel 1],"",0)</f>
        <v/>
      </c>
      <c r="O401" t="str">
        <f>_xlfn.XLOOKUP(Table3[[#This Row],[Cuenta]],Estructura_Balance[Nombre Cuenta ()],Estructura_Balance[Nivel 2],"",0)</f>
        <v/>
      </c>
      <c r="P401" t="str">
        <f>_xlfn.XLOOKUP(Table3[[#This Row],[Cuenta]],Estructura_Balance[Nombre Cuenta ()],Estructura_Balance[Nivel 3],"",0)</f>
        <v/>
      </c>
      <c r="Q401" t="str">
        <f>_xlfn.XLOOKUP(Table3[[#This Row],[Cuenta]],Estructura_Balance[Nombre Cuenta ()],Estructura_Balance[Nivel 4],"",0)</f>
        <v/>
      </c>
      <c r="R401" t="str">
        <f>_xlfn.XLOOKUP(Table3[[#This Row],[Cuenta]],Table8[Nombre Cuenta ()],Table8[Nivel 1],"",0)</f>
        <v/>
      </c>
      <c r="S401" t="str">
        <f>_xlfn.XLOOKUP(Table3[[#This Row],[Cuenta]],Table8[Nombre Cuenta ()],Table8[Nivel 2],"",0)</f>
        <v/>
      </c>
      <c r="T401" t="str">
        <f>_xlfn.XLOOKUP(Table3[[#This Row],[Cuenta]],Table8[Nombre Cuenta ()],Table8[Nivel 3],"",0)</f>
        <v/>
      </c>
      <c r="U401">
        <v>807</v>
      </c>
      <c r="V401" t="str">
        <f>_xlfn.XLOOKUP(Table3[[#This Row],[Cuenta]],Estructura_Balance[Nombre Cuenta ()],Estructura_Balance[Niveles:2],"",0)</f>
        <v/>
      </c>
      <c r="W401" t="str">
        <f>_xlfn.XLOOKUP(Table3[[#This Row],[Cuenta]],Estructura_Balance[Nombre Cuenta ()],Estructura_Balance[Niveles:3],"",0)</f>
        <v/>
      </c>
      <c r="X401" t="str">
        <f>_xlfn.XLOOKUP(Table3[[#This Row],[Cuenta]],Estructura_Balance[Nombre Cuenta ()],Estructura_Balance[Grupos],"Grupo 1",0)</f>
        <v>Grupo 1</v>
      </c>
      <c r="Y401" t="str">
        <f>+Table3[[#This Row],[BS_Nivel_1]]</f>
        <v/>
      </c>
    </row>
    <row r="402" spans="1:25">
      <c r="A402">
        <f>+'Libro Diario'!F616</f>
        <v>0</v>
      </c>
      <c r="B402" s="144">
        <f>VALUE(IF(+'Libro Diario'!G616="","01/01/2025",+'Libro Diario'!G616))</f>
        <v>45658</v>
      </c>
      <c r="C402">
        <f>IF(ISNUMBER(+IF(IFERROR(VALUE(MID('Libro Diario'!C616,1,4)),0)&lt;&gt;0,'Libro Diario'!C616,0))=FALSE,'Libro Diario'!C616,0)</f>
        <v>0</v>
      </c>
      <c r="D402" s="145" t="str">
        <f>+'Libro Diario'!B616</f>
        <v>Asiento Cuadrado</v>
      </c>
      <c r="E402" s="139" t="s">
        <v>445</v>
      </c>
      <c r="F402" t="str">
        <f t="shared" si="18"/>
        <v>Sin Mov.</v>
      </c>
      <c r="G402" t="str">
        <f>IF(+'Libro Diario'!H616=0,"",+'Libro Diario'!H616)</f>
        <v/>
      </c>
      <c r="H402" t="str">
        <f>IF(+'Libro Diario'!I616=0,"",+'Libro Diario'!I616)</f>
        <v/>
      </c>
      <c r="I402" t="str">
        <f>+IF(Table3[[#This Row],[Tipo Movimiento]]="Estructura Balance y PyG","Excluir","Incluir")</f>
        <v>Incluir</v>
      </c>
      <c r="J402" s="153">
        <f>+IF(Table3[[#This Row],[Sin cuenta]]="Con Mov.",(IF(Table3[[#This Row],[Movimiento]]="Debe",Table3[[#This Row],[Importe]],IF(Table3[[#This Row],[Movimiento]]="Haber",Table3[[#This Row],[Importe]]*-1,0))),0)</f>
        <v>0</v>
      </c>
      <c r="K402" s="145" t="str">
        <f t="shared" si="19"/>
        <v>Asiento Cuadrado</v>
      </c>
      <c r="L402" s="145" t="str">
        <f t="shared" si="20"/>
        <v/>
      </c>
      <c r="M402" t="str">
        <f>_xlfn.XLOOKUP(Table3[[#This Row],[Cuenta]],Estructura_Balance[Nombre Cuenta ()],Estructura_Balance[Grupo],"",0)</f>
        <v/>
      </c>
      <c r="N402" t="str">
        <f>_xlfn.XLOOKUP(Table3[[#This Row],[Cuenta]],Estructura_Balance[Nombre Cuenta ()],Estructura_Balance[Nivel 1],"",0)</f>
        <v/>
      </c>
      <c r="O402" t="str">
        <f>_xlfn.XLOOKUP(Table3[[#This Row],[Cuenta]],Estructura_Balance[Nombre Cuenta ()],Estructura_Balance[Nivel 2],"",0)</f>
        <v/>
      </c>
      <c r="P402" t="str">
        <f>_xlfn.XLOOKUP(Table3[[#This Row],[Cuenta]],Estructura_Balance[Nombre Cuenta ()],Estructura_Balance[Nivel 3],"",0)</f>
        <v/>
      </c>
      <c r="Q402" t="str">
        <f>_xlfn.XLOOKUP(Table3[[#This Row],[Cuenta]],Estructura_Balance[Nombre Cuenta ()],Estructura_Balance[Nivel 4],"",0)</f>
        <v/>
      </c>
      <c r="R402" s="154" t="str">
        <f>_xlfn.XLOOKUP(Table3[[#This Row],[Cuenta]],Table8[Nombre Cuenta ()],Table8[Nivel 1],"",0)</f>
        <v/>
      </c>
      <c r="S402" t="str">
        <f>_xlfn.XLOOKUP(Table3[[#This Row],[Cuenta]],Table8[Nombre Cuenta ()],Table8[Nivel 2],"",0)</f>
        <v/>
      </c>
      <c r="T402" t="str">
        <f>_xlfn.XLOOKUP(Table3[[#This Row],[Cuenta]],Table8[Nombre Cuenta ()],Table8[Nivel 3],"",0)</f>
        <v/>
      </c>
      <c r="U402">
        <v>808</v>
      </c>
      <c r="V402" t="str">
        <f>_xlfn.XLOOKUP(Table3[[#This Row],[Cuenta]],Estructura_Balance[Nombre Cuenta ()],Estructura_Balance[Niveles:2],"",0)</f>
        <v/>
      </c>
      <c r="W402" t="str">
        <f>_xlfn.XLOOKUP(Table3[[#This Row],[Cuenta]],Estructura_Balance[Nombre Cuenta ()],Estructura_Balance[Niveles:3],"",0)</f>
        <v/>
      </c>
      <c r="X402" t="str">
        <f>_xlfn.XLOOKUP(Table3[[#This Row],[Cuenta]],Estructura_Balance[Nombre Cuenta ()],Estructura_Balance[Grupos],"Grupo 1",0)</f>
        <v>Grupo 1</v>
      </c>
      <c r="Y402" t="str">
        <f>+Table3[[#This Row],[BS_Nivel_1]]</f>
        <v/>
      </c>
    </row>
    <row r="403" spans="1:25">
      <c r="A403">
        <f>+'Libro Diario'!F617</f>
        <v>0</v>
      </c>
      <c r="B403" s="144">
        <f>VALUE(IF(+'Libro Diario'!G617="","01/01/2025",+'Libro Diario'!G617))</f>
        <v>45658</v>
      </c>
      <c r="C403">
        <f>IF(ISNUMBER(+IF(IFERROR(VALUE(MID('Libro Diario'!C617,1,4)),0)&lt;&gt;0,'Libro Diario'!C617,0))=FALSE,'Libro Diario'!C617,0)</f>
        <v>0</v>
      </c>
      <c r="D403" s="145">
        <f>+'Libro Diario'!B617</f>
        <v>0</v>
      </c>
      <c r="E403" s="139" t="s">
        <v>445</v>
      </c>
      <c r="F403" t="str">
        <f t="shared" si="18"/>
        <v>Sin Mov.</v>
      </c>
      <c r="G403" t="str">
        <f>IF(+'Libro Diario'!H617=0,"",+'Libro Diario'!H617)</f>
        <v/>
      </c>
      <c r="H403" t="str">
        <f>IF(+'Libro Diario'!I617=0,"",+'Libro Diario'!I617)</f>
        <v/>
      </c>
      <c r="I403" t="str">
        <f>+IF(Table3[[#This Row],[Tipo Movimiento]]="Estructura Balance y PyG","Excluir","Incluir")</f>
        <v>Incluir</v>
      </c>
      <c r="J403" s="153">
        <f>+IF(Table3[[#This Row],[Sin cuenta]]="Con Mov.",(IF(Table3[[#This Row],[Movimiento]]="Debe",Table3[[#This Row],[Importe]],IF(Table3[[#This Row],[Movimiento]]="Haber",Table3[[#This Row],[Importe]]*-1,0))),0)</f>
        <v>0</v>
      </c>
      <c r="K403" s="145">
        <f t="shared" si="19"/>
        <v>0</v>
      </c>
      <c r="L403" s="145" t="str">
        <f t="shared" si="20"/>
        <v/>
      </c>
      <c r="M403" t="str">
        <f>_xlfn.XLOOKUP(Table3[[#This Row],[Cuenta]],Estructura_Balance[Nombre Cuenta ()],Estructura_Balance[Grupo],"",0)</f>
        <v/>
      </c>
      <c r="N403" t="str">
        <f>_xlfn.XLOOKUP(Table3[[#This Row],[Cuenta]],Estructura_Balance[Nombre Cuenta ()],Estructura_Balance[Nivel 1],"",0)</f>
        <v/>
      </c>
      <c r="O403" t="str">
        <f>_xlfn.XLOOKUP(Table3[[#This Row],[Cuenta]],Estructura_Balance[Nombre Cuenta ()],Estructura_Balance[Nivel 2],"",0)</f>
        <v/>
      </c>
      <c r="P403" t="str">
        <f>_xlfn.XLOOKUP(Table3[[#This Row],[Cuenta]],Estructura_Balance[Nombre Cuenta ()],Estructura_Balance[Nivel 3],"",0)</f>
        <v/>
      </c>
      <c r="Q403" t="str">
        <f>_xlfn.XLOOKUP(Table3[[#This Row],[Cuenta]],Estructura_Balance[Nombre Cuenta ()],Estructura_Balance[Nivel 4],"",0)</f>
        <v/>
      </c>
      <c r="R403" s="154" t="str">
        <f>_xlfn.XLOOKUP(Table3[[#This Row],[Cuenta]],Table8[Nombre Cuenta ()],Table8[Nivel 1],"",0)</f>
        <v/>
      </c>
      <c r="S403" t="str">
        <f>_xlfn.XLOOKUP(Table3[[#This Row],[Cuenta]],Table8[Nombre Cuenta ()],Table8[Nivel 2],"",0)</f>
        <v/>
      </c>
      <c r="T403" t="str">
        <f>_xlfn.XLOOKUP(Table3[[#This Row],[Cuenta]],Table8[Nombre Cuenta ()],Table8[Nivel 3],"",0)</f>
        <v/>
      </c>
      <c r="U403">
        <v>809</v>
      </c>
      <c r="V403" t="str">
        <f>_xlfn.XLOOKUP(Table3[[#This Row],[Cuenta]],Estructura_Balance[Nombre Cuenta ()],Estructura_Balance[Niveles:2],"",0)</f>
        <v/>
      </c>
      <c r="W403" t="str">
        <f>_xlfn.XLOOKUP(Table3[[#This Row],[Cuenta]],Estructura_Balance[Nombre Cuenta ()],Estructura_Balance[Niveles:3],"",0)</f>
        <v/>
      </c>
      <c r="X403" t="str">
        <f>_xlfn.XLOOKUP(Table3[[#This Row],[Cuenta]],Estructura_Balance[Nombre Cuenta ()],Estructura_Balance[Grupos],"Grupo 1",0)</f>
        <v>Grupo 1</v>
      </c>
      <c r="Y403" t="str">
        <f>+Table3[[#This Row],[BS_Nivel_1]]</f>
        <v/>
      </c>
    </row>
    <row r="404" spans="1:25">
      <c r="A404">
        <f>+'Libro Diario'!F618</f>
        <v>0</v>
      </c>
      <c r="B404" s="144">
        <f>VALUE(IF(+'Libro Diario'!G618="","01/01/2025",+'Libro Diario'!G618))</f>
        <v>45658</v>
      </c>
      <c r="C404">
        <f>IF(ISNUMBER(+IF(IFERROR(VALUE(MID('Libro Diario'!C618,1,4)),0)&lt;&gt;0,'Libro Diario'!C618,0))=FALSE,'Libro Diario'!C618,0)</f>
        <v>0</v>
      </c>
      <c r="D404" s="145" t="str">
        <f>+'Libro Diario'!B618</f>
        <v>DEBE</v>
      </c>
      <c r="E404" s="139" t="s">
        <v>445</v>
      </c>
      <c r="F404" t="str">
        <f t="shared" si="18"/>
        <v>Sin Mov.</v>
      </c>
      <c r="G404" t="str">
        <f>IF(+'Libro Diario'!H618=0,"",+'Libro Diario'!H618)</f>
        <v/>
      </c>
      <c r="H404" t="str">
        <f>IF(+'Libro Diario'!I618=0,"",+'Libro Diario'!I618)</f>
        <v/>
      </c>
      <c r="I404" t="str">
        <f>+IF(Table3[[#This Row],[Tipo Movimiento]]="Estructura Balance y PyG","Excluir","Incluir")</f>
        <v>Incluir</v>
      </c>
      <c r="J404" s="153">
        <f>+IF(Table3[[#This Row],[Sin cuenta]]="Con Mov.",(IF(Table3[[#This Row],[Movimiento]]="Debe",Table3[[#This Row],[Importe]],IF(Table3[[#This Row],[Movimiento]]="Haber",Table3[[#This Row],[Importe]]*-1,0))),0)</f>
        <v>0</v>
      </c>
      <c r="K404" s="145" t="str">
        <f t="shared" si="19"/>
        <v>DEBE</v>
      </c>
      <c r="L404" s="145" t="str">
        <f t="shared" si="20"/>
        <v/>
      </c>
      <c r="M404" t="str">
        <f>_xlfn.XLOOKUP(Table3[[#This Row],[Cuenta]],Estructura_Balance[Nombre Cuenta ()],Estructura_Balance[Grupo],"",0)</f>
        <v/>
      </c>
      <c r="N404" t="str">
        <f>_xlfn.XLOOKUP(Table3[[#This Row],[Cuenta]],Estructura_Balance[Nombre Cuenta ()],Estructura_Balance[Nivel 1],"",0)</f>
        <v/>
      </c>
      <c r="O404" t="str">
        <f>_xlfn.XLOOKUP(Table3[[#This Row],[Cuenta]],Estructura_Balance[Nombre Cuenta ()],Estructura_Balance[Nivel 2],"",0)</f>
        <v/>
      </c>
      <c r="P404" t="str">
        <f>_xlfn.XLOOKUP(Table3[[#This Row],[Cuenta]],Estructura_Balance[Nombre Cuenta ()],Estructura_Balance[Nivel 3],"",0)</f>
        <v/>
      </c>
      <c r="Q404" t="str">
        <f>_xlfn.XLOOKUP(Table3[[#This Row],[Cuenta]],Estructura_Balance[Nombre Cuenta ()],Estructura_Balance[Nivel 4],"",0)</f>
        <v/>
      </c>
      <c r="R404" s="154" t="str">
        <f>_xlfn.XLOOKUP(Table3[[#This Row],[Cuenta]],Table8[Nombre Cuenta ()],Table8[Nivel 1],"",0)</f>
        <v/>
      </c>
      <c r="S404" t="str">
        <f>_xlfn.XLOOKUP(Table3[[#This Row],[Cuenta]],Table8[Nombre Cuenta ()],Table8[Nivel 2],"",0)</f>
        <v/>
      </c>
      <c r="T404" t="str">
        <f>_xlfn.XLOOKUP(Table3[[#This Row],[Cuenta]],Table8[Nombre Cuenta ()],Table8[Nivel 3],"",0)</f>
        <v/>
      </c>
      <c r="U404">
        <v>810</v>
      </c>
      <c r="V404" t="str">
        <f>_xlfn.XLOOKUP(Table3[[#This Row],[Cuenta]],Estructura_Balance[Nombre Cuenta ()],Estructura_Balance[Niveles:2],"",0)</f>
        <v/>
      </c>
      <c r="W404" t="str">
        <f>_xlfn.XLOOKUP(Table3[[#This Row],[Cuenta]],Estructura_Balance[Nombre Cuenta ()],Estructura_Balance[Niveles:3],"",0)</f>
        <v/>
      </c>
      <c r="X404" t="str">
        <f>_xlfn.XLOOKUP(Table3[[#This Row],[Cuenta]],Estructura_Balance[Nombre Cuenta ()],Estructura_Balance[Grupos],"Grupo 1",0)</f>
        <v>Grupo 1</v>
      </c>
      <c r="Y404" t="str">
        <f>+Table3[[#This Row],[BS_Nivel_1]]</f>
        <v/>
      </c>
    </row>
    <row r="405" spans="1:25">
      <c r="A405">
        <f>+'Libro Diario'!F619</f>
        <v>0</v>
      </c>
      <c r="B405" s="144">
        <f>VALUE(IF(+'Libro Diario'!G619="","01/01/2025",+'Libro Diario'!G619))</f>
        <v>45658</v>
      </c>
      <c r="C405">
        <f>IF(ISNUMBER(+IF(IFERROR(VALUE(MID('Libro Diario'!C619,1,4)),0)&lt;&gt;0,'Libro Diario'!C619,0))=FALSE,'Libro Diario'!C619,0)</f>
        <v>0</v>
      </c>
      <c r="D405" s="145">
        <f>+'Libro Diario'!B619</f>
        <v>0</v>
      </c>
      <c r="E405" s="139" t="s">
        <v>445</v>
      </c>
      <c r="F405" t="str">
        <f t="shared" si="18"/>
        <v>Sin Mov.</v>
      </c>
      <c r="G405" t="str">
        <f>IF(+'Libro Diario'!H619=0,"",+'Libro Diario'!H619)</f>
        <v/>
      </c>
      <c r="H405" t="str">
        <f>IF(+'Libro Diario'!I619=0,"",+'Libro Diario'!I619)</f>
        <v/>
      </c>
      <c r="I405" t="str">
        <f>+IF(Table3[[#This Row],[Tipo Movimiento]]="Estructura Balance y PyG","Excluir","Incluir")</f>
        <v>Incluir</v>
      </c>
      <c r="J405" s="153">
        <f>+IF(Table3[[#This Row],[Sin cuenta]]="Con Mov.",(IF(Table3[[#This Row],[Movimiento]]="Debe",Table3[[#This Row],[Importe]],IF(Table3[[#This Row],[Movimiento]]="Haber",Table3[[#This Row],[Importe]]*-1,0))),0)</f>
        <v>0</v>
      </c>
      <c r="K405" s="145">
        <f t="shared" si="19"/>
        <v>0</v>
      </c>
      <c r="L405" s="145" t="str">
        <f t="shared" si="20"/>
        <v/>
      </c>
      <c r="M405" t="str">
        <f>_xlfn.XLOOKUP(Table3[[#This Row],[Cuenta]],Estructura_Balance[Nombre Cuenta ()],Estructura_Balance[Grupo],"",0)</f>
        <v/>
      </c>
      <c r="N405" t="str">
        <f>_xlfn.XLOOKUP(Table3[[#This Row],[Cuenta]],Estructura_Balance[Nombre Cuenta ()],Estructura_Balance[Nivel 1],"",0)</f>
        <v/>
      </c>
      <c r="O405" t="str">
        <f>_xlfn.XLOOKUP(Table3[[#This Row],[Cuenta]],Estructura_Balance[Nombre Cuenta ()],Estructura_Balance[Nivel 2],"",0)</f>
        <v/>
      </c>
      <c r="P405" t="str">
        <f>_xlfn.XLOOKUP(Table3[[#This Row],[Cuenta]],Estructura_Balance[Nombre Cuenta ()],Estructura_Balance[Nivel 3],"",0)</f>
        <v/>
      </c>
      <c r="Q405" t="str">
        <f>_xlfn.XLOOKUP(Table3[[#This Row],[Cuenta]],Estructura_Balance[Nombre Cuenta ()],Estructura_Balance[Nivel 4],"",0)</f>
        <v/>
      </c>
      <c r="R405" s="154" t="str">
        <f>_xlfn.XLOOKUP(Table3[[#This Row],[Cuenta]],Table8[Nombre Cuenta ()],Table8[Nivel 1],"",0)</f>
        <v/>
      </c>
      <c r="S405" t="str">
        <f>_xlfn.XLOOKUP(Table3[[#This Row],[Cuenta]],Table8[Nombre Cuenta ()],Table8[Nivel 2],"",0)</f>
        <v/>
      </c>
      <c r="T405" t="str">
        <f>_xlfn.XLOOKUP(Table3[[#This Row],[Cuenta]],Table8[Nombre Cuenta ()],Table8[Nivel 3],"",0)</f>
        <v/>
      </c>
      <c r="U405">
        <v>811</v>
      </c>
      <c r="V405" t="str">
        <f>_xlfn.XLOOKUP(Table3[[#This Row],[Cuenta]],Estructura_Balance[Nombre Cuenta ()],Estructura_Balance[Niveles:2],"",0)</f>
        <v/>
      </c>
      <c r="W405" t="str">
        <f>_xlfn.XLOOKUP(Table3[[#This Row],[Cuenta]],Estructura_Balance[Nombre Cuenta ()],Estructura_Balance[Niveles:3],"",0)</f>
        <v/>
      </c>
      <c r="X405" t="str">
        <f>_xlfn.XLOOKUP(Table3[[#This Row],[Cuenta]],Estructura_Balance[Nombre Cuenta ()],Estructura_Balance[Grupos],"Grupo 1",0)</f>
        <v>Grupo 1</v>
      </c>
      <c r="Y405" t="str">
        <f>+Table3[[#This Row],[BS_Nivel_1]]</f>
        <v/>
      </c>
    </row>
    <row r="406" spans="1:25">
      <c r="A406">
        <f>+'Libro Diario'!F620</f>
        <v>71</v>
      </c>
      <c r="B406" s="144">
        <f>VALUE(IF(+'Libro Diario'!G620="","01/01/2025",+'Libro Diario'!G620))</f>
        <v>0</v>
      </c>
      <c r="C406">
        <f>IF(ISNUMBER(+IF(IFERROR(VALUE(MID('Libro Diario'!C620,1,4)),0)&lt;&gt;0,'Libro Diario'!C620,0))=FALSE,'Libro Diario'!C620,0)</f>
        <v>0</v>
      </c>
      <c r="D406" s="145">
        <f>+'Libro Diario'!B620</f>
        <v>0</v>
      </c>
      <c r="E406" s="139" t="s">
        <v>445</v>
      </c>
      <c r="F406" t="str">
        <f t="shared" si="18"/>
        <v>Sin Mov.</v>
      </c>
      <c r="G406" t="str">
        <f>IF(+'Libro Diario'!H620=0,"",+'Libro Diario'!H620)</f>
        <v>Corrección Valorativa - Amortización</v>
      </c>
      <c r="H406" t="str">
        <f>IF(+'Libro Diario'!I620=0,"",+'Libro Diario'!I620)</f>
        <v/>
      </c>
      <c r="I406" t="str">
        <f>+IF(Table3[[#This Row],[Tipo Movimiento]]="Estructura Balance y PyG","Excluir","Incluir")</f>
        <v>Incluir</v>
      </c>
      <c r="J406" s="153">
        <f>+IF(Table3[[#This Row],[Sin cuenta]]="Con Mov.",(IF(Table3[[#This Row],[Movimiento]]="Debe",Table3[[#This Row],[Importe]],IF(Table3[[#This Row],[Movimiento]]="Haber",Table3[[#This Row],[Importe]]*-1,0))),0)</f>
        <v>0</v>
      </c>
      <c r="K406" s="145">
        <f t="shared" si="19"/>
        <v>0</v>
      </c>
      <c r="L406" s="145" t="str">
        <f t="shared" si="20"/>
        <v/>
      </c>
      <c r="M406" t="str">
        <f>_xlfn.XLOOKUP(Table3[[#This Row],[Cuenta]],Estructura_Balance[Nombre Cuenta ()],Estructura_Balance[Grupo],"",0)</f>
        <v/>
      </c>
      <c r="N406" t="str">
        <f>_xlfn.XLOOKUP(Table3[[#This Row],[Cuenta]],Estructura_Balance[Nombre Cuenta ()],Estructura_Balance[Nivel 1],"",0)</f>
        <v/>
      </c>
      <c r="O406" t="str">
        <f>_xlfn.XLOOKUP(Table3[[#This Row],[Cuenta]],Estructura_Balance[Nombre Cuenta ()],Estructura_Balance[Nivel 2],"",0)</f>
        <v/>
      </c>
      <c r="P406" t="str">
        <f>_xlfn.XLOOKUP(Table3[[#This Row],[Cuenta]],Estructura_Balance[Nombre Cuenta ()],Estructura_Balance[Nivel 3],"",0)</f>
        <v/>
      </c>
      <c r="Q406" t="str">
        <f>_xlfn.XLOOKUP(Table3[[#This Row],[Cuenta]],Estructura_Balance[Nombre Cuenta ()],Estructura_Balance[Nivel 4],"",0)</f>
        <v/>
      </c>
      <c r="R406" s="154" t="str">
        <f>_xlfn.XLOOKUP(Table3[[#This Row],[Cuenta]],Table8[Nombre Cuenta ()],Table8[Nivel 1],"",0)</f>
        <v/>
      </c>
      <c r="S406" t="str">
        <f>_xlfn.XLOOKUP(Table3[[#This Row],[Cuenta]],Table8[Nombre Cuenta ()],Table8[Nivel 2],"",0)</f>
        <v/>
      </c>
      <c r="T406" t="str">
        <f>_xlfn.XLOOKUP(Table3[[#This Row],[Cuenta]],Table8[Nombre Cuenta ()],Table8[Nivel 3],"",0)</f>
        <v/>
      </c>
      <c r="U406">
        <v>812</v>
      </c>
      <c r="V406" t="str">
        <f>_xlfn.XLOOKUP(Table3[[#This Row],[Cuenta]],Estructura_Balance[Nombre Cuenta ()],Estructura_Balance[Niveles:2],"",0)</f>
        <v/>
      </c>
      <c r="W406" t="str">
        <f>_xlfn.XLOOKUP(Table3[[#This Row],[Cuenta]],Estructura_Balance[Nombre Cuenta ()],Estructura_Balance[Niveles:3],"",0)</f>
        <v/>
      </c>
      <c r="X406" t="str">
        <f>_xlfn.XLOOKUP(Table3[[#This Row],[Cuenta]],Estructura_Balance[Nombre Cuenta ()],Estructura_Balance[Grupos],"Grupo 1",0)</f>
        <v>Grupo 1</v>
      </c>
      <c r="Y406" t="str">
        <f>+Table3[[#This Row],[BS_Nivel_1]]</f>
        <v/>
      </c>
    </row>
    <row r="407" spans="1:25">
      <c r="A407">
        <f>+'Libro Diario'!F621</f>
        <v>71</v>
      </c>
      <c r="B407" s="144">
        <f>VALUE(IF(+'Libro Diario'!G621="","01/01/2025",+'Libro Diario'!G621))</f>
        <v>0</v>
      </c>
      <c r="C407">
        <f>IF(ISNUMBER(+IF(IFERROR(VALUE(MID('Libro Diario'!C621,1,4)),0)&lt;&gt;0,'Libro Diario'!C621,0))=FALSE,'Libro Diario'!C621,0)</f>
        <v>0</v>
      </c>
      <c r="D407" s="145">
        <f>+'Libro Diario'!B621</f>
        <v>0</v>
      </c>
      <c r="E407" s="139" t="s">
        <v>445</v>
      </c>
      <c r="F407" t="str">
        <f t="shared" si="18"/>
        <v>Sin Mov.</v>
      </c>
      <c r="G407" t="str">
        <f>IF(+'Libro Diario'!H621=0,"",+'Libro Diario'!H621)</f>
        <v>Corrección Valorativa - Amortización</v>
      </c>
      <c r="H407" t="str">
        <f>IF(+'Libro Diario'!I621=0,"",+'Libro Diario'!I621)</f>
        <v/>
      </c>
      <c r="I407" t="str">
        <f>+IF(Table3[[#This Row],[Tipo Movimiento]]="Estructura Balance y PyG","Excluir","Incluir")</f>
        <v>Incluir</v>
      </c>
      <c r="J407" s="153">
        <f>+IF(Table3[[#This Row],[Sin cuenta]]="Con Mov.",(IF(Table3[[#This Row],[Movimiento]]="Debe",Table3[[#This Row],[Importe]],IF(Table3[[#This Row],[Movimiento]]="Haber",Table3[[#This Row],[Importe]]*-1,0))),0)</f>
        <v>0</v>
      </c>
      <c r="K407" s="145">
        <f t="shared" si="19"/>
        <v>0</v>
      </c>
      <c r="L407" s="145" t="str">
        <f t="shared" si="20"/>
        <v/>
      </c>
      <c r="M407" t="str">
        <f>_xlfn.XLOOKUP(Table3[[#This Row],[Cuenta]],Estructura_Balance[Nombre Cuenta ()],Estructura_Balance[Grupo],"",0)</f>
        <v/>
      </c>
      <c r="N407" t="str">
        <f>_xlfn.XLOOKUP(Table3[[#This Row],[Cuenta]],Estructura_Balance[Nombre Cuenta ()],Estructura_Balance[Nivel 1],"",0)</f>
        <v/>
      </c>
      <c r="O407" t="str">
        <f>_xlfn.XLOOKUP(Table3[[#This Row],[Cuenta]],Estructura_Balance[Nombre Cuenta ()],Estructura_Balance[Nivel 2],"",0)</f>
        <v/>
      </c>
      <c r="P407" t="str">
        <f>_xlfn.XLOOKUP(Table3[[#This Row],[Cuenta]],Estructura_Balance[Nombre Cuenta ()],Estructura_Balance[Nivel 3],"",0)</f>
        <v/>
      </c>
      <c r="Q407" t="str">
        <f>_xlfn.XLOOKUP(Table3[[#This Row],[Cuenta]],Estructura_Balance[Nombre Cuenta ()],Estructura_Balance[Nivel 4],"",0)</f>
        <v/>
      </c>
      <c r="R407" s="154" t="str">
        <f>_xlfn.XLOOKUP(Table3[[#This Row],[Cuenta]],Table8[Nombre Cuenta ()],Table8[Nivel 1],"",0)</f>
        <v/>
      </c>
      <c r="S407" t="str">
        <f>_xlfn.XLOOKUP(Table3[[#This Row],[Cuenta]],Table8[Nombre Cuenta ()],Table8[Nivel 2],"",0)</f>
        <v/>
      </c>
      <c r="T407" t="str">
        <f>_xlfn.XLOOKUP(Table3[[#This Row],[Cuenta]],Table8[Nombre Cuenta ()],Table8[Nivel 3],"",0)</f>
        <v/>
      </c>
      <c r="U407">
        <v>813</v>
      </c>
      <c r="V407" t="str">
        <f>_xlfn.XLOOKUP(Table3[[#This Row],[Cuenta]],Estructura_Balance[Nombre Cuenta ()],Estructura_Balance[Niveles:2],"",0)</f>
        <v/>
      </c>
      <c r="W407" t="str">
        <f>_xlfn.XLOOKUP(Table3[[#This Row],[Cuenta]],Estructura_Balance[Nombre Cuenta ()],Estructura_Balance[Niveles:3],"",0)</f>
        <v/>
      </c>
      <c r="X407" t="str">
        <f>_xlfn.XLOOKUP(Table3[[#This Row],[Cuenta]],Estructura_Balance[Nombre Cuenta ()],Estructura_Balance[Grupos],"Grupo 1",0)</f>
        <v>Grupo 1</v>
      </c>
      <c r="Y407" t="str">
        <f>+Table3[[#This Row],[BS_Nivel_1]]</f>
        <v/>
      </c>
    </row>
    <row r="408" spans="1:25">
      <c r="A408">
        <f>+'Libro Diario'!F622</f>
        <v>0</v>
      </c>
      <c r="B408" s="144">
        <f>VALUE(IF(+'Libro Diario'!G622="","01/01/2025",+'Libro Diario'!G622))</f>
        <v>45658</v>
      </c>
      <c r="C408">
        <f>IF(ISNUMBER(+IF(IFERROR(VALUE(MID('Libro Diario'!C622,1,4)),0)&lt;&gt;0,'Libro Diario'!C622,0))=FALSE,'Libro Diario'!C622,0)</f>
        <v>0</v>
      </c>
      <c r="D408" s="145" t="str">
        <f>+'Libro Diario'!B622</f>
        <v>Corrección Valorativa - Amortización</v>
      </c>
      <c r="E408" s="139" t="s">
        <v>445</v>
      </c>
      <c r="F408" t="str">
        <f t="shared" si="18"/>
        <v>Sin Mov.</v>
      </c>
      <c r="G408" t="str">
        <f>IF(+'Libro Diario'!H622=0,"",+'Libro Diario'!H622)</f>
        <v/>
      </c>
      <c r="H408" t="str">
        <f>IF(+'Libro Diario'!I622=0,"",+'Libro Diario'!I622)</f>
        <v/>
      </c>
      <c r="I408" t="str">
        <f>+IF(Table3[[#This Row],[Tipo Movimiento]]="Estructura Balance y PyG","Excluir","Incluir")</f>
        <v>Incluir</v>
      </c>
      <c r="J408" s="153">
        <f>+IF(Table3[[#This Row],[Sin cuenta]]="Con Mov.",(IF(Table3[[#This Row],[Movimiento]]="Debe",Table3[[#This Row],[Importe]],IF(Table3[[#This Row],[Movimiento]]="Haber",Table3[[#This Row],[Importe]]*-1,0))),0)</f>
        <v>0</v>
      </c>
      <c r="K408" s="145" t="str">
        <f t="shared" si="19"/>
        <v>Corrección Valorativa - Amortización</v>
      </c>
      <c r="L408" s="145" t="str">
        <f t="shared" si="20"/>
        <v/>
      </c>
      <c r="M408" t="str">
        <f>_xlfn.XLOOKUP(Table3[[#This Row],[Cuenta]],Estructura_Balance[Nombre Cuenta ()],Estructura_Balance[Grupo],"",0)</f>
        <v/>
      </c>
      <c r="N408" t="str">
        <f>_xlfn.XLOOKUP(Table3[[#This Row],[Cuenta]],Estructura_Balance[Nombre Cuenta ()],Estructura_Balance[Nivel 1],"",0)</f>
        <v/>
      </c>
      <c r="O408" t="str">
        <f>_xlfn.XLOOKUP(Table3[[#This Row],[Cuenta]],Estructura_Balance[Nombre Cuenta ()],Estructura_Balance[Nivel 2],"",0)</f>
        <v/>
      </c>
      <c r="P408" t="str">
        <f>_xlfn.XLOOKUP(Table3[[#This Row],[Cuenta]],Estructura_Balance[Nombre Cuenta ()],Estructura_Balance[Nivel 3],"",0)</f>
        <v/>
      </c>
      <c r="Q408" t="str">
        <f>_xlfn.XLOOKUP(Table3[[#This Row],[Cuenta]],Estructura_Balance[Nombre Cuenta ()],Estructura_Balance[Nivel 4],"",0)</f>
        <v/>
      </c>
      <c r="R408" t="str">
        <f>_xlfn.XLOOKUP(Table3[[#This Row],[Cuenta]],Table8[Nombre Cuenta ()],Table8[Nivel 1],"",0)</f>
        <v/>
      </c>
      <c r="S408" t="str">
        <f>_xlfn.XLOOKUP(Table3[[#This Row],[Cuenta]],Table8[Nombre Cuenta ()],Table8[Nivel 2],"",0)</f>
        <v/>
      </c>
      <c r="T408" t="str">
        <f>_xlfn.XLOOKUP(Table3[[#This Row],[Cuenta]],Table8[Nombre Cuenta ()],Table8[Nivel 3],"",0)</f>
        <v/>
      </c>
      <c r="U408">
        <v>814</v>
      </c>
      <c r="V408" t="str">
        <f>_xlfn.XLOOKUP(Table3[[#This Row],[Cuenta]],Estructura_Balance[Nombre Cuenta ()],Estructura_Balance[Niveles:2],"",0)</f>
        <v/>
      </c>
      <c r="W408" t="str">
        <f>_xlfn.XLOOKUP(Table3[[#This Row],[Cuenta]],Estructura_Balance[Nombre Cuenta ()],Estructura_Balance[Niveles:3],"",0)</f>
        <v/>
      </c>
      <c r="X408" t="str">
        <f>_xlfn.XLOOKUP(Table3[[#This Row],[Cuenta]],Estructura_Balance[Nombre Cuenta ()],Estructura_Balance[Grupos],"Grupo 1",0)</f>
        <v>Grupo 1</v>
      </c>
      <c r="Y408" t="str">
        <f>+Table3[[#This Row],[BS_Nivel_1]]</f>
        <v/>
      </c>
    </row>
    <row r="409" spans="1:25">
      <c r="A409">
        <f>+'Libro Diario'!F623</f>
        <v>0</v>
      </c>
      <c r="B409" s="144">
        <f>VALUE(IF(+'Libro Diario'!G623="","01/01/2025",+'Libro Diario'!G623))</f>
        <v>45658</v>
      </c>
      <c r="C409">
        <f>IF(ISNUMBER(+IF(IFERROR(VALUE(MID('Libro Diario'!C623,1,4)),0)&lt;&gt;0,'Libro Diario'!C623,0))=FALSE,'Libro Diario'!C623,0)</f>
        <v>0</v>
      </c>
      <c r="D409" s="145" t="str">
        <f>+'Libro Diario'!B623</f>
        <v>Asiento Cuadrado</v>
      </c>
      <c r="E409" s="139" t="s">
        <v>445</v>
      </c>
      <c r="F409" t="str">
        <f t="shared" si="18"/>
        <v>Sin Mov.</v>
      </c>
      <c r="G409" t="str">
        <f>IF(+'Libro Diario'!H623=0,"",+'Libro Diario'!H623)</f>
        <v/>
      </c>
      <c r="H409" t="str">
        <f>IF(+'Libro Diario'!I623=0,"",+'Libro Diario'!I623)</f>
        <v/>
      </c>
      <c r="I409" t="str">
        <f>+IF(Table3[[#This Row],[Tipo Movimiento]]="Estructura Balance y PyG","Excluir","Incluir")</f>
        <v>Incluir</v>
      </c>
      <c r="J409" s="153">
        <f>+IF(Table3[[#This Row],[Sin cuenta]]="Con Mov.",(IF(Table3[[#This Row],[Movimiento]]="Debe",Table3[[#This Row],[Importe]],IF(Table3[[#This Row],[Movimiento]]="Haber",Table3[[#This Row],[Importe]]*-1,0))),0)</f>
        <v>0</v>
      </c>
      <c r="K409" s="145" t="str">
        <f t="shared" si="19"/>
        <v>Asiento Cuadrado</v>
      </c>
      <c r="L409" s="145" t="str">
        <f t="shared" si="20"/>
        <v/>
      </c>
      <c r="M409" t="str">
        <f>_xlfn.XLOOKUP(Table3[[#This Row],[Cuenta]],Estructura_Balance[Nombre Cuenta ()],Estructura_Balance[Grupo],"",0)</f>
        <v/>
      </c>
      <c r="N409" t="str">
        <f>_xlfn.XLOOKUP(Table3[[#This Row],[Cuenta]],Estructura_Balance[Nombre Cuenta ()],Estructura_Balance[Nivel 1],"",0)</f>
        <v/>
      </c>
      <c r="O409" t="str">
        <f>_xlfn.XLOOKUP(Table3[[#This Row],[Cuenta]],Estructura_Balance[Nombre Cuenta ()],Estructura_Balance[Nivel 2],"",0)</f>
        <v/>
      </c>
      <c r="P409" t="str">
        <f>_xlfn.XLOOKUP(Table3[[#This Row],[Cuenta]],Estructura_Balance[Nombre Cuenta ()],Estructura_Balance[Nivel 3],"",0)</f>
        <v/>
      </c>
      <c r="Q409" t="str">
        <f>_xlfn.XLOOKUP(Table3[[#This Row],[Cuenta]],Estructura_Balance[Nombre Cuenta ()],Estructura_Balance[Nivel 4],"",0)</f>
        <v/>
      </c>
      <c r="R409" s="154" t="str">
        <f>_xlfn.XLOOKUP(Table3[[#This Row],[Cuenta]],Table8[Nombre Cuenta ()],Table8[Nivel 1],"",0)</f>
        <v/>
      </c>
      <c r="S409" t="str">
        <f>_xlfn.XLOOKUP(Table3[[#This Row],[Cuenta]],Table8[Nombre Cuenta ()],Table8[Nivel 2],"",0)</f>
        <v/>
      </c>
      <c r="T409" t="str">
        <f>_xlfn.XLOOKUP(Table3[[#This Row],[Cuenta]],Table8[Nombre Cuenta ()],Table8[Nivel 3],"",0)</f>
        <v/>
      </c>
      <c r="U409">
        <v>815</v>
      </c>
      <c r="V409" t="str">
        <f>_xlfn.XLOOKUP(Table3[[#This Row],[Cuenta]],Estructura_Balance[Nombre Cuenta ()],Estructura_Balance[Niveles:2],"",0)</f>
        <v/>
      </c>
      <c r="W409" t="str">
        <f>_xlfn.XLOOKUP(Table3[[#This Row],[Cuenta]],Estructura_Balance[Nombre Cuenta ()],Estructura_Balance[Niveles:3],"",0)</f>
        <v/>
      </c>
      <c r="X409" t="str">
        <f>_xlfn.XLOOKUP(Table3[[#This Row],[Cuenta]],Estructura_Balance[Nombre Cuenta ()],Estructura_Balance[Grupos],"Grupo 1",0)</f>
        <v>Grupo 1</v>
      </c>
      <c r="Y409" t="str">
        <f>+Table3[[#This Row],[BS_Nivel_1]]</f>
        <v/>
      </c>
    </row>
    <row r="410" spans="1:25">
      <c r="A410">
        <f>+'Libro Diario'!F624</f>
        <v>0</v>
      </c>
      <c r="B410" s="144">
        <f>VALUE(IF(+'Libro Diario'!G624="","01/01/2025",+'Libro Diario'!G624))</f>
        <v>45658</v>
      </c>
      <c r="C410">
        <f>IF(ISNUMBER(+IF(IFERROR(VALUE(MID('Libro Diario'!C624,1,4)),0)&lt;&gt;0,'Libro Diario'!C624,0))=FALSE,'Libro Diario'!C624,0)</f>
        <v>0</v>
      </c>
      <c r="D410" s="145">
        <f>+'Libro Diario'!B624</f>
        <v>0</v>
      </c>
      <c r="E410" s="139" t="s">
        <v>445</v>
      </c>
      <c r="F410" t="str">
        <f t="shared" si="18"/>
        <v>Sin Mov.</v>
      </c>
      <c r="G410" t="str">
        <f>IF(+'Libro Diario'!H624=0,"",+'Libro Diario'!H624)</f>
        <v/>
      </c>
      <c r="H410" t="str">
        <f>IF(+'Libro Diario'!I624=0,"",+'Libro Diario'!I624)</f>
        <v/>
      </c>
      <c r="I410" t="str">
        <f>+IF(Table3[[#This Row],[Tipo Movimiento]]="Estructura Balance y PyG","Excluir","Incluir")</f>
        <v>Incluir</v>
      </c>
      <c r="J410" s="153">
        <f>+IF(Table3[[#This Row],[Sin cuenta]]="Con Mov.",(IF(Table3[[#This Row],[Movimiento]]="Debe",Table3[[#This Row],[Importe]],IF(Table3[[#This Row],[Movimiento]]="Haber",Table3[[#This Row],[Importe]]*-1,0))),0)</f>
        <v>0</v>
      </c>
      <c r="K410" s="145">
        <f t="shared" si="19"/>
        <v>0</v>
      </c>
      <c r="L410" s="145" t="str">
        <f t="shared" si="20"/>
        <v/>
      </c>
      <c r="M410" t="str">
        <f>_xlfn.XLOOKUP(Table3[[#This Row],[Cuenta]],Estructura_Balance[Nombre Cuenta ()],Estructura_Balance[Grupo],"",0)</f>
        <v/>
      </c>
      <c r="N410" t="str">
        <f>_xlfn.XLOOKUP(Table3[[#This Row],[Cuenta]],Estructura_Balance[Nombre Cuenta ()],Estructura_Balance[Nivel 1],"",0)</f>
        <v/>
      </c>
      <c r="O410" t="str">
        <f>_xlfn.XLOOKUP(Table3[[#This Row],[Cuenta]],Estructura_Balance[Nombre Cuenta ()],Estructura_Balance[Nivel 2],"",0)</f>
        <v/>
      </c>
      <c r="P410" t="str">
        <f>_xlfn.XLOOKUP(Table3[[#This Row],[Cuenta]],Estructura_Balance[Nombre Cuenta ()],Estructura_Balance[Nivel 3],"",0)</f>
        <v/>
      </c>
      <c r="Q410" t="str">
        <f>_xlfn.XLOOKUP(Table3[[#This Row],[Cuenta]],Estructura_Balance[Nombre Cuenta ()],Estructura_Balance[Nivel 4],"",0)</f>
        <v/>
      </c>
      <c r="R410" s="154" t="str">
        <f>_xlfn.XLOOKUP(Table3[[#This Row],[Cuenta]],Table8[Nombre Cuenta ()],Table8[Nivel 1],"",0)</f>
        <v/>
      </c>
      <c r="S410" t="str">
        <f>_xlfn.XLOOKUP(Table3[[#This Row],[Cuenta]],Table8[Nombre Cuenta ()],Table8[Nivel 2],"",0)</f>
        <v/>
      </c>
      <c r="T410" t="str">
        <f>_xlfn.XLOOKUP(Table3[[#This Row],[Cuenta]],Table8[Nombre Cuenta ()],Table8[Nivel 3],"",0)</f>
        <v/>
      </c>
      <c r="U410">
        <v>816</v>
      </c>
      <c r="V410" t="str">
        <f>_xlfn.XLOOKUP(Table3[[#This Row],[Cuenta]],Estructura_Balance[Nombre Cuenta ()],Estructura_Balance[Niveles:2],"",0)</f>
        <v/>
      </c>
      <c r="W410" t="str">
        <f>_xlfn.XLOOKUP(Table3[[#This Row],[Cuenta]],Estructura_Balance[Nombre Cuenta ()],Estructura_Balance[Niveles:3],"",0)</f>
        <v/>
      </c>
      <c r="X410" t="str">
        <f>_xlfn.XLOOKUP(Table3[[#This Row],[Cuenta]],Estructura_Balance[Nombre Cuenta ()],Estructura_Balance[Grupos],"Grupo 1",0)</f>
        <v>Grupo 1</v>
      </c>
      <c r="Y410" t="str">
        <f>+Table3[[#This Row],[BS_Nivel_1]]</f>
        <v/>
      </c>
    </row>
    <row r="411" spans="1:25">
      <c r="A411">
        <f>+'Libro Diario'!F625</f>
        <v>0</v>
      </c>
      <c r="B411" s="144">
        <f>VALUE(IF(+'Libro Diario'!G625="","01/01/2025",+'Libro Diario'!G625))</f>
        <v>45658</v>
      </c>
      <c r="C411">
        <f>IF(ISNUMBER(+IF(IFERROR(VALUE(MID('Libro Diario'!C625,1,4)),0)&lt;&gt;0,'Libro Diario'!C625,0))=FALSE,'Libro Diario'!C625,0)</f>
        <v>0</v>
      </c>
      <c r="D411" s="145" t="str">
        <f>+'Libro Diario'!B625</f>
        <v>DEBE</v>
      </c>
      <c r="E411" s="139" t="s">
        <v>445</v>
      </c>
      <c r="F411" t="str">
        <f t="shared" si="18"/>
        <v>Sin Mov.</v>
      </c>
      <c r="G411" t="str">
        <f>IF(+'Libro Diario'!H625=0,"",+'Libro Diario'!H625)</f>
        <v/>
      </c>
      <c r="H411" t="str">
        <f>IF(+'Libro Diario'!I625=0,"",+'Libro Diario'!I625)</f>
        <v/>
      </c>
      <c r="I411" t="str">
        <f>+IF(Table3[[#This Row],[Tipo Movimiento]]="Estructura Balance y PyG","Excluir","Incluir")</f>
        <v>Incluir</v>
      </c>
      <c r="J411" s="153">
        <f>+IF(Table3[[#This Row],[Sin cuenta]]="Con Mov.",(IF(Table3[[#This Row],[Movimiento]]="Debe",Table3[[#This Row],[Importe]],IF(Table3[[#This Row],[Movimiento]]="Haber",Table3[[#This Row],[Importe]]*-1,0))),0)</f>
        <v>0</v>
      </c>
      <c r="K411" s="145" t="str">
        <f t="shared" si="19"/>
        <v>DEBE</v>
      </c>
      <c r="L411" s="145" t="str">
        <f t="shared" si="20"/>
        <v/>
      </c>
      <c r="M411" t="str">
        <f>_xlfn.XLOOKUP(Table3[[#This Row],[Cuenta]],Estructura_Balance[Nombre Cuenta ()],Estructura_Balance[Grupo],"",0)</f>
        <v/>
      </c>
      <c r="N411" t="str">
        <f>_xlfn.XLOOKUP(Table3[[#This Row],[Cuenta]],Estructura_Balance[Nombre Cuenta ()],Estructura_Balance[Nivel 1],"",0)</f>
        <v/>
      </c>
      <c r="O411" t="str">
        <f>_xlfn.XLOOKUP(Table3[[#This Row],[Cuenta]],Estructura_Balance[Nombre Cuenta ()],Estructura_Balance[Nivel 2],"",0)</f>
        <v/>
      </c>
      <c r="P411" t="str">
        <f>_xlfn.XLOOKUP(Table3[[#This Row],[Cuenta]],Estructura_Balance[Nombre Cuenta ()],Estructura_Balance[Nivel 3],"",0)</f>
        <v/>
      </c>
      <c r="Q411" t="str">
        <f>_xlfn.XLOOKUP(Table3[[#This Row],[Cuenta]],Estructura_Balance[Nombre Cuenta ()],Estructura_Balance[Nivel 4],"",0)</f>
        <v/>
      </c>
      <c r="R411" s="154" t="str">
        <f>_xlfn.XLOOKUP(Table3[[#This Row],[Cuenta]],Table8[Nombre Cuenta ()],Table8[Nivel 1],"",0)</f>
        <v/>
      </c>
      <c r="S411" t="str">
        <f>_xlfn.XLOOKUP(Table3[[#This Row],[Cuenta]],Table8[Nombre Cuenta ()],Table8[Nivel 2],"",0)</f>
        <v/>
      </c>
      <c r="T411" t="str">
        <f>_xlfn.XLOOKUP(Table3[[#This Row],[Cuenta]],Table8[Nombre Cuenta ()],Table8[Nivel 3],"",0)</f>
        <v/>
      </c>
      <c r="U411">
        <v>817</v>
      </c>
      <c r="V411" t="str">
        <f>_xlfn.XLOOKUP(Table3[[#This Row],[Cuenta]],Estructura_Balance[Nombre Cuenta ()],Estructura_Balance[Niveles:2],"",0)</f>
        <v/>
      </c>
      <c r="W411" t="str">
        <f>_xlfn.XLOOKUP(Table3[[#This Row],[Cuenta]],Estructura_Balance[Nombre Cuenta ()],Estructura_Balance[Niveles:3],"",0)</f>
        <v/>
      </c>
      <c r="X411" t="str">
        <f>_xlfn.XLOOKUP(Table3[[#This Row],[Cuenta]],Estructura_Balance[Nombre Cuenta ()],Estructura_Balance[Grupos],"Grupo 1",0)</f>
        <v>Grupo 1</v>
      </c>
      <c r="Y411" t="str">
        <f>+Table3[[#This Row],[BS_Nivel_1]]</f>
        <v/>
      </c>
    </row>
    <row r="412" spans="1:25">
      <c r="A412">
        <f>+'Libro Diario'!F626</f>
        <v>0</v>
      </c>
      <c r="B412" s="144">
        <f>VALUE(IF(+'Libro Diario'!G626="","01/01/2025",+'Libro Diario'!G626))</f>
        <v>45658</v>
      </c>
      <c r="C412">
        <f>IF(ISNUMBER(+IF(IFERROR(VALUE(MID('Libro Diario'!C626,1,4)),0)&lt;&gt;0,'Libro Diario'!C626,0))=FALSE,'Libro Diario'!C626,0)</f>
        <v>0</v>
      </c>
      <c r="D412" s="145">
        <f>+'Libro Diario'!B626</f>
        <v>0</v>
      </c>
      <c r="E412" s="139" t="s">
        <v>445</v>
      </c>
      <c r="F412" t="str">
        <f t="shared" si="18"/>
        <v>Sin Mov.</v>
      </c>
      <c r="G412" t="str">
        <f>IF(+'Libro Diario'!H626=0,"",+'Libro Diario'!H626)</f>
        <v/>
      </c>
      <c r="H412" t="str">
        <f>IF(+'Libro Diario'!I626=0,"",+'Libro Diario'!I626)</f>
        <v/>
      </c>
      <c r="I412" t="str">
        <f>+IF(Table3[[#This Row],[Tipo Movimiento]]="Estructura Balance y PyG","Excluir","Incluir")</f>
        <v>Incluir</v>
      </c>
      <c r="J412" s="153">
        <f>+IF(Table3[[#This Row],[Sin cuenta]]="Con Mov.",(IF(Table3[[#This Row],[Movimiento]]="Debe",Table3[[#This Row],[Importe]],IF(Table3[[#This Row],[Movimiento]]="Haber",Table3[[#This Row],[Importe]]*-1,0))),0)</f>
        <v>0</v>
      </c>
      <c r="K412" s="145">
        <f t="shared" si="19"/>
        <v>0</v>
      </c>
      <c r="L412" s="145" t="str">
        <f t="shared" si="20"/>
        <v/>
      </c>
      <c r="M412" t="str">
        <f>_xlfn.XLOOKUP(Table3[[#This Row],[Cuenta]],Estructura_Balance[Nombre Cuenta ()],Estructura_Balance[Grupo],"",0)</f>
        <v/>
      </c>
      <c r="N412" t="str">
        <f>_xlfn.XLOOKUP(Table3[[#This Row],[Cuenta]],Estructura_Balance[Nombre Cuenta ()],Estructura_Balance[Nivel 1],"",0)</f>
        <v/>
      </c>
      <c r="O412" t="str">
        <f>_xlfn.XLOOKUP(Table3[[#This Row],[Cuenta]],Estructura_Balance[Nombre Cuenta ()],Estructura_Balance[Nivel 2],"",0)</f>
        <v/>
      </c>
      <c r="P412" t="str">
        <f>_xlfn.XLOOKUP(Table3[[#This Row],[Cuenta]],Estructura_Balance[Nombre Cuenta ()],Estructura_Balance[Nivel 3],"",0)</f>
        <v/>
      </c>
      <c r="Q412" t="str">
        <f>_xlfn.XLOOKUP(Table3[[#This Row],[Cuenta]],Estructura_Balance[Nombre Cuenta ()],Estructura_Balance[Nivel 4],"",0)</f>
        <v/>
      </c>
      <c r="R412" t="str">
        <f>_xlfn.XLOOKUP(Table3[[#This Row],[Cuenta]],Table8[Nombre Cuenta ()],Table8[Nivel 1],"",0)</f>
        <v/>
      </c>
      <c r="S412" t="str">
        <f>_xlfn.XLOOKUP(Table3[[#This Row],[Cuenta]],Table8[Nombre Cuenta ()],Table8[Nivel 2],"",0)</f>
        <v/>
      </c>
      <c r="T412" t="str">
        <f>_xlfn.XLOOKUP(Table3[[#This Row],[Cuenta]],Table8[Nombre Cuenta ()],Table8[Nivel 3],"",0)</f>
        <v/>
      </c>
      <c r="U412">
        <v>818</v>
      </c>
      <c r="V412" t="str">
        <f>_xlfn.XLOOKUP(Table3[[#This Row],[Cuenta]],Estructura_Balance[Nombre Cuenta ()],Estructura_Balance[Niveles:2],"",0)</f>
        <v/>
      </c>
      <c r="W412" t="str">
        <f>_xlfn.XLOOKUP(Table3[[#This Row],[Cuenta]],Estructura_Balance[Nombre Cuenta ()],Estructura_Balance[Niveles:3],"",0)</f>
        <v/>
      </c>
      <c r="X412" t="str">
        <f>_xlfn.XLOOKUP(Table3[[#This Row],[Cuenta]],Estructura_Balance[Nombre Cuenta ()],Estructura_Balance[Grupos],"Grupo 1",0)</f>
        <v>Grupo 1</v>
      </c>
      <c r="Y412" t="str">
        <f>+Table3[[#This Row],[BS_Nivel_1]]</f>
        <v/>
      </c>
    </row>
    <row r="413" spans="1:25">
      <c r="A413">
        <f>+'Libro Diario'!F627</f>
        <v>72</v>
      </c>
      <c r="B413" s="144">
        <f>VALUE(IF(+'Libro Diario'!G627="","01/01/2025",+'Libro Diario'!G627))</f>
        <v>0</v>
      </c>
      <c r="C413">
        <f>IF(ISNUMBER(+IF(IFERROR(VALUE(MID('Libro Diario'!C627,1,4)),0)&lt;&gt;0,'Libro Diario'!C627,0))=FALSE,'Libro Diario'!C627,0)</f>
        <v>0</v>
      </c>
      <c r="D413" s="145">
        <f>+'Libro Diario'!B627</f>
        <v>0</v>
      </c>
      <c r="E413" s="139" t="s">
        <v>445</v>
      </c>
      <c r="F413" t="str">
        <f t="shared" si="18"/>
        <v>Sin Mov.</v>
      </c>
      <c r="G413" t="str">
        <f>IF(+'Libro Diario'!H627=0,"",+'Libro Diario'!H627)</f>
        <v>Corrección Valorativa - Deterioro de Valor</v>
      </c>
      <c r="H413" t="str">
        <f>IF(+'Libro Diario'!I627=0,"",+'Libro Diario'!I627)</f>
        <v/>
      </c>
      <c r="I413" t="str">
        <f>+IF(Table3[[#This Row],[Tipo Movimiento]]="Estructura Balance y PyG","Excluir","Incluir")</f>
        <v>Incluir</v>
      </c>
      <c r="J413" s="153">
        <f>+IF(Table3[[#This Row],[Sin cuenta]]="Con Mov.",(IF(Table3[[#This Row],[Movimiento]]="Debe",Table3[[#This Row],[Importe]],IF(Table3[[#This Row],[Movimiento]]="Haber",Table3[[#This Row],[Importe]]*-1,0))),0)</f>
        <v>0</v>
      </c>
      <c r="K413" s="145">
        <f t="shared" si="19"/>
        <v>0</v>
      </c>
      <c r="L413" s="145" t="str">
        <f t="shared" si="20"/>
        <v/>
      </c>
      <c r="M413" t="str">
        <f>_xlfn.XLOOKUP(Table3[[#This Row],[Cuenta]],Estructura_Balance[Nombre Cuenta ()],Estructura_Balance[Grupo],"",0)</f>
        <v/>
      </c>
      <c r="N413" t="str">
        <f>_xlfn.XLOOKUP(Table3[[#This Row],[Cuenta]],Estructura_Balance[Nombre Cuenta ()],Estructura_Balance[Nivel 1],"",0)</f>
        <v/>
      </c>
      <c r="O413" t="str">
        <f>_xlfn.XLOOKUP(Table3[[#This Row],[Cuenta]],Estructura_Balance[Nombre Cuenta ()],Estructura_Balance[Nivel 2],"",0)</f>
        <v/>
      </c>
      <c r="P413" t="str">
        <f>_xlfn.XLOOKUP(Table3[[#This Row],[Cuenta]],Estructura_Balance[Nombre Cuenta ()],Estructura_Balance[Nivel 3],"",0)</f>
        <v/>
      </c>
      <c r="Q413" t="str">
        <f>_xlfn.XLOOKUP(Table3[[#This Row],[Cuenta]],Estructura_Balance[Nombre Cuenta ()],Estructura_Balance[Nivel 4],"",0)</f>
        <v/>
      </c>
      <c r="R413" s="154" t="str">
        <f>_xlfn.XLOOKUP(Table3[[#This Row],[Cuenta]],Table8[Nombre Cuenta ()],Table8[Nivel 1],"",0)</f>
        <v/>
      </c>
      <c r="S413" t="str">
        <f>_xlfn.XLOOKUP(Table3[[#This Row],[Cuenta]],Table8[Nombre Cuenta ()],Table8[Nivel 2],"",0)</f>
        <v/>
      </c>
      <c r="T413" t="str">
        <f>_xlfn.XLOOKUP(Table3[[#This Row],[Cuenta]],Table8[Nombre Cuenta ()],Table8[Nivel 3],"",0)</f>
        <v/>
      </c>
      <c r="U413">
        <v>819</v>
      </c>
      <c r="V413" t="str">
        <f>_xlfn.XLOOKUP(Table3[[#This Row],[Cuenta]],Estructura_Balance[Nombre Cuenta ()],Estructura_Balance[Niveles:2],"",0)</f>
        <v/>
      </c>
      <c r="W413" t="str">
        <f>_xlfn.XLOOKUP(Table3[[#This Row],[Cuenta]],Estructura_Balance[Nombre Cuenta ()],Estructura_Balance[Niveles:3],"",0)</f>
        <v/>
      </c>
      <c r="X413" t="str">
        <f>_xlfn.XLOOKUP(Table3[[#This Row],[Cuenta]],Estructura_Balance[Nombre Cuenta ()],Estructura_Balance[Grupos],"Grupo 1",0)</f>
        <v>Grupo 1</v>
      </c>
      <c r="Y413" t="str">
        <f>+Table3[[#This Row],[BS_Nivel_1]]</f>
        <v/>
      </c>
    </row>
    <row r="414" spans="1:25">
      <c r="A414">
        <f>+'Libro Diario'!F628</f>
        <v>72</v>
      </c>
      <c r="B414" s="144">
        <f>VALUE(IF(+'Libro Diario'!G628="","01/01/2025",+'Libro Diario'!G628))</f>
        <v>0</v>
      </c>
      <c r="C414">
        <f>IF(ISNUMBER(+IF(IFERROR(VALUE(MID('Libro Diario'!C628,1,4)),0)&lt;&gt;0,'Libro Diario'!C628,0))=FALSE,'Libro Diario'!C628,0)</f>
        <v>0</v>
      </c>
      <c r="D414" s="145">
        <f>+'Libro Diario'!B628</f>
        <v>0</v>
      </c>
      <c r="E414" s="139" t="s">
        <v>445</v>
      </c>
      <c r="F414" t="str">
        <f t="shared" si="18"/>
        <v>Sin Mov.</v>
      </c>
      <c r="G414" t="str">
        <f>IF(+'Libro Diario'!H628=0,"",+'Libro Diario'!H628)</f>
        <v>Corrección Valorativa - Deterioro de Valor</v>
      </c>
      <c r="H414" t="str">
        <f>IF(+'Libro Diario'!I628=0,"",+'Libro Diario'!I628)</f>
        <v/>
      </c>
      <c r="I414" t="str">
        <f>+IF(Table3[[#This Row],[Tipo Movimiento]]="Estructura Balance y PyG","Excluir","Incluir")</f>
        <v>Incluir</v>
      </c>
      <c r="J414" s="153">
        <f>+IF(Table3[[#This Row],[Sin cuenta]]="Con Mov.",(IF(Table3[[#This Row],[Movimiento]]="Debe",Table3[[#This Row],[Importe]],IF(Table3[[#This Row],[Movimiento]]="Haber",Table3[[#This Row],[Importe]]*-1,0))),0)</f>
        <v>0</v>
      </c>
      <c r="K414" s="145">
        <f t="shared" si="19"/>
        <v>0</v>
      </c>
      <c r="L414" s="145" t="str">
        <f t="shared" si="20"/>
        <v/>
      </c>
      <c r="M414" t="str">
        <f>_xlfn.XLOOKUP(Table3[[#This Row],[Cuenta]],Estructura_Balance[Nombre Cuenta ()],Estructura_Balance[Grupo],"",0)</f>
        <v/>
      </c>
      <c r="N414" t="str">
        <f>_xlfn.XLOOKUP(Table3[[#This Row],[Cuenta]],Estructura_Balance[Nombre Cuenta ()],Estructura_Balance[Nivel 1],"",0)</f>
        <v/>
      </c>
      <c r="O414" t="str">
        <f>_xlfn.XLOOKUP(Table3[[#This Row],[Cuenta]],Estructura_Balance[Nombre Cuenta ()],Estructura_Balance[Nivel 2],"",0)</f>
        <v/>
      </c>
      <c r="P414" t="str">
        <f>_xlfn.XLOOKUP(Table3[[#This Row],[Cuenta]],Estructura_Balance[Nombre Cuenta ()],Estructura_Balance[Nivel 3],"",0)</f>
        <v/>
      </c>
      <c r="Q414" t="str">
        <f>_xlfn.XLOOKUP(Table3[[#This Row],[Cuenta]],Estructura_Balance[Nombre Cuenta ()],Estructura_Balance[Nivel 4],"",0)</f>
        <v/>
      </c>
      <c r="R414" t="str">
        <f>_xlfn.XLOOKUP(Table3[[#This Row],[Cuenta]],Table8[Nombre Cuenta ()],Table8[Nivel 1],"",0)</f>
        <v/>
      </c>
      <c r="S414" t="str">
        <f>_xlfn.XLOOKUP(Table3[[#This Row],[Cuenta]],Table8[Nombre Cuenta ()],Table8[Nivel 2],"",0)</f>
        <v/>
      </c>
      <c r="T414" t="str">
        <f>_xlfn.XLOOKUP(Table3[[#This Row],[Cuenta]],Table8[Nombre Cuenta ()],Table8[Nivel 3],"",0)</f>
        <v/>
      </c>
      <c r="U414">
        <v>820</v>
      </c>
      <c r="V414" t="str">
        <f>_xlfn.XLOOKUP(Table3[[#This Row],[Cuenta]],Estructura_Balance[Nombre Cuenta ()],Estructura_Balance[Niveles:2],"",0)</f>
        <v/>
      </c>
      <c r="W414" t="str">
        <f>_xlfn.XLOOKUP(Table3[[#This Row],[Cuenta]],Estructura_Balance[Nombre Cuenta ()],Estructura_Balance[Niveles:3],"",0)</f>
        <v/>
      </c>
      <c r="X414" t="str">
        <f>_xlfn.XLOOKUP(Table3[[#This Row],[Cuenta]],Estructura_Balance[Nombre Cuenta ()],Estructura_Balance[Grupos],"Grupo 1",0)</f>
        <v>Grupo 1</v>
      </c>
      <c r="Y414" t="str">
        <f>+Table3[[#This Row],[BS_Nivel_1]]</f>
        <v/>
      </c>
    </row>
    <row r="415" spans="1:25">
      <c r="A415">
        <f>+'Libro Diario'!F629</f>
        <v>0</v>
      </c>
      <c r="B415" s="144">
        <f>VALUE(IF(+'Libro Diario'!G629="","01/01/2025",+'Libro Diario'!G629))</f>
        <v>45658</v>
      </c>
      <c r="C415">
        <f>IF(ISNUMBER(+IF(IFERROR(VALUE(MID('Libro Diario'!C629,1,4)),0)&lt;&gt;0,'Libro Diario'!C629,0))=FALSE,'Libro Diario'!C629,0)</f>
        <v>0</v>
      </c>
      <c r="D415" s="145" t="str">
        <f>+'Libro Diario'!B629</f>
        <v>Corrección Valorativa - Deterioro de Valor</v>
      </c>
      <c r="E415" s="139" t="s">
        <v>445</v>
      </c>
      <c r="F415" t="str">
        <f t="shared" si="18"/>
        <v>Sin Mov.</v>
      </c>
      <c r="G415" t="str">
        <f>IF(+'Libro Diario'!H629=0,"",+'Libro Diario'!H629)</f>
        <v/>
      </c>
      <c r="H415" t="str">
        <f>IF(+'Libro Diario'!I629=0,"",+'Libro Diario'!I629)</f>
        <v/>
      </c>
      <c r="I415" t="str">
        <f>+IF(Table3[[#This Row],[Tipo Movimiento]]="Estructura Balance y PyG","Excluir","Incluir")</f>
        <v>Incluir</v>
      </c>
      <c r="J415" s="153">
        <f>+IF(Table3[[#This Row],[Sin cuenta]]="Con Mov.",(IF(Table3[[#This Row],[Movimiento]]="Debe",Table3[[#This Row],[Importe]],IF(Table3[[#This Row],[Movimiento]]="Haber",Table3[[#This Row],[Importe]]*-1,0))),0)</f>
        <v>0</v>
      </c>
      <c r="K415" s="145" t="str">
        <f t="shared" si="19"/>
        <v>Corrección Valorativa - Deterioro de Valor</v>
      </c>
      <c r="L415" s="145" t="str">
        <f t="shared" si="20"/>
        <v/>
      </c>
      <c r="M415" t="str">
        <f>_xlfn.XLOOKUP(Table3[[#This Row],[Cuenta]],Estructura_Balance[Nombre Cuenta ()],Estructura_Balance[Grupo],"",0)</f>
        <v/>
      </c>
      <c r="N415" t="str">
        <f>_xlfn.XLOOKUP(Table3[[#This Row],[Cuenta]],Estructura_Balance[Nombre Cuenta ()],Estructura_Balance[Nivel 1],"",0)</f>
        <v/>
      </c>
      <c r="O415" t="str">
        <f>_xlfn.XLOOKUP(Table3[[#This Row],[Cuenta]],Estructura_Balance[Nombre Cuenta ()],Estructura_Balance[Nivel 2],"",0)</f>
        <v/>
      </c>
      <c r="P415" t="str">
        <f>_xlfn.XLOOKUP(Table3[[#This Row],[Cuenta]],Estructura_Balance[Nombre Cuenta ()],Estructura_Balance[Nivel 3],"",0)</f>
        <v/>
      </c>
      <c r="Q415" t="str">
        <f>_xlfn.XLOOKUP(Table3[[#This Row],[Cuenta]],Estructura_Balance[Nombre Cuenta ()],Estructura_Balance[Nivel 4],"",0)</f>
        <v/>
      </c>
      <c r="R415" s="154" t="str">
        <f>_xlfn.XLOOKUP(Table3[[#This Row],[Cuenta]],Table8[Nombre Cuenta ()],Table8[Nivel 1],"",0)</f>
        <v/>
      </c>
      <c r="S415" t="str">
        <f>_xlfn.XLOOKUP(Table3[[#This Row],[Cuenta]],Table8[Nombre Cuenta ()],Table8[Nivel 2],"",0)</f>
        <v/>
      </c>
      <c r="T415" t="str">
        <f>_xlfn.XLOOKUP(Table3[[#This Row],[Cuenta]],Table8[Nombre Cuenta ()],Table8[Nivel 3],"",0)</f>
        <v/>
      </c>
      <c r="U415">
        <v>821</v>
      </c>
      <c r="V415" t="str">
        <f>_xlfn.XLOOKUP(Table3[[#This Row],[Cuenta]],Estructura_Balance[Nombre Cuenta ()],Estructura_Balance[Niveles:2],"",0)</f>
        <v/>
      </c>
      <c r="W415" t="str">
        <f>_xlfn.XLOOKUP(Table3[[#This Row],[Cuenta]],Estructura_Balance[Nombre Cuenta ()],Estructura_Balance[Niveles:3],"",0)</f>
        <v/>
      </c>
      <c r="X415" t="str">
        <f>_xlfn.XLOOKUP(Table3[[#This Row],[Cuenta]],Estructura_Balance[Nombre Cuenta ()],Estructura_Balance[Grupos],"Grupo 1",0)</f>
        <v>Grupo 1</v>
      </c>
      <c r="Y415" t="str">
        <f>+Table3[[#This Row],[BS_Nivel_1]]</f>
        <v/>
      </c>
    </row>
    <row r="416" spans="1:25">
      <c r="A416">
        <f>+'Libro Diario'!F630</f>
        <v>0</v>
      </c>
      <c r="B416" s="144">
        <f>VALUE(IF(+'Libro Diario'!G630="","01/01/2025",+'Libro Diario'!G630))</f>
        <v>45658</v>
      </c>
      <c r="C416">
        <f>IF(ISNUMBER(+IF(IFERROR(VALUE(MID('Libro Diario'!C630,1,4)),0)&lt;&gt;0,'Libro Diario'!C630,0))=FALSE,'Libro Diario'!C630,0)</f>
        <v>0</v>
      </c>
      <c r="D416" s="145" t="str">
        <f>+'Libro Diario'!B630</f>
        <v>Asiento Cuadrado</v>
      </c>
      <c r="E416" s="139" t="s">
        <v>445</v>
      </c>
      <c r="F416" t="str">
        <f t="shared" si="18"/>
        <v>Sin Mov.</v>
      </c>
      <c r="G416" t="str">
        <f>IF(+'Libro Diario'!H630=0,"",+'Libro Diario'!H630)</f>
        <v/>
      </c>
      <c r="H416" t="str">
        <f>IF(+'Libro Diario'!I630=0,"",+'Libro Diario'!I630)</f>
        <v/>
      </c>
      <c r="I416" t="str">
        <f>+IF(Table3[[#This Row],[Tipo Movimiento]]="Estructura Balance y PyG","Excluir","Incluir")</f>
        <v>Incluir</v>
      </c>
      <c r="J416" s="153">
        <f>+IF(Table3[[#This Row],[Sin cuenta]]="Con Mov.",(IF(Table3[[#This Row],[Movimiento]]="Debe",Table3[[#This Row],[Importe]],IF(Table3[[#This Row],[Movimiento]]="Haber",Table3[[#This Row],[Importe]]*-1,0))),0)</f>
        <v>0</v>
      </c>
      <c r="K416" s="145" t="str">
        <f t="shared" si="19"/>
        <v>Asiento Cuadrado</v>
      </c>
      <c r="L416" s="145" t="str">
        <f t="shared" si="20"/>
        <v/>
      </c>
      <c r="M416" t="str">
        <f>_xlfn.XLOOKUP(Table3[[#This Row],[Cuenta]],Estructura_Balance[Nombre Cuenta ()],Estructura_Balance[Grupo],"",0)</f>
        <v/>
      </c>
      <c r="N416" t="str">
        <f>_xlfn.XLOOKUP(Table3[[#This Row],[Cuenta]],Estructura_Balance[Nombre Cuenta ()],Estructura_Balance[Nivel 1],"",0)</f>
        <v/>
      </c>
      <c r="O416" t="str">
        <f>_xlfn.XLOOKUP(Table3[[#This Row],[Cuenta]],Estructura_Balance[Nombre Cuenta ()],Estructura_Balance[Nivel 2],"",0)</f>
        <v/>
      </c>
      <c r="P416" t="str">
        <f>_xlfn.XLOOKUP(Table3[[#This Row],[Cuenta]],Estructura_Balance[Nombre Cuenta ()],Estructura_Balance[Nivel 3],"",0)</f>
        <v/>
      </c>
      <c r="Q416" t="str">
        <f>_xlfn.XLOOKUP(Table3[[#This Row],[Cuenta]],Estructura_Balance[Nombre Cuenta ()],Estructura_Balance[Nivel 4],"",0)</f>
        <v/>
      </c>
      <c r="R416" t="str">
        <f>_xlfn.XLOOKUP(Table3[[#This Row],[Cuenta]],Table8[Nombre Cuenta ()],Table8[Nivel 1],"",0)</f>
        <v/>
      </c>
      <c r="S416" t="str">
        <f>_xlfn.XLOOKUP(Table3[[#This Row],[Cuenta]],Table8[Nombre Cuenta ()],Table8[Nivel 2],"",0)</f>
        <v/>
      </c>
      <c r="T416" t="str">
        <f>_xlfn.XLOOKUP(Table3[[#This Row],[Cuenta]],Table8[Nombre Cuenta ()],Table8[Nivel 3],"",0)</f>
        <v/>
      </c>
      <c r="U416">
        <v>822</v>
      </c>
      <c r="V416" t="str">
        <f>_xlfn.XLOOKUP(Table3[[#This Row],[Cuenta]],Estructura_Balance[Nombre Cuenta ()],Estructura_Balance[Niveles:2],"",0)</f>
        <v/>
      </c>
      <c r="W416" t="str">
        <f>_xlfn.XLOOKUP(Table3[[#This Row],[Cuenta]],Estructura_Balance[Nombre Cuenta ()],Estructura_Balance[Niveles:3],"",0)</f>
        <v/>
      </c>
      <c r="X416" t="str">
        <f>_xlfn.XLOOKUP(Table3[[#This Row],[Cuenta]],Estructura_Balance[Nombre Cuenta ()],Estructura_Balance[Grupos],"Grupo 1",0)</f>
        <v>Grupo 1</v>
      </c>
      <c r="Y416" t="str">
        <f>+Table3[[#This Row],[BS_Nivel_1]]</f>
        <v/>
      </c>
    </row>
    <row r="417" spans="1:25">
      <c r="A417">
        <f>+'Libro Diario'!F631</f>
        <v>0</v>
      </c>
      <c r="B417" s="144">
        <f>VALUE(IF(+'Libro Diario'!G631="","01/01/2025",+'Libro Diario'!G631))</f>
        <v>45658</v>
      </c>
      <c r="C417">
        <f>IF(ISNUMBER(+IF(IFERROR(VALUE(MID('Libro Diario'!C631,1,4)),0)&lt;&gt;0,'Libro Diario'!C631,0))=FALSE,'Libro Diario'!C631,0)</f>
        <v>0</v>
      </c>
      <c r="D417" s="145">
        <f>+'Libro Diario'!B631</f>
        <v>0</v>
      </c>
      <c r="E417" s="139" t="s">
        <v>445</v>
      </c>
      <c r="F417" t="str">
        <f t="shared" si="18"/>
        <v>Sin Mov.</v>
      </c>
      <c r="G417" t="str">
        <f>IF(+'Libro Diario'!H631=0,"",+'Libro Diario'!H631)</f>
        <v/>
      </c>
      <c r="H417" t="str">
        <f>IF(+'Libro Diario'!I631=0,"",+'Libro Diario'!I631)</f>
        <v/>
      </c>
      <c r="I417" t="str">
        <f>+IF(Table3[[#This Row],[Tipo Movimiento]]="Estructura Balance y PyG","Excluir","Incluir")</f>
        <v>Incluir</v>
      </c>
      <c r="J417" s="153">
        <f>+IF(Table3[[#This Row],[Sin cuenta]]="Con Mov.",(IF(Table3[[#This Row],[Movimiento]]="Debe",Table3[[#This Row],[Importe]],IF(Table3[[#This Row],[Movimiento]]="Haber",Table3[[#This Row],[Importe]]*-1,0))),0)</f>
        <v>0</v>
      </c>
      <c r="K417" s="145">
        <f t="shared" si="19"/>
        <v>0</v>
      </c>
      <c r="L417" s="145" t="str">
        <f t="shared" si="20"/>
        <v/>
      </c>
      <c r="M417" t="str">
        <f>_xlfn.XLOOKUP(Table3[[#This Row],[Cuenta]],Estructura_Balance[Nombre Cuenta ()],Estructura_Balance[Grupo],"",0)</f>
        <v/>
      </c>
      <c r="N417" t="str">
        <f>_xlfn.XLOOKUP(Table3[[#This Row],[Cuenta]],Estructura_Balance[Nombre Cuenta ()],Estructura_Balance[Nivel 1],"",0)</f>
        <v/>
      </c>
      <c r="O417" t="str">
        <f>_xlfn.XLOOKUP(Table3[[#This Row],[Cuenta]],Estructura_Balance[Nombre Cuenta ()],Estructura_Balance[Nivel 2],"",0)</f>
        <v/>
      </c>
      <c r="P417" t="str">
        <f>_xlfn.XLOOKUP(Table3[[#This Row],[Cuenta]],Estructura_Balance[Nombre Cuenta ()],Estructura_Balance[Nivel 3],"",0)</f>
        <v/>
      </c>
      <c r="Q417" t="str">
        <f>_xlfn.XLOOKUP(Table3[[#This Row],[Cuenta]],Estructura_Balance[Nombre Cuenta ()],Estructura_Balance[Nivel 4],"",0)</f>
        <v/>
      </c>
      <c r="R417" s="154" t="str">
        <f>_xlfn.XLOOKUP(Table3[[#This Row],[Cuenta]],Table8[Nombre Cuenta ()],Table8[Nivel 1],"",0)</f>
        <v/>
      </c>
      <c r="S417" t="str">
        <f>_xlfn.XLOOKUP(Table3[[#This Row],[Cuenta]],Table8[Nombre Cuenta ()],Table8[Nivel 2],"",0)</f>
        <v/>
      </c>
      <c r="T417" t="str">
        <f>_xlfn.XLOOKUP(Table3[[#This Row],[Cuenta]],Table8[Nombre Cuenta ()],Table8[Nivel 3],"",0)</f>
        <v/>
      </c>
      <c r="U417">
        <v>823</v>
      </c>
      <c r="V417" t="str">
        <f>_xlfn.XLOOKUP(Table3[[#This Row],[Cuenta]],Estructura_Balance[Nombre Cuenta ()],Estructura_Balance[Niveles:2],"",0)</f>
        <v/>
      </c>
      <c r="W417" t="str">
        <f>_xlfn.XLOOKUP(Table3[[#This Row],[Cuenta]],Estructura_Balance[Nombre Cuenta ()],Estructura_Balance[Niveles:3],"",0)</f>
        <v/>
      </c>
      <c r="X417" t="str">
        <f>_xlfn.XLOOKUP(Table3[[#This Row],[Cuenta]],Estructura_Balance[Nombre Cuenta ()],Estructura_Balance[Grupos],"Grupo 1",0)</f>
        <v>Grupo 1</v>
      </c>
      <c r="Y417" t="str">
        <f>+Table3[[#This Row],[BS_Nivel_1]]</f>
        <v/>
      </c>
    </row>
    <row r="418" spans="1:25">
      <c r="A418">
        <f>+'Libro Diario'!F632</f>
        <v>0</v>
      </c>
      <c r="B418" s="144">
        <f>VALUE(IF(+'Libro Diario'!G632="","01/01/2025",+'Libro Diario'!G632))</f>
        <v>45658</v>
      </c>
      <c r="C418">
        <f>IF(ISNUMBER(+IF(IFERROR(VALUE(MID('Libro Diario'!C632,1,4)),0)&lt;&gt;0,'Libro Diario'!C632,0))=FALSE,'Libro Diario'!C632,0)</f>
        <v>0</v>
      </c>
      <c r="D418" s="145" t="str">
        <f>+'Libro Diario'!B632</f>
        <v>DEBE</v>
      </c>
      <c r="E418" s="139" t="s">
        <v>445</v>
      </c>
      <c r="F418" t="str">
        <f t="shared" si="18"/>
        <v>Sin Mov.</v>
      </c>
      <c r="G418" t="str">
        <f>IF(+'Libro Diario'!H632=0,"",+'Libro Diario'!H632)</f>
        <v/>
      </c>
      <c r="H418" t="str">
        <f>IF(+'Libro Diario'!I632=0,"",+'Libro Diario'!I632)</f>
        <v/>
      </c>
      <c r="I418" t="str">
        <f>+IF(Table3[[#This Row],[Tipo Movimiento]]="Estructura Balance y PyG","Excluir","Incluir")</f>
        <v>Incluir</v>
      </c>
      <c r="J418" s="153">
        <f>+IF(Table3[[#This Row],[Sin cuenta]]="Con Mov.",(IF(Table3[[#This Row],[Movimiento]]="Debe",Table3[[#This Row],[Importe]],IF(Table3[[#This Row],[Movimiento]]="Haber",Table3[[#This Row],[Importe]]*-1,0))),0)</f>
        <v>0</v>
      </c>
      <c r="K418" s="145" t="str">
        <f t="shared" si="19"/>
        <v>DEBE</v>
      </c>
      <c r="L418" s="145" t="str">
        <f t="shared" si="20"/>
        <v/>
      </c>
      <c r="M418" t="str">
        <f>_xlfn.XLOOKUP(Table3[[#This Row],[Cuenta]],Estructura_Balance[Nombre Cuenta ()],Estructura_Balance[Grupo],"",0)</f>
        <v/>
      </c>
      <c r="N418" t="str">
        <f>_xlfn.XLOOKUP(Table3[[#This Row],[Cuenta]],Estructura_Balance[Nombre Cuenta ()],Estructura_Balance[Nivel 1],"",0)</f>
        <v/>
      </c>
      <c r="O418" t="str">
        <f>_xlfn.XLOOKUP(Table3[[#This Row],[Cuenta]],Estructura_Balance[Nombre Cuenta ()],Estructura_Balance[Nivel 2],"",0)</f>
        <v/>
      </c>
      <c r="P418" t="str">
        <f>_xlfn.XLOOKUP(Table3[[#This Row],[Cuenta]],Estructura_Balance[Nombre Cuenta ()],Estructura_Balance[Nivel 3],"",0)</f>
        <v/>
      </c>
      <c r="Q418" t="str">
        <f>_xlfn.XLOOKUP(Table3[[#This Row],[Cuenta]],Estructura_Balance[Nombre Cuenta ()],Estructura_Balance[Nivel 4],"",0)</f>
        <v/>
      </c>
      <c r="R418" t="str">
        <f>_xlfn.XLOOKUP(Table3[[#This Row],[Cuenta]],Table8[Nombre Cuenta ()],Table8[Nivel 1],"",0)</f>
        <v/>
      </c>
      <c r="S418" t="str">
        <f>_xlfn.XLOOKUP(Table3[[#This Row],[Cuenta]],Table8[Nombre Cuenta ()],Table8[Nivel 2],"",0)</f>
        <v/>
      </c>
      <c r="T418" t="str">
        <f>_xlfn.XLOOKUP(Table3[[#This Row],[Cuenta]],Table8[Nombre Cuenta ()],Table8[Nivel 3],"",0)</f>
        <v/>
      </c>
      <c r="U418">
        <v>824</v>
      </c>
      <c r="V418" t="str">
        <f>_xlfn.XLOOKUP(Table3[[#This Row],[Cuenta]],Estructura_Balance[Nombre Cuenta ()],Estructura_Balance[Niveles:2],"",0)</f>
        <v/>
      </c>
      <c r="W418" t="str">
        <f>_xlfn.XLOOKUP(Table3[[#This Row],[Cuenta]],Estructura_Balance[Nombre Cuenta ()],Estructura_Balance[Niveles:3],"",0)</f>
        <v/>
      </c>
      <c r="X418" t="str">
        <f>_xlfn.XLOOKUP(Table3[[#This Row],[Cuenta]],Estructura_Balance[Nombre Cuenta ()],Estructura_Balance[Grupos],"Grupo 1",0)</f>
        <v>Grupo 1</v>
      </c>
      <c r="Y418" t="str">
        <f>+Table3[[#This Row],[BS_Nivel_1]]</f>
        <v/>
      </c>
    </row>
    <row r="419" spans="1:25">
      <c r="A419">
        <f>+'Libro Diario'!F633</f>
        <v>0</v>
      </c>
      <c r="B419" s="144">
        <f>VALUE(IF(+'Libro Diario'!G633="","01/01/2025",+'Libro Diario'!G633))</f>
        <v>45658</v>
      </c>
      <c r="C419">
        <f>IF(ISNUMBER(+IF(IFERROR(VALUE(MID('Libro Diario'!C633,1,4)),0)&lt;&gt;0,'Libro Diario'!C633,0))=FALSE,'Libro Diario'!C633,0)</f>
        <v>0</v>
      </c>
      <c r="D419" s="145">
        <f>+'Libro Diario'!B633</f>
        <v>0</v>
      </c>
      <c r="E419" s="139" t="s">
        <v>445</v>
      </c>
      <c r="F419" t="str">
        <f t="shared" si="18"/>
        <v>Sin Mov.</v>
      </c>
      <c r="G419" t="str">
        <f>IF(+'Libro Diario'!H633=0,"",+'Libro Diario'!H633)</f>
        <v/>
      </c>
      <c r="H419" t="str">
        <f>IF(+'Libro Diario'!I633=0,"",+'Libro Diario'!I633)</f>
        <v/>
      </c>
      <c r="I419" t="str">
        <f>+IF(Table3[[#This Row],[Tipo Movimiento]]="Estructura Balance y PyG","Excluir","Incluir")</f>
        <v>Incluir</v>
      </c>
      <c r="J419" s="153">
        <f>+IF(Table3[[#This Row],[Sin cuenta]]="Con Mov.",(IF(Table3[[#This Row],[Movimiento]]="Debe",Table3[[#This Row],[Importe]],IF(Table3[[#This Row],[Movimiento]]="Haber",Table3[[#This Row],[Importe]]*-1,0))),0)</f>
        <v>0</v>
      </c>
      <c r="K419" s="145">
        <f t="shared" si="19"/>
        <v>0</v>
      </c>
      <c r="L419" s="145" t="str">
        <f t="shared" si="20"/>
        <v/>
      </c>
      <c r="M419" t="str">
        <f>_xlfn.XLOOKUP(Table3[[#This Row],[Cuenta]],Estructura_Balance[Nombre Cuenta ()],Estructura_Balance[Grupo],"",0)</f>
        <v/>
      </c>
      <c r="N419" t="str">
        <f>_xlfn.XLOOKUP(Table3[[#This Row],[Cuenta]],Estructura_Balance[Nombre Cuenta ()],Estructura_Balance[Nivel 1],"",0)</f>
        <v/>
      </c>
      <c r="O419" t="str">
        <f>_xlfn.XLOOKUP(Table3[[#This Row],[Cuenta]],Estructura_Balance[Nombre Cuenta ()],Estructura_Balance[Nivel 2],"",0)</f>
        <v/>
      </c>
      <c r="P419" t="str">
        <f>_xlfn.XLOOKUP(Table3[[#This Row],[Cuenta]],Estructura_Balance[Nombre Cuenta ()],Estructura_Balance[Nivel 3],"",0)</f>
        <v/>
      </c>
      <c r="Q419" t="str">
        <f>_xlfn.XLOOKUP(Table3[[#This Row],[Cuenta]],Estructura_Balance[Nombre Cuenta ()],Estructura_Balance[Nivel 4],"",0)</f>
        <v/>
      </c>
      <c r="R419" s="154" t="str">
        <f>_xlfn.XLOOKUP(Table3[[#This Row],[Cuenta]],Table8[Nombre Cuenta ()],Table8[Nivel 1],"",0)</f>
        <v/>
      </c>
      <c r="S419" t="str">
        <f>_xlfn.XLOOKUP(Table3[[#This Row],[Cuenta]],Table8[Nombre Cuenta ()],Table8[Nivel 2],"",0)</f>
        <v/>
      </c>
      <c r="T419" t="str">
        <f>_xlfn.XLOOKUP(Table3[[#This Row],[Cuenta]],Table8[Nombre Cuenta ()],Table8[Nivel 3],"",0)</f>
        <v/>
      </c>
      <c r="U419">
        <v>825</v>
      </c>
      <c r="V419" t="str">
        <f>_xlfn.XLOOKUP(Table3[[#This Row],[Cuenta]],Estructura_Balance[Nombre Cuenta ()],Estructura_Balance[Niveles:2],"",0)</f>
        <v/>
      </c>
      <c r="W419" t="str">
        <f>_xlfn.XLOOKUP(Table3[[#This Row],[Cuenta]],Estructura_Balance[Nombre Cuenta ()],Estructura_Balance[Niveles:3],"",0)</f>
        <v/>
      </c>
      <c r="X419" t="str">
        <f>_xlfn.XLOOKUP(Table3[[#This Row],[Cuenta]],Estructura_Balance[Nombre Cuenta ()],Estructura_Balance[Grupos],"Grupo 1",0)</f>
        <v>Grupo 1</v>
      </c>
      <c r="Y419" t="str">
        <f>+Table3[[#This Row],[BS_Nivel_1]]</f>
        <v/>
      </c>
    </row>
    <row r="420" spans="1:25">
      <c r="A420">
        <f>+'Libro Diario'!F634</f>
        <v>73</v>
      </c>
      <c r="B420" s="144">
        <f>VALUE(IF(+'Libro Diario'!G634="","01/01/2025",+'Libro Diario'!G634))</f>
        <v>0</v>
      </c>
      <c r="C420">
        <f>IF(ISNUMBER(+IF(IFERROR(VALUE(MID('Libro Diario'!C634,1,4)),0)&lt;&gt;0,'Libro Diario'!C634,0))=FALSE,'Libro Diario'!C634,0)</f>
        <v>0</v>
      </c>
      <c r="D420" s="145">
        <f>+'Libro Diario'!B634</f>
        <v>0</v>
      </c>
      <c r="E420" s="139" t="s">
        <v>445</v>
      </c>
      <c r="F420" t="str">
        <f t="shared" si="18"/>
        <v>Sin Mov.</v>
      </c>
      <c r="G420" t="str">
        <f>IF(+'Libro Diario'!H634=0,"",+'Libro Diario'!H634)</f>
        <v>Provisiones</v>
      </c>
      <c r="H420" t="str">
        <f>IF(+'Libro Diario'!I634=0,"",+'Libro Diario'!I634)</f>
        <v/>
      </c>
      <c r="I420" t="str">
        <f>+IF(Table3[[#This Row],[Tipo Movimiento]]="Estructura Balance y PyG","Excluir","Incluir")</f>
        <v>Incluir</v>
      </c>
      <c r="J420" s="153">
        <f>+IF(Table3[[#This Row],[Sin cuenta]]="Con Mov.",(IF(Table3[[#This Row],[Movimiento]]="Debe",Table3[[#This Row],[Importe]],IF(Table3[[#This Row],[Movimiento]]="Haber",Table3[[#This Row],[Importe]]*-1,0))),0)</f>
        <v>0</v>
      </c>
      <c r="K420" s="145">
        <f t="shared" si="19"/>
        <v>0</v>
      </c>
      <c r="L420" s="145" t="str">
        <f t="shared" si="20"/>
        <v/>
      </c>
      <c r="M420" t="str">
        <f>_xlfn.XLOOKUP(Table3[[#This Row],[Cuenta]],Estructura_Balance[Nombre Cuenta ()],Estructura_Balance[Grupo],"",0)</f>
        <v/>
      </c>
      <c r="N420" t="str">
        <f>_xlfn.XLOOKUP(Table3[[#This Row],[Cuenta]],Estructura_Balance[Nombre Cuenta ()],Estructura_Balance[Nivel 1],"",0)</f>
        <v/>
      </c>
      <c r="O420" t="str">
        <f>_xlfn.XLOOKUP(Table3[[#This Row],[Cuenta]],Estructura_Balance[Nombre Cuenta ()],Estructura_Balance[Nivel 2],"",0)</f>
        <v/>
      </c>
      <c r="P420" t="str">
        <f>_xlfn.XLOOKUP(Table3[[#This Row],[Cuenta]],Estructura_Balance[Nombre Cuenta ()],Estructura_Balance[Nivel 3],"",0)</f>
        <v/>
      </c>
      <c r="Q420" t="str">
        <f>_xlfn.XLOOKUP(Table3[[#This Row],[Cuenta]],Estructura_Balance[Nombre Cuenta ()],Estructura_Balance[Nivel 4],"",0)</f>
        <v/>
      </c>
      <c r="R420" t="str">
        <f>_xlfn.XLOOKUP(Table3[[#This Row],[Cuenta]],Table8[Nombre Cuenta ()],Table8[Nivel 1],"",0)</f>
        <v/>
      </c>
      <c r="S420" t="str">
        <f>_xlfn.XLOOKUP(Table3[[#This Row],[Cuenta]],Table8[Nombre Cuenta ()],Table8[Nivel 2],"",0)</f>
        <v/>
      </c>
      <c r="T420" t="str">
        <f>_xlfn.XLOOKUP(Table3[[#This Row],[Cuenta]],Table8[Nombre Cuenta ()],Table8[Nivel 3],"",0)</f>
        <v/>
      </c>
      <c r="U420">
        <v>826</v>
      </c>
      <c r="V420" t="str">
        <f>_xlfn.XLOOKUP(Table3[[#This Row],[Cuenta]],Estructura_Balance[Nombre Cuenta ()],Estructura_Balance[Niveles:2],"",0)</f>
        <v/>
      </c>
      <c r="W420" t="str">
        <f>_xlfn.XLOOKUP(Table3[[#This Row],[Cuenta]],Estructura_Balance[Nombre Cuenta ()],Estructura_Balance[Niveles:3],"",0)</f>
        <v/>
      </c>
      <c r="X420" t="str">
        <f>_xlfn.XLOOKUP(Table3[[#This Row],[Cuenta]],Estructura_Balance[Nombre Cuenta ()],Estructura_Balance[Grupos],"Grupo 1",0)</f>
        <v>Grupo 1</v>
      </c>
      <c r="Y420" t="str">
        <f>+Table3[[#This Row],[BS_Nivel_1]]</f>
        <v/>
      </c>
    </row>
    <row r="421" spans="1:25">
      <c r="A421">
        <f>+'Libro Diario'!F635</f>
        <v>73</v>
      </c>
      <c r="B421" s="144">
        <f>VALUE(IF(+'Libro Diario'!G635="","01/01/2025",+'Libro Diario'!G635))</f>
        <v>0</v>
      </c>
      <c r="C421">
        <f>IF(ISNUMBER(+IF(IFERROR(VALUE(MID('Libro Diario'!C635,1,4)),0)&lt;&gt;0,'Libro Diario'!C635,0))=FALSE,'Libro Diario'!C635,0)</f>
        <v>0</v>
      </c>
      <c r="D421" s="145">
        <f>+'Libro Diario'!B635</f>
        <v>0</v>
      </c>
      <c r="E421" s="139" t="s">
        <v>445</v>
      </c>
      <c r="F421" t="str">
        <f t="shared" si="18"/>
        <v>Sin Mov.</v>
      </c>
      <c r="G421" t="str">
        <f>IF(+'Libro Diario'!H635=0,"",+'Libro Diario'!H635)</f>
        <v>Provisiones</v>
      </c>
      <c r="H421" t="str">
        <f>IF(+'Libro Diario'!I635=0,"",+'Libro Diario'!I635)</f>
        <v/>
      </c>
      <c r="I421" t="str">
        <f>+IF(Table3[[#This Row],[Tipo Movimiento]]="Estructura Balance y PyG","Excluir","Incluir")</f>
        <v>Incluir</v>
      </c>
      <c r="J421" s="153">
        <f>+IF(Table3[[#This Row],[Sin cuenta]]="Con Mov.",(IF(Table3[[#This Row],[Movimiento]]="Debe",Table3[[#This Row],[Importe]],IF(Table3[[#This Row],[Movimiento]]="Haber",Table3[[#This Row],[Importe]]*-1,0))),0)</f>
        <v>0</v>
      </c>
      <c r="K421" s="145">
        <f t="shared" si="19"/>
        <v>0</v>
      </c>
      <c r="L421" s="145" t="str">
        <f t="shared" si="20"/>
        <v/>
      </c>
      <c r="M421" t="str">
        <f>_xlfn.XLOOKUP(Table3[[#This Row],[Cuenta]],Estructura_Balance[Nombre Cuenta ()],Estructura_Balance[Grupo],"",0)</f>
        <v/>
      </c>
      <c r="N421" t="str">
        <f>_xlfn.XLOOKUP(Table3[[#This Row],[Cuenta]],Estructura_Balance[Nombre Cuenta ()],Estructura_Balance[Nivel 1],"",0)</f>
        <v/>
      </c>
      <c r="O421" t="str">
        <f>_xlfn.XLOOKUP(Table3[[#This Row],[Cuenta]],Estructura_Balance[Nombre Cuenta ()],Estructura_Balance[Nivel 2],"",0)</f>
        <v/>
      </c>
      <c r="P421" t="str">
        <f>_xlfn.XLOOKUP(Table3[[#This Row],[Cuenta]],Estructura_Balance[Nombre Cuenta ()],Estructura_Balance[Nivel 3],"",0)</f>
        <v/>
      </c>
      <c r="Q421" t="str">
        <f>_xlfn.XLOOKUP(Table3[[#This Row],[Cuenta]],Estructura_Balance[Nombre Cuenta ()],Estructura_Balance[Nivel 4],"",0)</f>
        <v/>
      </c>
      <c r="R421" s="154" t="str">
        <f>_xlfn.XLOOKUP(Table3[[#This Row],[Cuenta]],Table8[Nombre Cuenta ()],Table8[Nivel 1],"",0)</f>
        <v/>
      </c>
      <c r="S421" t="str">
        <f>_xlfn.XLOOKUP(Table3[[#This Row],[Cuenta]],Table8[Nombre Cuenta ()],Table8[Nivel 2],"",0)</f>
        <v/>
      </c>
      <c r="T421" t="str">
        <f>_xlfn.XLOOKUP(Table3[[#This Row],[Cuenta]],Table8[Nombre Cuenta ()],Table8[Nivel 3],"",0)</f>
        <v/>
      </c>
      <c r="U421">
        <v>827</v>
      </c>
      <c r="V421" t="str">
        <f>_xlfn.XLOOKUP(Table3[[#This Row],[Cuenta]],Estructura_Balance[Nombre Cuenta ()],Estructura_Balance[Niveles:2],"",0)</f>
        <v/>
      </c>
      <c r="W421" t="str">
        <f>_xlfn.XLOOKUP(Table3[[#This Row],[Cuenta]],Estructura_Balance[Nombre Cuenta ()],Estructura_Balance[Niveles:3],"",0)</f>
        <v/>
      </c>
      <c r="X421" t="str">
        <f>_xlfn.XLOOKUP(Table3[[#This Row],[Cuenta]],Estructura_Balance[Nombre Cuenta ()],Estructura_Balance[Grupos],"Grupo 1",0)</f>
        <v>Grupo 1</v>
      </c>
      <c r="Y421" t="str">
        <f>+Table3[[#This Row],[BS_Nivel_1]]</f>
        <v/>
      </c>
    </row>
    <row r="422" spans="1:25">
      <c r="A422">
        <f>+'Libro Diario'!F636</f>
        <v>0</v>
      </c>
      <c r="B422" s="144">
        <f>VALUE(IF(+'Libro Diario'!G636="","01/01/2025",+'Libro Diario'!G636))</f>
        <v>45658</v>
      </c>
      <c r="C422">
        <f>IF(ISNUMBER(+IF(IFERROR(VALUE(MID('Libro Diario'!C636,1,4)),0)&lt;&gt;0,'Libro Diario'!C636,0))=FALSE,'Libro Diario'!C636,0)</f>
        <v>0</v>
      </c>
      <c r="D422" s="145" t="str">
        <f>+'Libro Diario'!B636</f>
        <v>Provisiones</v>
      </c>
      <c r="E422" s="139" t="s">
        <v>445</v>
      </c>
      <c r="F422" t="str">
        <f t="shared" si="18"/>
        <v>Sin Mov.</v>
      </c>
      <c r="G422" t="str">
        <f>IF(+'Libro Diario'!H636=0,"",+'Libro Diario'!H636)</f>
        <v/>
      </c>
      <c r="H422" t="str">
        <f>IF(+'Libro Diario'!I636=0,"",+'Libro Diario'!I636)</f>
        <v/>
      </c>
      <c r="I422" t="str">
        <f>+IF(Table3[[#This Row],[Tipo Movimiento]]="Estructura Balance y PyG","Excluir","Incluir")</f>
        <v>Incluir</v>
      </c>
      <c r="J422" s="153">
        <f>+IF(Table3[[#This Row],[Sin cuenta]]="Con Mov.",(IF(Table3[[#This Row],[Movimiento]]="Debe",Table3[[#This Row],[Importe]],IF(Table3[[#This Row],[Movimiento]]="Haber",Table3[[#This Row],[Importe]]*-1,0))),0)</f>
        <v>0</v>
      </c>
      <c r="K422" s="145" t="str">
        <f t="shared" si="19"/>
        <v>Provisiones</v>
      </c>
      <c r="L422" s="145" t="str">
        <f t="shared" si="20"/>
        <v/>
      </c>
      <c r="M422" t="str">
        <f>_xlfn.XLOOKUP(Table3[[#This Row],[Cuenta]],Estructura_Balance[Nombre Cuenta ()],Estructura_Balance[Grupo],"",0)</f>
        <v/>
      </c>
      <c r="N422" t="str">
        <f>_xlfn.XLOOKUP(Table3[[#This Row],[Cuenta]],Estructura_Balance[Nombre Cuenta ()],Estructura_Balance[Nivel 1],"",0)</f>
        <v/>
      </c>
      <c r="O422" t="str">
        <f>_xlfn.XLOOKUP(Table3[[#This Row],[Cuenta]],Estructura_Balance[Nombre Cuenta ()],Estructura_Balance[Nivel 2],"",0)</f>
        <v/>
      </c>
      <c r="P422" t="str">
        <f>_xlfn.XLOOKUP(Table3[[#This Row],[Cuenta]],Estructura_Balance[Nombre Cuenta ()],Estructura_Balance[Nivel 3],"",0)</f>
        <v/>
      </c>
      <c r="Q422" t="str">
        <f>_xlfn.XLOOKUP(Table3[[#This Row],[Cuenta]],Estructura_Balance[Nombre Cuenta ()],Estructura_Balance[Nivel 4],"",0)</f>
        <v/>
      </c>
      <c r="R422" t="str">
        <f>_xlfn.XLOOKUP(Table3[[#This Row],[Cuenta]],Table8[Nombre Cuenta ()],Table8[Nivel 1],"",0)</f>
        <v/>
      </c>
      <c r="S422" t="str">
        <f>_xlfn.XLOOKUP(Table3[[#This Row],[Cuenta]],Table8[Nombre Cuenta ()],Table8[Nivel 2],"",0)</f>
        <v/>
      </c>
      <c r="T422" t="str">
        <f>_xlfn.XLOOKUP(Table3[[#This Row],[Cuenta]],Table8[Nombre Cuenta ()],Table8[Nivel 3],"",0)</f>
        <v/>
      </c>
      <c r="U422">
        <v>828</v>
      </c>
      <c r="V422" t="str">
        <f>_xlfn.XLOOKUP(Table3[[#This Row],[Cuenta]],Estructura_Balance[Nombre Cuenta ()],Estructura_Balance[Niveles:2],"",0)</f>
        <v/>
      </c>
      <c r="W422" t="str">
        <f>_xlfn.XLOOKUP(Table3[[#This Row],[Cuenta]],Estructura_Balance[Nombre Cuenta ()],Estructura_Balance[Niveles:3],"",0)</f>
        <v/>
      </c>
      <c r="X422" t="str">
        <f>_xlfn.XLOOKUP(Table3[[#This Row],[Cuenta]],Estructura_Balance[Nombre Cuenta ()],Estructura_Balance[Grupos],"Grupo 1",0)</f>
        <v>Grupo 1</v>
      </c>
      <c r="Y422" t="str">
        <f>+Table3[[#This Row],[BS_Nivel_1]]</f>
        <v/>
      </c>
    </row>
    <row r="423" spans="1:25">
      <c r="A423">
        <f>+'Libro Diario'!F637</f>
        <v>0</v>
      </c>
      <c r="B423" s="144">
        <f>VALUE(IF(+'Libro Diario'!G637="","01/01/2025",+'Libro Diario'!G637))</f>
        <v>45658</v>
      </c>
      <c r="C423">
        <f>IF(ISNUMBER(+IF(IFERROR(VALUE(MID('Libro Diario'!C637,1,4)),0)&lt;&gt;0,'Libro Diario'!C637,0))=FALSE,'Libro Diario'!C637,0)</f>
        <v>0</v>
      </c>
      <c r="D423" s="145" t="str">
        <f>+'Libro Diario'!B637</f>
        <v>Asiento Cuadrado</v>
      </c>
      <c r="E423" s="139" t="s">
        <v>445</v>
      </c>
      <c r="F423" t="str">
        <f t="shared" si="18"/>
        <v>Sin Mov.</v>
      </c>
      <c r="G423" t="str">
        <f>IF(+'Libro Diario'!H637=0,"",+'Libro Diario'!H637)</f>
        <v/>
      </c>
      <c r="H423" t="str">
        <f>IF(+'Libro Diario'!I637=0,"",+'Libro Diario'!I637)</f>
        <v/>
      </c>
      <c r="I423" t="str">
        <f>+IF(Table3[[#This Row],[Tipo Movimiento]]="Estructura Balance y PyG","Excluir","Incluir")</f>
        <v>Incluir</v>
      </c>
      <c r="J423" s="153">
        <f>+IF(Table3[[#This Row],[Sin cuenta]]="Con Mov.",(IF(Table3[[#This Row],[Movimiento]]="Debe",Table3[[#This Row],[Importe]],IF(Table3[[#This Row],[Movimiento]]="Haber",Table3[[#This Row],[Importe]]*-1,0))),0)</f>
        <v>0</v>
      </c>
      <c r="K423" s="145" t="str">
        <f t="shared" si="19"/>
        <v>Asiento Cuadrado</v>
      </c>
      <c r="L423" s="145" t="str">
        <f t="shared" si="20"/>
        <v/>
      </c>
      <c r="M423" t="str">
        <f>_xlfn.XLOOKUP(Table3[[#This Row],[Cuenta]],Estructura_Balance[Nombre Cuenta ()],Estructura_Balance[Grupo],"",0)</f>
        <v/>
      </c>
      <c r="N423" t="str">
        <f>_xlfn.XLOOKUP(Table3[[#This Row],[Cuenta]],Estructura_Balance[Nombre Cuenta ()],Estructura_Balance[Nivel 1],"",0)</f>
        <v/>
      </c>
      <c r="O423" t="str">
        <f>_xlfn.XLOOKUP(Table3[[#This Row],[Cuenta]],Estructura_Balance[Nombre Cuenta ()],Estructura_Balance[Nivel 2],"",0)</f>
        <v/>
      </c>
      <c r="P423" t="str">
        <f>_xlfn.XLOOKUP(Table3[[#This Row],[Cuenta]],Estructura_Balance[Nombre Cuenta ()],Estructura_Balance[Nivel 3],"",0)</f>
        <v/>
      </c>
      <c r="Q423" t="str">
        <f>_xlfn.XLOOKUP(Table3[[#This Row],[Cuenta]],Estructura_Balance[Nombre Cuenta ()],Estructura_Balance[Nivel 4],"",0)</f>
        <v/>
      </c>
      <c r="R423" s="154" t="str">
        <f>_xlfn.XLOOKUP(Table3[[#This Row],[Cuenta]],Table8[Nombre Cuenta ()],Table8[Nivel 1],"",0)</f>
        <v/>
      </c>
      <c r="S423" t="str">
        <f>_xlfn.XLOOKUP(Table3[[#This Row],[Cuenta]],Table8[Nombre Cuenta ()],Table8[Nivel 2],"",0)</f>
        <v/>
      </c>
      <c r="T423" t="str">
        <f>_xlfn.XLOOKUP(Table3[[#This Row],[Cuenta]],Table8[Nombre Cuenta ()],Table8[Nivel 3],"",0)</f>
        <v/>
      </c>
      <c r="U423">
        <v>829</v>
      </c>
      <c r="V423" t="str">
        <f>_xlfn.XLOOKUP(Table3[[#This Row],[Cuenta]],Estructura_Balance[Nombre Cuenta ()],Estructura_Balance[Niveles:2],"",0)</f>
        <v/>
      </c>
      <c r="W423" t="str">
        <f>_xlfn.XLOOKUP(Table3[[#This Row],[Cuenta]],Estructura_Balance[Nombre Cuenta ()],Estructura_Balance[Niveles:3],"",0)</f>
        <v/>
      </c>
      <c r="X423" t="str">
        <f>_xlfn.XLOOKUP(Table3[[#This Row],[Cuenta]],Estructura_Balance[Nombre Cuenta ()],Estructura_Balance[Grupos],"Grupo 1",0)</f>
        <v>Grupo 1</v>
      </c>
      <c r="Y423" t="str">
        <f>+Table3[[#This Row],[BS_Nivel_1]]</f>
        <v/>
      </c>
    </row>
    <row r="424" spans="1:25">
      <c r="A424">
        <f>+'Libro Diario'!F638</f>
        <v>0</v>
      </c>
      <c r="B424" s="144">
        <f>VALUE(IF(+'Libro Diario'!G638="","01/01/2025",+'Libro Diario'!G638))</f>
        <v>45658</v>
      </c>
      <c r="C424">
        <f>IF(ISNUMBER(+IF(IFERROR(VALUE(MID('Libro Diario'!C638,1,4)),0)&lt;&gt;0,'Libro Diario'!C638,0))=FALSE,'Libro Diario'!C638,0)</f>
        <v>0</v>
      </c>
      <c r="D424" s="145">
        <f>+'Libro Diario'!B638</f>
        <v>0</v>
      </c>
      <c r="E424" s="139" t="s">
        <v>445</v>
      </c>
      <c r="F424" t="str">
        <f t="shared" si="18"/>
        <v>Sin Mov.</v>
      </c>
      <c r="G424" t="str">
        <f>IF(+'Libro Diario'!H638=0,"",+'Libro Diario'!H638)</f>
        <v/>
      </c>
      <c r="H424" t="str">
        <f>IF(+'Libro Diario'!I638=0,"",+'Libro Diario'!I638)</f>
        <v/>
      </c>
      <c r="I424" t="str">
        <f>+IF(Table3[[#This Row],[Tipo Movimiento]]="Estructura Balance y PyG","Excluir","Incluir")</f>
        <v>Incluir</v>
      </c>
      <c r="J424" s="153">
        <f>+IF(Table3[[#This Row],[Sin cuenta]]="Con Mov.",(IF(Table3[[#This Row],[Movimiento]]="Debe",Table3[[#This Row],[Importe]],IF(Table3[[#This Row],[Movimiento]]="Haber",Table3[[#This Row],[Importe]]*-1,0))),0)</f>
        <v>0</v>
      </c>
      <c r="K424" s="145">
        <f t="shared" si="19"/>
        <v>0</v>
      </c>
      <c r="L424" s="145" t="str">
        <f t="shared" si="20"/>
        <v/>
      </c>
      <c r="M424" t="str">
        <f>_xlfn.XLOOKUP(Table3[[#This Row],[Cuenta]],Estructura_Balance[Nombre Cuenta ()],Estructura_Balance[Grupo],"",0)</f>
        <v/>
      </c>
      <c r="N424" t="str">
        <f>_xlfn.XLOOKUP(Table3[[#This Row],[Cuenta]],Estructura_Balance[Nombre Cuenta ()],Estructura_Balance[Nivel 1],"",0)</f>
        <v/>
      </c>
      <c r="O424" t="str">
        <f>_xlfn.XLOOKUP(Table3[[#This Row],[Cuenta]],Estructura_Balance[Nombre Cuenta ()],Estructura_Balance[Nivel 2],"",0)</f>
        <v/>
      </c>
      <c r="P424" t="str">
        <f>_xlfn.XLOOKUP(Table3[[#This Row],[Cuenta]],Estructura_Balance[Nombre Cuenta ()],Estructura_Balance[Nivel 3],"",0)</f>
        <v/>
      </c>
      <c r="Q424" t="str">
        <f>_xlfn.XLOOKUP(Table3[[#This Row],[Cuenta]],Estructura_Balance[Nombre Cuenta ()],Estructura_Balance[Nivel 4],"",0)</f>
        <v/>
      </c>
      <c r="R424" t="str">
        <f>_xlfn.XLOOKUP(Table3[[#This Row],[Cuenta]],Table8[Nombre Cuenta ()],Table8[Nivel 1],"",0)</f>
        <v/>
      </c>
      <c r="S424" t="str">
        <f>_xlfn.XLOOKUP(Table3[[#This Row],[Cuenta]],Table8[Nombre Cuenta ()],Table8[Nivel 2],"",0)</f>
        <v/>
      </c>
      <c r="T424" t="str">
        <f>_xlfn.XLOOKUP(Table3[[#This Row],[Cuenta]],Table8[Nombre Cuenta ()],Table8[Nivel 3],"",0)</f>
        <v/>
      </c>
      <c r="U424">
        <v>830</v>
      </c>
      <c r="V424" t="str">
        <f>_xlfn.XLOOKUP(Table3[[#This Row],[Cuenta]],Estructura_Balance[Nombre Cuenta ()],Estructura_Balance[Niveles:2],"",0)</f>
        <v/>
      </c>
      <c r="W424" t="str">
        <f>_xlfn.XLOOKUP(Table3[[#This Row],[Cuenta]],Estructura_Balance[Nombre Cuenta ()],Estructura_Balance[Niveles:3],"",0)</f>
        <v/>
      </c>
      <c r="X424" t="str">
        <f>_xlfn.XLOOKUP(Table3[[#This Row],[Cuenta]],Estructura_Balance[Nombre Cuenta ()],Estructura_Balance[Grupos],"Grupo 1",0)</f>
        <v>Grupo 1</v>
      </c>
      <c r="Y424" t="str">
        <f>+Table3[[#This Row],[BS_Nivel_1]]</f>
        <v/>
      </c>
    </row>
    <row r="425" spans="1:25">
      <c r="A425">
        <f>+'Libro Diario'!F639</f>
        <v>0</v>
      </c>
      <c r="B425" s="144">
        <f>VALUE(IF(+'Libro Diario'!G639="","01/01/2025",+'Libro Diario'!G639))</f>
        <v>45658</v>
      </c>
      <c r="C425">
        <f>IF(ISNUMBER(+IF(IFERROR(VALUE(MID('Libro Diario'!C639,1,4)),0)&lt;&gt;0,'Libro Diario'!C639,0))=FALSE,'Libro Diario'!C639,0)</f>
        <v>0</v>
      </c>
      <c r="D425" s="145" t="str">
        <f>+'Libro Diario'!B639</f>
        <v>DEBE</v>
      </c>
      <c r="E425" s="139" t="s">
        <v>445</v>
      </c>
      <c r="F425" t="str">
        <f t="shared" si="18"/>
        <v>Sin Mov.</v>
      </c>
      <c r="G425" t="str">
        <f>IF(+'Libro Diario'!H639=0,"",+'Libro Diario'!H639)</f>
        <v/>
      </c>
      <c r="H425" t="str">
        <f>IF(+'Libro Diario'!I639=0,"",+'Libro Diario'!I639)</f>
        <v/>
      </c>
      <c r="I425" t="str">
        <f>+IF(Table3[[#This Row],[Tipo Movimiento]]="Estructura Balance y PyG","Excluir","Incluir")</f>
        <v>Incluir</v>
      </c>
      <c r="J425" s="153">
        <f>+IF(Table3[[#This Row],[Sin cuenta]]="Con Mov.",(IF(Table3[[#This Row],[Movimiento]]="Debe",Table3[[#This Row],[Importe]],IF(Table3[[#This Row],[Movimiento]]="Haber",Table3[[#This Row],[Importe]]*-1,0))),0)</f>
        <v>0</v>
      </c>
      <c r="K425" s="145" t="str">
        <f t="shared" si="19"/>
        <v>DEBE</v>
      </c>
      <c r="L425" s="145" t="str">
        <f t="shared" si="20"/>
        <v/>
      </c>
      <c r="M425" t="str">
        <f>_xlfn.XLOOKUP(Table3[[#This Row],[Cuenta]],Estructura_Balance[Nombre Cuenta ()],Estructura_Balance[Grupo],"",0)</f>
        <v/>
      </c>
      <c r="N425" t="str">
        <f>_xlfn.XLOOKUP(Table3[[#This Row],[Cuenta]],Estructura_Balance[Nombre Cuenta ()],Estructura_Balance[Nivel 1],"",0)</f>
        <v/>
      </c>
      <c r="O425" t="str">
        <f>_xlfn.XLOOKUP(Table3[[#This Row],[Cuenta]],Estructura_Balance[Nombre Cuenta ()],Estructura_Balance[Nivel 2],"",0)</f>
        <v/>
      </c>
      <c r="P425" t="str">
        <f>_xlfn.XLOOKUP(Table3[[#This Row],[Cuenta]],Estructura_Balance[Nombre Cuenta ()],Estructura_Balance[Nivel 3],"",0)</f>
        <v/>
      </c>
      <c r="Q425" t="str">
        <f>_xlfn.XLOOKUP(Table3[[#This Row],[Cuenta]],Estructura_Balance[Nombre Cuenta ()],Estructura_Balance[Nivel 4],"",0)</f>
        <v/>
      </c>
      <c r="R425" s="154" t="str">
        <f>_xlfn.XLOOKUP(Table3[[#This Row],[Cuenta]],Table8[Nombre Cuenta ()],Table8[Nivel 1],"",0)</f>
        <v/>
      </c>
      <c r="S425" t="str">
        <f>_xlfn.XLOOKUP(Table3[[#This Row],[Cuenta]],Table8[Nombre Cuenta ()],Table8[Nivel 2],"",0)</f>
        <v/>
      </c>
      <c r="T425" t="str">
        <f>_xlfn.XLOOKUP(Table3[[#This Row],[Cuenta]],Table8[Nombre Cuenta ()],Table8[Nivel 3],"",0)</f>
        <v/>
      </c>
      <c r="U425">
        <v>831</v>
      </c>
      <c r="V425" t="str">
        <f>_xlfn.XLOOKUP(Table3[[#This Row],[Cuenta]],Estructura_Balance[Nombre Cuenta ()],Estructura_Balance[Niveles:2],"",0)</f>
        <v/>
      </c>
      <c r="W425" t="str">
        <f>_xlfn.XLOOKUP(Table3[[#This Row],[Cuenta]],Estructura_Balance[Nombre Cuenta ()],Estructura_Balance[Niveles:3],"",0)</f>
        <v/>
      </c>
      <c r="X425" t="str">
        <f>_xlfn.XLOOKUP(Table3[[#This Row],[Cuenta]],Estructura_Balance[Nombre Cuenta ()],Estructura_Balance[Grupos],"Grupo 1",0)</f>
        <v>Grupo 1</v>
      </c>
      <c r="Y425" t="str">
        <f>+Table3[[#This Row],[BS_Nivel_1]]</f>
        <v/>
      </c>
    </row>
    <row r="426" spans="1:25">
      <c r="A426">
        <f>+'Libro Diario'!F640</f>
        <v>0</v>
      </c>
      <c r="B426" s="144">
        <f>VALUE(IF(+'Libro Diario'!G640="","01/01/2025",+'Libro Diario'!G640))</f>
        <v>45658</v>
      </c>
      <c r="C426">
        <f>IF(ISNUMBER(+IF(IFERROR(VALUE(MID('Libro Diario'!C640,1,4)),0)&lt;&gt;0,'Libro Diario'!C640,0))=FALSE,'Libro Diario'!C640,0)</f>
        <v>0</v>
      </c>
      <c r="D426" s="145">
        <f>+'Libro Diario'!B640</f>
        <v>0</v>
      </c>
      <c r="E426" s="139" t="s">
        <v>445</v>
      </c>
      <c r="F426" t="str">
        <f t="shared" si="18"/>
        <v>Sin Mov.</v>
      </c>
      <c r="G426" t="str">
        <f>IF(+'Libro Diario'!H640=0,"",+'Libro Diario'!H640)</f>
        <v/>
      </c>
      <c r="H426" t="str">
        <f>IF(+'Libro Diario'!I640=0,"",+'Libro Diario'!I640)</f>
        <v/>
      </c>
      <c r="I426" t="str">
        <f>+IF(Table3[[#This Row],[Tipo Movimiento]]="Estructura Balance y PyG","Excluir","Incluir")</f>
        <v>Incluir</v>
      </c>
      <c r="J426" s="153">
        <f>+IF(Table3[[#This Row],[Sin cuenta]]="Con Mov.",(IF(Table3[[#This Row],[Movimiento]]="Debe",Table3[[#This Row],[Importe]],IF(Table3[[#This Row],[Movimiento]]="Haber",Table3[[#This Row],[Importe]]*-1,0))),0)</f>
        <v>0</v>
      </c>
      <c r="K426" s="145">
        <f t="shared" si="19"/>
        <v>0</v>
      </c>
      <c r="L426" s="145" t="str">
        <f t="shared" si="20"/>
        <v/>
      </c>
      <c r="M426" t="str">
        <f>_xlfn.XLOOKUP(Table3[[#This Row],[Cuenta]],Estructura_Balance[Nombre Cuenta ()],Estructura_Balance[Grupo],"",0)</f>
        <v/>
      </c>
      <c r="N426" t="str">
        <f>_xlfn.XLOOKUP(Table3[[#This Row],[Cuenta]],Estructura_Balance[Nombre Cuenta ()],Estructura_Balance[Nivel 1],"",0)</f>
        <v/>
      </c>
      <c r="O426" t="str">
        <f>_xlfn.XLOOKUP(Table3[[#This Row],[Cuenta]],Estructura_Balance[Nombre Cuenta ()],Estructura_Balance[Nivel 2],"",0)</f>
        <v/>
      </c>
      <c r="P426" t="str">
        <f>_xlfn.XLOOKUP(Table3[[#This Row],[Cuenta]],Estructura_Balance[Nombre Cuenta ()],Estructura_Balance[Nivel 3],"",0)</f>
        <v/>
      </c>
      <c r="Q426" t="str">
        <f>_xlfn.XLOOKUP(Table3[[#This Row],[Cuenta]],Estructura_Balance[Nombre Cuenta ()],Estructura_Balance[Nivel 4],"",0)</f>
        <v/>
      </c>
      <c r="R426" t="str">
        <f>_xlfn.XLOOKUP(Table3[[#This Row],[Cuenta]],Table8[Nombre Cuenta ()],Table8[Nivel 1],"",0)</f>
        <v/>
      </c>
      <c r="S426" t="str">
        <f>_xlfn.XLOOKUP(Table3[[#This Row],[Cuenta]],Table8[Nombre Cuenta ()],Table8[Nivel 2],"",0)</f>
        <v/>
      </c>
      <c r="T426" t="str">
        <f>_xlfn.XLOOKUP(Table3[[#This Row],[Cuenta]],Table8[Nombre Cuenta ()],Table8[Nivel 3],"",0)</f>
        <v/>
      </c>
      <c r="U426">
        <v>832</v>
      </c>
      <c r="V426" t="str">
        <f>_xlfn.XLOOKUP(Table3[[#This Row],[Cuenta]],Estructura_Balance[Nombre Cuenta ()],Estructura_Balance[Niveles:2],"",0)</f>
        <v/>
      </c>
      <c r="W426" t="str">
        <f>_xlfn.XLOOKUP(Table3[[#This Row],[Cuenta]],Estructura_Balance[Nombre Cuenta ()],Estructura_Balance[Niveles:3],"",0)</f>
        <v/>
      </c>
      <c r="X426" t="str">
        <f>_xlfn.XLOOKUP(Table3[[#This Row],[Cuenta]],Estructura_Balance[Nombre Cuenta ()],Estructura_Balance[Grupos],"Grupo 1",0)</f>
        <v>Grupo 1</v>
      </c>
      <c r="Y426" t="str">
        <f>+Table3[[#This Row],[BS_Nivel_1]]</f>
        <v/>
      </c>
    </row>
    <row r="427" spans="1:25">
      <c r="A427">
        <f>+'Libro Diario'!F641</f>
        <v>74</v>
      </c>
      <c r="B427" s="144">
        <f>VALUE(IF(+'Libro Diario'!G641="","01/01/2025",+'Libro Diario'!G641))</f>
        <v>0</v>
      </c>
      <c r="C427">
        <f>IF(ISNUMBER(+IF(IFERROR(VALUE(MID('Libro Diario'!C641,1,4)),0)&lt;&gt;0,'Libro Diario'!C641,0))=FALSE,'Libro Diario'!C641,0)</f>
        <v>0</v>
      </c>
      <c r="D427" s="145">
        <f>+'Libro Diario'!B641</f>
        <v>0</v>
      </c>
      <c r="E427" s="139" t="s">
        <v>445</v>
      </c>
      <c r="F427" t="str">
        <f t="shared" si="18"/>
        <v>Sin Mov.</v>
      </c>
      <c r="G427" t="str">
        <f>IF(+'Libro Diario'!H641=0,"",+'Libro Diario'!H641)</f>
        <v>Ajuste a Valor Razonable</v>
      </c>
      <c r="H427" t="str">
        <f>IF(+'Libro Diario'!I641=0,"",+'Libro Diario'!I641)</f>
        <v/>
      </c>
      <c r="I427" t="str">
        <f>+IF(Table3[[#This Row],[Tipo Movimiento]]="Estructura Balance y PyG","Excluir","Incluir")</f>
        <v>Incluir</v>
      </c>
      <c r="J427" s="153">
        <f>+IF(Table3[[#This Row],[Sin cuenta]]="Con Mov.",(IF(Table3[[#This Row],[Movimiento]]="Debe",Table3[[#This Row],[Importe]],IF(Table3[[#This Row],[Movimiento]]="Haber",Table3[[#This Row],[Importe]]*-1,0))),0)</f>
        <v>0</v>
      </c>
      <c r="K427" s="145">
        <f t="shared" si="19"/>
        <v>0</v>
      </c>
      <c r="L427" s="145" t="str">
        <f t="shared" si="20"/>
        <v/>
      </c>
      <c r="M427" t="str">
        <f>_xlfn.XLOOKUP(Table3[[#This Row],[Cuenta]],Estructura_Balance[Nombre Cuenta ()],Estructura_Balance[Grupo],"",0)</f>
        <v/>
      </c>
      <c r="N427" t="str">
        <f>_xlfn.XLOOKUP(Table3[[#This Row],[Cuenta]],Estructura_Balance[Nombre Cuenta ()],Estructura_Balance[Nivel 1],"",0)</f>
        <v/>
      </c>
      <c r="O427" t="str">
        <f>_xlfn.XLOOKUP(Table3[[#This Row],[Cuenta]],Estructura_Balance[Nombre Cuenta ()],Estructura_Balance[Nivel 2],"",0)</f>
        <v/>
      </c>
      <c r="P427" t="str">
        <f>_xlfn.XLOOKUP(Table3[[#This Row],[Cuenta]],Estructura_Balance[Nombre Cuenta ()],Estructura_Balance[Nivel 3],"",0)</f>
        <v/>
      </c>
      <c r="Q427" t="str">
        <f>_xlfn.XLOOKUP(Table3[[#This Row],[Cuenta]],Estructura_Balance[Nombre Cuenta ()],Estructura_Balance[Nivel 4],"",0)</f>
        <v/>
      </c>
      <c r="R427" s="154" t="str">
        <f>_xlfn.XLOOKUP(Table3[[#This Row],[Cuenta]],Table8[Nombre Cuenta ()],Table8[Nivel 1],"",0)</f>
        <v/>
      </c>
      <c r="S427" t="str">
        <f>_xlfn.XLOOKUP(Table3[[#This Row],[Cuenta]],Table8[Nombre Cuenta ()],Table8[Nivel 2],"",0)</f>
        <v/>
      </c>
      <c r="T427" t="str">
        <f>_xlfn.XLOOKUP(Table3[[#This Row],[Cuenta]],Table8[Nombre Cuenta ()],Table8[Nivel 3],"",0)</f>
        <v/>
      </c>
      <c r="U427">
        <v>833</v>
      </c>
      <c r="V427" t="str">
        <f>_xlfn.XLOOKUP(Table3[[#This Row],[Cuenta]],Estructura_Balance[Nombre Cuenta ()],Estructura_Balance[Niveles:2],"",0)</f>
        <v/>
      </c>
      <c r="W427" t="str">
        <f>_xlfn.XLOOKUP(Table3[[#This Row],[Cuenta]],Estructura_Balance[Nombre Cuenta ()],Estructura_Balance[Niveles:3],"",0)</f>
        <v/>
      </c>
      <c r="X427" t="str">
        <f>_xlfn.XLOOKUP(Table3[[#This Row],[Cuenta]],Estructura_Balance[Nombre Cuenta ()],Estructura_Balance[Grupos],"Grupo 1",0)</f>
        <v>Grupo 1</v>
      </c>
      <c r="Y427" t="str">
        <f>+Table3[[#This Row],[BS_Nivel_1]]</f>
        <v/>
      </c>
    </row>
    <row r="428" spans="1:25">
      <c r="A428">
        <f>+'Libro Diario'!F642</f>
        <v>74</v>
      </c>
      <c r="B428" s="144">
        <f>VALUE(IF(+'Libro Diario'!G642="","01/01/2025",+'Libro Diario'!G642))</f>
        <v>0</v>
      </c>
      <c r="C428">
        <f>IF(ISNUMBER(+IF(IFERROR(VALUE(MID('Libro Diario'!C642,1,4)),0)&lt;&gt;0,'Libro Diario'!C642,0))=FALSE,'Libro Diario'!C642,0)</f>
        <v>0</v>
      </c>
      <c r="D428" s="145">
        <f>+'Libro Diario'!B642</f>
        <v>0</v>
      </c>
      <c r="E428" s="139" t="s">
        <v>445</v>
      </c>
      <c r="F428" t="str">
        <f t="shared" si="18"/>
        <v>Sin Mov.</v>
      </c>
      <c r="G428" t="str">
        <f>IF(+'Libro Diario'!H642=0,"",+'Libro Diario'!H642)</f>
        <v>Ajuste a Valor Razonable</v>
      </c>
      <c r="H428" t="str">
        <f>IF(+'Libro Diario'!I642=0,"",+'Libro Diario'!I642)</f>
        <v/>
      </c>
      <c r="I428" t="str">
        <f>+IF(Table3[[#This Row],[Tipo Movimiento]]="Estructura Balance y PyG","Excluir","Incluir")</f>
        <v>Incluir</v>
      </c>
      <c r="J428" s="153">
        <f>+IF(Table3[[#This Row],[Sin cuenta]]="Con Mov.",(IF(Table3[[#This Row],[Movimiento]]="Debe",Table3[[#This Row],[Importe]],IF(Table3[[#This Row],[Movimiento]]="Haber",Table3[[#This Row],[Importe]]*-1,0))),0)</f>
        <v>0</v>
      </c>
      <c r="K428" s="145">
        <f t="shared" si="19"/>
        <v>0</v>
      </c>
      <c r="L428" s="145" t="str">
        <f t="shared" si="20"/>
        <v/>
      </c>
      <c r="M428" t="str">
        <f>_xlfn.XLOOKUP(Table3[[#This Row],[Cuenta]],Estructura_Balance[Nombre Cuenta ()],Estructura_Balance[Grupo],"",0)</f>
        <v/>
      </c>
      <c r="N428" t="str">
        <f>_xlfn.XLOOKUP(Table3[[#This Row],[Cuenta]],Estructura_Balance[Nombre Cuenta ()],Estructura_Balance[Nivel 1],"",0)</f>
        <v/>
      </c>
      <c r="O428" t="str">
        <f>_xlfn.XLOOKUP(Table3[[#This Row],[Cuenta]],Estructura_Balance[Nombre Cuenta ()],Estructura_Balance[Nivel 2],"",0)</f>
        <v/>
      </c>
      <c r="P428" t="str">
        <f>_xlfn.XLOOKUP(Table3[[#This Row],[Cuenta]],Estructura_Balance[Nombre Cuenta ()],Estructura_Balance[Nivel 3],"",0)</f>
        <v/>
      </c>
      <c r="Q428" t="str">
        <f>_xlfn.XLOOKUP(Table3[[#This Row],[Cuenta]],Estructura_Balance[Nombre Cuenta ()],Estructura_Balance[Nivel 4],"",0)</f>
        <v/>
      </c>
      <c r="R428" t="str">
        <f>_xlfn.XLOOKUP(Table3[[#This Row],[Cuenta]],Table8[Nombre Cuenta ()],Table8[Nivel 1],"",0)</f>
        <v/>
      </c>
      <c r="S428" t="str">
        <f>_xlfn.XLOOKUP(Table3[[#This Row],[Cuenta]],Table8[Nombre Cuenta ()],Table8[Nivel 2],"",0)</f>
        <v/>
      </c>
      <c r="T428" t="str">
        <f>_xlfn.XLOOKUP(Table3[[#This Row],[Cuenta]],Table8[Nombre Cuenta ()],Table8[Nivel 3],"",0)</f>
        <v/>
      </c>
      <c r="U428">
        <v>834</v>
      </c>
      <c r="V428" t="str">
        <f>_xlfn.XLOOKUP(Table3[[#This Row],[Cuenta]],Estructura_Balance[Nombre Cuenta ()],Estructura_Balance[Niveles:2],"",0)</f>
        <v/>
      </c>
      <c r="W428" t="str">
        <f>_xlfn.XLOOKUP(Table3[[#This Row],[Cuenta]],Estructura_Balance[Nombre Cuenta ()],Estructura_Balance[Niveles:3],"",0)</f>
        <v/>
      </c>
      <c r="X428" t="str">
        <f>_xlfn.XLOOKUP(Table3[[#This Row],[Cuenta]],Estructura_Balance[Nombre Cuenta ()],Estructura_Balance[Grupos],"Grupo 1",0)</f>
        <v>Grupo 1</v>
      </c>
      <c r="Y428" t="str">
        <f>+Table3[[#This Row],[BS_Nivel_1]]</f>
        <v/>
      </c>
    </row>
    <row r="429" spans="1:25">
      <c r="A429">
        <f>+'Libro Diario'!F643</f>
        <v>0</v>
      </c>
      <c r="B429" s="144">
        <f>VALUE(IF(+'Libro Diario'!G643="","01/01/2025",+'Libro Diario'!G643))</f>
        <v>45658</v>
      </c>
      <c r="C429">
        <f>IF(ISNUMBER(+IF(IFERROR(VALUE(MID('Libro Diario'!C643,1,4)),0)&lt;&gt;0,'Libro Diario'!C643,0))=FALSE,'Libro Diario'!C643,0)</f>
        <v>0</v>
      </c>
      <c r="D429" s="145" t="str">
        <f>+'Libro Diario'!B643</f>
        <v>Ajuste a Valor Razonable</v>
      </c>
      <c r="E429" s="139" t="s">
        <v>445</v>
      </c>
      <c r="F429" t="str">
        <f t="shared" si="18"/>
        <v>Sin Mov.</v>
      </c>
      <c r="G429" t="str">
        <f>IF(+'Libro Diario'!H643=0,"",+'Libro Diario'!H643)</f>
        <v/>
      </c>
      <c r="H429" t="str">
        <f>IF(+'Libro Diario'!I643=0,"",+'Libro Diario'!I643)</f>
        <v/>
      </c>
      <c r="I429" t="str">
        <f>+IF(Table3[[#This Row],[Tipo Movimiento]]="Estructura Balance y PyG","Excluir","Incluir")</f>
        <v>Incluir</v>
      </c>
      <c r="J429" s="153">
        <f>+IF(Table3[[#This Row],[Sin cuenta]]="Con Mov.",(IF(Table3[[#This Row],[Movimiento]]="Debe",Table3[[#This Row],[Importe]],IF(Table3[[#This Row],[Movimiento]]="Haber",Table3[[#This Row],[Importe]]*-1,0))),0)</f>
        <v>0</v>
      </c>
      <c r="K429" s="145" t="str">
        <f t="shared" si="19"/>
        <v>Ajuste a Valor Razonable</v>
      </c>
      <c r="L429" s="145" t="str">
        <f t="shared" si="20"/>
        <v/>
      </c>
      <c r="M429" t="str">
        <f>_xlfn.XLOOKUP(Table3[[#This Row],[Cuenta]],Estructura_Balance[Nombre Cuenta ()],Estructura_Balance[Grupo],"",0)</f>
        <v/>
      </c>
      <c r="N429" t="str">
        <f>_xlfn.XLOOKUP(Table3[[#This Row],[Cuenta]],Estructura_Balance[Nombre Cuenta ()],Estructura_Balance[Nivel 1],"",0)</f>
        <v/>
      </c>
      <c r="O429" t="str">
        <f>_xlfn.XLOOKUP(Table3[[#This Row],[Cuenta]],Estructura_Balance[Nombre Cuenta ()],Estructura_Balance[Nivel 2],"",0)</f>
        <v/>
      </c>
      <c r="P429" t="str">
        <f>_xlfn.XLOOKUP(Table3[[#This Row],[Cuenta]],Estructura_Balance[Nombre Cuenta ()],Estructura_Balance[Nivel 3],"",0)</f>
        <v/>
      </c>
      <c r="Q429" t="str">
        <f>_xlfn.XLOOKUP(Table3[[#This Row],[Cuenta]],Estructura_Balance[Nombre Cuenta ()],Estructura_Balance[Nivel 4],"",0)</f>
        <v/>
      </c>
      <c r="R429" s="154" t="str">
        <f>_xlfn.XLOOKUP(Table3[[#This Row],[Cuenta]],Table8[Nombre Cuenta ()],Table8[Nivel 1],"",0)</f>
        <v/>
      </c>
      <c r="S429" t="str">
        <f>_xlfn.XLOOKUP(Table3[[#This Row],[Cuenta]],Table8[Nombre Cuenta ()],Table8[Nivel 2],"",0)</f>
        <v/>
      </c>
      <c r="T429" t="str">
        <f>_xlfn.XLOOKUP(Table3[[#This Row],[Cuenta]],Table8[Nombre Cuenta ()],Table8[Nivel 3],"",0)</f>
        <v/>
      </c>
      <c r="U429">
        <v>835</v>
      </c>
      <c r="V429" t="str">
        <f>_xlfn.XLOOKUP(Table3[[#This Row],[Cuenta]],Estructura_Balance[Nombre Cuenta ()],Estructura_Balance[Niveles:2],"",0)</f>
        <v/>
      </c>
      <c r="W429" t="str">
        <f>_xlfn.XLOOKUP(Table3[[#This Row],[Cuenta]],Estructura_Balance[Nombre Cuenta ()],Estructura_Balance[Niveles:3],"",0)</f>
        <v/>
      </c>
      <c r="X429" t="str">
        <f>_xlfn.XLOOKUP(Table3[[#This Row],[Cuenta]],Estructura_Balance[Nombre Cuenta ()],Estructura_Balance[Grupos],"Grupo 1",0)</f>
        <v>Grupo 1</v>
      </c>
      <c r="Y429" t="str">
        <f>+Table3[[#This Row],[BS_Nivel_1]]</f>
        <v/>
      </c>
    </row>
    <row r="430" spans="1:25">
      <c r="A430">
        <f>+'Libro Diario'!F644</f>
        <v>0</v>
      </c>
      <c r="B430" s="144">
        <f>VALUE(IF(+'Libro Diario'!G644="","01/01/2025",+'Libro Diario'!G644))</f>
        <v>45658</v>
      </c>
      <c r="C430">
        <f>IF(ISNUMBER(+IF(IFERROR(VALUE(MID('Libro Diario'!C644,1,4)),0)&lt;&gt;0,'Libro Diario'!C644,0))=FALSE,'Libro Diario'!C644,0)</f>
        <v>0</v>
      </c>
      <c r="D430" s="145" t="str">
        <f>+'Libro Diario'!B644</f>
        <v>Asiento Cuadrado</v>
      </c>
      <c r="E430" s="139" t="s">
        <v>445</v>
      </c>
      <c r="F430" t="str">
        <f t="shared" si="18"/>
        <v>Sin Mov.</v>
      </c>
      <c r="G430" t="str">
        <f>IF(+'Libro Diario'!H644=0,"",+'Libro Diario'!H644)</f>
        <v/>
      </c>
      <c r="H430" t="str">
        <f>IF(+'Libro Diario'!I644=0,"",+'Libro Diario'!I644)</f>
        <v/>
      </c>
      <c r="I430" t="str">
        <f>+IF(Table3[[#This Row],[Tipo Movimiento]]="Estructura Balance y PyG","Excluir","Incluir")</f>
        <v>Incluir</v>
      </c>
      <c r="J430" s="153">
        <f>+IF(Table3[[#This Row],[Sin cuenta]]="Con Mov.",(IF(Table3[[#This Row],[Movimiento]]="Debe",Table3[[#This Row],[Importe]],IF(Table3[[#This Row],[Movimiento]]="Haber",Table3[[#This Row],[Importe]]*-1,0))),0)</f>
        <v>0</v>
      </c>
      <c r="K430" s="145" t="str">
        <f t="shared" si="19"/>
        <v>Asiento Cuadrado</v>
      </c>
      <c r="L430" s="145" t="str">
        <f t="shared" si="20"/>
        <v/>
      </c>
      <c r="M430" t="str">
        <f>_xlfn.XLOOKUP(Table3[[#This Row],[Cuenta]],Estructura_Balance[Nombre Cuenta ()],Estructura_Balance[Grupo],"",0)</f>
        <v/>
      </c>
      <c r="N430" t="str">
        <f>_xlfn.XLOOKUP(Table3[[#This Row],[Cuenta]],Estructura_Balance[Nombre Cuenta ()],Estructura_Balance[Nivel 1],"",0)</f>
        <v/>
      </c>
      <c r="O430" t="str">
        <f>_xlfn.XLOOKUP(Table3[[#This Row],[Cuenta]],Estructura_Balance[Nombre Cuenta ()],Estructura_Balance[Nivel 2],"",0)</f>
        <v/>
      </c>
      <c r="P430" t="str">
        <f>_xlfn.XLOOKUP(Table3[[#This Row],[Cuenta]],Estructura_Balance[Nombre Cuenta ()],Estructura_Balance[Nivel 3],"",0)</f>
        <v/>
      </c>
      <c r="Q430" t="str">
        <f>_xlfn.XLOOKUP(Table3[[#This Row],[Cuenta]],Estructura_Balance[Nombre Cuenta ()],Estructura_Balance[Nivel 4],"",0)</f>
        <v/>
      </c>
      <c r="R430" t="str">
        <f>_xlfn.XLOOKUP(Table3[[#This Row],[Cuenta]],Table8[Nombre Cuenta ()],Table8[Nivel 1],"",0)</f>
        <v/>
      </c>
      <c r="S430" t="str">
        <f>_xlfn.XLOOKUP(Table3[[#This Row],[Cuenta]],Table8[Nombre Cuenta ()],Table8[Nivel 2],"",0)</f>
        <v/>
      </c>
      <c r="T430" t="str">
        <f>_xlfn.XLOOKUP(Table3[[#This Row],[Cuenta]],Table8[Nombre Cuenta ()],Table8[Nivel 3],"",0)</f>
        <v/>
      </c>
      <c r="U430">
        <v>836</v>
      </c>
      <c r="V430" t="str">
        <f>_xlfn.XLOOKUP(Table3[[#This Row],[Cuenta]],Estructura_Balance[Nombre Cuenta ()],Estructura_Balance[Niveles:2],"",0)</f>
        <v/>
      </c>
      <c r="W430" t="str">
        <f>_xlfn.XLOOKUP(Table3[[#This Row],[Cuenta]],Estructura_Balance[Nombre Cuenta ()],Estructura_Balance[Niveles:3],"",0)</f>
        <v/>
      </c>
      <c r="X430" t="str">
        <f>_xlfn.XLOOKUP(Table3[[#This Row],[Cuenta]],Estructura_Balance[Nombre Cuenta ()],Estructura_Balance[Grupos],"Grupo 1",0)</f>
        <v>Grupo 1</v>
      </c>
      <c r="Y430" t="str">
        <f>+Table3[[#This Row],[BS_Nivel_1]]</f>
        <v/>
      </c>
    </row>
    <row r="431" spans="1:25">
      <c r="A431">
        <f>+'Libro Diario'!F645</f>
        <v>0</v>
      </c>
      <c r="B431" s="144">
        <f>VALUE(IF(+'Libro Diario'!G645="","01/01/2025",+'Libro Diario'!G645))</f>
        <v>45658</v>
      </c>
      <c r="C431">
        <f>IF(ISNUMBER(+IF(IFERROR(VALUE(MID('Libro Diario'!C645,1,4)),0)&lt;&gt;0,'Libro Diario'!C645,0))=FALSE,'Libro Diario'!C645,0)</f>
        <v>0</v>
      </c>
      <c r="D431" s="145">
        <f>+'Libro Diario'!B645</f>
        <v>0</v>
      </c>
      <c r="E431" s="139" t="s">
        <v>445</v>
      </c>
      <c r="F431" t="str">
        <f t="shared" si="18"/>
        <v>Sin Mov.</v>
      </c>
      <c r="G431" t="str">
        <f>IF(+'Libro Diario'!H645=0,"",+'Libro Diario'!H645)</f>
        <v/>
      </c>
      <c r="H431" t="str">
        <f>IF(+'Libro Diario'!I645=0,"",+'Libro Diario'!I645)</f>
        <v/>
      </c>
      <c r="I431" t="str">
        <f>+IF(Table3[[#This Row],[Tipo Movimiento]]="Estructura Balance y PyG","Excluir","Incluir")</f>
        <v>Incluir</v>
      </c>
      <c r="J431" s="153">
        <f>+IF(Table3[[#This Row],[Sin cuenta]]="Con Mov.",(IF(Table3[[#This Row],[Movimiento]]="Debe",Table3[[#This Row],[Importe]],IF(Table3[[#This Row],[Movimiento]]="Haber",Table3[[#This Row],[Importe]]*-1,0))),0)</f>
        <v>0</v>
      </c>
      <c r="K431" s="145">
        <f t="shared" si="19"/>
        <v>0</v>
      </c>
      <c r="L431" s="145" t="str">
        <f t="shared" si="20"/>
        <v/>
      </c>
      <c r="M431" t="str">
        <f>_xlfn.XLOOKUP(Table3[[#This Row],[Cuenta]],Estructura_Balance[Nombre Cuenta ()],Estructura_Balance[Grupo],"",0)</f>
        <v/>
      </c>
      <c r="N431" t="str">
        <f>_xlfn.XLOOKUP(Table3[[#This Row],[Cuenta]],Estructura_Balance[Nombre Cuenta ()],Estructura_Balance[Nivel 1],"",0)</f>
        <v/>
      </c>
      <c r="O431" t="str">
        <f>_xlfn.XLOOKUP(Table3[[#This Row],[Cuenta]],Estructura_Balance[Nombre Cuenta ()],Estructura_Balance[Nivel 2],"",0)</f>
        <v/>
      </c>
      <c r="P431" t="str">
        <f>_xlfn.XLOOKUP(Table3[[#This Row],[Cuenta]],Estructura_Balance[Nombre Cuenta ()],Estructura_Balance[Nivel 3],"",0)</f>
        <v/>
      </c>
      <c r="Q431" t="str">
        <f>_xlfn.XLOOKUP(Table3[[#This Row],[Cuenta]],Estructura_Balance[Nombre Cuenta ()],Estructura_Balance[Nivel 4],"",0)</f>
        <v/>
      </c>
      <c r="R431" s="154" t="str">
        <f>_xlfn.XLOOKUP(Table3[[#This Row],[Cuenta]],Table8[Nombre Cuenta ()],Table8[Nivel 1],"",0)</f>
        <v/>
      </c>
      <c r="S431" t="str">
        <f>_xlfn.XLOOKUP(Table3[[#This Row],[Cuenta]],Table8[Nombre Cuenta ()],Table8[Nivel 2],"",0)</f>
        <v/>
      </c>
      <c r="T431" t="str">
        <f>_xlfn.XLOOKUP(Table3[[#This Row],[Cuenta]],Table8[Nombre Cuenta ()],Table8[Nivel 3],"",0)</f>
        <v/>
      </c>
      <c r="U431">
        <v>837</v>
      </c>
      <c r="V431" t="str">
        <f>_xlfn.XLOOKUP(Table3[[#This Row],[Cuenta]],Estructura_Balance[Nombre Cuenta ()],Estructura_Balance[Niveles:2],"",0)</f>
        <v/>
      </c>
      <c r="W431" t="str">
        <f>_xlfn.XLOOKUP(Table3[[#This Row],[Cuenta]],Estructura_Balance[Nombre Cuenta ()],Estructura_Balance[Niveles:3],"",0)</f>
        <v/>
      </c>
      <c r="X431" t="str">
        <f>_xlfn.XLOOKUP(Table3[[#This Row],[Cuenta]],Estructura_Balance[Nombre Cuenta ()],Estructura_Balance[Grupos],"Grupo 1",0)</f>
        <v>Grupo 1</v>
      </c>
      <c r="Y431" t="str">
        <f>+Table3[[#This Row],[BS_Nivel_1]]</f>
        <v/>
      </c>
    </row>
    <row r="432" spans="1:25">
      <c r="A432">
        <f>+'Libro Diario'!F646</f>
        <v>0</v>
      </c>
      <c r="B432" s="144">
        <f>VALUE(IF(+'Libro Diario'!G646="","01/01/2025",+'Libro Diario'!G646))</f>
        <v>45658</v>
      </c>
      <c r="C432">
        <f>IF(ISNUMBER(+IF(IFERROR(VALUE(MID('Libro Diario'!C646,1,4)),0)&lt;&gt;0,'Libro Diario'!C646,0))=FALSE,'Libro Diario'!C646,0)</f>
        <v>0</v>
      </c>
      <c r="D432" s="145" t="str">
        <f>+'Libro Diario'!B646</f>
        <v>DEBE</v>
      </c>
      <c r="E432" s="139" t="s">
        <v>445</v>
      </c>
      <c r="F432" t="str">
        <f t="shared" si="18"/>
        <v>Sin Mov.</v>
      </c>
      <c r="G432" t="str">
        <f>IF(+'Libro Diario'!H646=0,"",+'Libro Diario'!H646)</f>
        <v/>
      </c>
      <c r="H432" t="str">
        <f>IF(+'Libro Diario'!I646=0,"",+'Libro Diario'!I646)</f>
        <v/>
      </c>
      <c r="I432" t="str">
        <f>+IF(Table3[[#This Row],[Tipo Movimiento]]="Estructura Balance y PyG","Excluir","Incluir")</f>
        <v>Incluir</v>
      </c>
      <c r="J432" s="153">
        <f>+IF(Table3[[#This Row],[Sin cuenta]]="Con Mov.",(IF(Table3[[#This Row],[Movimiento]]="Debe",Table3[[#This Row],[Importe]],IF(Table3[[#This Row],[Movimiento]]="Haber",Table3[[#This Row],[Importe]]*-1,0))),0)</f>
        <v>0</v>
      </c>
      <c r="K432" s="145" t="str">
        <f t="shared" si="19"/>
        <v>DEBE</v>
      </c>
      <c r="L432" s="145" t="str">
        <f t="shared" si="20"/>
        <v/>
      </c>
      <c r="M432" t="str">
        <f>_xlfn.XLOOKUP(Table3[[#This Row],[Cuenta]],Estructura_Balance[Nombre Cuenta ()],Estructura_Balance[Grupo],"",0)</f>
        <v/>
      </c>
      <c r="N432" t="str">
        <f>_xlfn.XLOOKUP(Table3[[#This Row],[Cuenta]],Estructura_Balance[Nombre Cuenta ()],Estructura_Balance[Nivel 1],"",0)</f>
        <v/>
      </c>
      <c r="O432" t="str">
        <f>_xlfn.XLOOKUP(Table3[[#This Row],[Cuenta]],Estructura_Balance[Nombre Cuenta ()],Estructura_Balance[Nivel 2],"",0)</f>
        <v/>
      </c>
      <c r="P432" t="str">
        <f>_xlfn.XLOOKUP(Table3[[#This Row],[Cuenta]],Estructura_Balance[Nombre Cuenta ()],Estructura_Balance[Nivel 3],"",0)</f>
        <v/>
      </c>
      <c r="Q432" t="str">
        <f>_xlfn.XLOOKUP(Table3[[#This Row],[Cuenta]],Estructura_Balance[Nombre Cuenta ()],Estructura_Balance[Nivel 4],"",0)</f>
        <v/>
      </c>
      <c r="R432" t="str">
        <f>_xlfn.XLOOKUP(Table3[[#This Row],[Cuenta]],Table8[Nombre Cuenta ()],Table8[Nivel 1],"",0)</f>
        <v/>
      </c>
      <c r="S432" t="str">
        <f>_xlfn.XLOOKUP(Table3[[#This Row],[Cuenta]],Table8[Nombre Cuenta ()],Table8[Nivel 2],"",0)</f>
        <v/>
      </c>
      <c r="T432" t="str">
        <f>_xlfn.XLOOKUP(Table3[[#This Row],[Cuenta]],Table8[Nombre Cuenta ()],Table8[Nivel 3],"",0)</f>
        <v/>
      </c>
      <c r="U432">
        <v>838</v>
      </c>
      <c r="V432" t="str">
        <f>_xlfn.XLOOKUP(Table3[[#This Row],[Cuenta]],Estructura_Balance[Nombre Cuenta ()],Estructura_Balance[Niveles:2],"",0)</f>
        <v/>
      </c>
      <c r="W432" t="str">
        <f>_xlfn.XLOOKUP(Table3[[#This Row],[Cuenta]],Estructura_Balance[Nombre Cuenta ()],Estructura_Balance[Niveles:3],"",0)</f>
        <v/>
      </c>
      <c r="X432" t="str">
        <f>_xlfn.XLOOKUP(Table3[[#This Row],[Cuenta]],Estructura_Balance[Nombre Cuenta ()],Estructura_Balance[Grupos],"Grupo 1",0)</f>
        <v>Grupo 1</v>
      </c>
      <c r="Y432" t="str">
        <f>+Table3[[#This Row],[BS_Nivel_1]]</f>
        <v/>
      </c>
    </row>
    <row r="433" spans="1:25">
      <c r="A433">
        <f>+'Libro Diario'!F647</f>
        <v>0</v>
      </c>
      <c r="B433" s="144">
        <f>VALUE(IF(+'Libro Diario'!G647="","01/01/2025",+'Libro Diario'!G647))</f>
        <v>45658</v>
      </c>
      <c r="C433">
        <f>IF(ISNUMBER(+IF(IFERROR(VALUE(MID('Libro Diario'!C647,1,4)),0)&lt;&gt;0,'Libro Diario'!C647,0))=FALSE,'Libro Diario'!C647,0)</f>
        <v>0</v>
      </c>
      <c r="D433" s="145">
        <f>+'Libro Diario'!B647</f>
        <v>0</v>
      </c>
      <c r="E433" s="139" t="s">
        <v>445</v>
      </c>
      <c r="F433" t="str">
        <f t="shared" si="18"/>
        <v>Sin Mov.</v>
      </c>
      <c r="G433" t="str">
        <f>IF(+'Libro Diario'!H647=0,"",+'Libro Diario'!H647)</f>
        <v/>
      </c>
      <c r="H433" t="str">
        <f>IF(+'Libro Diario'!I647=0,"",+'Libro Diario'!I647)</f>
        <v/>
      </c>
      <c r="I433" t="str">
        <f>+IF(Table3[[#This Row],[Tipo Movimiento]]="Estructura Balance y PyG","Excluir","Incluir")</f>
        <v>Incluir</v>
      </c>
      <c r="J433" s="153">
        <f>+IF(Table3[[#This Row],[Sin cuenta]]="Con Mov.",(IF(Table3[[#This Row],[Movimiento]]="Debe",Table3[[#This Row],[Importe]],IF(Table3[[#This Row],[Movimiento]]="Haber",Table3[[#This Row],[Importe]]*-1,0))),0)</f>
        <v>0</v>
      </c>
      <c r="K433" s="145">
        <f t="shared" si="19"/>
        <v>0</v>
      </c>
      <c r="L433" s="145" t="str">
        <f t="shared" si="20"/>
        <v/>
      </c>
      <c r="M433" t="str">
        <f>_xlfn.XLOOKUP(Table3[[#This Row],[Cuenta]],Estructura_Balance[Nombre Cuenta ()],Estructura_Balance[Grupo],"",0)</f>
        <v/>
      </c>
      <c r="N433" t="str">
        <f>_xlfn.XLOOKUP(Table3[[#This Row],[Cuenta]],Estructura_Balance[Nombre Cuenta ()],Estructura_Balance[Nivel 1],"",0)</f>
        <v/>
      </c>
      <c r="O433" t="str">
        <f>_xlfn.XLOOKUP(Table3[[#This Row],[Cuenta]],Estructura_Balance[Nombre Cuenta ()],Estructura_Balance[Nivel 2],"",0)</f>
        <v/>
      </c>
      <c r="P433" t="str">
        <f>_xlfn.XLOOKUP(Table3[[#This Row],[Cuenta]],Estructura_Balance[Nombre Cuenta ()],Estructura_Balance[Nivel 3],"",0)</f>
        <v/>
      </c>
      <c r="Q433" t="str">
        <f>_xlfn.XLOOKUP(Table3[[#This Row],[Cuenta]],Estructura_Balance[Nombre Cuenta ()],Estructura_Balance[Nivel 4],"",0)</f>
        <v/>
      </c>
      <c r="R433" s="154" t="str">
        <f>_xlfn.XLOOKUP(Table3[[#This Row],[Cuenta]],Table8[Nombre Cuenta ()],Table8[Nivel 1],"",0)</f>
        <v/>
      </c>
      <c r="S433" t="str">
        <f>_xlfn.XLOOKUP(Table3[[#This Row],[Cuenta]],Table8[Nombre Cuenta ()],Table8[Nivel 2],"",0)</f>
        <v/>
      </c>
      <c r="T433" t="str">
        <f>_xlfn.XLOOKUP(Table3[[#This Row],[Cuenta]],Table8[Nombre Cuenta ()],Table8[Nivel 3],"",0)</f>
        <v/>
      </c>
      <c r="U433">
        <v>839</v>
      </c>
      <c r="V433" t="str">
        <f>_xlfn.XLOOKUP(Table3[[#This Row],[Cuenta]],Estructura_Balance[Nombre Cuenta ()],Estructura_Balance[Niveles:2],"",0)</f>
        <v/>
      </c>
      <c r="W433" t="str">
        <f>_xlfn.XLOOKUP(Table3[[#This Row],[Cuenta]],Estructura_Balance[Nombre Cuenta ()],Estructura_Balance[Niveles:3],"",0)</f>
        <v/>
      </c>
      <c r="X433" t="str">
        <f>_xlfn.XLOOKUP(Table3[[#This Row],[Cuenta]],Estructura_Balance[Nombre Cuenta ()],Estructura_Balance[Grupos],"Grupo 1",0)</f>
        <v>Grupo 1</v>
      </c>
      <c r="Y433" t="str">
        <f>+Table3[[#This Row],[BS_Nivel_1]]</f>
        <v/>
      </c>
    </row>
    <row r="434" spans="1:25">
      <c r="A434">
        <f>+'Libro Diario'!F648</f>
        <v>75</v>
      </c>
      <c r="B434" s="144">
        <f>VALUE(IF(+'Libro Diario'!G648="","01/01/2025",+'Libro Diario'!G648))</f>
        <v>0</v>
      </c>
      <c r="C434">
        <f>IF(ISNUMBER(+IF(IFERROR(VALUE(MID('Libro Diario'!C648,1,4)),0)&lt;&gt;0,'Libro Diario'!C648,0))=FALSE,'Libro Diario'!C648,0)</f>
        <v>0</v>
      </c>
      <c r="D434" s="145">
        <f>+'Libro Diario'!B648</f>
        <v>0</v>
      </c>
      <c r="E434" s="139" t="s">
        <v>445</v>
      </c>
      <c r="F434" t="str">
        <f t="shared" si="18"/>
        <v>Sin Mov.</v>
      </c>
      <c r="G434" t="str">
        <f>IF(+'Libro Diario'!H648=0,"",+'Libro Diario'!H648)</f>
        <v>Asiento de Apertura</v>
      </c>
      <c r="H434" t="str">
        <f>IF(+'Libro Diario'!I648=0,"",+'Libro Diario'!I648)</f>
        <v/>
      </c>
      <c r="I434" t="str">
        <f>+IF(Table3[[#This Row],[Tipo Movimiento]]="Estructura Balance y PyG","Excluir","Incluir")</f>
        <v>Incluir</v>
      </c>
      <c r="J434" s="153">
        <f>+IF(Table3[[#This Row],[Sin cuenta]]="Con Mov.",(IF(Table3[[#This Row],[Movimiento]]="Debe",Table3[[#This Row],[Importe]],IF(Table3[[#This Row],[Movimiento]]="Haber",Table3[[#This Row],[Importe]]*-1,0))),0)</f>
        <v>0</v>
      </c>
      <c r="K434" s="145">
        <f t="shared" si="19"/>
        <v>0</v>
      </c>
      <c r="L434" s="145" t="str">
        <f t="shared" si="20"/>
        <v/>
      </c>
      <c r="M434" t="str">
        <f>_xlfn.XLOOKUP(Table3[[#This Row],[Cuenta]],Estructura_Balance[Nombre Cuenta ()],Estructura_Balance[Grupo],"",0)</f>
        <v/>
      </c>
      <c r="N434" t="str">
        <f>_xlfn.XLOOKUP(Table3[[#This Row],[Cuenta]],Estructura_Balance[Nombre Cuenta ()],Estructura_Balance[Nivel 1],"",0)</f>
        <v/>
      </c>
      <c r="O434" t="str">
        <f>_xlfn.XLOOKUP(Table3[[#This Row],[Cuenta]],Estructura_Balance[Nombre Cuenta ()],Estructura_Balance[Nivel 2],"",0)</f>
        <v/>
      </c>
      <c r="P434" t="str">
        <f>_xlfn.XLOOKUP(Table3[[#This Row],[Cuenta]],Estructura_Balance[Nombre Cuenta ()],Estructura_Balance[Nivel 3],"",0)</f>
        <v/>
      </c>
      <c r="Q434" t="str">
        <f>_xlfn.XLOOKUP(Table3[[#This Row],[Cuenta]],Estructura_Balance[Nombre Cuenta ()],Estructura_Balance[Nivel 4],"",0)</f>
        <v/>
      </c>
      <c r="R434" t="str">
        <f>_xlfn.XLOOKUP(Table3[[#This Row],[Cuenta]],Table8[Nombre Cuenta ()],Table8[Nivel 1],"",0)</f>
        <v/>
      </c>
      <c r="S434" t="str">
        <f>_xlfn.XLOOKUP(Table3[[#This Row],[Cuenta]],Table8[Nombre Cuenta ()],Table8[Nivel 2],"",0)</f>
        <v/>
      </c>
      <c r="T434" t="str">
        <f>_xlfn.XLOOKUP(Table3[[#This Row],[Cuenta]],Table8[Nombre Cuenta ()],Table8[Nivel 3],"",0)</f>
        <v/>
      </c>
      <c r="U434">
        <v>840</v>
      </c>
      <c r="V434" t="str">
        <f>_xlfn.XLOOKUP(Table3[[#This Row],[Cuenta]],Estructura_Balance[Nombre Cuenta ()],Estructura_Balance[Niveles:2],"",0)</f>
        <v/>
      </c>
      <c r="W434" t="str">
        <f>_xlfn.XLOOKUP(Table3[[#This Row],[Cuenta]],Estructura_Balance[Nombre Cuenta ()],Estructura_Balance[Niveles:3],"",0)</f>
        <v/>
      </c>
      <c r="X434" t="str">
        <f>_xlfn.XLOOKUP(Table3[[#This Row],[Cuenta]],Estructura_Balance[Nombre Cuenta ()],Estructura_Balance[Grupos],"Grupo 1",0)</f>
        <v>Grupo 1</v>
      </c>
      <c r="Y434" t="str">
        <f>+Table3[[#This Row],[BS_Nivel_1]]</f>
        <v/>
      </c>
    </row>
    <row r="435" spans="1:25">
      <c r="A435">
        <f>+'Libro Diario'!F649</f>
        <v>75</v>
      </c>
      <c r="B435" s="144">
        <f>VALUE(IF(+'Libro Diario'!G649="","01/01/2025",+'Libro Diario'!G649))</f>
        <v>0</v>
      </c>
      <c r="C435">
        <f>IF(ISNUMBER(+IF(IFERROR(VALUE(MID('Libro Diario'!C649,1,4)),0)&lt;&gt;0,'Libro Diario'!C649,0))=FALSE,'Libro Diario'!C649,0)</f>
        <v>0</v>
      </c>
      <c r="D435" s="145">
        <f>+'Libro Diario'!B649</f>
        <v>0</v>
      </c>
      <c r="E435" s="139" t="s">
        <v>445</v>
      </c>
      <c r="F435" t="str">
        <f t="shared" si="18"/>
        <v>Sin Mov.</v>
      </c>
      <c r="G435" t="str">
        <f>IF(+'Libro Diario'!H649=0,"",+'Libro Diario'!H649)</f>
        <v>Asiento de Apertura</v>
      </c>
      <c r="H435" t="str">
        <f>IF(+'Libro Diario'!I649=0,"",+'Libro Diario'!I649)</f>
        <v/>
      </c>
      <c r="I435" t="str">
        <f>+IF(Table3[[#This Row],[Tipo Movimiento]]="Estructura Balance y PyG","Excluir","Incluir")</f>
        <v>Incluir</v>
      </c>
      <c r="J435" s="153">
        <f>+IF(Table3[[#This Row],[Sin cuenta]]="Con Mov.",(IF(Table3[[#This Row],[Movimiento]]="Debe",Table3[[#This Row],[Importe]],IF(Table3[[#This Row],[Movimiento]]="Haber",Table3[[#This Row],[Importe]]*-1,0))),0)</f>
        <v>0</v>
      </c>
      <c r="K435" s="145">
        <f t="shared" si="19"/>
        <v>0</v>
      </c>
      <c r="L435" s="145" t="str">
        <f t="shared" si="20"/>
        <v/>
      </c>
      <c r="M435" t="str">
        <f>_xlfn.XLOOKUP(Table3[[#This Row],[Cuenta]],Estructura_Balance[Nombre Cuenta ()],Estructura_Balance[Grupo],"",0)</f>
        <v/>
      </c>
      <c r="N435" t="str">
        <f>_xlfn.XLOOKUP(Table3[[#This Row],[Cuenta]],Estructura_Balance[Nombre Cuenta ()],Estructura_Balance[Nivel 1],"",0)</f>
        <v/>
      </c>
      <c r="O435" t="str">
        <f>_xlfn.XLOOKUP(Table3[[#This Row],[Cuenta]],Estructura_Balance[Nombre Cuenta ()],Estructura_Balance[Nivel 2],"",0)</f>
        <v/>
      </c>
      <c r="P435" t="str">
        <f>_xlfn.XLOOKUP(Table3[[#This Row],[Cuenta]],Estructura_Balance[Nombre Cuenta ()],Estructura_Balance[Nivel 3],"",0)</f>
        <v/>
      </c>
      <c r="Q435" t="str">
        <f>_xlfn.XLOOKUP(Table3[[#This Row],[Cuenta]],Estructura_Balance[Nombre Cuenta ()],Estructura_Balance[Nivel 4],"",0)</f>
        <v/>
      </c>
      <c r="R435" s="154" t="str">
        <f>_xlfn.XLOOKUP(Table3[[#This Row],[Cuenta]],Table8[Nombre Cuenta ()],Table8[Nivel 1],"",0)</f>
        <v/>
      </c>
      <c r="S435" t="str">
        <f>_xlfn.XLOOKUP(Table3[[#This Row],[Cuenta]],Table8[Nombre Cuenta ()],Table8[Nivel 2],"",0)</f>
        <v/>
      </c>
      <c r="T435" t="str">
        <f>_xlfn.XLOOKUP(Table3[[#This Row],[Cuenta]],Table8[Nombre Cuenta ()],Table8[Nivel 3],"",0)</f>
        <v/>
      </c>
      <c r="U435">
        <v>841</v>
      </c>
      <c r="V435" t="str">
        <f>_xlfn.XLOOKUP(Table3[[#This Row],[Cuenta]],Estructura_Balance[Nombre Cuenta ()],Estructura_Balance[Niveles:2],"",0)</f>
        <v/>
      </c>
      <c r="W435" t="str">
        <f>_xlfn.XLOOKUP(Table3[[#This Row],[Cuenta]],Estructura_Balance[Nombre Cuenta ()],Estructura_Balance[Niveles:3],"",0)</f>
        <v/>
      </c>
      <c r="X435" t="str">
        <f>_xlfn.XLOOKUP(Table3[[#This Row],[Cuenta]],Estructura_Balance[Nombre Cuenta ()],Estructura_Balance[Grupos],"Grupo 1",0)</f>
        <v>Grupo 1</v>
      </c>
      <c r="Y435" t="str">
        <f>+Table3[[#This Row],[BS_Nivel_1]]</f>
        <v/>
      </c>
    </row>
    <row r="436" spans="1:25">
      <c r="A436">
        <f>+'Libro Diario'!F650</f>
        <v>0</v>
      </c>
      <c r="B436" s="144">
        <f>VALUE(IF(+'Libro Diario'!G650="","01/01/2025",+'Libro Diario'!G650))</f>
        <v>45658</v>
      </c>
      <c r="C436">
        <f>IF(ISNUMBER(+IF(IFERROR(VALUE(MID('Libro Diario'!C650,1,4)),0)&lt;&gt;0,'Libro Diario'!C650,0))=FALSE,'Libro Diario'!C650,0)</f>
        <v>0</v>
      </c>
      <c r="D436" s="145" t="str">
        <f>+'Libro Diario'!B650</f>
        <v>Asiento de Apertura</v>
      </c>
      <c r="E436" s="139" t="s">
        <v>445</v>
      </c>
      <c r="F436" t="str">
        <f t="shared" si="18"/>
        <v>Sin Mov.</v>
      </c>
      <c r="G436" t="str">
        <f>IF(+'Libro Diario'!H650=0,"",+'Libro Diario'!H650)</f>
        <v/>
      </c>
      <c r="H436" t="str">
        <f>IF(+'Libro Diario'!I650=0,"",+'Libro Diario'!I650)</f>
        <v/>
      </c>
      <c r="I436" t="str">
        <f>+IF(Table3[[#This Row],[Tipo Movimiento]]="Estructura Balance y PyG","Excluir","Incluir")</f>
        <v>Incluir</v>
      </c>
      <c r="J436" s="153">
        <f>+IF(Table3[[#This Row],[Sin cuenta]]="Con Mov.",(IF(Table3[[#This Row],[Movimiento]]="Debe",Table3[[#This Row],[Importe]],IF(Table3[[#This Row],[Movimiento]]="Haber",Table3[[#This Row],[Importe]]*-1,0))),0)</f>
        <v>0</v>
      </c>
      <c r="K436" s="145" t="str">
        <f t="shared" si="19"/>
        <v>Asiento de Apertura</v>
      </c>
      <c r="L436" s="145" t="str">
        <f t="shared" si="20"/>
        <v/>
      </c>
      <c r="M436" t="str">
        <f>_xlfn.XLOOKUP(Table3[[#This Row],[Cuenta]],Estructura_Balance[Nombre Cuenta ()],Estructura_Balance[Grupo],"",0)</f>
        <v/>
      </c>
      <c r="N436" t="str">
        <f>_xlfn.XLOOKUP(Table3[[#This Row],[Cuenta]],Estructura_Balance[Nombre Cuenta ()],Estructura_Balance[Nivel 1],"",0)</f>
        <v/>
      </c>
      <c r="O436" t="str">
        <f>_xlfn.XLOOKUP(Table3[[#This Row],[Cuenta]],Estructura_Balance[Nombre Cuenta ()],Estructura_Balance[Nivel 2],"",0)</f>
        <v/>
      </c>
      <c r="P436" t="str">
        <f>_xlfn.XLOOKUP(Table3[[#This Row],[Cuenta]],Estructura_Balance[Nombre Cuenta ()],Estructura_Balance[Nivel 3],"",0)</f>
        <v/>
      </c>
      <c r="Q436" t="str">
        <f>_xlfn.XLOOKUP(Table3[[#This Row],[Cuenta]],Estructura_Balance[Nombre Cuenta ()],Estructura_Balance[Nivel 4],"",0)</f>
        <v/>
      </c>
      <c r="R436" t="str">
        <f>_xlfn.XLOOKUP(Table3[[#This Row],[Cuenta]],Table8[Nombre Cuenta ()],Table8[Nivel 1],"",0)</f>
        <v/>
      </c>
      <c r="S436" t="str">
        <f>_xlfn.XLOOKUP(Table3[[#This Row],[Cuenta]],Table8[Nombre Cuenta ()],Table8[Nivel 2],"",0)</f>
        <v/>
      </c>
      <c r="T436" t="str">
        <f>_xlfn.XLOOKUP(Table3[[#This Row],[Cuenta]],Table8[Nombre Cuenta ()],Table8[Nivel 3],"",0)</f>
        <v/>
      </c>
      <c r="U436">
        <v>842</v>
      </c>
      <c r="V436" t="str">
        <f>_xlfn.XLOOKUP(Table3[[#This Row],[Cuenta]],Estructura_Balance[Nombre Cuenta ()],Estructura_Balance[Niveles:2],"",0)</f>
        <v/>
      </c>
      <c r="W436" t="str">
        <f>_xlfn.XLOOKUP(Table3[[#This Row],[Cuenta]],Estructura_Balance[Nombre Cuenta ()],Estructura_Balance[Niveles:3],"",0)</f>
        <v/>
      </c>
      <c r="X436" t="str">
        <f>_xlfn.XLOOKUP(Table3[[#This Row],[Cuenta]],Estructura_Balance[Nombre Cuenta ()],Estructura_Balance[Grupos],"Grupo 1",0)</f>
        <v>Grupo 1</v>
      </c>
      <c r="Y436" t="str">
        <f>+Table3[[#This Row],[BS_Nivel_1]]</f>
        <v/>
      </c>
    </row>
    <row r="437" spans="1:25">
      <c r="A437">
        <f>+'Libro Diario'!F651</f>
        <v>0</v>
      </c>
      <c r="B437" s="144">
        <f>VALUE(IF(+'Libro Diario'!G651="","01/01/2025",+'Libro Diario'!G651))</f>
        <v>45658</v>
      </c>
      <c r="C437">
        <f>IF(ISNUMBER(+IF(IFERROR(VALUE(MID('Libro Diario'!C651,1,4)),0)&lt;&gt;0,'Libro Diario'!C651,0))=FALSE,'Libro Diario'!C651,0)</f>
        <v>0</v>
      </c>
      <c r="D437" s="145" t="str">
        <f>+'Libro Diario'!B651</f>
        <v>Asiento Cuadrado</v>
      </c>
      <c r="E437" s="139" t="s">
        <v>445</v>
      </c>
      <c r="F437" t="str">
        <f t="shared" si="18"/>
        <v>Sin Mov.</v>
      </c>
      <c r="G437" t="str">
        <f>IF(+'Libro Diario'!H651=0,"",+'Libro Diario'!H651)</f>
        <v/>
      </c>
      <c r="H437" t="str">
        <f>IF(+'Libro Diario'!I651=0,"",+'Libro Diario'!I651)</f>
        <v/>
      </c>
      <c r="I437" t="str">
        <f>+IF(Table3[[#This Row],[Tipo Movimiento]]="Estructura Balance y PyG","Excluir","Incluir")</f>
        <v>Incluir</v>
      </c>
      <c r="J437" s="153">
        <f>+IF(Table3[[#This Row],[Sin cuenta]]="Con Mov.",(IF(Table3[[#This Row],[Movimiento]]="Debe",Table3[[#This Row],[Importe]],IF(Table3[[#This Row],[Movimiento]]="Haber",Table3[[#This Row],[Importe]]*-1,0))),0)</f>
        <v>0</v>
      </c>
      <c r="K437" s="145" t="str">
        <f t="shared" si="19"/>
        <v>Asiento Cuadrado</v>
      </c>
      <c r="L437" s="145" t="str">
        <f t="shared" si="20"/>
        <v/>
      </c>
      <c r="M437" t="str">
        <f>_xlfn.XLOOKUP(Table3[[#This Row],[Cuenta]],Estructura_Balance[Nombre Cuenta ()],Estructura_Balance[Grupo],"",0)</f>
        <v/>
      </c>
      <c r="N437" t="str">
        <f>_xlfn.XLOOKUP(Table3[[#This Row],[Cuenta]],Estructura_Balance[Nombre Cuenta ()],Estructura_Balance[Nivel 1],"",0)</f>
        <v/>
      </c>
      <c r="O437" t="str">
        <f>_xlfn.XLOOKUP(Table3[[#This Row],[Cuenta]],Estructura_Balance[Nombre Cuenta ()],Estructura_Balance[Nivel 2],"",0)</f>
        <v/>
      </c>
      <c r="P437" t="str">
        <f>_xlfn.XLOOKUP(Table3[[#This Row],[Cuenta]],Estructura_Balance[Nombre Cuenta ()],Estructura_Balance[Nivel 3],"",0)</f>
        <v/>
      </c>
      <c r="Q437" t="str">
        <f>_xlfn.XLOOKUP(Table3[[#This Row],[Cuenta]],Estructura_Balance[Nombre Cuenta ()],Estructura_Balance[Nivel 4],"",0)</f>
        <v/>
      </c>
      <c r="R437" s="154" t="str">
        <f>_xlfn.XLOOKUP(Table3[[#This Row],[Cuenta]],Table8[Nombre Cuenta ()],Table8[Nivel 1],"",0)</f>
        <v/>
      </c>
      <c r="S437" t="str">
        <f>_xlfn.XLOOKUP(Table3[[#This Row],[Cuenta]],Table8[Nombre Cuenta ()],Table8[Nivel 2],"",0)</f>
        <v/>
      </c>
      <c r="T437" t="str">
        <f>_xlfn.XLOOKUP(Table3[[#This Row],[Cuenta]],Table8[Nombre Cuenta ()],Table8[Nivel 3],"",0)</f>
        <v/>
      </c>
      <c r="U437">
        <v>843</v>
      </c>
      <c r="V437" t="str">
        <f>_xlfn.XLOOKUP(Table3[[#This Row],[Cuenta]],Estructura_Balance[Nombre Cuenta ()],Estructura_Balance[Niveles:2],"",0)</f>
        <v/>
      </c>
      <c r="W437" t="str">
        <f>_xlfn.XLOOKUP(Table3[[#This Row],[Cuenta]],Estructura_Balance[Nombre Cuenta ()],Estructura_Balance[Niveles:3],"",0)</f>
        <v/>
      </c>
      <c r="X437" t="str">
        <f>_xlfn.XLOOKUP(Table3[[#This Row],[Cuenta]],Estructura_Balance[Nombre Cuenta ()],Estructura_Balance[Grupos],"Grupo 1",0)</f>
        <v>Grupo 1</v>
      </c>
      <c r="Y437" t="str">
        <f>+Table3[[#This Row],[BS_Nivel_1]]</f>
        <v/>
      </c>
    </row>
    <row r="438" spans="1:25">
      <c r="A438">
        <f>+'Libro Diario'!F652</f>
        <v>0</v>
      </c>
      <c r="B438" s="144">
        <f>VALUE(IF(+'Libro Diario'!G652="","01/01/2025",+'Libro Diario'!G652))</f>
        <v>45658</v>
      </c>
      <c r="C438">
        <f>IF(ISNUMBER(+IF(IFERROR(VALUE(MID('Libro Diario'!C652,1,4)),0)&lt;&gt;0,'Libro Diario'!C652,0))=FALSE,'Libro Diario'!C652,0)</f>
        <v>0</v>
      </c>
      <c r="D438" s="145">
        <f>+'Libro Diario'!B652</f>
        <v>0</v>
      </c>
      <c r="E438" s="139" t="s">
        <v>445</v>
      </c>
      <c r="F438" t="str">
        <f t="shared" si="18"/>
        <v>Sin Mov.</v>
      </c>
      <c r="G438" t="str">
        <f>IF(+'Libro Diario'!H652=0,"",+'Libro Diario'!H652)</f>
        <v/>
      </c>
      <c r="H438" t="str">
        <f>IF(+'Libro Diario'!I652=0,"",+'Libro Diario'!I652)</f>
        <v/>
      </c>
      <c r="I438" t="str">
        <f>+IF(Table3[[#This Row],[Tipo Movimiento]]="Estructura Balance y PyG","Excluir","Incluir")</f>
        <v>Incluir</v>
      </c>
      <c r="J438" s="153">
        <f>+IF(Table3[[#This Row],[Sin cuenta]]="Con Mov.",(IF(Table3[[#This Row],[Movimiento]]="Debe",Table3[[#This Row],[Importe]],IF(Table3[[#This Row],[Movimiento]]="Haber",Table3[[#This Row],[Importe]]*-1,0))),0)</f>
        <v>0</v>
      </c>
      <c r="K438" s="145">
        <f t="shared" si="19"/>
        <v>0</v>
      </c>
      <c r="L438" s="145" t="str">
        <f t="shared" si="20"/>
        <v/>
      </c>
      <c r="M438" t="str">
        <f>_xlfn.XLOOKUP(Table3[[#This Row],[Cuenta]],Estructura_Balance[Nombre Cuenta ()],Estructura_Balance[Grupo],"",0)</f>
        <v/>
      </c>
      <c r="N438" t="str">
        <f>_xlfn.XLOOKUP(Table3[[#This Row],[Cuenta]],Estructura_Balance[Nombre Cuenta ()],Estructura_Balance[Nivel 1],"",0)</f>
        <v/>
      </c>
      <c r="O438" t="str">
        <f>_xlfn.XLOOKUP(Table3[[#This Row],[Cuenta]],Estructura_Balance[Nombre Cuenta ()],Estructura_Balance[Nivel 2],"",0)</f>
        <v/>
      </c>
      <c r="P438" t="str">
        <f>_xlfn.XLOOKUP(Table3[[#This Row],[Cuenta]],Estructura_Balance[Nombre Cuenta ()],Estructura_Balance[Nivel 3],"",0)</f>
        <v/>
      </c>
      <c r="Q438" t="str">
        <f>_xlfn.XLOOKUP(Table3[[#This Row],[Cuenta]],Estructura_Balance[Nombre Cuenta ()],Estructura_Balance[Nivel 4],"",0)</f>
        <v/>
      </c>
      <c r="R438" t="str">
        <f>_xlfn.XLOOKUP(Table3[[#This Row],[Cuenta]],Table8[Nombre Cuenta ()],Table8[Nivel 1],"",0)</f>
        <v/>
      </c>
      <c r="S438" t="str">
        <f>_xlfn.XLOOKUP(Table3[[#This Row],[Cuenta]],Table8[Nombre Cuenta ()],Table8[Nivel 2],"",0)</f>
        <v/>
      </c>
      <c r="T438" t="str">
        <f>_xlfn.XLOOKUP(Table3[[#This Row],[Cuenta]],Table8[Nombre Cuenta ()],Table8[Nivel 3],"",0)</f>
        <v/>
      </c>
      <c r="U438">
        <v>844</v>
      </c>
      <c r="V438" t="str">
        <f>_xlfn.XLOOKUP(Table3[[#This Row],[Cuenta]],Estructura_Balance[Nombre Cuenta ()],Estructura_Balance[Niveles:2],"",0)</f>
        <v/>
      </c>
      <c r="W438" t="str">
        <f>_xlfn.XLOOKUP(Table3[[#This Row],[Cuenta]],Estructura_Balance[Nombre Cuenta ()],Estructura_Balance[Niveles:3],"",0)</f>
        <v/>
      </c>
      <c r="X438" t="str">
        <f>_xlfn.XLOOKUP(Table3[[#This Row],[Cuenta]],Estructura_Balance[Nombre Cuenta ()],Estructura_Balance[Grupos],"Grupo 1",0)</f>
        <v>Grupo 1</v>
      </c>
      <c r="Y438" t="str">
        <f>+Table3[[#This Row],[BS_Nivel_1]]</f>
        <v/>
      </c>
    </row>
    <row r="439" spans="1:25">
      <c r="A439">
        <f>+'Libro Diario'!F653</f>
        <v>0</v>
      </c>
      <c r="B439" s="144">
        <f>VALUE(IF(+'Libro Diario'!G653="","01/01/2025",+'Libro Diario'!G653))</f>
        <v>45658</v>
      </c>
      <c r="C439">
        <f>IF(ISNUMBER(+IF(IFERROR(VALUE(MID('Libro Diario'!C653,1,4)),0)&lt;&gt;0,'Libro Diario'!C653,0))=FALSE,'Libro Diario'!C653,0)</f>
        <v>0</v>
      </c>
      <c r="D439" s="145" t="str">
        <f>+'Libro Diario'!B653</f>
        <v>DEBE</v>
      </c>
      <c r="E439" s="139" t="s">
        <v>445</v>
      </c>
      <c r="F439" t="str">
        <f t="shared" si="18"/>
        <v>Sin Mov.</v>
      </c>
      <c r="G439" t="str">
        <f>IF(+'Libro Diario'!H653=0,"",+'Libro Diario'!H653)</f>
        <v/>
      </c>
      <c r="H439" t="str">
        <f>IF(+'Libro Diario'!I653=0,"",+'Libro Diario'!I653)</f>
        <v/>
      </c>
      <c r="I439" t="str">
        <f>+IF(Table3[[#This Row],[Tipo Movimiento]]="Estructura Balance y PyG","Excluir","Incluir")</f>
        <v>Incluir</v>
      </c>
      <c r="J439" s="153">
        <f>+IF(Table3[[#This Row],[Sin cuenta]]="Con Mov.",(IF(Table3[[#This Row],[Movimiento]]="Debe",Table3[[#This Row],[Importe]],IF(Table3[[#This Row],[Movimiento]]="Haber",Table3[[#This Row],[Importe]]*-1,0))),0)</f>
        <v>0</v>
      </c>
      <c r="K439" s="145" t="str">
        <f t="shared" si="19"/>
        <v>DEBE</v>
      </c>
      <c r="L439" s="145" t="str">
        <f t="shared" si="20"/>
        <v/>
      </c>
      <c r="M439" t="str">
        <f>_xlfn.XLOOKUP(Table3[[#This Row],[Cuenta]],Estructura_Balance[Nombre Cuenta ()],Estructura_Balance[Grupo],"",0)</f>
        <v/>
      </c>
      <c r="N439" t="str">
        <f>_xlfn.XLOOKUP(Table3[[#This Row],[Cuenta]],Estructura_Balance[Nombre Cuenta ()],Estructura_Balance[Nivel 1],"",0)</f>
        <v/>
      </c>
      <c r="O439" t="str">
        <f>_xlfn.XLOOKUP(Table3[[#This Row],[Cuenta]],Estructura_Balance[Nombre Cuenta ()],Estructura_Balance[Nivel 2],"",0)</f>
        <v/>
      </c>
      <c r="P439" t="str">
        <f>_xlfn.XLOOKUP(Table3[[#This Row],[Cuenta]],Estructura_Balance[Nombre Cuenta ()],Estructura_Balance[Nivel 3],"",0)</f>
        <v/>
      </c>
      <c r="Q439" t="str">
        <f>_xlfn.XLOOKUP(Table3[[#This Row],[Cuenta]],Estructura_Balance[Nombre Cuenta ()],Estructura_Balance[Nivel 4],"",0)</f>
        <v/>
      </c>
      <c r="R439" s="154" t="str">
        <f>_xlfn.XLOOKUP(Table3[[#This Row],[Cuenta]],Table8[Nombre Cuenta ()],Table8[Nivel 1],"",0)</f>
        <v/>
      </c>
      <c r="S439" t="str">
        <f>_xlfn.XLOOKUP(Table3[[#This Row],[Cuenta]],Table8[Nombre Cuenta ()],Table8[Nivel 2],"",0)</f>
        <v/>
      </c>
      <c r="T439" t="str">
        <f>_xlfn.XLOOKUP(Table3[[#This Row],[Cuenta]],Table8[Nombre Cuenta ()],Table8[Nivel 3],"",0)</f>
        <v/>
      </c>
      <c r="U439">
        <v>845</v>
      </c>
      <c r="V439" t="str">
        <f>_xlfn.XLOOKUP(Table3[[#This Row],[Cuenta]],Estructura_Balance[Nombre Cuenta ()],Estructura_Balance[Niveles:2],"",0)</f>
        <v/>
      </c>
      <c r="W439" t="str">
        <f>_xlfn.XLOOKUP(Table3[[#This Row],[Cuenta]],Estructura_Balance[Nombre Cuenta ()],Estructura_Balance[Niveles:3],"",0)</f>
        <v/>
      </c>
      <c r="X439" t="str">
        <f>_xlfn.XLOOKUP(Table3[[#This Row],[Cuenta]],Estructura_Balance[Nombre Cuenta ()],Estructura_Balance[Grupos],"Grupo 1",0)</f>
        <v>Grupo 1</v>
      </c>
      <c r="Y439" t="str">
        <f>+Table3[[#This Row],[BS_Nivel_1]]</f>
        <v/>
      </c>
    </row>
    <row r="440" spans="1:25">
      <c r="A440">
        <f>+'Libro Diario'!F654</f>
        <v>0</v>
      </c>
      <c r="B440" s="144">
        <f>VALUE(IF(+'Libro Diario'!G654="","01/01/2025",+'Libro Diario'!G654))</f>
        <v>45658</v>
      </c>
      <c r="C440">
        <f>IF(ISNUMBER(+IF(IFERROR(VALUE(MID('Libro Diario'!C654,1,4)),0)&lt;&gt;0,'Libro Diario'!C654,0))=FALSE,'Libro Diario'!C654,0)</f>
        <v>0</v>
      </c>
      <c r="D440" s="145">
        <f>+'Libro Diario'!B654</f>
        <v>0</v>
      </c>
      <c r="E440" s="139" t="s">
        <v>445</v>
      </c>
      <c r="F440" t="str">
        <f t="shared" si="18"/>
        <v>Sin Mov.</v>
      </c>
      <c r="G440" t="str">
        <f>IF(+'Libro Diario'!H654=0,"",+'Libro Diario'!H654)</f>
        <v/>
      </c>
      <c r="H440" t="str">
        <f>IF(+'Libro Diario'!I654=0,"",+'Libro Diario'!I654)</f>
        <v/>
      </c>
      <c r="I440" t="str">
        <f>+IF(Table3[[#This Row],[Tipo Movimiento]]="Estructura Balance y PyG","Excluir","Incluir")</f>
        <v>Incluir</v>
      </c>
      <c r="J440" s="153">
        <f>+IF(Table3[[#This Row],[Sin cuenta]]="Con Mov.",(IF(Table3[[#This Row],[Movimiento]]="Debe",Table3[[#This Row],[Importe]],IF(Table3[[#This Row],[Movimiento]]="Haber",Table3[[#This Row],[Importe]]*-1,0))),0)</f>
        <v>0</v>
      </c>
      <c r="K440" s="145">
        <f t="shared" si="19"/>
        <v>0</v>
      </c>
      <c r="L440" s="145" t="str">
        <f t="shared" si="20"/>
        <v/>
      </c>
      <c r="M440" t="str">
        <f>_xlfn.XLOOKUP(Table3[[#This Row],[Cuenta]],Estructura_Balance[Nombre Cuenta ()],Estructura_Balance[Grupo],"",0)</f>
        <v/>
      </c>
      <c r="N440" t="str">
        <f>_xlfn.XLOOKUP(Table3[[#This Row],[Cuenta]],Estructura_Balance[Nombre Cuenta ()],Estructura_Balance[Nivel 1],"",0)</f>
        <v/>
      </c>
      <c r="O440" t="str">
        <f>_xlfn.XLOOKUP(Table3[[#This Row],[Cuenta]],Estructura_Balance[Nombre Cuenta ()],Estructura_Balance[Nivel 2],"",0)</f>
        <v/>
      </c>
      <c r="P440" t="str">
        <f>_xlfn.XLOOKUP(Table3[[#This Row],[Cuenta]],Estructura_Balance[Nombre Cuenta ()],Estructura_Balance[Nivel 3],"",0)</f>
        <v/>
      </c>
      <c r="Q440" t="str">
        <f>_xlfn.XLOOKUP(Table3[[#This Row],[Cuenta]],Estructura_Balance[Nombre Cuenta ()],Estructura_Balance[Nivel 4],"",0)</f>
        <v/>
      </c>
      <c r="R440" t="str">
        <f>_xlfn.XLOOKUP(Table3[[#This Row],[Cuenta]],Table8[Nombre Cuenta ()],Table8[Nivel 1],"",0)</f>
        <v/>
      </c>
      <c r="S440" t="str">
        <f>_xlfn.XLOOKUP(Table3[[#This Row],[Cuenta]],Table8[Nombre Cuenta ()],Table8[Nivel 2],"",0)</f>
        <v/>
      </c>
      <c r="T440" t="str">
        <f>_xlfn.XLOOKUP(Table3[[#This Row],[Cuenta]],Table8[Nombre Cuenta ()],Table8[Nivel 3],"",0)</f>
        <v/>
      </c>
      <c r="U440">
        <v>846</v>
      </c>
      <c r="V440" t="str">
        <f>_xlfn.XLOOKUP(Table3[[#This Row],[Cuenta]],Estructura_Balance[Nombre Cuenta ()],Estructura_Balance[Niveles:2],"",0)</f>
        <v/>
      </c>
      <c r="W440" t="str">
        <f>_xlfn.XLOOKUP(Table3[[#This Row],[Cuenta]],Estructura_Balance[Nombre Cuenta ()],Estructura_Balance[Niveles:3],"",0)</f>
        <v/>
      </c>
      <c r="X440" t="str">
        <f>_xlfn.XLOOKUP(Table3[[#This Row],[Cuenta]],Estructura_Balance[Nombre Cuenta ()],Estructura_Balance[Grupos],"Grupo 1",0)</f>
        <v>Grupo 1</v>
      </c>
      <c r="Y440" t="str">
        <f>+Table3[[#This Row],[BS_Nivel_1]]</f>
        <v/>
      </c>
    </row>
    <row r="441" spans="1:25">
      <c r="A441">
        <f>+'Libro Diario'!F655</f>
        <v>76</v>
      </c>
      <c r="B441" s="144">
        <f>VALUE(IF(+'Libro Diario'!G655="","01/01/2025",+'Libro Diario'!G655))</f>
        <v>0</v>
      </c>
      <c r="C441">
        <f>IF(ISNUMBER(+IF(IFERROR(VALUE(MID('Libro Diario'!C655,1,4)),0)&lt;&gt;0,'Libro Diario'!C655,0))=FALSE,'Libro Diario'!C655,0)</f>
        <v>0</v>
      </c>
      <c r="D441" s="145">
        <f>+'Libro Diario'!B655</f>
        <v>0</v>
      </c>
      <c r="E441" s="139" t="s">
        <v>445</v>
      </c>
      <c r="F441" t="str">
        <f t="shared" si="18"/>
        <v>Sin Mov.</v>
      </c>
      <c r="G441" t="str">
        <f>IF(+'Libro Diario'!H655=0,"",+'Libro Diario'!H655)</f>
        <v>Determinación de Resultado Contable</v>
      </c>
      <c r="H441" t="str">
        <f>IF(+'Libro Diario'!I655=0,"",+'Libro Diario'!I655)</f>
        <v/>
      </c>
      <c r="I441" t="str">
        <f>+IF(Table3[[#This Row],[Tipo Movimiento]]="Estructura Balance y PyG","Excluir","Incluir")</f>
        <v>Incluir</v>
      </c>
      <c r="J441" s="153">
        <f>+IF(Table3[[#This Row],[Sin cuenta]]="Con Mov.",(IF(Table3[[#This Row],[Movimiento]]="Debe",Table3[[#This Row],[Importe]],IF(Table3[[#This Row],[Movimiento]]="Haber",Table3[[#This Row],[Importe]]*-1,0))),0)</f>
        <v>0</v>
      </c>
      <c r="K441" s="145">
        <f t="shared" si="19"/>
        <v>0</v>
      </c>
      <c r="L441" s="145" t="str">
        <f t="shared" si="20"/>
        <v/>
      </c>
      <c r="M441" t="str">
        <f>_xlfn.XLOOKUP(Table3[[#This Row],[Cuenta]],Estructura_Balance[Nombre Cuenta ()],Estructura_Balance[Grupo],"",0)</f>
        <v/>
      </c>
      <c r="N441" t="str">
        <f>_xlfn.XLOOKUP(Table3[[#This Row],[Cuenta]],Estructura_Balance[Nombre Cuenta ()],Estructura_Balance[Nivel 1],"",0)</f>
        <v/>
      </c>
      <c r="O441" t="str">
        <f>_xlfn.XLOOKUP(Table3[[#This Row],[Cuenta]],Estructura_Balance[Nombre Cuenta ()],Estructura_Balance[Nivel 2],"",0)</f>
        <v/>
      </c>
      <c r="P441" t="str">
        <f>_xlfn.XLOOKUP(Table3[[#This Row],[Cuenta]],Estructura_Balance[Nombre Cuenta ()],Estructura_Balance[Nivel 3],"",0)</f>
        <v/>
      </c>
      <c r="Q441" t="str">
        <f>_xlfn.XLOOKUP(Table3[[#This Row],[Cuenta]],Estructura_Balance[Nombre Cuenta ()],Estructura_Balance[Nivel 4],"",0)</f>
        <v/>
      </c>
      <c r="R441" s="154" t="str">
        <f>_xlfn.XLOOKUP(Table3[[#This Row],[Cuenta]],Table8[Nombre Cuenta ()],Table8[Nivel 1],"",0)</f>
        <v/>
      </c>
      <c r="S441" t="str">
        <f>_xlfn.XLOOKUP(Table3[[#This Row],[Cuenta]],Table8[Nombre Cuenta ()],Table8[Nivel 2],"",0)</f>
        <v/>
      </c>
      <c r="T441" t="str">
        <f>_xlfn.XLOOKUP(Table3[[#This Row],[Cuenta]],Table8[Nombre Cuenta ()],Table8[Nivel 3],"",0)</f>
        <v/>
      </c>
      <c r="U441">
        <v>847</v>
      </c>
      <c r="V441" t="str">
        <f>_xlfn.XLOOKUP(Table3[[#This Row],[Cuenta]],Estructura_Balance[Nombre Cuenta ()],Estructura_Balance[Niveles:2],"",0)</f>
        <v/>
      </c>
      <c r="W441" t="str">
        <f>_xlfn.XLOOKUP(Table3[[#This Row],[Cuenta]],Estructura_Balance[Nombre Cuenta ()],Estructura_Balance[Niveles:3],"",0)</f>
        <v/>
      </c>
      <c r="X441" t="str">
        <f>_xlfn.XLOOKUP(Table3[[#This Row],[Cuenta]],Estructura_Balance[Nombre Cuenta ()],Estructura_Balance[Grupos],"Grupo 1",0)</f>
        <v>Grupo 1</v>
      </c>
      <c r="Y441" t="str">
        <f>+Table3[[#This Row],[BS_Nivel_1]]</f>
        <v/>
      </c>
    </row>
    <row r="442" spans="1:25">
      <c r="A442">
        <f>+'Libro Diario'!F656</f>
        <v>76</v>
      </c>
      <c r="B442" s="144">
        <f>VALUE(IF(+'Libro Diario'!G656="","01/01/2025",+'Libro Diario'!G656))</f>
        <v>0</v>
      </c>
      <c r="C442">
        <f>IF(ISNUMBER(+IF(IFERROR(VALUE(MID('Libro Diario'!C656,1,4)),0)&lt;&gt;0,'Libro Diario'!C656,0))=FALSE,'Libro Diario'!C656,0)</f>
        <v>0</v>
      </c>
      <c r="D442" s="145">
        <f>+'Libro Diario'!B656</f>
        <v>0</v>
      </c>
      <c r="E442" s="139" t="s">
        <v>445</v>
      </c>
      <c r="F442" t="str">
        <f t="shared" si="18"/>
        <v>Sin Mov.</v>
      </c>
      <c r="G442" t="str">
        <f>IF(+'Libro Diario'!H656=0,"",+'Libro Diario'!H656)</f>
        <v>Determinación de Resultado Contable</v>
      </c>
      <c r="H442" t="str">
        <f>IF(+'Libro Diario'!I656=0,"",+'Libro Diario'!I656)</f>
        <v/>
      </c>
      <c r="I442" t="str">
        <f>+IF(Table3[[#This Row],[Tipo Movimiento]]="Estructura Balance y PyG","Excluir","Incluir")</f>
        <v>Incluir</v>
      </c>
      <c r="J442" s="153">
        <f>+IF(Table3[[#This Row],[Sin cuenta]]="Con Mov.",(IF(Table3[[#This Row],[Movimiento]]="Debe",Table3[[#This Row],[Importe]],IF(Table3[[#This Row],[Movimiento]]="Haber",Table3[[#This Row],[Importe]]*-1,0))),0)</f>
        <v>0</v>
      </c>
      <c r="K442" s="145">
        <f t="shared" si="19"/>
        <v>0</v>
      </c>
      <c r="L442" s="145" t="str">
        <f t="shared" si="20"/>
        <v/>
      </c>
      <c r="M442" t="str">
        <f>_xlfn.XLOOKUP(Table3[[#This Row],[Cuenta]],Estructura_Balance[Nombre Cuenta ()],Estructura_Balance[Grupo],"",0)</f>
        <v/>
      </c>
      <c r="N442" t="str">
        <f>_xlfn.XLOOKUP(Table3[[#This Row],[Cuenta]],Estructura_Balance[Nombre Cuenta ()],Estructura_Balance[Nivel 1],"",0)</f>
        <v/>
      </c>
      <c r="O442" t="str">
        <f>_xlfn.XLOOKUP(Table3[[#This Row],[Cuenta]],Estructura_Balance[Nombre Cuenta ()],Estructura_Balance[Nivel 2],"",0)</f>
        <v/>
      </c>
      <c r="P442" t="str">
        <f>_xlfn.XLOOKUP(Table3[[#This Row],[Cuenta]],Estructura_Balance[Nombre Cuenta ()],Estructura_Balance[Nivel 3],"",0)</f>
        <v/>
      </c>
      <c r="Q442" t="str">
        <f>_xlfn.XLOOKUP(Table3[[#This Row],[Cuenta]],Estructura_Balance[Nombre Cuenta ()],Estructura_Balance[Nivel 4],"",0)</f>
        <v/>
      </c>
      <c r="R442" t="str">
        <f>_xlfn.XLOOKUP(Table3[[#This Row],[Cuenta]],Table8[Nombre Cuenta ()],Table8[Nivel 1],"",0)</f>
        <v/>
      </c>
      <c r="S442" t="str">
        <f>_xlfn.XLOOKUP(Table3[[#This Row],[Cuenta]],Table8[Nombre Cuenta ()],Table8[Nivel 2],"",0)</f>
        <v/>
      </c>
      <c r="T442" t="str">
        <f>_xlfn.XLOOKUP(Table3[[#This Row],[Cuenta]],Table8[Nombre Cuenta ()],Table8[Nivel 3],"",0)</f>
        <v/>
      </c>
      <c r="U442">
        <v>848</v>
      </c>
      <c r="V442" t="str">
        <f>_xlfn.XLOOKUP(Table3[[#This Row],[Cuenta]],Estructura_Balance[Nombre Cuenta ()],Estructura_Balance[Niveles:2],"",0)</f>
        <v/>
      </c>
      <c r="W442" t="str">
        <f>_xlfn.XLOOKUP(Table3[[#This Row],[Cuenta]],Estructura_Balance[Nombre Cuenta ()],Estructura_Balance[Niveles:3],"",0)</f>
        <v/>
      </c>
      <c r="X442" t="str">
        <f>_xlfn.XLOOKUP(Table3[[#This Row],[Cuenta]],Estructura_Balance[Nombre Cuenta ()],Estructura_Balance[Grupos],"Grupo 1",0)</f>
        <v>Grupo 1</v>
      </c>
      <c r="Y442" t="str">
        <f>+Table3[[#This Row],[BS_Nivel_1]]</f>
        <v/>
      </c>
    </row>
    <row r="443" spans="1:25">
      <c r="A443">
        <f>+'Libro Diario'!F657</f>
        <v>0</v>
      </c>
      <c r="B443" s="144">
        <f>VALUE(IF(+'Libro Diario'!G657="","01/01/2025",+'Libro Diario'!G657))</f>
        <v>45658</v>
      </c>
      <c r="C443">
        <f>IF(ISNUMBER(+IF(IFERROR(VALUE(MID('Libro Diario'!C657,1,4)),0)&lt;&gt;0,'Libro Diario'!C657,0))=FALSE,'Libro Diario'!C657,0)</f>
        <v>0</v>
      </c>
      <c r="D443" s="145" t="str">
        <f>+'Libro Diario'!B657</f>
        <v>Determinación de Resultado Contable</v>
      </c>
      <c r="E443" s="139" t="s">
        <v>445</v>
      </c>
      <c r="F443" t="str">
        <f t="shared" si="18"/>
        <v>Sin Mov.</v>
      </c>
      <c r="G443" t="str">
        <f>IF(+'Libro Diario'!H657=0,"",+'Libro Diario'!H657)</f>
        <v/>
      </c>
      <c r="H443" t="str">
        <f>IF(+'Libro Diario'!I657=0,"",+'Libro Diario'!I657)</f>
        <v/>
      </c>
      <c r="I443" t="str">
        <f>+IF(Table3[[#This Row],[Tipo Movimiento]]="Estructura Balance y PyG","Excluir","Incluir")</f>
        <v>Incluir</v>
      </c>
      <c r="J443" s="153">
        <f>+IF(Table3[[#This Row],[Sin cuenta]]="Con Mov.",(IF(Table3[[#This Row],[Movimiento]]="Debe",Table3[[#This Row],[Importe]],IF(Table3[[#This Row],[Movimiento]]="Haber",Table3[[#This Row],[Importe]]*-1,0))),0)</f>
        <v>0</v>
      </c>
      <c r="K443" s="145" t="str">
        <f t="shared" si="19"/>
        <v>Determinación de Resultado Contable</v>
      </c>
      <c r="L443" s="145" t="str">
        <f t="shared" si="20"/>
        <v/>
      </c>
      <c r="M443" t="str">
        <f>_xlfn.XLOOKUP(Table3[[#This Row],[Cuenta]],Estructura_Balance[Nombre Cuenta ()],Estructura_Balance[Grupo],"",0)</f>
        <v/>
      </c>
      <c r="N443" t="str">
        <f>_xlfn.XLOOKUP(Table3[[#This Row],[Cuenta]],Estructura_Balance[Nombre Cuenta ()],Estructura_Balance[Nivel 1],"",0)</f>
        <v/>
      </c>
      <c r="O443" t="str">
        <f>_xlfn.XLOOKUP(Table3[[#This Row],[Cuenta]],Estructura_Balance[Nombre Cuenta ()],Estructura_Balance[Nivel 2],"",0)</f>
        <v/>
      </c>
      <c r="P443" t="str">
        <f>_xlfn.XLOOKUP(Table3[[#This Row],[Cuenta]],Estructura_Balance[Nombre Cuenta ()],Estructura_Balance[Nivel 3],"",0)</f>
        <v/>
      </c>
      <c r="Q443" t="str">
        <f>_xlfn.XLOOKUP(Table3[[#This Row],[Cuenta]],Estructura_Balance[Nombre Cuenta ()],Estructura_Balance[Nivel 4],"",0)</f>
        <v/>
      </c>
      <c r="R443" s="154" t="str">
        <f>_xlfn.XLOOKUP(Table3[[#This Row],[Cuenta]],Table8[Nombre Cuenta ()],Table8[Nivel 1],"",0)</f>
        <v/>
      </c>
      <c r="S443" t="str">
        <f>_xlfn.XLOOKUP(Table3[[#This Row],[Cuenta]],Table8[Nombre Cuenta ()],Table8[Nivel 2],"",0)</f>
        <v/>
      </c>
      <c r="T443" t="str">
        <f>_xlfn.XLOOKUP(Table3[[#This Row],[Cuenta]],Table8[Nombre Cuenta ()],Table8[Nivel 3],"",0)</f>
        <v/>
      </c>
      <c r="U443">
        <v>849</v>
      </c>
      <c r="V443" t="str">
        <f>_xlfn.XLOOKUP(Table3[[#This Row],[Cuenta]],Estructura_Balance[Nombre Cuenta ()],Estructura_Balance[Niveles:2],"",0)</f>
        <v/>
      </c>
      <c r="W443" t="str">
        <f>_xlfn.XLOOKUP(Table3[[#This Row],[Cuenta]],Estructura_Balance[Nombre Cuenta ()],Estructura_Balance[Niveles:3],"",0)</f>
        <v/>
      </c>
      <c r="X443" t="str">
        <f>_xlfn.XLOOKUP(Table3[[#This Row],[Cuenta]],Estructura_Balance[Nombre Cuenta ()],Estructura_Balance[Grupos],"Grupo 1",0)</f>
        <v>Grupo 1</v>
      </c>
      <c r="Y443" t="str">
        <f>+Table3[[#This Row],[BS_Nivel_1]]</f>
        <v/>
      </c>
    </row>
    <row r="444" spans="1:25">
      <c r="A444">
        <f>+'Libro Diario'!F658</f>
        <v>0</v>
      </c>
      <c r="B444" s="144">
        <f>VALUE(IF(+'Libro Diario'!G658="","01/01/2025",+'Libro Diario'!G658))</f>
        <v>45658</v>
      </c>
      <c r="C444">
        <f>IF(ISNUMBER(+IF(IFERROR(VALUE(MID('Libro Diario'!C658,1,4)),0)&lt;&gt;0,'Libro Diario'!C658,0))=FALSE,'Libro Diario'!C658,0)</f>
        <v>0</v>
      </c>
      <c r="D444" s="145" t="str">
        <f>+'Libro Diario'!B658</f>
        <v>Asiento Cuadrado</v>
      </c>
      <c r="E444" s="139" t="s">
        <v>445</v>
      </c>
      <c r="F444" t="str">
        <f t="shared" si="18"/>
        <v>Sin Mov.</v>
      </c>
      <c r="G444" t="str">
        <f>IF(+'Libro Diario'!H658=0,"",+'Libro Diario'!H658)</f>
        <v/>
      </c>
      <c r="H444" t="str">
        <f>IF(+'Libro Diario'!I658=0,"",+'Libro Diario'!I658)</f>
        <v/>
      </c>
      <c r="I444" t="str">
        <f>+IF(Table3[[#This Row],[Tipo Movimiento]]="Estructura Balance y PyG","Excluir","Incluir")</f>
        <v>Incluir</v>
      </c>
      <c r="J444" s="153">
        <f>+IF(Table3[[#This Row],[Sin cuenta]]="Con Mov.",(IF(Table3[[#This Row],[Movimiento]]="Debe",Table3[[#This Row],[Importe]],IF(Table3[[#This Row],[Movimiento]]="Haber",Table3[[#This Row],[Importe]]*-1,0))),0)</f>
        <v>0</v>
      </c>
      <c r="K444" s="145" t="str">
        <f t="shared" si="19"/>
        <v>Asiento Cuadrado</v>
      </c>
      <c r="L444" s="145" t="str">
        <f t="shared" si="20"/>
        <v/>
      </c>
      <c r="M444" t="str">
        <f>_xlfn.XLOOKUP(Table3[[#This Row],[Cuenta]],Estructura_Balance[Nombre Cuenta ()],Estructura_Balance[Grupo],"",0)</f>
        <v/>
      </c>
      <c r="N444" t="str">
        <f>_xlfn.XLOOKUP(Table3[[#This Row],[Cuenta]],Estructura_Balance[Nombre Cuenta ()],Estructura_Balance[Nivel 1],"",0)</f>
        <v/>
      </c>
      <c r="O444" t="str">
        <f>_xlfn.XLOOKUP(Table3[[#This Row],[Cuenta]],Estructura_Balance[Nombre Cuenta ()],Estructura_Balance[Nivel 2],"",0)</f>
        <v/>
      </c>
      <c r="P444" t="str">
        <f>_xlfn.XLOOKUP(Table3[[#This Row],[Cuenta]],Estructura_Balance[Nombre Cuenta ()],Estructura_Balance[Nivel 3],"",0)</f>
        <v/>
      </c>
      <c r="Q444" t="str">
        <f>_xlfn.XLOOKUP(Table3[[#This Row],[Cuenta]],Estructura_Balance[Nombre Cuenta ()],Estructura_Balance[Nivel 4],"",0)</f>
        <v/>
      </c>
      <c r="R444" t="str">
        <f>_xlfn.XLOOKUP(Table3[[#This Row],[Cuenta]],Table8[Nombre Cuenta ()],Table8[Nivel 1],"",0)</f>
        <v/>
      </c>
      <c r="S444" t="str">
        <f>_xlfn.XLOOKUP(Table3[[#This Row],[Cuenta]],Table8[Nombre Cuenta ()],Table8[Nivel 2],"",0)</f>
        <v/>
      </c>
      <c r="T444" t="str">
        <f>_xlfn.XLOOKUP(Table3[[#This Row],[Cuenta]],Table8[Nombre Cuenta ()],Table8[Nivel 3],"",0)</f>
        <v/>
      </c>
      <c r="U444">
        <v>850</v>
      </c>
      <c r="V444" t="str">
        <f>_xlfn.XLOOKUP(Table3[[#This Row],[Cuenta]],Estructura_Balance[Nombre Cuenta ()],Estructura_Balance[Niveles:2],"",0)</f>
        <v/>
      </c>
      <c r="W444" t="str">
        <f>_xlfn.XLOOKUP(Table3[[#This Row],[Cuenta]],Estructura_Balance[Nombre Cuenta ()],Estructura_Balance[Niveles:3],"",0)</f>
        <v/>
      </c>
      <c r="X444" t="str">
        <f>_xlfn.XLOOKUP(Table3[[#This Row],[Cuenta]],Estructura_Balance[Nombre Cuenta ()],Estructura_Balance[Grupos],"Grupo 1",0)</f>
        <v>Grupo 1</v>
      </c>
      <c r="Y444" t="str">
        <f>+Table3[[#This Row],[BS_Nivel_1]]</f>
        <v/>
      </c>
    </row>
    <row r="445" spans="1:25">
      <c r="A445">
        <f>+'Libro Diario'!F659</f>
        <v>0</v>
      </c>
      <c r="B445" s="144">
        <f>VALUE(IF(+'Libro Diario'!G659="","01/01/2025",+'Libro Diario'!G659))</f>
        <v>45658</v>
      </c>
      <c r="C445">
        <f>IF(ISNUMBER(+IF(IFERROR(VALUE(MID('Libro Diario'!C659,1,4)),0)&lt;&gt;0,'Libro Diario'!C659,0))=FALSE,'Libro Diario'!C659,0)</f>
        <v>0</v>
      </c>
      <c r="D445" s="145">
        <f>+'Libro Diario'!B659</f>
        <v>0</v>
      </c>
      <c r="E445" s="139" t="s">
        <v>445</v>
      </c>
      <c r="F445" t="str">
        <f t="shared" si="18"/>
        <v>Sin Mov.</v>
      </c>
      <c r="G445" t="str">
        <f>IF(+'Libro Diario'!H659=0,"",+'Libro Diario'!H659)</f>
        <v/>
      </c>
      <c r="H445" t="str">
        <f>IF(+'Libro Diario'!I659=0,"",+'Libro Diario'!I659)</f>
        <v/>
      </c>
      <c r="I445" t="str">
        <f>+IF(Table3[[#This Row],[Tipo Movimiento]]="Estructura Balance y PyG","Excluir","Incluir")</f>
        <v>Incluir</v>
      </c>
      <c r="J445" s="153">
        <f>+IF(Table3[[#This Row],[Sin cuenta]]="Con Mov.",(IF(Table3[[#This Row],[Movimiento]]="Debe",Table3[[#This Row],[Importe]],IF(Table3[[#This Row],[Movimiento]]="Haber",Table3[[#This Row],[Importe]]*-1,0))),0)</f>
        <v>0</v>
      </c>
      <c r="K445" s="145">
        <f t="shared" si="19"/>
        <v>0</v>
      </c>
      <c r="L445" s="145" t="str">
        <f t="shared" si="20"/>
        <v/>
      </c>
      <c r="M445" t="str">
        <f>_xlfn.XLOOKUP(Table3[[#This Row],[Cuenta]],Estructura_Balance[Nombre Cuenta ()],Estructura_Balance[Grupo],"",0)</f>
        <v/>
      </c>
      <c r="N445" t="str">
        <f>_xlfn.XLOOKUP(Table3[[#This Row],[Cuenta]],Estructura_Balance[Nombre Cuenta ()],Estructura_Balance[Nivel 1],"",0)</f>
        <v/>
      </c>
      <c r="O445" t="str">
        <f>_xlfn.XLOOKUP(Table3[[#This Row],[Cuenta]],Estructura_Balance[Nombre Cuenta ()],Estructura_Balance[Nivel 2],"",0)</f>
        <v/>
      </c>
      <c r="P445" t="str">
        <f>_xlfn.XLOOKUP(Table3[[#This Row],[Cuenta]],Estructura_Balance[Nombre Cuenta ()],Estructura_Balance[Nivel 3],"",0)</f>
        <v/>
      </c>
      <c r="Q445" t="str">
        <f>_xlfn.XLOOKUP(Table3[[#This Row],[Cuenta]],Estructura_Balance[Nombre Cuenta ()],Estructura_Balance[Nivel 4],"",0)</f>
        <v/>
      </c>
      <c r="R445" s="154" t="str">
        <f>_xlfn.XLOOKUP(Table3[[#This Row],[Cuenta]],Table8[Nombre Cuenta ()],Table8[Nivel 1],"",0)</f>
        <v/>
      </c>
      <c r="S445" t="str">
        <f>_xlfn.XLOOKUP(Table3[[#This Row],[Cuenta]],Table8[Nombre Cuenta ()],Table8[Nivel 2],"",0)</f>
        <v/>
      </c>
      <c r="T445" t="str">
        <f>_xlfn.XLOOKUP(Table3[[#This Row],[Cuenta]],Table8[Nombre Cuenta ()],Table8[Nivel 3],"",0)</f>
        <v/>
      </c>
      <c r="U445">
        <v>851</v>
      </c>
      <c r="V445" t="str">
        <f>_xlfn.XLOOKUP(Table3[[#This Row],[Cuenta]],Estructura_Balance[Nombre Cuenta ()],Estructura_Balance[Niveles:2],"",0)</f>
        <v/>
      </c>
      <c r="W445" t="str">
        <f>_xlfn.XLOOKUP(Table3[[#This Row],[Cuenta]],Estructura_Balance[Nombre Cuenta ()],Estructura_Balance[Niveles:3],"",0)</f>
        <v/>
      </c>
      <c r="X445" t="str">
        <f>_xlfn.XLOOKUP(Table3[[#This Row],[Cuenta]],Estructura_Balance[Nombre Cuenta ()],Estructura_Balance[Grupos],"Grupo 1",0)</f>
        <v>Grupo 1</v>
      </c>
      <c r="Y445" t="str">
        <f>+Table3[[#This Row],[BS_Nivel_1]]</f>
        <v/>
      </c>
    </row>
    <row r="446" spans="1:25">
      <c r="A446">
        <f>+'Libro Diario'!F660</f>
        <v>0</v>
      </c>
      <c r="B446" s="144">
        <f>VALUE(IF(+'Libro Diario'!G660="","01/01/2025",+'Libro Diario'!G660))</f>
        <v>45658</v>
      </c>
      <c r="C446">
        <f>IF(ISNUMBER(+IF(IFERROR(VALUE(MID('Libro Diario'!C660,1,4)),0)&lt;&gt;0,'Libro Diario'!C660,0))=FALSE,'Libro Diario'!C660,0)</f>
        <v>0</v>
      </c>
      <c r="D446" s="145" t="str">
        <f>+'Libro Diario'!B660</f>
        <v>DEBE</v>
      </c>
      <c r="E446" s="139" t="s">
        <v>445</v>
      </c>
      <c r="F446" t="str">
        <f t="shared" si="18"/>
        <v>Sin Mov.</v>
      </c>
      <c r="G446" t="str">
        <f>IF(+'Libro Diario'!H660=0,"",+'Libro Diario'!H660)</f>
        <v/>
      </c>
      <c r="H446" t="str">
        <f>IF(+'Libro Diario'!I660=0,"",+'Libro Diario'!I660)</f>
        <v/>
      </c>
      <c r="I446" t="str">
        <f>+IF(Table3[[#This Row],[Tipo Movimiento]]="Estructura Balance y PyG","Excluir","Incluir")</f>
        <v>Incluir</v>
      </c>
      <c r="J446" s="153">
        <f>+IF(Table3[[#This Row],[Sin cuenta]]="Con Mov.",(IF(Table3[[#This Row],[Movimiento]]="Debe",Table3[[#This Row],[Importe]],IF(Table3[[#This Row],[Movimiento]]="Haber",Table3[[#This Row],[Importe]]*-1,0))),0)</f>
        <v>0</v>
      </c>
      <c r="K446" s="145" t="str">
        <f t="shared" si="19"/>
        <v>DEBE</v>
      </c>
      <c r="L446" s="145" t="str">
        <f t="shared" si="20"/>
        <v/>
      </c>
      <c r="M446" t="str">
        <f>_xlfn.XLOOKUP(Table3[[#This Row],[Cuenta]],Estructura_Balance[Nombre Cuenta ()],Estructura_Balance[Grupo],"",0)</f>
        <v/>
      </c>
      <c r="N446" t="str">
        <f>_xlfn.XLOOKUP(Table3[[#This Row],[Cuenta]],Estructura_Balance[Nombre Cuenta ()],Estructura_Balance[Nivel 1],"",0)</f>
        <v/>
      </c>
      <c r="O446" t="str">
        <f>_xlfn.XLOOKUP(Table3[[#This Row],[Cuenta]],Estructura_Balance[Nombre Cuenta ()],Estructura_Balance[Nivel 2],"",0)</f>
        <v/>
      </c>
      <c r="P446" t="str">
        <f>_xlfn.XLOOKUP(Table3[[#This Row],[Cuenta]],Estructura_Balance[Nombre Cuenta ()],Estructura_Balance[Nivel 3],"",0)</f>
        <v/>
      </c>
      <c r="Q446" t="str">
        <f>_xlfn.XLOOKUP(Table3[[#This Row],[Cuenta]],Estructura_Balance[Nombre Cuenta ()],Estructura_Balance[Nivel 4],"",0)</f>
        <v/>
      </c>
      <c r="R446" t="str">
        <f>_xlfn.XLOOKUP(Table3[[#This Row],[Cuenta]],Table8[Nombre Cuenta ()],Table8[Nivel 1],"",0)</f>
        <v/>
      </c>
      <c r="S446" t="str">
        <f>_xlfn.XLOOKUP(Table3[[#This Row],[Cuenta]],Table8[Nombre Cuenta ()],Table8[Nivel 2],"",0)</f>
        <v/>
      </c>
      <c r="T446" t="str">
        <f>_xlfn.XLOOKUP(Table3[[#This Row],[Cuenta]],Table8[Nombre Cuenta ()],Table8[Nivel 3],"",0)</f>
        <v/>
      </c>
      <c r="U446">
        <v>852</v>
      </c>
      <c r="V446" t="str">
        <f>_xlfn.XLOOKUP(Table3[[#This Row],[Cuenta]],Estructura_Balance[Nombre Cuenta ()],Estructura_Balance[Niveles:2],"",0)</f>
        <v/>
      </c>
      <c r="W446" t="str">
        <f>_xlfn.XLOOKUP(Table3[[#This Row],[Cuenta]],Estructura_Balance[Nombre Cuenta ()],Estructura_Balance[Niveles:3],"",0)</f>
        <v/>
      </c>
      <c r="X446" t="str">
        <f>_xlfn.XLOOKUP(Table3[[#This Row],[Cuenta]],Estructura_Balance[Nombre Cuenta ()],Estructura_Balance[Grupos],"Grupo 1",0)</f>
        <v>Grupo 1</v>
      </c>
      <c r="Y446" t="str">
        <f>+Table3[[#This Row],[BS_Nivel_1]]</f>
        <v/>
      </c>
    </row>
    <row r="447" spans="1:25">
      <c r="A447">
        <f>+'Libro Diario'!F661</f>
        <v>0</v>
      </c>
      <c r="B447" s="144">
        <f>VALUE(IF(+'Libro Diario'!G661="","01/01/2025",+'Libro Diario'!G661))</f>
        <v>45658</v>
      </c>
      <c r="C447">
        <f>IF(ISNUMBER(+IF(IFERROR(VALUE(MID('Libro Diario'!C661,1,4)),0)&lt;&gt;0,'Libro Diario'!C661,0))=FALSE,'Libro Diario'!C661,0)</f>
        <v>0</v>
      </c>
      <c r="D447" s="145">
        <f>+'Libro Diario'!B661</f>
        <v>0</v>
      </c>
      <c r="E447" s="139" t="s">
        <v>445</v>
      </c>
      <c r="F447" t="str">
        <f t="shared" si="18"/>
        <v>Sin Mov.</v>
      </c>
      <c r="G447" t="str">
        <f>IF(+'Libro Diario'!H661=0,"",+'Libro Diario'!H661)</f>
        <v/>
      </c>
      <c r="H447" t="str">
        <f>IF(+'Libro Diario'!I661=0,"",+'Libro Diario'!I661)</f>
        <v/>
      </c>
      <c r="I447" t="str">
        <f>+IF(Table3[[#This Row],[Tipo Movimiento]]="Estructura Balance y PyG","Excluir","Incluir")</f>
        <v>Incluir</v>
      </c>
      <c r="J447" s="153">
        <f>+IF(Table3[[#This Row],[Sin cuenta]]="Con Mov.",(IF(Table3[[#This Row],[Movimiento]]="Debe",Table3[[#This Row],[Importe]],IF(Table3[[#This Row],[Movimiento]]="Haber",Table3[[#This Row],[Importe]]*-1,0))),0)</f>
        <v>0</v>
      </c>
      <c r="K447" s="145">
        <f t="shared" si="19"/>
        <v>0</v>
      </c>
      <c r="L447" s="145" t="str">
        <f t="shared" si="20"/>
        <v/>
      </c>
      <c r="M447" t="str">
        <f>_xlfn.XLOOKUP(Table3[[#This Row],[Cuenta]],Estructura_Balance[Nombre Cuenta ()],Estructura_Balance[Grupo],"",0)</f>
        <v/>
      </c>
      <c r="N447" t="str">
        <f>_xlfn.XLOOKUP(Table3[[#This Row],[Cuenta]],Estructura_Balance[Nombre Cuenta ()],Estructura_Balance[Nivel 1],"",0)</f>
        <v/>
      </c>
      <c r="O447" t="str">
        <f>_xlfn.XLOOKUP(Table3[[#This Row],[Cuenta]],Estructura_Balance[Nombre Cuenta ()],Estructura_Balance[Nivel 2],"",0)</f>
        <v/>
      </c>
      <c r="P447" t="str">
        <f>_xlfn.XLOOKUP(Table3[[#This Row],[Cuenta]],Estructura_Balance[Nombre Cuenta ()],Estructura_Balance[Nivel 3],"",0)</f>
        <v/>
      </c>
      <c r="Q447" t="str">
        <f>_xlfn.XLOOKUP(Table3[[#This Row],[Cuenta]],Estructura_Balance[Nombre Cuenta ()],Estructura_Balance[Nivel 4],"",0)</f>
        <v/>
      </c>
      <c r="R447" s="154" t="str">
        <f>_xlfn.XLOOKUP(Table3[[#This Row],[Cuenta]],Table8[Nombre Cuenta ()],Table8[Nivel 1],"",0)</f>
        <v/>
      </c>
      <c r="S447" t="str">
        <f>_xlfn.XLOOKUP(Table3[[#This Row],[Cuenta]],Table8[Nombre Cuenta ()],Table8[Nivel 2],"",0)</f>
        <v/>
      </c>
      <c r="T447" t="str">
        <f>_xlfn.XLOOKUP(Table3[[#This Row],[Cuenta]],Table8[Nombre Cuenta ()],Table8[Nivel 3],"",0)</f>
        <v/>
      </c>
      <c r="U447">
        <v>853</v>
      </c>
      <c r="V447" t="str">
        <f>_xlfn.XLOOKUP(Table3[[#This Row],[Cuenta]],Estructura_Balance[Nombre Cuenta ()],Estructura_Balance[Niveles:2],"",0)</f>
        <v/>
      </c>
      <c r="W447" t="str">
        <f>_xlfn.XLOOKUP(Table3[[#This Row],[Cuenta]],Estructura_Balance[Nombre Cuenta ()],Estructura_Balance[Niveles:3],"",0)</f>
        <v/>
      </c>
      <c r="X447" t="str">
        <f>_xlfn.XLOOKUP(Table3[[#This Row],[Cuenta]],Estructura_Balance[Nombre Cuenta ()],Estructura_Balance[Grupos],"Grupo 1",0)</f>
        <v>Grupo 1</v>
      </c>
      <c r="Y447" t="str">
        <f>+Table3[[#This Row],[BS_Nivel_1]]</f>
        <v/>
      </c>
    </row>
    <row r="448" spans="1:25">
      <c r="A448">
        <f>+'Libro Diario'!F662</f>
        <v>77</v>
      </c>
      <c r="B448" s="144">
        <f>VALUE(IF(+'Libro Diario'!G662="","01/01/2025",+'Libro Diario'!G662))</f>
        <v>0</v>
      </c>
      <c r="C448">
        <f>IF(ISNUMBER(+IF(IFERROR(VALUE(MID('Libro Diario'!C662,1,4)),0)&lt;&gt;0,'Libro Diario'!C662,0))=FALSE,'Libro Diario'!C662,0)</f>
        <v>0</v>
      </c>
      <c r="D448" s="145">
        <f>+'Libro Diario'!B662</f>
        <v>0</v>
      </c>
      <c r="E448" s="139" t="s">
        <v>445</v>
      </c>
      <c r="F448" t="str">
        <f t="shared" si="18"/>
        <v>Sin Mov.</v>
      </c>
      <c r="G448" t="str">
        <f>IF(+'Libro Diario'!H662=0,"",+'Libro Diario'!H662)</f>
        <v>Impuesto de Sociedades</v>
      </c>
      <c r="H448" t="str">
        <f>IF(+'Libro Diario'!I662=0,"",+'Libro Diario'!I662)</f>
        <v/>
      </c>
      <c r="I448" t="str">
        <f>+IF(Table3[[#This Row],[Tipo Movimiento]]="Estructura Balance y PyG","Excluir","Incluir")</f>
        <v>Incluir</v>
      </c>
      <c r="J448" s="153">
        <f>+IF(Table3[[#This Row],[Sin cuenta]]="Con Mov.",(IF(Table3[[#This Row],[Movimiento]]="Debe",Table3[[#This Row],[Importe]],IF(Table3[[#This Row],[Movimiento]]="Haber",Table3[[#This Row],[Importe]]*-1,0))),0)</f>
        <v>0</v>
      </c>
      <c r="K448" s="145">
        <f t="shared" si="19"/>
        <v>0</v>
      </c>
      <c r="L448" s="145" t="str">
        <f t="shared" si="20"/>
        <v/>
      </c>
      <c r="M448" t="str">
        <f>_xlfn.XLOOKUP(Table3[[#This Row],[Cuenta]],Estructura_Balance[Nombre Cuenta ()],Estructura_Balance[Grupo],"",0)</f>
        <v/>
      </c>
      <c r="N448" t="str">
        <f>_xlfn.XLOOKUP(Table3[[#This Row],[Cuenta]],Estructura_Balance[Nombre Cuenta ()],Estructura_Balance[Nivel 1],"",0)</f>
        <v/>
      </c>
      <c r="O448" t="str">
        <f>_xlfn.XLOOKUP(Table3[[#This Row],[Cuenta]],Estructura_Balance[Nombre Cuenta ()],Estructura_Balance[Nivel 2],"",0)</f>
        <v/>
      </c>
      <c r="P448" t="str">
        <f>_xlfn.XLOOKUP(Table3[[#This Row],[Cuenta]],Estructura_Balance[Nombre Cuenta ()],Estructura_Balance[Nivel 3],"",0)</f>
        <v/>
      </c>
      <c r="Q448" t="str">
        <f>_xlfn.XLOOKUP(Table3[[#This Row],[Cuenta]],Estructura_Balance[Nombre Cuenta ()],Estructura_Balance[Nivel 4],"",0)</f>
        <v/>
      </c>
      <c r="R448" t="str">
        <f>_xlfn.XLOOKUP(Table3[[#This Row],[Cuenta]],Table8[Nombre Cuenta ()],Table8[Nivel 1],"",0)</f>
        <v/>
      </c>
      <c r="S448" t="str">
        <f>_xlfn.XLOOKUP(Table3[[#This Row],[Cuenta]],Table8[Nombre Cuenta ()],Table8[Nivel 2],"",0)</f>
        <v/>
      </c>
      <c r="T448" t="str">
        <f>_xlfn.XLOOKUP(Table3[[#This Row],[Cuenta]],Table8[Nombre Cuenta ()],Table8[Nivel 3],"",0)</f>
        <v/>
      </c>
      <c r="U448">
        <v>854</v>
      </c>
      <c r="V448" t="str">
        <f>_xlfn.XLOOKUP(Table3[[#This Row],[Cuenta]],Estructura_Balance[Nombre Cuenta ()],Estructura_Balance[Niveles:2],"",0)</f>
        <v/>
      </c>
      <c r="W448" t="str">
        <f>_xlfn.XLOOKUP(Table3[[#This Row],[Cuenta]],Estructura_Balance[Nombre Cuenta ()],Estructura_Balance[Niveles:3],"",0)</f>
        <v/>
      </c>
      <c r="X448" t="str">
        <f>_xlfn.XLOOKUP(Table3[[#This Row],[Cuenta]],Estructura_Balance[Nombre Cuenta ()],Estructura_Balance[Grupos],"Grupo 1",0)</f>
        <v>Grupo 1</v>
      </c>
      <c r="Y448" t="str">
        <f>+Table3[[#This Row],[BS_Nivel_1]]</f>
        <v/>
      </c>
    </row>
    <row r="449" spans="1:25">
      <c r="A449">
        <f>+'Libro Diario'!F663</f>
        <v>77</v>
      </c>
      <c r="B449" s="144">
        <f>VALUE(IF(+'Libro Diario'!G663="","01/01/2025",+'Libro Diario'!G663))</f>
        <v>0</v>
      </c>
      <c r="C449">
        <f>IF(ISNUMBER(+IF(IFERROR(VALUE(MID('Libro Diario'!C663,1,4)),0)&lt;&gt;0,'Libro Diario'!C663,0))=FALSE,'Libro Diario'!C663,0)</f>
        <v>0</v>
      </c>
      <c r="D449" s="145">
        <f>+'Libro Diario'!B663</f>
        <v>0</v>
      </c>
      <c r="E449" s="139" t="s">
        <v>445</v>
      </c>
      <c r="F449" t="str">
        <f t="shared" si="18"/>
        <v>Sin Mov.</v>
      </c>
      <c r="G449" t="str">
        <f>IF(+'Libro Diario'!H663=0,"",+'Libro Diario'!H663)</f>
        <v>Impuesto de Sociedades</v>
      </c>
      <c r="H449" t="str">
        <f>IF(+'Libro Diario'!I663=0,"",+'Libro Diario'!I663)</f>
        <v/>
      </c>
      <c r="I449" t="str">
        <f>+IF(Table3[[#This Row],[Tipo Movimiento]]="Estructura Balance y PyG","Excluir","Incluir")</f>
        <v>Incluir</v>
      </c>
      <c r="J449" s="153">
        <f>+IF(Table3[[#This Row],[Sin cuenta]]="Con Mov.",(IF(Table3[[#This Row],[Movimiento]]="Debe",Table3[[#This Row],[Importe]],IF(Table3[[#This Row],[Movimiento]]="Haber",Table3[[#This Row],[Importe]]*-1,0))),0)</f>
        <v>0</v>
      </c>
      <c r="K449" s="145">
        <f t="shared" si="19"/>
        <v>0</v>
      </c>
      <c r="L449" s="145" t="str">
        <f t="shared" si="20"/>
        <v/>
      </c>
      <c r="M449" t="str">
        <f>_xlfn.XLOOKUP(Table3[[#This Row],[Cuenta]],Estructura_Balance[Nombre Cuenta ()],Estructura_Balance[Grupo],"",0)</f>
        <v/>
      </c>
      <c r="N449" t="str">
        <f>_xlfn.XLOOKUP(Table3[[#This Row],[Cuenta]],Estructura_Balance[Nombre Cuenta ()],Estructura_Balance[Nivel 1],"",0)</f>
        <v/>
      </c>
      <c r="O449" t="str">
        <f>_xlfn.XLOOKUP(Table3[[#This Row],[Cuenta]],Estructura_Balance[Nombre Cuenta ()],Estructura_Balance[Nivel 2],"",0)</f>
        <v/>
      </c>
      <c r="P449" t="str">
        <f>_xlfn.XLOOKUP(Table3[[#This Row],[Cuenta]],Estructura_Balance[Nombre Cuenta ()],Estructura_Balance[Nivel 3],"",0)</f>
        <v/>
      </c>
      <c r="Q449" t="str">
        <f>_xlfn.XLOOKUP(Table3[[#This Row],[Cuenta]],Estructura_Balance[Nombre Cuenta ()],Estructura_Balance[Nivel 4],"",0)</f>
        <v/>
      </c>
      <c r="R449" s="154" t="str">
        <f>_xlfn.XLOOKUP(Table3[[#This Row],[Cuenta]],Table8[Nombre Cuenta ()],Table8[Nivel 1],"",0)</f>
        <v/>
      </c>
      <c r="S449" t="str">
        <f>_xlfn.XLOOKUP(Table3[[#This Row],[Cuenta]],Table8[Nombre Cuenta ()],Table8[Nivel 2],"",0)</f>
        <v/>
      </c>
      <c r="T449" t="str">
        <f>_xlfn.XLOOKUP(Table3[[#This Row],[Cuenta]],Table8[Nombre Cuenta ()],Table8[Nivel 3],"",0)</f>
        <v/>
      </c>
      <c r="U449">
        <v>855</v>
      </c>
      <c r="V449" t="str">
        <f>_xlfn.XLOOKUP(Table3[[#This Row],[Cuenta]],Estructura_Balance[Nombre Cuenta ()],Estructura_Balance[Niveles:2],"",0)</f>
        <v/>
      </c>
      <c r="W449" t="str">
        <f>_xlfn.XLOOKUP(Table3[[#This Row],[Cuenta]],Estructura_Balance[Nombre Cuenta ()],Estructura_Balance[Niveles:3],"",0)</f>
        <v/>
      </c>
      <c r="X449" t="str">
        <f>_xlfn.XLOOKUP(Table3[[#This Row],[Cuenta]],Estructura_Balance[Nombre Cuenta ()],Estructura_Balance[Grupos],"Grupo 1",0)</f>
        <v>Grupo 1</v>
      </c>
      <c r="Y449" t="str">
        <f>+Table3[[#This Row],[BS_Nivel_1]]</f>
        <v/>
      </c>
    </row>
    <row r="450" spans="1:25">
      <c r="A450">
        <f>+'Libro Diario'!F664</f>
        <v>0</v>
      </c>
      <c r="B450" s="144">
        <f>VALUE(IF(+'Libro Diario'!G664="","01/01/2025",+'Libro Diario'!G664))</f>
        <v>45658</v>
      </c>
      <c r="C450">
        <f>IF(ISNUMBER(+IF(IFERROR(VALUE(MID('Libro Diario'!C664,1,4)),0)&lt;&gt;0,'Libro Diario'!C664,0))=FALSE,'Libro Diario'!C664,0)</f>
        <v>0</v>
      </c>
      <c r="D450" s="145" t="str">
        <f>+'Libro Diario'!B664</f>
        <v>Impuesto de Sociedades</v>
      </c>
      <c r="E450" s="139" t="s">
        <v>445</v>
      </c>
      <c r="F450" t="str">
        <f t="shared" si="18"/>
        <v>Sin Mov.</v>
      </c>
      <c r="G450" t="str">
        <f>IF(+'Libro Diario'!H664=0,"",+'Libro Diario'!H664)</f>
        <v/>
      </c>
      <c r="H450" t="str">
        <f>IF(+'Libro Diario'!I664=0,"",+'Libro Diario'!I664)</f>
        <v/>
      </c>
      <c r="I450" t="str">
        <f>+IF(Table3[[#This Row],[Tipo Movimiento]]="Estructura Balance y PyG","Excluir","Incluir")</f>
        <v>Incluir</v>
      </c>
      <c r="J450" s="153">
        <f>+IF(Table3[[#This Row],[Sin cuenta]]="Con Mov.",(IF(Table3[[#This Row],[Movimiento]]="Debe",Table3[[#This Row],[Importe]],IF(Table3[[#This Row],[Movimiento]]="Haber",Table3[[#This Row],[Importe]]*-1,0))),0)</f>
        <v>0</v>
      </c>
      <c r="K450" s="145" t="str">
        <f t="shared" si="19"/>
        <v>Impuesto de Sociedades</v>
      </c>
      <c r="L450" s="145" t="str">
        <f t="shared" si="20"/>
        <v/>
      </c>
      <c r="M450" t="str">
        <f>_xlfn.XLOOKUP(Table3[[#This Row],[Cuenta]],Estructura_Balance[Nombre Cuenta ()],Estructura_Balance[Grupo],"",0)</f>
        <v/>
      </c>
      <c r="N450" t="str">
        <f>_xlfn.XLOOKUP(Table3[[#This Row],[Cuenta]],Estructura_Balance[Nombre Cuenta ()],Estructura_Balance[Nivel 1],"",0)</f>
        <v/>
      </c>
      <c r="O450" t="str">
        <f>_xlfn.XLOOKUP(Table3[[#This Row],[Cuenta]],Estructura_Balance[Nombre Cuenta ()],Estructura_Balance[Nivel 2],"",0)</f>
        <v/>
      </c>
      <c r="P450" t="str">
        <f>_xlfn.XLOOKUP(Table3[[#This Row],[Cuenta]],Estructura_Balance[Nombre Cuenta ()],Estructura_Balance[Nivel 3],"",0)</f>
        <v/>
      </c>
      <c r="Q450" t="str">
        <f>_xlfn.XLOOKUP(Table3[[#This Row],[Cuenta]],Estructura_Balance[Nombre Cuenta ()],Estructura_Balance[Nivel 4],"",0)</f>
        <v/>
      </c>
      <c r="R450" t="str">
        <f>_xlfn.XLOOKUP(Table3[[#This Row],[Cuenta]],Table8[Nombre Cuenta ()],Table8[Nivel 1],"",0)</f>
        <v/>
      </c>
      <c r="S450" t="str">
        <f>_xlfn.XLOOKUP(Table3[[#This Row],[Cuenta]],Table8[Nombre Cuenta ()],Table8[Nivel 2],"",0)</f>
        <v/>
      </c>
      <c r="T450" t="str">
        <f>_xlfn.XLOOKUP(Table3[[#This Row],[Cuenta]],Table8[Nombre Cuenta ()],Table8[Nivel 3],"",0)</f>
        <v/>
      </c>
      <c r="U450">
        <v>856</v>
      </c>
      <c r="V450" t="str">
        <f>_xlfn.XLOOKUP(Table3[[#This Row],[Cuenta]],Estructura_Balance[Nombre Cuenta ()],Estructura_Balance[Niveles:2],"",0)</f>
        <v/>
      </c>
      <c r="W450" t="str">
        <f>_xlfn.XLOOKUP(Table3[[#This Row],[Cuenta]],Estructura_Balance[Nombre Cuenta ()],Estructura_Balance[Niveles:3],"",0)</f>
        <v/>
      </c>
      <c r="X450" t="str">
        <f>_xlfn.XLOOKUP(Table3[[#This Row],[Cuenta]],Estructura_Balance[Nombre Cuenta ()],Estructura_Balance[Grupos],"Grupo 1",0)</f>
        <v>Grupo 1</v>
      </c>
      <c r="Y450" t="str">
        <f>+Table3[[#This Row],[BS_Nivel_1]]</f>
        <v/>
      </c>
    </row>
    <row r="451" spans="1:25">
      <c r="A451">
        <f>+'Libro Diario'!F665</f>
        <v>0</v>
      </c>
      <c r="B451" s="144">
        <f>VALUE(IF(+'Libro Diario'!G665="","01/01/2025",+'Libro Diario'!G665))</f>
        <v>45658</v>
      </c>
      <c r="C451">
        <f>IF(ISNUMBER(+IF(IFERROR(VALUE(MID('Libro Diario'!C665,1,4)),0)&lt;&gt;0,'Libro Diario'!C665,0))=FALSE,'Libro Diario'!C665,0)</f>
        <v>0</v>
      </c>
      <c r="D451" s="145" t="str">
        <f>+'Libro Diario'!B665</f>
        <v>Asiento Cuadrado</v>
      </c>
      <c r="E451" s="139" t="s">
        <v>445</v>
      </c>
      <c r="F451" t="str">
        <f t="shared" ref="F451:F514" si="21">+IF(C451=0,"Sin Mov.","Con Mov.")</f>
        <v>Sin Mov.</v>
      </c>
      <c r="G451" t="str">
        <f>IF(+'Libro Diario'!H665=0,"",+'Libro Diario'!H665)</f>
        <v/>
      </c>
      <c r="H451" t="str">
        <f>IF(+'Libro Diario'!I665=0,"",+'Libro Diario'!I665)</f>
        <v/>
      </c>
      <c r="I451" t="str">
        <f>+IF(Table3[[#This Row],[Tipo Movimiento]]="Estructura Balance y PyG","Excluir","Incluir")</f>
        <v>Incluir</v>
      </c>
      <c r="J451" s="153">
        <f>+IF(Table3[[#This Row],[Sin cuenta]]="Con Mov.",(IF(Table3[[#This Row],[Movimiento]]="Debe",Table3[[#This Row],[Importe]],IF(Table3[[#This Row],[Movimiento]]="Haber",Table3[[#This Row],[Importe]]*-1,0))),0)</f>
        <v>0</v>
      </c>
      <c r="K451" s="145" t="str">
        <f t="shared" ref="K451:K514" si="22">+IF(E451="Debe",D451,"")</f>
        <v>Asiento Cuadrado</v>
      </c>
      <c r="L451" s="145" t="str">
        <f t="shared" ref="L451:L514" si="23">+IF(E451="Haber",D451,"")</f>
        <v/>
      </c>
      <c r="M451" t="str">
        <f>_xlfn.XLOOKUP(Table3[[#This Row],[Cuenta]],Estructura_Balance[Nombre Cuenta ()],Estructura_Balance[Grupo],"",0)</f>
        <v/>
      </c>
      <c r="N451" t="str">
        <f>_xlfn.XLOOKUP(Table3[[#This Row],[Cuenta]],Estructura_Balance[Nombre Cuenta ()],Estructura_Balance[Nivel 1],"",0)</f>
        <v/>
      </c>
      <c r="O451" t="str">
        <f>_xlfn.XLOOKUP(Table3[[#This Row],[Cuenta]],Estructura_Balance[Nombre Cuenta ()],Estructura_Balance[Nivel 2],"",0)</f>
        <v/>
      </c>
      <c r="P451" t="str">
        <f>_xlfn.XLOOKUP(Table3[[#This Row],[Cuenta]],Estructura_Balance[Nombre Cuenta ()],Estructura_Balance[Nivel 3],"",0)</f>
        <v/>
      </c>
      <c r="Q451" t="str">
        <f>_xlfn.XLOOKUP(Table3[[#This Row],[Cuenta]],Estructura_Balance[Nombre Cuenta ()],Estructura_Balance[Nivel 4],"",0)</f>
        <v/>
      </c>
      <c r="R451" s="154" t="str">
        <f>_xlfn.XLOOKUP(Table3[[#This Row],[Cuenta]],Table8[Nombre Cuenta ()],Table8[Nivel 1],"",0)</f>
        <v/>
      </c>
      <c r="S451" t="str">
        <f>_xlfn.XLOOKUP(Table3[[#This Row],[Cuenta]],Table8[Nombre Cuenta ()],Table8[Nivel 2],"",0)</f>
        <v/>
      </c>
      <c r="T451" t="str">
        <f>_xlfn.XLOOKUP(Table3[[#This Row],[Cuenta]],Table8[Nombre Cuenta ()],Table8[Nivel 3],"",0)</f>
        <v/>
      </c>
      <c r="U451">
        <v>857</v>
      </c>
      <c r="V451" t="str">
        <f>_xlfn.XLOOKUP(Table3[[#This Row],[Cuenta]],Estructura_Balance[Nombre Cuenta ()],Estructura_Balance[Niveles:2],"",0)</f>
        <v/>
      </c>
      <c r="W451" t="str">
        <f>_xlfn.XLOOKUP(Table3[[#This Row],[Cuenta]],Estructura_Balance[Nombre Cuenta ()],Estructura_Balance[Niveles:3],"",0)</f>
        <v/>
      </c>
      <c r="X451" t="str">
        <f>_xlfn.XLOOKUP(Table3[[#This Row],[Cuenta]],Estructura_Balance[Nombre Cuenta ()],Estructura_Balance[Grupos],"Grupo 1",0)</f>
        <v>Grupo 1</v>
      </c>
      <c r="Y451" t="str">
        <f>+Table3[[#This Row],[BS_Nivel_1]]</f>
        <v/>
      </c>
    </row>
    <row r="452" spans="1:25">
      <c r="A452">
        <f>+'Libro Diario'!F666</f>
        <v>0</v>
      </c>
      <c r="B452" s="144">
        <f>VALUE(IF(+'Libro Diario'!G666="","01/01/2025",+'Libro Diario'!G666))</f>
        <v>45658</v>
      </c>
      <c r="C452">
        <f>IF(ISNUMBER(+IF(IFERROR(VALUE(MID('Libro Diario'!C666,1,4)),0)&lt;&gt;0,'Libro Diario'!C666,0))=FALSE,'Libro Diario'!C666,0)</f>
        <v>0</v>
      </c>
      <c r="D452" s="145">
        <f>+'Libro Diario'!B666</f>
        <v>0</v>
      </c>
      <c r="E452" s="139" t="s">
        <v>445</v>
      </c>
      <c r="F452" t="str">
        <f t="shared" si="21"/>
        <v>Sin Mov.</v>
      </c>
      <c r="G452" t="str">
        <f>IF(+'Libro Diario'!H666=0,"",+'Libro Diario'!H666)</f>
        <v/>
      </c>
      <c r="H452" t="str">
        <f>IF(+'Libro Diario'!I666=0,"",+'Libro Diario'!I666)</f>
        <v/>
      </c>
      <c r="I452" t="str">
        <f>+IF(Table3[[#This Row],[Tipo Movimiento]]="Estructura Balance y PyG","Excluir","Incluir")</f>
        <v>Incluir</v>
      </c>
      <c r="J452" s="153">
        <f>+IF(Table3[[#This Row],[Sin cuenta]]="Con Mov.",(IF(Table3[[#This Row],[Movimiento]]="Debe",Table3[[#This Row],[Importe]],IF(Table3[[#This Row],[Movimiento]]="Haber",Table3[[#This Row],[Importe]]*-1,0))),0)</f>
        <v>0</v>
      </c>
      <c r="K452" s="145">
        <f t="shared" si="22"/>
        <v>0</v>
      </c>
      <c r="L452" s="145" t="str">
        <f t="shared" si="23"/>
        <v/>
      </c>
      <c r="M452" t="str">
        <f>_xlfn.XLOOKUP(Table3[[#This Row],[Cuenta]],Estructura_Balance[Nombre Cuenta ()],Estructura_Balance[Grupo],"",0)</f>
        <v/>
      </c>
      <c r="N452" t="str">
        <f>_xlfn.XLOOKUP(Table3[[#This Row],[Cuenta]],Estructura_Balance[Nombre Cuenta ()],Estructura_Balance[Nivel 1],"",0)</f>
        <v/>
      </c>
      <c r="O452" t="str">
        <f>_xlfn.XLOOKUP(Table3[[#This Row],[Cuenta]],Estructura_Balance[Nombre Cuenta ()],Estructura_Balance[Nivel 2],"",0)</f>
        <v/>
      </c>
      <c r="P452" t="str">
        <f>_xlfn.XLOOKUP(Table3[[#This Row],[Cuenta]],Estructura_Balance[Nombre Cuenta ()],Estructura_Balance[Nivel 3],"",0)</f>
        <v/>
      </c>
      <c r="Q452" t="str">
        <f>_xlfn.XLOOKUP(Table3[[#This Row],[Cuenta]],Estructura_Balance[Nombre Cuenta ()],Estructura_Balance[Nivel 4],"",0)</f>
        <v/>
      </c>
      <c r="R452" t="str">
        <f>_xlfn.XLOOKUP(Table3[[#This Row],[Cuenta]],Table8[Nombre Cuenta ()],Table8[Nivel 1],"",0)</f>
        <v/>
      </c>
      <c r="S452" t="str">
        <f>_xlfn.XLOOKUP(Table3[[#This Row],[Cuenta]],Table8[Nombre Cuenta ()],Table8[Nivel 2],"",0)</f>
        <v/>
      </c>
      <c r="T452" t="str">
        <f>_xlfn.XLOOKUP(Table3[[#This Row],[Cuenta]],Table8[Nombre Cuenta ()],Table8[Nivel 3],"",0)</f>
        <v/>
      </c>
      <c r="U452">
        <v>858</v>
      </c>
      <c r="V452" t="str">
        <f>_xlfn.XLOOKUP(Table3[[#This Row],[Cuenta]],Estructura_Balance[Nombre Cuenta ()],Estructura_Balance[Niveles:2],"",0)</f>
        <v/>
      </c>
      <c r="W452" t="str">
        <f>_xlfn.XLOOKUP(Table3[[#This Row],[Cuenta]],Estructura_Balance[Nombre Cuenta ()],Estructura_Balance[Niveles:3],"",0)</f>
        <v/>
      </c>
      <c r="X452" t="str">
        <f>_xlfn.XLOOKUP(Table3[[#This Row],[Cuenta]],Estructura_Balance[Nombre Cuenta ()],Estructura_Balance[Grupos],"Grupo 1",0)</f>
        <v>Grupo 1</v>
      </c>
      <c r="Y452" t="str">
        <f>+Table3[[#This Row],[BS_Nivel_1]]</f>
        <v/>
      </c>
    </row>
    <row r="453" spans="1:25">
      <c r="A453">
        <f>+'Libro Diario'!F667</f>
        <v>0</v>
      </c>
      <c r="B453" s="144">
        <f>VALUE(IF(+'Libro Diario'!G667="","01/01/2025",+'Libro Diario'!G667))</f>
        <v>45658</v>
      </c>
      <c r="C453">
        <f>IF(ISNUMBER(+IF(IFERROR(VALUE(MID('Libro Diario'!C667,1,4)),0)&lt;&gt;0,'Libro Diario'!C667,0))=FALSE,'Libro Diario'!C667,0)</f>
        <v>0</v>
      </c>
      <c r="D453" s="145" t="str">
        <f>+'Libro Diario'!B667</f>
        <v>DEBE</v>
      </c>
      <c r="E453" s="139" t="s">
        <v>445</v>
      </c>
      <c r="F453" t="str">
        <f t="shared" si="21"/>
        <v>Sin Mov.</v>
      </c>
      <c r="G453" t="str">
        <f>IF(+'Libro Diario'!H667=0,"",+'Libro Diario'!H667)</f>
        <v/>
      </c>
      <c r="H453" t="str">
        <f>IF(+'Libro Diario'!I667=0,"",+'Libro Diario'!I667)</f>
        <v/>
      </c>
      <c r="I453" t="str">
        <f>+IF(Table3[[#This Row],[Tipo Movimiento]]="Estructura Balance y PyG","Excluir","Incluir")</f>
        <v>Incluir</v>
      </c>
      <c r="J453" s="153">
        <f>+IF(Table3[[#This Row],[Sin cuenta]]="Con Mov.",(IF(Table3[[#This Row],[Movimiento]]="Debe",Table3[[#This Row],[Importe]],IF(Table3[[#This Row],[Movimiento]]="Haber",Table3[[#This Row],[Importe]]*-1,0))),0)</f>
        <v>0</v>
      </c>
      <c r="K453" s="145" t="str">
        <f t="shared" si="22"/>
        <v>DEBE</v>
      </c>
      <c r="L453" s="145" t="str">
        <f t="shared" si="23"/>
        <v/>
      </c>
      <c r="M453" t="str">
        <f>_xlfn.XLOOKUP(Table3[[#This Row],[Cuenta]],Estructura_Balance[Nombre Cuenta ()],Estructura_Balance[Grupo],"",0)</f>
        <v/>
      </c>
      <c r="N453" t="str">
        <f>_xlfn.XLOOKUP(Table3[[#This Row],[Cuenta]],Estructura_Balance[Nombre Cuenta ()],Estructura_Balance[Nivel 1],"",0)</f>
        <v/>
      </c>
      <c r="O453" t="str">
        <f>_xlfn.XLOOKUP(Table3[[#This Row],[Cuenta]],Estructura_Balance[Nombre Cuenta ()],Estructura_Balance[Nivel 2],"",0)</f>
        <v/>
      </c>
      <c r="P453" t="str">
        <f>_xlfn.XLOOKUP(Table3[[#This Row],[Cuenta]],Estructura_Balance[Nombre Cuenta ()],Estructura_Balance[Nivel 3],"",0)</f>
        <v/>
      </c>
      <c r="Q453" t="str">
        <f>_xlfn.XLOOKUP(Table3[[#This Row],[Cuenta]],Estructura_Balance[Nombre Cuenta ()],Estructura_Balance[Nivel 4],"",0)</f>
        <v/>
      </c>
      <c r="R453" s="154" t="str">
        <f>_xlfn.XLOOKUP(Table3[[#This Row],[Cuenta]],Table8[Nombre Cuenta ()],Table8[Nivel 1],"",0)</f>
        <v/>
      </c>
      <c r="S453" t="str">
        <f>_xlfn.XLOOKUP(Table3[[#This Row],[Cuenta]],Table8[Nombre Cuenta ()],Table8[Nivel 2],"",0)</f>
        <v/>
      </c>
      <c r="T453" t="str">
        <f>_xlfn.XLOOKUP(Table3[[#This Row],[Cuenta]],Table8[Nombre Cuenta ()],Table8[Nivel 3],"",0)</f>
        <v/>
      </c>
      <c r="U453">
        <v>859</v>
      </c>
      <c r="V453" t="str">
        <f>_xlfn.XLOOKUP(Table3[[#This Row],[Cuenta]],Estructura_Balance[Nombre Cuenta ()],Estructura_Balance[Niveles:2],"",0)</f>
        <v/>
      </c>
      <c r="W453" t="str">
        <f>_xlfn.XLOOKUP(Table3[[#This Row],[Cuenta]],Estructura_Balance[Nombre Cuenta ()],Estructura_Balance[Niveles:3],"",0)</f>
        <v/>
      </c>
      <c r="X453" t="str">
        <f>_xlfn.XLOOKUP(Table3[[#This Row],[Cuenta]],Estructura_Balance[Nombre Cuenta ()],Estructura_Balance[Grupos],"Grupo 1",0)</f>
        <v>Grupo 1</v>
      </c>
      <c r="Y453" t="str">
        <f>+Table3[[#This Row],[BS_Nivel_1]]</f>
        <v/>
      </c>
    </row>
    <row r="454" spans="1:25">
      <c r="A454">
        <f>+'Libro Diario'!F668</f>
        <v>0</v>
      </c>
      <c r="B454" s="144">
        <f>VALUE(IF(+'Libro Diario'!G668="","01/01/2025",+'Libro Diario'!G668))</f>
        <v>45658</v>
      </c>
      <c r="C454">
        <f>IF(ISNUMBER(+IF(IFERROR(VALUE(MID('Libro Diario'!C668,1,4)),0)&lt;&gt;0,'Libro Diario'!C668,0))=FALSE,'Libro Diario'!C668,0)</f>
        <v>0</v>
      </c>
      <c r="D454" s="145">
        <f>+'Libro Diario'!B668</f>
        <v>0</v>
      </c>
      <c r="E454" s="139" t="s">
        <v>445</v>
      </c>
      <c r="F454" t="str">
        <f t="shared" si="21"/>
        <v>Sin Mov.</v>
      </c>
      <c r="G454" t="str">
        <f>IF(+'Libro Diario'!H668=0,"",+'Libro Diario'!H668)</f>
        <v/>
      </c>
      <c r="H454" t="str">
        <f>IF(+'Libro Diario'!I668=0,"",+'Libro Diario'!I668)</f>
        <v/>
      </c>
      <c r="I454" t="str">
        <f>+IF(Table3[[#This Row],[Tipo Movimiento]]="Estructura Balance y PyG","Excluir","Incluir")</f>
        <v>Incluir</v>
      </c>
      <c r="J454" s="153">
        <f>+IF(Table3[[#This Row],[Sin cuenta]]="Con Mov.",(IF(Table3[[#This Row],[Movimiento]]="Debe",Table3[[#This Row],[Importe]],IF(Table3[[#This Row],[Movimiento]]="Haber",Table3[[#This Row],[Importe]]*-1,0))),0)</f>
        <v>0</v>
      </c>
      <c r="K454" s="145">
        <f t="shared" si="22"/>
        <v>0</v>
      </c>
      <c r="L454" s="145" t="str">
        <f t="shared" si="23"/>
        <v/>
      </c>
      <c r="M454" t="str">
        <f>_xlfn.XLOOKUP(Table3[[#This Row],[Cuenta]],Estructura_Balance[Nombre Cuenta ()],Estructura_Balance[Grupo],"",0)</f>
        <v/>
      </c>
      <c r="N454" t="str">
        <f>_xlfn.XLOOKUP(Table3[[#This Row],[Cuenta]],Estructura_Balance[Nombre Cuenta ()],Estructura_Balance[Nivel 1],"",0)</f>
        <v/>
      </c>
      <c r="O454" t="str">
        <f>_xlfn.XLOOKUP(Table3[[#This Row],[Cuenta]],Estructura_Balance[Nombre Cuenta ()],Estructura_Balance[Nivel 2],"",0)</f>
        <v/>
      </c>
      <c r="P454" t="str">
        <f>_xlfn.XLOOKUP(Table3[[#This Row],[Cuenta]],Estructura_Balance[Nombre Cuenta ()],Estructura_Balance[Nivel 3],"",0)</f>
        <v/>
      </c>
      <c r="Q454" t="str">
        <f>_xlfn.XLOOKUP(Table3[[#This Row],[Cuenta]],Estructura_Balance[Nombre Cuenta ()],Estructura_Balance[Nivel 4],"",0)</f>
        <v/>
      </c>
      <c r="R454" t="str">
        <f>_xlfn.XLOOKUP(Table3[[#This Row],[Cuenta]],Table8[Nombre Cuenta ()],Table8[Nivel 1],"",0)</f>
        <v/>
      </c>
      <c r="S454" t="str">
        <f>_xlfn.XLOOKUP(Table3[[#This Row],[Cuenta]],Table8[Nombre Cuenta ()],Table8[Nivel 2],"",0)</f>
        <v/>
      </c>
      <c r="T454" t="str">
        <f>_xlfn.XLOOKUP(Table3[[#This Row],[Cuenta]],Table8[Nombre Cuenta ()],Table8[Nivel 3],"",0)</f>
        <v/>
      </c>
      <c r="U454">
        <v>860</v>
      </c>
      <c r="V454" t="str">
        <f>_xlfn.XLOOKUP(Table3[[#This Row],[Cuenta]],Estructura_Balance[Nombre Cuenta ()],Estructura_Balance[Niveles:2],"",0)</f>
        <v/>
      </c>
      <c r="W454" t="str">
        <f>_xlfn.XLOOKUP(Table3[[#This Row],[Cuenta]],Estructura_Balance[Nombre Cuenta ()],Estructura_Balance[Niveles:3],"",0)</f>
        <v/>
      </c>
      <c r="X454" t="str">
        <f>_xlfn.XLOOKUP(Table3[[#This Row],[Cuenta]],Estructura_Balance[Nombre Cuenta ()],Estructura_Balance[Grupos],"Grupo 1",0)</f>
        <v>Grupo 1</v>
      </c>
      <c r="Y454" t="str">
        <f>+Table3[[#This Row],[BS_Nivel_1]]</f>
        <v/>
      </c>
    </row>
    <row r="455" spans="1:25">
      <c r="A455">
        <f>+'Libro Diario'!F669</f>
        <v>78</v>
      </c>
      <c r="B455" s="144">
        <f>VALUE(IF(+'Libro Diario'!G669="","01/01/2025",+'Libro Diario'!G669))</f>
        <v>0</v>
      </c>
      <c r="C455">
        <f>IF(ISNUMBER(+IF(IFERROR(VALUE(MID('Libro Diario'!C669,1,4)),0)&lt;&gt;0,'Libro Diario'!C669,0))=FALSE,'Libro Diario'!C669,0)</f>
        <v>0</v>
      </c>
      <c r="D455" s="145">
        <f>+'Libro Diario'!B669</f>
        <v>0</v>
      </c>
      <c r="E455" s="139" t="s">
        <v>445</v>
      </c>
      <c r="F455" t="str">
        <f t="shared" si="21"/>
        <v>Sin Mov.</v>
      </c>
      <c r="G455" t="str">
        <f>IF(+'Libro Diario'!H669=0,"",+'Libro Diario'!H669)</f>
        <v>Asiento de Cierre</v>
      </c>
      <c r="H455" t="str">
        <f>IF(+'Libro Diario'!I669=0,"",+'Libro Diario'!I669)</f>
        <v/>
      </c>
      <c r="I455" t="str">
        <f>+IF(Table3[[#This Row],[Tipo Movimiento]]="Estructura Balance y PyG","Excluir","Incluir")</f>
        <v>Incluir</v>
      </c>
      <c r="J455" s="153">
        <f>+IF(Table3[[#This Row],[Sin cuenta]]="Con Mov.",(IF(Table3[[#This Row],[Movimiento]]="Debe",Table3[[#This Row],[Importe]],IF(Table3[[#This Row],[Movimiento]]="Haber",Table3[[#This Row],[Importe]]*-1,0))),0)</f>
        <v>0</v>
      </c>
      <c r="K455" s="145">
        <f t="shared" si="22"/>
        <v>0</v>
      </c>
      <c r="L455" s="145" t="str">
        <f t="shared" si="23"/>
        <v/>
      </c>
      <c r="M455" t="str">
        <f>_xlfn.XLOOKUP(Table3[[#This Row],[Cuenta]],Estructura_Balance[Nombre Cuenta ()],Estructura_Balance[Grupo],"",0)</f>
        <v/>
      </c>
      <c r="N455" t="str">
        <f>_xlfn.XLOOKUP(Table3[[#This Row],[Cuenta]],Estructura_Balance[Nombre Cuenta ()],Estructura_Balance[Nivel 1],"",0)</f>
        <v/>
      </c>
      <c r="O455" t="str">
        <f>_xlfn.XLOOKUP(Table3[[#This Row],[Cuenta]],Estructura_Balance[Nombre Cuenta ()],Estructura_Balance[Nivel 2],"",0)</f>
        <v/>
      </c>
      <c r="P455" t="str">
        <f>_xlfn.XLOOKUP(Table3[[#This Row],[Cuenta]],Estructura_Balance[Nombre Cuenta ()],Estructura_Balance[Nivel 3],"",0)</f>
        <v/>
      </c>
      <c r="Q455" t="str">
        <f>_xlfn.XLOOKUP(Table3[[#This Row],[Cuenta]],Estructura_Balance[Nombre Cuenta ()],Estructura_Balance[Nivel 4],"",0)</f>
        <v/>
      </c>
      <c r="R455" s="154" t="str">
        <f>_xlfn.XLOOKUP(Table3[[#This Row],[Cuenta]],Table8[Nombre Cuenta ()],Table8[Nivel 1],"",0)</f>
        <v/>
      </c>
      <c r="S455" t="str">
        <f>_xlfn.XLOOKUP(Table3[[#This Row],[Cuenta]],Table8[Nombre Cuenta ()],Table8[Nivel 2],"",0)</f>
        <v/>
      </c>
      <c r="T455" t="str">
        <f>_xlfn.XLOOKUP(Table3[[#This Row],[Cuenta]],Table8[Nombre Cuenta ()],Table8[Nivel 3],"",0)</f>
        <v/>
      </c>
      <c r="U455">
        <v>861</v>
      </c>
      <c r="V455" t="str">
        <f>_xlfn.XLOOKUP(Table3[[#This Row],[Cuenta]],Estructura_Balance[Nombre Cuenta ()],Estructura_Balance[Niveles:2],"",0)</f>
        <v/>
      </c>
      <c r="W455" t="str">
        <f>_xlfn.XLOOKUP(Table3[[#This Row],[Cuenta]],Estructura_Balance[Nombre Cuenta ()],Estructura_Balance[Niveles:3],"",0)</f>
        <v/>
      </c>
      <c r="X455" t="str">
        <f>_xlfn.XLOOKUP(Table3[[#This Row],[Cuenta]],Estructura_Balance[Nombre Cuenta ()],Estructura_Balance[Grupos],"Grupo 1",0)</f>
        <v>Grupo 1</v>
      </c>
      <c r="Y455" t="str">
        <f>+Table3[[#This Row],[BS_Nivel_1]]</f>
        <v/>
      </c>
    </row>
    <row r="456" spans="1:25">
      <c r="A456">
        <f>+'Libro Diario'!F670</f>
        <v>78</v>
      </c>
      <c r="B456" s="144">
        <f>VALUE(IF(+'Libro Diario'!G670="","01/01/2025",+'Libro Diario'!G670))</f>
        <v>0</v>
      </c>
      <c r="C456">
        <f>IF(ISNUMBER(+IF(IFERROR(VALUE(MID('Libro Diario'!C670,1,4)),0)&lt;&gt;0,'Libro Diario'!C670,0))=FALSE,'Libro Diario'!C670,0)</f>
        <v>0</v>
      </c>
      <c r="D456" s="145">
        <f>+'Libro Diario'!B670</f>
        <v>0</v>
      </c>
      <c r="E456" s="139" t="s">
        <v>445</v>
      </c>
      <c r="F456" t="str">
        <f t="shared" si="21"/>
        <v>Sin Mov.</v>
      </c>
      <c r="G456" t="str">
        <f>IF(+'Libro Diario'!H670=0,"",+'Libro Diario'!H670)</f>
        <v>Asiento de Cierre</v>
      </c>
      <c r="H456" t="str">
        <f>IF(+'Libro Diario'!I670=0,"",+'Libro Diario'!I670)</f>
        <v/>
      </c>
      <c r="I456" t="str">
        <f>+IF(Table3[[#This Row],[Tipo Movimiento]]="Estructura Balance y PyG","Excluir","Incluir")</f>
        <v>Incluir</v>
      </c>
      <c r="J456" s="153">
        <f>+IF(Table3[[#This Row],[Sin cuenta]]="Con Mov.",(IF(Table3[[#This Row],[Movimiento]]="Debe",Table3[[#This Row],[Importe]],IF(Table3[[#This Row],[Movimiento]]="Haber",Table3[[#This Row],[Importe]]*-1,0))),0)</f>
        <v>0</v>
      </c>
      <c r="K456" s="145">
        <f t="shared" si="22"/>
        <v>0</v>
      </c>
      <c r="L456" s="145" t="str">
        <f t="shared" si="23"/>
        <v/>
      </c>
      <c r="M456" t="str">
        <f>_xlfn.XLOOKUP(Table3[[#This Row],[Cuenta]],Estructura_Balance[Nombre Cuenta ()],Estructura_Balance[Grupo],"",0)</f>
        <v/>
      </c>
      <c r="N456" t="str">
        <f>_xlfn.XLOOKUP(Table3[[#This Row],[Cuenta]],Estructura_Balance[Nombre Cuenta ()],Estructura_Balance[Nivel 1],"",0)</f>
        <v/>
      </c>
      <c r="O456" t="str">
        <f>_xlfn.XLOOKUP(Table3[[#This Row],[Cuenta]],Estructura_Balance[Nombre Cuenta ()],Estructura_Balance[Nivel 2],"",0)</f>
        <v/>
      </c>
      <c r="P456" t="str">
        <f>_xlfn.XLOOKUP(Table3[[#This Row],[Cuenta]],Estructura_Balance[Nombre Cuenta ()],Estructura_Balance[Nivel 3],"",0)</f>
        <v/>
      </c>
      <c r="Q456" t="str">
        <f>_xlfn.XLOOKUP(Table3[[#This Row],[Cuenta]],Estructura_Balance[Nombre Cuenta ()],Estructura_Balance[Nivel 4],"",0)</f>
        <v/>
      </c>
      <c r="R456" t="str">
        <f>_xlfn.XLOOKUP(Table3[[#This Row],[Cuenta]],Table8[Nombre Cuenta ()],Table8[Nivel 1],"",0)</f>
        <v/>
      </c>
      <c r="S456" t="str">
        <f>_xlfn.XLOOKUP(Table3[[#This Row],[Cuenta]],Table8[Nombre Cuenta ()],Table8[Nivel 2],"",0)</f>
        <v/>
      </c>
      <c r="T456" t="str">
        <f>_xlfn.XLOOKUP(Table3[[#This Row],[Cuenta]],Table8[Nombre Cuenta ()],Table8[Nivel 3],"",0)</f>
        <v/>
      </c>
      <c r="U456">
        <v>862</v>
      </c>
      <c r="V456" t="str">
        <f>_xlfn.XLOOKUP(Table3[[#This Row],[Cuenta]],Estructura_Balance[Nombre Cuenta ()],Estructura_Balance[Niveles:2],"",0)</f>
        <v/>
      </c>
      <c r="W456" t="str">
        <f>_xlfn.XLOOKUP(Table3[[#This Row],[Cuenta]],Estructura_Balance[Nombre Cuenta ()],Estructura_Balance[Niveles:3],"",0)</f>
        <v/>
      </c>
      <c r="X456" t="str">
        <f>_xlfn.XLOOKUP(Table3[[#This Row],[Cuenta]],Estructura_Balance[Nombre Cuenta ()],Estructura_Balance[Grupos],"Grupo 1",0)</f>
        <v>Grupo 1</v>
      </c>
      <c r="Y456" t="str">
        <f>+Table3[[#This Row],[BS_Nivel_1]]</f>
        <v/>
      </c>
    </row>
    <row r="457" spans="1:25">
      <c r="A457">
        <f>+'Libro Diario'!F671</f>
        <v>0</v>
      </c>
      <c r="B457" s="144">
        <f>VALUE(IF(+'Libro Diario'!G671="","01/01/2025",+'Libro Diario'!G671))</f>
        <v>45658</v>
      </c>
      <c r="C457">
        <f>IF(ISNUMBER(+IF(IFERROR(VALUE(MID('Libro Diario'!C671,1,4)),0)&lt;&gt;0,'Libro Diario'!C671,0))=FALSE,'Libro Diario'!C671,0)</f>
        <v>0</v>
      </c>
      <c r="D457" s="145" t="str">
        <f>+'Libro Diario'!B671</f>
        <v>Asiento de Cierre</v>
      </c>
      <c r="E457" s="139" t="s">
        <v>445</v>
      </c>
      <c r="F457" t="str">
        <f t="shared" si="21"/>
        <v>Sin Mov.</v>
      </c>
      <c r="G457" t="str">
        <f>IF(+'Libro Diario'!H671=0,"",+'Libro Diario'!H671)</f>
        <v/>
      </c>
      <c r="H457" t="str">
        <f>IF(+'Libro Diario'!I671=0,"",+'Libro Diario'!I671)</f>
        <v/>
      </c>
      <c r="I457" t="str">
        <f>+IF(Table3[[#This Row],[Tipo Movimiento]]="Estructura Balance y PyG","Excluir","Incluir")</f>
        <v>Incluir</v>
      </c>
      <c r="J457" s="153">
        <f>+IF(Table3[[#This Row],[Sin cuenta]]="Con Mov.",(IF(Table3[[#This Row],[Movimiento]]="Debe",Table3[[#This Row],[Importe]],IF(Table3[[#This Row],[Movimiento]]="Haber",Table3[[#This Row],[Importe]]*-1,0))),0)</f>
        <v>0</v>
      </c>
      <c r="K457" s="145" t="str">
        <f t="shared" si="22"/>
        <v>Asiento de Cierre</v>
      </c>
      <c r="L457" s="145" t="str">
        <f t="shared" si="23"/>
        <v/>
      </c>
      <c r="M457" t="str">
        <f>_xlfn.XLOOKUP(Table3[[#This Row],[Cuenta]],Estructura_Balance[Nombre Cuenta ()],Estructura_Balance[Grupo],"",0)</f>
        <v/>
      </c>
      <c r="N457" t="str">
        <f>_xlfn.XLOOKUP(Table3[[#This Row],[Cuenta]],Estructura_Balance[Nombre Cuenta ()],Estructura_Balance[Nivel 1],"",0)</f>
        <v/>
      </c>
      <c r="O457" t="str">
        <f>_xlfn.XLOOKUP(Table3[[#This Row],[Cuenta]],Estructura_Balance[Nombre Cuenta ()],Estructura_Balance[Nivel 2],"",0)</f>
        <v/>
      </c>
      <c r="P457" t="str">
        <f>_xlfn.XLOOKUP(Table3[[#This Row],[Cuenta]],Estructura_Balance[Nombre Cuenta ()],Estructura_Balance[Nivel 3],"",0)</f>
        <v/>
      </c>
      <c r="Q457" t="str">
        <f>_xlfn.XLOOKUP(Table3[[#This Row],[Cuenta]],Estructura_Balance[Nombre Cuenta ()],Estructura_Balance[Nivel 4],"",0)</f>
        <v/>
      </c>
      <c r="R457" s="154" t="str">
        <f>_xlfn.XLOOKUP(Table3[[#This Row],[Cuenta]],Table8[Nombre Cuenta ()],Table8[Nivel 1],"",0)</f>
        <v/>
      </c>
      <c r="S457" t="str">
        <f>_xlfn.XLOOKUP(Table3[[#This Row],[Cuenta]],Table8[Nombre Cuenta ()],Table8[Nivel 2],"",0)</f>
        <v/>
      </c>
      <c r="T457" t="str">
        <f>_xlfn.XLOOKUP(Table3[[#This Row],[Cuenta]],Table8[Nombre Cuenta ()],Table8[Nivel 3],"",0)</f>
        <v/>
      </c>
      <c r="U457">
        <v>863</v>
      </c>
      <c r="V457" t="str">
        <f>_xlfn.XLOOKUP(Table3[[#This Row],[Cuenta]],Estructura_Balance[Nombre Cuenta ()],Estructura_Balance[Niveles:2],"",0)</f>
        <v/>
      </c>
      <c r="W457" t="str">
        <f>_xlfn.XLOOKUP(Table3[[#This Row],[Cuenta]],Estructura_Balance[Nombre Cuenta ()],Estructura_Balance[Niveles:3],"",0)</f>
        <v/>
      </c>
      <c r="X457" t="str">
        <f>_xlfn.XLOOKUP(Table3[[#This Row],[Cuenta]],Estructura_Balance[Nombre Cuenta ()],Estructura_Balance[Grupos],"Grupo 1",0)</f>
        <v>Grupo 1</v>
      </c>
      <c r="Y457" t="str">
        <f>+Table3[[#This Row],[BS_Nivel_1]]</f>
        <v/>
      </c>
    </row>
    <row r="458" spans="1:25">
      <c r="A458">
        <f>+'Libro Diario'!F672</f>
        <v>0</v>
      </c>
      <c r="B458" s="144">
        <f>VALUE(IF(+'Libro Diario'!G672="","01/01/2025",+'Libro Diario'!G672))</f>
        <v>45658</v>
      </c>
      <c r="C458">
        <f>IF(ISNUMBER(+IF(IFERROR(VALUE(MID('Libro Diario'!C672,1,4)),0)&lt;&gt;0,'Libro Diario'!C672,0))=FALSE,'Libro Diario'!C672,0)</f>
        <v>0</v>
      </c>
      <c r="D458" s="145" t="str">
        <f>+'Libro Diario'!B672</f>
        <v>Asiento Cuadrado</v>
      </c>
      <c r="E458" s="139" t="s">
        <v>445</v>
      </c>
      <c r="F458" t="str">
        <f t="shared" si="21"/>
        <v>Sin Mov.</v>
      </c>
      <c r="G458" t="str">
        <f>IF(+'Libro Diario'!H672=0,"",+'Libro Diario'!H672)</f>
        <v/>
      </c>
      <c r="H458" t="str">
        <f>IF(+'Libro Diario'!I672=0,"",+'Libro Diario'!I672)</f>
        <v/>
      </c>
      <c r="I458" t="str">
        <f>+IF(Table3[[#This Row],[Tipo Movimiento]]="Estructura Balance y PyG","Excluir","Incluir")</f>
        <v>Incluir</v>
      </c>
      <c r="J458" s="153">
        <f>+IF(Table3[[#This Row],[Sin cuenta]]="Con Mov.",(IF(Table3[[#This Row],[Movimiento]]="Debe",Table3[[#This Row],[Importe]],IF(Table3[[#This Row],[Movimiento]]="Haber",Table3[[#This Row],[Importe]]*-1,0))),0)</f>
        <v>0</v>
      </c>
      <c r="K458" s="145" t="str">
        <f t="shared" si="22"/>
        <v>Asiento Cuadrado</v>
      </c>
      <c r="L458" s="145" t="str">
        <f t="shared" si="23"/>
        <v/>
      </c>
      <c r="M458" t="str">
        <f>_xlfn.XLOOKUP(Table3[[#This Row],[Cuenta]],Estructura_Balance[Nombre Cuenta ()],Estructura_Balance[Grupo],"",0)</f>
        <v/>
      </c>
      <c r="N458" t="str">
        <f>_xlfn.XLOOKUP(Table3[[#This Row],[Cuenta]],Estructura_Balance[Nombre Cuenta ()],Estructura_Balance[Nivel 1],"",0)</f>
        <v/>
      </c>
      <c r="O458" t="str">
        <f>_xlfn.XLOOKUP(Table3[[#This Row],[Cuenta]],Estructura_Balance[Nombre Cuenta ()],Estructura_Balance[Nivel 2],"",0)</f>
        <v/>
      </c>
      <c r="P458" t="str">
        <f>_xlfn.XLOOKUP(Table3[[#This Row],[Cuenta]],Estructura_Balance[Nombre Cuenta ()],Estructura_Balance[Nivel 3],"",0)</f>
        <v/>
      </c>
      <c r="Q458" t="str">
        <f>_xlfn.XLOOKUP(Table3[[#This Row],[Cuenta]],Estructura_Balance[Nombre Cuenta ()],Estructura_Balance[Nivel 4],"",0)</f>
        <v/>
      </c>
      <c r="R458" t="str">
        <f>_xlfn.XLOOKUP(Table3[[#This Row],[Cuenta]],Table8[Nombre Cuenta ()],Table8[Nivel 1],"",0)</f>
        <v/>
      </c>
      <c r="S458" t="str">
        <f>_xlfn.XLOOKUP(Table3[[#This Row],[Cuenta]],Table8[Nombre Cuenta ()],Table8[Nivel 2],"",0)</f>
        <v/>
      </c>
      <c r="T458" t="str">
        <f>_xlfn.XLOOKUP(Table3[[#This Row],[Cuenta]],Table8[Nombre Cuenta ()],Table8[Nivel 3],"",0)</f>
        <v/>
      </c>
      <c r="U458">
        <v>864</v>
      </c>
      <c r="V458" t="str">
        <f>_xlfn.XLOOKUP(Table3[[#This Row],[Cuenta]],Estructura_Balance[Nombre Cuenta ()],Estructura_Balance[Niveles:2],"",0)</f>
        <v/>
      </c>
      <c r="W458" t="str">
        <f>_xlfn.XLOOKUP(Table3[[#This Row],[Cuenta]],Estructura_Balance[Nombre Cuenta ()],Estructura_Balance[Niveles:3],"",0)</f>
        <v/>
      </c>
      <c r="X458" t="str">
        <f>_xlfn.XLOOKUP(Table3[[#This Row],[Cuenta]],Estructura_Balance[Nombre Cuenta ()],Estructura_Balance[Grupos],"Grupo 1",0)</f>
        <v>Grupo 1</v>
      </c>
      <c r="Y458" t="str">
        <f>+Table3[[#This Row],[BS_Nivel_1]]</f>
        <v/>
      </c>
    </row>
    <row r="459" spans="1:25">
      <c r="A459">
        <f>+'Libro Diario'!F673</f>
        <v>0</v>
      </c>
      <c r="B459" s="144">
        <f>VALUE(IF(+'Libro Diario'!G673="","01/01/2025",+'Libro Diario'!G673))</f>
        <v>45658</v>
      </c>
      <c r="C459">
        <f>IF(ISNUMBER(+IF(IFERROR(VALUE(MID('Libro Diario'!C673,1,4)),0)&lt;&gt;0,'Libro Diario'!C673,0))=FALSE,'Libro Diario'!C673,0)</f>
        <v>0</v>
      </c>
      <c r="D459" s="145">
        <f>+'Libro Diario'!B673</f>
        <v>0</v>
      </c>
      <c r="E459" s="139" t="s">
        <v>445</v>
      </c>
      <c r="F459" t="str">
        <f t="shared" si="21"/>
        <v>Sin Mov.</v>
      </c>
      <c r="G459" t="str">
        <f>IF(+'Libro Diario'!H673=0,"",+'Libro Diario'!H673)</f>
        <v/>
      </c>
      <c r="H459" t="str">
        <f>IF(+'Libro Diario'!I673=0,"",+'Libro Diario'!I673)</f>
        <v/>
      </c>
      <c r="I459" t="str">
        <f>+IF(Table3[[#This Row],[Tipo Movimiento]]="Estructura Balance y PyG","Excluir","Incluir")</f>
        <v>Incluir</v>
      </c>
      <c r="J459" s="153">
        <f>+IF(Table3[[#This Row],[Sin cuenta]]="Con Mov.",(IF(Table3[[#This Row],[Movimiento]]="Debe",Table3[[#This Row],[Importe]],IF(Table3[[#This Row],[Movimiento]]="Haber",Table3[[#This Row],[Importe]]*-1,0))),0)</f>
        <v>0</v>
      </c>
      <c r="K459" s="145">
        <f t="shared" si="22"/>
        <v>0</v>
      </c>
      <c r="L459" s="145" t="str">
        <f t="shared" si="23"/>
        <v/>
      </c>
      <c r="M459" t="str">
        <f>_xlfn.XLOOKUP(Table3[[#This Row],[Cuenta]],Estructura_Balance[Nombre Cuenta ()],Estructura_Balance[Grupo],"",0)</f>
        <v/>
      </c>
      <c r="N459" t="str">
        <f>_xlfn.XLOOKUP(Table3[[#This Row],[Cuenta]],Estructura_Balance[Nombre Cuenta ()],Estructura_Balance[Nivel 1],"",0)</f>
        <v/>
      </c>
      <c r="O459" t="str">
        <f>_xlfn.XLOOKUP(Table3[[#This Row],[Cuenta]],Estructura_Balance[Nombre Cuenta ()],Estructura_Balance[Nivel 2],"",0)</f>
        <v/>
      </c>
      <c r="P459" t="str">
        <f>_xlfn.XLOOKUP(Table3[[#This Row],[Cuenta]],Estructura_Balance[Nombre Cuenta ()],Estructura_Balance[Nivel 3],"",0)</f>
        <v/>
      </c>
      <c r="Q459" t="str">
        <f>_xlfn.XLOOKUP(Table3[[#This Row],[Cuenta]],Estructura_Balance[Nombre Cuenta ()],Estructura_Balance[Nivel 4],"",0)</f>
        <v/>
      </c>
      <c r="R459" s="154" t="str">
        <f>_xlfn.XLOOKUP(Table3[[#This Row],[Cuenta]],Table8[Nombre Cuenta ()],Table8[Nivel 1],"",0)</f>
        <v/>
      </c>
      <c r="S459" t="str">
        <f>_xlfn.XLOOKUP(Table3[[#This Row],[Cuenta]],Table8[Nombre Cuenta ()],Table8[Nivel 2],"",0)</f>
        <v/>
      </c>
      <c r="T459" t="str">
        <f>_xlfn.XLOOKUP(Table3[[#This Row],[Cuenta]],Table8[Nombre Cuenta ()],Table8[Nivel 3],"",0)</f>
        <v/>
      </c>
      <c r="U459">
        <v>865</v>
      </c>
      <c r="V459" t="str">
        <f>_xlfn.XLOOKUP(Table3[[#This Row],[Cuenta]],Estructura_Balance[Nombre Cuenta ()],Estructura_Balance[Niveles:2],"",0)</f>
        <v/>
      </c>
      <c r="W459" t="str">
        <f>_xlfn.XLOOKUP(Table3[[#This Row],[Cuenta]],Estructura_Balance[Nombre Cuenta ()],Estructura_Balance[Niveles:3],"",0)</f>
        <v/>
      </c>
      <c r="X459" t="str">
        <f>_xlfn.XLOOKUP(Table3[[#This Row],[Cuenta]],Estructura_Balance[Nombre Cuenta ()],Estructura_Balance[Grupos],"Grupo 1",0)</f>
        <v>Grupo 1</v>
      </c>
      <c r="Y459" t="str">
        <f>+Table3[[#This Row],[BS_Nivel_1]]</f>
        <v/>
      </c>
    </row>
    <row r="460" spans="1:25">
      <c r="A460">
        <f>+'Libro Diario'!F674</f>
        <v>0</v>
      </c>
      <c r="B460" s="144">
        <f>VALUE(IF(+'Libro Diario'!G674="","01/01/2025",+'Libro Diario'!G674))</f>
        <v>45658</v>
      </c>
      <c r="C460">
        <f>IF(ISNUMBER(+IF(IFERROR(VALUE(MID('Libro Diario'!C674,1,4)),0)&lt;&gt;0,'Libro Diario'!C674,0))=FALSE,'Libro Diario'!C674,0)</f>
        <v>0</v>
      </c>
      <c r="D460" s="145" t="str">
        <f>+'Libro Diario'!B674</f>
        <v>DEBE</v>
      </c>
      <c r="E460" s="139" t="s">
        <v>445</v>
      </c>
      <c r="F460" t="str">
        <f t="shared" si="21"/>
        <v>Sin Mov.</v>
      </c>
      <c r="G460" t="str">
        <f>IF(+'Libro Diario'!H674=0,"",+'Libro Diario'!H674)</f>
        <v/>
      </c>
      <c r="H460" t="str">
        <f>IF(+'Libro Diario'!I674=0,"",+'Libro Diario'!I674)</f>
        <v/>
      </c>
      <c r="I460" t="str">
        <f>+IF(Table3[[#This Row],[Tipo Movimiento]]="Estructura Balance y PyG","Excluir","Incluir")</f>
        <v>Incluir</v>
      </c>
      <c r="J460" s="153">
        <f>+IF(Table3[[#This Row],[Sin cuenta]]="Con Mov.",(IF(Table3[[#This Row],[Movimiento]]="Debe",Table3[[#This Row],[Importe]],IF(Table3[[#This Row],[Movimiento]]="Haber",Table3[[#This Row],[Importe]]*-1,0))),0)</f>
        <v>0</v>
      </c>
      <c r="K460" s="145" t="str">
        <f t="shared" si="22"/>
        <v>DEBE</v>
      </c>
      <c r="L460" s="145" t="str">
        <f t="shared" si="23"/>
        <v/>
      </c>
      <c r="M460" t="str">
        <f>_xlfn.XLOOKUP(Table3[[#This Row],[Cuenta]],Estructura_Balance[Nombre Cuenta ()],Estructura_Balance[Grupo],"",0)</f>
        <v/>
      </c>
      <c r="N460" t="str">
        <f>_xlfn.XLOOKUP(Table3[[#This Row],[Cuenta]],Estructura_Balance[Nombre Cuenta ()],Estructura_Balance[Nivel 1],"",0)</f>
        <v/>
      </c>
      <c r="O460" t="str">
        <f>_xlfn.XLOOKUP(Table3[[#This Row],[Cuenta]],Estructura_Balance[Nombre Cuenta ()],Estructura_Balance[Nivel 2],"",0)</f>
        <v/>
      </c>
      <c r="P460" t="str">
        <f>_xlfn.XLOOKUP(Table3[[#This Row],[Cuenta]],Estructura_Balance[Nombre Cuenta ()],Estructura_Balance[Nivel 3],"",0)</f>
        <v/>
      </c>
      <c r="Q460" t="str">
        <f>_xlfn.XLOOKUP(Table3[[#This Row],[Cuenta]],Estructura_Balance[Nombre Cuenta ()],Estructura_Balance[Nivel 4],"",0)</f>
        <v/>
      </c>
      <c r="R460" t="str">
        <f>_xlfn.XLOOKUP(Table3[[#This Row],[Cuenta]],Table8[Nombre Cuenta ()],Table8[Nivel 1],"",0)</f>
        <v/>
      </c>
      <c r="S460" t="str">
        <f>_xlfn.XLOOKUP(Table3[[#This Row],[Cuenta]],Table8[Nombre Cuenta ()],Table8[Nivel 2],"",0)</f>
        <v/>
      </c>
      <c r="T460" t="str">
        <f>_xlfn.XLOOKUP(Table3[[#This Row],[Cuenta]],Table8[Nombre Cuenta ()],Table8[Nivel 3],"",0)</f>
        <v/>
      </c>
      <c r="U460">
        <v>866</v>
      </c>
      <c r="V460" t="str">
        <f>_xlfn.XLOOKUP(Table3[[#This Row],[Cuenta]],Estructura_Balance[Nombre Cuenta ()],Estructura_Balance[Niveles:2],"",0)</f>
        <v/>
      </c>
      <c r="W460" t="str">
        <f>_xlfn.XLOOKUP(Table3[[#This Row],[Cuenta]],Estructura_Balance[Nombre Cuenta ()],Estructura_Balance[Niveles:3],"",0)</f>
        <v/>
      </c>
      <c r="X460" t="str">
        <f>_xlfn.XLOOKUP(Table3[[#This Row],[Cuenta]],Estructura_Balance[Nombre Cuenta ()],Estructura_Balance[Grupos],"Grupo 1",0)</f>
        <v>Grupo 1</v>
      </c>
      <c r="Y460" t="str">
        <f>+Table3[[#This Row],[BS_Nivel_1]]</f>
        <v/>
      </c>
    </row>
    <row r="461" spans="1:25">
      <c r="A461">
        <f>+'Libro Diario'!F675</f>
        <v>0</v>
      </c>
      <c r="B461" s="144">
        <f>VALUE(IF(+'Libro Diario'!G675="","01/01/2025",+'Libro Diario'!G675))</f>
        <v>45658</v>
      </c>
      <c r="C461">
        <f>IF(ISNUMBER(+IF(IFERROR(VALUE(MID('Libro Diario'!C675,1,4)),0)&lt;&gt;0,'Libro Diario'!C675,0))=FALSE,'Libro Diario'!C675,0)</f>
        <v>0</v>
      </c>
      <c r="D461" s="145">
        <f>+'Libro Diario'!B675</f>
        <v>0</v>
      </c>
      <c r="E461" s="139" t="s">
        <v>445</v>
      </c>
      <c r="F461" t="str">
        <f t="shared" si="21"/>
        <v>Sin Mov.</v>
      </c>
      <c r="G461" t="str">
        <f>IF(+'Libro Diario'!H675=0,"",+'Libro Diario'!H675)</f>
        <v/>
      </c>
      <c r="H461" t="str">
        <f>IF(+'Libro Diario'!I675=0,"",+'Libro Diario'!I675)</f>
        <v/>
      </c>
      <c r="I461" t="str">
        <f>+IF(Table3[[#This Row],[Tipo Movimiento]]="Estructura Balance y PyG","Excluir","Incluir")</f>
        <v>Incluir</v>
      </c>
      <c r="J461" s="153">
        <f>+IF(Table3[[#This Row],[Sin cuenta]]="Con Mov.",(IF(Table3[[#This Row],[Movimiento]]="Debe",Table3[[#This Row],[Importe]],IF(Table3[[#This Row],[Movimiento]]="Haber",Table3[[#This Row],[Importe]]*-1,0))),0)</f>
        <v>0</v>
      </c>
      <c r="K461" s="145">
        <f t="shared" si="22"/>
        <v>0</v>
      </c>
      <c r="L461" s="145" t="str">
        <f t="shared" si="23"/>
        <v/>
      </c>
      <c r="M461" t="str">
        <f>_xlfn.XLOOKUP(Table3[[#This Row],[Cuenta]],Estructura_Balance[Nombre Cuenta ()],Estructura_Balance[Grupo],"",0)</f>
        <v/>
      </c>
      <c r="N461" t="str">
        <f>_xlfn.XLOOKUP(Table3[[#This Row],[Cuenta]],Estructura_Balance[Nombre Cuenta ()],Estructura_Balance[Nivel 1],"",0)</f>
        <v/>
      </c>
      <c r="O461" t="str">
        <f>_xlfn.XLOOKUP(Table3[[#This Row],[Cuenta]],Estructura_Balance[Nombre Cuenta ()],Estructura_Balance[Nivel 2],"",0)</f>
        <v/>
      </c>
      <c r="P461" t="str">
        <f>_xlfn.XLOOKUP(Table3[[#This Row],[Cuenta]],Estructura_Balance[Nombre Cuenta ()],Estructura_Balance[Nivel 3],"",0)</f>
        <v/>
      </c>
      <c r="Q461" t="str">
        <f>_xlfn.XLOOKUP(Table3[[#This Row],[Cuenta]],Estructura_Balance[Nombre Cuenta ()],Estructura_Balance[Nivel 4],"",0)</f>
        <v/>
      </c>
      <c r="R461" s="154" t="str">
        <f>_xlfn.XLOOKUP(Table3[[#This Row],[Cuenta]],Table8[Nombre Cuenta ()],Table8[Nivel 1],"",0)</f>
        <v/>
      </c>
      <c r="S461" t="str">
        <f>_xlfn.XLOOKUP(Table3[[#This Row],[Cuenta]],Table8[Nombre Cuenta ()],Table8[Nivel 2],"",0)</f>
        <v/>
      </c>
      <c r="T461" t="str">
        <f>_xlfn.XLOOKUP(Table3[[#This Row],[Cuenta]],Table8[Nombre Cuenta ()],Table8[Nivel 3],"",0)</f>
        <v/>
      </c>
      <c r="U461">
        <v>867</v>
      </c>
      <c r="V461" t="str">
        <f>_xlfn.XLOOKUP(Table3[[#This Row],[Cuenta]],Estructura_Balance[Nombre Cuenta ()],Estructura_Balance[Niveles:2],"",0)</f>
        <v/>
      </c>
      <c r="W461" t="str">
        <f>_xlfn.XLOOKUP(Table3[[#This Row],[Cuenta]],Estructura_Balance[Nombre Cuenta ()],Estructura_Balance[Niveles:3],"",0)</f>
        <v/>
      </c>
      <c r="X461" t="str">
        <f>_xlfn.XLOOKUP(Table3[[#This Row],[Cuenta]],Estructura_Balance[Nombre Cuenta ()],Estructura_Balance[Grupos],"Grupo 1",0)</f>
        <v>Grupo 1</v>
      </c>
      <c r="Y461" t="str">
        <f>+Table3[[#This Row],[BS_Nivel_1]]</f>
        <v/>
      </c>
    </row>
    <row r="462" spans="1:25">
      <c r="A462">
        <f>+'Libro Diario'!F676</f>
        <v>79</v>
      </c>
      <c r="B462" s="144">
        <f>VALUE(IF(+'Libro Diario'!G676="","01/01/2025",+'Libro Diario'!G676))</f>
        <v>0</v>
      </c>
      <c r="C462">
        <f>IF(ISNUMBER(+IF(IFERROR(VALUE(MID('Libro Diario'!C676,1,4)),0)&lt;&gt;0,'Libro Diario'!C676,0))=FALSE,'Libro Diario'!C676,0)</f>
        <v>0</v>
      </c>
      <c r="D462" s="145">
        <f>+'Libro Diario'!B676</f>
        <v>0</v>
      </c>
      <c r="E462" s="139" t="s">
        <v>445</v>
      </c>
      <c r="F462" t="str">
        <f t="shared" si="21"/>
        <v>Sin Mov.</v>
      </c>
      <c r="G462" t="str">
        <f>IF(+'Libro Diario'!H676=0,"",+'Libro Diario'!H676)</f>
        <v/>
      </c>
      <c r="H462" t="str">
        <f>IF(+'Libro Diario'!I676=0,"",+'Libro Diario'!I676)</f>
        <v/>
      </c>
      <c r="I462" t="str">
        <f>+IF(Table3[[#This Row],[Tipo Movimiento]]="Estructura Balance y PyG","Excluir","Incluir")</f>
        <v>Incluir</v>
      </c>
      <c r="J462" s="153">
        <f>+IF(Table3[[#This Row],[Sin cuenta]]="Con Mov.",(IF(Table3[[#This Row],[Movimiento]]="Debe",Table3[[#This Row],[Importe]],IF(Table3[[#This Row],[Movimiento]]="Haber",Table3[[#This Row],[Importe]]*-1,0))),0)</f>
        <v>0</v>
      </c>
      <c r="K462" s="145">
        <f t="shared" si="22"/>
        <v>0</v>
      </c>
      <c r="L462" s="145" t="str">
        <f t="shared" si="23"/>
        <v/>
      </c>
      <c r="M462" t="str">
        <f>_xlfn.XLOOKUP(Table3[[#This Row],[Cuenta]],Estructura_Balance[Nombre Cuenta ()],Estructura_Balance[Grupo],"",0)</f>
        <v/>
      </c>
      <c r="N462" t="str">
        <f>_xlfn.XLOOKUP(Table3[[#This Row],[Cuenta]],Estructura_Balance[Nombre Cuenta ()],Estructura_Balance[Nivel 1],"",0)</f>
        <v/>
      </c>
      <c r="O462" t="str">
        <f>_xlfn.XLOOKUP(Table3[[#This Row],[Cuenta]],Estructura_Balance[Nombre Cuenta ()],Estructura_Balance[Nivel 2],"",0)</f>
        <v/>
      </c>
      <c r="P462" t="str">
        <f>_xlfn.XLOOKUP(Table3[[#This Row],[Cuenta]],Estructura_Balance[Nombre Cuenta ()],Estructura_Balance[Nivel 3],"",0)</f>
        <v/>
      </c>
      <c r="Q462" t="str">
        <f>_xlfn.XLOOKUP(Table3[[#This Row],[Cuenta]],Estructura_Balance[Nombre Cuenta ()],Estructura_Balance[Nivel 4],"",0)</f>
        <v/>
      </c>
      <c r="R462" t="str">
        <f>_xlfn.XLOOKUP(Table3[[#This Row],[Cuenta]],Table8[Nombre Cuenta ()],Table8[Nivel 1],"",0)</f>
        <v/>
      </c>
      <c r="S462" t="str">
        <f>_xlfn.XLOOKUP(Table3[[#This Row],[Cuenta]],Table8[Nombre Cuenta ()],Table8[Nivel 2],"",0)</f>
        <v/>
      </c>
      <c r="T462" t="str">
        <f>_xlfn.XLOOKUP(Table3[[#This Row],[Cuenta]],Table8[Nombre Cuenta ()],Table8[Nivel 3],"",0)</f>
        <v/>
      </c>
      <c r="U462">
        <v>868</v>
      </c>
      <c r="V462" t="str">
        <f>_xlfn.XLOOKUP(Table3[[#This Row],[Cuenta]],Estructura_Balance[Nombre Cuenta ()],Estructura_Balance[Niveles:2],"",0)</f>
        <v/>
      </c>
      <c r="W462" t="str">
        <f>_xlfn.XLOOKUP(Table3[[#This Row],[Cuenta]],Estructura_Balance[Nombre Cuenta ()],Estructura_Balance[Niveles:3],"",0)</f>
        <v/>
      </c>
      <c r="X462" t="str">
        <f>_xlfn.XLOOKUP(Table3[[#This Row],[Cuenta]],Estructura_Balance[Nombre Cuenta ()],Estructura_Balance[Grupos],"Grupo 1",0)</f>
        <v>Grupo 1</v>
      </c>
      <c r="Y462" t="str">
        <f>+Table3[[#This Row],[BS_Nivel_1]]</f>
        <v/>
      </c>
    </row>
    <row r="463" spans="1:25">
      <c r="A463">
        <f>+'Libro Diario'!F677</f>
        <v>79</v>
      </c>
      <c r="B463" s="144">
        <f>VALUE(IF(+'Libro Diario'!G677="","01/01/2025",+'Libro Diario'!G677))</f>
        <v>0</v>
      </c>
      <c r="C463">
        <f>IF(ISNUMBER(+IF(IFERROR(VALUE(MID('Libro Diario'!C677,1,4)),0)&lt;&gt;0,'Libro Diario'!C677,0))=FALSE,'Libro Diario'!C677,0)</f>
        <v>0</v>
      </c>
      <c r="D463" s="145">
        <f>+'Libro Diario'!B677</f>
        <v>0</v>
      </c>
      <c r="E463" s="139" t="s">
        <v>445</v>
      </c>
      <c r="F463" t="str">
        <f t="shared" si="21"/>
        <v>Sin Mov.</v>
      </c>
      <c r="G463" t="str">
        <f>IF(+'Libro Diario'!H677=0,"",+'Libro Diario'!H677)</f>
        <v/>
      </c>
      <c r="H463" t="str">
        <f>IF(+'Libro Diario'!I677=0,"",+'Libro Diario'!I677)</f>
        <v/>
      </c>
      <c r="I463" t="str">
        <f>+IF(Table3[[#This Row],[Tipo Movimiento]]="Estructura Balance y PyG","Excluir","Incluir")</f>
        <v>Incluir</v>
      </c>
      <c r="J463" s="153">
        <f>+IF(Table3[[#This Row],[Sin cuenta]]="Con Mov.",(IF(Table3[[#This Row],[Movimiento]]="Debe",Table3[[#This Row],[Importe]],IF(Table3[[#This Row],[Movimiento]]="Haber",Table3[[#This Row],[Importe]]*-1,0))),0)</f>
        <v>0</v>
      </c>
      <c r="K463" s="145">
        <f t="shared" si="22"/>
        <v>0</v>
      </c>
      <c r="L463" s="145" t="str">
        <f t="shared" si="23"/>
        <v/>
      </c>
      <c r="M463" t="str">
        <f>_xlfn.XLOOKUP(Table3[[#This Row],[Cuenta]],Estructura_Balance[Nombre Cuenta ()],Estructura_Balance[Grupo],"",0)</f>
        <v/>
      </c>
      <c r="N463" t="str">
        <f>_xlfn.XLOOKUP(Table3[[#This Row],[Cuenta]],Estructura_Balance[Nombre Cuenta ()],Estructura_Balance[Nivel 1],"",0)</f>
        <v/>
      </c>
      <c r="O463" t="str">
        <f>_xlfn.XLOOKUP(Table3[[#This Row],[Cuenta]],Estructura_Balance[Nombre Cuenta ()],Estructura_Balance[Nivel 2],"",0)</f>
        <v/>
      </c>
      <c r="P463" t="str">
        <f>_xlfn.XLOOKUP(Table3[[#This Row],[Cuenta]],Estructura_Balance[Nombre Cuenta ()],Estructura_Balance[Nivel 3],"",0)</f>
        <v/>
      </c>
      <c r="Q463" t="str">
        <f>_xlfn.XLOOKUP(Table3[[#This Row],[Cuenta]],Estructura_Balance[Nombre Cuenta ()],Estructura_Balance[Nivel 4],"",0)</f>
        <v/>
      </c>
      <c r="R463" s="154" t="str">
        <f>_xlfn.XLOOKUP(Table3[[#This Row],[Cuenta]],Table8[Nombre Cuenta ()],Table8[Nivel 1],"",0)</f>
        <v/>
      </c>
      <c r="S463" t="str">
        <f>_xlfn.XLOOKUP(Table3[[#This Row],[Cuenta]],Table8[Nombre Cuenta ()],Table8[Nivel 2],"",0)</f>
        <v/>
      </c>
      <c r="T463" t="str">
        <f>_xlfn.XLOOKUP(Table3[[#This Row],[Cuenta]],Table8[Nombre Cuenta ()],Table8[Nivel 3],"",0)</f>
        <v/>
      </c>
      <c r="U463">
        <v>869</v>
      </c>
      <c r="V463" t="str">
        <f>_xlfn.XLOOKUP(Table3[[#This Row],[Cuenta]],Estructura_Balance[Nombre Cuenta ()],Estructura_Balance[Niveles:2],"",0)</f>
        <v/>
      </c>
      <c r="W463" t="str">
        <f>_xlfn.XLOOKUP(Table3[[#This Row],[Cuenta]],Estructura_Balance[Nombre Cuenta ()],Estructura_Balance[Niveles:3],"",0)</f>
        <v/>
      </c>
      <c r="X463" t="str">
        <f>_xlfn.XLOOKUP(Table3[[#This Row],[Cuenta]],Estructura_Balance[Nombre Cuenta ()],Estructura_Balance[Grupos],"Grupo 1",0)</f>
        <v>Grupo 1</v>
      </c>
      <c r="Y463" t="str">
        <f>+Table3[[#This Row],[BS_Nivel_1]]</f>
        <v/>
      </c>
    </row>
    <row r="464" spans="1:25">
      <c r="A464">
        <f>+'Libro Diario'!F678</f>
        <v>0</v>
      </c>
      <c r="B464" s="144">
        <f>VALUE(IF(+'Libro Diario'!G678="","01/01/2025",+'Libro Diario'!G678))</f>
        <v>45658</v>
      </c>
      <c r="C464">
        <f>IF(ISNUMBER(+IF(IFERROR(VALUE(MID('Libro Diario'!C678,1,4)),0)&lt;&gt;0,'Libro Diario'!C678,0))=FALSE,'Libro Diario'!C678,0)</f>
        <v>0</v>
      </c>
      <c r="D464" s="145">
        <f>+'Libro Diario'!B678</f>
        <v>0</v>
      </c>
      <c r="E464" s="139" t="s">
        <v>445</v>
      </c>
      <c r="F464" t="str">
        <f t="shared" si="21"/>
        <v>Sin Mov.</v>
      </c>
      <c r="G464" t="str">
        <f>IF(+'Libro Diario'!H678=0,"",+'Libro Diario'!H678)</f>
        <v/>
      </c>
      <c r="H464" t="str">
        <f>IF(+'Libro Diario'!I678=0,"",+'Libro Diario'!I678)</f>
        <v/>
      </c>
      <c r="I464" t="str">
        <f>+IF(Table3[[#This Row],[Tipo Movimiento]]="Estructura Balance y PyG","Excluir","Incluir")</f>
        <v>Incluir</v>
      </c>
      <c r="J464" s="153">
        <f>+IF(Table3[[#This Row],[Sin cuenta]]="Con Mov.",(IF(Table3[[#This Row],[Movimiento]]="Debe",Table3[[#This Row],[Importe]],IF(Table3[[#This Row],[Movimiento]]="Haber",Table3[[#This Row],[Importe]]*-1,0))),0)</f>
        <v>0</v>
      </c>
      <c r="K464" s="145">
        <f t="shared" si="22"/>
        <v>0</v>
      </c>
      <c r="L464" s="145" t="str">
        <f t="shared" si="23"/>
        <v/>
      </c>
      <c r="M464" t="str">
        <f>_xlfn.XLOOKUP(Table3[[#This Row],[Cuenta]],Estructura_Balance[Nombre Cuenta ()],Estructura_Balance[Grupo],"",0)</f>
        <v/>
      </c>
      <c r="N464" t="str">
        <f>_xlfn.XLOOKUP(Table3[[#This Row],[Cuenta]],Estructura_Balance[Nombre Cuenta ()],Estructura_Balance[Nivel 1],"",0)</f>
        <v/>
      </c>
      <c r="O464" t="str">
        <f>_xlfn.XLOOKUP(Table3[[#This Row],[Cuenta]],Estructura_Balance[Nombre Cuenta ()],Estructura_Balance[Nivel 2],"",0)</f>
        <v/>
      </c>
      <c r="P464" t="str">
        <f>_xlfn.XLOOKUP(Table3[[#This Row],[Cuenta]],Estructura_Balance[Nombre Cuenta ()],Estructura_Balance[Nivel 3],"",0)</f>
        <v/>
      </c>
      <c r="Q464" t="str">
        <f>_xlfn.XLOOKUP(Table3[[#This Row],[Cuenta]],Estructura_Balance[Nombre Cuenta ()],Estructura_Balance[Nivel 4],"",0)</f>
        <v/>
      </c>
      <c r="R464" t="str">
        <f>_xlfn.XLOOKUP(Table3[[#This Row],[Cuenta]],Table8[Nombre Cuenta ()],Table8[Nivel 1],"",0)</f>
        <v/>
      </c>
      <c r="S464" t="str">
        <f>_xlfn.XLOOKUP(Table3[[#This Row],[Cuenta]],Table8[Nombre Cuenta ()],Table8[Nivel 2],"",0)</f>
        <v/>
      </c>
      <c r="T464" t="str">
        <f>_xlfn.XLOOKUP(Table3[[#This Row],[Cuenta]],Table8[Nombre Cuenta ()],Table8[Nivel 3],"",0)</f>
        <v/>
      </c>
      <c r="U464">
        <v>870</v>
      </c>
      <c r="V464" t="str">
        <f>_xlfn.XLOOKUP(Table3[[#This Row],[Cuenta]],Estructura_Balance[Nombre Cuenta ()],Estructura_Balance[Niveles:2],"",0)</f>
        <v/>
      </c>
      <c r="W464" t="str">
        <f>_xlfn.XLOOKUP(Table3[[#This Row],[Cuenta]],Estructura_Balance[Nombre Cuenta ()],Estructura_Balance[Niveles:3],"",0)</f>
        <v/>
      </c>
      <c r="X464" t="str">
        <f>_xlfn.XLOOKUP(Table3[[#This Row],[Cuenta]],Estructura_Balance[Nombre Cuenta ()],Estructura_Balance[Grupos],"Grupo 1",0)</f>
        <v>Grupo 1</v>
      </c>
      <c r="Y464" t="str">
        <f>+Table3[[#This Row],[BS_Nivel_1]]</f>
        <v/>
      </c>
    </row>
    <row r="465" spans="1:25">
      <c r="A465">
        <f>+'Libro Diario'!F679</f>
        <v>0</v>
      </c>
      <c r="B465" s="144">
        <f>VALUE(IF(+'Libro Diario'!G679="","01/01/2025",+'Libro Diario'!G679))</f>
        <v>45658</v>
      </c>
      <c r="C465">
        <f>IF(ISNUMBER(+IF(IFERROR(VALUE(MID('Libro Diario'!C679,1,4)),0)&lt;&gt;0,'Libro Diario'!C679,0))=FALSE,'Libro Diario'!C679,0)</f>
        <v>0</v>
      </c>
      <c r="D465" s="145" t="str">
        <f>+'Libro Diario'!B679</f>
        <v>Asiento Cuadrado</v>
      </c>
      <c r="E465" s="139" t="s">
        <v>445</v>
      </c>
      <c r="F465" t="str">
        <f t="shared" si="21"/>
        <v>Sin Mov.</v>
      </c>
      <c r="G465" t="str">
        <f>IF(+'Libro Diario'!H679=0,"",+'Libro Diario'!H679)</f>
        <v/>
      </c>
      <c r="H465" t="str">
        <f>IF(+'Libro Diario'!I679=0,"",+'Libro Diario'!I679)</f>
        <v/>
      </c>
      <c r="I465" t="str">
        <f>+IF(Table3[[#This Row],[Tipo Movimiento]]="Estructura Balance y PyG","Excluir","Incluir")</f>
        <v>Incluir</v>
      </c>
      <c r="J465" s="153">
        <f>+IF(Table3[[#This Row],[Sin cuenta]]="Con Mov.",(IF(Table3[[#This Row],[Movimiento]]="Debe",Table3[[#This Row],[Importe]],IF(Table3[[#This Row],[Movimiento]]="Haber",Table3[[#This Row],[Importe]]*-1,0))),0)</f>
        <v>0</v>
      </c>
      <c r="K465" s="145" t="str">
        <f t="shared" si="22"/>
        <v>Asiento Cuadrado</v>
      </c>
      <c r="L465" s="145" t="str">
        <f t="shared" si="23"/>
        <v/>
      </c>
      <c r="M465" t="str">
        <f>_xlfn.XLOOKUP(Table3[[#This Row],[Cuenta]],Estructura_Balance[Nombre Cuenta ()],Estructura_Balance[Grupo],"",0)</f>
        <v/>
      </c>
      <c r="N465" t="str">
        <f>_xlfn.XLOOKUP(Table3[[#This Row],[Cuenta]],Estructura_Balance[Nombre Cuenta ()],Estructura_Balance[Nivel 1],"",0)</f>
        <v/>
      </c>
      <c r="O465" t="str">
        <f>_xlfn.XLOOKUP(Table3[[#This Row],[Cuenta]],Estructura_Balance[Nombre Cuenta ()],Estructura_Balance[Nivel 2],"",0)</f>
        <v/>
      </c>
      <c r="P465" t="str">
        <f>_xlfn.XLOOKUP(Table3[[#This Row],[Cuenta]],Estructura_Balance[Nombre Cuenta ()],Estructura_Balance[Nivel 3],"",0)</f>
        <v/>
      </c>
      <c r="Q465" t="str">
        <f>_xlfn.XLOOKUP(Table3[[#This Row],[Cuenta]],Estructura_Balance[Nombre Cuenta ()],Estructura_Balance[Nivel 4],"",0)</f>
        <v/>
      </c>
      <c r="R465" s="154" t="str">
        <f>_xlfn.XLOOKUP(Table3[[#This Row],[Cuenta]],Table8[Nombre Cuenta ()],Table8[Nivel 1],"",0)</f>
        <v/>
      </c>
      <c r="S465" t="str">
        <f>_xlfn.XLOOKUP(Table3[[#This Row],[Cuenta]],Table8[Nombre Cuenta ()],Table8[Nivel 2],"",0)</f>
        <v/>
      </c>
      <c r="T465" t="str">
        <f>_xlfn.XLOOKUP(Table3[[#This Row],[Cuenta]],Table8[Nombre Cuenta ()],Table8[Nivel 3],"",0)</f>
        <v/>
      </c>
      <c r="U465">
        <v>871</v>
      </c>
      <c r="V465" t="str">
        <f>_xlfn.XLOOKUP(Table3[[#This Row],[Cuenta]],Estructura_Balance[Nombre Cuenta ()],Estructura_Balance[Niveles:2],"",0)</f>
        <v/>
      </c>
      <c r="W465" t="str">
        <f>_xlfn.XLOOKUP(Table3[[#This Row],[Cuenta]],Estructura_Balance[Nombre Cuenta ()],Estructura_Balance[Niveles:3],"",0)</f>
        <v/>
      </c>
      <c r="X465" t="str">
        <f>_xlfn.XLOOKUP(Table3[[#This Row],[Cuenta]],Estructura_Balance[Nombre Cuenta ()],Estructura_Balance[Grupos],"Grupo 1",0)</f>
        <v>Grupo 1</v>
      </c>
      <c r="Y465" t="str">
        <f>+Table3[[#This Row],[BS_Nivel_1]]</f>
        <v/>
      </c>
    </row>
    <row r="466" spans="1:25">
      <c r="A466">
        <f>+'Libro Diario'!F680</f>
        <v>0</v>
      </c>
      <c r="B466" s="144">
        <f>VALUE(IF(+'Libro Diario'!G680="","01/01/2025",+'Libro Diario'!G680))</f>
        <v>45658</v>
      </c>
      <c r="C466">
        <f>IF(ISNUMBER(+IF(IFERROR(VALUE(MID('Libro Diario'!C680,1,4)),0)&lt;&gt;0,'Libro Diario'!C680,0))=FALSE,'Libro Diario'!C680,0)</f>
        <v>0</v>
      </c>
      <c r="D466" s="145">
        <f>+'Libro Diario'!B680</f>
        <v>0</v>
      </c>
      <c r="E466" s="139" t="s">
        <v>445</v>
      </c>
      <c r="F466" t="str">
        <f t="shared" si="21"/>
        <v>Sin Mov.</v>
      </c>
      <c r="G466" t="str">
        <f>IF(+'Libro Diario'!H680=0,"",+'Libro Diario'!H680)</f>
        <v/>
      </c>
      <c r="H466" t="str">
        <f>IF(+'Libro Diario'!I680=0,"",+'Libro Diario'!I680)</f>
        <v/>
      </c>
      <c r="I466" t="str">
        <f>+IF(Table3[[#This Row],[Tipo Movimiento]]="Estructura Balance y PyG","Excluir","Incluir")</f>
        <v>Incluir</v>
      </c>
      <c r="J466" s="153">
        <f>+IF(Table3[[#This Row],[Sin cuenta]]="Con Mov.",(IF(Table3[[#This Row],[Movimiento]]="Debe",Table3[[#This Row],[Importe]],IF(Table3[[#This Row],[Movimiento]]="Haber",Table3[[#This Row],[Importe]]*-1,0))),0)</f>
        <v>0</v>
      </c>
      <c r="K466" s="145">
        <f t="shared" si="22"/>
        <v>0</v>
      </c>
      <c r="L466" s="145" t="str">
        <f t="shared" si="23"/>
        <v/>
      </c>
      <c r="M466" t="str">
        <f>_xlfn.XLOOKUP(Table3[[#This Row],[Cuenta]],Estructura_Balance[Nombre Cuenta ()],Estructura_Balance[Grupo],"",0)</f>
        <v/>
      </c>
      <c r="N466" t="str">
        <f>_xlfn.XLOOKUP(Table3[[#This Row],[Cuenta]],Estructura_Balance[Nombre Cuenta ()],Estructura_Balance[Nivel 1],"",0)</f>
        <v/>
      </c>
      <c r="O466" t="str">
        <f>_xlfn.XLOOKUP(Table3[[#This Row],[Cuenta]],Estructura_Balance[Nombre Cuenta ()],Estructura_Balance[Nivel 2],"",0)</f>
        <v/>
      </c>
      <c r="P466" t="str">
        <f>_xlfn.XLOOKUP(Table3[[#This Row],[Cuenta]],Estructura_Balance[Nombre Cuenta ()],Estructura_Balance[Nivel 3],"",0)</f>
        <v/>
      </c>
      <c r="Q466" t="str">
        <f>_xlfn.XLOOKUP(Table3[[#This Row],[Cuenta]],Estructura_Balance[Nombre Cuenta ()],Estructura_Balance[Nivel 4],"",0)</f>
        <v/>
      </c>
      <c r="R466" t="str">
        <f>_xlfn.XLOOKUP(Table3[[#This Row],[Cuenta]],Table8[Nombre Cuenta ()],Table8[Nivel 1],"",0)</f>
        <v/>
      </c>
      <c r="S466" t="str">
        <f>_xlfn.XLOOKUP(Table3[[#This Row],[Cuenta]],Table8[Nombre Cuenta ()],Table8[Nivel 2],"",0)</f>
        <v/>
      </c>
      <c r="T466" t="str">
        <f>_xlfn.XLOOKUP(Table3[[#This Row],[Cuenta]],Table8[Nombre Cuenta ()],Table8[Nivel 3],"",0)</f>
        <v/>
      </c>
      <c r="U466">
        <v>872</v>
      </c>
      <c r="V466" t="str">
        <f>_xlfn.XLOOKUP(Table3[[#This Row],[Cuenta]],Estructura_Balance[Nombre Cuenta ()],Estructura_Balance[Niveles:2],"",0)</f>
        <v/>
      </c>
      <c r="W466" t="str">
        <f>_xlfn.XLOOKUP(Table3[[#This Row],[Cuenta]],Estructura_Balance[Nombre Cuenta ()],Estructura_Balance[Niveles:3],"",0)</f>
        <v/>
      </c>
      <c r="X466" t="str">
        <f>_xlfn.XLOOKUP(Table3[[#This Row],[Cuenta]],Estructura_Balance[Nombre Cuenta ()],Estructura_Balance[Grupos],"Grupo 1",0)</f>
        <v>Grupo 1</v>
      </c>
      <c r="Y466" t="str">
        <f>+Table3[[#This Row],[BS_Nivel_1]]</f>
        <v/>
      </c>
    </row>
    <row r="467" spans="1:25">
      <c r="A467">
        <f>+'Libro Diario'!F681</f>
        <v>0</v>
      </c>
      <c r="B467" s="144">
        <f>VALUE(IF(+'Libro Diario'!G681="","01/01/2025",+'Libro Diario'!G681))</f>
        <v>45658</v>
      </c>
      <c r="C467">
        <f>IF(ISNUMBER(+IF(IFERROR(VALUE(MID('Libro Diario'!C681,1,4)),0)&lt;&gt;0,'Libro Diario'!C681,0))=FALSE,'Libro Diario'!C681,0)</f>
        <v>0</v>
      </c>
      <c r="D467" s="145" t="str">
        <f>+'Libro Diario'!B681</f>
        <v>DEBE</v>
      </c>
      <c r="E467" s="139" t="s">
        <v>445</v>
      </c>
      <c r="F467" t="str">
        <f t="shared" si="21"/>
        <v>Sin Mov.</v>
      </c>
      <c r="G467" t="str">
        <f>IF(+'Libro Diario'!H681=0,"",+'Libro Diario'!H681)</f>
        <v/>
      </c>
      <c r="H467" t="str">
        <f>IF(+'Libro Diario'!I681=0,"",+'Libro Diario'!I681)</f>
        <v/>
      </c>
      <c r="I467" t="str">
        <f>+IF(Table3[[#This Row],[Tipo Movimiento]]="Estructura Balance y PyG","Excluir","Incluir")</f>
        <v>Incluir</v>
      </c>
      <c r="J467" s="153">
        <f>+IF(Table3[[#This Row],[Sin cuenta]]="Con Mov.",(IF(Table3[[#This Row],[Movimiento]]="Debe",Table3[[#This Row],[Importe]],IF(Table3[[#This Row],[Movimiento]]="Haber",Table3[[#This Row],[Importe]]*-1,0))),0)</f>
        <v>0</v>
      </c>
      <c r="K467" s="145" t="str">
        <f t="shared" si="22"/>
        <v>DEBE</v>
      </c>
      <c r="L467" s="145" t="str">
        <f t="shared" si="23"/>
        <v/>
      </c>
      <c r="M467" t="str">
        <f>_xlfn.XLOOKUP(Table3[[#This Row],[Cuenta]],Estructura_Balance[Nombre Cuenta ()],Estructura_Balance[Grupo],"",0)</f>
        <v/>
      </c>
      <c r="N467" t="str">
        <f>_xlfn.XLOOKUP(Table3[[#This Row],[Cuenta]],Estructura_Balance[Nombre Cuenta ()],Estructura_Balance[Nivel 1],"",0)</f>
        <v/>
      </c>
      <c r="O467" t="str">
        <f>_xlfn.XLOOKUP(Table3[[#This Row],[Cuenta]],Estructura_Balance[Nombre Cuenta ()],Estructura_Balance[Nivel 2],"",0)</f>
        <v/>
      </c>
      <c r="P467" t="str">
        <f>_xlfn.XLOOKUP(Table3[[#This Row],[Cuenta]],Estructura_Balance[Nombre Cuenta ()],Estructura_Balance[Nivel 3],"",0)</f>
        <v/>
      </c>
      <c r="Q467" t="str">
        <f>_xlfn.XLOOKUP(Table3[[#This Row],[Cuenta]],Estructura_Balance[Nombre Cuenta ()],Estructura_Balance[Nivel 4],"",0)</f>
        <v/>
      </c>
      <c r="R467" s="154" t="str">
        <f>_xlfn.XLOOKUP(Table3[[#This Row],[Cuenta]],Table8[Nombre Cuenta ()],Table8[Nivel 1],"",0)</f>
        <v/>
      </c>
      <c r="S467" t="str">
        <f>_xlfn.XLOOKUP(Table3[[#This Row],[Cuenta]],Table8[Nombre Cuenta ()],Table8[Nivel 2],"",0)</f>
        <v/>
      </c>
      <c r="T467" t="str">
        <f>_xlfn.XLOOKUP(Table3[[#This Row],[Cuenta]],Table8[Nombre Cuenta ()],Table8[Nivel 3],"",0)</f>
        <v/>
      </c>
      <c r="U467">
        <v>873</v>
      </c>
      <c r="V467" t="str">
        <f>_xlfn.XLOOKUP(Table3[[#This Row],[Cuenta]],Estructura_Balance[Nombre Cuenta ()],Estructura_Balance[Niveles:2],"",0)</f>
        <v/>
      </c>
      <c r="W467" t="str">
        <f>_xlfn.XLOOKUP(Table3[[#This Row],[Cuenta]],Estructura_Balance[Nombre Cuenta ()],Estructura_Balance[Niveles:3],"",0)</f>
        <v/>
      </c>
      <c r="X467" t="str">
        <f>_xlfn.XLOOKUP(Table3[[#This Row],[Cuenta]],Estructura_Balance[Nombre Cuenta ()],Estructura_Balance[Grupos],"Grupo 1",0)</f>
        <v>Grupo 1</v>
      </c>
      <c r="Y467" t="str">
        <f>+Table3[[#This Row],[BS_Nivel_1]]</f>
        <v/>
      </c>
    </row>
    <row r="468" spans="1:25">
      <c r="A468">
        <f>+'Libro Diario'!F682</f>
        <v>0</v>
      </c>
      <c r="B468" s="144">
        <f>VALUE(IF(+'Libro Diario'!G682="","01/01/2025",+'Libro Diario'!G682))</f>
        <v>45658</v>
      </c>
      <c r="C468">
        <f>IF(ISNUMBER(+IF(IFERROR(VALUE(MID('Libro Diario'!C682,1,4)),0)&lt;&gt;0,'Libro Diario'!C682,0))=FALSE,'Libro Diario'!C682,0)</f>
        <v>0</v>
      </c>
      <c r="D468" s="145">
        <f>+'Libro Diario'!B682</f>
        <v>0</v>
      </c>
      <c r="E468" s="139" t="s">
        <v>445</v>
      </c>
      <c r="F468" t="str">
        <f t="shared" si="21"/>
        <v>Sin Mov.</v>
      </c>
      <c r="G468" t="str">
        <f>IF(+'Libro Diario'!H682=0,"",+'Libro Diario'!H682)</f>
        <v/>
      </c>
      <c r="H468" t="str">
        <f>IF(+'Libro Diario'!I682=0,"",+'Libro Diario'!I682)</f>
        <v/>
      </c>
      <c r="I468" t="str">
        <f>+IF(Table3[[#This Row],[Tipo Movimiento]]="Estructura Balance y PyG","Excluir","Incluir")</f>
        <v>Incluir</v>
      </c>
      <c r="J468" s="153">
        <f>+IF(Table3[[#This Row],[Sin cuenta]]="Con Mov.",(IF(Table3[[#This Row],[Movimiento]]="Debe",Table3[[#This Row],[Importe]],IF(Table3[[#This Row],[Movimiento]]="Haber",Table3[[#This Row],[Importe]]*-1,0))),0)</f>
        <v>0</v>
      </c>
      <c r="K468" s="145">
        <f t="shared" si="22"/>
        <v>0</v>
      </c>
      <c r="L468" s="145" t="str">
        <f t="shared" si="23"/>
        <v/>
      </c>
      <c r="M468" t="str">
        <f>_xlfn.XLOOKUP(Table3[[#This Row],[Cuenta]],Estructura_Balance[Nombre Cuenta ()],Estructura_Balance[Grupo],"",0)</f>
        <v/>
      </c>
      <c r="N468" t="str">
        <f>_xlfn.XLOOKUP(Table3[[#This Row],[Cuenta]],Estructura_Balance[Nombre Cuenta ()],Estructura_Balance[Nivel 1],"",0)</f>
        <v/>
      </c>
      <c r="O468" t="str">
        <f>_xlfn.XLOOKUP(Table3[[#This Row],[Cuenta]],Estructura_Balance[Nombre Cuenta ()],Estructura_Balance[Nivel 2],"",0)</f>
        <v/>
      </c>
      <c r="P468" t="str">
        <f>_xlfn.XLOOKUP(Table3[[#This Row],[Cuenta]],Estructura_Balance[Nombre Cuenta ()],Estructura_Balance[Nivel 3],"",0)</f>
        <v/>
      </c>
      <c r="Q468" t="str">
        <f>_xlfn.XLOOKUP(Table3[[#This Row],[Cuenta]],Estructura_Balance[Nombre Cuenta ()],Estructura_Balance[Nivel 4],"",0)</f>
        <v/>
      </c>
      <c r="R468" t="str">
        <f>_xlfn.XLOOKUP(Table3[[#This Row],[Cuenta]],Table8[Nombre Cuenta ()],Table8[Nivel 1],"",0)</f>
        <v/>
      </c>
      <c r="S468" t="str">
        <f>_xlfn.XLOOKUP(Table3[[#This Row],[Cuenta]],Table8[Nombre Cuenta ()],Table8[Nivel 2],"",0)</f>
        <v/>
      </c>
      <c r="T468" t="str">
        <f>_xlfn.XLOOKUP(Table3[[#This Row],[Cuenta]],Table8[Nombre Cuenta ()],Table8[Nivel 3],"",0)</f>
        <v/>
      </c>
      <c r="U468">
        <v>874</v>
      </c>
      <c r="V468" t="str">
        <f>_xlfn.XLOOKUP(Table3[[#This Row],[Cuenta]],Estructura_Balance[Nombre Cuenta ()],Estructura_Balance[Niveles:2],"",0)</f>
        <v/>
      </c>
      <c r="W468" t="str">
        <f>_xlfn.XLOOKUP(Table3[[#This Row],[Cuenta]],Estructura_Balance[Nombre Cuenta ()],Estructura_Balance[Niveles:3],"",0)</f>
        <v/>
      </c>
      <c r="X468" t="str">
        <f>_xlfn.XLOOKUP(Table3[[#This Row],[Cuenta]],Estructura_Balance[Nombre Cuenta ()],Estructura_Balance[Grupos],"Grupo 1",0)</f>
        <v>Grupo 1</v>
      </c>
      <c r="Y468" t="str">
        <f>+Table3[[#This Row],[BS_Nivel_1]]</f>
        <v/>
      </c>
    </row>
    <row r="469" spans="1:25">
      <c r="A469">
        <f>+'Libro Diario'!F683</f>
        <v>80</v>
      </c>
      <c r="B469" s="144">
        <f>VALUE(IF(+'Libro Diario'!G683="","01/01/2025",+'Libro Diario'!G683))</f>
        <v>0</v>
      </c>
      <c r="C469">
        <f>IF(ISNUMBER(+IF(IFERROR(VALUE(MID('Libro Diario'!C683,1,4)),0)&lt;&gt;0,'Libro Diario'!C683,0))=FALSE,'Libro Diario'!C683,0)</f>
        <v>0</v>
      </c>
      <c r="D469" s="145">
        <f>+'Libro Diario'!B683</f>
        <v>0</v>
      </c>
      <c r="E469" s="139" t="s">
        <v>445</v>
      </c>
      <c r="F469" t="str">
        <f t="shared" si="21"/>
        <v>Sin Mov.</v>
      </c>
      <c r="G469" t="str">
        <f>IF(+'Libro Diario'!H683=0,"",+'Libro Diario'!H683)</f>
        <v/>
      </c>
      <c r="H469" t="str">
        <f>IF(+'Libro Diario'!I683=0,"",+'Libro Diario'!I683)</f>
        <v/>
      </c>
      <c r="I469" t="str">
        <f>+IF(Table3[[#This Row],[Tipo Movimiento]]="Estructura Balance y PyG","Excluir","Incluir")</f>
        <v>Incluir</v>
      </c>
      <c r="J469" s="153">
        <f>+IF(Table3[[#This Row],[Sin cuenta]]="Con Mov.",(IF(Table3[[#This Row],[Movimiento]]="Debe",Table3[[#This Row],[Importe]],IF(Table3[[#This Row],[Movimiento]]="Haber",Table3[[#This Row],[Importe]]*-1,0))),0)</f>
        <v>0</v>
      </c>
      <c r="K469" s="145">
        <f t="shared" si="22"/>
        <v>0</v>
      </c>
      <c r="L469" s="145" t="str">
        <f t="shared" si="23"/>
        <v/>
      </c>
      <c r="M469" t="str">
        <f>_xlfn.XLOOKUP(Table3[[#This Row],[Cuenta]],Estructura_Balance[Nombre Cuenta ()],Estructura_Balance[Grupo],"",0)</f>
        <v/>
      </c>
      <c r="N469" t="str">
        <f>_xlfn.XLOOKUP(Table3[[#This Row],[Cuenta]],Estructura_Balance[Nombre Cuenta ()],Estructura_Balance[Nivel 1],"",0)</f>
        <v/>
      </c>
      <c r="O469" t="str">
        <f>_xlfn.XLOOKUP(Table3[[#This Row],[Cuenta]],Estructura_Balance[Nombre Cuenta ()],Estructura_Balance[Nivel 2],"",0)</f>
        <v/>
      </c>
      <c r="P469" t="str">
        <f>_xlfn.XLOOKUP(Table3[[#This Row],[Cuenta]],Estructura_Balance[Nombre Cuenta ()],Estructura_Balance[Nivel 3],"",0)</f>
        <v/>
      </c>
      <c r="Q469" t="str">
        <f>_xlfn.XLOOKUP(Table3[[#This Row],[Cuenta]],Estructura_Balance[Nombre Cuenta ()],Estructura_Balance[Nivel 4],"",0)</f>
        <v/>
      </c>
      <c r="R469" s="154" t="str">
        <f>_xlfn.XLOOKUP(Table3[[#This Row],[Cuenta]],Table8[Nombre Cuenta ()],Table8[Nivel 1],"",0)</f>
        <v/>
      </c>
      <c r="S469" t="str">
        <f>_xlfn.XLOOKUP(Table3[[#This Row],[Cuenta]],Table8[Nombre Cuenta ()],Table8[Nivel 2],"",0)</f>
        <v/>
      </c>
      <c r="T469" t="str">
        <f>_xlfn.XLOOKUP(Table3[[#This Row],[Cuenta]],Table8[Nombre Cuenta ()],Table8[Nivel 3],"",0)</f>
        <v/>
      </c>
      <c r="U469">
        <v>875</v>
      </c>
      <c r="V469" t="str">
        <f>_xlfn.XLOOKUP(Table3[[#This Row],[Cuenta]],Estructura_Balance[Nombre Cuenta ()],Estructura_Balance[Niveles:2],"",0)</f>
        <v/>
      </c>
      <c r="W469" t="str">
        <f>_xlfn.XLOOKUP(Table3[[#This Row],[Cuenta]],Estructura_Balance[Nombre Cuenta ()],Estructura_Balance[Niveles:3],"",0)</f>
        <v/>
      </c>
      <c r="X469" t="str">
        <f>_xlfn.XLOOKUP(Table3[[#This Row],[Cuenta]],Estructura_Balance[Nombre Cuenta ()],Estructura_Balance[Grupos],"Grupo 1",0)</f>
        <v>Grupo 1</v>
      </c>
      <c r="Y469" t="str">
        <f>+Table3[[#This Row],[BS_Nivel_1]]</f>
        <v/>
      </c>
    </row>
    <row r="470" spans="1:25">
      <c r="A470">
        <f>+'Libro Diario'!F684</f>
        <v>80</v>
      </c>
      <c r="B470" s="144">
        <f>VALUE(IF(+'Libro Diario'!G684="","01/01/2025",+'Libro Diario'!G684))</f>
        <v>0</v>
      </c>
      <c r="C470">
        <f>IF(ISNUMBER(+IF(IFERROR(VALUE(MID('Libro Diario'!C684,1,4)),0)&lt;&gt;0,'Libro Diario'!C684,0))=FALSE,'Libro Diario'!C684,0)</f>
        <v>0</v>
      </c>
      <c r="D470" s="145">
        <f>+'Libro Diario'!B684</f>
        <v>0</v>
      </c>
      <c r="E470" s="139" t="s">
        <v>445</v>
      </c>
      <c r="F470" t="str">
        <f t="shared" si="21"/>
        <v>Sin Mov.</v>
      </c>
      <c r="G470" t="str">
        <f>IF(+'Libro Diario'!H684=0,"",+'Libro Diario'!H684)</f>
        <v/>
      </c>
      <c r="H470" t="str">
        <f>IF(+'Libro Diario'!I684=0,"",+'Libro Diario'!I684)</f>
        <v/>
      </c>
      <c r="I470" t="str">
        <f>+IF(Table3[[#This Row],[Tipo Movimiento]]="Estructura Balance y PyG","Excluir","Incluir")</f>
        <v>Incluir</v>
      </c>
      <c r="J470" s="153">
        <f>+IF(Table3[[#This Row],[Sin cuenta]]="Con Mov.",(IF(Table3[[#This Row],[Movimiento]]="Debe",Table3[[#This Row],[Importe]],IF(Table3[[#This Row],[Movimiento]]="Haber",Table3[[#This Row],[Importe]]*-1,0))),0)</f>
        <v>0</v>
      </c>
      <c r="K470" s="145">
        <f t="shared" si="22"/>
        <v>0</v>
      </c>
      <c r="L470" s="145" t="str">
        <f t="shared" si="23"/>
        <v/>
      </c>
      <c r="M470" t="str">
        <f>_xlfn.XLOOKUP(Table3[[#This Row],[Cuenta]],Estructura_Balance[Nombre Cuenta ()],Estructura_Balance[Grupo],"",0)</f>
        <v/>
      </c>
      <c r="N470" t="str">
        <f>_xlfn.XLOOKUP(Table3[[#This Row],[Cuenta]],Estructura_Balance[Nombre Cuenta ()],Estructura_Balance[Nivel 1],"",0)</f>
        <v/>
      </c>
      <c r="O470" t="str">
        <f>_xlfn.XLOOKUP(Table3[[#This Row],[Cuenta]],Estructura_Balance[Nombre Cuenta ()],Estructura_Balance[Nivel 2],"",0)</f>
        <v/>
      </c>
      <c r="P470" t="str">
        <f>_xlfn.XLOOKUP(Table3[[#This Row],[Cuenta]],Estructura_Balance[Nombre Cuenta ()],Estructura_Balance[Nivel 3],"",0)</f>
        <v/>
      </c>
      <c r="Q470" t="str">
        <f>_xlfn.XLOOKUP(Table3[[#This Row],[Cuenta]],Estructura_Balance[Nombre Cuenta ()],Estructura_Balance[Nivel 4],"",0)</f>
        <v/>
      </c>
      <c r="R470" t="str">
        <f>_xlfn.XLOOKUP(Table3[[#This Row],[Cuenta]],Table8[Nombre Cuenta ()],Table8[Nivel 1],"",0)</f>
        <v/>
      </c>
      <c r="S470" t="str">
        <f>_xlfn.XLOOKUP(Table3[[#This Row],[Cuenta]],Table8[Nombre Cuenta ()],Table8[Nivel 2],"",0)</f>
        <v/>
      </c>
      <c r="T470" t="str">
        <f>_xlfn.XLOOKUP(Table3[[#This Row],[Cuenta]],Table8[Nombre Cuenta ()],Table8[Nivel 3],"",0)</f>
        <v/>
      </c>
      <c r="U470">
        <v>876</v>
      </c>
      <c r="V470" t="str">
        <f>_xlfn.XLOOKUP(Table3[[#This Row],[Cuenta]],Estructura_Balance[Nombre Cuenta ()],Estructura_Balance[Niveles:2],"",0)</f>
        <v/>
      </c>
      <c r="W470" t="str">
        <f>_xlfn.XLOOKUP(Table3[[#This Row],[Cuenta]],Estructura_Balance[Nombre Cuenta ()],Estructura_Balance[Niveles:3],"",0)</f>
        <v/>
      </c>
      <c r="X470" t="str">
        <f>_xlfn.XLOOKUP(Table3[[#This Row],[Cuenta]],Estructura_Balance[Nombre Cuenta ()],Estructura_Balance[Grupos],"Grupo 1",0)</f>
        <v>Grupo 1</v>
      </c>
      <c r="Y470" t="str">
        <f>+Table3[[#This Row],[BS_Nivel_1]]</f>
        <v/>
      </c>
    </row>
    <row r="471" spans="1:25">
      <c r="A471">
        <f>+'Libro Diario'!F685</f>
        <v>0</v>
      </c>
      <c r="B471" s="144">
        <f>VALUE(IF(+'Libro Diario'!G685="","01/01/2025",+'Libro Diario'!G685))</f>
        <v>45658</v>
      </c>
      <c r="C471">
        <f>IF(ISNUMBER(+IF(IFERROR(VALUE(MID('Libro Diario'!C685,1,4)),0)&lt;&gt;0,'Libro Diario'!C685,0))=FALSE,'Libro Diario'!C685,0)</f>
        <v>0</v>
      </c>
      <c r="D471" s="145">
        <f>+'Libro Diario'!B685</f>
        <v>0</v>
      </c>
      <c r="E471" s="139" t="s">
        <v>445</v>
      </c>
      <c r="F471" t="str">
        <f t="shared" si="21"/>
        <v>Sin Mov.</v>
      </c>
      <c r="G471" t="str">
        <f>IF(+'Libro Diario'!H685=0,"",+'Libro Diario'!H685)</f>
        <v/>
      </c>
      <c r="H471" t="str">
        <f>IF(+'Libro Diario'!I685=0,"",+'Libro Diario'!I685)</f>
        <v/>
      </c>
      <c r="I471" t="str">
        <f>+IF(Table3[[#This Row],[Tipo Movimiento]]="Estructura Balance y PyG","Excluir","Incluir")</f>
        <v>Incluir</v>
      </c>
      <c r="J471" s="153">
        <f>+IF(Table3[[#This Row],[Sin cuenta]]="Con Mov.",(IF(Table3[[#This Row],[Movimiento]]="Debe",Table3[[#This Row],[Importe]],IF(Table3[[#This Row],[Movimiento]]="Haber",Table3[[#This Row],[Importe]]*-1,0))),0)</f>
        <v>0</v>
      </c>
      <c r="K471" s="145">
        <f t="shared" si="22"/>
        <v>0</v>
      </c>
      <c r="L471" s="145" t="str">
        <f t="shared" si="23"/>
        <v/>
      </c>
      <c r="M471" t="str">
        <f>_xlfn.XLOOKUP(Table3[[#This Row],[Cuenta]],Estructura_Balance[Nombre Cuenta ()],Estructura_Balance[Grupo],"",0)</f>
        <v/>
      </c>
      <c r="N471" t="str">
        <f>_xlfn.XLOOKUP(Table3[[#This Row],[Cuenta]],Estructura_Balance[Nombre Cuenta ()],Estructura_Balance[Nivel 1],"",0)</f>
        <v/>
      </c>
      <c r="O471" t="str">
        <f>_xlfn.XLOOKUP(Table3[[#This Row],[Cuenta]],Estructura_Balance[Nombre Cuenta ()],Estructura_Balance[Nivel 2],"",0)</f>
        <v/>
      </c>
      <c r="P471" t="str">
        <f>_xlfn.XLOOKUP(Table3[[#This Row],[Cuenta]],Estructura_Balance[Nombre Cuenta ()],Estructura_Balance[Nivel 3],"",0)</f>
        <v/>
      </c>
      <c r="Q471" t="str">
        <f>_xlfn.XLOOKUP(Table3[[#This Row],[Cuenta]],Estructura_Balance[Nombre Cuenta ()],Estructura_Balance[Nivel 4],"",0)</f>
        <v/>
      </c>
      <c r="R471" s="154" t="str">
        <f>_xlfn.XLOOKUP(Table3[[#This Row],[Cuenta]],Table8[Nombre Cuenta ()],Table8[Nivel 1],"",0)</f>
        <v/>
      </c>
      <c r="S471" t="str">
        <f>_xlfn.XLOOKUP(Table3[[#This Row],[Cuenta]],Table8[Nombre Cuenta ()],Table8[Nivel 2],"",0)</f>
        <v/>
      </c>
      <c r="T471" t="str">
        <f>_xlfn.XLOOKUP(Table3[[#This Row],[Cuenta]],Table8[Nombre Cuenta ()],Table8[Nivel 3],"",0)</f>
        <v/>
      </c>
      <c r="U471">
        <v>877</v>
      </c>
      <c r="V471" t="str">
        <f>_xlfn.XLOOKUP(Table3[[#This Row],[Cuenta]],Estructura_Balance[Nombre Cuenta ()],Estructura_Balance[Niveles:2],"",0)</f>
        <v/>
      </c>
      <c r="W471" t="str">
        <f>_xlfn.XLOOKUP(Table3[[#This Row],[Cuenta]],Estructura_Balance[Nombre Cuenta ()],Estructura_Balance[Niveles:3],"",0)</f>
        <v/>
      </c>
      <c r="X471" t="str">
        <f>_xlfn.XLOOKUP(Table3[[#This Row],[Cuenta]],Estructura_Balance[Nombre Cuenta ()],Estructura_Balance[Grupos],"Grupo 1",0)</f>
        <v>Grupo 1</v>
      </c>
      <c r="Y471" t="str">
        <f>+Table3[[#This Row],[BS_Nivel_1]]</f>
        <v/>
      </c>
    </row>
    <row r="472" spans="1:25">
      <c r="A472">
        <f>+'Libro Diario'!F686</f>
        <v>0</v>
      </c>
      <c r="B472" s="144">
        <f>VALUE(IF(+'Libro Diario'!G686="","01/01/2025",+'Libro Diario'!G686))</f>
        <v>45658</v>
      </c>
      <c r="C472">
        <f>IF(ISNUMBER(+IF(IFERROR(VALUE(MID('Libro Diario'!C686,1,4)),0)&lt;&gt;0,'Libro Diario'!C686,0))=FALSE,'Libro Diario'!C686,0)</f>
        <v>0</v>
      </c>
      <c r="D472" s="145" t="str">
        <f>+'Libro Diario'!B686</f>
        <v>Asiento Cuadrado</v>
      </c>
      <c r="E472" s="139" t="s">
        <v>445</v>
      </c>
      <c r="F472" t="str">
        <f t="shared" si="21"/>
        <v>Sin Mov.</v>
      </c>
      <c r="G472" t="str">
        <f>IF(+'Libro Diario'!H686=0,"",+'Libro Diario'!H686)</f>
        <v/>
      </c>
      <c r="H472" t="str">
        <f>IF(+'Libro Diario'!I686=0,"",+'Libro Diario'!I686)</f>
        <v/>
      </c>
      <c r="I472" t="str">
        <f>+IF(Table3[[#This Row],[Tipo Movimiento]]="Estructura Balance y PyG","Excluir","Incluir")</f>
        <v>Incluir</v>
      </c>
      <c r="J472" s="153">
        <f>+IF(Table3[[#This Row],[Sin cuenta]]="Con Mov.",(IF(Table3[[#This Row],[Movimiento]]="Debe",Table3[[#This Row],[Importe]],IF(Table3[[#This Row],[Movimiento]]="Haber",Table3[[#This Row],[Importe]]*-1,0))),0)</f>
        <v>0</v>
      </c>
      <c r="K472" s="145" t="str">
        <f t="shared" si="22"/>
        <v>Asiento Cuadrado</v>
      </c>
      <c r="L472" s="145" t="str">
        <f t="shared" si="23"/>
        <v/>
      </c>
      <c r="M472" t="str">
        <f>_xlfn.XLOOKUP(Table3[[#This Row],[Cuenta]],Estructura_Balance[Nombre Cuenta ()],Estructura_Balance[Grupo],"",0)</f>
        <v/>
      </c>
      <c r="N472" t="str">
        <f>_xlfn.XLOOKUP(Table3[[#This Row],[Cuenta]],Estructura_Balance[Nombre Cuenta ()],Estructura_Balance[Nivel 1],"",0)</f>
        <v/>
      </c>
      <c r="O472" t="str">
        <f>_xlfn.XLOOKUP(Table3[[#This Row],[Cuenta]],Estructura_Balance[Nombre Cuenta ()],Estructura_Balance[Nivel 2],"",0)</f>
        <v/>
      </c>
      <c r="P472" t="str">
        <f>_xlfn.XLOOKUP(Table3[[#This Row],[Cuenta]],Estructura_Balance[Nombre Cuenta ()],Estructura_Balance[Nivel 3],"",0)</f>
        <v/>
      </c>
      <c r="Q472" t="str">
        <f>_xlfn.XLOOKUP(Table3[[#This Row],[Cuenta]],Estructura_Balance[Nombre Cuenta ()],Estructura_Balance[Nivel 4],"",0)</f>
        <v/>
      </c>
      <c r="R472" t="str">
        <f>_xlfn.XLOOKUP(Table3[[#This Row],[Cuenta]],Table8[Nombre Cuenta ()],Table8[Nivel 1],"",0)</f>
        <v/>
      </c>
      <c r="S472" t="str">
        <f>_xlfn.XLOOKUP(Table3[[#This Row],[Cuenta]],Table8[Nombre Cuenta ()],Table8[Nivel 2],"",0)</f>
        <v/>
      </c>
      <c r="T472" t="str">
        <f>_xlfn.XLOOKUP(Table3[[#This Row],[Cuenta]],Table8[Nombre Cuenta ()],Table8[Nivel 3],"",0)</f>
        <v/>
      </c>
      <c r="U472">
        <v>878</v>
      </c>
      <c r="V472" t="str">
        <f>_xlfn.XLOOKUP(Table3[[#This Row],[Cuenta]],Estructura_Balance[Nombre Cuenta ()],Estructura_Balance[Niveles:2],"",0)</f>
        <v/>
      </c>
      <c r="W472" t="str">
        <f>_xlfn.XLOOKUP(Table3[[#This Row],[Cuenta]],Estructura_Balance[Nombre Cuenta ()],Estructura_Balance[Niveles:3],"",0)</f>
        <v/>
      </c>
      <c r="X472" t="str">
        <f>_xlfn.XLOOKUP(Table3[[#This Row],[Cuenta]],Estructura_Balance[Nombre Cuenta ()],Estructura_Balance[Grupos],"Grupo 1",0)</f>
        <v>Grupo 1</v>
      </c>
      <c r="Y472" t="str">
        <f>+Table3[[#This Row],[BS_Nivel_1]]</f>
        <v/>
      </c>
    </row>
    <row r="473" spans="1:25">
      <c r="A473">
        <f>+'Libro Diario'!F687</f>
        <v>0</v>
      </c>
      <c r="B473" s="144">
        <f>VALUE(IF(+'Libro Diario'!G687="","01/01/2025",+'Libro Diario'!G687))</f>
        <v>45658</v>
      </c>
      <c r="C473">
        <f>IF(ISNUMBER(+IF(IFERROR(VALUE(MID('Libro Diario'!C687,1,4)),0)&lt;&gt;0,'Libro Diario'!C687,0))=FALSE,'Libro Diario'!C687,0)</f>
        <v>0</v>
      </c>
      <c r="D473" s="145">
        <f>+'Libro Diario'!B687</f>
        <v>0</v>
      </c>
      <c r="E473" s="139" t="s">
        <v>445</v>
      </c>
      <c r="F473" t="str">
        <f t="shared" si="21"/>
        <v>Sin Mov.</v>
      </c>
      <c r="G473" t="str">
        <f>IF(+'Libro Diario'!H687=0,"",+'Libro Diario'!H687)</f>
        <v/>
      </c>
      <c r="H473" t="str">
        <f>IF(+'Libro Diario'!I687=0,"",+'Libro Diario'!I687)</f>
        <v/>
      </c>
      <c r="I473" t="str">
        <f>+IF(Table3[[#This Row],[Tipo Movimiento]]="Estructura Balance y PyG","Excluir","Incluir")</f>
        <v>Incluir</v>
      </c>
      <c r="J473" s="153">
        <f>+IF(Table3[[#This Row],[Sin cuenta]]="Con Mov.",(IF(Table3[[#This Row],[Movimiento]]="Debe",Table3[[#This Row],[Importe]],IF(Table3[[#This Row],[Movimiento]]="Haber",Table3[[#This Row],[Importe]]*-1,0))),0)</f>
        <v>0</v>
      </c>
      <c r="K473" s="145">
        <f t="shared" si="22"/>
        <v>0</v>
      </c>
      <c r="L473" s="145" t="str">
        <f t="shared" si="23"/>
        <v/>
      </c>
      <c r="M473" t="str">
        <f>_xlfn.XLOOKUP(Table3[[#This Row],[Cuenta]],Estructura_Balance[Nombre Cuenta ()],Estructura_Balance[Grupo],"",0)</f>
        <v/>
      </c>
      <c r="N473" t="str">
        <f>_xlfn.XLOOKUP(Table3[[#This Row],[Cuenta]],Estructura_Balance[Nombre Cuenta ()],Estructura_Balance[Nivel 1],"",0)</f>
        <v/>
      </c>
      <c r="O473" t="str">
        <f>_xlfn.XLOOKUP(Table3[[#This Row],[Cuenta]],Estructura_Balance[Nombre Cuenta ()],Estructura_Balance[Nivel 2],"",0)</f>
        <v/>
      </c>
      <c r="P473" t="str">
        <f>_xlfn.XLOOKUP(Table3[[#This Row],[Cuenta]],Estructura_Balance[Nombre Cuenta ()],Estructura_Balance[Nivel 3],"",0)</f>
        <v/>
      </c>
      <c r="Q473" t="str">
        <f>_xlfn.XLOOKUP(Table3[[#This Row],[Cuenta]],Estructura_Balance[Nombre Cuenta ()],Estructura_Balance[Nivel 4],"",0)</f>
        <v/>
      </c>
      <c r="R473" s="154" t="str">
        <f>_xlfn.XLOOKUP(Table3[[#This Row],[Cuenta]],Table8[Nombre Cuenta ()],Table8[Nivel 1],"",0)</f>
        <v/>
      </c>
      <c r="S473" t="str">
        <f>_xlfn.XLOOKUP(Table3[[#This Row],[Cuenta]],Table8[Nombre Cuenta ()],Table8[Nivel 2],"",0)</f>
        <v/>
      </c>
      <c r="T473" t="str">
        <f>_xlfn.XLOOKUP(Table3[[#This Row],[Cuenta]],Table8[Nombre Cuenta ()],Table8[Nivel 3],"",0)</f>
        <v/>
      </c>
      <c r="U473">
        <v>879</v>
      </c>
      <c r="V473" t="str">
        <f>_xlfn.XLOOKUP(Table3[[#This Row],[Cuenta]],Estructura_Balance[Nombre Cuenta ()],Estructura_Balance[Niveles:2],"",0)</f>
        <v/>
      </c>
      <c r="W473" t="str">
        <f>_xlfn.XLOOKUP(Table3[[#This Row],[Cuenta]],Estructura_Balance[Nombre Cuenta ()],Estructura_Balance[Niveles:3],"",0)</f>
        <v/>
      </c>
      <c r="X473" t="str">
        <f>_xlfn.XLOOKUP(Table3[[#This Row],[Cuenta]],Estructura_Balance[Nombre Cuenta ()],Estructura_Balance[Grupos],"Grupo 1",0)</f>
        <v>Grupo 1</v>
      </c>
      <c r="Y473" t="str">
        <f>+Table3[[#This Row],[BS_Nivel_1]]</f>
        <v/>
      </c>
    </row>
    <row r="474" spans="1:25">
      <c r="A474">
        <f>+'Libro Diario'!F688</f>
        <v>0</v>
      </c>
      <c r="B474" s="144">
        <f>VALUE(IF(+'Libro Diario'!G688="","01/01/2025",+'Libro Diario'!G688))</f>
        <v>45658</v>
      </c>
      <c r="C474">
        <f>IF(ISNUMBER(+IF(IFERROR(VALUE(MID('Libro Diario'!C688,1,4)),0)&lt;&gt;0,'Libro Diario'!C688,0))=FALSE,'Libro Diario'!C688,0)</f>
        <v>0</v>
      </c>
      <c r="D474" s="145" t="str">
        <f>+'Libro Diario'!B688</f>
        <v>DEBE</v>
      </c>
      <c r="E474" s="139" t="s">
        <v>445</v>
      </c>
      <c r="F474" t="str">
        <f t="shared" si="21"/>
        <v>Sin Mov.</v>
      </c>
      <c r="G474" t="str">
        <f>IF(+'Libro Diario'!H688=0,"",+'Libro Diario'!H688)</f>
        <v/>
      </c>
      <c r="H474" t="str">
        <f>IF(+'Libro Diario'!I688=0,"",+'Libro Diario'!I688)</f>
        <v/>
      </c>
      <c r="I474" t="str">
        <f>+IF(Table3[[#This Row],[Tipo Movimiento]]="Estructura Balance y PyG","Excluir","Incluir")</f>
        <v>Incluir</v>
      </c>
      <c r="J474" s="153">
        <f>+IF(Table3[[#This Row],[Sin cuenta]]="Con Mov.",(IF(Table3[[#This Row],[Movimiento]]="Debe",Table3[[#This Row],[Importe]],IF(Table3[[#This Row],[Movimiento]]="Haber",Table3[[#This Row],[Importe]]*-1,0))),0)</f>
        <v>0</v>
      </c>
      <c r="K474" s="145" t="str">
        <f t="shared" si="22"/>
        <v>DEBE</v>
      </c>
      <c r="L474" s="145" t="str">
        <f t="shared" si="23"/>
        <v/>
      </c>
      <c r="M474" t="str">
        <f>_xlfn.XLOOKUP(Table3[[#This Row],[Cuenta]],Estructura_Balance[Nombre Cuenta ()],Estructura_Balance[Grupo],"",0)</f>
        <v/>
      </c>
      <c r="N474" t="str">
        <f>_xlfn.XLOOKUP(Table3[[#This Row],[Cuenta]],Estructura_Balance[Nombre Cuenta ()],Estructura_Balance[Nivel 1],"",0)</f>
        <v/>
      </c>
      <c r="O474" t="str">
        <f>_xlfn.XLOOKUP(Table3[[#This Row],[Cuenta]],Estructura_Balance[Nombre Cuenta ()],Estructura_Balance[Nivel 2],"",0)</f>
        <v/>
      </c>
      <c r="P474" t="str">
        <f>_xlfn.XLOOKUP(Table3[[#This Row],[Cuenta]],Estructura_Balance[Nombre Cuenta ()],Estructura_Balance[Nivel 3],"",0)</f>
        <v/>
      </c>
      <c r="Q474" t="str">
        <f>_xlfn.XLOOKUP(Table3[[#This Row],[Cuenta]],Estructura_Balance[Nombre Cuenta ()],Estructura_Balance[Nivel 4],"",0)</f>
        <v/>
      </c>
      <c r="R474" t="str">
        <f>_xlfn.XLOOKUP(Table3[[#This Row],[Cuenta]],Table8[Nombre Cuenta ()],Table8[Nivel 1],"",0)</f>
        <v/>
      </c>
      <c r="S474" t="str">
        <f>_xlfn.XLOOKUP(Table3[[#This Row],[Cuenta]],Table8[Nombre Cuenta ()],Table8[Nivel 2],"",0)</f>
        <v/>
      </c>
      <c r="T474" t="str">
        <f>_xlfn.XLOOKUP(Table3[[#This Row],[Cuenta]],Table8[Nombre Cuenta ()],Table8[Nivel 3],"",0)</f>
        <v/>
      </c>
      <c r="U474">
        <v>880</v>
      </c>
      <c r="V474" t="str">
        <f>_xlfn.XLOOKUP(Table3[[#This Row],[Cuenta]],Estructura_Balance[Nombre Cuenta ()],Estructura_Balance[Niveles:2],"",0)</f>
        <v/>
      </c>
      <c r="W474" t="str">
        <f>_xlfn.XLOOKUP(Table3[[#This Row],[Cuenta]],Estructura_Balance[Nombre Cuenta ()],Estructura_Balance[Niveles:3],"",0)</f>
        <v/>
      </c>
      <c r="X474" t="str">
        <f>_xlfn.XLOOKUP(Table3[[#This Row],[Cuenta]],Estructura_Balance[Nombre Cuenta ()],Estructura_Balance[Grupos],"Grupo 1",0)</f>
        <v>Grupo 1</v>
      </c>
      <c r="Y474" t="str">
        <f>+Table3[[#This Row],[BS_Nivel_1]]</f>
        <v/>
      </c>
    </row>
    <row r="475" spans="1:25">
      <c r="A475">
        <f>+'Libro Diario'!F689</f>
        <v>0</v>
      </c>
      <c r="B475" s="144">
        <f>VALUE(IF(+'Libro Diario'!G689="","01/01/2025",+'Libro Diario'!G689))</f>
        <v>45658</v>
      </c>
      <c r="C475">
        <f>IF(ISNUMBER(+IF(IFERROR(VALUE(MID('Libro Diario'!C689,1,4)),0)&lt;&gt;0,'Libro Diario'!C689,0))=FALSE,'Libro Diario'!C689,0)</f>
        <v>0</v>
      </c>
      <c r="D475" s="145">
        <f>+'Libro Diario'!B689</f>
        <v>0</v>
      </c>
      <c r="E475" s="139" t="s">
        <v>445</v>
      </c>
      <c r="F475" t="str">
        <f t="shared" si="21"/>
        <v>Sin Mov.</v>
      </c>
      <c r="G475" t="str">
        <f>IF(+'Libro Diario'!H689=0,"",+'Libro Diario'!H689)</f>
        <v/>
      </c>
      <c r="H475" t="str">
        <f>IF(+'Libro Diario'!I689=0,"",+'Libro Diario'!I689)</f>
        <v/>
      </c>
      <c r="I475" t="str">
        <f>+IF(Table3[[#This Row],[Tipo Movimiento]]="Estructura Balance y PyG","Excluir","Incluir")</f>
        <v>Incluir</v>
      </c>
      <c r="J475" s="153">
        <f>+IF(Table3[[#This Row],[Sin cuenta]]="Con Mov.",(IF(Table3[[#This Row],[Movimiento]]="Debe",Table3[[#This Row],[Importe]],IF(Table3[[#This Row],[Movimiento]]="Haber",Table3[[#This Row],[Importe]]*-1,0))),0)</f>
        <v>0</v>
      </c>
      <c r="K475" s="145">
        <f t="shared" si="22"/>
        <v>0</v>
      </c>
      <c r="L475" s="145" t="str">
        <f t="shared" si="23"/>
        <v/>
      </c>
      <c r="M475" t="str">
        <f>_xlfn.XLOOKUP(Table3[[#This Row],[Cuenta]],Estructura_Balance[Nombre Cuenta ()],Estructura_Balance[Grupo],"",0)</f>
        <v/>
      </c>
      <c r="N475" t="str">
        <f>_xlfn.XLOOKUP(Table3[[#This Row],[Cuenta]],Estructura_Balance[Nombre Cuenta ()],Estructura_Balance[Nivel 1],"",0)</f>
        <v/>
      </c>
      <c r="O475" t="str">
        <f>_xlfn.XLOOKUP(Table3[[#This Row],[Cuenta]],Estructura_Balance[Nombre Cuenta ()],Estructura_Balance[Nivel 2],"",0)</f>
        <v/>
      </c>
      <c r="P475" t="str">
        <f>_xlfn.XLOOKUP(Table3[[#This Row],[Cuenta]],Estructura_Balance[Nombre Cuenta ()],Estructura_Balance[Nivel 3],"",0)</f>
        <v/>
      </c>
      <c r="Q475" t="str">
        <f>_xlfn.XLOOKUP(Table3[[#This Row],[Cuenta]],Estructura_Balance[Nombre Cuenta ()],Estructura_Balance[Nivel 4],"",0)</f>
        <v/>
      </c>
      <c r="R475" s="154" t="str">
        <f>_xlfn.XLOOKUP(Table3[[#This Row],[Cuenta]],Table8[Nombre Cuenta ()],Table8[Nivel 1],"",0)</f>
        <v/>
      </c>
      <c r="S475" t="str">
        <f>_xlfn.XLOOKUP(Table3[[#This Row],[Cuenta]],Table8[Nombre Cuenta ()],Table8[Nivel 2],"",0)</f>
        <v/>
      </c>
      <c r="T475" t="str">
        <f>_xlfn.XLOOKUP(Table3[[#This Row],[Cuenta]],Table8[Nombre Cuenta ()],Table8[Nivel 3],"",0)</f>
        <v/>
      </c>
      <c r="U475">
        <v>881</v>
      </c>
      <c r="V475" t="str">
        <f>_xlfn.XLOOKUP(Table3[[#This Row],[Cuenta]],Estructura_Balance[Nombre Cuenta ()],Estructura_Balance[Niveles:2],"",0)</f>
        <v/>
      </c>
      <c r="W475" t="str">
        <f>_xlfn.XLOOKUP(Table3[[#This Row],[Cuenta]],Estructura_Balance[Nombre Cuenta ()],Estructura_Balance[Niveles:3],"",0)</f>
        <v/>
      </c>
      <c r="X475" t="str">
        <f>_xlfn.XLOOKUP(Table3[[#This Row],[Cuenta]],Estructura_Balance[Nombre Cuenta ()],Estructura_Balance[Grupos],"Grupo 1",0)</f>
        <v>Grupo 1</v>
      </c>
      <c r="Y475" t="str">
        <f>+Table3[[#This Row],[BS_Nivel_1]]</f>
        <v/>
      </c>
    </row>
    <row r="476" spans="1:25">
      <c r="A476">
        <f>+'Libro Diario'!F690</f>
        <v>81</v>
      </c>
      <c r="B476" s="144">
        <f>VALUE(IF(+'Libro Diario'!G690="","01/01/2025",+'Libro Diario'!G690))</f>
        <v>0</v>
      </c>
      <c r="C476">
        <f>IF(ISNUMBER(+IF(IFERROR(VALUE(MID('Libro Diario'!C690,1,4)),0)&lt;&gt;0,'Libro Diario'!C690,0))=FALSE,'Libro Diario'!C690,0)</f>
        <v>0</v>
      </c>
      <c r="D476" s="145">
        <f>+'Libro Diario'!B690</f>
        <v>0</v>
      </c>
      <c r="E476" s="139" t="s">
        <v>445</v>
      </c>
      <c r="F476" t="str">
        <f t="shared" si="21"/>
        <v>Sin Mov.</v>
      </c>
      <c r="G476" t="str">
        <f>IF(+'Libro Diario'!H690=0,"",+'Libro Diario'!H690)</f>
        <v/>
      </c>
      <c r="H476" t="str">
        <f>IF(+'Libro Diario'!I690=0,"",+'Libro Diario'!I690)</f>
        <v/>
      </c>
      <c r="I476" t="str">
        <f>+IF(Table3[[#This Row],[Tipo Movimiento]]="Estructura Balance y PyG","Excluir","Incluir")</f>
        <v>Incluir</v>
      </c>
      <c r="J476" s="153">
        <f>+IF(Table3[[#This Row],[Sin cuenta]]="Con Mov.",(IF(Table3[[#This Row],[Movimiento]]="Debe",Table3[[#This Row],[Importe]],IF(Table3[[#This Row],[Movimiento]]="Haber",Table3[[#This Row],[Importe]]*-1,0))),0)</f>
        <v>0</v>
      </c>
      <c r="K476" s="145">
        <f t="shared" si="22"/>
        <v>0</v>
      </c>
      <c r="L476" s="145" t="str">
        <f t="shared" si="23"/>
        <v/>
      </c>
      <c r="M476" t="str">
        <f>_xlfn.XLOOKUP(Table3[[#This Row],[Cuenta]],Estructura_Balance[Nombre Cuenta ()],Estructura_Balance[Grupo],"",0)</f>
        <v/>
      </c>
      <c r="N476" t="str">
        <f>_xlfn.XLOOKUP(Table3[[#This Row],[Cuenta]],Estructura_Balance[Nombre Cuenta ()],Estructura_Balance[Nivel 1],"",0)</f>
        <v/>
      </c>
      <c r="O476" t="str">
        <f>_xlfn.XLOOKUP(Table3[[#This Row],[Cuenta]],Estructura_Balance[Nombre Cuenta ()],Estructura_Balance[Nivel 2],"",0)</f>
        <v/>
      </c>
      <c r="P476" t="str">
        <f>_xlfn.XLOOKUP(Table3[[#This Row],[Cuenta]],Estructura_Balance[Nombre Cuenta ()],Estructura_Balance[Nivel 3],"",0)</f>
        <v/>
      </c>
      <c r="Q476" t="str">
        <f>_xlfn.XLOOKUP(Table3[[#This Row],[Cuenta]],Estructura_Balance[Nombre Cuenta ()],Estructura_Balance[Nivel 4],"",0)</f>
        <v/>
      </c>
      <c r="R476" t="str">
        <f>_xlfn.XLOOKUP(Table3[[#This Row],[Cuenta]],Table8[Nombre Cuenta ()],Table8[Nivel 1],"",0)</f>
        <v/>
      </c>
      <c r="S476" t="str">
        <f>_xlfn.XLOOKUP(Table3[[#This Row],[Cuenta]],Table8[Nombre Cuenta ()],Table8[Nivel 2],"",0)</f>
        <v/>
      </c>
      <c r="T476" t="str">
        <f>_xlfn.XLOOKUP(Table3[[#This Row],[Cuenta]],Table8[Nombre Cuenta ()],Table8[Nivel 3],"",0)</f>
        <v/>
      </c>
      <c r="U476">
        <v>882</v>
      </c>
      <c r="V476" t="str">
        <f>_xlfn.XLOOKUP(Table3[[#This Row],[Cuenta]],Estructura_Balance[Nombre Cuenta ()],Estructura_Balance[Niveles:2],"",0)</f>
        <v/>
      </c>
      <c r="W476" t="str">
        <f>_xlfn.XLOOKUP(Table3[[#This Row],[Cuenta]],Estructura_Balance[Nombre Cuenta ()],Estructura_Balance[Niveles:3],"",0)</f>
        <v/>
      </c>
      <c r="X476" t="str">
        <f>_xlfn.XLOOKUP(Table3[[#This Row],[Cuenta]],Estructura_Balance[Nombre Cuenta ()],Estructura_Balance[Grupos],"Grupo 1",0)</f>
        <v>Grupo 1</v>
      </c>
      <c r="Y476" t="str">
        <f>+Table3[[#This Row],[BS_Nivel_1]]</f>
        <v/>
      </c>
    </row>
    <row r="477" spans="1:25">
      <c r="A477">
        <f>+'Libro Diario'!F691</f>
        <v>81</v>
      </c>
      <c r="B477" s="144">
        <f>VALUE(IF(+'Libro Diario'!G691="","01/01/2025",+'Libro Diario'!G691))</f>
        <v>0</v>
      </c>
      <c r="C477">
        <f>IF(ISNUMBER(+IF(IFERROR(VALUE(MID('Libro Diario'!C691,1,4)),0)&lt;&gt;0,'Libro Diario'!C691,0))=FALSE,'Libro Diario'!C691,0)</f>
        <v>0</v>
      </c>
      <c r="D477" s="145">
        <f>+'Libro Diario'!B691</f>
        <v>0</v>
      </c>
      <c r="E477" s="139" t="s">
        <v>445</v>
      </c>
      <c r="F477" t="str">
        <f t="shared" si="21"/>
        <v>Sin Mov.</v>
      </c>
      <c r="G477" t="str">
        <f>IF(+'Libro Diario'!H691=0,"",+'Libro Diario'!H691)</f>
        <v/>
      </c>
      <c r="H477" t="str">
        <f>IF(+'Libro Diario'!I691=0,"",+'Libro Diario'!I691)</f>
        <v/>
      </c>
      <c r="I477" t="str">
        <f>+IF(Table3[[#This Row],[Tipo Movimiento]]="Estructura Balance y PyG","Excluir","Incluir")</f>
        <v>Incluir</v>
      </c>
      <c r="J477" s="153">
        <f>+IF(Table3[[#This Row],[Sin cuenta]]="Con Mov.",(IF(Table3[[#This Row],[Movimiento]]="Debe",Table3[[#This Row],[Importe]],IF(Table3[[#This Row],[Movimiento]]="Haber",Table3[[#This Row],[Importe]]*-1,0))),0)</f>
        <v>0</v>
      </c>
      <c r="K477" s="145">
        <f t="shared" si="22"/>
        <v>0</v>
      </c>
      <c r="L477" s="145" t="str">
        <f t="shared" si="23"/>
        <v/>
      </c>
      <c r="M477" t="str">
        <f>_xlfn.XLOOKUP(Table3[[#This Row],[Cuenta]],Estructura_Balance[Nombre Cuenta ()],Estructura_Balance[Grupo],"",0)</f>
        <v/>
      </c>
      <c r="N477" t="str">
        <f>_xlfn.XLOOKUP(Table3[[#This Row],[Cuenta]],Estructura_Balance[Nombre Cuenta ()],Estructura_Balance[Nivel 1],"",0)</f>
        <v/>
      </c>
      <c r="O477" t="str">
        <f>_xlfn.XLOOKUP(Table3[[#This Row],[Cuenta]],Estructura_Balance[Nombre Cuenta ()],Estructura_Balance[Nivel 2],"",0)</f>
        <v/>
      </c>
      <c r="P477" t="str">
        <f>_xlfn.XLOOKUP(Table3[[#This Row],[Cuenta]],Estructura_Balance[Nombre Cuenta ()],Estructura_Balance[Nivel 3],"",0)</f>
        <v/>
      </c>
      <c r="Q477" t="str">
        <f>_xlfn.XLOOKUP(Table3[[#This Row],[Cuenta]],Estructura_Balance[Nombre Cuenta ()],Estructura_Balance[Nivel 4],"",0)</f>
        <v/>
      </c>
      <c r="R477" s="154" t="str">
        <f>_xlfn.XLOOKUP(Table3[[#This Row],[Cuenta]],Table8[Nombre Cuenta ()],Table8[Nivel 1],"",0)</f>
        <v/>
      </c>
      <c r="S477" t="str">
        <f>_xlfn.XLOOKUP(Table3[[#This Row],[Cuenta]],Table8[Nombre Cuenta ()],Table8[Nivel 2],"",0)</f>
        <v/>
      </c>
      <c r="T477" t="str">
        <f>_xlfn.XLOOKUP(Table3[[#This Row],[Cuenta]],Table8[Nombre Cuenta ()],Table8[Nivel 3],"",0)</f>
        <v/>
      </c>
      <c r="U477">
        <v>883</v>
      </c>
      <c r="V477" t="str">
        <f>_xlfn.XLOOKUP(Table3[[#This Row],[Cuenta]],Estructura_Balance[Nombre Cuenta ()],Estructura_Balance[Niveles:2],"",0)</f>
        <v/>
      </c>
      <c r="W477" t="str">
        <f>_xlfn.XLOOKUP(Table3[[#This Row],[Cuenta]],Estructura_Balance[Nombre Cuenta ()],Estructura_Balance[Niveles:3],"",0)</f>
        <v/>
      </c>
      <c r="X477" t="str">
        <f>_xlfn.XLOOKUP(Table3[[#This Row],[Cuenta]],Estructura_Balance[Nombre Cuenta ()],Estructura_Balance[Grupos],"Grupo 1",0)</f>
        <v>Grupo 1</v>
      </c>
      <c r="Y477" t="str">
        <f>+Table3[[#This Row],[BS_Nivel_1]]</f>
        <v/>
      </c>
    </row>
    <row r="478" spans="1:25">
      <c r="A478">
        <f>+'Libro Diario'!F692</f>
        <v>0</v>
      </c>
      <c r="B478" s="144">
        <f>VALUE(IF(+'Libro Diario'!G692="","01/01/2025",+'Libro Diario'!G692))</f>
        <v>45658</v>
      </c>
      <c r="C478">
        <f>IF(ISNUMBER(+IF(IFERROR(VALUE(MID('Libro Diario'!C692,1,4)),0)&lt;&gt;0,'Libro Diario'!C692,0))=FALSE,'Libro Diario'!C692,0)</f>
        <v>0</v>
      </c>
      <c r="D478" s="145">
        <f>+'Libro Diario'!B692</f>
        <v>0</v>
      </c>
      <c r="E478" s="139" t="s">
        <v>445</v>
      </c>
      <c r="F478" t="str">
        <f t="shared" si="21"/>
        <v>Sin Mov.</v>
      </c>
      <c r="G478" t="str">
        <f>IF(+'Libro Diario'!H692=0,"",+'Libro Diario'!H692)</f>
        <v/>
      </c>
      <c r="H478" t="str">
        <f>IF(+'Libro Diario'!I692=0,"",+'Libro Diario'!I692)</f>
        <v/>
      </c>
      <c r="I478" t="str">
        <f>+IF(Table3[[#This Row],[Tipo Movimiento]]="Estructura Balance y PyG","Excluir","Incluir")</f>
        <v>Incluir</v>
      </c>
      <c r="J478" s="153">
        <f>+IF(Table3[[#This Row],[Sin cuenta]]="Con Mov.",(IF(Table3[[#This Row],[Movimiento]]="Debe",Table3[[#This Row],[Importe]],IF(Table3[[#This Row],[Movimiento]]="Haber",Table3[[#This Row],[Importe]]*-1,0))),0)</f>
        <v>0</v>
      </c>
      <c r="K478" s="145">
        <f t="shared" si="22"/>
        <v>0</v>
      </c>
      <c r="L478" s="145" t="str">
        <f t="shared" si="23"/>
        <v/>
      </c>
      <c r="M478" t="str">
        <f>_xlfn.XLOOKUP(Table3[[#This Row],[Cuenta]],Estructura_Balance[Nombre Cuenta ()],Estructura_Balance[Grupo],"",0)</f>
        <v/>
      </c>
      <c r="N478" t="str">
        <f>_xlfn.XLOOKUP(Table3[[#This Row],[Cuenta]],Estructura_Balance[Nombre Cuenta ()],Estructura_Balance[Nivel 1],"",0)</f>
        <v/>
      </c>
      <c r="O478" t="str">
        <f>_xlfn.XLOOKUP(Table3[[#This Row],[Cuenta]],Estructura_Balance[Nombre Cuenta ()],Estructura_Balance[Nivel 2],"",0)</f>
        <v/>
      </c>
      <c r="P478" t="str">
        <f>_xlfn.XLOOKUP(Table3[[#This Row],[Cuenta]],Estructura_Balance[Nombre Cuenta ()],Estructura_Balance[Nivel 3],"",0)</f>
        <v/>
      </c>
      <c r="Q478" t="str">
        <f>_xlfn.XLOOKUP(Table3[[#This Row],[Cuenta]],Estructura_Balance[Nombre Cuenta ()],Estructura_Balance[Nivel 4],"",0)</f>
        <v/>
      </c>
      <c r="R478" t="str">
        <f>_xlfn.XLOOKUP(Table3[[#This Row],[Cuenta]],Table8[Nombre Cuenta ()],Table8[Nivel 1],"",0)</f>
        <v/>
      </c>
      <c r="S478" t="str">
        <f>_xlfn.XLOOKUP(Table3[[#This Row],[Cuenta]],Table8[Nombre Cuenta ()],Table8[Nivel 2],"",0)</f>
        <v/>
      </c>
      <c r="T478" t="str">
        <f>_xlfn.XLOOKUP(Table3[[#This Row],[Cuenta]],Table8[Nombre Cuenta ()],Table8[Nivel 3],"",0)</f>
        <v/>
      </c>
      <c r="U478">
        <v>884</v>
      </c>
      <c r="V478" t="str">
        <f>_xlfn.XLOOKUP(Table3[[#This Row],[Cuenta]],Estructura_Balance[Nombre Cuenta ()],Estructura_Balance[Niveles:2],"",0)</f>
        <v/>
      </c>
      <c r="W478" t="str">
        <f>_xlfn.XLOOKUP(Table3[[#This Row],[Cuenta]],Estructura_Balance[Nombre Cuenta ()],Estructura_Balance[Niveles:3],"",0)</f>
        <v/>
      </c>
      <c r="X478" t="str">
        <f>_xlfn.XLOOKUP(Table3[[#This Row],[Cuenta]],Estructura_Balance[Nombre Cuenta ()],Estructura_Balance[Grupos],"Grupo 1",0)</f>
        <v>Grupo 1</v>
      </c>
      <c r="Y478" t="str">
        <f>+Table3[[#This Row],[BS_Nivel_1]]</f>
        <v/>
      </c>
    </row>
    <row r="479" spans="1:25">
      <c r="A479">
        <f>+'Libro Diario'!F693</f>
        <v>0</v>
      </c>
      <c r="B479" s="144">
        <f>VALUE(IF(+'Libro Diario'!G693="","01/01/2025",+'Libro Diario'!G693))</f>
        <v>45658</v>
      </c>
      <c r="C479">
        <f>IF(ISNUMBER(+IF(IFERROR(VALUE(MID('Libro Diario'!C693,1,4)),0)&lt;&gt;0,'Libro Diario'!C693,0))=FALSE,'Libro Diario'!C693,0)</f>
        <v>0</v>
      </c>
      <c r="D479" s="145" t="str">
        <f>+'Libro Diario'!B693</f>
        <v>Asiento Cuadrado</v>
      </c>
      <c r="E479" s="139" t="s">
        <v>445</v>
      </c>
      <c r="F479" t="str">
        <f t="shared" si="21"/>
        <v>Sin Mov.</v>
      </c>
      <c r="G479" t="str">
        <f>IF(+'Libro Diario'!H693=0,"",+'Libro Diario'!H693)</f>
        <v/>
      </c>
      <c r="H479" t="str">
        <f>IF(+'Libro Diario'!I693=0,"",+'Libro Diario'!I693)</f>
        <v/>
      </c>
      <c r="I479" t="str">
        <f>+IF(Table3[[#This Row],[Tipo Movimiento]]="Estructura Balance y PyG","Excluir","Incluir")</f>
        <v>Incluir</v>
      </c>
      <c r="J479" s="153">
        <f>+IF(Table3[[#This Row],[Sin cuenta]]="Con Mov.",(IF(Table3[[#This Row],[Movimiento]]="Debe",Table3[[#This Row],[Importe]],IF(Table3[[#This Row],[Movimiento]]="Haber",Table3[[#This Row],[Importe]]*-1,0))),0)</f>
        <v>0</v>
      </c>
      <c r="K479" s="145" t="str">
        <f t="shared" si="22"/>
        <v>Asiento Cuadrado</v>
      </c>
      <c r="L479" s="145" t="str">
        <f t="shared" si="23"/>
        <v/>
      </c>
      <c r="M479" t="str">
        <f>_xlfn.XLOOKUP(Table3[[#This Row],[Cuenta]],Estructura_Balance[Nombre Cuenta ()],Estructura_Balance[Grupo],"",0)</f>
        <v/>
      </c>
      <c r="N479" t="str">
        <f>_xlfn.XLOOKUP(Table3[[#This Row],[Cuenta]],Estructura_Balance[Nombre Cuenta ()],Estructura_Balance[Nivel 1],"",0)</f>
        <v/>
      </c>
      <c r="O479" t="str">
        <f>_xlfn.XLOOKUP(Table3[[#This Row],[Cuenta]],Estructura_Balance[Nombre Cuenta ()],Estructura_Balance[Nivel 2],"",0)</f>
        <v/>
      </c>
      <c r="P479" t="str">
        <f>_xlfn.XLOOKUP(Table3[[#This Row],[Cuenta]],Estructura_Balance[Nombre Cuenta ()],Estructura_Balance[Nivel 3],"",0)</f>
        <v/>
      </c>
      <c r="Q479" t="str">
        <f>_xlfn.XLOOKUP(Table3[[#This Row],[Cuenta]],Estructura_Balance[Nombre Cuenta ()],Estructura_Balance[Nivel 4],"",0)</f>
        <v/>
      </c>
      <c r="R479" s="154" t="str">
        <f>_xlfn.XLOOKUP(Table3[[#This Row],[Cuenta]],Table8[Nombre Cuenta ()],Table8[Nivel 1],"",0)</f>
        <v/>
      </c>
      <c r="S479" t="str">
        <f>_xlfn.XLOOKUP(Table3[[#This Row],[Cuenta]],Table8[Nombre Cuenta ()],Table8[Nivel 2],"",0)</f>
        <v/>
      </c>
      <c r="T479" t="str">
        <f>_xlfn.XLOOKUP(Table3[[#This Row],[Cuenta]],Table8[Nombre Cuenta ()],Table8[Nivel 3],"",0)</f>
        <v/>
      </c>
      <c r="U479">
        <v>885</v>
      </c>
      <c r="V479" t="str">
        <f>_xlfn.XLOOKUP(Table3[[#This Row],[Cuenta]],Estructura_Balance[Nombre Cuenta ()],Estructura_Balance[Niveles:2],"",0)</f>
        <v/>
      </c>
      <c r="W479" t="str">
        <f>_xlfn.XLOOKUP(Table3[[#This Row],[Cuenta]],Estructura_Balance[Nombre Cuenta ()],Estructura_Balance[Niveles:3],"",0)</f>
        <v/>
      </c>
      <c r="X479" t="str">
        <f>_xlfn.XLOOKUP(Table3[[#This Row],[Cuenta]],Estructura_Balance[Nombre Cuenta ()],Estructura_Balance[Grupos],"Grupo 1",0)</f>
        <v>Grupo 1</v>
      </c>
      <c r="Y479" t="str">
        <f>+Table3[[#This Row],[BS_Nivel_1]]</f>
        <v/>
      </c>
    </row>
    <row r="480" spans="1:25">
      <c r="A480">
        <f>+'Libro Diario'!F694</f>
        <v>0</v>
      </c>
      <c r="B480" s="144">
        <f>VALUE(IF(+'Libro Diario'!G694="","01/01/2025",+'Libro Diario'!G694))</f>
        <v>45658</v>
      </c>
      <c r="C480">
        <f>IF(ISNUMBER(+IF(IFERROR(VALUE(MID('Libro Diario'!C694,1,4)),0)&lt;&gt;0,'Libro Diario'!C694,0))=FALSE,'Libro Diario'!C694,0)</f>
        <v>0</v>
      </c>
      <c r="D480" s="145">
        <f>+'Libro Diario'!B694</f>
        <v>0</v>
      </c>
      <c r="E480" s="139" t="s">
        <v>445</v>
      </c>
      <c r="F480" t="str">
        <f t="shared" si="21"/>
        <v>Sin Mov.</v>
      </c>
      <c r="G480" t="str">
        <f>IF(+'Libro Diario'!H694=0,"",+'Libro Diario'!H694)</f>
        <v/>
      </c>
      <c r="H480" t="str">
        <f>IF(+'Libro Diario'!I694=0,"",+'Libro Diario'!I694)</f>
        <v/>
      </c>
      <c r="I480" t="str">
        <f>+IF(Table3[[#This Row],[Tipo Movimiento]]="Estructura Balance y PyG","Excluir","Incluir")</f>
        <v>Incluir</v>
      </c>
      <c r="J480" s="153">
        <f>+IF(Table3[[#This Row],[Sin cuenta]]="Con Mov.",(IF(Table3[[#This Row],[Movimiento]]="Debe",Table3[[#This Row],[Importe]],IF(Table3[[#This Row],[Movimiento]]="Haber",Table3[[#This Row],[Importe]]*-1,0))),0)</f>
        <v>0</v>
      </c>
      <c r="K480" s="145">
        <f t="shared" si="22"/>
        <v>0</v>
      </c>
      <c r="L480" s="145" t="str">
        <f t="shared" si="23"/>
        <v/>
      </c>
      <c r="M480" t="str">
        <f>_xlfn.XLOOKUP(Table3[[#This Row],[Cuenta]],Estructura_Balance[Nombre Cuenta ()],Estructura_Balance[Grupo],"",0)</f>
        <v/>
      </c>
      <c r="N480" t="str">
        <f>_xlfn.XLOOKUP(Table3[[#This Row],[Cuenta]],Estructura_Balance[Nombre Cuenta ()],Estructura_Balance[Nivel 1],"",0)</f>
        <v/>
      </c>
      <c r="O480" t="str">
        <f>_xlfn.XLOOKUP(Table3[[#This Row],[Cuenta]],Estructura_Balance[Nombre Cuenta ()],Estructura_Balance[Nivel 2],"",0)</f>
        <v/>
      </c>
      <c r="P480" t="str">
        <f>_xlfn.XLOOKUP(Table3[[#This Row],[Cuenta]],Estructura_Balance[Nombre Cuenta ()],Estructura_Balance[Nivel 3],"",0)</f>
        <v/>
      </c>
      <c r="Q480" t="str">
        <f>_xlfn.XLOOKUP(Table3[[#This Row],[Cuenta]],Estructura_Balance[Nombre Cuenta ()],Estructura_Balance[Nivel 4],"",0)</f>
        <v/>
      </c>
      <c r="R480" t="str">
        <f>_xlfn.XLOOKUP(Table3[[#This Row],[Cuenta]],Table8[Nombre Cuenta ()],Table8[Nivel 1],"",0)</f>
        <v/>
      </c>
      <c r="S480" t="str">
        <f>_xlfn.XLOOKUP(Table3[[#This Row],[Cuenta]],Table8[Nombre Cuenta ()],Table8[Nivel 2],"",0)</f>
        <v/>
      </c>
      <c r="T480" t="str">
        <f>_xlfn.XLOOKUP(Table3[[#This Row],[Cuenta]],Table8[Nombre Cuenta ()],Table8[Nivel 3],"",0)</f>
        <v/>
      </c>
      <c r="U480">
        <v>886</v>
      </c>
      <c r="V480" t="str">
        <f>_xlfn.XLOOKUP(Table3[[#This Row],[Cuenta]],Estructura_Balance[Nombre Cuenta ()],Estructura_Balance[Niveles:2],"",0)</f>
        <v/>
      </c>
      <c r="W480" t="str">
        <f>_xlfn.XLOOKUP(Table3[[#This Row],[Cuenta]],Estructura_Balance[Nombre Cuenta ()],Estructura_Balance[Niveles:3],"",0)</f>
        <v/>
      </c>
      <c r="X480" t="str">
        <f>_xlfn.XLOOKUP(Table3[[#This Row],[Cuenta]],Estructura_Balance[Nombre Cuenta ()],Estructura_Balance[Grupos],"Grupo 1",0)</f>
        <v>Grupo 1</v>
      </c>
      <c r="Y480" t="str">
        <f>+Table3[[#This Row],[BS_Nivel_1]]</f>
        <v/>
      </c>
    </row>
    <row r="481" spans="1:25">
      <c r="A481">
        <f>+'Libro Diario'!F695</f>
        <v>0</v>
      </c>
      <c r="B481" s="144">
        <f>VALUE(IF(+'Libro Diario'!G695="","01/01/2025",+'Libro Diario'!G695))</f>
        <v>45658</v>
      </c>
      <c r="C481">
        <f>IF(ISNUMBER(+IF(IFERROR(VALUE(MID('Libro Diario'!C695,1,4)),0)&lt;&gt;0,'Libro Diario'!C695,0))=FALSE,'Libro Diario'!C695,0)</f>
        <v>0</v>
      </c>
      <c r="D481" s="145">
        <f>+'Libro Diario'!B695</f>
        <v>0</v>
      </c>
      <c r="E481" s="139" t="s">
        <v>445</v>
      </c>
      <c r="F481" t="str">
        <f t="shared" si="21"/>
        <v>Sin Mov.</v>
      </c>
      <c r="G481" t="str">
        <f>IF(+'Libro Diario'!H695=0,"",+'Libro Diario'!H695)</f>
        <v/>
      </c>
      <c r="H481" t="str">
        <f>IF(+'Libro Diario'!I695=0,"",+'Libro Diario'!I695)</f>
        <v/>
      </c>
      <c r="I481" t="str">
        <f>+IF(Table3[[#This Row],[Tipo Movimiento]]="Estructura Balance y PyG","Excluir","Incluir")</f>
        <v>Incluir</v>
      </c>
      <c r="J481" s="153">
        <f>+IF(Table3[[#This Row],[Sin cuenta]]="Con Mov.",(IF(Table3[[#This Row],[Movimiento]]="Debe",Table3[[#This Row],[Importe]],IF(Table3[[#This Row],[Movimiento]]="Haber",Table3[[#This Row],[Importe]]*-1,0))),0)</f>
        <v>0</v>
      </c>
      <c r="K481" s="145">
        <f t="shared" si="22"/>
        <v>0</v>
      </c>
      <c r="L481" s="145" t="str">
        <f t="shared" si="23"/>
        <v/>
      </c>
      <c r="M481" t="str">
        <f>_xlfn.XLOOKUP(Table3[[#This Row],[Cuenta]],Estructura_Balance[Nombre Cuenta ()],Estructura_Balance[Grupo],"",0)</f>
        <v/>
      </c>
      <c r="N481" t="str">
        <f>_xlfn.XLOOKUP(Table3[[#This Row],[Cuenta]],Estructura_Balance[Nombre Cuenta ()],Estructura_Balance[Nivel 1],"",0)</f>
        <v/>
      </c>
      <c r="O481" t="str">
        <f>_xlfn.XLOOKUP(Table3[[#This Row],[Cuenta]],Estructura_Balance[Nombre Cuenta ()],Estructura_Balance[Nivel 2],"",0)</f>
        <v/>
      </c>
      <c r="P481" t="str">
        <f>_xlfn.XLOOKUP(Table3[[#This Row],[Cuenta]],Estructura_Balance[Nombre Cuenta ()],Estructura_Balance[Nivel 3],"",0)</f>
        <v/>
      </c>
      <c r="Q481" t="str">
        <f>_xlfn.XLOOKUP(Table3[[#This Row],[Cuenta]],Estructura_Balance[Nombre Cuenta ()],Estructura_Balance[Nivel 4],"",0)</f>
        <v/>
      </c>
      <c r="R481" s="154" t="str">
        <f>_xlfn.XLOOKUP(Table3[[#This Row],[Cuenta]],Table8[Nombre Cuenta ()],Table8[Nivel 1],"",0)</f>
        <v/>
      </c>
      <c r="S481" t="str">
        <f>_xlfn.XLOOKUP(Table3[[#This Row],[Cuenta]],Table8[Nombre Cuenta ()],Table8[Nivel 2],"",0)</f>
        <v/>
      </c>
      <c r="T481" t="str">
        <f>_xlfn.XLOOKUP(Table3[[#This Row],[Cuenta]],Table8[Nombre Cuenta ()],Table8[Nivel 3],"",0)</f>
        <v/>
      </c>
      <c r="U481">
        <v>887</v>
      </c>
      <c r="V481" t="str">
        <f>_xlfn.XLOOKUP(Table3[[#This Row],[Cuenta]],Estructura_Balance[Nombre Cuenta ()],Estructura_Balance[Niveles:2],"",0)</f>
        <v/>
      </c>
      <c r="W481" t="str">
        <f>_xlfn.XLOOKUP(Table3[[#This Row],[Cuenta]],Estructura_Balance[Nombre Cuenta ()],Estructura_Balance[Niveles:3],"",0)</f>
        <v/>
      </c>
      <c r="X481" t="str">
        <f>_xlfn.XLOOKUP(Table3[[#This Row],[Cuenta]],Estructura_Balance[Nombre Cuenta ()],Estructura_Balance[Grupos],"Grupo 1",0)</f>
        <v>Grupo 1</v>
      </c>
      <c r="Y481" t="str">
        <f>+Table3[[#This Row],[BS_Nivel_1]]</f>
        <v/>
      </c>
    </row>
    <row r="482" spans="1:25">
      <c r="A482">
        <f>+'Libro Diario'!F696</f>
        <v>0</v>
      </c>
      <c r="B482" s="144">
        <f>VALUE(IF(+'Libro Diario'!G696="","01/01/2025",+'Libro Diario'!G696))</f>
        <v>45658</v>
      </c>
      <c r="C482">
        <f>IF(ISNUMBER(+IF(IFERROR(VALUE(MID('Libro Diario'!C696,1,4)),0)&lt;&gt;0,'Libro Diario'!C696,0))=FALSE,'Libro Diario'!C696,0)</f>
        <v>0</v>
      </c>
      <c r="D482" s="145">
        <f>+'Libro Diario'!B696</f>
        <v>0</v>
      </c>
      <c r="E482" s="139" t="s">
        <v>445</v>
      </c>
      <c r="F482" t="str">
        <f t="shared" si="21"/>
        <v>Sin Mov.</v>
      </c>
      <c r="G482" t="str">
        <f>IF(+'Libro Diario'!H696=0,"",+'Libro Diario'!H696)</f>
        <v/>
      </c>
      <c r="H482" t="str">
        <f>IF(+'Libro Diario'!I696=0,"",+'Libro Diario'!I696)</f>
        <v/>
      </c>
      <c r="I482" t="str">
        <f>+IF(Table3[[#This Row],[Tipo Movimiento]]="Estructura Balance y PyG","Excluir","Incluir")</f>
        <v>Incluir</v>
      </c>
      <c r="J482" s="153">
        <f>+IF(Table3[[#This Row],[Sin cuenta]]="Con Mov.",(IF(Table3[[#This Row],[Movimiento]]="Debe",Table3[[#This Row],[Importe]],IF(Table3[[#This Row],[Movimiento]]="Haber",Table3[[#This Row],[Importe]]*-1,0))),0)</f>
        <v>0</v>
      </c>
      <c r="K482" s="145">
        <f t="shared" si="22"/>
        <v>0</v>
      </c>
      <c r="L482" s="145" t="str">
        <f t="shared" si="23"/>
        <v/>
      </c>
      <c r="M482" t="str">
        <f>_xlfn.XLOOKUP(Table3[[#This Row],[Cuenta]],Estructura_Balance[Nombre Cuenta ()],Estructura_Balance[Grupo],"",0)</f>
        <v/>
      </c>
      <c r="N482" t="str">
        <f>_xlfn.XLOOKUP(Table3[[#This Row],[Cuenta]],Estructura_Balance[Nombre Cuenta ()],Estructura_Balance[Nivel 1],"",0)</f>
        <v/>
      </c>
      <c r="O482" t="str">
        <f>_xlfn.XLOOKUP(Table3[[#This Row],[Cuenta]],Estructura_Balance[Nombre Cuenta ()],Estructura_Balance[Nivel 2],"",0)</f>
        <v/>
      </c>
      <c r="P482" t="str">
        <f>_xlfn.XLOOKUP(Table3[[#This Row],[Cuenta]],Estructura_Balance[Nombre Cuenta ()],Estructura_Balance[Nivel 3],"",0)</f>
        <v/>
      </c>
      <c r="Q482" t="str">
        <f>_xlfn.XLOOKUP(Table3[[#This Row],[Cuenta]],Estructura_Balance[Nombre Cuenta ()],Estructura_Balance[Nivel 4],"",0)</f>
        <v/>
      </c>
      <c r="R482" t="str">
        <f>_xlfn.XLOOKUP(Table3[[#This Row],[Cuenta]],Table8[Nombre Cuenta ()],Table8[Nivel 1],"",0)</f>
        <v/>
      </c>
      <c r="S482" t="str">
        <f>_xlfn.XLOOKUP(Table3[[#This Row],[Cuenta]],Table8[Nombre Cuenta ()],Table8[Nivel 2],"",0)</f>
        <v/>
      </c>
      <c r="T482" t="str">
        <f>_xlfn.XLOOKUP(Table3[[#This Row],[Cuenta]],Table8[Nombre Cuenta ()],Table8[Nivel 3],"",0)</f>
        <v/>
      </c>
      <c r="U482">
        <v>888</v>
      </c>
      <c r="V482" t="str">
        <f>_xlfn.XLOOKUP(Table3[[#This Row],[Cuenta]],Estructura_Balance[Nombre Cuenta ()],Estructura_Balance[Niveles:2],"",0)</f>
        <v/>
      </c>
      <c r="W482" t="str">
        <f>_xlfn.XLOOKUP(Table3[[#This Row],[Cuenta]],Estructura_Balance[Nombre Cuenta ()],Estructura_Balance[Niveles:3],"",0)</f>
        <v/>
      </c>
      <c r="X482" t="str">
        <f>_xlfn.XLOOKUP(Table3[[#This Row],[Cuenta]],Estructura_Balance[Nombre Cuenta ()],Estructura_Balance[Grupos],"Grupo 1",0)</f>
        <v>Grupo 1</v>
      </c>
      <c r="Y482" t="str">
        <f>+Table3[[#This Row],[BS_Nivel_1]]</f>
        <v/>
      </c>
    </row>
    <row r="483" spans="1:25">
      <c r="A483">
        <f>+'Libro Diario'!F697</f>
        <v>0</v>
      </c>
      <c r="B483" s="144">
        <f>VALUE(IF(+'Libro Diario'!G697="","01/01/2025",+'Libro Diario'!G697))</f>
        <v>45658</v>
      </c>
      <c r="C483">
        <f>IF(ISNUMBER(+IF(IFERROR(VALUE(MID('Libro Diario'!C697,1,4)),0)&lt;&gt;0,'Libro Diario'!C697,0))=FALSE,'Libro Diario'!C697,0)</f>
        <v>0</v>
      </c>
      <c r="D483" s="145">
        <f>+'Libro Diario'!B697</f>
        <v>0</v>
      </c>
      <c r="E483" s="139" t="s">
        <v>445</v>
      </c>
      <c r="F483" t="str">
        <f t="shared" si="21"/>
        <v>Sin Mov.</v>
      </c>
      <c r="G483" t="str">
        <f>IF(+'Libro Diario'!H697=0,"",+'Libro Diario'!H697)</f>
        <v/>
      </c>
      <c r="H483" t="str">
        <f>IF(+'Libro Diario'!I697=0,"",+'Libro Diario'!I697)</f>
        <v/>
      </c>
      <c r="I483" t="str">
        <f>+IF(Table3[[#This Row],[Tipo Movimiento]]="Estructura Balance y PyG","Excluir","Incluir")</f>
        <v>Incluir</v>
      </c>
      <c r="J483" s="153">
        <f>+IF(Table3[[#This Row],[Sin cuenta]]="Con Mov.",(IF(Table3[[#This Row],[Movimiento]]="Debe",Table3[[#This Row],[Importe]],IF(Table3[[#This Row],[Movimiento]]="Haber",Table3[[#This Row],[Importe]]*-1,0))),0)</f>
        <v>0</v>
      </c>
      <c r="K483" s="145">
        <f t="shared" si="22"/>
        <v>0</v>
      </c>
      <c r="L483" s="145" t="str">
        <f t="shared" si="23"/>
        <v/>
      </c>
      <c r="M483" t="str">
        <f>_xlfn.XLOOKUP(Table3[[#This Row],[Cuenta]],Estructura_Balance[Nombre Cuenta ()],Estructura_Balance[Grupo],"",0)</f>
        <v/>
      </c>
      <c r="N483" t="str">
        <f>_xlfn.XLOOKUP(Table3[[#This Row],[Cuenta]],Estructura_Balance[Nombre Cuenta ()],Estructura_Balance[Nivel 1],"",0)</f>
        <v/>
      </c>
      <c r="O483" t="str">
        <f>_xlfn.XLOOKUP(Table3[[#This Row],[Cuenta]],Estructura_Balance[Nombre Cuenta ()],Estructura_Balance[Nivel 2],"",0)</f>
        <v/>
      </c>
      <c r="P483" t="str">
        <f>_xlfn.XLOOKUP(Table3[[#This Row],[Cuenta]],Estructura_Balance[Nombre Cuenta ()],Estructura_Balance[Nivel 3],"",0)</f>
        <v/>
      </c>
      <c r="Q483" t="str">
        <f>_xlfn.XLOOKUP(Table3[[#This Row],[Cuenta]],Estructura_Balance[Nombre Cuenta ()],Estructura_Balance[Nivel 4],"",0)</f>
        <v/>
      </c>
      <c r="R483" s="154" t="str">
        <f>_xlfn.XLOOKUP(Table3[[#This Row],[Cuenta]],Table8[Nombre Cuenta ()],Table8[Nivel 1],"",0)</f>
        <v/>
      </c>
      <c r="S483" t="str">
        <f>_xlfn.XLOOKUP(Table3[[#This Row],[Cuenta]],Table8[Nombre Cuenta ()],Table8[Nivel 2],"",0)</f>
        <v/>
      </c>
      <c r="T483" t="str">
        <f>_xlfn.XLOOKUP(Table3[[#This Row],[Cuenta]],Table8[Nombre Cuenta ()],Table8[Nivel 3],"",0)</f>
        <v/>
      </c>
      <c r="U483">
        <v>889</v>
      </c>
      <c r="V483" t="str">
        <f>_xlfn.XLOOKUP(Table3[[#This Row],[Cuenta]],Estructura_Balance[Nombre Cuenta ()],Estructura_Balance[Niveles:2],"",0)</f>
        <v/>
      </c>
      <c r="W483" t="str">
        <f>_xlfn.XLOOKUP(Table3[[#This Row],[Cuenta]],Estructura_Balance[Nombre Cuenta ()],Estructura_Balance[Niveles:3],"",0)</f>
        <v/>
      </c>
      <c r="X483" t="str">
        <f>_xlfn.XLOOKUP(Table3[[#This Row],[Cuenta]],Estructura_Balance[Nombre Cuenta ()],Estructura_Balance[Grupos],"Grupo 1",0)</f>
        <v>Grupo 1</v>
      </c>
      <c r="Y483" t="str">
        <f>+Table3[[#This Row],[BS_Nivel_1]]</f>
        <v/>
      </c>
    </row>
    <row r="484" spans="1:25">
      <c r="A484">
        <f>+'Libro Diario'!F698</f>
        <v>0</v>
      </c>
      <c r="B484" s="144">
        <f>VALUE(IF(+'Libro Diario'!G698="","01/01/2025",+'Libro Diario'!G698))</f>
        <v>45658</v>
      </c>
      <c r="C484">
        <f>IF(ISNUMBER(+IF(IFERROR(VALUE(MID('Libro Diario'!C698,1,4)),0)&lt;&gt;0,'Libro Diario'!C698,0))=FALSE,'Libro Diario'!C698,0)</f>
        <v>0</v>
      </c>
      <c r="D484" s="145">
        <f>+'Libro Diario'!B698</f>
        <v>0</v>
      </c>
      <c r="E484" s="139" t="s">
        <v>445</v>
      </c>
      <c r="F484" t="str">
        <f t="shared" si="21"/>
        <v>Sin Mov.</v>
      </c>
      <c r="G484" t="str">
        <f>IF(+'Libro Diario'!H698=0,"",+'Libro Diario'!H698)</f>
        <v/>
      </c>
      <c r="H484" t="str">
        <f>IF(+'Libro Diario'!I698=0,"",+'Libro Diario'!I698)</f>
        <v/>
      </c>
      <c r="I484" t="str">
        <f>+IF(Table3[[#This Row],[Tipo Movimiento]]="Estructura Balance y PyG","Excluir","Incluir")</f>
        <v>Incluir</v>
      </c>
      <c r="J484" s="153">
        <f>+IF(Table3[[#This Row],[Sin cuenta]]="Con Mov.",(IF(Table3[[#This Row],[Movimiento]]="Debe",Table3[[#This Row],[Importe]],IF(Table3[[#This Row],[Movimiento]]="Haber",Table3[[#This Row],[Importe]]*-1,0))),0)</f>
        <v>0</v>
      </c>
      <c r="K484" s="145">
        <f t="shared" si="22"/>
        <v>0</v>
      </c>
      <c r="L484" s="145" t="str">
        <f t="shared" si="23"/>
        <v/>
      </c>
      <c r="M484" t="str">
        <f>_xlfn.XLOOKUP(Table3[[#This Row],[Cuenta]],Estructura_Balance[Nombre Cuenta ()],Estructura_Balance[Grupo],"",0)</f>
        <v/>
      </c>
      <c r="N484" t="str">
        <f>_xlfn.XLOOKUP(Table3[[#This Row],[Cuenta]],Estructura_Balance[Nombre Cuenta ()],Estructura_Balance[Nivel 1],"",0)</f>
        <v/>
      </c>
      <c r="O484" t="str">
        <f>_xlfn.XLOOKUP(Table3[[#This Row],[Cuenta]],Estructura_Balance[Nombre Cuenta ()],Estructura_Balance[Nivel 2],"",0)</f>
        <v/>
      </c>
      <c r="P484" t="str">
        <f>_xlfn.XLOOKUP(Table3[[#This Row],[Cuenta]],Estructura_Balance[Nombre Cuenta ()],Estructura_Balance[Nivel 3],"",0)</f>
        <v/>
      </c>
      <c r="Q484" t="str">
        <f>_xlfn.XLOOKUP(Table3[[#This Row],[Cuenta]],Estructura_Balance[Nombre Cuenta ()],Estructura_Balance[Nivel 4],"",0)</f>
        <v/>
      </c>
      <c r="R484" t="str">
        <f>_xlfn.XLOOKUP(Table3[[#This Row],[Cuenta]],Table8[Nombre Cuenta ()],Table8[Nivel 1],"",0)</f>
        <v/>
      </c>
      <c r="S484" t="str">
        <f>_xlfn.XLOOKUP(Table3[[#This Row],[Cuenta]],Table8[Nombre Cuenta ()],Table8[Nivel 2],"",0)</f>
        <v/>
      </c>
      <c r="T484" t="str">
        <f>_xlfn.XLOOKUP(Table3[[#This Row],[Cuenta]],Table8[Nombre Cuenta ()],Table8[Nivel 3],"",0)</f>
        <v/>
      </c>
      <c r="U484">
        <v>890</v>
      </c>
      <c r="V484" t="str">
        <f>_xlfn.XLOOKUP(Table3[[#This Row],[Cuenta]],Estructura_Balance[Nombre Cuenta ()],Estructura_Balance[Niveles:2],"",0)</f>
        <v/>
      </c>
      <c r="W484" t="str">
        <f>_xlfn.XLOOKUP(Table3[[#This Row],[Cuenta]],Estructura_Balance[Nombre Cuenta ()],Estructura_Balance[Niveles:3],"",0)</f>
        <v/>
      </c>
      <c r="X484" t="str">
        <f>_xlfn.XLOOKUP(Table3[[#This Row],[Cuenta]],Estructura_Balance[Nombre Cuenta ()],Estructura_Balance[Grupos],"Grupo 1",0)</f>
        <v>Grupo 1</v>
      </c>
      <c r="Y484" t="str">
        <f>+Table3[[#This Row],[BS_Nivel_1]]</f>
        <v/>
      </c>
    </row>
    <row r="485" spans="1:25">
      <c r="A485">
        <f>+'Libro Diario'!F699</f>
        <v>0</v>
      </c>
      <c r="B485" s="144">
        <f>VALUE(IF(+'Libro Diario'!G699="","01/01/2025",+'Libro Diario'!G699))</f>
        <v>45658</v>
      </c>
      <c r="C485">
        <f>IF(ISNUMBER(+IF(IFERROR(VALUE(MID('Libro Diario'!C699,1,4)),0)&lt;&gt;0,'Libro Diario'!C699,0))=FALSE,'Libro Diario'!C699,0)</f>
        <v>0</v>
      </c>
      <c r="D485" s="145">
        <f>+'Libro Diario'!B699</f>
        <v>0</v>
      </c>
      <c r="E485" s="139" t="s">
        <v>445</v>
      </c>
      <c r="F485" t="str">
        <f t="shared" si="21"/>
        <v>Sin Mov.</v>
      </c>
      <c r="G485" t="str">
        <f>IF(+'Libro Diario'!H699=0,"",+'Libro Diario'!H699)</f>
        <v/>
      </c>
      <c r="H485" t="str">
        <f>IF(+'Libro Diario'!I699=0,"",+'Libro Diario'!I699)</f>
        <v/>
      </c>
      <c r="I485" t="str">
        <f>+IF(Table3[[#This Row],[Tipo Movimiento]]="Estructura Balance y PyG","Excluir","Incluir")</f>
        <v>Incluir</v>
      </c>
      <c r="J485" s="153">
        <f>+IF(Table3[[#This Row],[Sin cuenta]]="Con Mov.",(IF(Table3[[#This Row],[Movimiento]]="Debe",Table3[[#This Row],[Importe]],IF(Table3[[#This Row],[Movimiento]]="Haber",Table3[[#This Row],[Importe]]*-1,0))),0)</f>
        <v>0</v>
      </c>
      <c r="K485" s="145">
        <f t="shared" si="22"/>
        <v>0</v>
      </c>
      <c r="L485" s="145" t="str">
        <f t="shared" si="23"/>
        <v/>
      </c>
      <c r="M485" t="str">
        <f>_xlfn.XLOOKUP(Table3[[#This Row],[Cuenta]],Estructura_Balance[Nombre Cuenta ()],Estructura_Balance[Grupo],"",0)</f>
        <v/>
      </c>
      <c r="N485" t="str">
        <f>_xlfn.XLOOKUP(Table3[[#This Row],[Cuenta]],Estructura_Balance[Nombre Cuenta ()],Estructura_Balance[Nivel 1],"",0)</f>
        <v/>
      </c>
      <c r="O485" t="str">
        <f>_xlfn.XLOOKUP(Table3[[#This Row],[Cuenta]],Estructura_Balance[Nombre Cuenta ()],Estructura_Balance[Nivel 2],"",0)</f>
        <v/>
      </c>
      <c r="P485" t="str">
        <f>_xlfn.XLOOKUP(Table3[[#This Row],[Cuenta]],Estructura_Balance[Nombre Cuenta ()],Estructura_Balance[Nivel 3],"",0)</f>
        <v/>
      </c>
      <c r="Q485" t="str">
        <f>_xlfn.XLOOKUP(Table3[[#This Row],[Cuenta]],Estructura_Balance[Nombre Cuenta ()],Estructura_Balance[Nivel 4],"",0)</f>
        <v/>
      </c>
      <c r="R485" t="str">
        <f>_xlfn.XLOOKUP(Table3[[#This Row],[Cuenta]],Table8[Nombre Cuenta ()],Table8[Nivel 1],"",0)</f>
        <v/>
      </c>
      <c r="S485" t="str">
        <f>_xlfn.XLOOKUP(Table3[[#This Row],[Cuenta]],Table8[Nombre Cuenta ()],Table8[Nivel 2],"",0)</f>
        <v/>
      </c>
      <c r="T485" t="str">
        <f>_xlfn.XLOOKUP(Table3[[#This Row],[Cuenta]],Table8[Nombre Cuenta ()],Table8[Nivel 3],"",0)</f>
        <v/>
      </c>
      <c r="U485">
        <v>891</v>
      </c>
      <c r="V485" t="str">
        <f>_xlfn.XLOOKUP(Table3[[#This Row],[Cuenta]],Estructura_Balance[Nombre Cuenta ()],Estructura_Balance[Niveles:2],"",0)</f>
        <v/>
      </c>
      <c r="W485" t="str">
        <f>_xlfn.XLOOKUP(Table3[[#This Row],[Cuenta]],Estructura_Balance[Nombre Cuenta ()],Estructura_Balance[Niveles:3],"",0)</f>
        <v/>
      </c>
      <c r="X485" t="str">
        <f>_xlfn.XLOOKUP(Table3[[#This Row],[Cuenta]],Estructura_Balance[Nombre Cuenta ()],Estructura_Balance[Grupos],"Grupo 1",0)</f>
        <v>Grupo 1</v>
      </c>
      <c r="Y485" t="str">
        <f>+Table3[[#This Row],[BS_Nivel_1]]</f>
        <v/>
      </c>
    </row>
    <row r="486" spans="1:25">
      <c r="A486">
        <f>+'Libro Diario'!F700</f>
        <v>0</v>
      </c>
      <c r="B486" s="144">
        <f>VALUE(IF(+'Libro Diario'!G700="","01/01/2025",+'Libro Diario'!G700))</f>
        <v>45658</v>
      </c>
      <c r="C486">
        <f>IF(ISNUMBER(+IF(IFERROR(VALUE(MID('Libro Diario'!C700,1,4)),0)&lt;&gt;0,'Libro Diario'!C700,0))=FALSE,'Libro Diario'!C700,0)</f>
        <v>0</v>
      </c>
      <c r="D486" s="145">
        <f>+'Libro Diario'!B700</f>
        <v>0</v>
      </c>
      <c r="E486" s="139" t="s">
        <v>445</v>
      </c>
      <c r="F486" t="str">
        <f t="shared" si="21"/>
        <v>Sin Mov.</v>
      </c>
      <c r="G486" t="str">
        <f>IF(+'Libro Diario'!H700=0,"",+'Libro Diario'!H700)</f>
        <v/>
      </c>
      <c r="H486" t="str">
        <f>IF(+'Libro Diario'!I700=0,"",+'Libro Diario'!I700)</f>
        <v/>
      </c>
      <c r="I486" t="str">
        <f>+IF(Table3[[#This Row],[Tipo Movimiento]]="Estructura Balance y PyG","Excluir","Incluir")</f>
        <v>Incluir</v>
      </c>
      <c r="J486" s="153">
        <f>+IF(Table3[[#This Row],[Sin cuenta]]="Con Mov.",(IF(Table3[[#This Row],[Movimiento]]="Debe",Table3[[#This Row],[Importe]],IF(Table3[[#This Row],[Movimiento]]="Haber",Table3[[#This Row],[Importe]]*-1,0))),0)</f>
        <v>0</v>
      </c>
      <c r="K486" s="145">
        <f t="shared" si="22"/>
        <v>0</v>
      </c>
      <c r="L486" s="145" t="str">
        <f t="shared" si="23"/>
        <v/>
      </c>
      <c r="M486" t="str">
        <f>_xlfn.XLOOKUP(Table3[[#This Row],[Cuenta]],Estructura_Balance[Nombre Cuenta ()],Estructura_Balance[Grupo],"",0)</f>
        <v/>
      </c>
      <c r="N486" t="str">
        <f>_xlfn.XLOOKUP(Table3[[#This Row],[Cuenta]],Estructura_Balance[Nombre Cuenta ()],Estructura_Balance[Nivel 1],"",0)</f>
        <v/>
      </c>
      <c r="O486" t="str">
        <f>_xlfn.XLOOKUP(Table3[[#This Row],[Cuenta]],Estructura_Balance[Nombre Cuenta ()],Estructura_Balance[Nivel 2],"",0)</f>
        <v/>
      </c>
      <c r="P486" t="str">
        <f>_xlfn.XLOOKUP(Table3[[#This Row],[Cuenta]],Estructura_Balance[Nombre Cuenta ()],Estructura_Balance[Nivel 3],"",0)</f>
        <v/>
      </c>
      <c r="Q486" t="str">
        <f>_xlfn.XLOOKUP(Table3[[#This Row],[Cuenta]],Estructura_Balance[Nombre Cuenta ()],Estructura_Balance[Nivel 4],"",0)</f>
        <v/>
      </c>
      <c r="R486" t="str">
        <f>_xlfn.XLOOKUP(Table3[[#This Row],[Cuenta]],Table8[Nombre Cuenta ()],Table8[Nivel 1],"",0)</f>
        <v/>
      </c>
      <c r="S486" t="str">
        <f>_xlfn.XLOOKUP(Table3[[#This Row],[Cuenta]],Table8[Nombre Cuenta ()],Table8[Nivel 2],"",0)</f>
        <v/>
      </c>
      <c r="T486" t="str">
        <f>_xlfn.XLOOKUP(Table3[[#This Row],[Cuenta]],Table8[Nombre Cuenta ()],Table8[Nivel 3],"",0)</f>
        <v/>
      </c>
      <c r="U486">
        <v>892</v>
      </c>
      <c r="V486" t="str">
        <f>_xlfn.XLOOKUP(Table3[[#This Row],[Cuenta]],Estructura_Balance[Nombre Cuenta ()],Estructura_Balance[Niveles:2],"",0)</f>
        <v/>
      </c>
      <c r="W486" t="str">
        <f>_xlfn.XLOOKUP(Table3[[#This Row],[Cuenta]],Estructura_Balance[Nombre Cuenta ()],Estructura_Balance[Niveles:3],"",0)</f>
        <v/>
      </c>
      <c r="X486" t="str">
        <f>_xlfn.XLOOKUP(Table3[[#This Row],[Cuenta]],Estructura_Balance[Nombre Cuenta ()],Estructura_Balance[Grupos],"Grupo 1",0)</f>
        <v>Grupo 1</v>
      </c>
      <c r="Y486" t="str">
        <f>+Table3[[#This Row],[BS_Nivel_1]]</f>
        <v/>
      </c>
    </row>
    <row r="487" spans="1:25">
      <c r="A487">
        <f>+'Libro Diario'!F701</f>
        <v>0</v>
      </c>
      <c r="B487" s="144">
        <f>VALUE(IF(+'Libro Diario'!G701="","01/01/2025",+'Libro Diario'!G701))</f>
        <v>45658</v>
      </c>
      <c r="C487">
        <f>IF(ISNUMBER(+IF(IFERROR(VALUE(MID('Libro Diario'!C701,1,4)),0)&lt;&gt;0,'Libro Diario'!C701,0))=FALSE,'Libro Diario'!C701,0)</f>
        <v>0</v>
      </c>
      <c r="D487" s="145">
        <f>+'Libro Diario'!B701</f>
        <v>0</v>
      </c>
      <c r="E487" s="139" t="s">
        <v>445</v>
      </c>
      <c r="F487" t="str">
        <f t="shared" si="21"/>
        <v>Sin Mov.</v>
      </c>
      <c r="G487" t="str">
        <f>IF(+'Libro Diario'!H701=0,"",+'Libro Diario'!H701)</f>
        <v/>
      </c>
      <c r="H487" t="str">
        <f>IF(+'Libro Diario'!I701=0,"",+'Libro Diario'!I701)</f>
        <v/>
      </c>
      <c r="I487" t="str">
        <f>+IF(Table3[[#This Row],[Tipo Movimiento]]="Estructura Balance y PyG","Excluir","Incluir")</f>
        <v>Incluir</v>
      </c>
      <c r="J487" s="153">
        <f>+IF(Table3[[#This Row],[Sin cuenta]]="Con Mov.",(IF(Table3[[#This Row],[Movimiento]]="Debe",Table3[[#This Row],[Importe]],IF(Table3[[#This Row],[Movimiento]]="Haber",Table3[[#This Row],[Importe]]*-1,0))),0)</f>
        <v>0</v>
      </c>
      <c r="K487" s="145">
        <f t="shared" si="22"/>
        <v>0</v>
      </c>
      <c r="L487" s="145" t="str">
        <f t="shared" si="23"/>
        <v/>
      </c>
      <c r="M487" t="str">
        <f>_xlfn.XLOOKUP(Table3[[#This Row],[Cuenta]],Estructura_Balance[Nombre Cuenta ()],Estructura_Balance[Grupo],"",0)</f>
        <v/>
      </c>
      <c r="N487" t="str">
        <f>_xlfn.XLOOKUP(Table3[[#This Row],[Cuenta]],Estructura_Balance[Nombre Cuenta ()],Estructura_Balance[Nivel 1],"",0)</f>
        <v/>
      </c>
      <c r="O487" t="str">
        <f>_xlfn.XLOOKUP(Table3[[#This Row],[Cuenta]],Estructura_Balance[Nombre Cuenta ()],Estructura_Balance[Nivel 2],"",0)</f>
        <v/>
      </c>
      <c r="P487" t="str">
        <f>_xlfn.XLOOKUP(Table3[[#This Row],[Cuenta]],Estructura_Balance[Nombre Cuenta ()],Estructura_Balance[Nivel 3],"",0)</f>
        <v/>
      </c>
      <c r="Q487" t="str">
        <f>_xlfn.XLOOKUP(Table3[[#This Row],[Cuenta]],Estructura_Balance[Nombre Cuenta ()],Estructura_Balance[Nivel 4],"",0)</f>
        <v/>
      </c>
      <c r="R487" t="str">
        <f>_xlfn.XLOOKUP(Table3[[#This Row],[Cuenta]],Table8[Nombre Cuenta ()],Table8[Nivel 1],"",0)</f>
        <v/>
      </c>
      <c r="S487" t="str">
        <f>_xlfn.XLOOKUP(Table3[[#This Row],[Cuenta]],Table8[Nombre Cuenta ()],Table8[Nivel 2],"",0)</f>
        <v/>
      </c>
      <c r="T487" t="str">
        <f>_xlfn.XLOOKUP(Table3[[#This Row],[Cuenta]],Table8[Nombre Cuenta ()],Table8[Nivel 3],"",0)</f>
        <v/>
      </c>
      <c r="U487">
        <v>893</v>
      </c>
      <c r="V487" t="str">
        <f>_xlfn.XLOOKUP(Table3[[#This Row],[Cuenta]],Estructura_Balance[Nombre Cuenta ()],Estructura_Balance[Niveles:2],"",0)</f>
        <v/>
      </c>
      <c r="W487" t="str">
        <f>_xlfn.XLOOKUP(Table3[[#This Row],[Cuenta]],Estructura_Balance[Nombre Cuenta ()],Estructura_Balance[Niveles:3],"",0)</f>
        <v/>
      </c>
      <c r="X487" t="str">
        <f>_xlfn.XLOOKUP(Table3[[#This Row],[Cuenta]],Estructura_Balance[Nombre Cuenta ()],Estructura_Balance[Grupos],"Grupo 1",0)</f>
        <v>Grupo 1</v>
      </c>
      <c r="Y487" t="str">
        <f>+Table3[[#This Row],[BS_Nivel_1]]</f>
        <v/>
      </c>
    </row>
    <row r="488" spans="1:25">
      <c r="A488">
        <f>+'Libro Diario'!F702</f>
        <v>0</v>
      </c>
      <c r="B488" s="144">
        <f>VALUE(IF(+'Libro Diario'!G702="","01/01/2025",+'Libro Diario'!G702))</f>
        <v>45658</v>
      </c>
      <c r="C488">
        <f>IF(ISNUMBER(+IF(IFERROR(VALUE(MID('Libro Diario'!C702,1,4)),0)&lt;&gt;0,'Libro Diario'!C702,0))=FALSE,'Libro Diario'!C702,0)</f>
        <v>0</v>
      </c>
      <c r="D488" s="145">
        <f>+'Libro Diario'!B702</f>
        <v>0</v>
      </c>
      <c r="E488" s="139" t="s">
        <v>445</v>
      </c>
      <c r="F488" t="str">
        <f t="shared" si="21"/>
        <v>Sin Mov.</v>
      </c>
      <c r="G488" t="str">
        <f>IF(+'Libro Diario'!H702=0,"",+'Libro Diario'!H702)</f>
        <v/>
      </c>
      <c r="H488" t="str">
        <f>IF(+'Libro Diario'!I702=0,"",+'Libro Diario'!I702)</f>
        <v/>
      </c>
      <c r="I488" t="str">
        <f>+IF(Table3[[#This Row],[Tipo Movimiento]]="Estructura Balance y PyG","Excluir","Incluir")</f>
        <v>Incluir</v>
      </c>
      <c r="J488" s="153">
        <f>+IF(Table3[[#This Row],[Sin cuenta]]="Con Mov.",(IF(Table3[[#This Row],[Movimiento]]="Debe",Table3[[#This Row],[Importe]],IF(Table3[[#This Row],[Movimiento]]="Haber",Table3[[#This Row],[Importe]]*-1,0))),0)</f>
        <v>0</v>
      </c>
      <c r="K488" s="145">
        <f t="shared" si="22"/>
        <v>0</v>
      </c>
      <c r="L488" s="145" t="str">
        <f t="shared" si="23"/>
        <v/>
      </c>
      <c r="M488" t="str">
        <f>_xlfn.XLOOKUP(Table3[[#This Row],[Cuenta]],Estructura_Balance[Nombre Cuenta ()],Estructura_Balance[Grupo],"",0)</f>
        <v/>
      </c>
      <c r="N488" t="str">
        <f>_xlfn.XLOOKUP(Table3[[#This Row],[Cuenta]],Estructura_Balance[Nombre Cuenta ()],Estructura_Balance[Nivel 1],"",0)</f>
        <v/>
      </c>
      <c r="O488" t="str">
        <f>_xlfn.XLOOKUP(Table3[[#This Row],[Cuenta]],Estructura_Balance[Nombre Cuenta ()],Estructura_Balance[Nivel 2],"",0)</f>
        <v/>
      </c>
      <c r="P488" t="str">
        <f>_xlfn.XLOOKUP(Table3[[#This Row],[Cuenta]],Estructura_Balance[Nombre Cuenta ()],Estructura_Balance[Nivel 3],"",0)</f>
        <v/>
      </c>
      <c r="Q488" t="str">
        <f>_xlfn.XLOOKUP(Table3[[#This Row],[Cuenta]],Estructura_Balance[Nombre Cuenta ()],Estructura_Balance[Nivel 4],"",0)</f>
        <v/>
      </c>
      <c r="R488" t="str">
        <f>_xlfn.XLOOKUP(Table3[[#This Row],[Cuenta]],Table8[Nombre Cuenta ()],Table8[Nivel 1],"",0)</f>
        <v/>
      </c>
      <c r="S488" t="str">
        <f>_xlfn.XLOOKUP(Table3[[#This Row],[Cuenta]],Table8[Nombre Cuenta ()],Table8[Nivel 2],"",0)</f>
        <v/>
      </c>
      <c r="T488" t="str">
        <f>_xlfn.XLOOKUP(Table3[[#This Row],[Cuenta]],Table8[Nombre Cuenta ()],Table8[Nivel 3],"",0)</f>
        <v/>
      </c>
      <c r="U488">
        <v>894</v>
      </c>
      <c r="V488" t="str">
        <f>_xlfn.XLOOKUP(Table3[[#This Row],[Cuenta]],Estructura_Balance[Nombre Cuenta ()],Estructura_Balance[Niveles:2],"",0)</f>
        <v/>
      </c>
      <c r="W488" t="str">
        <f>_xlfn.XLOOKUP(Table3[[#This Row],[Cuenta]],Estructura_Balance[Nombre Cuenta ()],Estructura_Balance[Niveles:3],"",0)</f>
        <v/>
      </c>
      <c r="X488" t="str">
        <f>_xlfn.XLOOKUP(Table3[[#This Row],[Cuenta]],Estructura_Balance[Nombre Cuenta ()],Estructura_Balance[Grupos],"Grupo 1",0)</f>
        <v>Grupo 1</v>
      </c>
      <c r="Y488" t="str">
        <f>+Table3[[#This Row],[BS_Nivel_1]]</f>
        <v/>
      </c>
    </row>
    <row r="489" spans="1:25">
      <c r="A489">
        <f>+'Libro Diario'!F703</f>
        <v>0</v>
      </c>
      <c r="B489" s="144">
        <f>VALUE(IF(+'Libro Diario'!G703="","01/01/2025",+'Libro Diario'!G703))</f>
        <v>45658</v>
      </c>
      <c r="C489">
        <f>IF(ISNUMBER(+IF(IFERROR(VALUE(MID('Libro Diario'!C703,1,4)),0)&lt;&gt;0,'Libro Diario'!C703,0))=FALSE,'Libro Diario'!C703,0)</f>
        <v>0</v>
      </c>
      <c r="D489" s="145">
        <f>+'Libro Diario'!B703</f>
        <v>0</v>
      </c>
      <c r="E489" s="139" t="s">
        <v>445</v>
      </c>
      <c r="F489" t="str">
        <f t="shared" si="21"/>
        <v>Sin Mov.</v>
      </c>
      <c r="G489" t="str">
        <f>IF(+'Libro Diario'!H703=0,"",+'Libro Diario'!H703)</f>
        <v/>
      </c>
      <c r="H489" t="str">
        <f>IF(+'Libro Diario'!I703=0,"",+'Libro Diario'!I703)</f>
        <v/>
      </c>
      <c r="I489" t="str">
        <f>+IF(Table3[[#This Row],[Tipo Movimiento]]="Estructura Balance y PyG","Excluir","Incluir")</f>
        <v>Incluir</v>
      </c>
      <c r="J489" s="153">
        <f>+IF(Table3[[#This Row],[Sin cuenta]]="Con Mov.",(IF(Table3[[#This Row],[Movimiento]]="Debe",Table3[[#This Row],[Importe]],IF(Table3[[#This Row],[Movimiento]]="Haber",Table3[[#This Row],[Importe]]*-1,0))),0)</f>
        <v>0</v>
      </c>
      <c r="K489" s="145">
        <f t="shared" si="22"/>
        <v>0</v>
      </c>
      <c r="L489" s="145" t="str">
        <f t="shared" si="23"/>
        <v/>
      </c>
      <c r="M489" t="str">
        <f>_xlfn.XLOOKUP(Table3[[#This Row],[Cuenta]],Estructura_Balance[Nombre Cuenta ()],Estructura_Balance[Grupo],"",0)</f>
        <v/>
      </c>
      <c r="N489" t="str">
        <f>_xlfn.XLOOKUP(Table3[[#This Row],[Cuenta]],Estructura_Balance[Nombre Cuenta ()],Estructura_Balance[Nivel 1],"",0)</f>
        <v/>
      </c>
      <c r="O489" t="str">
        <f>_xlfn.XLOOKUP(Table3[[#This Row],[Cuenta]],Estructura_Balance[Nombre Cuenta ()],Estructura_Balance[Nivel 2],"",0)</f>
        <v/>
      </c>
      <c r="P489" t="str">
        <f>_xlfn.XLOOKUP(Table3[[#This Row],[Cuenta]],Estructura_Balance[Nombre Cuenta ()],Estructura_Balance[Nivel 3],"",0)</f>
        <v/>
      </c>
      <c r="Q489" t="str">
        <f>_xlfn.XLOOKUP(Table3[[#This Row],[Cuenta]],Estructura_Balance[Nombre Cuenta ()],Estructura_Balance[Nivel 4],"",0)</f>
        <v/>
      </c>
      <c r="R489" t="str">
        <f>_xlfn.XLOOKUP(Table3[[#This Row],[Cuenta]],Table8[Nombre Cuenta ()],Table8[Nivel 1],"",0)</f>
        <v/>
      </c>
      <c r="S489" t="str">
        <f>_xlfn.XLOOKUP(Table3[[#This Row],[Cuenta]],Table8[Nombre Cuenta ()],Table8[Nivel 2],"",0)</f>
        <v/>
      </c>
      <c r="T489" t="str">
        <f>_xlfn.XLOOKUP(Table3[[#This Row],[Cuenta]],Table8[Nombre Cuenta ()],Table8[Nivel 3],"",0)</f>
        <v/>
      </c>
      <c r="U489">
        <v>895</v>
      </c>
      <c r="V489" t="str">
        <f>_xlfn.XLOOKUP(Table3[[#This Row],[Cuenta]],Estructura_Balance[Nombre Cuenta ()],Estructura_Balance[Niveles:2],"",0)</f>
        <v/>
      </c>
      <c r="W489" t="str">
        <f>_xlfn.XLOOKUP(Table3[[#This Row],[Cuenta]],Estructura_Balance[Nombre Cuenta ()],Estructura_Balance[Niveles:3],"",0)</f>
        <v/>
      </c>
      <c r="X489" t="str">
        <f>_xlfn.XLOOKUP(Table3[[#This Row],[Cuenta]],Estructura_Balance[Nombre Cuenta ()],Estructura_Balance[Grupos],"Grupo 1",0)</f>
        <v>Grupo 1</v>
      </c>
      <c r="Y489" t="str">
        <f>+Table3[[#This Row],[BS_Nivel_1]]</f>
        <v/>
      </c>
    </row>
    <row r="490" spans="1:25">
      <c r="A490">
        <f>+'Libro Diario'!F704</f>
        <v>0</v>
      </c>
      <c r="B490" s="144">
        <f>VALUE(IF(+'Libro Diario'!G704="","01/01/2025",+'Libro Diario'!G704))</f>
        <v>45658</v>
      </c>
      <c r="C490">
        <f>IF(ISNUMBER(+IF(IFERROR(VALUE(MID('Libro Diario'!C704,1,4)),0)&lt;&gt;0,'Libro Diario'!C704,0))=FALSE,'Libro Diario'!C704,0)</f>
        <v>0</v>
      </c>
      <c r="D490" s="145">
        <f>+'Libro Diario'!B704</f>
        <v>0</v>
      </c>
      <c r="E490" s="139" t="s">
        <v>445</v>
      </c>
      <c r="F490" t="str">
        <f t="shared" si="21"/>
        <v>Sin Mov.</v>
      </c>
      <c r="G490" t="str">
        <f>IF(+'Libro Diario'!H704=0,"",+'Libro Diario'!H704)</f>
        <v/>
      </c>
      <c r="H490" t="str">
        <f>IF(+'Libro Diario'!I704=0,"",+'Libro Diario'!I704)</f>
        <v/>
      </c>
      <c r="I490" t="str">
        <f>+IF(Table3[[#This Row],[Tipo Movimiento]]="Estructura Balance y PyG","Excluir","Incluir")</f>
        <v>Incluir</v>
      </c>
      <c r="J490" s="153">
        <f>+IF(Table3[[#This Row],[Sin cuenta]]="Con Mov.",(IF(Table3[[#This Row],[Movimiento]]="Debe",Table3[[#This Row],[Importe]],IF(Table3[[#This Row],[Movimiento]]="Haber",Table3[[#This Row],[Importe]]*-1,0))),0)</f>
        <v>0</v>
      </c>
      <c r="K490" s="145">
        <f t="shared" si="22"/>
        <v>0</v>
      </c>
      <c r="L490" s="145" t="str">
        <f t="shared" si="23"/>
        <v/>
      </c>
      <c r="M490" t="str">
        <f>_xlfn.XLOOKUP(Table3[[#This Row],[Cuenta]],Estructura_Balance[Nombre Cuenta ()],Estructura_Balance[Grupo],"",0)</f>
        <v/>
      </c>
      <c r="N490" t="str">
        <f>_xlfn.XLOOKUP(Table3[[#This Row],[Cuenta]],Estructura_Balance[Nombre Cuenta ()],Estructura_Balance[Nivel 1],"",0)</f>
        <v/>
      </c>
      <c r="O490" t="str">
        <f>_xlfn.XLOOKUP(Table3[[#This Row],[Cuenta]],Estructura_Balance[Nombre Cuenta ()],Estructura_Balance[Nivel 2],"",0)</f>
        <v/>
      </c>
      <c r="P490" t="str">
        <f>_xlfn.XLOOKUP(Table3[[#This Row],[Cuenta]],Estructura_Balance[Nombre Cuenta ()],Estructura_Balance[Nivel 3],"",0)</f>
        <v/>
      </c>
      <c r="Q490" t="str">
        <f>_xlfn.XLOOKUP(Table3[[#This Row],[Cuenta]],Estructura_Balance[Nombre Cuenta ()],Estructura_Balance[Nivel 4],"",0)</f>
        <v/>
      </c>
      <c r="R490" t="str">
        <f>_xlfn.XLOOKUP(Table3[[#This Row],[Cuenta]],Table8[Nombre Cuenta ()],Table8[Nivel 1],"",0)</f>
        <v/>
      </c>
      <c r="S490" t="str">
        <f>_xlfn.XLOOKUP(Table3[[#This Row],[Cuenta]],Table8[Nombre Cuenta ()],Table8[Nivel 2],"",0)</f>
        <v/>
      </c>
      <c r="T490" t="str">
        <f>_xlfn.XLOOKUP(Table3[[#This Row],[Cuenta]],Table8[Nombre Cuenta ()],Table8[Nivel 3],"",0)</f>
        <v/>
      </c>
      <c r="U490">
        <v>896</v>
      </c>
      <c r="V490" t="str">
        <f>_xlfn.XLOOKUP(Table3[[#This Row],[Cuenta]],Estructura_Balance[Nombre Cuenta ()],Estructura_Balance[Niveles:2],"",0)</f>
        <v/>
      </c>
      <c r="W490" t="str">
        <f>_xlfn.XLOOKUP(Table3[[#This Row],[Cuenta]],Estructura_Balance[Nombre Cuenta ()],Estructura_Balance[Niveles:3],"",0)</f>
        <v/>
      </c>
      <c r="X490" t="str">
        <f>_xlfn.XLOOKUP(Table3[[#This Row],[Cuenta]],Estructura_Balance[Nombre Cuenta ()],Estructura_Balance[Grupos],"Grupo 1",0)</f>
        <v>Grupo 1</v>
      </c>
      <c r="Y490" t="str">
        <f>+Table3[[#This Row],[BS_Nivel_1]]</f>
        <v/>
      </c>
    </row>
    <row r="491" spans="1:25">
      <c r="A491">
        <f>+'Libro Diario'!F705</f>
        <v>0</v>
      </c>
      <c r="B491" s="144">
        <f>VALUE(IF(+'Libro Diario'!G705="","01/01/2025",+'Libro Diario'!G705))</f>
        <v>45658</v>
      </c>
      <c r="C491">
        <f>IF(ISNUMBER(+IF(IFERROR(VALUE(MID('Libro Diario'!C705,1,4)),0)&lt;&gt;0,'Libro Diario'!C705,0))=FALSE,'Libro Diario'!C705,0)</f>
        <v>0</v>
      </c>
      <c r="D491" s="145">
        <f>+'Libro Diario'!B705</f>
        <v>0</v>
      </c>
      <c r="E491" s="139" t="s">
        <v>445</v>
      </c>
      <c r="F491" t="str">
        <f t="shared" si="21"/>
        <v>Sin Mov.</v>
      </c>
      <c r="G491" t="str">
        <f>IF(+'Libro Diario'!H705=0,"",+'Libro Diario'!H705)</f>
        <v/>
      </c>
      <c r="H491" t="str">
        <f>IF(+'Libro Diario'!I705=0,"",+'Libro Diario'!I705)</f>
        <v/>
      </c>
      <c r="I491" t="str">
        <f>+IF(Table3[[#This Row],[Tipo Movimiento]]="Estructura Balance y PyG","Excluir","Incluir")</f>
        <v>Incluir</v>
      </c>
      <c r="J491" s="153">
        <f>+IF(Table3[[#This Row],[Sin cuenta]]="Con Mov.",(IF(Table3[[#This Row],[Movimiento]]="Debe",Table3[[#This Row],[Importe]],IF(Table3[[#This Row],[Movimiento]]="Haber",Table3[[#This Row],[Importe]]*-1,0))),0)</f>
        <v>0</v>
      </c>
      <c r="K491" s="145">
        <f t="shared" si="22"/>
        <v>0</v>
      </c>
      <c r="L491" s="145" t="str">
        <f t="shared" si="23"/>
        <v/>
      </c>
      <c r="M491" t="str">
        <f>_xlfn.XLOOKUP(Table3[[#This Row],[Cuenta]],Estructura_Balance[Nombre Cuenta ()],Estructura_Balance[Grupo],"",0)</f>
        <v/>
      </c>
      <c r="N491" t="str">
        <f>_xlfn.XLOOKUP(Table3[[#This Row],[Cuenta]],Estructura_Balance[Nombre Cuenta ()],Estructura_Balance[Nivel 1],"",0)</f>
        <v/>
      </c>
      <c r="O491" t="str">
        <f>_xlfn.XLOOKUP(Table3[[#This Row],[Cuenta]],Estructura_Balance[Nombre Cuenta ()],Estructura_Balance[Nivel 2],"",0)</f>
        <v/>
      </c>
      <c r="P491" t="str">
        <f>_xlfn.XLOOKUP(Table3[[#This Row],[Cuenta]],Estructura_Balance[Nombre Cuenta ()],Estructura_Balance[Nivel 3],"",0)</f>
        <v/>
      </c>
      <c r="Q491" t="str">
        <f>_xlfn.XLOOKUP(Table3[[#This Row],[Cuenta]],Estructura_Balance[Nombre Cuenta ()],Estructura_Balance[Nivel 4],"",0)</f>
        <v/>
      </c>
      <c r="R491" t="str">
        <f>_xlfn.XLOOKUP(Table3[[#This Row],[Cuenta]],Table8[Nombre Cuenta ()],Table8[Nivel 1],"",0)</f>
        <v/>
      </c>
      <c r="S491" t="str">
        <f>_xlfn.XLOOKUP(Table3[[#This Row],[Cuenta]],Table8[Nombre Cuenta ()],Table8[Nivel 2],"",0)</f>
        <v/>
      </c>
      <c r="T491" t="str">
        <f>_xlfn.XLOOKUP(Table3[[#This Row],[Cuenta]],Table8[Nombre Cuenta ()],Table8[Nivel 3],"",0)</f>
        <v/>
      </c>
      <c r="U491">
        <v>897</v>
      </c>
      <c r="V491" t="str">
        <f>_xlfn.XLOOKUP(Table3[[#This Row],[Cuenta]],Estructura_Balance[Nombre Cuenta ()],Estructura_Balance[Niveles:2],"",0)</f>
        <v/>
      </c>
      <c r="W491" t="str">
        <f>_xlfn.XLOOKUP(Table3[[#This Row],[Cuenta]],Estructura_Balance[Nombre Cuenta ()],Estructura_Balance[Niveles:3],"",0)</f>
        <v/>
      </c>
      <c r="X491" t="str">
        <f>_xlfn.XLOOKUP(Table3[[#This Row],[Cuenta]],Estructura_Balance[Nombre Cuenta ()],Estructura_Balance[Grupos],"Grupo 1",0)</f>
        <v>Grupo 1</v>
      </c>
      <c r="Y491" t="str">
        <f>+Table3[[#This Row],[BS_Nivel_1]]</f>
        <v/>
      </c>
    </row>
    <row r="492" spans="1:25">
      <c r="A492">
        <f>+'Libro Diario'!F706</f>
        <v>0</v>
      </c>
      <c r="B492" s="144">
        <f>VALUE(IF(+'Libro Diario'!G706="","01/01/2025",+'Libro Diario'!G706))</f>
        <v>45658</v>
      </c>
      <c r="C492">
        <f>IF(ISNUMBER(+IF(IFERROR(VALUE(MID('Libro Diario'!C706,1,4)),0)&lt;&gt;0,'Libro Diario'!C706,0))=FALSE,'Libro Diario'!C706,0)</f>
        <v>0</v>
      </c>
      <c r="D492" s="145">
        <f>+'Libro Diario'!B706</f>
        <v>0</v>
      </c>
      <c r="E492" s="139" t="s">
        <v>445</v>
      </c>
      <c r="F492" t="str">
        <f t="shared" si="21"/>
        <v>Sin Mov.</v>
      </c>
      <c r="G492" t="str">
        <f>IF(+'Libro Diario'!H706=0,"",+'Libro Diario'!H706)</f>
        <v/>
      </c>
      <c r="H492" t="str">
        <f>IF(+'Libro Diario'!I706=0,"",+'Libro Diario'!I706)</f>
        <v/>
      </c>
      <c r="I492" t="str">
        <f>+IF(Table3[[#This Row],[Tipo Movimiento]]="Estructura Balance y PyG","Excluir","Incluir")</f>
        <v>Incluir</v>
      </c>
      <c r="J492" s="153">
        <f>+IF(Table3[[#This Row],[Sin cuenta]]="Con Mov.",(IF(Table3[[#This Row],[Movimiento]]="Debe",Table3[[#This Row],[Importe]],IF(Table3[[#This Row],[Movimiento]]="Haber",Table3[[#This Row],[Importe]]*-1,0))),0)</f>
        <v>0</v>
      </c>
      <c r="K492" s="145">
        <f t="shared" si="22"/>
        <v>0</v>
      </c>
      <c r="L492" s="145" t="str">
        <f t="shared" si="23"/>
        <v/>
      </c>
      <c r="M492" t="str">
        <f>_xlfn.XLOOKUP(Table3[[#This Row],[Cuenta]],Estructura_Balance[Nombre Cuenta ()],Estructura_Balance[Grupo],"",0)</f>
        <v/>
      </c>
      <c r="N492" t="str">
        <f>_xlfn.XLOOKUP(Table3[[#This Row],[Cuenta]],Estructura_Balance[Nombre Cuenta ()],Estructura_Balance[Nivel 1],"",0)</f>
        <v/>
      </c>
      <c r="O492" t="str">
        <f>_xlfn.XLOOKUP(Table3[[#This Row],[Cuenta]],Estructura_Balance[Nombre Cuenta ()],Estructura_Balance[Nivel 2],"",0)</f>
        <v/>
      </c>
      <c r="P492" t="str">
        <f>_xlfn.XLOOKUP(Table3[[#This Row],[Cuenta]],Estructura_Balance[Nombre Cuenta ()],Estructura_Balance[Nivel 3],"",0)</f>
        <v/>
      </c>
      <c r="Q492" t="str">
        <f>_xlfn.XLOOKUP(Table3[[#This Row],[Cuenta]],Estructura_Balance[Nombre Cuenta ()],Estructura_Balance[Nivel 4],"",0)</f>
        <v/>
      </c>
      <c r="R492" t="str">
        <f>_xlfn.XLOOKUP(Table3[[#This Row],[Cuenta]],Table8[Nombre Cuenta ()],Table8[Nivel 1],"",0)</f>
        <v/>
      </c>
      <c r="S492" t="str">
        <f>_xlfn.XLOOKUP(Table3[[#This Row],[Cuenta]],Table8[Nombre Cuenta ()],Table8[Nivel 2],"",0)</f>
        <v/>
      </c>
      <c r="T492" t="str">
        <f>_xlfn.XLOOKUP(Table3[[#This Row],[Cuenta]],Table8[Nombre Cuenta ()],Table8[Nivel 3],"",0)</f>
        <v/>
      </c>
      <c r="U492">
        <v>898</v>
      </c>
      <c r="V492" t="str">
        <f>_xlfn.XLOOKUP(Table3[[#This Row],[Cuenta]],Estructura_Balance[Nombre Cuenta ()],Estructura_Balance[Niveles:2],"",0)</f>
        <v/>
      </c>
      <c r="W492" t="str">
        <f>_xlfn.XLOOKUP(Table3[[#This Row],[Cuenta]],Estructura_Balance[Nombre Cuenta ()],Estructura_Balance[Niveles:3],"",0)</f>
        <v/>
      </c>
      <c r="X492" t="str">
        <f>_xlfn.XLOOKUP(Table3[[#This Row],[Cuenta]],Estructura_Balance[Nombre Cuenta ()],Estructura_Balance[Grupos],"Grupo 1",0)</f>
        <v>Grupo 1</v>
      </c>
      <c r="Y492" t="str">
        <f>+Table3[[#This Row],[BS_Nivel_1]]</f>
        <v/>
      </c>
    </row>
    <row r="493" spans="1:25">
      <c r="A493">
        <f>+'Libro Diario'!F707</f>
        <v>0</v>
      </c>
      <c r="B493" s="144">
        <f>VALUE(IF(+'Libro Diario'!G707="","01/01/2025",+'Libro Diario'!G707))</f>
        <v>45658</v>
      </c>
      <c r="C493">
        <f>IF(ISNUMBER(+IF(IFERROR(VALUE(MID('Libro Diario'!C707,1,4)),0)&lt;&gt;0,'Libro Diario'!C707,0))=FALSE,'Libro Diario'!C707,0)</f>
        <v>0</v>
      </c>
      <c r="D493" s="145">
        <f>+'Libro Diario'!B707</f>
        <v>0</v>
      </c>
      <c r="E493" s="139" t="s">
        <v>445</v>
      </c>
      <c r="F493" t="str">
        <f t="shared" si="21"/>
        <v>Sin Mov.</v>
      </c>
      <c r="G493" t="str">
        <f>IF(+'Libro Diario'!H707=0,"",+'Libro Diario'!H707)</f>
        <v/>
      </c>
      <c r="H493" t="str">
        <f>IF(+'Libro Diario'!I707=0,"",+'Libro Diario'!I707)</f>
        <v/>
      </c>
      <c r="I493" t="str">
        <f>+IF(Table3[[#This Row],[Tipo Movimiento]]="Estructura Balance y PyG","Excluir","Incluir")</f>
        <v>Incluir</v>
      </c>
      <c r="J493" s="153">
        <f>+IF(Table3[[#This Row],[Sin cuenta]]="Con Mov.",(IF(Table3[[#This Row],[Movimiento]]="Debe",Table3[[#This Row],[Importe]],IF(Table3[[#This Row],[Movimiento]]="Haber",Table3[[#This Row],[Importe]]*-1,0))),0)</f>
        <v>0</v>
      </c>
      <c r="K493" s="145">
        <f t="shared" si="22"/>
        <v>0</v>
      </c>
      <c r="L493" s="145" t="str">
        <f t="shared" si="23"/>
        <v/>
      </c>
      <c r="M493" t="str">
        <f>_xlfn.XLOOKUP(Table3[[#This Row],[Cuenta]],Estructura_Balance[Nombre Cuenta ()],Estructura_Balance[Grupo],"",0)</f>
        <v/>
      </c>
      <c r="N493" t="str">
        <f>_xlfn.XLOOKUP(Table3[[#This Row],[Cuenta]],Estructura_Balance[Nombre Cuenta ()],Estructura_Balance[Nivel 1],"",0)</f>
        <v/>
      </c>
      <c r="O493" t="str">
        <f>_xlfn.XLOOKUP(Table3[[#This Row],[Cuenta]],Estructura_Balance[Nombre Cuenta ()],Estructura_Balance[Nivel 2],"",0)</f>
        <v/>
      </c>
      <c r="P493" t="str">
        <f>_xlfn.XLOOKUP(Table3[[#This Row],[Cuenta]],Estructura_Balance[Nombre Cuenta ()],Estructura_Balance[Nivel 3],"",0)</f>
        <v/>
      </c>
      <c r="Q493" t="str">
        <f>_xlfn.XLOOKUP(Table3[[#This Row],[Cuenta]],Estructura_Balance[Nombre Cuenta ()],Estructura_Balance[Nivel 4],"",0)</f>
        <v/>
      </c>
      <c r="R493" t="str">
        <f>_xlfn.XLOOKUP(Table3[[#This Row],[Cuenta]],Table8[Nombre Cuenta ()],Table8[Nivel 1],"",0)</f>
        <v/>
      </c>
      <c r="S493" t="str">
        <f>_xlfn.XLOOKUP(Table3[[#This Row],[Cuenta]],Table8[Nombre Cuenta ()],Table8[Nivel 2],"",0)</f>
        <v/>
      </c>
      <c r="T493" t="str">
        <f>_xlfn.XLOOKUP(Table3[[#This Row],[Cuenta]],Table8[Nombre Cuenta ()],Table8[Nivel 3],"",0)</f>
        <v/>
      </c>
      <c r="U493">
        <v>899</v>
      </c>
      <c r="V493" t="str">
        <f>_xlfn.XLOOKUP(Table3[[#This Row],[Cuenta]],Estructura_Balance[Nombre Cuenta ()],Estructura_Balance[Niveles:2],"",0)</f>
        <v/>
      </c>
      <c r="W493" t="str">
        <f>_xlfn.XLOOKUP(Table3[[#This Row],[Cuenta]],Estructura_Balance[Nombre Cuenta ()],Estructura_Balance[Niveles:3],"",0)</f>
        <v/>
      </c>
      <c r="X493" t="str">
        <f>_xlfn.XLOOKUP(Table3[[#This Row],[Cuenta]],Estructura_Balance[Nombre Cuenta ()],Estructura_Balance[Grupos],"Grupo 1",0)</f>
        <v>Grupo 1</v>
      </c>
      <c r="Y493" t="str">
        <f>+Table3[[#This Row],[BS_Nivel_1]]</f>
        <v/>
      </c>
    </row>
    <row r="494" spans="1:25">
      <c r="A494">
        <f>+'Libro Diario'!F708</f>
        <v>0</v>
      </c>
      <c r="B494" s="144">
        <f>VALUE(IF(+'Libro Diario'!G708="","01/01/2025",+'Libro Diario'!G708))</f>
        <v>45658</v>
      </c>
      <c r="C494">
        <f>IF(ISNUMBER(+IF(IFERROR(VALUE(MID('Libro Diario'!C708,1,4)),0)&lt;&gt;0,'Libro Diario'!C708,0))=FALSE,'Libro Diario'!C708,0)</f>
        <v>0</v>
      </c>
      <c r="D494" s="145">
        <f>+'Libro Diario'!B708</f>
        <v>0</v>
      </c>
      <c r="E494" s="139" t="s">
        <v>445</v>
      </c>
      <c r="F494" t="str">
        <f t="shared" si="21"/>
        <v>Sin Mov.</v>
      </c>
      <c r="G494" t="str">
        <f>IF(+'Libro Diario'!H708=0,"",+'Libro Diario'!H708)</f>
        <v/>
      </c>
      <c r="H494" t="str">
        <f>IF(+'Libro Diario'!I708=0,"",+'Libro Diario'!I708)</f>
        <v/>
      </c>
      <c r="I494" t="str">
        <f>+IF(Table3[[#This Row],[Tipo Movimiento]]="Estructura Balance y PyG","Excluir","Incluir")</f>
        <v>Incluir</v>
      </c>
      <c r="J494" s="153">
        <f>+IF(Table3[[#This Row],[Sin cuenta]]="Con Mov.",(IF(Table3[[#This Row],[Movimiento]]="Debe",Table3[[#This Row],[Importe]],IF(Table3[[#This Row],[Movimiento]]="Haber",Table3[[#This Row],[Importe]]*-1,0))),0)</f>
        <v>0</v>
      </c>
      <c r="K494" s="145">
        <f t="shared" si="22"/>
        <v>0</v>
      </c>
      <c r="L494" s="145" t="str">
        <f t="shared" si="23"/>
        <v/>
      </c>
      <c r="M494" t="str">
        <f>_xlfn.XLOOKUP(Table3[[#This Row],[Cuenta]],Estructura_Balance[Nombre Cuenta ()],Estructura_Balance[Grupo],"",0)</f>
        <v/>
      </c>
      <c r="N494" t="str">
        <f>_xlfn.XLOOKUP(Table3[[#This Row],[Cuenta]],Estructura_Balance[Nombre Cuenta ()],Estructura_Balance[Nivel 1],"",0)</f>
        <v/>
      </c>
      <c r="O494" t="str">
        <f>_xlfn.XLOOKUP(Table3[[#This Row],[Cuenta]],Estructura_Balance[Nombre Cuenta ()],Estructura_Balance[Nivel 2],"",0)</f>
        <v/>
      </c>
      <c r="P494" t="str">
        <f>_xlfn.XLOOKUP(Table3[[#This Row],[Cuenta]],Estructura_Balance[Nombre Cuenta ()],Estructura_Balance[Nivel 3],"",0)</f>
        <v/>
      </c>
      <c r="Q494" t="str">
        <f>_xlfn.XLOOKUP(Table3[[#This Row],[Cuenta]],Estructura_Balance[Nombre Cuenta ()],Estructura_Balance[Nivel 4],"",0)</f>
        <v/>
      </c>
      <c r="R494" t="str">
        <f>_xlfn.XLOOKUP(Table3[[#This Row],[Cuenta]],Table8[Nombre Cuenta ()],Table8[Nivel 1],"",0)</f>
        <v/>
      </c>
      <c r="S494" t="str">
        <f>_xlfn.XLOOKUP(Table3[[#This Row],[Cuenta]],Table8[Nombre Cuenta ()],Table8[Nivel 2],"",0)</f>
        <v/>
      </c>
      <c r="T494" t="str">
        <f>_xlfn.XLOOKUP(Table3[[#This Row],[Cuenta]],Table8[Nombre Cuenta ()],Table8[Nivel 3],"",0)</f>
        <v/>
      </c>
      <c r="U494">
        <v>900</v>
      </c>
      <c r="V494" t="str">
        <f>_xlfn.XLOOKUP(Table3[[#This Row],[Cuenta]],Estructura_Balance[Nombre Cuenta ()],Estructura_Balance[Niveles:2],"",0)</f>
        <v/>
      </c>
      <c r="W494" t="str">
        <f>_xlfn.XLOOKUP(Table3[[#This Row],[Cuenta]],Estructura_Balance[Nombre Cuenta ()],Estructura_Balance[Niveles:3],"",0)</f>
        <v/>
      </c>
      <c r="X494" t="str">
        <f>_xlfn.XLOOKUP(Table3[[#This Row],[Cuenta]],Estructura_Balance[Nombre Cuenta ()],Estructura_Balance[Grupos],"Grupo 1",0)</f>
        <v>Grupo 1</v>
      </c>
      <c r="Y494" t="str">
        <f>+Table3[[#This Row],[BS_Nivel_1]]</f>
        <v/>
      </c>
    </row>
    <row r="495" spans="1:25">
      <c r="A495">
        <f>+'Libro Diario'!F709</f>
        <v>0</v>
      </c>
      <c r="B495" s="144">
        <f>VALUE(IF(+'Libro Diario'!G709="","01/01/2025",+'Libro Diario'!G709))</f>
        <v>45658</v>
      </c>
      <c r="C495">
        <f>IF(ISNUMBER(+IF(IFERROR(VALUE(MID('Libro Diario'!C709,1,4)),0)&lt;&gt;0,'Libro Diario'!C709,0))=FALSE,'Libro Diario'!C709,0)</f>
        <v>0</v>
      </c>
      <c r="D495" s="145">
        <f>+'Libro Diario'!B709</f>
        <v>0</v>
      </c>
      <c r="E495" s="139" t="s">
        <v>445</v>
      </c>
      <c r="F495" t="str">
        <f t="shared" si="21"/>
        <v>Sin Mov.</v>
      </c>
      <c r="G495" t="str">
        <f>IF(+'Libro Diario'!H709=0,"",+'Libro Diario'!H709)</f>
        <v/>
      </c>
      <c r="H495" t="str">
        <f>IF(+'Libro Diario'!I709=0,"",+'Libro Diario'!I709)</f>
        <v/>
      </c>
      <c r="I495" t="str">
        <f>+IF(Table3[[#This Row],[Tipo Movimiento]]="Estructura Balance y PyG","Excluir","Incluir")</f>
        <v>Incluir</v>
      </c>
      <c r="J495" s="153">
        <f>+IF(Table3[[#This Row],[Sin cuenta]]="Con Mov.",(IF(Table3[[#This Row],[Movimiento]]="Debe",Table3[[#This Row],[Importe]],IF(Table3[[#This Row],[Movimiento]]="Haber",Table3[[#This Row],[Importe]]*-1,0))),0)</f>
        <v>0</v>
      </c>
      <c r="K495" s="145">
        <f t="shared" si="22"/>
        <v>0</v>
      </c>
      <c r="L495" s="145" t="str">
        <f t="shared" si="23"/>
        <v/>
      </c>
      <c r="M495" t="str">
        <f>_xlfn.XLOOKUP(Table3[[#This Row],[Cuenta]],Estructura_Balance[Nombre Cuenta ()],Estructura_Balance[Grupo],"",0)</f>
        <v/>
      </c>
      <c r="N495" t="str">
        <f>_xlfn.XLOOKUP(Table3[[#This Row],[Cuenta]],Estructura_Balance[Nombre Cuenta ()],Estructura_Balance[Nivel 1],"",0)</f>
        <v/>
      </c>
      <c r="O495" t="str">
        <f>_xlfn.XLOOKUP(Table3[[#This Row],[Cuenta]],Estructura_Balance[Nombre Cuenta ()],Estructura_Balance[Nivel 2],"",0)</f>
        <v/>
      </c>
      <c r="P495" t="str">
        <f>_xlfn.XLOOKUP(Table3[[#This Row],[Cuenta]],Estructura_Balance[Nombre Cuenta ()],Estructura_Balance[Nivel 3],"",0)</f>
        <v/>
      </c>
      <c r="Q495" t="str">
        <f>_xlfn.XLOOKUP(Table3[[#This Row],[Cuenta]],Estructura_Balance[Nombre Cuenta ()],Estructura_Balance[Nivel 4],"",0)</f>
        <v/>
      </c>
      <c r="R495" t="str">
        <f>_xlfn.XLOOKUP(Table3[[#This Row],[Cuenta]],Table8[Nombre Cuenta ()],Table8[Nivel 1],"",0)</f>
        <v/>
      </c>
      <c r="S495" t="str">
        <f>_xlfn.XLOOKUP(Table3[[#This Row],[Cuenta]],Table8[Nombre Cuenta ()],Table8[Nivel 2],"",0)</f>
        <v/>
      </c>
      <c r="T495" t="str">
        <f>_xlfn.XLOOKUP(Table3[[#This Row],[Cuenta]],Table8[Nombre Cuenta ()],Table8[Nivel 3],"",0)</f>
        <v/>
      </c>
      <c r="U495">
        <v>901</v>
      </c>
      <c r="V495" t="str">
        <f>_xlfn.XLOOKUP(Table3[[#This Row],[Cuenta]],Estructura_Balance[Nombre Cuenta ()],Estructura_Balance[Niveles:2],"",0)</f>
        <v/>
      </c>
      <c r="W495" t="str">
        <f>_xlfn.XLOOKUP(Table3[[#This Row],[Cuenta]],Estructura_Balance[Nombre Cuenta ()],Estructura_Balance[Niveles:3],"",0)</f>
        <v/>
      </c>
      <c r="X495" t="str">
        <f>_xlfn.XLOOKUP(Table3[[#This Row],[Cuenta]],Estructura_Balance[Nombre Cuenta ()],Estructura_Balance[Grupos],"Grupo 1",0)</f>
        <v>Grupo 1</v>
      </c>
      <c r="Y495" t="str">
        <f>+Table3[[#This Row],[BS_Nivel_1]]</f>
        <v/>
      </c>
    </row>
    <row r="496" spans="1:25">
      <c r="A496">
        <f>+'Libro Diario'!F710</f>
        <v>0</v>
      </c>
      <c r="B496" s="144">
        <f>VALUE(IF(+'Libro Diario'!G710="","01/01/2025",+'Libro Diario'!G710))</f>
        <v>45658</v>
      </c>
      <c r="C496">
        <f>IF(ISNUMBER(+IF(IFERROR(VALUE(MID('Libro Diario'!C710,1,4)),0)&lt;&gt;0,'Libro Diario'!C710,0))=FALSE,'Libro Diario'!C710,0)</f>
        <v>0</v>
      </c>
      <c r="D496" s="145">
        <f>+'Libro Diario'!B710</f>
        <v>0</v>
      </c>
      <c r="E496" s="139" t="s">
        <v>445</v>
      </c>
      <c r="F496" t="str">
        <f t="shared" si="21"/>
        <v>Sin Mov.</v>
      </c>
      <c r="G496" t="str">
        <f>IF(+'Libro Diario'!H710=0,"",+'Libro Diario'!H710)</f>
        <v/>
      </c>
      <c r="H496" t="str">
        <f>IF(+'Libro Diario'!I710=0,"",+'Libro Diario'!I710)</f>
        <v/>
      </c>
      <c r="I496" t="str">
        <f>+IF(Table3[[#This Row],[Tipo Movimiento]]="Estructura Balance y PyG","Excluir","Incluir")</f>
        <v>Incluir</v>
      </c>
      <c r="J496" s="153">
        <f>+IF(Table3[[#This Row],[Sin cuenta]]="Con Mov.",(IF(Table3[[#This Row],[Movimiento]]="Debe",Table3[[#This Row],[Importe]],IF(Table3[[#This Row],[Movimiento]]="Haber",Table3[[#This Row],[Importe]]*-1,0))),0)</f>
        <v>0</v>
      </c>
      <c r="K496" s="145">
        <f t="shared" si="22"/>
        <v>0</v>
      </c>
      <c r="L496" s="145" t="str">
        <f t="shared" si="23"/>
        <v/>
      </c>
      <c r="M496" t="str">
        <f>_xlfn.XLOOKUP(Table3[[#This Row],[Cuenta]],Estructura_Balance[Nombre Cuenta ()],Estructura_Balance[Grupo],"",0)</f>
        <v/>
      </c>
      <c r="N496" t="str">
        <f>_xlfn.XLOOKUP(Table3[[#This Row],[Cuenta]],Estructura_Balance[Nombre Cuenta ()],Estructura_Balance[Nivel 1],"",0)</f>
        <v/>
      </c>
      <c r="O496" t="str">
        <f>_xlfn.XLOOKUP(Table3[[#This Row],[Cuenta]],Estructura_Balance[Nombre Cuenta ()],Estructura_Balance[Nivel 2],"",0)</f>
        <v/>
      </c>
      <c r="P496" t="str">
        <f>_xlfn.XLOOKUP(Table3[[#This Row],[Cuenta]],Estructura_Balance[Nombre Cuenta ()],Estructura_Balance[Nivel 3],"",0)</f>
        <v/>
      </c>
      <c r="Q496" t="str">
        <f>_xlfn.XLOOKUP(Table3[[#This Row],[Cuenta]],Estructura_Balance[Nombre Cuenta ()],Estructura_Balance[Nivel 4],"",0)</f>
        <v/>
      </c>
      <c r="R496" t="str">
        <f>_xlfn.XLOOKUP(Table3[[#This Row],[Cuenta]],Table8[Nombre Cuenta ()],Table8[Nivel 1],"",0)</f>
        <v/>
      </c>
      <c r="S496" t="str">
        <f>_xlfn.XLOOKUP(Table3[[#This Row],[Cuenta]],Table8[Nombre Cuenta ()],Table8[Nivel 2],"",0)</f>
        <v/>
      </c>
      <c r="T496" t="str">
        <f>_xlfn.XLOOKUP(Table3[[#This Row],[Cuenta]],Table8[Nombre Cuenta ()],Table8[Nivel 3],"",0)</f>
        <v/>
      </c>
      <c r="U496">
        <v>902</v>
      </c>
      <c r="V496" t="str">
        <f>_xlfn.XLOOKUP(Table3[[#This Row],[Cuenta]],Estructura_Balance[Nombre Cuenta ()],Estructura_Balance[Niveles:2],"",0)</f>
        <v/>
      </c>
      <c r="W496" t="str">
        <f>_xlfn.XLOOKUP(Table3[[#This Row],[Cuenta]],Estructura_Balance[Nombre Cuenta ()],Estructura_Balance[Niveles:3],"",0)</f>
        <v/>
      </c>
      <c r="X496" t="str">
        <f>_xlfn.XLOOKUP(Table3[[#This Row],[Cuenta]],Estructura_Balance[Nombre Cuenta ()],Estructura_Balance[Grupos],"Grupo 1",0)</f>
        <v>Grupo 1</v>
      </c>
      <c r="Y496" t="str">
        <f>+Table3[[#This Row],[BS_Nivel_1]]</f>
        <v/>
      </c>
    </row>
    <row r="497" spans="1:25">
      <c r="A497">
        <f>+'Libro Diario'!F711</f>
        <v>0</v>
      </c>
      <c r="B497" s="144">
        <f>VALUE(IF(+'Libro Diario'!G711="","01/01/2025",+'Libro Diario'!G711))</f>
        <v>45658</v>
      </c>
      <c r="C497">
        <f>IF(ISNUMBER(+IF(IFERROR(VALUE(MID('Libro Diario'!C711,1,4)),0)&lt;&gt;0,'Libro Diario'!C711,0))=FALSE,'Libro Diario'!C711,0)</f>
        <v>0</v>
      </c>
      <c r="D497" s="145">
        <f>+'Libro Diario'!B711</f>
        <v>0</v>
      </c>
      <c r="E497" s="139" t="s">
        <v>445</v>
      </c>
      <c r="F497" t="str">
        <f t="shared" si="21"/>
        <v>Sin Mov.</v>
      </c>
      <c r="G497" t="str">
        <f>IF(+'Libro Diario'!H711=0,"",+'Libro Diario'!H711)</f>
        <v/>
      </c>
      <c r="H497" t="str">
        <f>IF(+'Libro Diario'!I711=0,"",+'Libro Diario'!I711)</f>
        <v/>
      </c>
      <c r="I497" t="str">
        <f>+IF(Table3[[#This Row],[Tipo Movimiento]]="Estructura Balance y PyG","Excluir","Incluir")</f>
        <v>Incluir</v>
      </c>
      <c r="J497" s="153">
        <f>+IF(Table3[[#This Row],[Sin cuenta]]="Con Mov.",(IF(Table3[[#This Row],[Movimiento]]="Debe",Table3[[#This Row],[Importe]],IF(Table3[[#This Row],[Movimiento]]="Haber",Table3[[#This Row],[Importe]]*-1,0))),0)</f>
        <v>0</v>
      </c>
      <c r="K497" s="145">
        <f t="shared" si="22"/>
        <v>0</v>
      </c>
      <c r="L497" s="145" t="str">
        <f t="shared" si="23"/>
        <v/>
      </c>
      <c r="M497" t="str">
        <f>_xlfn.XLOOKUP(Table3[[#This Row],[Cuenta]],Estructura_Balance[Nombre Cuenta ()],Estructura_Balance[Grupo],"",0)</f>
        <v/>
      </c>
      <c r="N497" t="str">
        <f>_xlfn.XLOOKUP(Table3[[#This Row],[Cuenta]],Estructura_Balance[Nombre Cuenta ()],Estructura_Balance[Nivel 1],"",0)</f>
        <v/>
      </c>
      <c r="O497" t="str">
        <f>_xlfn.XLOOKUP(Table3[[#This Row],[Cuenta]],Estructura_Balance[Nombre Cuenta ()],Estructura_Balance[Nivel 2],"",0)</f>
        <v/>
      </c>
      <c r="P497" t="str">
        <f>_xlfn.XLOOKUP(Table3[[#This Row],[Cuenta]],Estructura_Balance[Nombre Cuenta ()],Estructura_Balance[Nivel 3],"",0)</f>
        <v/>
      </c>
      <c r="Q497" t="str">
        <f>_xlfn.XLOOKUP(Table3[[#This Row],[Cuenta]],Estructura_Balance[Nombre Cuenta ()],Estructura_Balance[Nivel 4],"",0)</f>
        <v/>
      </c>
      <c r="R497" t="str">
        <f>_xlfn.XLOOKUP(Table3[[#This Row],[Cuenta]],Table8[Nombre Cuenta ()],Table8[Nivel 1],"",0)</f>
        <v/>
      </c>
      <c r="S497" t="str">
        <f>_xlfn.XLOOKUP(Table3[[#This Row],[Cuenta]],Table8[Nombre Cuenta ()],Table8[Nivel 2],"",0)</f>
        <v/>
      </c>
      <c r="T497" t="str">
        <f>_xlfn.XLOOKUP(Table3[[#This Row],[Cuenta]],Table8[Nombre Cuenta ()],Table8[Nivel 3],"",0)</f>
        <v/>
      </c>
      <c r="U497">
        <v>903</v>
      </c>
      <c r="V497" t="str">
        <f>_xlfn.XLOOKUP(Table3[[#This Row],[Cuenta]],Estructura_Balance[Nombre Cuenta ()],Estructura_Balance[Niveles:2],"",0)</f>
        <v/>
      </c>
      <c r="W497" t="str">
        <f>_xlfn.XLOOKUP(Table3[[#This Row],[Cuenta]],Estructura_Balance[Nombre Cuenta ()],Estructura_Balance[Niveles:3],"",0)</f>
        <v/>
      </c>
      <c r="X497" t="str">
        <f>_xlfn.XLOOKUP(Table3[[#This Row],[Cuenta]],Estructura_Balance[Nombre Cuenta ()],Estructura_Balance[Grupos],"Grupo 1",0)</f>
        <v>Grupo 1</v>
      </c>
      <c r="Y497" t="str">
        <f>+Table3[[#This Row],[BS_Nivel_1]]</f>
        <v/>
      </c>
    </row>
    <row r="498" spans="1:25">
      <c r="A498">
        <f>+'Libro Diario'!F712</f>
        <v>0</v>
      </c>
      <c r="B498" s="144">
        <f>VALUE(IF(+'Libro Diario'!G712="","01/01/2025",+'Libro Diario'!G712))</f>
        <v>45658</v>
      </c>
      <c r="C498">
        <f>IF(ISNUMBER(+IF(IFERROR(VALUE(MID('Libro Diario'!C712,1,4)),0)&lt;&gt;0,'Libro Diario'!C712,0))=FALSE,'Libro Diario'!C712,0)</f>
        <v>0</v>
      </c>
      <c r="D498" s="145">
        <f>+'Libro Diario'!B712</f>
        <v>0</v>
      </c>
      <c r="E498" s="139" t="s">
        <v>445</v>
      </c>
      <c r="F498" t="str">
        <f t="shared" si="21"/>
        <v>Sin Mov.</v>
      </c>
      <c r="G498" t="str">
        <f>IF(+'Libro Diario'!H712=0,"",+'Libro Diario'!H712)</f>
        <v/>
      </c>
      <c r="H498" t="str">
        <f>IF(+'Libro Diario'!I712=0,"",+'Libro Diario'!I712)</f>
        <v/>
      </c>
      <c r="I498" t="str">
        <f>+IF(Table3[[#This Row],[Tipo Movimiento]]="Estructura Balance y PyG","Excluir","Incluir")</f>
        <v>Incluir</v>
      </c>
      <c r="J498" s="153">
        <f>+IF(Table3[[#This Row],[Sin cuenta]]="Con Mov.",(IF(Table3[[#This Row],[Movimiento]]="Debe",Table3[[#This Row],[Importe]],IF(Table3[[#This Row],[Movimiento]]="Haber",Table3[[#This Row],[Importe]]*-1,0))),0)</f>
        <v>0</v>
      </c>
      <c r="K498" s="145">
        <f t="shared" si="22"/>
        <v>0</v>
      </c>
      <c r="L498" s="145" t="str">
        <f t="shared" si="23"/>
        <v/>
      </c>
      <c r="M498" t="str">
        <f>_xlfn.XLOOKUP(Table3[[#This Row],[Cuenta]],Estructura_Balance[Nombre Cuenta ()],Estructura_Balance[Grupo],"",0)</f>
        <v/>
      </c>
      <c r="N498" t="str">
        <f>_xlfn.XLOOKUP(Table3[[#This Row],[Cuenta]],Estructura_Balance[Nombre Cuenta ()],Estructura_Balance[Nivel 1],"",0)</f>
        <v/>
      </c>
      <c r="O498" t="str">
        <f>_xlfn.XLOOKUP(Table3[[#This Row],[Cuenta]],Estructura_Balance[Nombre Cuenta ()],Estructura_Balance[Nivel 2],"",0)</f>
        <v/>
      </c>
      <c r="P498" t="str">
        <f>_xlfn.XLOOKUP(Table3[[#This Row],[Cuenta]],Estructura_Balance[Nombre Cuenta ()],Estructura_Balance[Nivel 3],"",0)</f>
        <v/>
      </c>
      <c r="Q498" t="str">
        <f>_xlfn.XLOOKUP(Table3[[#This Row],[Cuenta]],Estructura_Balance[Nombre Cuenta ()],Estructura_Balance[Nivel 4],"",0)</f>
        <v/>
      </c>
      <c r="R498" t="str">
        <f>_xlfn.XLOOKUP(Table3[[#This Row],[Cuenta]],Table8[Nombre Cuenta ()],Table8[Nivel 1],"",0)</f>
        <v/>
      </c>
      <c r="S498" t="str">
        <f>_xlfn.XLOOKUP(Table3[[#This Row],[Cuenta]],Table8[Nombre Cuenta ()],Table8[Nivel 2],"",0)</f>
        <v/>
      </c>
      <c r="T498" t="str">
        <f>_xlfn.XLOOKUP(Table3[[#This Row],[Cuenta]],Table8[Nombre Cuenta ()],Table8[Nivel 3],"",0)</f>
        <v/>
      </c>
      <c r="U498">
        <v>904</v>
      </c>
      <c r="V498" t="str">
        <f>_xlfn.XLOOKUP(Table3[[#This Row],[Cuenta]],Estructura_Balance[Nombre Cuenta ()],Estructura_Balance[Niveles:2],"",0)</f>
        <v/>
      </c>
      <c r="W498" t="str">
        <f>_xlfn.XLOOKUP(Table3[[#This Row],[Cuenta]],Estructura_Balance[Nombre Cuenta ()],Estructura_Balance[Niveles:3],"",0)</f>
        <v/>
      </c>
      <c r="X498" t="str">
        <f>_xlfn.XLOOKUP(Table3[[#This Row],[Cuenta]],Estructura_Balance[Nombre Cuenta ()],Estructura_Balance[Grupos],"Grupo 1",0)</f>
        <v>Grupo 1</v>
      </c>
      <c r="Y498" t="str">
        <f>+Table3[[#This Row],[BS_Nivel_1]]</f>
        <v/>
      </c>
    </row>
    <row r="499" spans="1:25">
      <c r="A499">
        <f>+'Libro Diario'!F713</f>
        <v>0</v>
      </c>
      <c r="B499" s="144">
        <f>VALUE(IF(+'Libro Diario'!G713="","01/01/2025",+'Libro Diario'!G713))</f>
        <v>45658</v>
      </c>
      <c r="C499">
        <f>IF(ISNUMBER(+IF(IFERROR(VALUE(MID('Libro Diario'!C713,1,4)),0)&lt;&gt;0,'Libro Diario'!C713,0))=FALSE,'Libro Diario'!C713,0)</f>
        <v>0</v>
      </c>
      <c r="D499" s="145">
        <f>+'Libro Diario'!B713</f>
        <v>0</v>
      </c>
      <c r="E499" s="139" t="s">
        <v>445</v>
      </c>
      <c r="F499" t="str">
        <f t="shared" si="21"/>
        <v>Sin Mov.</v>
      </c>
      <c r="G499" t="str">
        <f>IF(+'Libro Diario'!H713=0,"",+'Libro Diario'!H713)</f>
        <v/>
      </c>
      <c r="H499" t="str">
        <f>IF(+'Libro Diario'!I713=0,"",+'Libro Diario'!I713)</f>
        <v/>
      </c>
      <c r="I499" t="str">
        <f>+IF(Table3[[#This Row],[Tipo Movimiento]]="Estructura Balance y PyG","Excluir","Incluir")</f>
        <v>Incluir</v>
      </c>
      <c r="J499" s="153">
        <f>+IF(Table3[[#This Row],[Sin cuenta]]="Con Mov.",(IF(Table3[[#This Row],[Movimiento]]="Debe",Table3[[#This Row],[Importe]],IF(Table3[[#This Row],[Movimiento]]="Haber",Table3[[#This Row],[Importe]]*-1,0))),0)</f>
        <v>0</v>
      </c>
      <c r="K499" s="145">
        <f t="shared" si="22"/>
        <v>0</v>
      </c>
      <c r="L499" s="145" t="str">
        <f t="shared" si="23"/>
        <v/>
      </c>
      <c r="M499" t="str">
        <f>_xlfn.XLOOKUP(Table3[[#This Row],[Cuenta]],Estructura_Balance[Nombre Cuenta ()],Estructura_Balance[Grupo],"",0)</f>
        <v/>
      </c>
      <c r="N499" t="str">
        <f>_xlfn.XLOOKUP(Table3[[#This Row],[Cuenta]],Estructura_Balance[Nombre Cuenta ()],Estructura_Balance[Nivel 1],"",0)</f>
        <v/>
      </c>
      <c r="O499" t="str">
        <f>_xlfn.XLOOKUP(Table3[[#This Row],[Cuenta]],Estructura_Balance[Nombre Cuenta ()],Estructura_Balance[Nivel 2],"",0)</f>
        <v/>
      </c>
      <c r="P499" t="str">
        <f>_xlfn.XLOOKUP(Table3[[#This Row],[Cuenta]],Estructura_Balance[Nombre Cuenta ()],Estructura_Balance[Nivel 3],"",0)</f>
        <v/>
      </c>
      <c r="Q499" t="str">
        <f>_xlfn.XLOOKUP(Table3[[#This Row],[Cuenta]],Estructura_Balance[Nombre Cuenta ()],Estructura_Balance[Nivel 4],"",0)</f>
        <v/>
      </c>
      <c r="R499" s="154" t="str">
        <f>_xlfn.XLOOKUP(Table3[[#This Row],[Cuenta]],Table8[Nombre Cuenta ()],Table8[Nivel 1],"",0)</f>
        <v/>
      </c>
      <c r="S499" t="str">
        <f>_xlfn.XLOOKUP(Table3[[#This Row],[Cuenta]],Table8[Nombre Cuenta ()],Table8[Nivel 2],"",0)</f>
        <v/>
      </c>
      <c r="T499" t="str">
        <f>_xlfn.XLOOKUP(Table3[[#This Row],[Cuenta]],Table8[Nombre Cuenta ()],Table8[Nivel 3],"",0)</f>
        <v/>
      </c>
      <c r="U499">
        <v>905</v>
      </c>
      <c r="V499" t="str">
        <f>_xlfn.XLOOKUP(Table3[[#This Row],[Cuenta]],Estructura_Balance[Nombre Cuenta ()],Estructura_Balance[Niveles:2],"",0)</f>
        <v/>
      </c>
      <c r="W499" t="str">
        <f>_xlfn.XLOOKUP(Table3[[#This Row],[Cuenta]],Estructura_Balance[Nombre Cuenta ()],Estructura_Balance[Niveles:3],"",0)</f>
        <v/>
      </c>
      <c r="X499" t="str">
        <f>_xlfn.XLOOKUP(Table3[[#This Row],[Cuenta]],Estructura_Balance[Nombre Cuenta ()],Estructura_Balance[Grupos],"Grupo 1",0)</f>
        <v>Grupo 1</v>
      </c>
      <c r="Y499" t="str">
        <f>+Table3[[#This Row],[BS_Nivel_1]]</f>
        <v/>
      </c>
    </row>
    <row r="500" spans="1:25">
      <c r="A500">
        <f>+'Libro Diario'!F714</f>
        <v>0</v>
      </c>
      <c r="B500" s="144">
        <f>VALUE(IF(+'Libro Diario'!G714="","01/01/2025",+'Libro Diario'!G714))</f>
        <v>45658</v>
      </c>
      <c r="C500">
        <f>IF(ISNUMBER(+IF(IFERROR(VALUE(MID('Libro Diario'!C714,1,4)),0)&lt;&gt;0,'Libro Diario'!C714,0))=FALSE,'Libro Diario'!C714,0)</f>
        <v>0</v>
      </c>
      <c r="D500" s="145">
        <f>+'Libro Diario'!B714</f>
        <v>0</v>
      </c>
      <c r="E500" s="139" t="s">
        <v>445</v>
      </c>
      <c r="F500" t="str">
        <f t="shared" si="21"/>
        <v>Sin Mov.</v>
      </c>
      <c r="G500" t="str">
        <f>IF(+'Libro Diario'!H714=0,"",+'Libro Diario'!H714)</f>
        <v/>
      </c>
      <c r="H500" t="str">
        <f>IF(+'Libro Diario'!I714=0,"",+'Libro Diario'!I714)</f>
        <v/>
      </c>
      <c r="I500" t="str">
        <f>+IF(Table3[[#This Row],[Tipo Movimiento]]="Estructura Balance y PyG","Excluir","Incluir")</f>
        <v>Incluir</v>
      </c>
      <c r="J500" s="153">
        <f>+IF(Table3[[#This Row],[Sin cuenta]]="Con Mov.",(IF(Table3[[#This Row],[Movimiento]]="Debe",Table3[[#This Row],[Importe]],IF(Table3[[#This Row],[Movimiento]]="Haber",Table3[[#This Row],[Importe]]*-1,0))),0)</f>
        <v>0</v>
      </c>
      <c r="K500" s="145">
        <f t="shared" si="22"/>
        <v>0</v>
      </c>
      <c r="L500" s="145" t="str">
        <f t="shared" si="23"/>
        <v/>
      </c>
      <c r="M500" t="str">
        <f>_xlfn.XLOOKUP(Table3[[#This Row],[Cuenta]],Estructura_Balance[Nombre Cuenta ()],Estructura_Balance[Grupo],"",0)</f>
        <v/>
      </c>
      <c r="N500" t="str">
        <f>_xlfn.XLOOKUP(Table3[[#This Row],[Cuenta]],Estructura_Balance[Nombre Cuenta ()],Estructura_Balance[Nivel 1],"",0)</f>
        <v/>
      </c>
      <c r="O500" t="str">
        <f>_xlfn.XLOOKUP(Table3[[#This Row],[Cuenta]],Estructura_Balance[Nombre Cuenta ()],Estructura_Balance[Nivel 2],"",0)</f>
        <v/>
      </c>
      <c r="P500" t="str">
        <f>_xlfn.XLOOKUP(Table3[[#This Row],[Cuenta]],Estructura_Balance[Nombre Cuenta ()],Estructura_Balance[Nivel 3],"",0)</f>
        <v/>
      </c>
      <c r="Q500" t="str">
        <f>_xlfn.XLOOKUP(Table3[[#This Row],[Cuenta]],Estructura_Balance[Nombre Cuenta ()],Estructura_Balance[Nivel 4],"",0)</f>
        <v/>
      </c>
      <c r="R500" s="154" t="str">
        <f>_xlfn.XLOOKUP(Table3[[#This Row],[Cuenta]],Table8[Nombre Cuenta ()],Table8[Nivel 1],"",0)</f>
        <v/>
      </c>
      <c r="S500" t="str">
        <f>_xlfn.XLOOKUP(Table3[[#This Row],[Cuenta]],Table8[Nombre Cuenta ()],Table8[Nivel 2],"",0)</f>
        <v/>
      </c>
      <c r="T500" t="str">
        <f>_xlfn.XLOOKUP(Table3[[#This Row],[Cuenta]],Table8[Nombre Cuenta ()],Table8[Nivel 3],"",0)</f>
        <v/>
      </c>
      <c r="U500">
        <v>906</v>
      </c>
      <c r="V500" t="str">
        <f>_xlfn.XLOOKUP(Table3[[#This Row],[Cuenta]],Estructura_Balance[Nombre Cuenta ()],Estructura_Balance[Niveles:2],"",0)</f>
        <v/>
      </c>
      <c r="W500" t="str">
        <f>_xlfn.XLOOKUP(Table3[[#This Row],[Cuenta]],Estructura_Balance[Nombre Cuenta ()],Estructura_Balance[Niveles:3],"",0)</f>
        <v/>
      </c>
      <c r="X500" t="str">
        <f>_xlfn.XLOOKUP(Table3[[#This Row],[Cuenta]],Estructura_Balance[Nombre Cuenta ()],Estructura_Balance[Grupos],"Grupo 1",0)</f>
        <v>Grupo 1</v>
      </c>
      <c r="Y500" t="str">
        <f>+Table3[[#This Row],[BS_Nivel_1]]</f>
        <v/>
      </c>
    </row>
    <row r="501" spans="1:25">
      <c r="A501">
        <f>+'Libro Diario'!F715</f>
        <v>0</v>
      </c>
      <c r="B501" s="144">
        <f>VALUE(IF(+'Libro Diario'!G715="","01/01/2025",+'Libro Diario'!G715))</f>
        <v>45658</v>
      </c>
      <c r="C501">
        <f>IF(ISNUMBER(+IF(IFERROR(VALUE(MID('Libro Diario'!C715,1,4)),0)&lt;&gt;0,'Libro Diario'!C715,0))=FALSE,'Libro Diario'!C715,0)</f>
        <v>0</v>
      </c>
      <c r="D501" s="145">
        <f>+'Libro Diario'!B715</f>
        <v>0</v>
      </c>
      <c r="E501" s="139" t="s">
        <v>445</v>
      </c>
      <c r="F501" t="str">
        <f t="shared" si="21"/>
        <v>Sin Mov.</v>
      </c>
      <c r="G501" t="str">
        <f>IF(+'Libro Diario'!H715=0,"",+'Libro Diario'!H715)</f>
        <v/>
      </c>
      <c r="H501" t="str">
        <f>IF(+'Libro Diario'!I715=0,"",+'Libro Diario'!I715)</f>
        <v/>
      </c>
      <c r="I501" t="str">
        <f>+IF(Table3[[#This Row],[Tipo Movimiento]]="Estructura Balance y PyG","Excluir","Incluir")</f>
        <v>Incluir</v>
      </c>
      <c r="J501" s="153">
        <f>+IF(Table3[[#This Row],[Sin cuenta]]="Con Mov.",(IF(Table3[[#This Row],[Movimiento]]="Debe",Table3[[#This Row],[Importe]],IF(Table3[[#This Row],[Movimiento]]="Haber",Table3[[#This Row],[Importe]]*-1,0))),0)</f>
        <v>0</v>
      </c>
      <c r="K501" s="145">
        <f t="shared" si="22"/>
        <v>0</v>
      </c>
      <c r="L501" s="145" t="str">
        <f t="shared" si="23"/>
        <v/>
      </c>
      <c r="M501" t="str">
        <f>_xlfn.XLOOKUP(Table3[[#This Row],[Cuenta]],Estructura_Balance[Nombre Cuenta ()],Estructura_Balance[Grupo],"",0)</f>
        <v/>
      </c>
      <c r="N501" t="str">
        <f>_xlfn.XLOOKUP(Table3[[#This Row],[Cuenta]],Estructura_Balance[Nombre Cuenta ()],Estructura_Balance[Nivel 1],"",0)</f>
        <v/>
      </c>
      <c r="O501" t="str">
        <f>_xlfn.XLOOKUP(Table3[[#This Row],[Cuenta]],Estructura_Balance[Nombre Cuenta ()],Estructura_Balance[Nivel 2],"",0)</f>
        <v/>
      </c>
      <c r="P501" t="str">
        <f>_xlfn.XLOOKUP(Table3[[#This Row],[Cuenta]],Estructura_Balance[Nombre Cuenta ()],Estructura_Balance[Nivel 3],"",0)</f>
        <v/>
      </c>
      <c r="Q501" t="str">
        <f>_xlfn.XLOOKUP(Table3[[#This Row],[Cuenta]],Estructura_Balance[Nombre Cuenta ()],Estructura_Balance[Nivel 4],"",0)</f>
        <v/>
      </c>
      <c r="R501" s="154" t="str">
        <f>_xlfn.XLOOKUP(Table3[[#This Row],[Cuenta]],Table8[Nombre Cuenta ()],Table8[Nivel 1],"",0)</f>
        <v/>
      </c>
      <c r="S501" t="str">
        <f>_xlfn.XLOOKUP(Table3[[#This Row],[Cuenta]],Table8[Nombre Cuenta ()],Table8[Nivel 2],"",0)</f>
        <v/>
      </c>
      <c r="T501" t="str">
        <f>_xlfn.XLOOKUP(Table3[[#This Row],[Cuenta]],Table8[Nombre Cuenta ()],Table8[Nivel 3],"",0)</f>
        <v/>
      </c>
      <c r="U501">
        <v>907</v>
      </c>
      <c r="V501" t="str">
        <f>_xlfn.XLOOKUP(Table3[[#This Row],[Cuenta]],Estructura_Balance[Nombre Cuenta ()],Estructura_Balance[Niveles:2],"",0)</f>
        <v/>
      </c>
      <c r="W501" t="str">
        <f>_xlfn.XLOOKUP(Table3[[#This Row],[Cuenta]],Estructura_Balance[Nombre Cuenta ()],Estructura_Balance[Niveles:3],"",0)</f>
        <v/>
      </c>
      <c r="X501" t="str">
        <f>_xlfn.XLOOKUP(Table3[[#This Row],[Cuenta]],Estructura_Balance[Nombre Cuenta ()],Estructura_Balance[Grupos],"Grupo 1",0)</f>
        <v>Grupo 1</v>
      </c>
      <c r="Y501" t="str">
        <f>+Table3[[#This Row],[BS_Nivel_1]]</f>
        <v/>
      </c>
    </row>
    <row r="502" spans="1:25">
      <c r="A502">
        <f>+'Libro Diario'!F716</f>
        <v>0</v>
      </c>
      <c r="B502" s="144">
        <f>VALUE(IF(+'Libro Diario'!G716="","01/01/2025",+'Libro Diario'!G716))</f>
        <v>45658</v>
      </c>
      <c r="C502">
        <f>IF(ISNUMBER(+IF(IFERROR(VALUE(MID('Libro Diario'!C716,1,4)),0)&lt;&gt;0,'Libro Diario'!C716,0))=FALSE,'Libro Diario'!C716,0)</f>
        <v>0</v>
      </c>
      <c r="D502" s="145">
        <f>+'Libro Diario'!B716</f>
        <v>0</v>
      </c>
      <c r="E502" s="139" t="s">
        <v>445</v>
      </c>
      <c r="F502" t="str">
        <f t="shared" si="21"/>
        <v>Sin Mov.</v>
      </c>
      <c r="G502" t="str">
        <f>IF(+'Libro Diario'!H716=0,"",+'Libro Diario'!H716)</f>
        <v/>
      </c>
      <c r="H502" t="str">
        <f>IF(+'Libro Diario'!I716=0,"",+'Libro Diario'!I716)</f>
        <v/>
      </c>
      <c r="I502" t="str">
        <f>+IF(Table3[[#This Row],[Tipo Movimiento]]="Estructura Balance y PyG","Excluir","Incluir")</f>
        <v>Incluir</v>
      </c>
      <c r="J502" s="153">
        <f>+IF(Table3[[#This Row],[Sin cuenta]]="Con Mov.",(IF(Table3[[#This Row],[Movimiento]]="Debe",Table3[[#This Row],[Importe]],IF(Table3[[#This Row],[Movimiento]]="Haber",Table3[[#This Row],[Importe]]*-1,0))),0)</f>
        <v>0</v>
      </c>
      <c r="K502" s="145">
        <f t="shared" si="22"/>
        <v>0</v>
      </c>
      <c r="L502" s="145" t="str">
        <f t="shared" si="23"/>
        <v/>
      </c>
      <c r="M502" t="str">
        <f>_xlfn.XLOOKUP(Table3[[#This Row],[Cuenta]],Estructura_Balance[Nombre Cuenta ()],Estructura_Balance[Grupo],"",0)</f>
        <v/>
      </c>
      <c r="N502" t="str">
        <f>_xlfn.XLOOKUP(Table3[[#This Row],[Cuenta]],Estructura_Balance[Nombre Cuenta ()],Estructura_Balance[Nivel 1],"",0)</f>
        <v/>
      </c>
      <c r="O502" t="str">
        <f>_xlfn.XLOOKUP(Table3[[#This Row],[Cuenta]],Estructura_Balance[Nombre Cuenta ()],Estructura_Balance[Nivel 2],"",0)</f>
        <v/>
      </c>
      <c r="P502" t="str">
        <f>_xlfn.XLOOKUP(Table3[[#This Row],[Cuenta]],Estructura_Balance[Nombre Cuenta ()],Estructura_Balance[Nivel 3],"",0)</f>
        <v/>
      </c>
      <c r="Q502" t="str">
        <f>_xlfn.XLOOKUP(Table3[[#This Row],[Cuenta]],Estructura_Balance[Nombre Cuenta ()],Estructura_Balance[Nivel 4],"",0)</f>
        <v/>
      </c>
      <c r="R502" s="154" t="str">
        <f>_xlfn.XLOOKUP(Table3[[#This Row],[Cuenta]],Table8[Nombre Cuenta ()],Table8[Nivel 1],"",0)</f>
        <v/>
      </c>
      <c r="S502" t="str">
        <f>_xlfn.XLOOKUP(Table3[[#This Row],[Cuenta]],Table8[Nombre Cuenta ()],Table8[Nivel 2],"",0)</f>
        <v/>
      </c>
      <c r="T502" t="str">
        <f>_xlfn.XLOOKUP(Table3[[#This Row],[Cuenta]],Table8[Nombre Cuenta ()],Table8[Nivel 3],"",0)</f>
        <v/>
      </c>
      <c r="U502">
        <v>908</v>
      </c>
      <c r="V502" t="str">
        <f>_xlfn.XLOOKUP(Table3[[#This Row],[Cuenta]],Estructura_Balance[Nombre Cuenta ()],Estructura_Balance[Niveles:2],"",0)</f>
        <v/>
      </c>
      <c r="W502" t="str">
        <f>_xlfn.XLOOKUP(Table3[[#This Row],[Cuenta]],Estructura_Balance[Nombre Cuenta ()],Estructura_Balance[Niveles:3],"",0)</f>
        <v/>
      </c>
      <c r="X502" t="str">
        <f>_xlfn.XLOOKUP(Table3[[#This Row],[Cuenta]],Estructura_Balance[Nombre Cuenta ()],Estructura_Balance[Grupos],"Grupo 1",0)</f>
        <v>Grupo 1</v>
      </c>
      <c r="Y502" t="str">
        <f>+Table3[[#This Row],[BS_Nivel_1]]</f>
        <v/>
      </c>
    </row>
    <row r="503" spans="1:25">
      <c r="A503">
        <f>+'Libro Diario'!F717</f>
        <v>0</v>
      </c>
      <c r="B503" s="144">
        <f>VALUE(IF(+'Libro Diario'!G717="","01/01/2025",+'Libro Diario'!G717))</f>
        <v>45658</v>
      </c>
      <c r="C503">
        <f>IF(ISNUMBER(+IF(IFERROR(VALUE(MID('Libro Diario'!C717,1,4)),0)&lt;&gt;0,'Libro Diario'!C717,0))=FALSE,'Libro Diario'!C717,0)</f>
        <v>0</v>
      </c>
      <c r="D503" s="145">
        <f>+'Libro Diario'!B717</f>
        <v>0</v>
      </c>
      <c r="E503" s="139" t="s">
        <v>445</v>
      </c>
      <c r="F503" t="str">
        <f t="shared" si="21"/>
        <v>Sin Mov.</v>
      </c>
      <c r="G503" t="str">
        <f>IF(+'Libro Diario'!H717=0,"",+'Libro Diario'!H717)</f>
        <v/>
      </c>
      <c r="H503" t="str">
        <f>IF(+'Libro Diario'!I717=0,"",+'Libro Diario'!I717)</f>
        <v/>
      </c>
      <c r="I503" t="str">
        <f>+IF(Table3[[#This Row],[Tipo Movimiento]]="Estructura Balance y PyG","Excluir","Incluir")</f>
        <v>Incluir</v>
      </c>
      <c r="J503" s="153">
        <f>+IF(Table3[[#This Row],[Sin cuenta]]="Con Mov.",(IF(Table3[[#This Row],[Movimiento]]="Debe",Table3[[#This Row],[Importe]],IF(Table3[[#This Row],[Movimiento]]="Haber",Table3[[#This Row],[Importe]]*-1,0))),0)</f>
        <v>0</v>
      </c>
      <c r="K503" s="145">
        <f t="shared" si="22"/>
        <v>0</v>
      </c>
      <c r="L503" s="145" t="str">
        <f t="shared" si="23"/>
        <v/>
      </c>
      <c r="M503" t="str">
        <f>_xlfn.XLOOKUP(Table3[[#This Row],[Cuenta]],Estructura_Balance[Nombre Cuenta ()],Estructura_Balance[Grupo],"",0)</f>
        <v/>
      </c>
      <c r="N503" t="str">
        <f>_xlfn.XLOOKUP(Table3[[#This Row],[Cuenta]],Estructura_Balance[Nombre Cuenta ()],Estructura_Balance[Nivel 1],"",0)</f>
        <v/>
      </c>
      <c r="O503" t="str">
        <f>_xlfn.XLOOKUP(Table3[[#This Row],[Cuenta]],Estructura_Balance[Nombre Cuenta ()],Estructura_Balance[Nivel 2],"",0)</f>
        <v/>
      </c>
      <c r="P503" t="str">
        <f>_xlfn.XLOOKUP(Table3[[#This Row],[Cuenta]],Estructura_Balance[Nombre Cuenta ()],Estructura_Balance[Nivel 3],"",0)</f>
        <v/>
      </c>
      <c r="Q503" t="str">
        <f>_xlfn.XLOOKUP(Table3[[#This Row],[Cuenta]],Estructura_Balance[Nombre Cuenta ()],Estructura_Balance[Nivel 4],"",0)</f>
        <v/>
      </c>
      <c r="R503" s="154" t="str">
        <f>_xlfn.XLOOKUP(Table3[[#This Row],[Cuenta]],Table8[Nombre Cuenta ()],Table8[Nivel 1],"",0)</f>
        <v/>
      </c>
      <c r="S503" t="str">
        <f>_xlfn.XLOOKUP(Table3[[#This Row],[Cuenta]],Table8[Nombre Cuenta ()],Table8[Nivel 2],"",0)</f>
        <v/>
      </c>
      <c r="T503" t="str">
        <f>_xlfn.XLOOKUP(Table3[[#This Row],[Cuenta]],Table8[Nombre Cuenta ()],Table8[Nivel 3],"",0)</f>
        <v/>
      </c>
      <c r="U503">
        <v>909</v>
      </c>
      <c r="V503" t="str">
        <f>_xlfn.XLOOKUP(Table3[[#This Row],[Cuenta]],Estructura_Balance[Nombre Cuenta ()],Estructura_Balance[Niveles:2],"",0)</f>
        <v/>
      </c>
      <c r="W503" t="str">
        <f>_xlfn.XLOOKUP(Table3[[#This Row],[Cuenta]],Estructura_Balance[Nombre Cuenta ()],Estructura_Balance[Niveles:3],"",0)</f>
        <v/>
      </c>
      <c r="X503" t="str">
        <f>_xlfn.XLOOKUP(Table3[[#This Row],[Cuenta]],Estructura_Balance[Nombre Cuenta ()],Estructura_Balance[Grupos],"Grupo 1",0)</f>
        <v>Grupo 1</v>
      </c>
      <c r="Y503" t="str">
        <f>+Table3[[#This Row],[BS_Nivel_1]]</f>
        <v/>
      </c>
    </row>
    <row r="504" spans="1:25">
      <c r="A504">
        <f>+'Libro Diario'!F718</f>
        <v>0</v>
      </c>
      <c r="B504" s="144">
        <f>VALUE(IF(+'Libro Diario'!G718="","01/01/2025",+'Libro Diario'!G718))</f>
        <v>45658</v>
      </c>
      <c r="C504">
        <f>IF(ISNUMBER(+IF(IFERROR(VALUE(MID('Libro Diario'!C718,1,4)),0)&lt;&gt;0,'Libro Diario'!C718,0))=FALSE,'Libro Diario'!C718,0)</f>
        <v>0</v>
      </c>
      <c r="D504" s="145">
        <f>+'Libro Diario'!B718</f>
        <v>0</v>
      </c>
      <c r="E504" s="139" t="s">
        <v>445</v>
      </c>
      <c r="F504" t="str">
        <f t="shared" si="21"/>
        <v>Sin Mov.</v>
      </c>
      <c r="G504" t="str">
        <f>IF(+'Libro Diario'!H718=0,"",+'Libro Diario'!H718)</f>
        <v/>
      </c>
      <c r="H504" t="str">
        <f>IF(+'Libro Diario'!I718=0,"",+'Libro Diario'!I718)</f>
        <v/>
      </c>
      <c r="I504" t="str">
        <f>+IF(Table3[[#This Row],[Tipo Movimiento]]="Estructura Balance y PyG","Excluir","Incluir")</f>
        <v>Incluir</v>
      </c>
      <c r="J504" s="153">
        <f>+IF(Table3[[#This Row],[Sin cuenta]]="Con Mov.",(IF(Table3[[#This Row],[Movimiento]]="Debe",Table3[[#This Row],[Importe]],IF(Table3[[#This Row],[Movimiento]]="Haber",Table3[[#This Row],[Importe]]*-1,0))),0)</f>
        <v>0</v>
      </c>
      <c r="K504" s="145">
        <f t="shared" si="22"/>
        <v>0</v>
      </c>
      <c r="L504" s="145" t="str">
        <f t="shared" si="23"/>
        <v/>
      </c>
      <c r="M504" t="str">
        <f>_xlfn.XLOOKUP(Table3[[#This Row],[Cuenta]],Estructura_Balance[Nombre Cuenta ()],Estructura_Balance[Grupo],"",0)</f>
        <v/>
      </c>
      <c r="N504" t="str">
        <f>_xlfn.XLOOKUP(Table3[[#This Row],[Cuenta]],Estructura_Balance[Nombre Cuenta ()],Estructura_Balance[Nivel 1],"",0)</f>
        <v/>
      </c>
      <c r="O504" t="str">
        <f>_xlfn.XLOOKUP(Table3[[#This Row],[Cuenta]],Estructura_Balance[Nombre Cuenta ()],Estructura_Balance[Nivel 2],"",0)</f>
        <v/>
      </c>
      <c r="P504" t="str">
        <f>_xlfn.XLOOKUP(Table3[[#This Row],[Cuenta]],Estructura_Balance[Nombre Cuenta ()],Estructura_Balance[Nivel 3],"",0)</f>
        <v/>
      </c>
      <c r="Q504" t="str">
        <f>_xlfn.XLOOKUP(Table3[[#This Row],[Cuenta]],Estructura_Balance[Nombre Cuenta ()],Estructura_Balance[Nivel 4],"",0)</f>
        <v/>
      </c>
      <c r="R504" s="154" t="str">
        <f>_xlfn.XLOOKUP(Table3[[#This Row],[Cuenta]],Table8[Nombre Cuenta ()],Table8[Nivel 1],"",0)</f>
        <v/>
      </c>
      <c r="S504" t="str">
        <f>_xlfn.XLOOKUP(Table3[[#This Row],[Cuenta]],Table8[Nombre Cuenta ()],Table8[Nivel 2],"",0)</f>
        <v/>
      </c>
      <c r="T504" t="str">
        <f>_xlfn.XLOOKUP(Table3[[#This Row],[Cuenta]],Table8[Nombre Cuenta ()],Table8[Nivel 3],"",0)</f>
        <v/>
      </c>
      <c r="U504">
        <v>910</v>
      </c>
      <c r="V504" t="str">
        <f>_xlfn.XLOOKUP(Table3[[#This Row],[Cuenta]],Estructura_Balance[Nombre Cuenta ()],Estructura_Balance[Niveles:2],"",0)</f>
        <v/>
      </c>
      <c r="W504" t="str">
        <f>_xlfn.XLOOKUP(Table3[[#This Row],[Cuenta]],Estructura_Balance[Nombre Cuenta ()],Estructura_Balance[Niveles:3],"",0)</f>
        <v/>
      </c>
      <c r="X504" t="str">
        <f>_xlfn.XLOOKUP(Table3[[#This Row],[Cuenta]],Estructura_Balance[Nombre Cuenta ()],Estructura_Balance[Grupos],"Grupo 1",0)</f>
        <v>Grupo 1</v>
      </c>
      <c r="Y504" t="str">
        <f>+Table3[[#This Row],[BS_Nivel_1]]</f>
        <v/>
      </c>
    </row>
    <row r="505" spans="1:25">
      <c r="A505">
        <f>+'Libro Diario'!F719</f>
        <v>0</v>
      </c>
      <c r="B505" s="144">
        <f>VALUE(IF(+'Libro Diario'!G719="","01/01/2025",+'Libro Diario'!G719))</f>
        <v>45658</v>
      </c>
      <c r="C505">
        <f>IF(ISNUMBER(+IF(IFERROR(VALUE(MID('Libro Diario'!C719,1,4)),0)&lt;&gt;0,'Libro Diario'!C719,0))=FALSE,'Libro Diario'!C719,0)</f>
        <v>0</v>
      </c>
      <c r="D505" s="145">
        <f>+'Libro Diario'!B719</f>
        <v>0</v>
      </c>
      <c r="E505" s="139" t="s">
        <v>445</v>
      </c>
      <c r="F505" t="str">
        <f t="shared" si="21"/>
        <v>Sin Mov.</v>
      </c>
      <c r="G505" t="str">
        <f>IF(+'Libro Diario'!H719=0,"",+'Libro Diario'!H719)</f>
        <v/>
      </c>
      <c r="H505" t="str">
        <f>IF(+'Libro Diario'!I719=0,"",+'Libro Diario'!I719)</f>
        <v/>
      </c>
      <c r="I505" t="str">
        <f>+IF(Table3[[#This Row],[Tipo Movimiento]]="Estructura Balance y PyG","Excluir","Incluir")</f>
        <v>Incluir</v>
      </c>
      <c r="J505" s="153">
        <f>+IF(Table3[[#This Row],[Sin cuenta]]="Con Mov.",(IF(Table3[[#This Row],[Movimiento]]="Debe",Table3[[#This Row],[Importe]],IF(Table3[[#This Row],[Movimiento]]="Haber",Table3[[#This Row],[Importe]]*-1,0))),0)</f>
        <v>0</v>
      </c>
      <c r="K505" s="145">
        <f t="shared" si="22"/>
        <v>0</v>
      </c>
      <c r="L505" s="145" t="str">
        <f t="shared" si="23"/>
        <v/>
      </c>
      <c r="M505" t="str">
        <f>_xlfn.XLOOKUP(Table3[[#This Row],[Cuenta]],Estructura_Balance[Nombre Cuenta ()],Estructura_Balance[Grupo],"",0)</f>
        <v/>
      </c>
      <c r="N505" t="str">
        <f>_xlfn.XLOOKUP(Table3[[#This Row],[Cuenta]],Estructura_Balance[Nombre Cuenta ()],Estructura_Balance[Nivel 1],"",0)</f>
        <v/>
      </c>
      <c r="O505" t="str">
        <f>_xlfn.XLOOKUP(Table3[[#This Row],[Cuenta]],Estructura_Balance[Nombre Cuenta ()],Estructura_Balance[Nivel 2],"",0)</f>
        <v/>
      </c>
      <c r="P505" t="str">
        <f>_xlfn.XLOOKUP(Table3[[#This Row],[Cuenta]],Estructura_Balance[Nombre Cuenta ()],Estructura_Balance[Nivel 3],"",0)</f>
        <v/>
      </c>
      <c r="Q505" t="str">
        <f>_xlfn.XLOOKUP(Table3[[#This Row],[Cuenta]],Estructura_Balance[Nombre Cuenta ()],Estructura_Balance[Nivel 4],"",0)</f>
        <v/>
      </c>
      <c r="R505" s="154" t="str">
        <f>_xlfn.XLOOKUP(Table3[[#This Row],[Cuenta]],Table8[Nombre Cuenta ()],Table8[Nivel 1],"",0)</f>
        <v/>
      </c>
      <c r="S505" t="str">
        <f>_xlfn.XLOOKUP(Table3[[#This Row],[Cuenta]],Table8[Nombre Cuenta ()],Table8[Nivel 2],"",0)</f>
        <v/>
      </c>
      <c r="T505" t="str">
        <f>_xlfn.XLOOKUP(Table3[[#This Row],[Cuenta]],Table8[Nombre Cuenta ()],Table8[Nivel 3],"",0)</f>
        <v/>
      </c>
      <c r="U505">
        <v>911</v>
      </c>
      <c r="V505" t="str">
        <f>_xlfn.XLOOKUP(Table3[[#This Row],[Cuenta]],Estructura_Balance[Nombre Cuenta ()],Estructura_Balance[Niveles:2],"",0)</f>
        <v/>
      </c>
      <c r="W505" t="str">
        <f>_xlfn.XLOOKUP(Table3[[#This Row],[Cuenta]],Estructura_Balance[Nombre Cuenta ()],Estructura_Balance[Niveles:3],"",0)</f>
        <v/>
      </c>
      <c r="X505" t="str">
        <f>_xlfn.XLOOKUP(Table3[[#This Row],[Cuenta]],Estructura_Balance[Nombre Cuenta ()],Estructura_Balance[Grupos],"Grupo 1",0)</f>
        <v>Grupo 1</v>
      </c>
      <c r="Y505" t="str">
        <f>+Table3[[#This Row],[BS_Nivel_1]]</f>
        <v/>
      </c>
    </row>
    <row r="506" spans="1:25">
      <c r="A506">
        <f>+'Libro Diario'!F720</f>
        <v>0</v>
      </c>
      <c r="B506" s="144">
        <f>VALUE(IF(+'Libro Diario'!G720="","01/01/2025",+'Libro Diario'!G720))</f>
        <v>45658</v>
      </c>
      <c r="C506">
        <f>IF(ISNUMBER(+IF(IFERROR(VALUE(MID('Libro Diario'!C720,1,4)),0)&lt;&gt;0,'Libro Diario'!C720,0))=FALSE,'Libro Diario'!C720,0)</f>
        <v>0</v>
      </c>
      <c r="D506" s="145">
        <f>+'Libro Diario'!B720</f>
        <v>0</v>
      </c>
      <c r="E506" s="139" t="s">
        <v>445</v>
      </c>
      <c r="F506" t="str">
        <f t="shared" si="21"/>
        <v>Sin Mov.</v>
      </c>
      <c r="G506" t="str">
        <f>IF(+'Libro Diario'!H720=0,"",+'Libro Diario'!H720)</f>
        <v/>
      </c>
      <c r="H506" t="str">
        <f>IF(+'Libro Diario'!I720=0,"",+'Libro Diario'!I720)</f>
        <v/>
      </c>
      <c r="I506" t="str">
        <f>+IF(Table3[[#This Row],[Tipo Movimiento]]="Estructura Balance y PyG","Excluir","Incluir")</f>
        <v>Incluir</v>
      </c>
      <c r="J506" s="153">
        <f>+IF(Table3[[#This Row],[Sin cuenta]]="Con Mov.",(IF(Table3[[#This Row],[Movimiento]]="Debe",Table3[[#This Row],[Importe]],IF(Table3[[#This Row],[Movimiento]]="Haber",Table3[[#This Row],[Importe]]*-1,0))),0)</f>
        <v>0</v>
      </c>
      <c r="K506" s="145">
        <f t="shared" si="22"/>
        <v>0</v>
      </c>
      <c r="L506" s="145" t="str">
        <f t="shared" si="23"/>
        <v/>
      </c>
      <c r="M506" t="str">
        <f>_xlfn.XLOOKUP(Table3[[#This Row],[Cuenta]],Estructura_Balance[Nombre Cuenta ()],Estructura_Balance[Grupo],"",0)</f>
        <v/>
      </c>
      <c r="N506" t="str">
        <f>_xlfn.XLOOKUP(Table3[[#This Row],[Cuenta]],Estructura_Balance[Nombre Cuenta ()],Estructura_Balance[Nivel 1],"",0)</f>
        <v/>
      </c>
      <c r="O506" t="str">
        <f>_xlfn.XLOOKUP(Table3[[#This Row],[Cuenta]],Estructura_Balance[Nombre Cuenta ()],Estructura_Balance[Nivel 2],"",0)</f>
        <v/>
      </c>
      <c r="P506" t="str">
        <f>_xlfn.XLOOKUP(Table3[[#This Row],[Cuenta]],Estructura_Balance[Nombre Cuenta ()],Estructura_Balance[Nivel 3],"",0)</f>
        <v/>
      </c>
      <c r="Q506" t="str">
        <f>_xlfn.XLOOKUP(Table3[[#This Row],[Cuenta]],Estructura_Balance[Nombre Cuenta ()],Estructura_Balance[Nivel 4],"",0)</f>
        <v/>
      </c>
      <c r="R506" s="154" t="str">
        <f>_xlfn.XLOOKUP(Table3[[#This Row],[Cuenta]],Table8[Nombre Cuenta ()],Table8[Nivel 1],"",0)</f>
        <v/>
      </c>
      <c r="S506" t="str">
        <f>_xlfn.XLOOKUP(Table3[[#This Row],[Cuenta]],Table8[Nombre Cuenta ()],Table8[Nivel 2],"",0)</f>
        <v/>
      </c>
      <c r="T506" t="str">
        <f>_xlfn.XLOOKUP(Table3[[#This Row],[Cuenta]],Table8[Nombre Cuenta ()],Table8[Nivel 3],"",0)</f>
        <v/>
      </c>
      <c r="U506">
        <v>912</v>
      </c>
      <c r="V506" t="str">
        <f>_xlfn.XLOOKUP(Table3[[#This Row],[Cuenta]],Estructura_Balance[Nombre Cuenta ()],Estructura_Balance[Niveles:2],"",0)</f>
        <v/>
      </c>
      <c r="W506" t="str">
        <f>_xlfn.XLOOKUP(Table3[[#This Row],[Cuenta]],Estructura_Balance[Nombre Cuenta ()],Estructura_Balance[Niveles:3],"",0)</f>
        <v/>
      </c>
      <c r="X506" t="str">
        <f>_xlfn.XLOOKUP(Table3[[#This Row],[Cuenta]],Estructura_Balance[Nombre Cuenta ()],Estructura_Balance[Grupos],"Grupo 1",0)</f>
        <v>Grupo 1</v>
      </c>
      <c r="Y506" t="str">
        <f>+Table3[[#This Row],[BS_Nivel_1]]</f>
        <v/>
      </c>
    </row>
    <row r="507" spans="1:25">
      <c r="A507">
        <f>+'Libro Diario'!F721</f>
        <v>0</v>
      </c>
      <c r="B507" s="144">
        <f>VALUE(IF(+'Libro Diario'!G721="","01/01/2025",+'Libro Diario'!G721))</f>
        <v>45658</v>
      </c>
      <c r="C507">
        <f>IF(ISNUMBER(+IF(IFERROR(VALUE(MID('Libro Diario'!C721,1,4)),0)&lt;&gt;0,'Libro Diario'!C721,0))=FALSE,'Libro Diario'!C721,0)</f>
        <v>0</v>
      </c>
      <c r="D507" s="145">
        <f>+'Libro Diario'!B721</f>
        <v>0</v>
      </c>
      <c r="E507" s="139" t="s">
        <v>445</v>
      </c>
      <c r="F507" t="str">
        <f t="shared" si="21"/>
        <v>Sin Mov.</v>
      </c>
      <c r="G507" t="str">
        <f>IF(+'Libro Diario'!H721=0,"",+'Libro Diario'!H721)</f>
        <v/>
      </c>
      <c r="H507" t="str">
        <f>IF(+'Libro Diario'!I721=0,"",+'Libro Diario'!I721)</f>
        <v/>
      </c>
      <c r="I507" t="str">
        <f>+IF(Table3[[#This Row],[Tipo Movimiento]]="Estructura Balance y PyG","Excluir","Incluir")</f>
        <v>Incluir</v>
      </c>
      <c r="J507" s="153">
        <f>+IF(Table3[[#This Row],[Sin cuenta]]="Con Mov.",(IF(Table3[[#This Row],[Movimiento]]="Debe",Table3[[#This Row],[Importe]],IF(Table3[[#This Row],[Movimiento]]="Haber",Table3[[#This Row],[Importe]]*-1,0))),0)</f>
        <v>0</v>
      </c>
      <c r="K507" s="145">
        <f t="shared" si="22"/>
        <v>0</v>
      </c>
      <c r="L507" s="145" t="str">
        <f t="shared" si="23"/>
        <v/>
      </c>
      <c r="M507" t="str">
        <f>_xlfn.XLOOKUP(Table3[[#This Row],[Cuenta]],Estructura_Balance[Nombre Cuenta ()],Estructura_Balance[Grupo],"",0)</f>
        <v/>
      </c>
      <c r="N507" t="str">
        <f>_xlfn.XLOOKUP(Table3[[#This Row],[Cuenta]],Estructura_Balance[Nombre Cuenta ()],Estructura_Balance[Nivel 1],"",0)</f>
        <v/>
      </c>
      <c r="O507" t="str">
        <f>_xlfn.XLOOKUP(Table3[[#This Row],[Cuenta]],Estructura_Balance[Nombre Cuenta ()],Estructura_Balance[Nivel 2],"",0)</f>
        <v/>
      </c>
      <c r="P507" t="str">
        <f>_xlfn.XLOOKUP(Table3[[#This Row],[Cuenta]],Estructura_Balance[Nombre Cuenta ()],Estructura_Balance[Nivel 3],"",0)</f>
        <v/>
      </c>
      <c r="Q507" t="str">
        <f>_xlfn.XLOOKUP(Table3[[#This Row],[Cuenta]],Estructura_Balance[Nombre Cuenta ()],Estructura_Balance[Nivel 4],"",0)</f>
        <v/>
      </c>
      <c r="R507" s="154" t="str">
        <f>_xlfn.XLOOKUP(Table3[[#This Row],[Cuenta]],Table8[Nombre Cuenta ()],Table8[Nivel 1],"",0)</f>
        <v/>
      </c>
      <c r="S507" t="str">
        <f>_xlfn.XLOOKUP(Table3[[#This Row],[Cuenta]],Table8[Nombre Cuenta ()],Table8[Nivel 2],"",0)</f>
        <v/>
      </c>
      <c r="T507" t="str">
        <f>_xlfn.XLOOKUP(Table3[[#This Row],[Cuenta]],Table8[Nombre Cuenta ()],Table8[Nivel 3],"",0)</f>
        <v/>
      </c>
      <c r="U507">
        <v>913</v>
      </c>
      <c r="V507" t="str">
        <f>_xlfn.XLOOKUP(Table3[[#This Row],[Cuenta]],Estructura_Balance[Nombre Cuenta ()],Estructura_Balance[Niveles:2],"",0)</f>
        <v/>
      </c>
      <c r="W507" t="str">
        <f>_xlfn.XLOOKUP(Table3[[#This Row],[Cuenta]],Estructura_Balance[Nombre Cuenta ()],Estructura_Balance[Niveles:3],"",0)</f>
        <v/>
      </c>
      <c r="X507" t="str">
        <f>_xlfn.XLOOKUP(Table3[[#This Row],[Cuenta]],Estructura_Balance[Nombre Cuenta ()],Estructura_Balance[Grupos],"Grupo 1",0)</f>
        <v>Grupo 1</v>
      </c>
      <c r="Y507" t="str">
        <f>+Table3[[#This Row],[BS_Nivel_1]]</f>
        <v/>
      </c>
    </row>
    <row r="508" spans="1:25">
      <c r="A508">
        <f>+'Libro Diario'!F722</f>
        <v>0</v>
      </c>
      <c r="B508" s="144">
        <f>VALUE(IF(+'Libro Diario'!G722="","01/01/2025",+'Libro Diario'!G722))</f>
        <v>45658</v>
      </c>
      <c r="C508">
        <f>IF(ISNUMBER(+IF(IFERROR(VALUE(MID('Libro Diario'!C722,1,4)),0)&lt;&gt;0,'Libro Diario'!C722,0))=FALSE,'Libro Diario'!C722,0)</f>
        <v>0</v>
      </c>
      <c r="D508" s="145">
        <f>+'Libro Diario'!B722</f>
        <v>0</v>
      </c>
      <c r="E508" s="139" t="s">
        <v>445</v>
      </c>
      <c r="F508" t="str">
        <f t="shared" si="21"/>
        <v>Sin Mov.</v>
      </c>
      <c r="G508" t="str">
        <f>IF(+'Libro Diario'!H722=0,"",+'Libro Diario'!H722)</f>
        <v/>
      </c>
      <c r="H508" t="str">
        <f>IF(+'Libro Diario'!I722=0,"",+'Libro Diario'!I722)</f>
        <v/>
      </c>
      <c r="I508" t="str">
        <f>+IF(Table3[[#This Row],[Tipo Movimiento]]="Estructura Balance y PyG","Excluir","Incluir")</f>
        <v>Incluir</v>
      </c>
      <c r="J508" s="153">
        <f>+IF(Table3[[#This Row],[Sin cuenta]]="Con Mov.",(IF(Table3[[#This Row],[Movimiento]]="Debe",Table3[[#This Row],[Importe]],IF(Table3[[#This Row],[Movimiento]]="Haber",Table3[[#This Row],[Importe]]*-1,0))),0)</f>
        <v>0</v>
      </c>
      <c r="K508" s="145">
        <f t="shared" si="22"/>
        <v>0</v>
      </c>
      <c r="L508" s="145" t="str">
        <f t="shared" si="23"/>
        <v/>
      </c>
      <c r="M508" t="str">
        <f>_xlfn.XLOOKUP(Table3[[#This Row],[Cuenta]],Estructura_Balance[Nombre Cuenta ()],Estructura_Balance[Grupo],"",0)</f>
        <v/>
      </c>
      <c r="N508" t="str">
        <f>_xlfn.XLOOKUP(Table3[[#This Row],[Cuenta]],Estructura_Balance[Nombre Cuenta ()],Estructura_Balance[Nivel 1],"",0)</f>
        <v/>
      </c>
      <c r="O508" t="str">
        <f>_xlfn.XLOOKUP(Table3[[#This Row],[Cuenta]],Estructura_Balance[Nombre Cuenta ()],Estructura_Balance[Nivel 2],"",0)</f>
        <v/>
      </c>
      <c r="P508" t="str">
        <f>_xlfn.XLOOKUP(Table3[[#This Row],[Cuenta]],Estructura_Balance[Nombre Cuenta ()],Estructura_Balance[Nivel 3],"",0)</f>
        <v/>
      </c>
      <c r="Q508" t="str">
        <f>_xlfn.XLOOKUP(Table3[[#This Row],[Cuenta]],Estructura_Balance[Nombre Cuenta ()],Estructura_Balance[Nivel 4],"",0)</f>
        <v/>
      </c>
      <c r="R508" s="154" t="str">
        <f>_xlfn.XLOOKUP(Table3[[#This Row],[Cuenta]],Table8[Nombre Cuenta ()],Table8[Nivel 1],"",0)</f>
        <v/>
      </c>
      <c r="S508" t="str">
        <f>_xlfn.XLOOKUP(Table3[[#This Row],[Cuenta]],Table8[Nombre Cuenta ()],Table8[Nivel 2],"",0)</f>
        <v/>
      </c>
      <c r="T508" t="str">
        <f>_xlfn.XLOOKUP(Table3[[#This Row],[Cuenta]],Table8[Nombre Cuenta ()],Table8[Nivel 3],"",0)</f>
        <v/>
      </c>
      <c r="U508">
        <v>914</v>
      </c>
      <c r="V508" t="str">
        <f>_xlfn.XLOOKUP(Table3[[#This Row],[Cuenta]],Estructura_Balance[Nombre Cuenta ()],Estructura_Balance[Niveles:2],"",0)</f>
        <v/>
      </c>
      <c r="W508" t="str">
        <f>_xlfn.XLOOKUP(Table3[[#This Row],[Cuenta]],Estructura_Balance[Nombre Cuenta ()],Estructura_Balance[Niveles:3],"",0)</f>
        <v/>
      </c>
      <c r="X508" t="str">
        <f>_xlfn.XLOOKUP(Table3[[#This Row],[Cuenta]],Estructura_Balance[Nombre Cuenta ()],Estructura_Balance[Grupos],"Grupo 1",0)</f>
        <v>Grupo 1</v>
      </c>
      <c r="Y508" t="str">
        <f>+Table3[[#This Row],[BS_Nivel_1]]</f>
        <v/>
      </c>
    </row>
    <row r="509" spans="1:25">
      <c r="A509">
        <f>+'Libro Diario'!F723</f>
        <v>0</v>
      </c>
      <c r="B509" s="144">
        <f>VALUE(IF(+'Libro Diario'!G723="","01/01/2025",+'Libro Diario'!G723))</f>
        <v>45658</v>
      </c>
      <c r="C509">
        <f>IF(ISNUMBER(+IF(IFERROR(VALUE(MID('Libro Diario'!C723,1,4)),0)&lt;&gt;0,'Libro Diario'!C723,0))=FALSE,'Libro Diario'!C723,0)</f>
        <v>0</v>
      </c>
      <c r="D509" s="145">
        <f>+'Libro Diario'!B723</f>
        <v>0</v>
      </c>
      <c r="E509" s="139" t="s">
        <v>445</v>
      </c>
      <c r="F509" t="str">
        <f t="shared" si="21"/>
        <v>Sin Mov.</v>
      </c>
      <c r="G509" t="str">
        <f>IF(+'Libro Diario'!H723=0,"",+'Libro Diario'!H723)</f>
        <v/>
      </c>
      <c r="H509" t="str">
        <f>IF(+'Libro Diario'!I723=0,"",+'Libro Diario'!I723)</f>
        <v/>
      </c>
      <c r="I509" t="str">
        <f>+IF(Table3[[#This Row],[Tipo Movimiento]]="Estructura Balance y PyG","Excluir","Incluir")</f>
        <v>Incluir</v>
      </c>
      <c r="J509" s="153">
        <f>+IF(Table3[[#This Row],[Sin cuenta]]="Con Mov.",(IF(Table3[[#This Row],[Movimiento]]="Debe",Table3[[#This Row],[Importe]],IF(Table3[[#This Row],[Movimiento]]="Haber",Table3[[#This Row],[Importe]]*-1,0))),0)</f>
        <v>0</v>
      </c>
      <c r="K509" s="145">
        <f t="shared" si="22"/>
        <v>0</v>
      </c>
      <c r="L509" s="145" t="str">
        <f t="shared" si="23"/>
        <v/>
      </c>
      <c r="M509" t="str">
        <f>_xlfn.XLOOKUP(Table3[[#This Row],[Cuenta]],Estructura_Balance[Nombre Cuenta ()],Estructura_Balance[Grupo],"",0)</f>
        <v/>
      </c>
      <c r="N509" t="str">
        <f>_xlfn.XLOOKUP(Table3[[#This Row],[Cuenta]],Estructura_Balance[Nombre Cuenta ()],Estructura_Balance[Nivel 1],"",0)</f>
        <v/>
      </c>
      <c r="O509" t="str">
        <f>_xlfn.XLOOKUP(Table3[[#This Row],[Cuenta]],Estructura_Balance[Nombre Cuenta ()],Estructura_Balance[Nivel 2],"",0)</f>
        <v/>
      </c>
      <c r="P509" t="str">
        <f>_xlfn.XLOOKUP(Table3[[#This Row],[Cuenta]],Estructura_Balance[Nombre Cuenta ()],Estructura_Balance[Nivel 3],"",0)</f>
        <v/>
      </c>
      <c r="Q509" t="str">
        <f>_xlfn.XLOOKUP(Table3[[#This Row],[Cuenta]],Estructura_Balance[Nombre Cuenta ()],Estructura_Balance[Nivel 4],"",0)</f>
        <v/>
      </c>
      <c r="R509" s="154" t="str">
        <f>_xlfn.XLOOKUP(Table3[[#This Row],[Cuenta]],Table8[Nombre Cuenta ()],Table8[Nivel 1],"",0)</f>
        <v/>
      </c>
      <c r="S509" t="str">
        <f>_xlfn.XLOOKUP(Table3[[#This Row],[Cuenta]],Table8[Nombre Cuenta ()],Table8[Nivel 2],"",0)</f>
        <v/>
      </c>
      <c r="T509" t="str">
        <f>_xlfn.XLOOKUP(Table3[[#This Row],[Cuenta]],Table8[Nombre Cuenta ()],Table8[Nivel 3],"",0)</f>
        <v/>
      </c>
      <c r="U509">
        <v>915</v>
      </c>
      <c r="V509" t="str">
        <f>_xlfn.XLOOKUP(Table3[[#This Row],[Cuenta]],Estructura_Balance[Nombre Cuenta ()],Estructura_Balance[Niveles:2],"",0)</f>
        <v/>
      </c>
      <c r="W509" t="str">
        <f>_xlfn.XLOOKUP(Table3[[#This Row],[Cuenta]],Estructura_Balance[Nombre Cuenta ()],Estructura_Balance[Niveles:3],"",0)</f>
        <v/>
      </c>
      <c r="X509" t="str">
        <f>_xlfn.XLOOKUP(Table3[[#This Row],[Cuenta]],Estructura_Balance[Nombre Cuenta ()],Estructura_Balance[Grupos],"Grupo 1",0)</f>
        <v>Grupo 1</v>
      </c>
      <c r="Y509" t="str">
        <f>+Table3[[#This Row],[BS_Nivel_1]]</f>
        <v/>
      </c>
    </row>
    <row r="510" spans="1:25">
      <c r="A510">
        <f>+'Libro Diario'!F724</f>
        <v>0</v>
      </c>
      <c r="B510" s="144">
        <f>VALUE(IF(+'Libro Diario'!G724="","01/01/2025",+'Libro Diario'!G724))</f>
        <v>45658</v>
      </c>
      <c r="C510">
        <f>IF(ISNUMBER(+IF(IFERROR(VALUE(MID('Libro Diario'!C724,1,4)),0)&lt;&gt;0,'Libro Diario'!C724,0))=FALSE,'Libro Diario'!C724,0)</f>
        <v>0</v>
      </c>
      <c r="D510" s="145">
        <f>+'Libro Diario'!B724</f>
        <v>0</v>
      </c>
      <c r="E510" s="139" t="s">
        <v>445</v>
      </c>
      <c r="F510" t="str">
        <f t="shared" si="21"/>
        <v>Sin Mov.</v>
      </c>
      <c r="G510" t="str">
        <f>IF(+'Libro Diario'!H724=0,"",+'Libro Diario'!H724)</f>
        <v/>
      </c>
      <c r="H510" t="str">
        <f>IF(+'Libro Diario'!I724=0,"",+'Libro Diario'!I724)</f>
        <v/>
      </c>
      <c r="I510" t="str">
        <f>+IF(Table3[[#This Row],[Tipo Movimiento]]="Estructura Balance y PyG","Excluir","Incluir")</f>
        <v>Incluir</v>
      </c>
      <c r="J510" s="153">
        <f>+IF(Table3[[#This Row],[Sin cuenta]]="Con Mov.",(IF(Table3[[#This Row],[Movimiento]]="Debe",Table3[[#This Row],[Importe]],IF(Table3[[#This Row],[Movimiento]]="Haber",Table3[[#This Row],[Importe]]*-1,0))),0)</f>
        <v>0</v>
      </c>
      <c r="K510" s="145">
        <f t="shared" si="22"/>
        <v>0</v>
      </c>
      <c r="L510" s="145" t="str">
        <f t="shared" si="23"/>
        <v/>
      </c>
      <c r="M510" t="str">
        <f>_xlfn.XLOOKUP(Table3[[#This Row],[Cuenta]],Estructura_Balance[Nombre Cuenta ()],Estructura_Balance[Grupo],"",0)</f>
        <v/>
      </c>
      <c r="N510" t="str">
        <f>_xlfn.XLOOKUP(Table3[[#This Row],[Cuenta]],Estructura_Balance[Nombre Cuenta ()],Estructura_Balance[Nivel 1],"",0)</f>
        <v/>
      </c>
      <c r="O510" t="str">
        <f>_xlfn.XLOOKUP(Table3[[#This Row],[Cuenta]],Estructura_Balance[Nombre Cuenta ()],Estructura_Balance[Nivel 2],"",0)</f>
        <v/>
      </c>
      <c r="P510" t="str">
        <f>_xlfn.XLOOKUP(Table3[[#This Row],[Cuenta]],Estructura_Balance[Nombre Cuenta ()],Estructura_Balance[Nivel 3],"",0)</f>
        <v/>
      </c>
      <c r="Q510" t="str">
        <f>_xlfn.XLOOKUP(Table3[[#This Row],[Cuenta]],Estructura_Balance[Nombre Cuenta ()],Estructura_Balance[Nivel 4],"",0)</f>
        <v/>
      </c>
      <c r="R510" s="154" t="str">
        <f>_xlfn.XLOOKUP(Table3[[#This Row],[Cuenta]],Table8[Nombre Cuenta ()],Table8[Nivel 1],"",0)</f>
        <v/>
      </c>
      <c r="S510" t="str">
        <f>_xlfn.XLOOKUP(Table3[[#This Row],[Cuenta]],Table8[Nombre Cuenta ()],Table8[Nivel 2],"",0)</f>
        <v/>
      </c>
      <c r="T510" t="str">
        <f>_xlfn.XLOOKUP(Table3[[#This Row],[Cuenta]],Table8[Nombre Cuenta ()],Table8[Nivel 3],"",0)</f>
        <v/>
      </c>
      <c r="U510">
        <v>916</v>
      </c>
      <c r="V510" t="str">
        <f>_xlfn.XLOOKUP(Table3[[#This Row],[Cuenta]],Estructura_Balance[Nombre Cuenta ()],Estructura_Balance[Niveles:2],"",0)</f>
        <v/>
      </c>
      <c r="W510" t="str">
        <f>_xlfn.XLOOKUP(Table3[[#This Row],[Cuenta]],Estructura_Balance[Nombre Cuenta ()],Estructura_Balance[Niveles:3],"",0)</f>
        <v/>
      </c>
      <c r="X510" t="str">
        <f>_xlfn.XLOOKUP(Table3[[#This Row],[Cuenta]],Estructura_Balance[Nombre Cuenta ()],Estructura_Balance[Grupos],"Grupo 1",0)</f>
        <v>Grupo 1</v>
      </c>
      <c r="Y510" t="str">
        <f>+Table3[[#This Row],[BS_Nivel_1]]</f>
        <v/>
      </c>
    </row>
    <row r="511" spans="1:25">
      <c r="A511">
        <f>+'Libro Diario'!F725</f>
        <v>0</v>
      </c>
      <c r="B511" s="144">
        <f>VALUE(IF(+'Libro Diario'!G725="","01/01/2025",+'Libro Diario'!G725))</f>
        <v>45658</v>
      </c>
      <c r="C511">
        <f>IF(ISNUMBER(+IF(IFERROR(VALUE(MID('Libro Diario'!C725,1,4)),0)&lt;&gt;0,'Libro Diario'!C725,0))=FALSE,'Libro Diario'!C725,0)</f>
        <v>0</v>
      </c>
      <c r="D511" s="145">
        <f>+'Libro Diario'!B725</f>
        <v>0</v>
      </c>
      <c r="E511" s="139" t="s">
        <v>445</v>
      </c>
      <c r="F511" t="str">
        <f t="shared" si="21"/>
        <v>Sin Mov.</v>
      </c>
      <c r="G511" t="str">
        <f>IF(+'Libro Diario'!H725=0,"",+'Libro Diario'!H725)</f>
        <v/>
      </c>
      <c r="H511" t="str">
        <f>IF(+'Libro Diario'!I725=0,"",+'Libro Diario'!I725)</f>
        <v/>
      </c>
      <c r="I511" t="str">
        <f>+IF(Table3[[#This Row],[Tipo Movimiento]]="Estructura Balance y PyG","Excluir","Incluir")</f>
        <v>Incluir</v>
      </c>
      <c r="J511" s="153">
        <f>+IF(Table3[[#This Row],[Sin cuenta]]="Con Mov.",(IF(Table3[[#This Row],[Movimiento]]="Debe",Table3[[#This Row],[Importe]],IF(Table3[[#This Row],[Movimiento]]="Haber",Table3[[#This Row],[Importe]]*-1,0))),0)</f>
        <v>0</v>
      </c>
      <c r="K511" s="145">
        <f t="shared" si="22"/>
        <v>0</v>
      </c>
      <c r="L511" s="145" t="str">
        <f t="shared" si="23"/>
        <v/>
      </c>
      <c r="M511" t="str">
        <f>_xlfn.XLOOKUP(Table3[[#This Row],[Cuenta]],Estructura_Balance[Nombre Cuenta ()],Estructura_Balance[Grupo],"",0)</f>
        <v/>
      </c>
      <c r="N511" t="str">
        <f>_xlfn.XLOOKUP(Table3[[#This Row],[Cuenta]],Estructura_Balance[Nombre Cuenta ()],Estructura_Balance[Nivel 1],"",0)</f>
        <v/>
      </c>
      <c r="O511" t="str">
        <f>_xlfn.XLOOKUP(Table3[[#This Row],[Cuenta]],Estructura_Balance[Nombre Cuenta ()],Estructura_Balance[Nivel 2],"",0)</f>
        <v/>
      </c>
      <c r="P511" t="str">
        <f>_xlfn.XLOOKUP(Table3[[#This Row],[Cuenta]],Estructura_Balance[Nombre Cuenta ()],Estructura_Balance[Nivel 3],"",0)</f>
        <v/>
      </c>
      <c r="Q511" t="str">
        <f>_xlfn.XLOOKUP(Table3[[#This Row],[Cuenta]],Estructura_Balance[Nombre Cuenta ()],Estructura_Balance[Nivel 4],"",0)</f>
        <v/>
      </c>
      <c r="R511" s="154" t="str">
        <f>_xlfn.XLOOKUP(Table3[[#This Row],[Cuenta]],Table8[Nombre Cuenta ()],Table8[Nivel 1],"",0)</f>
        <v/>
      </c>
      <c r="S511" t="str">
        <f>_xlfn.XLOOKUP(Table3[[#This Row],[Cuenta]],Table8[Nombre Cuenta ()],Table8[Nivel 2],"",0)</f>
        <v/>
      </c>
      <c r="T511" t="str">
        <f>_xlfn.XLOOKUP(Table3[[#This Row],[Cuenta]],Table8[Nombre Cuenta ()],Table8[Nivel 3],"",0)</f>
        <v/>
      </c>
      <c r="U511">
        <v>917</v>
      </c>
      <c r="V511" t="str">
        <f>_xlfn.XLOOKUP(Table3[[#This Row],[Cuenta]],Estructura_Balance[Nombre Cuenta ()],Estructura_Balance[Niveles:2],"",0)</f>
        <v/>
      </c>
      <c r="W511" t="str">
        <f>_xlfn.XLOOKUP(Table3[[#This Row],[Cuenta]],Estructura_Balance[Nombre Cuenta ()],Estructura_Balance[Niveles:3],"",0)</f>
        <v/>
      </c>
      <c r="X511" t="str">
        <f>_xlfn.XLOOKUP(Table3[[#This Row],[Cuenta]],Estructura_Balance[Nombre Cuenta ()],Estructura_Balance[Grupos],"Grupo 1",0)</f>
        <v>Grupo 1</v>
      </c>
      <c r="Y511" t="str">
        <f>+Table3[[#This Row],[BS_Nivel_1]]</f>
        <v/>
      </c>
    </row>
    <row r="512" spans="1:25">
      <c r="A512">
        <f>+'Libro Diario'!F726</f>
        <v>0</v>
      </c>
      <c r="B512" s="144">
        <f>VALUE(IF(+'Libro Diario'!G726="","01/01/2025",+'Libro Diario'!G726))</f>
        <v>45658</v>
      </c>
      <c r="C512">
        <f>IF(ISNUMBER(+IF(IFERROR(VALUE(MID('Libro Diario'!C726,1,4)),0)&lt;&gt;0,'Libro Diario'!C726,0))=FALSE,'Libro Diario'!C726,0)</f>
        <v>0</v>
      </c>
      <c r="D512" s="145">
        <f>+'Libro Diario'!B726</f>
        <v>0</v>
      </c>
      <c r="E512" s="139" t="s">
        <v>445</v>
      </c>
      <c r="F512" t="str">
        <f t="shared" si="21"/>
        <v>Sin Mov.</v>
      </c>
      <c r="G512" t="str">
        <f>IF(+'Libro Diario'!H726=0,"",+'Libro Diario'!H726)</f>
        <v/>
      </c>
      <c r="H512" t="str">
        <f>IF(+'Libro Diario'!I726=0,"",+'Libro Diario'!I726)</f>
        <v/>
      </c>
      <c r="I512" t="str">
        <f>+IF(Table3[[#This Row],[Tipo Movimiento]]="Estructura Balance y PyG","Excluir","Incluir")</f>
        <v>Incluir</v>
      </c>
      <c r="J512" s="153">
        <f>+IF(Table3[[#This Row],[Sin cuenta]]="Con Mov.",(IF(Table3[[#This Row],[Movimiento]]="Debe",Table3[[#This Row],[Importe]],IF(Table3[[#This Row],[Movimiento]]="Haber",Table3[[#This Row],[Importe]]*-1,0))),0)</f>
        <v>0</v>
      </c>
      <c r="K512" s="145">
        <f t="shared" si="22"/>
        <v>0</v>
      </c>
      <c r="L512" s="145" t="str">
        <f t="shared" si="23"/>
        <v/>
      </c>
      <c r="M512" t="str">
        <f>_xlfn.XLOOKUP(Table3[[#This Row],[Cuenta]],Estructura_Balance[Nombre Cuenta ()],Estructura_Balance[Grupo],"",0)</f>
        <v/>
      </c>
      <c r="N512" t="str">
        <f>_xlfn.XLOOKUP(Table3[[#This Row],[Cuenta]],Estructura_Balance[Nombre Cuenta ()],Estructura_Balance[Nivel 1],"",0)</f>
        <v/>
      </c>
      <c r="O512" t="str">
        <f>_xlfn.XLOOKUP(Table3[[#This Row],[Cuenta]],Estructura_Balance[Nombre Cuenta ()],Estructura_Balance[Nivel 2],"",0)</f>
        <v/>
      </c>
      <c r="P512" t="str">
        <f>_xlfn.XLOOKUP(Table3[[#This Row],[Cuenta]],Estructura_Balance[Nombre Cuenta ()],Estructura_Balance[Nivel 3],"",0)</f>
        <v/>
      </c>
      <c r="Q512" t="str">
        <f>_xlfn.XLOOKUP(Table3[[#This Row],[Cuenta]],Estructura_Balance[Nombre Cuenta ()],Estructura_Balance[Nivel 4],"",0)</f>
        <v/>
      </c>
      <c r="R512" s="154" t="str">
        <f>_xlfn.XLOOKUP(Table3[[#This Row],[Cuenta]],Table8[Nombre Cuenta ()],Table8[Nivel 1],"",0)</f>
        <v/>
      </c>
      <c r="S512" t="str">
        <f>_xlfn.XLOOKUP(Table3[[#This Row],[Cuenta]],Table8[Nombre Cuenta ()],Table8[Nivel 2],"",0)</f>
        <v/>
      </c>
      <c r="T512" t="str">
        <f>_xlfn.XLOOKUP(Table3[[#This Row],[Cuenta]],Table8[Nombre Cuenta ()],Table8[Nivel 3],"",0)</f>
        <v/>
      </c>
      <c r="U512">
        <v>918</v>
      </c>
      <c r="V512" t="str">
        <f>_xlfn.XLOOKUP(Table3[[#This Row],[Cuenta]],Estructura_Balance[Nombre Cuenta ()],Estructura_Balance[Niveles:2],"",0)</f>
        <v/>
      </c>
      <c r="W512" t="str">
        <f>_xlfn.XLOOKUP(Table3[[#This Row],[Cuenta]],Estructura_Balance[Nombre Cuenta ()],Estructura_Balance[Niveles:3],"",0)</f>
        <v/>
      </c>
      <c r="X512" t="str">
        <f>_xlfn.XLOOKUP(Table3[[#This Row],[Cuenta]],Estructura_Balance[Nombre Cuenta ()],Estructura_Balance[Grupos],"Grupo 1",0)</f>
        <v>Grupo 1</v>
      </c>
      <c r="Y512" t="str">
        <f>+Table3[[#This Row],[BS_Nivel_1]]</f>
        <v/>
      </c>
    </row>
    <row r="513" spans="1:25">
      <c r="A513">
        <f>+'Libro Diario'!F727</f>
        <v>0</v>
      </c>
      <c r="B513" s="144">
        <f>VALUE(IF(+'Libro Diario'!G727="","01/01/2025",+'Libro Diario'!G727))</f>
        <v>45658</v>
      </c>
      <c r="C513">
        <f>IF(ISNUMBER(+IF(IFERROR(VALUE(MID('Libro Diario'!C727,1,4)),0)&lt;&gt;0,'Libro Diario'!C727,0))=FALSE,'Libro Diario'!C727,0)</f>
        <v>0</v>
      </c>
      <c r="D513" s="145">
        <f>+'Libro Diario'!B727</f>
        <v>0</v>
      </c>
      <c r="E513" s="139" t="s">
        <v>445</v>
      </c>
      <c r="F513" t="str">
        <f t="shared" si="21"/>
        <v>Sin Mov.</v>
      </c>
      <c r="G513" t="str">
        <f>IF(+'Libro Diario'!H727=0,"",+'Libro Diario'!H727)</f>
        <v/>
      </c>
      <c r="H513" t="str">
        <f>IF(+'Libro Diario'!I727=0,"",+'Libro Diario'!I727)</f>
        <v/>
      </c>
      <c r="I513" t="str">
        <f>+IF(Table3[[#This Row],[Tipo Movimiento]]="Estructura Balance y PyG","Excluir","Incluir")</f>
        <v>Incluir</v>
      </c>
      <c r="J513" s="153">
        <f>+IF(Table3[[#This Row],[Sin cuenta]]="Con Mov.",(IF(Table3[[#This Row],[Movimiento]]="Debe",Table3[[#This Row],[Importe]],IF(Table3[[#This Row],[Movimiento]]="Haber",Table3[[#This Row],[Importe]]*-1,0))),0)</f>
        <v>0</v>
      </c>
      <c r="K513" s="145">
        <f t="shared" si="22"/>
        <v>0</v>
      </c>
      <c r="L513" s="145" t="str">
        <f t="shared" si="23"/>
        <v/>
      </c>
      <c r="M513" t="str">
        <f>_xlfn.XLOOKUP(Table3[[#This Row],[Cuenta]],Estructura_Balance[Nombre Cuenta ()],Estructura_Balance[Grupo],"",0)</f>
        <v/>
      </c>
      <c r="N513" t="str">
        <f>_xlfn.XLOOKUP(Table3[[#This Row],[Cuenta]],Estructura_Balance[Nombre Cuenta ()],Estructura_Balance[Nivel 1],"",0)</f>
        <v/>
      </c>
      <c r="O513" t="str">
        <f>_xlfn.XLOOKUP(Table3[[#This Row],[Cuenta]],Estructura_Balance[Nombre Cuenta ()],Estructura_Balance[Nivel 2],"",0)</f>
        <v/>
      </c>
      <c r="P513" t="str">
        <f>_xlfn.XLOOKUP(Table3[[#This Row],[Cuenta]],Estructura_Balance[Nombre Cuenta ()],Estructura_Balance[Nivel 3],"",0)</f>
        <v/>
      </c>
      <c r="Q513" t="str">
        <f>_xlfn.XLOOKUP(Table3[[#This Row],[Cuenta]],Estructura_Balance[Nombre Cuenta ()],Estructura_Balance[Nivel 4],"",0)</f>
        <v/>
      </c>
      <c r="R513" s="154" t="str">
        <f>_xlfn.XLOOKUP(Table3[[#This Row],[Cuenta]],Table8[Nombre Cuenta ()],Table8[Nivel 1],"",0)</f>
        <v/>
      </c>
      <c r="S513" t="str">
        <f>_xlfn.XLOOKUP(Table3[[#This Row],[Cuenta]],Table8[Nombre Cuenta ()],Table8[Nivel 2],"",0)</f>
        <v/>
      </c>
      <c r="T513" t="str">
        <f>_xlfn.XLOOKUP(Table3[[#This Row],[Cuenta]],Table8[Nombre Cuenta ()],Table8[Nivel 3],"",0)</f>
        <v/>
      </c>
      <c r="U513">
        <v>919</v>
      </c>
      <c r="V513" t="str">
        <f>_xlfn.XLOOKUP(Table3[[#This Row],[Cuenta]],Estructura_Balance[Nombre Cuenta ()],Estructura_Balance[Niveles:2],"",0)</f>
        <v/>
      </c>
      <c r="W513" t="str">
        <f>_xlfn.XLOOKUP(Table3[[#This Row],[Cuenta]],Estructura_Balance[Nombre Cuenta ()],Estructura_Balance[Niveles:3],"",0)</f>
        <v/>
      </c>
      <c r="X513" t="str">
        <f>_xlfn.XLOOKUP(Table3[[#This Row],[Cuenta]],Estructura_Balance[Nombre Cuenta ()],Estructura_Balance[Grupos],"Grupo 1",0)</f>
        <v>Grupo 1</v>
      </c>
      <c r="Y513" t="str">
        <f>+Table3[[#This Row],[BS_Nivel_1]]</f>
        <v/>
      </c>
    </row>
    <row r="514" spans="1:25">
      <c r="A514">
        <f>+'Libro Diario'!F728</f>
        <v>0</v>
      </c>
      <c r="B514" s="144">
        <f>VALUE(IF(+'Libro Diario'!G728="","01/01/2025",+'Libro Diario'!G728))</f>
        <v>45658</v>
      </c>
      <c r="C514">
        <f>IF(ISNUMBER(+IF(IFERROR(VALUE(MID('Libro Diario'!C728,1,4)),0)&lt;&gt;0,'Libro Diario'!C728,0))=FALSE,'Libro Diario'!C728,0)</f>
        <v>0</v>
      </c>
      <c r="D514" s="145">
        <f>+'Libro Diario'!B728</f>
        <v>0</v>
      </c>
      <c r="E514" s="139" t="s">
        <v>445</v>
      </c>
      <c r="F514" t="str">
        <f t="shared" si="21"/>
        <v>Sin Mov.</v>
      </c>
      <c r="G514" t="str">
        <f>IF(+'Libro Diario'!H728=0,"",+'Libro Diario'!H728)</f>
        <v/>
      </c>
      <c r="H514" t="str">
        <f>IF(+'Libro Diario'!I728=0,"",+'Libro Diario'!I728)</f>
        <v/>
      </c>
      <c r="I514" t="str">
        <f>+IF(Table3[[#This Row],[Tipo Movimiento]]="Estructura Balance y PyG","Excluir","Incluir")</f>
        <v>Incluir</v>
      </c>
      <c r="J514" s="153">
        <f>+IF(Table3[[#This Row],[Sin cuenta]]="Con Mov.",(IF(Table3[[#This Row],[Movimiento]]="Debe",Table3[[#This Row],[Importe]],IF(Table3[[#This Row],[Movimiento]]="Haber",Table3[[#This Row],[Importe]]*-1,0))),0)</f>
        <v>0</v>
      </c>
      <c r="K514" s="145">
        <f t="shared" si="22"/>
        <v>0</v>
      </c>
      <c r="L514" s="145" t="str">
        <f t="shared" si="23"/>
        <v/>
      </c>
      <c r="M514" t="str">
        <f>_xlfn.XLOOKUP(Table3[[#This Row],[Cuenta]],Estructura_Balance[Nombre Cuenta ()],Estructura_Balance[Grupo],"",0)</f>
        <v/>
      </c>
      <c r="N514" t="str">
        <f>_xlfn.XLOOKUP(Table3[[#This Row],[Cuenta]],Estructura_Balance[Nombre Cuenta ()],Estructura_Balance[Nivel 1],"",0)</f>
        <v/>
      </c>
      <c r="O514" t="str">
        <f>_xlfn.XLOOKUP(Table3[[#This Row],[Cuenta]],Estructura_Balance[Nombre Cuenta ()],Estructura_Balance[Nivel 2],"",0)</f>
        <v/>
      </c>
      <c r="P514" t="str">
        <f>_xlfn.XLOOKUP(Table3[[#This Row],[Cuenta]],Estructura_Balance[Nombre Cuenta ()],Estructura_Balance[Nivel 3],"",0)</f>
        <v/>
      </c>
      <c r="Q514" t="str">
        <f>_xlfn.XLOOKUP(Table3[[#This Row],[Cuenta]],Estructura_Balance[Nombre Cuenta ()],Estructura_Balance[Nivel 4],"",0)</f>
        <v/>
      </c>
      <c r="R514" s="154" t="str">
        <f>_xlfn.XLOOKUP(Table3[[#This Row],[Cuenta]],Table8[Nombre Cuenta ()],Table8[Nivel 1],"",0)</f>
        <v/>
      </c>
      <c r="S514" t="str">
        <f>_xlfn.XLOOKUP(Table3[[#This Row],[Cuenta]],Table8[Nombre Cuenta ()],Table8[Nivel 2],"",0)</f>
        <v/>
      </c>
      <c r="T514" t="str">
        <f>_xlfn.XLOOKUP(Table3[[#This Row],[Cuenta]],Table8[Nombre Cuenta ()],Table8[Nivel 3],"",0)</f>
        <v/>
      </c>
      <c r="U514">
        <v>920</v>
      </c>
      <c r="V514" t="str">
        <f>_xlfn.XLOOKUP(Table3[[#This Row],[Cuenta]],Estructura_Balance[Nombre Cuenta ()],Estructura_Balance[Niveles:2],"",0)</f>
        <v/>
      </c>
      <c r="W514" t="str">
        <f>_xlfn.XLOOKUP(Table3[[#This Row],[Cuenta]],Estructura_Balance[Nombre Cuenta ()],Estructura_Balance[Niveles:3],"",0)</f>
        <v/>
      </c>
      <c r="X514" t="str">
        <f>_xlfn.XLOOKUP(Table3[[#This Row],[Cuenta]],Estructura_Balance[Nombre Cuenta ()],Estructura_Balance[Grupos],"Grupo 1",0)</f>
        <v>Grupo 1</v>
      </c>
      <c r="Y514" t="str">
        <f>+Table3[[#This Row],[BS_Nivel_1]]</f>
        <v/>
      </c>
    </row>
    <row r="515" spans="1:25">
      <c r="A515">
        <f>+'Libro Diario'!F729</f>
        <v>0</v>
      </c>
      <c r="B515" s="144">
        <f>VALUE(IF(+'Libro Diario'!G729="","01/01/2025",+'Libro Diario'!G729))</f>
        <v>45658</v>
      </c>
      <c r="C515">
        <f>IF(ISNUMBER(+IF(IFERROR(VALUE(MID('Libro Diario'!C729,1,4)),0)&lt;&gt;0,'Libro Diario'!C729,0))=FALSE,'Libro Diario'!C729,0)</f>
        <v>0</v>
      </c>
      <c r="D515" s="145">
        <f>+'Libro Diario'!B729</f>
        <v>0</v>
      </c>
      <c r="E515" s="139" t="s">
        <v>445</v>
      </c>
      <c r="F515" t="str">
        <f t="shared" ref="F515:F578" si="24">+IF(C515=0,"Sin Mov.","Con Mov.")</f>
        <v>Sin Mov.</v>
      </c>
      <c r="G515" t="str">
        <f>IF(+'Libro Diario'!H729=0,"",+'Libro Diario'!H729)</f>
        <v/>
      </c>
      <c r="H515" t="str">
        <f>IF(+'Libro Diario'!I729=0,"",+'Libro Diario'!I729)</f>
        <v/>
      </c>
      <c r="I515" t="str">
        <f>+IF(Table3[[#This Row],[Tipo Movimiento]]="Estructura Balance y PyG","Excluir","Incluir")</f>
        <v>Incluir</v>
      </c>
      <c r="J515" s="153">
        <f>+IF(Table3[[#This Row],[Sin cuenta]]="Con Mov.",(IF(Table3[[#This Row],[Movimiento]]="Debe",Table3[[#This Row],[Importe]],IF(Table3[[#This Row],[Movimiento]]="Haber",Table3[[#This Row],[Importe]]*-1,0))),0)</f>
        <v>0</v>
      </c>
      <c r="K515" s="145">
        <f t="shared" ref="K515:K578" si="25">+IF(E515="Debe",D515,"")</f>
        <v>0</v>
      </c>
      <c r="L515" s="145" t="str">
        <f t="shared" ref="L515:L578" si="26">+IF(E515="Haber",D515,"")</f>
        <v/>
      </c>
      <c r="M515" t="str">
        <f>_xlfn.XLOOKUP(Table3[[#This Row],[Cuenta]],Estructura_Balance[Nombre Cuenta ()],Estructura_Balance[Grupo],"",0)</f>
        <v/>
      </c>
      <c r="N515" t="str">
        <f>_xlfn.XLOOKUP(Table3[[#This Row],[Cuenta]],Estructura_Balance[Nombre Cuenta ()],Estructura_Balance[Nivel 1],"",0)</f>
        <v/>
      </c>
      <c r="O515" t="str">
        <f>_xlfn.XLOOKUP(Table3[[#This Row],[Cuenta]],Estructura_Balance[Nombre Cuenta ()],Estructura_Balance[Nivel 2],"",0)</f>
        <v/>
      </c>
      <c r="P515" t="str">
        <f>_xlfn.XLOOKUP(Table3[[#This Row],[Cuenta]],Estructura_Balance[Nombre Cuenta ()],Estructura_Balance[Nivel 3],"",0)</f>
        <v/>
      </c>
      <c r="Q515" t="str">
        <f>_xlfn.XLOOKUP(Table3[[#This Row],[Cuenta]],Estructura_Balance[Nombre Cuenta ()],Estructura_Balance[Nivel 4],"",0)</f>
        <v/>
      </c>
      <c r="R515" s="154" t="str">
        <f>_xlfn.XLOOKUP(Table3[[#This Row],[Cuenta]],Table8[Nombre Cuenta ()],Table8[Nivel 1],"",0)</f>
        <v/>
      </c>
      <c r="S515" t="str">
        <f>_xlfn.XLOOKUP(Table3[[#This Row],[Cuenta]],Table8[Nombre Cuenta ()],Table8[Nivel 2],"",0)</f>
        <v/>
      </c>
      <c r="T515" t="str">
        <f>_xlfn.XLOOKUP(Table3[[#This Row],[Cuenta]],Table8[Nombre Cuenta ()],Table8[Nivel 3],"",0)</f>
        <v/>
      </c>
      <c r="U515">
        <v>921</v>
      </c>
      <c r="V515" t="str">
        <f>_xlfn.XLOOKUP(Table3[[#This Row],[Cuenta]],Estructura_Balance[Nombre Cuenta ()],Estructura_Balance[Niveles:2],"",0)</f>
        <v/>
      </c>
      <c r="W515" t="str">
        <f>_xlfn.XLOOKUP(Table3[[#This Row],[Cuenta]],Estructura_Balance[Nombre Cuenta ()],Estructura_Balance[Niveles:3],"",0)</f>
        <v/>
      </c>
      <c r="X515" t="str">
        <f>_xlfn.XLOOKUP(Table3[[#This Row],[Cuenta]],Estructura_Balance[Nombre Cuenta ()],Estructura_Balance[Grupos],"Grupo 1",0)</f>
        <v>Grupo 1</v>
      </c>
      <c r="Y515" t="str">
        <f>+Table3[[#This Row],[BS_Nivel_1]]</f>
        <v/>
      </c>
    </row>
    <row r="516" spans="1:25">
      <c r="A516">
        <f>+'Libro Diario'!F730</f>
        <v>0</v>
      </c>
      <c r="B516" s="144">
        <f>VALUE(IF(+'Libro Diario'!G730="","01/01/2025",+'Libro Diario'!G730))</f>
        <v>45658</v>
      </c>
      <c r="C516">
        <f>IF(ISNUMBER(+IF(IFERROR(VALUE(MID('Libro Diario'!C730,1,4)),0)&lt;&gt;0,'Libro Diario'!C730,0))=FALSE,'Libro Diario'!C730,0)</f>
        <v>0</v>
      </c>
      <c r="D516" s="145">
        <f>+'Libro Diario'!B730</f>
        <v>0</v>
      </c>
      <c r="E516" s="139" t="s">
        <v>445</v>
      </c>
      <c r="F516" t="str">
        <f t="shared" si="24"/>
        <v>Sin Mov.</v>
      </c>
      <c r="G516" t="str">
        <f>IF(+'Libro Diario'!H730=0,"",+'Libro Diario'!H730)</f>
        <v/>
      </c>
      <c r="H516" t="str">
        <f>IF(+'Libro Diario'!I730=0,"",+'Libro Diario'!I730)</f>
        <v/>
      </c>
      <c r="I516" t="str">
        <f>+IF(Table3[[#This Row],[Tipo Movimiento]]="Estructura Balance y PyG","Excluir","Incluir")</f>
        <v>Incluir</v>
      </c>
      <c r="J516" s="153">
        <f>+IF(Table3[[#This Row],[Sin cuenta]]="Con Mov.",(IF(Table3[[#This Row],[Movimiento]]="Debe",Table3[[#This Row],[Importe]],IF(Table3[[#This Row],[Movimiento]]="Haber",Table3[[#This Row],[Importe]]*-1,0))),0)</f>
        <v>0</v>
      </c>
      <c r="K516" s="145">
        <f t="shared" si="25"/>
        <v>0</v>
      </c>
      <c r="L516" s="145" t="str">
        <f t="shared" si="26"/>
        <v/>
      </c>
      <c r="M516" t="str">
        <f>_xlfn.XLOOKUP(Table3[[#This Row],[Cuenta]],Estructura_Balance[Nombre Cuenta ()],Estructura_Balance[Grupo],"",0)</f>
        <v/>
      </c>
      <c r="N516" t="str">
        <f>_xlfn.XLOOKUP(Table3[[#This Row],[Cuenta]],Estructura_Balance[Nombre Cuenta ()],Estructura_Balance[Nivel 1],"",0)</f>
        <v/>
      </c>
      <c r="O516" t="str">
        <f>_xlfn.XLOOKUP(Table3[[#This Row],[Cuenta]],Estructura_Balance[Nombre Cuenta ()],Estructura_Balance[Nivel 2],"",0)</f>
        <v/>
      </c>
      <c r="P516" t="str">
        <f>_xlfn.XLOOKUP(Table3[[#This Row],[Cuenta]],Estructura_Balance[Nombre Cuenta ()],Estructura_Balance[Nivel 3],"",0)</f>
        <v/>
      </c>
      <c r="Q516" t="str">
        <f>_xlfn.XLOOKUP(Table3[[#This Row],[Cuenta]],Estructura_Balance[Nombre Cuenta ()],Estructura_Balance[Nivel 4],"",0)</f>
        <v/>
      </c>
      <c r="R516" s="154" t="str">
        <f>_xlfn.XLOOKUP(Table3[[#This Row],[Cuenta]],Table8[Nombre Cuenta ()],Table8[Nivel 1],"",0)</f>
        <v/>
      </c>
      <c r="S516" t="str">
        <f>_xlfn.XLOOKUP(Table3[[#This Row],[Cuenta]],Table8[Nombre Cuenta ()],Table8[Nivel 2],"",0)</f>
        <v/>
      </c>
      <c r="T516" t="str">
        <f>_xlfn.XLOOKUP(Table3[[#This Row],[Cuenta]],Table8[Nombre Cuenta ()],Table8[Nivel 3],"",0)</f>
        <v/>
      </c>
      <c r="U516">
        <v>922</v>
      </c>
      <c r="V516" t="str">
        <f>_xlfn.XLOOKUP(Table3[[#This Row],[Cuenta]],Estructura_Balance[Nombre Cuenta ()],Estructura_Balance[Niveles:2],"",0)</f>
        <v/>
      </c>
      <c r="W516" t="str">
        <f>_xlfn.XLOOKUP(Table3[[#This Row],[Cuenta]],Estructura_Balance[Nombre Cuenta ()],Estructura_Balance[Niveles:3],"",0)</f>
        <v/>
      </c>
      <c r="X516" t="str">
        <f>_xlfn.XLOOKUP(Table3[[#This Row],[Cuenta]],Estructura_Balance[Nombre Cuenta ()],Estructura_Balance[Grupos],"Grupo 1",0)</f>
        <v>Grupo 1</v>
      </c>
      <c r="Y516" t="str">
        <f>+Table3[[#This Row],[BS_Nivel_1]]</f>
        <v/>
      </c>
    </row>
    <row r="517" spans="1:25">
      <c r="A517">
        <f>+'Libro Diario'!F731</f>
        <v>0</v>
      </c>
      <c r="B517" s="144">
        <f>VALUE(IF(+'Libro Diario'!G731="","01/01/2025",+'Libro Diario'!G731))</f>
        <v>45658</v>
      </c>
      <c r="C517">
        <f>IF(ISNUMBER(+IF(IFERROR(VALUE(MID('Libro Diario'!C731,1,4)),0)&lt;&gt;0,'Libro Diario'!C731,0))=FALSE,'Libro Diario'!C731,0)</f>
        <v>0</v>
      </c>
      <c r="D517" s="145">
        <f>+'Libro Diario'!B731</f>
        <v>0</v>
      </c>
      <c r="E517" s="139" t="s">
        <v>445</v>
      </c>
      <c r="F517" t="str">
        <f t="shared" si="24"/>
        <v>Sin Mov.</v>
      </c>
      <c r="G517" t="str">
        <f>IF(+'Libro Diario'!H731=0,"",+'Libro Diario'!H731)</f>
        <v/>
      </c>
      <c r="H517" t="str">
        <f>IF(+'Libro Diario'!I731=0,"",+'Libro Diario'!I731)</f>
        <v/>
      </c>
      <c r="I517" t="str">
        <f>+IF(Table3[[#This Row],[Tipo Movimiento]]="Estructura Balance y PyG","Excluir","Incluir")</f>
        <v>Incluir</v>
      </c>
      <c r="J517" s="153">
        <f>+IF(Table3[[#This Row],[Sin cuenta]]="Con Mov.",(IF(Table3[[#This Row],[Movimiento]]="Debe",Table3[[#This Row],[Importe]],IF(Table3[[#This Row],[Movimiento]]="Haber",Table3[[#This Row],[Importe]]*-1,0))),0)</f>
        <v>0</v>
      </c>
      <c r="K517" s="145">
        <f t="shared" si="25"/>
        <v>0</v>
      </c>
      <c r="L517" s="145" t="str">
        <f t="shared" si="26"/>
        <v/>
      </c>
      <c r="M517" t="str">
        <f>_xlfn.XLOOKUP(Table3[[#This Row],[Cuenta]],Estructura_Balance[Nombre Cuenta ()],Estructura_Balance[Grupo],"",0)</f>
        <v/>
      </c>
      <c r="N517" t="str">
        <f>_xlfn.XLOOKUP(Table3[[#This Row],[Cuenta]],Estructura_Balance[Nombre Cuenta ()],Estructura_Balance[Nivel 1],"",0)</f>
        <v/>
      </c>
      <c r="O517" t="str">
        <f>_xlfn.XLOOKUP(Table3[[#This Row],[Cuenta]],Estructura_Balance[Nombre Cuenta ()],Estructura_Balance[Nivel 2],"",0)</f>
        <v/>
      </c>
      <c r="P517" t="str">
        <f>_xlfn.XLOOKUP(Table3[[#This Row],[Cuenta]],Estructura_Balance[Nombre Cuenta ()],Estructura_Balance[Nivel 3],"",0)</f>
        <v/>
      </c>
      <c r="Q517" t="str">
        <f>_xlfn.XLOOKUP(Table3[[#This Row],[Cuenta]],Estructura_Balance[Nombre Cuenta ()],Estructura_Balance[Nivel 4],"",0)</f>
        <v/>
      </c>
      <c r="R517" s="154" t="str">
        <f>_xlfn.XLOOKUP(Table3[[#This Row],[Cuenta]],Table8[Nombre Cuenta ()],Table8[Nivel 1],"",0)</f>
        <v/>
      </c>
      <c r="S517" t="str">
        <f>_xlfn.XLOOKUP(Table3[[#This Row],[Cuenta]],Table8[Nombre Cuenta ()],Table8[Nivel 2],"",0)</f>
        <v/>
      </c>
      <c r="T517" t="str">
        <f>_xlfn.XLOOKUP(Table3[[#This Row],[Cuenta]],Table8[Nombre Cuenta ()],Table8[Nivel 3],"",0)</f>
        <v/>
      </c>
      <c r="U517">
        <v>923</v>
      </c>
      <c r="V517" t="str">
        <f>_xlfn.XLOOKUP(Table3[[#This Row],[Cuenta]],Estructura_Balance[Nombre Cuenta ()],Estructura_Balance[Niveles:2],"",0)</f>
        <v/>
      </c>
      <c r="W517" t="str">
        <f>_xlfn.XLOOKUP(Table3[[#This Row],[Cuenta]],Estructura_Balance[Nombre Cuenta ()],Estructura_Balance[Niveles:3],"",0)</f>
        <v/>
      </c>
      <c r="X517" t="str">
        <f>_xlfn.XLOOKUP(Table3[[#This Row],[Cuenta]],Estructura_Balance[Nombre Cuenta ()],Estructura_Balance[Grupos],"Grupo 1",0)</f>
        <v>Grupo 1</v>
      </c>
      <c r="Y517" t="str">
        <f>+Table3[[#This Row],[BS_Nivel_1]]</f>
        <v/>
      </c>
    </row>
    <row r="518" spans="1:25">
      <c r="A518">
        <f>+'Libro Diario'!F732</f>
        <v>0</v>
      </c>
      <c r="B518" s="144">
        <f>VALUE(IF(+'Libro Diario'!G732="","01/01/2025",+'Libro Diario'!G732))</f>
        <v>45658</v>
      </c>
      <c r="C518">
        <f>IF(ISNUMBER(+IF(IFERROR(VALUE(MID('Libro Diario'!C732,1,4)),0)&lt;&gt;0,'Libro Diario'!C732,0))=FALSE,'Libro Diario'!C732,0)</f>
        <v>0</v>
      </c>
      <c r="D518" s="145">
        <f>+'Libro Diario'!B732</f>
        <v>0</v>
      </c>
      <c r="E518" s="139" t="s">
        <v>445</v>
      </c>
      <c r="F518" t="str">
        <f t="shared" si="24"/>
        <v>Sin Mov.</v>
      </c>
      <c r="G518" t="str">
        <f>IF(+'Libro Diario'!H732=0,"",+'Libro Diario'!H732)</f>
        <v/>
      </c>
      <c r="H518" t="str">
        <f>IF(+'Libro Diario'!I732=0,"",+'Libro Diario'!I732)</f>
        <v/>
      </c>
      <c r="I518" t="str">
        <f>+IF(Table3[[#This Row],[Tipo Movimiento]]="Estructura Balance y PyG","Excluir","Incluir")</f>
        <v>Incluir</v>
      </c>
      <c r="J518" s="153">
        <f>+IF(Table3[[#This Row],[Sin cuenta]]="Con Mov.",(IF(Table3[[#This Row],[Movimiento]]="Debe",Table3[[#This Row],[Importe]],IF(Table3[[#This Row],[Movimiento]]="Haber",Table3[[#This Row],[Importe]]*-1,0))),0)</f>
        <v>0</v>
      </c>
      <c r="K518" s="145">
        <f t="shared" si="25"/>
        <v>0</v>
      </c>
      <c r="L518" s="145" t="str">
        <f t="shared" si="26"/>
        <v/>
      </c>
      <c r="M518" t="str">
        <f>_xlfn.XLOOKUP(Table3[[#This Row],[Cuenta]],Estructura_Balance[Nombre Cuenta ()],Estructura_Balance[Grupo],"",0)</f>
        <v/>
      </c>
      <c r="N518" t="str">
        <f>_xlfn.XLOOKUP(Table3[[#This Row],[Cuenta]],Estructura_Balance[Nombre Cuenta ()],Estructura_Balance[Nivel 1],"",0)</f>
        <v/>
      </c>
      <c r="O518" t="str">
        <f>_xlfn.XLOOKUP(Table3[[#This Row],[Cuenta]],Estructura_Balance[Nombre Cuenta ()],Estructura_Balance[Nivel 2],"",0)</f>
        <v/>
      </c>
      <c r="P518" t="str">
        <f>_xlfn.XLOOKUP(Table3[[#This Row],[Cuenta]],Estructura_Balance[Nombre Cuenta ()],Estructura_Balance[Nivel 3],"",0)</f>
        <v/>
      </c>
      <c r="Q518" t="str">
        <f>_xlfn.XLOOKUP(Table3[[#This Row],[Cuenta]],Estructura_Balance[Nombre Cuenta ()],Estructura_Balance[Nivel 4],"",0)</f>
        <v/>
      </c>
      <c r="R518" s="154" t="str">
        <f>_xlfn.XLOOKUP(Table3[[#This Row],[Cuenta]],Table8[Nombre Cuenta ()],Table8[Nivel 1],"",0)</f>
        <v/>
      </c>
      <c r="S518" t="str">
        <f>_xlfn.XLOOKUP(Table3[[#This Row],[Cuenta]],Table8[Nombre Cuenta ()],Table8[Nivel 2],"",0)</f>
        <v/>
      </c>
      <c r="T518" t="str">
        <f>_xlfn.XLOOKUP(Table3[[#This Row],[Cuenta]],Table8[Nombre Cuenta ()],Table8[Nivel 3],"",0)</f>
        <v/>
      </c>
      <c r="U518">
        <v>924</v>
      </c>
      <c r="V518" t="str">
        <f>_xlfn.XLOOKUP(Table3[[#This Row],[Cuenta]],Estructura_Balance[Nombre Cuenta ()],Estructura_Balance[Niveles:2],"",0)</f>
        <v/>
      </c>
      <c r="W518" t="str">
        <f>_xlfn.XLOOKUP(Table3[[#This Row],[Cuenta]],Estructura_Balance[Nombre Cuenta ()],Estructura_Balance[Niveles:3],"",0)</f>
        <v/>
      </c>
      <c r="X518" t="str">
        <f>_xlfn.XLOOKUP(Table3[[#This Row],[Cuenta]],Estructura_Balance[Nombre Cuenta ()],Estructura_Balance[Grupos],"Grupo 1",0)</f>
        <v>Grupo 1</v>
      </c>
      <c r="Y518" t="str">
        <f>+Table3[[#This Row],[BS_Nivel_1]]</f>
        <v/>
      </c>
    </row>
    <row r="519" spans="1:25">
      <c r="A519">
        <f>+'Libro Diario'!F733</f>
        <v>0</v>
      </c>
      <c r="B519" s="144">
        <f>VALUE(IF(+'Libro Diario'!G733="","01/01/2025",+'Libro Diario'!G733))</f>
        <v>45658</v>
      </c>
      <c r="C519">
        <f>IF(ISNUMBER(+IF(IFERROR(VALUE(MID('Libro Diario'!C733,1,4)),0)&lt;&gt;0,'Libro Diario'!C733,0))=FALSE,'Libro Diario'!C733,0)</f>
        <v>0</v>
      </c>
      <c r="D519" s="145">
        <f>+'Libro Diario'!B733</f>
        <v>0</v>
      </c>
      <c r="E519" s="139" t="s">
        <v>445</v>
      </c>
      <c r="F519" t="str">
        <f t="shared" si="24"/>
        <v>Sin Mov.</v>
      </c>
      <c r="G519" t="str">
        <f>IF(+'Libro Diario'!H733=0,"",+'Libro Diario'!H733)</f>
        <v/>
      </c>
      <c r="H519" t="str">
        <f>IF(+'Libro Diario'!I733=0,"",+'Libro Diario'!I733)</f>
        <v/>
      </c>
      <c r="I519" t="str">
        <f>+IF(Table3[[#This Row],[Tipo Movimiento]]="Estructura Balance y PyG","Excluir","Incluir")</f>
        <v>Incluir</v>
      </c>
      <c r="J519" s="153">
        <f>+IF(Table3[[#This Row],[Sin cuenta]]="Con Mov.",(IF(Table3[[#This Row],[Movimiento]]="Debe",Table3[[#This Row],[Importe]],IF(Table3[[#This Row],[Movimiento]]="Haber",Table3[[#This Row],[Importe]]*-1,0))),0)</f>
        <v>0</v>
      </c>
      <c r="K519" s="145">
        <f t="shared" si="25"/>
        <v>0</v>
      </c>
      <c r="L519" s="145" t="str">
        <f t="shared" si="26"/>
        <v/>
      </c>
      <c r="M519" t="str">
        <f>_xlfn.XLOOKUP(Table3[[#This Row],[Cuenta]],Estructura_Balance[Nombre Cuenta ()],Estructura_Balance[Grupo],"",0)</f>
        <v/>
      </c>
      <c r="N519" t="str">
        <f>_xlfn.XLOOKUP(Table3[[#This Row],[Cuenta]],Estructura_Balance[Nombre Cuenta ()],Estructura_Balance[Nivel 1],"",0)</f>
        <v/>
      </c>
      <c r="O519" t="str">
        <f>_xlfn.XLOOKUP(Table3[[#This Row],[Cuenta]],Estructura_Balance[Nombre Cuenta ()],Estructura_Balance[Nivel 2],"",0)</f>
        <v/>
      </c>
      <c r="P519" t="str">
        <f>_xlfn.XLOOKUP(Table3[[#This Row],[Cuenta]],Estructura_Balance[Nombre Cuenta ()],Estructura_Balance[Nivel 3],"",0)</f>
        <v/>
      </c>
      <c r="Q519" t="str">
        <f>_xlfn.XLOOKUP(Table3[[#This Row],[Cuenta]],Estructura_Balance[Nombre Cuenta ()],Estructura_Balance[Nivel 4],"",0)</f>
        <v/>
      </c>
      <c r="R519" s="154" t="str">
        <f>_xlfn.XLOOKUP(Table3[[#This Row],[Cuenta]],Table8[Nombre Cuenta ()],Table8[Nivel 1],"",0)</f>
        <v/>
      </c>
      <c r="S519" t="str">
        <f>_xlfn.XLOOKUP(Table3[[#This Row],[Cuenta]],Table8[Nombre Cuenta ()],Table8[Nivel 2],"",0)</f>
        <v/>
      </c>
      <c r="T519" t="str">
        <f>_xlfn.XLOOKUP(Table3[[#This Row],[Cuenta]],Table8[Nombre Cuenta ()],Table8[Nivel 3],"",0)</f>
        <v/>
      </c>
      <c r="U519">
        <v>925</v>
      </c>
      <c r="V519" t="str">
        <f>_xlfn.XLOOKUP(Table3[[#This Row],[Cuenta]],Estructura_Balance[Nombre Cuenta ()],Estructura_Balance[Niveles:2],"",0)</f>
        <v/>
      </c>
      <c r="W519" t="str">
        <f>_xlfn.XLOOKUP(Table3[[#This Row],[Cuenta]],Estructura_Balance[Nombre Cuenta ()],Estructura_Balance[Niveles:3],"",0)</f>
        <v/>
      </c>
      <c r="X519" t="str">
        <f>_xlfn.XLOOKUP(Table3[[#This Row],[Cuenta]],Estructura_Balance[Nombre Cuenta ()],Estructura_Balance[Grupos],"Grupo 1",0)</f>
        <v>Grupo 1</v>
      </c>
      <c r="Y519" t="str">
        <f>+Table3[[#This Row],[BS_Nivel_1]]</f>
        <v/>
      </c>
    </row>
    <row r="520" spans="1:25">
      <c r="A520">
        <f>+'Libro Diario'!F734</f>
        <v>0</v>
      </c>
      <c r="B520" s="144">
        <f>VALUE(IF(+'Libro Diario'!G734="","01/01/2025",+'Libro Diario'!G734))</f>
        <v>45658</v>
      </c>
      <c r="C520">
        <f>IF(ISNUMBER(+IF(IFERROR(VALUE(MID('Libro Diario'!C734,1,4)),0)&lt;&gt;0,'Libro Diario'!C734,0))=FALSE,'Libro Diario'!C734,0)</f>
        <v>0</v>
      </c>
      <c r="D520" s="145">
        <f>+'Libro Diario'!B734</f>
        <v>0</v>
      </c>
      <c r="E520" s="139" t="s">
        <v>445</v>
      </c>
      <c r="F520" t="str">
        <f t="shared" si="24"/>
        <v>Sin Mov.</v>
      </c>
      <c r="G520" t="str">
        <f>IF(+'Libro Diario'!H734=0,"",+'Libro Diario'!H734)</f>
        <v/>
      </c>
      <c r="H520" t="str">
        <f>IF(+'Libro Diario'!I734=0,"",+'Libro Diario'!I734)</f>
        <v/>
      </c>
      <c r="I520" t="str">
        <f>+IF(Table3[[#This Row],[Tipo Movimiento]]="Estructura Balance y PyG","Excluir","Incluir")</f>
        <v>Incluir</v>
      </c>
      <c r="J520" s="153">
        <f>+IF(Table3[[#This Row],[Sin cuenta]]="Con Mov.",(IF(Table3[[#This Row],[Movimiento]]="Debe",Table3[[#This Row],[Importe]],IF(Table3[[#This Row],[Movimiento]]="Haber",Table3[[#This Row],[Importe]]*-1,0))),0)</f>
        <v>0</v>
      </c>
      <c r="K520" s="145">
        <f t="shared" si="25"/>
        <v>0</v>
      </c>
      <c r="L520" s="145" t="str">
        <f t="shared" si="26"/>
        <v/>
      </c>
      <c r="M520" t="str">
        <f>_xlfn.XLOOKUP(Table3[[#This Row],[Cuenta]],Estructura_Balance[Nombre Cuenta ()],Estructura_Balance[Grupo],"",0)</f>
        <v/>
      </c>
      <c r="N520" t="str">
        <f>_xlfn.XLOOKUP(Table3[[#This Row],[Cuenta]],Estructura_Balance[Nombre Cuenta ()],Estructura_Balance[Nivel 1],"",0)</f>
        <v/>
      </c>
      <c r="O520" t="str">
        <f>_xlfn.XLOOKUP(Table3[[#This Row],[Cuenta]],Estructura_Balance[Nombre Cuenta ()],Estructura_Balance[Nivel 2],"",0)</f>
        <v/>
      </c>
      <c r="P520" t="str">
        <f>_xlfn.XLOOKUP(Table3[[#This Row],[Cuenta]],Estructura_Balance[Nombre Cuenta ()],Estructura_Balance[Nivel 3],"",0)</f>
        <v/>
      </c>
      <c r="Q520" t="str">
        <f>_xlfn.XLOOKUP(Table3[[#This Row],[Cuenta]],Estructura_Balance[Nombre Cuenta ()],Estructura_Balance[Nivel 4],"",0)</f>
        <v/>
      </c>
      <c r="R520" s="154" t="str">
        <f>_xlfn.XLOOKUP(Table3[[#This Row],[Cuenta]],Table8[Nombre Cuenta ()],Table8[Nivel 1],"",0)</f>
        <v/>
      </c>
      <c r="S520" t="str">
        <f>_xlfn.XLOOKUP(Table3[[#This Row],[Cuenta]],Table8[Nombre Cuenta ()],Table8[Nivel 2],"",0)</f>
        <v/>
      </c>
      <c r="T520" t="str">
        <f>_xlfn.XLOOKUP(Table3[[#This Row],[Cuenta]],Table8[Nombre Cuenta ()],Table8[Nivel 3],"",0)</f>
        <v/>
      </c>
      <c r="U520">
        <v>926</v>
      </c>
      <c r="V520" t="str">
        <f>_xlfn.XLOOKUP(Table3[[#This Row],[Cuenta]],Estructura_Balance[Nombre Cuenta ()],Estructura_Balance[Niveles:2],"",0)</f>
        <v/>
      </c>
      <c r="W520" t="str">
        <f>_xlfn.XLOOKUP(Table3[[#This Row],[Cuenta]],Estructura_Balance[Nombre Cuenta ()],Estructura_Balance[Niveles:3],"",0)</f>
        <v/>
      </c>
      <c r="X520" t="str">
        <f>_xlfn.XLOOKUP(Table3[[#This Row],[Cuenta]],Estructura_Balance[Nombre Cuenta ()],Estructura_Balance[Grupos],"Grupo 1",0)</f>
        <v>Grupo 1</v>
      </c>
      <c r="Y520" t="str">
        <f>+Table3[[#This Row],[BS_Nivel_1]]</f>
        <v/>
      </c>
    </row>
    <row r="521" spans="1:25">
      <c r="A521">
        <f>+'Libro Diario'!F735</f>
        <v>0</v>
      </c>
      <c r="B521" s="144">
        <f>VALUE(IF(+'Libro Diario'!G735="","01/01/2025",+'Libro Diario'!G735))</f>
        <v>45658</v>
      </c>
      <c r="C521">
        <f>IF(ISNUMBER(+IF(IFERROR(VALUE(MID('Libro Diario'!C735,1,4)),0)&lt;&gt;0,'Libro Diario'!C735,0))=FALSE,'Libro Diario'!C735,0)</f>
        <v>0</v>
      </c>
      <c r="D521" s="145">
        <f>+'Libro Diario'!B735</f>
        <v>0</v>
      </c>
      <c r="E521" s="139" t="s">
        <v>445</v>
      </c>
      <c r="F521" t="str">
        <f t="shared" si="24"/>
        <v>Sin Mov.</v>
      </c>
      <c r="G521" t="str">
        <f>IF(+'Libro Diario'!H735=0,"",+'Libro Diario'!H735)</f>
        <v/>
      </c>
      <c r="H521" t="str">
        <f>IF(+'Libro Diario'!I735=0,"",+'Libro Diario'!I735)</f>
        <v/>
      </c>
      <c r="I521" t="str">
        <f>+IF(Table3[[#This Row],[Tipo Movimiento]]="Estructura Balance y PyG","Excluir","Incluir")</f>
        <v>Incluir</v>
      </c>
      <c r="J521" s="153">
        <f>+IF(Table3[[#This Row],[Sin cuenta]]="Con Mov.",(IF(Table3[[#This Row],[Movimiento]]="Debe",Table3[[#This Row],[Importe]],IF(Table3[[#This Row],[Movimiento]]="Haber",Table3[[#This Row],[Importe]]*-1,0))),0)</f>
        <v>0</v>
      </c>
      <c r="K521" s="145">
        <f t="shared" si="25"/>
        <v>0</v>
      </c>
      <c r="L521" s="145" t="str">
        <f t="shared" si="26"/>
        <v/>
      </c>
      <c r="M521" t="str">
        <f>_xlfn.XLOOKUP(Table3[[#This Row],[Cuenta]],Estructura_Balance[Nombre Cuenta ()],Estructura_Balance[Grupo],"",0)</f>
        <v/>
      </c>
      <c r="N521" t="str">
        <f>_xlfn.XLOOKUP(Table3[[#This Row],[Cuenta]],Estructura_Balance[Nombre Cuenta ()],Estructura_Balance[Nivel 1],"",0)</f>
        <v/>
      </c>
      <c r="O521" t="str">
        <f>_xlfn.XLOOKUP(Table3[[#This Row],[Cuenta]],Estructura_Balance[Nombre Cuenta ()],Estructura_Balance[Nivel 2],"",0)</f>
        <v/>
      </c>
      <c r="P521" t="str">
        <f>_xlfn.XLOOKUP(Table3[[#This Row],[Cuenta]],Estructura_Balance[Nombre Cuenta ()],Estructura_Balance[Nivel 3],"",0)</f>
        <v/>
      </c>
      <c r="Q521" t="str">
        <f>_xlfn.XLOOKUP(Table3[[#This Row],[Cuenta]],Estructura_Balance[Nombre Cuenta ()],Estructura_Balance[Nivel 4],"",0)</f>
        <v/>
      </c>
      <c r="R521" s="154" t="str">
        <f>_xlfn.XLOOKUP(Table3[[#This Row],[Cuenta]],Table8[Nombre Cuenta ()],Table8[Nivel 1],"",0)</f>
        <v/>
      </c>
      <c r="S521" t="str">
        <f>_xlfn.XLOOKUP(Table3[[#This Row],[Cuenta]],Table8[Nombre Cuenta ()],Table8[Nivel 2],"",0)</f>
        <v/>
      </c>
      <c r="T521" t="str">
        <f>_xlfn.XLOOKUP(Table3[[#This Row],[Cuenta]],Table8[Nombre Cuenta ()],Table8[Nivel 3],"",0)</f>
        <v/>
      </c>
      <c r="U521">
        <v>927</v>
      </c>
      <c r="V521" t="str">
        <f>_xlfn.XLOOKUP(Table3[[#This Row],[Cuenta]],Estructura_Balance[Nombre Cuenta ()],Estructura_Balance[Niveles:2],"",0)</f>
        <v/>
      </c>
      <c r="W521" t="str">
        <f>_xlfn.XLOOKUP(Table3[[#This Row],[Cuenta]],Estructura_Balance[Nombre Cuenta ()],Estructura_Balance[Niveles:3],"",0)</f>
        <v/>
      </c>
      <c r="X521" t="str">
        <f>_xlfn.XLOOKUP(Table3[[#This Row],[Cuenta]],Estructura_Balance[Nombre Cuenta ()],Estructura_Balance[Grupos],"Grupo 1",0)</f>
        <v>Grupo 1</v>
      </c>
      <c r="Y521" t="str">
        <f>+Table3[[#This Row],[BS_Nivel_1]]</f>
        <v/>
      </c>
    </row>
    <row r="522" spans="1:25">
      <c r="A522">
        <f>+'Libro Diario'!F736</f>
        <v>0</v>
      </c>
      <c r="B522" s="144">
        <f>VALUE(IF(+'Libro Diario'!G736="","01/01/2025",+'Libro Diario'!G736))</f>
        <v>45658</v>
      </c>
      <c r="C522">
        <f>IF(ISNUMBER(+IF(IFERROR(VALUE(MID('Libro Diario'!C736,1,4)),0)&lt;&gt;0,'Libro Diario'!C736,0))=FALSE,'Libro Diario'!C736,0)</f>
        <v>0</v>
      </c>
      <c r="D522" s="145">
        <f>+'Libro Diario'!B736</f>
        <v>0</v>
      </c>
      <c r="E522" s="139" t="s">
        <v>445</v>
      </c>
      <c r="F522" t="str">
        <f t="shared" si="24"/>
        <v>Sin Mov.</v>
      </c>
      <c r="G522" t="str">
        <f>IF(+'Libro Diario'!H736=0,"",+'Libro Diario'!H736)</f>
        <v/>
      </c>
      <c r="H522" t="str">
        <f>IF(+'Libro Diario'!I736=0,"",+'Libro Diario'!I736)</f>
        <v/>
      </c>
      <c r="I522" t="str">
        <f>+IF(Table3[[#This Row],[Tipo Movimiento]]="Estructura Balance y PyG","Excluir","Incluir")</f>
        <v>Incluir</v>
      </c>
      <c r="J522" s="153">
        <f>+IF(Table3[[#This Row],[Sin cuenta]]="Con Mov.",(IF(Table3[[#This Row],[Movimiento]]="Debe",Table3[[#This Row],[Importe]],IF(Table3[[#This Row],[Movimiento]]="Haber",Table3[[#This Row],[Importe]]*-1,0))),0)</f>
        <v>0</v>
      </c>
      <c r="K522" s="145">
        <f t="shared" si="25"/>
        <v>0</v>
      </c>
      <c r="L522" s="145" t="str">
        <f t="shared" si="26"/>
        <v/>
      </c>
      <c r="M522" t="str">
        <f>_xlfn.XLOOKUP(Table3[[#This Row],[Cuenta]],Estructura_Balance[Nombre Cuenta ()],Estructura_Balance[Grupo],"",0)</f>
        <v/>
      </c>
      <c r="N522" t="str">
        <f>_xlfn.XLOOKUP(Table3[[#This Row],[Cuenta]],Estructura_Balance[Nombre Cuenta ()],Estructura_Balance[Nivel 1],"",0)</f>
        <v/>
      </c>
      <c r="O522" t="str">
        <f>_xlfn.XLOOKUP(Table3[[#This Row],[Cuenta]],Estructura_Balance[Nombre Cuenta ()],Estructura_Balance[Nivel 2],"",0)</f>
        <v/>
      </c>
      <c r="P522" t="str">
        <f>_xlfn.XLOOKUP(Table3[[#This Row],[Cuenta]],Estructura_Balance[Nombre Cuenta ()],Estructura_Balance[Nivel 3],"",0)</f>
        <v/>
      </c>
      <c r="Q522" t="str">
        <f>_xlfn.XLOOKUP(Table3[[#This Row],[Cuenta]],Estructura_Balance[Nombre Cuenta ()],Estructura_Balance[Nivel 4],"",0)</f>
        <v/>
      </c>
      <c r="R522" s="154" t="str">
        <f>_xlfn.XLOOKUP(Table3[[#This Row],[Cuenta]],Table8[Nombre Cuenta ()],Table8[Nivel 1],"",0)</f>
        <v/>
      </c>
      <c r="S522" t="str">
        <f>_xlfn.XLOOKUP(Table3[[#This Row],[Cuenta]],Table8[Nombre Cuenta ()],Table8[Nivel 2],"",0)</f>
        <v/>
      </c>
      <c r="T522" t="str">
        <f>_xlfn.XLOOKUP(Table3[[#This Row],[Cuenta]],Table8[Nombre Cuenta ()],Table8[Nivel 3],"",0)</f>
        <v/>
      </c>
      <c r="U522">
        <v>928</v>
      </c>
      <c r="V522" t="str">
        <f>_xlfn.XLOOKUP(Table3[[#This Row],[Cuenta]],Estructura_Balance[Nombre Cuenta ()],Estructura_Balance[Niveles:2],"",0)</f>
        <v/>
      </c>
      <c r="W522" t="str">
        <f>_xlfn.XLOOKUP(Table3[[#This Row],[Cuenta]],Estructura_Balance[Nombre Cuenta ()],Estructura_Balance[Niveles:3],"",0)</f>
        <v/>
      </c>
      <c r="X522" t="str">
        <f>_xlfn.XLOOKUP(Table3[[#This Row],[Cuenta]],Estructura_Balance[Nombre Cuenta ()],Estructura_Balance[Grupos],"Grupo 1",0)</f>
        <v>Grupo 1</v>
      </c>
      <c r="Y522" t="str">
        <f>+Table3[[#This Row],[BS_Nivel_1]]</f>
        <v/>
      </c>
    </row>
    <row r="523" spans="1:25">
      <c r="A523">
        <f>+'Libro Diario'!F737</f>
        <v>0</v>
      </c>
      <c r="B523" s="144">
        <f>VALUE(IF(+'Libro Diario'!G737="","01/01/2025",+'Libro Diario'!G737))</f>
        <v>45658</v>
      </c>
      <c r="C523">
        <f>IF(ISNUMBER(+IF(IFERROR(VALUE(MID('Libro Diario'!C737,1,4)),0)&lt;&gt;0,'Libro Diario'!C737,0))=FALSE,'Libro Diario'!C737,0)</f>
        <v>0</v>
      </c>
      <c r="D523" s="145">
        <f>+'Libro Diario'!B737</f>
        <v>0</v>
      </c>
      <c r="E523" s="139" t="s">
        <v>445</v>
      </c>
      <c r="F523" t="str">
        <f t="shared" si="24"/>
        <v>Sin Mov.</v>
      </c>
      <c r="G523" t="str">
        <f>IF(+'Libro Diario'!H737=0,"",+'Libro Diario'!H737)</f>
        <v/>
      </c>
      <c r="H523" t="str">
        <f>IF(+'Libro Diario'!I737=0,"",+'Libro Diario'!I737)</f>
        <v/>
      </c>
      <c r="I523" t="str">
        <f>+IF(Table3[[#This Row],[Tipo Movimiento]]="Estructura Balance y PyG","Excluir","Incluir")</f>
        <v>Incluir</v>
      </c>
      <c r="J523" s="153">
        <f>+IF(Table3[[#This Row],[Sin cuenta]]="Con Mov.",(IF(Table3[[#This Row],[Movimiento]]="Debe",Table3[[#This Row],[Importe]],IF(Table3[[#This Row],[Movimiento]]="Haber",Table3[[#This Row],[Importe]]*-1,0))),0)</f>
        <v>0</v>
      </c>
      <c r="K523" s="145">
        <f t="shared" si="25"/>
        <v>0</v>
      </c>
      <c r="L523" s="145" t="str">
        <f t="shared" si="26"/>
        <v/>
      </c>
      <c r="M523" t="str">
        <f>_xlfn.XLOOKUP(Table3[[#This Row],[Cuenta]],Estructura_Balance[Nombre Cuenta ()],Estructura_Balance[Grupo],"",0)</f>
        <v/>
      </c>
      <c r="N523" t="str">
        <f>_xlfn.XLOOKUP(Table3[[#This Row],[Cuenta]],Estructura_Balance[Nombre Cuenta ()],Estructura_Balance[Nivel 1],"",0)</f>
        <v/>
      </c>
      <c r="O523" t="str">
        <f>_xlfn.XLOOKUP(Table3[[#This Row],[Cuenta]],Estructura_Balance[Nombre Cuenta ()],Estructura_Balance[Nivel 2],"",0)</f>
        <v/>
      </c>
      <c r="P523" t="str">
        <f>_xlfn.XLOOKUP(Table3[[#This Row],[Cuenta]],Estructura_Balance[Nombre Cuenta ()],Estructura_Balance[Nivel 3],"",0)</f>
        <v/>
      </c>
      <c r="Q523" t="str">
        <f>_xlfn.XLOOKUP(Table3[[#This Row],[Cuenta]],Estructura_Balance[Nombre Cuenta ()],Estructura_Balance[Nivel 4],"",0)</f>
        <v/>
      </c>
      <c r="R523" s="154" t="str">
        <f>_xlfn.XLOOKUP(Table3[[#This Row],[Cuenta]],Table8[Nombre Cuenta ()],Table8[Nivel 1],"",0)</f>
        <v/>
      </c>
      <c r="S523" t="str">
        <f>_xlfn.XLOOKUP(Table3[[#This Row],[Cuenta]],Table8[Nombre Cuenta ()],Table8[Nivel 2],"",0)</f>
        <v/>
      </c>
      <c r="T523" t="str">
        <f>_xlfn.XLOOKUP(Table3[[#This Row],[Cuenta]],Table8[Nombre Cuenta ()],Table8[Nivel 3],"",0)</f>
        <v/>
      </c>
      <c r="U523">
        <v>929</v>
      </c>
      <c r="V523" t="str">
        <f>_xlfn.XLOOKUP(Table3[[#This Row],[Cuenta]],Estructura_Balance[Nombre Cuenta ()],Estructura_Balance[Niveles:2],"",0)</f>
        <v/>
      </c>
      <c r="W523" t="str">
        <f>_xlfn.XLOOKUP(Table3[[#This Row],[Cuenta]],Estructura_Balance[Nombre Cuenta ()],Estructura_Balance[Niveles:3],"",0)</f>
        <v/>
      </c>
      <c r="X523" t="str">
        <f>_xlfn.XLOOKUP(Table3[[#This Row],[Cuenta]],Estructura_Balance[Nombre Cuenta ()],Estructura_Balance[Grupos],"Grupo 1",0)</f>
        <v>Grupo 1</v>
      </c>
      <c r="Y523" t="str">
        <f>+Table3[[#This Row],[BS_Nivel_1]]</f>
        <v/>
      </c>
    </row>
    <row r="524" spans="1:25">
      <c r="A524">
        <f>+'Libro Diario'!F738</f>
        <v>0</v>
      </c>
      <c r="B524" s="144">
        <f>VALUE(IF(+'Libro Diario'!G738="","01/01/2025",+'Libro Diario'!G738))</f>
        <v>45658</v>
      </c>
      <c r="C524">
        <f>IF(ISNUMBER(+IF(IFERROR(VALUE(MID('Libro Diario'!C738,1,4)),0)&lt;&gt;0,'Libro Diario'!C738,0))=FALSE,'Libro Diario'!C738,0)</f>
        <v>0</v>
      </c>
      <c r="D524" s="145">
        <f>+'Libro Diario'!B738</f>
        <v>0</v>
      </c>
      <c r="E524" s="139" t="s">
        <v>445</v>
      </c>
      <c r="F524" t="str">
        <f t="shared" si="24"/>
        <v>Sin Mov.</v>
      </c>
      <c r="G524" t="str">
        <f>IF(+'Libro Diario'!H738=0,"",+'Libro Diario'!H738)</f>
        <v/>
      </c>
      <c r="H524" t="str">
        <f>IF(+'Libro Diario'!I738=0,"",+'Libro Diario'!I738)</f>
        <v/>
      </c>
      <c r="I524" t="str">
        <f>+IF(Table3[[#This Row],[Tipo Movimiento]]="Estructura Balance y PyG","Excluir","Incluir")</f>
        <v>Incluir</v>
      </c>
      <c r="J524" s="153">
        <f>+IF(Table3[[#This Row],[Sin cuenta]]="Con Mov.",(IF(Table3[[#This Row],[Movimiento]]="Debe",Table3[[#This Row],[Importe]],IF(Table3[[#This Row],[Movimiento]]="Haber",Table3[[#This Row],[Importe]]*-1,0))),0)</f>
        <v>0</v>
      </c>
      <c r="K524" s="145">
        <f t="shared" si="25"/>
        <v>0</v>
      </c>
      <c r="L524" s="145" t="str">
        <f t="shared" si="26"/>
        <v/>
      </c>
      <c r="M524" t="str">
        <f>_xlfn.XLOOKUP(Table3[[#This Row],[Cuenta]],Estructura_Balance[Nombre Cuenta ()],Estructura_Balance[Grupo],"",0)</f>
        <v/>
      </c>
      <c r="N524" t="str">
        <f>_xlfn.XLOOKUP(Table3[[#This Row],[Cuenta]],Estructura_Balance[Nombre Cuenta ()],Estructura_Balance[Nivel 1],"",0)</f>
        <v/>
      </c>
      <c r="O524" t="str">
        <f>_xlfn.XLOOKUP(Table3[[#This Row],[Cuenta]],Estructura_Balance[Nombre Cuenta ()],Estructura_Balance[Nivel 2],"",0)</f>
        <v/>
      </c>
      <c r="P524" t="str">
        <f>_xlfn.XLOOKUP(Table3[[#This Row],[Cuenta]],Estructura_Balance[Nombre Cuenta ()],Estructura_Balance[Nivel 3],"",0)</f>
        <v/>
      </c>
      <c r="Q524" t="str">
        <f>_xlfn.XLOOKUP(Table3[[#This Row],[Cuenta]],Estructura_Balance[Nombre Cuenta ()],Estructura_Balance[Nivel 4],"",0)</f>
        <v/>
      </c>
      <c r="R524" s="154" t="str">
        <f>_xlfn.XLOOKUP(Table3[[#This Row],[Cuenta]],Table8[Nombre Cuenta ()],Table8[Nivel 1],"",0)</f>
        <v/>
      </c>
      <c r="S524" t="str">
        <f>_xlfn.XLOOKUP(Table3[[#This Row],[Cuenta]],Table8[Nombre Cuenta ()],Table8[Nivel 2],"",0)</f>
        <v/>
      </c>
      <c r="T524" t="str">
        <f>_xlfn.XLOOKUP(Table3[[#This Row],[Cuenta]],Table8[Nombre Cuenta ()],Table8[Nivel 3],"",0)</f>
        <v/>
      </c>
      <c r="U524">
        <v>930</v>
      </c>
      <c r="V524" t="str">
        <f>_xlfn.XLOOKUP(Table3[[#This Row],[Cuenta]],Estructura_Balance[Nombre Cuenta ()],Estructura_Balance[Niveles:2],"",0)</f>
        <v/>
      </c>
      <c r="W524" t="str">
        <f>_xlfn.XLOOKUP(Table3[[#This Row],[Cuenta]],Estructura_Balance[Nombre Cuenta ()],Estructura_Balance[Niveles:3],"",0)</f>
        <v/>
      </c>
      <c r="X524" t="str">
        <f>_xlfn.XLOOKUP(Table3[[#This Row],[Cuenta]],Estructura_Balance[Nombre Cuenta ()],Estructura_Balance[Grupos],"Grupo 1",0)</f>
        <v>Grupo 1</v>
      </c>
      <c r="Y524" t="str">
        <f>+Table3[[#This Row],[BS_Nivel_1]]</f>
        <v/>
      </c>
    </row>
    <row r="525" spans="1:25">
      <c r="A525">
        <f>+'Libro Diario'!F739</f>
        <v>0</v>
      </c>
      <c r="B525" s="144">
        <f>VALUE(IF(+'Libro Diario'!G739="","01/01/2025",+'Libro Diario'!G739))</f>
        <v>45658</v>
      </c>
      <c r="C525">
        <f>IF(ISNUMBER(+IF(IFERROR(VALUE(MID('Libro Diario'!C739,1,4)),0)&lt;&gt;0,'Libro Diario'!C739,0))=FALSE,'Libro Diario'!C739,0)</f>
        <v>0</v>
      </c>
      <c r="D525" s="145">
        <f>+'Libro Diario'!B739</f>
        <v>0</v>
      </c>
      <c r="E525" s="139" t="s">
        <v>445</v>
      </c>
      <c r="F525" t="str">
        <f t="shared" si="24"/>
        <v>Sin Mov.</v>
      </c>
      <c r="G525" t="str">
        <f>IF(+'Libro Diario'!H739=0,"",+'Libro Diario'!H739)</f>
        <v/>
      </c>
      <c r="H525" t="str">
        <f>IF(+'Libro Diario'!I739=0,"",+'Libro Diario'!I739)</f>
        <v/>
      </c>
      <c r="I525" t="str">
        <f>+IF(Table3[[#This Row],[Tipo Movimiento]]="Estructura Balance y PyG","Excluir","Incluir")</f>
        <v>Incluir</v>
      </c>
      <c r="J525" s="153">
        <f>+IF(Table3[[#This Row],[Sin cuenta]]="Con Mov.",(IF(Table3[[#This Row],[Movimiento]]="Debe",Table3[[#This Row],[Importe]],IF(Table3[[#This Row],[Movimiento]]="Haber",Table3[[#This Row],[Importe]]*-1,0))),0)</f>
        <v>0</v>
      </c>
      <c r="K525" s="145">
        <f t="shared" si="25"/>
        <v>0</v>
      </c>
      <c r="L525" s="145" t="str">
        <f t="shared" si="26"/>
        <v/>
      </c>
      <c r="M525" t="str">
        <f>_xlfn.XLOOKUP(Table3[[#This Row],[Cuenta]],Estructura_Balance[Nombre Cuenta ()],Estructura_Balance[Grupo],"",0)</f>
        <v/>
      </c>
      <c r="N525" t="str">
        <f>_xlfn.XLOOKUP(Table3[[#This Row],[Cuenta]],Estructura_Balance[Nombre Cuenta ()],Estructura_Balance[Nivel 1],"",0)</f>
        <v/>
      </c>
      <c r="O525" t="str">
        <f>_xlfn.XLOOKUP(Table3[[#This Row],[Cuenta]],Estructura_Balance[Nombre Cuenta ()],Estructura_Balance[Nivel 2],"",0)</f>
        <v/>
      </c>
      <c r="P525" t="str">
        <f>_xlfn.XLOOKUP(Table3[[#This Row],[Cuenta]],Estructura_Balance[Nombre Cuenta ()],Estructura_Balance[Nivel 3],"",0)</f>
        <v/>
      </c>
      <c r="Q525" t="str">
        <f>_xlfn.XLOOKUP(Table3[[#This Row],[Cuenta]],Estructura_Balance[Nombre Cuenta ()],Estructura_Balance[Nivel 4],"",0)</f>
        <v/>
      </c>
      <c r="R525" s="154" t="str">
        <f>_xlfn.XLOOKUP(Table3[[#This Row],[Cuenta]],Table8[Nombre Cuenta ()],Table8[Nivel 1],"",0)</f>
        <v/>
      </c>
      <c r="S525" t="str">
        <f>_xlfn.XLOOKUP(Table3[[#This Row],[Cuenta]],Table8[Nombre Cuenta ()],Table8[Nivel 2],"",0)</f>
        <v/>
      </c>
      <c r="T525" t="str">
        <f>_xlfn.XLOOKUP(Table3[[#This Row],[Cuenta]],Table8[Nombre Cuenta ()],Table8[Nivel 3],"",0)</f>
        <v/>
      </c>
      <c r="U525">
        <v>931</v>
      </c>
      <c r="V525" t="str">
        <f>_xlfn.XLOOKUP(Table3[[#This Row],[Cuenta]],Estructura_Balance[Nombre Cuenta ()],Estructura_Balance[Niveles:2],"",0)</f>
        <v/>
      </c>
      <c r="W525" t="str">
        <f>_xlfn.XLOOKUP(Table3[[#This Row],[Cuenta]],Estructura_Balance[Nombre Cuenta ()],Estructura_Balance[Niveles:3],"",0)</f>
        <v/>
      </c>
      <c r="X525" t="str">
        <f>_xlfn.XLOOKUP(Table3[[#This Row],[Cuenta]],Estructura_Balance[Nombre Cuenta ()],Estructura_Balance[Grupos],"Grupo 1",0)</f>
        <v>Grupo 1</v>
      </c>
      <c r="Y525" t="str">
        <f>+Table3[[#This Row],[BS_Nivel_1]]</f>
        <v/>
      </c>
    </row>
    <row r="526" spans="1:25">
      <c r="A526">
        <f>+'Libro Diario'!F740</f>
        <v>0</v>
      </c>
      <c r="B526" s="144">
        <f>VALUE(IF(+'Libro Diario'!G740="","01/01/2025",+'Libro Diario'!G740))</f>
        <v>45658</v>
      </c>
      <c r="C526">
        <f>IF(ISNUMBER(+IF(IFERROR(VALUE(MID('Libro Diario'!C740,1,4)),0)&lt;&gt;0,'Libro Diario'!C740,0))=FALSE,'Libro Diario'!C740,0)</f>
        <v>0</v>
      </c>
      <c r="D526" s="145">
        <f>+'Libro Diario'!B740</f>
        <v>0</v>
      </c>
      <c r="E526" s="139" t="s">
        <v>445</v>
      </c>
      <c r="F526" t="str">
        <f t="shared" si="24"/>
        <v>Sin Mov.</v>
      </c>
      <c r="G526" t="str">
        <f>IF(+'Libro Diario'!H740=0,"",+'Libro Diario'!H740)</f>
        <v/>
      </c>
      <c r="H526" t="str">
        <f>IF(+'Libro Diario'!I740=0,"",+'Libro Diario'!I740)</f>
        <v/>
      </c>
      <c r="I526" t="str">
        <f>+IF(Table3[[#This Row],[Tipo Movimiento]]="Estructura Balance y PyG","Excluir","Incluir")</f>
        <v>Incluir</v>
      </c>
      <c r="J526" s="153">
        <f>+IF(Table3[[#This Row],[Sin cuenta]]="Con Mov.",(IF(Table3[[#This Row],[Movimiento]]="Debe",Table3[[#This Row],[Importe]],IF(Table3[[#This Row],[Movimiento]]="Haber",Table3[[#This Row],[Importe]]*-1,0))),0)</f>
        <v>0</v>
      </c>
      <c r="K526" s="145">
        <f t="shared" si="25"/>
        <v>0</v>
      </c>
      <c r="L526" s="145" t="str">
        <f t="shared" si="26"/>
        <v/>
      </c>
      <c r="M526" t="str">
        <f>_xlfn.XLOOKUP(Table3[[#This Row],[Cuenta]],Estructura_Balance[Nombre Cuenta ()],Estructura_Balance[Grupo],"",0)</f>
        <v/>
      </c>
      <c r="N526" t="str">
        <f>_xlfn.XLOOKUP(Table3[[#This Row],[Cuenta]],Estructura_Balance[Nombre Cuenta ()],Estructura_Balance[Nivel 1],"",0)</f>
        <v/>
      </c>
      <c r="O526" t="str">
        <f>_xlfn.XLOOKUP(Table3[[#This Row],[Cuenta]],Estructura_Balance[Nombre Cuenta ()],Estructura_Balance[Nivel 2],"",0)</f>
        <v/>
      </c>
      <c r="P526" t="str">
        <f>_xlfn.XLOOKUP(Table3[[#This Row],[Cuenta]],Estructura_Balance[Nombre Cuenta ()],Estructura_Balance[Nivel 3],"",0)</f>
        <v/>
      </c>
      <c r="Q526" t="str">
        <f>_xlfn.XLOOKUP(Table3[[#This Row],[Cuenta]],Estructura_Balance[Nombre Cuenta ()],Estructura_Balance[Nivel 4],"",0)</f>
        <v/>
      </c>
      <c r="R526" s="154" t="str">
        <f>_xlfn.XLOOKUP(Table3[[#This Row],[Cuenta]],Table8[Nombre Cuenta ()],Table8[Nivel 1],"",0)</f>
        <v/>
      </c>
      <c r="S526" t="str">
        <f>_xlfn.XLOOKUP(Table3[[#This Row],[Cuenta]],Table8[Nombre Cuenta ()],Table8[Nivel 2],"",0)</f>
        <v/>
      </c>
      <c r="T526" t="str">
        <f>_xlfn.XLOOKUP(Table3[[#This Row],[Cuenta]],Table8[Nombre Cuenta ()],Table8[Nivel 3],"",0)</f>
        <v/>
      </c>
      <c r="U526">
        <v>932</v>
      </c>
      <c r="V526" t="str">
        <f>_xlfn.XLOOKUP(Table3[[#This Row],[Cuenta]],Estructura_Balance[Nombre Cuenta ()],Estructura_Balance[Niveles:2],"",0)</f>
        <v/>
      </c>
      <c r="W526" t="str">
        <f>_xlfn.XLOOKUP(Table3[[#This Row],[Cuenta]],Estructura_Balance[Nombre Cuenta ()],Estructura_Balance[Niveles:3],"",0)</f>
        <v/>
      </c>
      <c r="X526" t="str">
        <f>_xlfn.XLOOKUP(Table3[[#This Row],[Cuenta]],Estructura_Balance[Nombre Cuenta ()],Estructura_Balance[Grupos],"Grupo 1",0)</f>
        <v>Grupo 1</v>
      </c>
      <c r="Y526" t="str">
        <f>+Table3[[#This Row],[BS_Nivel_1]]</f>
        <v/>
      </c>
    </row>
    <row r="527" spans="1:25">
      <c r="A527">
        <f>+'Libro Diario'!F741</f>
        <v>0</v>
      </c>
      <c r="B527" s="144">
        <f>VALUE(IF(+'Libro Diario'!G741="","01/01/2025",+'Libro Diario'!G741))</f>
        <v>45658</v>
      </c>
      <c r="C527">
        <f>IF(ISNUMBER(+IF(IFERROR(VALUE(MID('Libro Diario'!C741,1,4)),0)&lt;&gt;0,'Libro Diario'!C741,0))=FALSE,'Libro Diario'!C741,0)</f>
        <v>0</v>
      </c>
      <c r="D527" s="145">
        <f>+'Libro Diario'!B741</f>
        <v>0</v>
      </c>
      <c r="E527" s="139" t="s">
        <v>445</v>
      </c>
      <c r="F527" t="str">
        <f t="shared" si="24"/>
        <v>Sin Mov.</v>
      </c>
      <c r="G527" t="str">
        <f>IF(+'Libro Diario'!H741=0,"",+'Libro Diario'!H741)</f>
        <v/>
      </c>
      <c r="H527" t="str">
        <f>IF(+'Libro Diario'!I741=0,"",+'Libro Diario'!I741)</f>
        <v/>
      </c>
      <c r="I527" t="str">
        <f>+IF(Table3[[#This Row],[Tipo Movimiento]]="Estructura Balance y PyG","Excluir","Incluir")</f>
        <v>Incluir</v>
      </c>
      <c r="J527" s="153">
        <f>+IF(Table3[[#This Row],[Sin cuenta]]="Con Mov.",(IF(Table3[[#This Row],[Movimiento]]="Debe",Table3[[#This Row],[Importe]],IF(Table3[[#This Row],[Movimiento]]="Haber",Table3[[#This Row],[Importe]]*-1,0))),0)</f>
        <v>0</v>
      </c>
      <c r="K527" s="145">
        <f t="shared" si="25"/>
        <v>0</v>
      </c>
      <c r="L527" s="145" t="str">
        <f t="shared" si="26"/>
        <v/>
      </c>
      <c r="M527" t="str">
        <f>_xlfn.XLOOKUP(Table3[[#This Row],[Cuenta]],Estructura_Balance[Nombre Cuenta ()],Estructura_Balance[Grupo],"",0)</f>
        <v/>
      </c>
      <c r="N527" t="str">
        <f>_xlfn.XLOOKUP(Table3[[#This Row],[Cuenta]],Estructura_Balance[Nombre Cuenta ()],Estructura_Balance[Nivel 1],"",0)</f>
        <v/>
      </c>
      <c r="O527" t="str">
        <f>_xlfn.XLOOKUP(Table3[[#This Row],[Cuenta]],Estructura_Balance[Nombre Cuenta ()],Estructura_Balance[Nivel 2],"",0)</f>
        <v/>
      </c>
      <c r="P527" t="str">
        <f>_xlfn.XLOOKUP(Table3[[#This Row],[Cuenta]],Estructura_Balance[Nombre Cuenta ()],Estructura_Balance[Nivel 3],"",0)</f>
        <v/>
      </c>
      <c r="Q527" t="str">
        <f>_xlfn.XLOOKUP(Table3[[#This Row],[Cuenta]],Estructura_Balance[Nombre Cuenta ()],Estructura_Balance[Nivel 4],"",0)</f>
        <v/>
      </c>
      <c r="R527" s="154" t="str">
        <f>_xlfn.XLOOKUP(Table3[[#This Row],[Cuenta]],Table8[Nombre Cuenta ()],Table8[Nivel 1],"",0)</f>
        <v/>
      </c>
      <c r="S527" t="str">
        <f>_xlfn.XLOOKUP(Table3[[#This Row],[Cuenta]],Table8[Nombre Cuenta ()],Table8[Nivel 2],"",0)</f>
        <v/>
      </c>
      <c r="T527" t="str">
        <f>_xlfn.XLOOKUP(Table3[[#This Row],[Cuenta]],Table8[Nombre Cuenta ()],Table8[Nivel 3],"",0)</f>
        <v/>
      </c>
      <c r="U527">
        <v>933</v>
      </c>
      <c r="V527" t="str">
        <f>_xlfn.XLOOKUP(Table3[[#This Row],[Cuenta]],Estructura_Balance[Nombre Cuenta ()],Estructura_Balance[Niveles:2],"",0)</f>
        <v/>
      </c>
      <c r="W527" t="str">
        <f>_xlfn.XLOOKUP(Table3[[#This Row],[Cuenta]],Estructura_Balance[Nombre Cuenta ()],Estructura_Balance[Niveles:3],"",0)</f>
        <v/>
      </c>
      <c r="X527" t="str">
        <f>_xlfn.XLOOKUP(Table3[[#This Row],[Cuenta]],Estructura_Balance[Nombre Cuenta ()],Estructura_Balance[Grupos],"Grupo 1",0)</f>
        <v>Grupo 1</v>
      </c>
      <c r="Y527" t="str">
        <f>+Table3[[#This Row],[BS_Nivel_1]]</f>
        <v/>
      </c>
    </row>
    <row r="528" spans="1:25">
      <c r="A528">
        <f>+'Libro Diario'!F742</f>
        <v>0</v>
      </c>
      <c r="B528" s="144">
        <f>VALUE(IF(+'Libro Diario'!G742="","01/01/2025",+'Libro Diario'!G742))</f>
        <v>45658</v>
      </c>
      <c r="C528">
        <f>IF(ISNUMBER(+IF(IFERROR(VALUE(MID('Libro Diario'!C742,1,4)),0)&lt;&gt;0,'Libro Diario'!C742,0))=FALSE,'Libro Diario'!C742,0)</f>
        <v>0</v>
      </c>
      <c r="D528" s="145">
        <f>+'Libro Diario'!B742</f>
        <v>0</v>
      </c>
      <c r="E528" s="139" t="s">
        <v>445</v>
      </c>
      <c r="F528" t="str">
        <f t="shared" si="24"/>
        <v>Sin Mov.</v>
      </c>
      <c r="G528" t="str">
        <f>IF(+'Libro Diario'!H742=0,"",+'Libro Diario'!H742)</f>
        <v/>
      </c>
      <c r="H528" t="str">
        <f>IF(+'Libro Diario'!I742=0,"",+'Libro Diario'!I742)</f>
        <v/>
      </c>
      <c r="I528" t="str">
        <f>+IF(Table3[[#This Row],[Tipo Movimiento]]="Estructura Balance y PyG","Excluir","Incluir")</f>
        <v>Incluir</v>
      </c>
      <c r="J528" s="153">
        <f>+IF(Table3[[#This Row],[Sin cuenta]]="Con Mov.",(IF(Table3[[#This Row],[Movimiento]]="Debe",Table3[[#This Row],[Importe]],IF(Table3[[#This Row],[Movimiento]]="Haber",Table3[[#This Row],[Importe]]*-1,0))),0)</f>
        <v>0</v>
      </c>
      <c r="K528" s="145">
        <f t="shared" si="25"/>
        <v>0</v>
      </c>
      <c r="L528" s="145" t="str">
        <f t="shared" si="26"/>
        <v/>
      </c>
      <c r="M528" t="str">
        <f>_xlfn.XLOOKUP(Table3[[#This Row],[Cuenta]],Estructura_Balance[Nombre Cuenta ()],Estructura_Balance[Grupo],"",0)</f>
        <v/>
      </c>
      <c r="N528" t="str">
        <f>_xlfn.XLOOKUP(Table3[[#This Row],[Cuenta]],Estructura_Balance[Nombre Cuenta ()],Estructura_Balance[Nivel 1],"",0)</f>
        <v/>
      </c>
      <c r="O528" t="str">
        <f>_xlfn.XLOOKUP(Table3[[#This Row],[Cuenta]],Estructura_Balance[Nombre Cuenta ()],Estructura_Balance[Nivel 2],"",0)</f>
        <v/>
      </c>
      <c r="P528" t="str">
        <f>_xlfn.XLOOKUP(Table3[[#This Row],[Cuenta]],Estructura_Balance[Nombre Cuenta ()],Estructura_Balance[Nivel 3],"",0)</f>
        <v/>
      </c>
      <c r="Q528" t="str">
        <f>_xlfn.XLOOKUP(Table3[[#This Row],[Cuenta]],Estructura_Balance[Nombre Cuenta ()],Estructura_Balance[Nivel 4],"",0)</f>
        <v/>
      </c>
      <c r="R528" t="str">
        <f>_xlfn.XLOOKUP(Table3[[#This Row],[Cuenta]],Table8[Nombre Cuenta ()],Table8[Nivel 1],"",0)</f>
        <v/>
      </c>
      <c r="S528" t="str">
        <f>_xlfn.XLOOKUP(Table3[[#This Row],[Cuenta]],Table8[Nombre Cuenta ()],Table8[Nivel 2],"",0)</f>
        <v/>
      </c>
      <c r="T528" t="str">
        <f>_xlfn.XLOOKUP(Table3[[#This Row],[Cuenta]],Table8[Nombre Cuenta ()],Table8[Nivel 3],"",0)</f>
        <v/>
      </c>
      <c r="U528">
        <v>934</v>
      </c>
      <c r="V528" t="str">
        <f>_xlfn.XLOOKUP(Table3[[#This Row],[Cuenta]],Estructura_Balance[Nombre Cuenta ()],Estructura_Balance[Niveles:2],"",0)</f>
        <v/>
      </c>
      <c r="W528" t="str">
        <f>_xlfn.XLOOKUP(Table3[[#This Row],[Cuenta]],Estructura_Balance[Nombre Cuenta ()],Estructura_Balance[Niveles:3],"",0)</f>
        <v/>
      </c>
      <c r="X528" t="str">
        <f>_xlfn.XLOOKUP(Table3[[#This Row],[Cuenta]],Estructura_Balance[Nombre Cuenta ()],Estructura_Balance[Grupos],"Grupo 1",0)</f>
        <v>Grupo 1</v>
      </c>
      <c r="Y528" t="str">
        <f>+Table3[[#This Row],[BS_Nivel_1]]</f>
        <v/>
      </c>
    </row>
    <row r="529" spans="1:25">
      <c r="A529">
        <f>+'Libro Diario'!F743</f>
        <v>0</v>
      </c>
      <c r="B529" s="144">
        <f>VALUE(IF(+'Libro Diario'!G743="","01/01/2025",+'Libro Diario'!G743))</f>
        <v>45658</v>
      </c>
      <c r="C529">
        <f>IF(ISNUMBER(+IF(IFERROR(VALUE(MID('Libro Diario'!C743,1,4)),0)&lt;&gt;0,'Libro Diario'!C743,0))=FALSE,'Libro Diario'!C743,0)</f>
        <v>0</v>
      </c>
      <c r="D529" s="145">
        <f>+'Libro Diario'!B743</f>
        <v>0</v>
      </c>
      <c r="E529" s="139" t="s">
        <v>445</v>
      </c>
      <c r="F529" t="str">
        <f t="shared" si="24"/>
        <v>Sin Mov.</v>
      </c>
      <c r="G529" t="str">
        <f>IF(+'Libro Diario'!H743=0,"",+'Libro Diario'!H743)</f>
        <v/>
      </c>
      <c r="H529" t="str">
        <f>IF(+'Libro Diario'!I743=0,"",+'Libro Diario'!I743)</f>
        <v/>
      </c>
      <c r="I529" t="str">
        <f>+IF(Table3[[#This Row],[Tipo Movimiento]]="Estructura Balance y PyG","Excluir","Incluir")</f>
        <v>Incluir</v>
      </c>
      <c r="J529" s="153">
        <f>+IF(Table3[[#This Row],[Sin cuenta]]="Con Mov.",(IF(Table3[[#This Row],[Movimiento]]="Debe",Table3[[#This Row],[Importe]],IF(Table3[[#This Row],[Movimiento]]="Haber",Table3[[#This Row],[Importe]]*-1,0))),0)</f>
        <v>0</v>
      </c>
      <c r="K529" s="145">
        <f t="shared" si="25"/>
        <v>0</v>
      </c>
      <c r="L529" s="145" t="str">
        <f t="shared" si="26"/>
        <v/>
      </c>
      <c r="M529" t="str">
        <f>_xlfn.XLOOKUP(Table3[[#This Row],[Cuenta]],Estructura_Balance[Nombre Cuenta ()],Estructura_Balance[Grupo],"",0)</f>
        <v/>
      </c>
      <c r="N529" t="str">
        <f>_xlfn.XLOOKUP(Table3[[#This Row],[Cuenta]],Estructura_Balance[Nombre Cuenta ()],Estructura_Balance[Nivel 1],"",0)</f>
        <v/>
      </c>
      <c r="O529" t="str">
        <f>_xlfn.XLOOKUP(Table3[[#This Row],[Cuenta]],Estructura_Balance[Nombre Cuenta ()],Estructura_Balance[Nivel 2],"",0)</f>
        <v/>
      </c>
      <c r="P529" t="str">
        <f>_xlfn.XLOOKUP(Table3[[#This Row],[Cuenta]],Estructura_Balance[Nombre Cuenta ()],Estructura_Balance[Nivel 3],"",0)</f>
        <v/>
      </c>
      <c r="Q529" t="str">
        <f>_xlfn.XLOOKUP(Table3[[#This Row],[Cuenta]],Estructura_Balance[Nombre Cuenta ()],Estructura_Balance[Nivel 4],"",0)</f>
        <v/>
      </c>
      <c r="R529" t="str">
        <f>_xlfn.XLOOKUP(Table3[[#This Row],[Cuenta]],Table8[Nombre Cuenta ()],Table8[Nivel 1],"",0)</f>
        <v/>
      </c>
      <c r="S529" t="str">
        <f>_xlfn.XLOOKUP(Table3[[#This Row],[Cuenta]],Table8[Nombre Cuenta ()],Table8[Nivel 2],"",0)</f>
        <v/>
      </c>
      <c r="T529" t="str">
        <f>_xlfn.XLOOKUP(Table3[[#This Row],[Cuenta]],Table8[Nombre Cuenta ()],Table8[Nivel 3],"",0)</f>
        <v/>
      </c>
      <c r="U529">
        <v>935</v>
      </c>
      <c r="V529" t="str">
        <f>_xlfn.XLOOKUP(Table3[[#This Row],[Cuenta]],Estructura_Balance[Nombre Cuenta ()],Estructura_Balance[Niveles:2],"",0)</f>
        <v/>
      </c>
      <c r="W529" t="str">
        <f>_xlfn.XLOOKUP(Table3[[#This Row],[Cuenta]],Estructura_Balance[Nombre Cuenta ()],Estructura_Balance[Niveles:3],"",0)</f>
        <v/>
      </c>
      <c r="X529" t="str">
        <f>_xlfn.XLOOKUP(Table3[[#This Row],[Cuenta]],Estructura_Balance[Nombre Cuenta ()],Estructura_Balance[Grupos],"Grupo 1",0)</f>
        <v>Grupo 1</v>
      </c>
      <c r="Y529" t="str">
        <f>+Table3[[#This Row],[BS_Nivel_1]]</f>
        <v/>
      </c>
    </row>
    <row r="530" spans="1:25">
      <c r="A530">
        <f>+'Libro Diario'!F744</f>
        <v>0</v>
      </c>
      <c r="B530" s="144">
        <f>VALUE(IF(+'Libro Diario'!G744="","01/01/2025",+'Libro Diario'!G744))</f>
        <v>45658</v>
      </c>
      <c r="C530">
        <f>IF(ISNUMBER(+IF(IFERROR(VALUE(MID('Libro Diario'!C744,1,4)),0)&lt;&gt;0,'Libro Diario'!C744,0))=FALSE,'Libro Diario'!C744,0)</f>
        <v>0</v>
      </c>
      <c r="D530" s="145">
        <f>+'Libro Diario'!B744</f>
        <v>0</v>
      </c>
      <c r="E530" s="139" t="s">
        <v>445</v>
      </c>
      <c r="F530" t="str">
        <f t="shared" si="24"/>
        <v>Sin Mov.</v>
      </c>
      <c r="G530" t="str">
        <f>IF(+'Libro Diario'!H744=0,"",+'Libro Diario'!H744)</f>
        <v/>
      </c>
      <c r="H530" t="str">
        <f>IF(+'Libro Diario'!I744=0,"",+'Libro Diario'!I744)</f>
        <v/>
      </c>
      <c r="I530" t="str">
        <f>+IF(Table3[[#This Row],[Tipo Movimiento]]="Estructura Balance y PyG","Excluir","Incluir")</f>
        <v>Incluir</v>
      </c>
      <c r="J530" s="153">
        <f>+IF(Table3[[#This Row],[Sin cuenta]]="Con Mov.",(IF(Table3[[#This Row],[Movimiento]]="Debe",Table3[[#This Row],[Importe]],IF(Table3[[#This Row],[Movimiento]]="Haber",Table3[[#This Row],[Importe]]*-1,0))),0)</f>
        <v>0</v>
      </c>
      <c r="K530" s="145">
        <f t="shared" si="25"/>
        <v>0</v>
      </c>
      <c r="L530" s="145" t="str">
        <f t="shared" si="26"/>
        <v/>
      </c>
      <c r="M530" t="str">
        <f>_xlfn.XLOOKUP(Table3[[#This Row],[Cuenta]],Estructura_Balance[Nombre Cuenta ()],Estructura_Balance[Grupo],"",0)</f>
        <v/>
      </c>
      <c r="N530" t="str">
        <f>_xlfn.XLOOKUP(Table3[[#This Row],[Cuenta]],Estructura_Balance[Nombre Cuenta ()],Estructura_Balance[Nivel 1],"",0)</f>
        <v/>
      </c>
      <c r="O530" t="str">
        <f>_xlfn.XLOOKUP(Table3[[#This Row],[Cuenta]],Estructura_Balance[Nombre Cuenta ()],Estructura_Balance[Nivel 2],"",0)</f>
        <v/>
      </c>
      <c r="P530" t="str">
        <f>_xlfn.XLOOKUP(Table3[[#This Row],[Cuenta]],Estructura_Balance[Nombre Cuenta ()],Estructura_Balance[Nivel 3],"",0)</f>
        <v/>
      </c>
      <c r="Q530" t="str">
        <f>_xlfn.XLOOKUP(Table3[[#This Row],[Cuenta]],Estructura_Balance[Nombre Cuenta ()],Estructura_Balance[Nivel 4],"",0)</f>
        <v/>
      </c>
      <c r="R530" t="str">
        <f>_xlfn.XLOOKUP(Table3[[#This Row],[Cuenta]],Table8[Nombre Cuenta ()],Table8[Nivel 1],"",0)</f>
        <v/>
      </c>
      <c r="S530" t="str">
        <f>_xlfn.XLOOKUP(Table3[[#This Row],[Cuenta]],Table8[Nombre Cuenta ()],Table8[Nivel 2],"",0)</f>
        <v/>
      </c>
      <c r="T530" t="str">
        <f>_xlfn.XLOOKUP(Table3[[#This Row],[Cuenta]],Table8[Nombre Cuenta ()],Table8[Nivel 3],"",0)</f>
        <v/>
      </c>
      <c r="U530">
        <v>936</v>
      </c>
      <c r="V530" t="str">
        <f>_xlfn.XLOOKUP(Table3[[#This Row],[Cuenta]],Estructura_Balance[Nombre Cuenta ()],Estructura_Balance[Niveles:2],"",0)</f>
        <v/>
      </c>
      <c r="W530" t="str">
        <f>_xlfn.XLOOKUP(Table3[[#This Row],[Cuenta]],Estructura_Balance[Nombre Cuenta ()],Estructura_Balance[Niveles:3],"",0)</f>
        <v/>
      </c>
      <c r="X530" t="str">
        <f>_xlfn.XLOOKUP(Table3[[#This Row],[Cuenta]],Estructura_Balance[Nombre Cuenta ()],Estructura_Balance[Grupos],"Grupo 1",0)</f>
        <v>Grupo 1</v>
      </c>
      <c r="Y530" t="str">
        <f>+Table3[[#This Row],[BS_Nivel_1]]</f>
        <v/>
      </c>
    </row>
    <row r="531" spans="1:25">
      <c r="A531">
        <f>+'Libro Diario'!F745</f>
        <v>0</v>
      </c>
      <c r="B531" s="144">
        <f>VALUE(IF(+'Libro Diario'!G745="","01/01/2025",+'Libro Diario'!G745))</f>
        <v>45658</v>
      </c>
      <c r="C531">
        <f>IF(ISNUMBER(+IF(IFERROR(VALUE(MID('Libro Diario'!C745,1,4)),0)&lt;&gt;0,'Libro Diario'!C745,0))=FALSE,'Libro Diario'!C745,0)</f>
        <v>0</v>
      </c>
      <c r="D531" s="145">
        <f>+'Libro Diario'!B745</f>
        <v>0</v>
      </c>
      <c r="E531" s="139" t="s">
        <v>445</v>
      </c>
      <c r="F531" t="str">
        <f t="shared" si="24"/>
        <v>Sin Mov.</v>
      </c>
      <c r="G531" t="str">
        <f>IF(+'Libro Diario'!H745=0,"",+'Libro Diario'!H745)</f>
        <v/>
      </c>
      <c r="H531" t="str">
        <f>IF(+'Libro Diario'!I745=0,"",+'Libro Diario'!I745)</f>
        <v/>
      </c>
      <c r="I531" t="str">
        <f>+IF(Table3[[#This Row],[Tipo Movimiento]]="Estructura Balance y PyG","Excluir","Incluir")</f>
        <v>Incluir</v>
      </c>
      <c r="J531" s="153">
        <f>+IF(Table3[[#This Row],[Sin cuenta]]="Con Mov.",(IF(Table3[[#This Row],[Movimiento]]="Debe",Table3[[#This Row],[Importe]],IF(Table3[[#This Row],[Movimiento]]="Haber",Table3[[#This Row],[Importe]]*-1,0))),0)</f>
        <v>0</v>
      </c>
      <c r="K531" s="145">
        <f t="shared" si="25"/>
        <v>0</v>
      </c>
      <c r="L531" s="145" t="str">
        <f t="shared" si="26"/>
        <v/>
      </c>
      <c r="M531" t="str">
        <f>_xlfn.XLOOKUP(Table3[[#This Row],[Cuenta]],Estructura_Balance[Nombre Cuenta ()],Estructura_Balance[Grupo],"",0)</f>
        <v/>
      </c>
      <c r="N531" t="str">
        <f>_xlfn.XLOOKUP(Table3[[#This Row],[Cuenta]],Estructura_Balance[Nombre Cuenta ()],Estructura_Balance[Nivel 1],"",0)</f>
        <v/>
      </c>
      <c r="O531" t="str">
        <f>_xlfn.XLOOKUP(Table3[[#This Row],[Cuenta]],Estructura_Balance[Nombre Cuenta ()],Estructura_Balance[Nivel 2],"",0)</f>
        <v/>
      </c>
      <c r="P531" t="str">
        <f>_xlfn.XLOOKUP(Table3[[#This Row],[Cuenta]],Estructura_Balance[Nombre Cuenta ()],Estructura_Balance[Nivel 3],"",0)</f>
        <v/>
      </c>
      <c r="Q531" t="str">
        <f>_xlfn.XLOOKUP(Table3[[#This Row],[Cuenta]],Estructura_Balance[Nombre Cuenta ()],Estructura_Balance[Nivel 4],"",0)</f>
        <v/>
      </c>
      <c r="R531" t="str">
        <f>_xlfn.XLOOKUP(Table3[[#This Row],[Cuenta]],Table8[Nombre Cuenta ()],Table8[Nivel 1],"",0)</f>
        <v/>
      </c>
      <c r="S531" t="str">
        <f>_xlfn.XLOOKUP(Table3[[#This Row],[Cuenta]],Table8[Nombre Cuenta ()],Table8[Nivel 2],"",0)</f>
        <v/>
      </c>
      <c r="T531" t="str">
        <f>_xlfn.XLOOKUP(Table3[[#This Row],[Cuenta]],Table8[Nombre Cuenta ()],Table8[Nivel 3],"",0)</f>
        <v/>
      </c>
      <c r="U531">
        <v>937</v>
      </c>
      <c r="V531" t="str">
        <f>_xlfn.XLOOKUP(Table3[[#This Row],[Cuenta]],Estructura_Balance[Nombre Cuenta ()],Estructura_Balance[Niveles:2],"",0)</f>
        <v/>
      </c>
      <c r="W531" t="str">
        <f>_xlfn.XLOOKUP(Table3[[#This Row],[Cuenta]],Estructura_Balance[Nombre Cuenta ()],Estructura_Balance[Niveles:3],"",0)</f>
        <v/>
      </c>
      <c r="X531" t="str">
        <f>_xlfn.XLOOKUP(Table3[[#This Row],[Cuenta]],Estructura_Balance[Nombre Cuenta ()],Estructura_Balance[Grupos],"Grupo 1",0)</f>
        <v>Grupo 1</v>
      </c>
      <c r="Y531" t="str">
        <f>+Table3[[#This Row],[BS_Nivel_1]]</f>
        <v/>
      </c>
    </row>
    <row r="532" spans="1:25">
      <c r="A532">
        <f>+'Libro Diario'!F746</f>
        <v>0</v>
      </c>
      <c r="B532" s="144">
        <f>VALUE(IF(+'Libro Diario'!G746="","01/01/2025",+'Libro Diario'!G746))</f>
        <v>45658</v>
      </c>
      <c r="C532">
        <f>IF(ISNUMBER(+IF(IFERROR(VALUE(MID('Libro Diario'!C746,1,4)),0)&lt;&gt;0,'Libro Diario'!C746,0))=FALSE,'Libro Diario'!C746,0)</f>
        <v>0</v>
      </c>
      <c r="D532" s="145">
        <f>+'Libro Diario'!B746</f>
        <v>0</v>
      </c>
      <c r="E532" s="139" t="s">
        <v>445</v>
      </c>
      <c r="F532" t="str">
        <f t="shared" si="24"/>
        <v>Sin Mov.</v>
      </c>
      <c r="G532" t="str">
        <f>IF(+'Libro Diario'!H746=0,"",+'Libro Diario'!H746)</f>
        <v/>
      </c>
      <c r="H532" t="str">
        <f>IF(+'Libro Diario'!I746=0,"",+'Libro Diario'!I746)</f>
        <v/>
      </c>
      <c r="I532" t="str">
        <f>+IF(Table3[[#This Row],[Tipo Movimiento]]="Estructura Balance y PyG","Excluir","Incluir")</f>
        <v>Incluir</v>
      </c>
      <c r="J532" s="153">
        <f>+IF(Table3[[#This Row],[Sin cuenta]]="Con Mov.",(IF(Table3[[#This Row],[Movimiento]]="Debe",Table3[[#This Row],[Importe]],IF(Table3[[#This Row],[Movimiento]]="Haber",Table3[[#This Row],[Importe]]*-1,0))),0)</f>
        <v>0</v>
      </c>
      <c r="K532" s="145">
        <f t="shared" si="25"/>
        <v>0</v>
      </c>
      <c r="L532" s="145" t="str">
        <f t="shared" si="26"/>
        <v/>
      </c>
      <c r="M532" t="str">
        <f>_xlfn.XLOOKUP(Table3[[#This Row],[Cuenta]],Estructura_Balance[Nombre Cuenta ()],Estructura_Balance[Grupo],"",0)</f>
        <v/>
      </c>
      <c r="N532" t="str">
        <f>_xlfn.XLOOKUP(Table3[[#This Row],[Cuenta]],Estructura_Balance[Nombre Cuenta ()],Estructura_Balance[Nivel 1],"",0)</f>
        <v/>
      </c>
      <c r="O532" t="str">
        <f>_xlfn.XLOOKUP(Table3[[#This Row],[Cuenta]],Estructura_Balance[Nombre Cuenta ()],Estructura_Balance[Nivel 2],"",0)</f>
        <v/>
      </c>
      <c r="P532" t="str">
        <f>_xlfn.XLOOKUP(Table3[[#This Row],[Cuenta]],Estructura_Balance[Nombre Cuenta ()],Estructura_Balance[Nivel 3],"",0)</f>
        <v/>
      </c>
      <c r="Q532" t="str">
        <f>_xlfn.XLOOKUP(Table3[[#This Row],[Cuenta]],Estructura_Balance[Nombre Cuenta ()],Estructura_Balance[Nivel 4],"",0)</f>
        <v/>
      </c>
      <c r="R532" t="str">
        <f>_xlfn.XLOOKUP(Table3[[#This Row],[Cuenta]],Table8[Nombre Cuenta ()],Table8[Nivel 1],"",0)</f>
        <v/>
      </c>
      <c r="S532" t="str">
        <f>_xlfn.XLOOKUP(Table3[[#This Row],[Cuenta]],Table8[Nombre Cuenta ()],Table8[Nivel 2],"",0)</f>
        <v/>
      </c>
      <c r="T532" t="str">
        <f>_xlfn.XLOOKUP(Table3[[#This Row],[Cuenta]],Table8[Nombre Cuenta ()],Table8[Nivel 3],"",0)</f>
        <v/>
      </c>
      <c r="U532">
        <v>938</v>
      </c>
      <c r="V532" t="str">
        <f>_xlfn.XLOOKUP(Table3[[#This Row],[Cuenta]],Estructura_Balance[Nombre Cuenta ()],Estructura_Balance[Niveles:2],"",0)</f>
        <v/>
      </c>
      <c r="W532" t="str">
        <f>_xlfn.XLOOKUP(Table3[[#This Row],[Cuenta]],Estructura_Balance[Nombre Cuenta ()],Estructura_Balance[Niveles:3],"",0)</f>
        <v/>
      </c>
      <c r="X532" t="str">
        <f>_xlfn.XLOOKUP(Table3[[#This Row],[Cuenta]],Estructura_Balance[Nombre Cuenta ()],Estructura_Balance[Grupos],"Grupo 1",0)</f>
        <v>Grupo 1</v>
      </c>
      <c r="Y532" t="str">
        <f>+Table3[[#This Row],[BS_Nivel_1]]</f>
        <v/>
      </c>
    </row>
    <row r="533" spans="1:25">
      <c r="A533">
        <f>+'Libro Diario'!F747</f>
        <v>0</v>
      </c>
      <c r="B533" s="144">
        <f>VALUE(IF(+'Libro Diario'!G747="","01/01/2025",+'Libro Diario'!G747))</f>
        <v>45658</v>
      </c>
      <c r="C533">
        <f>IF(ISNUMBER(+IF(IFERROR(VALUE(MID('Libro Diario'!C747,1,4)),0)&lt;&gt;0,'Libro Diario'!C747,0))=FALSE,'Libro Diario'!C747,0)</f>
        <v>0</v>
      </c>
      <c r="D533" s="145">
        <f>+'Libro Diario'!B747</f>
        <v>0</v>
      </c>
      <c r="E533" s="139" t="s">
        <v>445</v>
      </c>
      <c r="F533" t="str">
        <f t="shared" si="24"/>
        <v>Sin Mov.</v>
      </c>
      <c r="G533" t="str">
        <f>IF(+'Libro Diario'!H747=0,"",+'Libro Diario'!H747)</f>
        <v/>
      </c>
      <c r="H533" t="str">
        <f>IF(+'Libro Diario'!I747=0,"",+'Libro Diario'!I747)</f>
        <v/>
      </c>
      <c r="I533" t="str">
        <f>+IF(Table3[[#This Row],[Tipo Movimiento]]="Estructura Balance y PyG","Excluir","Incluir")</f>
        <v>Incluir</v>
      </c>
      <c r="J533" s="153">
        <f>+IF(Table3[[#This Row],[Sin cuenta]]="Con Mov.",(IF(Table3[[#This Row],[Movimiento]]="Debe",Table3[[#This Row],[Importe]],IF(Table3[[#This Row],[Movimiento]]="Haber",Table3[[#This Row],[Importe]]*-1,0))),0)</f>
        <v>0</v>
      </c>
      <c r="K533" s="145">
        <f t="shared" si="25"/>
        <v>0</v>
      </c>
      <c r="L533" s="145" t="str">
        <f t="shared" si="26"/>
        <v/>
      </c>
      <c r="M533" t="str">
        <f>_xlfn.XLOOKUP(Table3[[#This Row],[Cuenta]],Estructura_Balance[Nombre Cuenta ()],Estructura_Balance[Grupo],"",0)</f>
        <v/>
      </c>
      <c r="N533" t="str">
        <f>_xlfn.XLOOKUP(Table3[[#This Row],[Cuenta]],Estructura_Balance[Nombre Cuenta ()],Estructura_Balance[Nivel 1],"",0)</f>
        <v/>
      </c>
      <c r="O533" t="str">
        <f>_xlfn.XLOOKUP(Table3[[#This Row],[Cuenta]],Estructura_Balance[Nombre Cuenta ()],Estructura_Balance[Nivel 2],"",0)</f>
        <v/>
      </c>
      <c r="P533" t="str">
        <f>_xlfn.XLOOKUP(Table3[[#This Row],[Cuenta]],Estructura_Balance[Nombre Cuenta ()],Estructura_Balance[Nivel 3],"",0)</f>
        <v/>
      </c>
      <c r="Q533" t="str">
        <f>_xlfn.XLOOKUP(Table3[[#This Row],[Cuenta]],Estructura_Balance[Nombre Cuenta ()],Estructura_Balance[Nivel 4],"",0)</f>
        <v/>
      </c>
      <c r="R533" t="str">
        <f>_xlfn.XLOOKUP(Table3[[#This Row],[Cuenta]],Table8[Nombre Cuenta ()],Table8[Nivel 1],"",0)</f>
        <v/>
      </c>
      <c r="S533" t="str">
        <f>_xlfn.XLOOKUP(Table3[[#This Row],[Cuenta]],Table8[Nombre Cuenta ()],Table8[Nivel 2],"",0)</f>
        <v/>
      </c>
      <c r="T533" t="str">
        <f>_xlfn.XLOOKUP(Table3[[#This Row],[Cuenta]],Table8[Nombre Cuenta ()],Table8[Nivel 3],"",0)</f>
        <v/>
      </c>
      <c r="U533">
        <v>939</v>
      </c>
      <c r="V533" t="str">
        <f>_xlfn.XLOOKUP(Table3[[#This Row],[Cuenta]],Estructura_Balance[Nombre Cuenta ()],Estructura_Balance[Niveles:2],"",0)</f>
        <v/>
      </c>
      <c r="W533" t="str">
        <f>_xlfn.XLOOKUP(Table3[[#This Row],[Cuenta]],Estructura_Balance[Nombre Cuenta ()],Estructura_Balance[Niveles:3],"",0)</f>
        <v/>
      </c>
      <c r="X533" t="str">
        <f>_xlfn.XLOOKUP(Table3[[#This Row],[Cuenta]],Estructura_Balance[Nombre Cuenta ()],Estructura_Balance[Grupos],"Grupo 1",0)</f>
        <v>Grupo 1</v>
      </c>
      <c r="Y533" t="str">
        <f>+Table3[[#This Row],[BS_Nivel_1]]</f>
        <v/>
      </c>
    </row>
    <row r="534" spans="1:25">
      <c r="A534">
        <f>+'Libro Diario'!F748</f>
        <v>0</v>
      </c>
      <c r="B534" s="144">
        <f>VALUE(IF(+'Libro Diario'!G748="","01/01/2025",+'Libro Diario'!G748))</f>
        <v>45658</v>
      </c>
      <c r="C534">
        <f>IF(ISNUMBER(+IF(IFERROR(VALUE(MID('Libro Diario'!C748,1,4)),0)&lt;&gt;0,'Libro Diario'!C748,0))=FALSE,'Libro Diario'!C748,0)</f>
        <v>0</v>
      </c>
      <c r="D534" s="145">
        <f>+'Libro Diario'!B748</f>
        <v>0</v>
      </c>
      <c r="E534" s="139" t="s">
        <v>445</v>
      </c>
      <c r="F534" t="str">
        <f t="shared" si="24"/>
        <v>Sin Mov.</v>
      </c>
      <c r="G534" t="str">
        <f>IF(+'Libro Diario'!H748=0,"",+'Libro Diario'!H748)</f>
        <v/>
      </c>
      <c r="H534" t="str">
        <f>IF(+'Libro Diario'!I748=0,"",+'Libro Diario'!I748)</f>
        <v/>
      </c>
      <c r="I534" t="str">
        <f>+IF(Table3[[#This Row],[Tipo Movimiento]]="Estructura Balance y PyG","Excluir","Incluir")</f>
        <v>Incluir</v>
      </c>
      <c r="J534" s="153">
        <f>+IF(Table3[[#This Row],[Sin cuenta]]="Con Mov.",(IF(Table3[[#This Row],[Movimiento]]="Debe",Table3[[#This Row],[Importe]],IF(Table3[[#This Row],[Movimiento]]="Haber",Table3[[#This Row],[Importe]]*-1,0))),0)</f>
        <v>0</v>
      </c>
      <c r="K534" s="145">
        <f t="shared" si="25"/>
        <v>0</v>
      </c>
      <c r="L534" s="145" t="str">
        <f t="shared" si="26"/>
        <v/>
      </c>
      <c r="M534" t="str">
        <f>_xlfn.XLOOKUP(Table3[[#This Row],[Cuenta]],Estructura_Balance[Nombre Cuenta ()],Estructura_Balance[Grupo],"",0)</f>
        <v/>
      </c>
      <c r="N534" t="str">
        <f>_xlfn.XLOOKUP(Table3[[#This Row],[Cuenta]],Estructura_Balance[Nombre Cuenta ()],Estructura_Balance[Nivel 1],"",0)</f>
        <v/>
      </c>
      <c r="O534" t="str">
        <f>_xlfn.XLOOKUP(Table3[[#This Row],[Cuenta]],Estructura_Balance[Nombre Cuenta ()],Estructura_Balance[Nivel 2],"",0)</f>
        <v/>
      </c>
      <c r="P534" t="str">
        <f>_xlfn.XLOOKUP(Table3[[#This Row],[Cuenta]],Estructura_Balance[Nombre Cuenta ()],Estructura_Balance[Nivel 3],"",0)</f>
        <v/>
      </c>
      <c r="Q534" t="str">
        <f>_xlfn.XLOOKUP(Table3[[#This Row],[Cuenta]],Estructura_Balance[Nombre Cuenta ()],Estructura_Balance[Nivel 4],"",0)</f>
        <v/>
      </c>
      <c r="R534" t="str">
        <f>_xlfn.XLOOKUP(Table3[[#This Row],[Cuenta]],Table8[Nombre Cuenta ()],Table8[Nivel 1],"",0)</f>
        <v/>
      </c>
      <c r="S534" t="str">
        <f>_xlfn.XLOOKUP(Table3[[#This Row],[Cuenta]],Table8[Nombre Cuenta ()],Table8[Nivel 2],"",0)</f>
        <v/>
      </c>
      <c r="T534" t="str">
        <f>_xlfn.XLOOKUP(Table3[[#This Row],[Cuenta]],Table8[Nombre Cuenta ()],Table8[Nivel 3],"",0)</f>
        <v/>
      </c>
      <c r="U534">
        <v>940</v>
      </c>
      <c r="V534" t="str">
        <f>_xlfn.XLOOKUP(Table3[[#This Row],[Cuenta]],Estructura_Balance[Nombre Cuenta ()],Estructura_Balance[Niveles:2],"",0)</f>
        <v/>
      </c>
      <c r="W534" t="str">
        <f>_xlfn.XLOOKUP(Table3[[#This Row],[Cuenta]],Estructura_Balance[Nombre Cuenta ()],Estructura_Balance[Niveles:3],"",0)</f>
        <v/>
      </c>
      <c r="X534" t="str">
        <f>_xlfn.XLOOKUP(Table3[[#This Row],[Cuenta]],Estructura_Balance[Nombre Cuenta ()],Estructura_Balance[Grupos],"Grupo 1",0)</f>
        <v>Grupo 1</v>
      </c>
      <c r="Y534" t="str">
        <f>+Table3[[#This Row],[BS_Nivel_1]]</f>
        <v/>
      </c>
    </row>
    <row r="535" spans="1:25">
      <c r="A535">
        <f>+'Libro Diario'!F749</f>
        <v>0</v>
      </c>
      <c r="B535" s="144">
        <f>VALUE(IF(+'Libro Diario'!G749="","01/01/2025",+'Libro Diario'!G749))</f>
        <v>45658</v>
      </c>
      <c r="C535">
        <f>IF(ISNUMBER(+IF(IFERROR(VALUE(MID('Libro Diario'!C749,1,4)),0)&lt;&gt;0,'Libro Diario'!C749,0))=FALSE,'Libro Diario'!C749,0)</f>
        <v>0</v>
      </c>
      <c r="D535" s="145">
        <f>+'Libro Diario'!B749</f>
        <v>0</v>
      </c>
      <c r="E535" s="139" t="s">
        <v>445</v>
      </c>
      <c r="F535" t="str">
        <f t="shared" si="24"/>
        <v>Sin Mov.</v>
      </c>
      <c r="G535" t="str">
        <f>IF(+'Libro Diario'!H749=0,"",+'Libro Diario'!H749)</f>
        <v/>
      </c>
      <c r="H535" t="str">
        <f>IF(+'Libro Diario'!I749=0,"",+'Libro Diario'!I749)</f>
        <v/>
      </c>
      <c r="I535" t="str">
        <f>+IF(Table3[[#This Row],[Tipo Movimiento]]="Estructura Balance y PyG","Excluir","Incluir")</f>
        <v>Incluir</v>
      </c>
      <c r="J535" s="153">
        <f>+IF(Table3[[#This Row],[Sin cuenta]]="Con Mov.",(IF(Table3[[#This Row],[Movimiento]]="Debe",Table3[[#This Row],[Importe]],IF(Table3[[#This Row],[Movimiento]]="Haber",Table3[[#This Row],[Importe]]*-1,0))),0)</f>
        <v>0</v>
      </c>
      <c r="K535" s="145">
        <f t="shared" si="25"/>
        <v>0</v>
      </c>
      <c r="L535" s="145" t="str">
        <f t="shared" si="26"/>
        <v/>
      </c>
      <c r="M535" t="str">
        <f>_xlfn.XLOOKUP(Table3[[#This Row],[Cuenta]],Estructura_Balance[Nombre Cuenta ()],Estructura_Balance[Grupo],"",0)</f>
        <v/>
      </c>
      <c r="N535" t="str">
        <f>_xlfn.XLOOKUP(Table3[[#This Row],[Cuenta]],Estructura_Balance[Nombre Cuenta ()],Estructura_Balance[Nivel 1],"",0)</f>
        <v/>
      </c>
      <c r="O535" t="str">
        <f>_xlfn.XLOOKUP(Table3[[#This Row],[Cuenta]],Estructura_Balance[Nombre Cuenta ()],Estructura_Balance[Nivel 2],"",0)</f>
        <v/>
      </c>
      <c r="P535" t="str">
        <f>_xlfn.XLOOKUP(Table3[[#This Row],[Cuenta]],Estructura_Balance[Nombre Cuenta ()],Estructura_Balance[Nivel 3],"",0)</f>
        <v/>
      </c>
      <c r="Q535" t="str">
        <f>_xlfn.XLOOKUP(Table3[[#This Row],[Cuenta]],Estructura_Balance[Nombre Cuenta ()],Estructura_Balance[Nivel 4],"",0)</f>
        <v/>
      </c>
      <c r="R535" t="str">
        <f>_xlfn.XLOOKUP(Table3[[#This Row],[Cuenta]],Table8[Nombre Cuenta ()],Table8[Nivel 1],"",0)</f>
        <v/>
      </c>
      <c r="S535" t="str">
        <f>_xlfn.XLOOKUP(Table3[[#This Row],[Cuenta]],Table8[Nombre Cuenta ()],Table8[Nivel 2],"",0)</f>
        <v/>
      </c>
      <c r="T535" t="str">
        <f>_xlfn.XLOOKUP(Table3[[#This Row],[Cuenta]],Table8[Nombre Cuenta ()],Table8[Nivel 3],"",0)</f>
        <v/>
      </c>
      <c r="U535">
        <v>941</v>
      </c>
      <c r="V535" t="str">
        <f>_xlfn.XLOOKUP(Table3[[#This Row],[Cuenta]],Estructura_Balance[Nombre Cuenta ()],Estructura_Balance[Niveles:2],"",0)</f>
        <v/>
      </c>
      <c r="W535" t="str">
        <f>_xlfn.XLOOKUP(Table3[[#This Row],[Cuenta]],Estructura_Balance[Nombre Cuenta ()],Estructura_Balance[Niveles:3],"",0)</f>
        <v/>
      </c>
      <c r="X535" t="str">
        <f>_xlfn.XLOOKUP(Table3[[#This Row],[Cuenta]],Estructura_Balance[Nombre Cuenta ()],Estructura_Balance[Grupos],"Grupo 1",0)</f>
        <v>Grupo 1</v>
      </c>
      <c r="Y535" t="str">
        <f>+Table3[[#This Row],[BS_Nivel_1]]</f>
        <v/>
      </c>
    </row>
    <row r="536" spans="1:25">
      <c r="A536">
        <f>+'Libro Diario'!F750</f>
        <v>0</v>
      </c>
      <c r="B536" s="144">
        <f>VALUE(IF(+'Libro Diario'!G750="","01/01/2025",+'Libro Diario'!G750))</f>
        <v>45658</v>
      </c>
      <c r="C536">
        <f>IF(ISNUMBER(+IF(IFERROR(VALUE(MID('Libro Diario'!C750,1,4)),0)&lt;&gt;0,'Libro Diario'!C750,0))=FALSE,'Libro Diario'!C750,0)</f>
        <v>0</v>
      </c>
      <c r="D536" s="145">
        <f>+'Libro Diario'!B750</f>
        <v>0</v>
      </c>
      <c r="E536" s="139" t="s">
        <v>445</v>
      </c>
      <c r="F536" t="str">
        <f t="shared" si="24"/>
        <v>Sin Mov.</v>
      </c>
      <c r="G536" t="str">
        <f>IF(+'Libro Diario'!H750=0,"",+'Libro Diario'!H750)</f>
        <v/>
      </c>
      <c r="H536" t="str">
        <f>IF(+'Libro Diario'!I750=0,"",+'Libro Diario'!I750)</f>
        <v/>
      </c>
      <c r="I536" t="str">
        <f>+IF(Table3[[#This Row],[Tipo Movimiento]]="Estructura Balance y PyG","Excluir","Incluir")</f>
        <v>Incluir</v>
      </c>
      <c r="J536" s="153">
        <f>+IF(Table3[[#This Row],[Sin cuenta]]="Con Mov.",(IF(Table3[[#This Row],[Movimiento]]="Debe",Table3[[#This Row],[Importe]],IF(Table3[[#This Row],[Movimiento]]="Haber",Table3[[#This Row],[Importe]]*-1,0))),0)</f>
        <v>0</v>
      </c>
      <c r="K536" s="145">
        <f t="shared" si="25"/>
        <v>0</v>
      </c>
      <c r="L536" s="145" t="str">
        <f t="shared" si="26"/>
        <v/>
      </c>
      <c r="M536" t="str">
        <f>_xlfn.XLOOKUP(Table3[[#This Row],[Cuenta]],Estructura_Balance[Nombre Cuenta ()],Estructura_Balance[Grupo],"",0)</f>
        <v/>
      </c>
      <c r="N536" t="str">
        <f>_xlfn.XLOOKUP(Table3[[#This Row],[Cuenta]],Estructura_Balance[Nombre Cuenta ()],Estructura_Balance[Nivel 1],"",0)</f>
        <v/>
      </c>
      <c r="O536" t="str">
        <f>_xlfn.XLOOKUP(Table3[[#This Row],[Cuenta]],Estructura_Balance[Nombre Cuenta ()],Estructura_Balance[Nivel 2],"",0)</f>
        <v/>
      </c>
      <c r="P536" t="str">
        <f>_xlfn.XLOOKUP(Table3[[#This Row],[Cuenta]],Estructura_Balance[Nombre Cuenta ()],Estructura_Balance[Nivel 3],"",0)</f>
        <v/>
      </c>
      <c r="Q536" t="str">
        <f>_xlfn.XLOOKUP(Table3[[#This Row],[Cuenta]],Estructura_Balance[Nombre Cuenta ()],Estructura_Balance[Nivel 4],"",0)</f>
        <v/>
      </c>
      <c r="R536" t="str">
        <f>_xlfn.XLOOKUP(Table3[[#This Row],[Cuenta]],Table8[Nombre Cuenta ()],Table8[Nivel 1],"",0)</f>
        <v/>
      </c>
      <c r="S536" t="str">
        <f>_xlfn.XLOOKUP(Table3[[#This Row],[Cuenta]],Table8[Nombre Cuenta ()],Table8[Nivel 2],"",0)</f>
        <v/>
      </c>
      <c r="T536" t="str">
        <f>_xlfn.XLOOKUP(Table3[[#This Row],[Cuenta]],Table8[Nombre Cuenta ()],Table8[Nivel 3],"",0)</f>
        <v/>
      </c>
      <c r="U536">
        <v>942</v>
      </c>
      <c r="V536" t="str">
        <f>_xlfn.XLOOKUP(Table3[[#This Row],[Cuenta]],Estructura_Balance[Nombre Cuenta ()],Estructura_Balance[Niveles:2],"",0)</f>
        <v/>
      </c>
      <c r="W536" t="str">
        <f>_xlfn.XLOOKUP(Table3[[#This Row],[Cuenta]],Estructura_Balance[Nombre Cuenta ()],Estructura_Balance[Niveles:3],"",0)</f>
        <v/>
      </c>
      <c r="X536" t="str">
        <f>_xlfn.XLOOKUP(Table3[[#This Row],[Cuenta]],Estructura_Balance[Nombre Cuenta ()],Estructura_Balance[Grupos],"Grupo 1",0)</f>
        <v>Grupo 1</v>
      </c>
      <c r="Y536" t="str">
        <f>+Table3[[#This Row],[BS_Nivel_1]]</f>
        <v/>
      </c>
    </row>
    <row r="537" spans="1:25">
      <c r="A537">
        <f>+'Libro Diario'!F751</f>
        <v>0</v>
      </c>
      <c r="B537" s="144">
        <f>VALUE(IF(+'Libro Diario'!G751="","01/01/2025",+'Libro Diario'!G751))</f>
        <v>45658</v>
      </c>
      <c r="C537">
        <f>IF(ISNUMBER(+IF(IFERROR(VALUE(MID('Libro Diario'!C751,1,4)),0)&lt;&gt;0,'Libro Diario'!C751,0))=FALSE,'Libro Diario'!C751,0)</f>
        <v>0</v>
      </c>
      <c r="D537" s="145">
        <f>+'Libro Diario'!B751</f>
        <v>0</v>
      </c>
      <c r="E537" s="139" t="s">
        <v>445</v>
      </c>
      <c r="F537" t="str">
        <f t="shared" si="24"/>
        <v>Sin Mov.</v>
      </c>
      <c r="G537" t="str">
        <f>IF(+'Libro Diario'!H751=0,"",+'Libro Diario'!H751)</f>
        <v/>
      </c>
      <c r="H537" t="str">
        <f>IF(+'Libro Diario'!I751=0,"",+'Libro Diario'!I751)</f>
        <v/>
      </c>
      <c r="I537" t="str">
        <f>+IF(Table3[[#This Row],[Tipo Movimiento]]="Estructura Balance y PyG","Excluir","Incluir")</f>
        <v>Incluir</v>
      </c>
      <c r="J537" s="153">
        <f>+IF(Table3[[#This Row],[Sin cuenta]]="Con Mov.",(IF(Table3[[#This Row],[Movimiento]]="Debe",Table3[[#This Row],[Importe]],IF(Table3[[#This Row],[Movimiento]]="Haber",Table3[[#This Row],[Importe]]*-1,0))),0)</f>
        <v>0</v>
      </c>
      <c r="K537" s="145">
        <f t="shared" si="25"/>
        <v>0</v>
      </c>
      <c r="L537" s="145" t="str">
        <f t="shared" si="26"/>
        <v/>
      </c>
      <c r="M537" t="str">
        <f>_xlfn.XLOOKUP(Table3[[#This Row],[Cuenta]],Estructura_Balance[Nombre Cuenta ()],Estructura_Balance[Grupo],"",0)</f>
        <v/>
      </c>
      <c r="N537" t="str">
        <f>_xlfn.XLOOKUP(Table3[[#This Row],[Cuenta]],Estructura_Balance[Nombre Cuenta ()],Estructura_Balance[Nivel 1],"",0)</f>
        <v/>
      </c>
      <c r="O537" t="str">
        <f>_xlfn.XLOOKUP(Table3[[#This Row],[Cuenta]],Estructura_Balance[Nombre Cuenta ()],Estructura_Balance[Nivel 2],"",0)</f>
        <v/>
      </c>
      <c r="P537" t="str">
        <f>_xlfn.XLOOKUP(Table3[[#This Row],[Cuenta]],Estructura_Balance[Nombre Cuenta ()],Estructura_Balance[Nivel 3],"",0)</f>
        <v/>
      </c>
      <c r="Q537" t="str">
        <f>_xlfn.XLOOKUP(Table3[[#This Row],[Cuenta]],Estructura_Balance[Nombre Cuenta ()],Estructura_Balance[Nivel 4],"",0)</f>
        <v/>
      </c>
      <c r="R537" t="str">
        <f>_xlfn.XLOOKUP(Table3[[#This Row],[Cuenta]],Table8[Nombre Cuenta ()],Table8[Nivel 1],"",0)</f>
        <v/>
      </c>
      <c r="S537" t="str">
        <f>_xlfn.XLOOKUP(Table3[[#This Row],[Cuenta]],Table8[Nombre Cuenta ()],Table8[Nivel 2],"",0)</f>
        <v/>
      </c>
      <c r="T537" t="str">
        <f>_xlfn.XLOOKUP(Table3[[#This Row],[Cuenta]],Table8[Nombre Cuenta ()],Table8[Nivel 3],"",0)</f>
        <v/>
      </c>
      <c r="U537">
        <v>943</v>
      </c>
      <c r="V537" t="str">
        <f>_xlfn.XLOOKUP(Table3[[#This Row],[Cuenta]],Estructura_Balance[Nombre Cuenta ()],Estructura_Balance[Niveles:2],"",0)</f>
        <v/>
      </c>
      <c r="W537" t="str">
        <f>_xlfn.XLOOKUP(Table3[[#This Row],[Cuenta]],Estructura_Balance[Nombre Cuenta ()],Estructura_Balance[Niveles:3],"",0)</f>
        <v/>
      </c>
      <c r="X537" t="str">
        <f>_xlfn.XLOOKUP(Table3[[#This Row],[Cuenta]],Estructura_Balance[Nombre Cuenta ()],Estructura_Balance[Grupos],"Grupo 1",0)</f>
        <v>Grupo 1</v>
      </c>
      <c r="Y537" t="str">
        <f>+Table3[[#This Row],[BS_Nivel_1]]</f>
        <v/>
      </c>
    </row>
    <row r="538" spans="1:25">
      <c r="A538">
        <f>+'Libro Diario'!F752</f>
        <v>0</v>
      </c>
      <c r="B538" s="144">
        <f>VALUE(IF(+'Libro Diario'!G752="","01/01/2025",+'Libro Diario'!G752))</f>
        <v>45658</v>
      </c>
      <c r="C538">
        <f>IF(ISNUMBER(+IF(IFERROR(VALUE(MID('Libro Diario'!C752,1,4)),0)&lt;&gt;0,'Libro Diario'!C752,0))=FALSE,'Libro Diario'!C752,0)</f>
        <v>0</v>
      </c>
      <c r="D538" s="145">
        <f>+'Libro Diario'!B752</f>
        <v>0</v>
      </c>
      <c r="E538" s="139" t="s">
        <v>445</v>
      </c>
      <c r="F538" t="str">
        <f t="shared" si="24"/>
        <v>Sin Mov.</v>
      </c>
      <c r="G538" t="str">
        <f>IF(+'Libro Diario'!H752=0,"",+'Libro Diario'!H752)</f>
        <v/>
      </c>
      <c r="H538" t="str">
        <f>IF(+'Libro Diario'!I752=0,"",+'Libro Diario'!I752)</f>
        <v/>
      </c>
      <c r="I538" t="str">
        <f>+IF(Table3[[#This Row],[Tipo Movimiento]]="Estructura Balance y PyG","Excluir","Incluir")</f>
        <v>Incluir</v>
      </c>
      <c r="J538" s="153">
        <f>+IF(Table3[[#This Row],[Sin cuenta]]="Con Mov.",(IF(Table3[[#This Row],[Movimiento]]="Debe",Table3[[#This Row],[Importe]],IF(Table3[[#This Row],[Movimiento]]="Haber",Table3[[#This Row],[Importe]]*-1,0))),0)</f>
        <v>0</v>
      </c>
      <c r="K538" s="145">
        <f t="shared" si="25"/>
        <v>0</v>
      </c>
      <c r="L538" s="145" t="str">
        <f t="shared" si="26"/>
        <v/>
      </c>
      <c r="M538" t="str">
        <f>_xlfn.XLOOKUP(Table3[[#This Row],[Cuenta]],Estructura_Balance[Nombre Cuenta ()],Estructura_Balance[Grupo],"",0)</f>
        <v/>
      </c>
      <c r="N538" t="str">
        <f>_xlfn.XLOOKUP(Table3[[#This Row],[Cuenta]],Estructura_Balance[Nombre Cuenta ()],Estructura_Balance[Nivel 1],"",0)</f>
        <v/>
      </c>
      <c r="O538" t="str">
        <f>_xlfn.XLOOKUP(Table3[[#This Row],[Cuenta]],Estructura_Balance[Nombre Cuenta ()],Estructura_Balance[Nivel 2],"",0)</f>
        <v/>
      </c>
      <c r="P538" t="str">
        <f>_xlfn.XLOOKUP(Table3[[#This Row],[Cuenta]],Estructura_Balance[Nombre Cuenta ()],Estructura_Balance[Nivel 3],"",0)</f>
        <v/>
      </c>
      <c r="Q538" t="str">
        <f>_xlfn.XLOOKUP(Table3[[#This Row],[Cuenta]],Estructura_Balance[Nombre Cuenta ()],Estructura_Balance[Nivel 4],"",0)</f>
        <v/>
      </c>
      <c r="R538" t="str">
        <f>_xlfn.XLOOKUP(Table3[[#This Row],[Cuenta]],Table8[Nombre Cuenta ()],Table8[Nivel 1],"",0)</f>
        <v/>
      </c>
      <c r="S538" t="str">
        <f>_xlfn.XLOOKUP(Table3[[#This Row],[Cuenta]],Table8[Nombre Cuenta ()],Table8[Nivel 2],"",0)</f>
        <v/>
      </c>
      <c r="T538" t="str">
        <f>_xlfn.XLOOKUP(Table3[[#This Row],[Cuenta]],Table8[Nombre Cuenta ()],Table8[Nivel 3],"",0)</f>
        <v/>
      </c>
      <c r="U538">
        <v>944</v>
      </c>
      <c r="V538" t="str">
        <f>_xlfn.XLOOKUP(Table3[[#This Row],[Cuenta]],Estructura_Balance[Nombre Cuenta ()],Estructura_Balance[Niveles:2],"",0)</f>
        <v/>
      </c>
      <c r="W538" t="str">
        <f>_xlfn.XLOOKUP(Table3[[#This Row],[Cuenta]],Estructura_Balance[Nombre Cuenta ()],Estructura_Balance[Niveles:3],"",0)</f>
        <v/>
      </c>
      <c r="X538" t="str">
        <f>_xlfn.XLOOKUP(Table3[[#This Row],[Cuenta]],Estructura_Balance[Nombre Cuenta ()],Estructura_Balance[Grupos],"Grupo 1",0)</f>
        <v>Grupo 1</v>
      </c>
      <c r="Y538" t="str">
        <f>+Table3[[#This Row],[BS_Nivel_1]]</f>
        <v/>
      </c>
    </row>
    <row r="539" spans="1:25">
      <c r="A539">
        <f>+'Libro Diario'!F753</f>
        <v>0</v>
      </c>
      <c r="B539" s="144">
        <f>VALUE(IF(+'Libro Diario'!G753="","01/01/2025",+'Libro Diario'!G753))</f>
        <v>45658</v>
      </c>
      <c r="C539">
        <f>IF(ISNUMBER(+IF(IFERROR(VALUE(MID('Libro Diario'!C753,1,4)),0)&lt;&gt;0,'Libro Diario'!C753,0))=FALSE,'Libro Diario'!C753,0)</f>
        <v>0</v>
      </c>
      <c r="D539" s="145">
        <f>+'Libro Diario'!B753</f>
        <v>0</v>
      </c>
      <c r="E539" s="139" t="s">
        <v>445</v>
      </c>
      <c r="F539" t="str">
        <f t="shared" si="24"/>
        <v>Sin Mov.</v>
      </c>
      <c r="G539" t="str">
        <f>IF(+'Libro Diario'!H753=0,"",+'Libro Diario'!H753)</f>
        <v/>
      </c>
      <c r="H539" t="str">
        <f>IF(+'Libro Diario'!I753=0,"",+'Libro Diario'!I753)</f>
        <v/>
      </c>
      <c r="I539" t="str">
        <f>+IF(Table3[[#This Row],[Tipo Movimiento]]="Estructura Balance y PyG","Excluir","Incluir")</f>
        <v>Incluir</v>
      </c>
      <c r="J539" s="153">
        <f>+IF(Table3[[#This Row],[Sin cuenta]]="Con Mov.",(IF(Table3[[#This Row],[Movimiento]]="Debe",Table3[[#This Row],[Importe]],IF(Table3[[#This Row],[Movimiento]]="Haber",Table3[[#This Row],[Importe]]*-1,0))),0)</f>
        <v>0</v>
      </c>
      <c r="K539" s="145">
        <f t="shared" si="25"/>
        <v>0</v>
      </c>
      <c r="L539" s="145" t="str">
        <f t="shared" si="26"/>
        <v/>
      </c>
      <c r="M539" t="str">
        <f>_xlfn.XLOOKUP(Table3[[#This Row],[Cuenta]],Estructura_Balance[Nombre Cuenta ()],Estructura_Balance[Grupo],"",0)</f>
        <v/>
      </c>
      <c r="N539" t="str">
        <f>_xlfn.XLOOKUP(Table3[[#This Row],[Cuenta]],Estructura_Balance[Nombre Cuenta ()],Estructura_Balance[Nivel 1],"",0)</f>
        <v/>
      </c>
      <c r="O539" t="str">
        <f>_xlfn.XLOOKUP(Table3[[#This Row],[Cuenta]],Estructura_Balance[Nombre Cuenta ()],Estructura_Balance[Nivel 2],"",0)</f>
        <v/>
      </c>
      <c r="P539" t="str">
        <f>_xlfn.XLOOKUP(Table3[[#This Row],[Cuenta]],Estructura_Balance[Nombre Cuenta ()],Estructura_Balance[Nivel 3],"",0)</f>
        <v/>
      </c>
      <c r="Q539" t="str">
        <f>_xlfn.XLOOKUP(Table3[[#This Row],[Cuenta]],Estructura_Balance[Nombre Cuenta ()],Estructura_Balance[Nivel 4],"",0)</f>
        <v/>
      </c>
      <c r="R539" s="154" t="str">
        <f>_xlfn.XLOOKUP(Table3[[#This Row],[Cuenta]],Table8[Nombre Cuenta ()],Table8[Nivel 1],"",0)</f>
        <v/>
      </c>
      <c r="S539" t="str">
        <f>_xlfn.XLOOKUP(Table3[[#This Row],[Cuenta]],Table8[Nombre Cuenta ()],Table8[Nivel 2],"",0)</f>
        <v/>
      </c>
      <c r="T539" t="str">
        <f>_xlfn.XLOOKUP(Table3[[#This Row],[Cuenta]],Table8[Nombre Cuenta ()],Table8[Nivel 3],"",0)</f>
        <v/>
      </c>
      <c r="U539">
        <v>945</v>
      </c>
      <c r="V539" t="str">
        <f>_xlfn.XLOOKUP(Table3[[#This Row],[Cuenta]],Estructura_Balance[Nombre Cuenta ()],Estructura_Balance[Niveles:2],"",0)</f>
        <v/>
      </c>
      <c r="W539" t="str">
        <f>_xlfn.XLOOKUP(Table3[[#This Row],[Cuenta]],Estructura_Balance[Nombre Cuenta ()],Estructura_Balance[Niveles:3],"",0)</f>
        <v/>
      </c>
      <c r="X539" t="str">
        <f>_xlfn.XLOOKUP(Table3[[#This Row],[Cuenta]],Estructura_Balance[Nombre Cuenta ()],Estructura_Balance[Grupos],"Grupo 1",0)</f>
        <v>Grupo 1</v>
      </c>
      <c r="Y539" t="str">
        <f>+Table3[[#This Row],[BS_Nivel_1]]</f>
        <v/>
      </c>
    </row>
    <row r="540" spans="1:25">
      <c r="A540">
        <f>+'Libro Diario'!F754</f>
        <v>0</v>
      </c>
      <c r="B540" s="144">
        <f>VALUE(IF(+'Libro Diario'!G754="","01/01/2025",+'Libro Diario'!G754))</f>
        <v>45658</v>
      </c>
      <c r="C540">
        <f>IF(ISNUMBER(+IF(IFERROR(VALUE(MID('Libro Diario'!C754,1,4)),0)&lt;&gt;0,'Libro Diario'!C754,0))=FALSE,'Libro Diario'!C754,0)</f>
        <v>0</v>
      </c>
      <c r="D540" s="145">
        <f>+'Libro Diario'!B754</f>
        <v>0</v>
      </c>
      <c r="E540" s="139" t="s">
        <v>445</v>
      </c>
      <c r="F540" t="str">
        <f t="shared" si="24"/>
        <v>Sin Mov.</v>
      </c>
      <c r="G540" t="str">
        <f>IF(+'Libro Diario'!H754=0,"",+'Libro Diario'!H754)</f>
        <v/>
      </c>
      <c r="H540" t="str">
        <f>IF(+'Libro Diario'!I754=0,"",+'Libro Diario'!I754)</f>
        <v/>
      </c>
      <c r="I540" t="str">
        <f>+IF(Table3[[#This Row],[Tipo Movimiento]]="Estructura Balance y PyG","Excluir","Incluir")</f>
        <v>Incluir</v>
      </c>
      <c r="J540" s="153">
        <f>+IF(Table3[[#This Row],[Sin cuenta]]="Con Mov.",(IF(Table3[[#This Row],[Movimiento]]="Debe",Table3[[#This Row],[Importe]],IF(Table3[[#This Row],[Movimiento]]="Haber",Table3[[#This Row],[Importe]]*-1,0))),0)</f>
        <v>0</v>
      </c>
      <c r="K540" s="145">
        <f t="shared" si="25"/>
        <v>0</v>
      </c>
      <c r="L540" s="145" t="str">
        <f t="shared" si="26"/>
        <v/>
      </c>
      <c r="M540" t="str">
        <f>_xlfn.XLOOKUP(Table3[[#This Row],[Cuenta]],Estructura_Balance[Nombre Cuenta ()],Estructura_Balance[Grupo],"",0)</f>
        <v/>
      </c>
      <c r="N540" t="str">
        <f>_xlfn.XLOOKUP(Table3[[#This Row],[Cuenta]],Estructura_Balance[Nombre Cuenta ()],Estructura_Balance[Nivel 1],"",0)</f>
        <v/>
      </c>
      <c r="O540" t="str">
        <f>_xlfn.XLOOKUP(Table3[[#This Row],[Cuenta]],Estructura_Balance[Nombre Cuenta ()],Estructura_Balance[Nivel 2],"",0)</f>
        <v/>
      </c>
      <c r="P540" t="str">
        <f>_xlfn.XLOOKUP(Table3[[#This Row],[Cuenta]],Estructura_Balance[Nombre Cuenta ()],Estructura_Balance[Nivel 3],"",0)</f>
        <v/>
      </c>
      <c r="Q540" t="str">
        <f>_xlfn.XLOOKUP(Table3[[#This Row],[Cuenta]],Estructura_Balance[Nombre Cuenta ()],Estructura_Balance[Nivel 4],"",0)</f>
        <v/>
      </c>
      <c r="R540" t="str">
        <f>_xlfn.XLOOKUP(Table3[[#This Row],[Cuenta]],Table8[Nombre Cuenta ()],Table8[Nivel 1],"",0)</f>
        <v/>
      </c>
      <c r="S540" t="str">
        <f>_xlfn.XLOOKUP(Table3[[#This Row],[Cuenta]],Table8[Nombre Cuenta ()],Table8[Nivel 2],"",0)</f>
        <v/>
      </c>
      <c r="T540" t="str">
        <f>_xlfn.XLOOKUP(Table3[[#This Row],[Cuenta]],Table8[Nombre Cuenta ()],Table8[Nivel 3],"",0)</f>
        <v/>
      </c>
      <c r="U540">
        <v>946</v>
      </c>
      <c r="V540" t="str">
        <f>_xlfn.XLOOKUP(Table3[[#This Row],[Cuenta]],Estructura_Balance[Nombre Cuenta ()],Estructura_Balance[Niveles:2],"",0)</f>
        <v/>
      </c>
      <c r="W540" t="str">
        <f>_xlfn.XLOOKUP(Table3[[#This Row],[Cuenta]],Estructura_Balance[Nombre Cuenta ()],Estructura_Balance[Niveles:3],"",0)</f>
        <v/>
      </c>
      <c r="X540" t="str">
        <f>_xlfn.XLOOKUP(Table3[[#This Row],[Cuenta]],Estructura_Balance[Nombre Cuenta ()],Estructura_Balance[Grupos],"Grupo 1",0)</f>
        <v>Grupo 1</v>
      </c>
      <c r="Y540" t="str">
        <f>+Table3[[#This Row],[BS_Nivel_1]]</f>
        <v/>
      </c>
    </row>
    <row r="541" spans="1:25">
      <c r="A541">
        <f>+'Libro Diario'!F755</f>
        <v>0</v>
      </c>
      <c r="B541" s="144">
        <f>VALUE(IF(+'Libro Diario'!G755="","01/01/2025",+'Libro Diario'!G755))</f>
        <v>45658</v>
      </c>
      <c r="C541">
        <f>IF(ISNUMBER(+IF(IFERROR(VALUE(MID('Libro Diario'!C755,1,4)),0)&lt;&gt;0,'Libro Diario'!C755,0))=FALSE,'Libro Diario'!C755,0)</f>
        <v>0</v>
      </c>
      <c r="D541" s="145">
        <f>+'Libro Diario'!B755</f>
        <v>0</v>
      </c>
      <c r="E541" s="139" t="s">
        <v>445</v>
      </c>
      <c r="F541" t="str">
        <f t="shared" si="24"/>
        <v>Sin Mov.</v>
      </c>
      <c r="G541" t="str">
        <f>IF(+'Libro Diario'!H755=0,"",+'Libro Diario'!H755)</f>
        <v/>
      </c>
      <c r="H541" t="str">
        <f>IF(+'Libro Diario'!I755=0,"",+'Libro Diario'!I755)</f>
        <v/>
      </c>
      <c r="I541" t="str">
        <f>+IF(Table3[[#This Row],[Tipo Movimiento]]="Estructura Balance y PyG","Excluir","Incluir")</f>
        <v>Incluir</v>
      </c>
      <c r="J541" s="153">
        <f>+IF(Table3[[#This Row],[Sin cuenta]]="Con Mov.",(IF(Table3[[#This Row],[Movimiento]]="Debe",Table3[[#This Row],[Importe]],IF(Table3[[#This Row],[Movimiento]]="Haber",Table3[[#This Row],[Importe]]*-1,0))),0)</f>
        <v>0</v>
      </c>
      <c r="K541" s="145">
        <f t="shared" si="25"/>
        <v>0</v>
      </c>
      <c r="L541" s="145" t="str">
        <f t="shared" si="26"/>
        <v/>
      </c>
      <c r="M541" t="str">
        <f>_xlfn.XLOOKUP(Table3[[#This Row],[Cuenta]],Estructura_Balance[Nombre Cuenta ()],Estructura_Balance[Grupo],"",0)</f>
        <v/>
      </c>
      <c r="N541" t="str">
        <f>_xlfn.XLOOKUP(Table3[[#This Row],[Cuenta]],Estructura_Balance[Nombre Cuenta ()],Estructura_Balance[Nivel 1],"",0)</f>
        <v/>
      </c>
      <c r="O541" t="str">
        <f>_xlfn.XLOOKUP(Table3[[#This Row],[Cuenta]],Estructura_Balance[Nombre Cuenta ()],Estructura_Balance[Nivel 2],"",0)</f>
        <v/>
      </c>
      <c r="P541" t="str">
        <f>_xlfn.XLOOKUP(Table3[[#This Row],[Cuenta]],Estructura_Balance[Nombre Cuenta ()],Estructura_Balance[Nivel 3],"",0)</f>
        <v/>
      </c>
      <c r="Q541" t="str">
        <f>_xlfn.XLOOKUP(Table3[[#This Row],[Cuenta]],Estructura_Balance[Nombre Cuenta ()],Estructura_Balance[Nivel 4],"",0)</f>
        <v/>
      </c>
      <c r="R541" s="154" t="str">
        <f>_xlfn.XLOOKUP(Table3[[#This Row],[Cuenta]],Table8[Nombre Cuenta ()],Table8[Nivel 1],"",0)</f>
        <v/>
      </c>
      <c r="S541" t="str">
        <f>_xlfn.XLOOKUP(Table3[[#This Row],[Cuenta]],Table8[Nombre Cuenta ()],Table8[Nivel 2],"",0)</f>
        <v/>
      </c>
      <c r="T541" t="str">
        <f>_xlfn.XLOOKUP(Table3[[#This Row],[Cuenta]],Table8[Nombre Cuenta ()],Table8[Nivel 3],"",0)</f>
        <v/>
      </c>
      <c r="U541">
        <v>947</v>
      </c>
      <c r="V541" t="str">
        <f>_xlfn.XLOOKUP(Table3[[#This Row],[Cuenta]],Estructura_Balance[Nombre Cuenta ()],Estructura_Balance[Niveles:2],"",0)</f>
        <v/>
      </c>
      <c r="W541" t="str">
        <f>_xlfn.XLOOKUP(Table3[[#This Row],[Cuenta]],Estructura_Balance[Nombre Cuenta ()],Estructura_Balance[Niveles:3],"",0)</f>
        <v/>
      </c>
      <c r="X541" t="str">
        <f>_xlfn.XLOOKUP(Table3[[#This Row],[Cuenta]],Estructura_Balance[Nombre Cuenta ()],Estructura_Balance[Grupos],"Grupo 1",0)</f>
        <v>Grupo 1</v>
      </c>
      <c r="Y541" t="str">
        <f>+Table3[[#This Row],[BS_Nivel_1]]</f>
        <v/>
      </c>
    </row>
    <row r="542" spans="1:25">
      <c r="A542">
        <f>+'Libro Diario'!F756</f>
        <v>0</v>
      </c>
      <c r="B542" s="144">
        <f>VALUE(IF(+'Libro Diario'!G756="","01/01/2025",+'Libro Diario'!G756))</f>
        <v>45658</v>
      </c>
      <c r="C542">
        <f>IF(ISNUMBER(+IF(IFERROR(VALUE(MID('Libro Diario'!C756,1,4)),0)&lt;&gt;0,'Libro Diario'!C756,0))=FALSE,'Libro Diario'!C756,0)</f>
        <v>0</v>
      </c>
      <c r="D542" s="145">
        <f>+'Libro Diario'!B756</f>
        <v>0</v>
      </c>
      <c r="E542" s="139" t="s">
        <v>445</v>
      </c>
      <c r="F542" t="str">
        <f t="shared" si="24"/>
        <v>Sin Mov.</v>
      </c>
      <c r="G542" t="str">
        <f>IF(+'Libro Diario'!H756=0,"",+'Libro Diario'!H756)</f>
        <v/>
      </c>
      <c r="H542" t="str">
        <f>IF(+'Libro Diario'!I756=0,"",+'Libro Diario'!I756)</f>
        <v/>
      </c>
      <c r="I542" t="str">
        <f>+IF(Table3[[#This Row],[Tipo Movimiento]]="Estructura Balance y PyG","Excluir","Incluir")</f>
        <v>Incluir</v>
      </c>
      <c r="J542" s="153">
        <f>+IF(Table3[[#This Row],[Sin cuenta]]="Con Mov.",(IF(Table3[[#This Row],[Movimiento]]="Debe",Table3[[#This Row],[Importe]],IF(Table3[[#This Row],[Movimiento]]="Haber",Table3[[#This Row],[Importe]]*-1,0))),0)</f>
        <v>0</v>
      </c>
      <c r="K542" s="145">
        <f t="shared" si="25"/>
        <v>0</v>
      </c>
      <c r="L542" s="145" t="str">
        <f t="shared" si="26"/>
        <v/>
      </c>
      <c r="M542" t="str">
        <f>_xlfn.XLOOKUP(Table3[[#This Row],[Cuenta]],Estructura_Balance[Nombre Cuenta ()],Estructura_Balance[Grupo],"",0)</f>
        <v/>
      </c>
      <c r="N542" t="str">
        <f>_xlfn.XLOOKUP(Table3[[#This Row],[Cuenta]],Estructura_Balance[Nombre Cuenta ()],Estructura_Balance[Nivel 1],"",0)</f>
        <v/>
      </c>
      <c r="O542" t="str">
        <f>_xlfn.XLOOKUP(Table3[[#This Row],[Cuenta]],Estructura_Balance[Nombre Cuenta ()],Estructura_Balance[Nivel 2],"",0)</f>
        <v/>
      </c>
      <c r="P542" t="str">
        <f>_xlfn.XLOOKUP(Table3[[#This Row],[Cuenta]],Estructura_Balance[Nombre Cuenta ()],Estructura_Balance[Nivel 3],"",0)</f>
        <v/>
      </c>
      <c r="Q542" t="str">
        <f>_xlfn.XLOOKUP(Table3[[#This Row],[Cuenta]],Estructura_Balance[Nombre Cuenta ()],Estructura_Balance[Nivel 4],"",0)</f>
        <v/>
      </c>
      <c r="R542" s="154" t="str">
        <f>_xlfn.XLOOKUP(Table3[[#This Row],[Cuenta]],Table8[Nombre Cuenta ()],Table8[Nivel 1],"",0)</f>
        <v/>
      </c>
      <c r="S542" t="str">
        <f>_xlfn.XLOOKUP(Table3[[#This Row],[Cuenta]],Table8[Nombre Cuenta ()],Table8[Nivel 2],"",0)</f>
        <v/>
      </c>
      <c r="T542" t="str">
        <f>_xlfn.XLOOKUP(Table3[[#This Row],[Cuenta]],Table8[Nombre Cuenta ()],Table8[Nivel 3],"",0)</f>
        <v/>
      </c>
      <c r="U542">
        <v>948</v>
      </c>
      <c r="V542" t="str">
        <f>_xlfn.XLOOKUP(Table3[[#This Row],[Cuenta]],Estructura_Balance[Nombre Cuenta ()],Estructura_Balance[Niveles:2],"",0)</f>
        <v/>
      </c>
      <c r="W542" t="str">
        <f>_xlfn.XLOOKUP(Table3[[#This Row],[Cuenta]],Estructura_Balance[Nombre Cuenta ()],Estructura_Balance[Niveles:3],"",0)</f>
        <v/>
      </c>
      <c r="X542" t="str">
        <f>_xlfn.XLOOKUP(Table3[[#This Row],[Cuenta]],Estructura_Balance[Nombre Cuenta ()],Estructura_Balance[Grupos],"Grupo 1",0)</f>
        <v>Grupo 1</v>
      </c>
      <c r="Y542" t="str">
        <f>+Table3[[#This Row],[BS_Nivel_1]]</f>
        <v/>
      </c>
    </row>
    <row r="543" spans="1:25">
      <c r="A543">
        <f>+'Libro Diario'!F757</f>
        <v>0</v>
      </c>
      <c r="B543" s="144">
        <f>VALUE(IF(+'Libro Diario'!G757="","01/01/2025",+'Libro Diario'!G757))</f>
        <v>45658</v>
      </c>
      <c r="C543">
        <f>IF(ISNUMBER(+IF(IFERROR(VALUE(MID('Libro Diario'!C757,1,4)),0)&lt;&gt;0,'Libro Diario'!C757,0))=FALSE,'Libro Diario'!C757,0)</f>
        <v>0</v>
      </c>
      <c r="D543" s="145">
        <f>+'Libro Diario'!B757</f>
        <v>0</v>
      </c>
      <c r="E543" s="139" t="s">
        <v>445</v>
      </c>
      <c r="F543" t="str">
        <f t="shared" si="24"/>
        <v>Sin Mov.</v>
      </c>
      <c r="G543" t="str">
        <f>IF(+'Libro Diario'!H757=0,"",+'Libro Diario'!H757)</f>
        <v/>
      </c>
      <c r="H543" t="str">
        <f>IF(+'Libro Diario'!I757=0,"",+'Libro Diario'!I757)</f>
        <v/>
      </c>
      <c r="I543" t="str">
        <f>+IF(Table3[[#This Row],[Tipo Movimiento]]="Estructura Balance y PyG","Excluir","Incluir")</f>
        <v>Incluir</v>
      </c>
      <c r="J543" s="153">
        <f>+IF(Table3[[#This Row],[Sin cuenta]]="Con Mov.",(IF(Table3[[#This Row],[Movimiento]]="Debe",Table3[[#This Row],[Importe]],IF(Table3[[#This Row],[Movimiento]]="Haber",Table3[[#This Row],[Importe]]*-1,0))),0)</f>
        <v>0</v>
      </c>
      <c r="K543" s="145">
        <f t="shared" si="25"/>
        <v>0</v>
      </c>
      <c r="L543" s="145" t="str">
        <f t="shared" si="26"/>
        <v/>
      </c>
      <c r="M543" t="str">
        <f>_xlfn.XLOOKUP(Table3[[#This Row],[Cuenta]],Estructura_Balance[Nombre Cuenta ()],Estructura_Balance[Grupo],"",0)</f>
        <v/>
      </c>
      <c r="N543" t="str">
        <f>_xlfn.XLOOKUP(Table3[[#This Row],[Cuenta]],Estructura_Balance[Nombre Cuenta ()],Estructura_Balance[Nivel 1],"",0)</f>
        <v/>
      </c>
      <c r="O543" t="str">
        <f>_xlfn.XLOOKUP(Table3[[#This Row],[Cuenta]],Estructura_Balance[Nombre Cuenta ()],Estructura_Balance[Nivel 2],"",0)</f>
        <v/>
      </c>
      <c r="P543" t="str">
        <f>_xlfn.XLOOKUP(Table3[[#This Row],[Cuenta]],Estructura_Balance[Nombre Cuenta ()],Estructura_Balance[Nivel 3],"",0)</f>
        <v/>
      </c>
      <c r="Q543" t="str">
        <f>_xlfn.XLOOKUP(Table3[[#This Row],[Cuenta]],Estructura_Balance[Nombre Cuenta ()],Estructura_Balance[Nivel 4],"",0)</f>
        <v/>
      </c>
      <c r="R543" s="154" t="str">
        <f>_xlfn.XLOOKUP(Table3[[#This Row],[Cuenta]],Table8[Nombre Cuenta ()],Table8[Nivel 1],"",0)</f>
        <v/>
      </c>
      <c r="S543" t="str">
        <f>_xlfn.XLOOKUP(Table3[[#This Row],[Cuenta]],Table8[Nombre Cuenta ()],Table8[Nivel 2],"",0)</f>
        <v/>
      </c>
      <c r="T543" t="str">
        <f>_xlfn.XLOOKUP(Table3[[#This Row],[Cuenta]],Table8[Nombre Cuenta ()],Table8[Nivel 3],"",0)</f>
        <v/>
      </c>
      <c r="U543">
        <v>949</v>
      </c>
      <c r="V543" t="str">
        <f>_xlfn.XLOOKUP(Table3[[#This Row],[Cuenta]],Estructura_Balance[Nombre Cuenta ()],Estructura_Balance[Niveles:2],"",0)</f>
        <v/>
      </c>
      <c r="W543" t="str">
        <f>_xlfn.XLOOKUP(Table3[[#This Row],[Cuenta]],Estructura_Balance[Nombre Cuenta ()],Estructura_Balance[Niveles:3],"",0)</f>
        <v/>
      </c>
      <c r="X543" t="str">
        <f>_xlfn.XLOOKUP(Table3[[#This Row],[Cuenta]],Estructura_Balance[Nombre Cuenta ()],Estructura_Balance[Grupos],"Grupo 1",0)</f>
        <v>Grupo 1</v>
      </c>
      <c r="Y543" t="str">
        <f>+Table3[[#This Row],[BS_Nivel_1]]</f>
        <v/>
      </c>
    </row>
    <row r="544" spans="1:25">
      <c r="A544">
        <f>+'Libro Diario'!F758</f>
        <v>0</v>
      </c>
      <c r="B544" s="144">
        <f>VALUE(IF(+'Libro Diario'!G758="","01/01/2025",+'Libro Diario'!G758))</f>
        <v>45658</v>
      </c>
      <c r="C544">
        <f>IF(ISNUMBER(+IF(IFERROR(VALUE(MID('Libro Diario'!C758,1,4)),0)&lt;&gt;0,'Libro Diario'!C758,0))=FALSE,'Libro Diario'!C758,0)</f>
        <v>0</v>
      </c>
      <c r="D544" s="145">
        <f>+'Libro Diario'!B758</f>
        <v>0</v>
      </c>
      <c r="E544" s="139" t="s">
        <v>445</v>
      </c>
      <c r="F544" t="str">
        <f t="shared" si="24"/>
        <v>Sin Mov.</v>
      </c>
      <c r="G544" t="str">
        <f>IF(+'Libro Diario'!H758=0,"",+'Libro Diario'!H758)</f>
        <v/>
      </c>
      <c r="H544" t="str">
        <f>IF(+'Libro Diario'!I758=0,"",+'Libro Diario'!I758)</f>
        <v/>
      </c>
      <c r="I544" t="str">
        <f>+IF(Table3[[#This Row],[Tipo Movimiento]]="Estructura Balance y PyG","Excluir","Incluir")</f>
        <v>Incluir</v>
      </c>
      <c r="J544" s="153">
        <f>+IF(Table3[[#This Row],[Sin cuenta]]="Con Mov.",(IF(Table3[[#This Row],[Movimiento]]="Debe",Table3[[#This Row],[Importe]],IF(Table3[[#This Row],[Movimiento]]="Haber",Table3[[#This Row],[Importe]]*-1,0))),0)</f>
        <v>0</v>
      </c>
      <c r="K544" s="145">
        <f t="shared" si="25"/>
        <v>0</v>
      </c>
      <c r="L544" s="145" t="str">
        <f t="shared" si="26"/>
        <v/>
      </c>
      <c r="M544" t="str">
        <f>_xlfn.XLOOKUP(Table3[[#This Row],[Cuenta]],Estructura_Balance[Nombre Cuenta ()],Estructura_Balance[Grupo],"",0)</f>
        <v/>
      </c>
      <c r="N544" t="str">
        <f>_xlfn.XLOOKUP(Table3[[#This Row],[Cuenta]],Estructura_Balance[Nombre Cuenta ()],Estructura_Balance[Nivel 1],"",0)</f>
        <v/>
      </c>
      <c r="O544" t="str">
        <f>_xlfn.XLOOKUP(Table3[[#This Row],[Cuenta]],Estructura_Balance[Nombre Cuenta ()],Estructura_Balance[Nivel 2],"",0)</f>
        <v/>
      </c>
      <c r="P544" t="str">
        <f>_xlfn.XLOOKUP(Table3[[#This Row],[Cuenta]],Estructura_Balance[Nombre Cuenta ()],Estructura_Balance[Nivel 3],"",0)</f>
        <v/>
      </c>
      <c r="Q544" t="str">
        <f>_xlfn.XLOOKUP(Table3[[#This Row],[Cuenta]],Estructura_Balance[Nombre Cuenta ()],Estructura_Balance[Nivel 4],"",0)</f>
        <v/>
      </c>
      <c r="R544" t="str">
        <f>_xlfn.XLOOKUP(Table3[[#This Row],[Cuenta]],Table8[Nombre Cuenta ()],Table8[Nivel 1],"",0)</f>
        <v/>
      </c>
      <c r="S544" t="str">
        <f>_xlfn.XLOOKUP(Table3[[#This Row],[Cuenta]],Table8[Nombre Cuenta ()],Table8[Nivel 2],"",0)</f>
        <v/>
      </c>
      <c r="T544" t="str">
        <f>_xlfn.XLOOKUP(Table3[[#This Row],[Cuenta]],Table8[Nombre Cuenta ()],Table8[Nivel 3],"",0)</f>
        <v/>
      </c>
      <c r="U544">
        <v>950</v>
      </c>
      <c r="V544" t="str">
        <f>_xlfn.XLOOKUP(Table3[[#This Row],[Cuenta]],Estructura_Balance[Nombre Cuenta ()],Estructura_Balance[Niveles:2],"",0)</f>
        <v/>
      </c>
      <c r="W544" t="str">
        <f>_xlfn.XLOOKUP(Table3[[#This Row],[Cuenta]],Estructura_Balance[Nombre Cuenta ()],Estructura_Balance[Niveles:3],"",0)</f>
        <v/>
      </c>
      <c r="X544" t="str">
        <f>_xlfn.XLOOKUP(Table3[[#This Row],[Cuenta]],Estructura_Balance[Nombre Cuenta ()],Estructura_Balance[Grupos],"Grupo 1",0)</f>
        <v>Grupo 1</v>
      </c>
      <c r="Y544" t="str">
        <f>+Table3[[#This Row],[BS_Nivel_1]]</f>
        <v/>
      </c>
    </row>
    <row r="545" spans="1:25">
      <c r="A545">
        <f>+'Libro Diario'!F759</f>
        <v>0</v>
      </c>
      <c r="B545" s="144">
        <f>VALUE(IF(+'Libro Diario'!G759="","01/01/2025",+'Libro Diario'!G759))</f>
        <v>45658</v>
      </c>
      <c r="C545">
        <f>IF(ISNUMBER(+IF(IFERROR(VALUE(MID('Libro Diario'!C759,1,4)),0)&lt;&gt;0,'Libro Diario'!C759,0))=FALSE,'Libro Diario'!C759,0)</f>
        <v>0</v>
      </c>
      <c r="D545" s="145">
        <f>+'Libro Diario'!B759</f>
        <v>0</v>
      </c>
      <c r="E545" s="139" t="s">
        <v>445</v>
      </c>
      <c r="F545" t="str">
        <f t="shared" si="24"/>
        <v>Sin Mov.</v>
      </c>
      <c r="G545" t="str">
        <f>IF(+'Libro Diario'!H759=0,"",+'Libro Diario'!H759)</f>
        <v/>
      </c>
      <c r="H545" t="str">
        <f>IF(+'Libro Diario'!I759=0,"",+'Libro Diario'!I759)</f>
        <v/>
      </c>
      <c r="I545" t="str">
        <f>+IF(Table3[[#This Row],[Tipo Movimiento]]="Estructura Balance y PyG","Excluir","Incluir")</f>
        <v>Incluir</v>
      </c>
      <c r="J545" s="153">
        <f>+IF(Table3[[#This Row],[Sin cuenta]]="Con Mov.",(IF(Table3[[#This Row],[Movimiento]]="Debe",Table3[[#This Row],[Importe]],IF(Table3[[#This Row],[Movimiento]]="Haber",Table3[[#This Row],[Importe]]*-1,0))),0)</f>
        <v>0</v>
      </c>
      <c r="K545" s="145">
        <f t="shared" si="25"/>
        <v>0</v>
      </c>
      <c r="L545" s="145" t="str">
        <f t="shared" si="26"/>
        <v/>
      </c>
      <c r="M545" t="str">
        <f>_xlfn.XLOOKUP(Table3[[#This Row],[Cuenta]],Estructura_Balance[Nombre Cuenta ()],Estructura_Balance[Grupo],"",0)</f>
        <v/>
      </c>
      <c r="N545" t="str">
        <f>_xlfn.XLOOKUP(Table3[[#This Row],[Cuenta]],Estructura_Balance[Nombre Cuenta ()],Estructura_Balance[Nivel 1],"",0)</f>
        <v/>
      </c>
      <c r="O545" t="str">
        <f>_xlfn.XLOOKUP(Table3[[#This Row],[Cuenta]],Estructura_Balance[Nombre Cuenta ()],Estructura_Balance[Nivel 2],"",0)</f>
        <v/>
      </c>
      <c r="P545" t="str">
        <f>_xlfn.XLOOKUP(Table3[[#This Row],[Cuenta]],Estructura_Balance[Nombre Cuenta ()],Estructura_Balance[Nivel 3],"",0)</f>
        <v/>
      </c>
      <c r="Q545" t="str">
        <f>_xlfn.XLOOKUP(Table3[[#This Row],[Cuenta]],Estructura_Balance[Nombre Cuenta ()],Estructura_Balance[Nivel 4],"",0)</f>
        <v/>
      </c>
      <c r="R545" s="154" t="str">
        <f>_xlfn.XLOOKUP(Table3[[#This Row],[Cuenta]],Table8[Nombre Cuenta ()],Table8[Nivel 1],"",0)</f>
        <v/>
      </c>
      <c r="S545" t="str">
        <f>_xlfn.XLOOKUP(Table3[[#This Row],[Cuenta]],Table8[Nombre Cuenta ()],Table8[Nivel 2],"",0)</f>
        <v/>
      </c>
      <c r="T545" t="str">
        <f>_xlfn.XLOOKUP(Table3[[#This Row],[Cuenta]],Table8[Nombre Cuenta ()],Table8[Nivel 3],"",0)</f>
        <v/>
      </c>
      <c r="U545">
        <v>951</v>
      </c>
      <c r="V545" t="str">
        <f>_xlfn.XLOOKUP(Table3[[#This Row],[Cuenta]],Estructura_Balance[Nombre Cuenta ()],Estructura_Balance[Niveles:2],"",0)</f>
        <v/>
      </c>
      <c r="W545" t="str">
        <f>_xlfn.XLOOKUP(Table3[[#This Row],[Cuenta]],Estructura_Balance[Nombre Cuenta ()],Estructura_Balance[Niveles:3],"",0)</f>
        <v/>
      </c>
      <c r="X545" t="str">
        <f>_xlfn.XLOOKUP(Table3[[#This Row],[Cuenta]],Estructura_Balance[Nombre Cuenta ()],Estructura_Balance[Grupos],"Grupo 1",0)</f>
        <v>Grupo 1</v>
      </c>
      <c r="Y545" t="str">
        <f>+Table3[[#This Row],[BS_Nivel_1]]</f>
        <v/>
      </c>
    </row>
    <row r="546" spans="1:25">
      <c r="A546">
        <f>+'Libro Diario'!F760</f>
        <v>0</v>
      </c>
      <c r="B546" s="144">
        <f>VALUE(IF(+'Libro Diario'!G760="","01/01/2025",+'Libro Diario'!G760))</f>
        <v>45658</v>
      </c>
      <c r="C546">
        <f>IF(ISNUMBER(+IF(IFERROR(VALUE(MID('Libro Diario'!C760,1,4)),0)&lt;&gt;0,'Libro Diario'!C760,0))=FALSE,'Libro Diario'!C760,0)</f>
        <v>0</v>
      </c>
      <c r="D546" s="145">
        <f>+'Libro Diario'!B760</f>
        <v>0</v>
      </c>
      <c r="E546" s="139" t="s">
        <v>445</v>
      </c>
      <c r="F546" t="str">
        <f t="shared" si="24"/>
        <v>Sin Mov.</v>
      </c>
      <c r="G546" t="str">
        <f>IF(+'Libro Diario'!H760=0,"",+'Libro Diario'!H760)</f>
        <v/>
      </c>
      <c r="H546" t="str">
        <f>IF(+'Libro Diario'!I760=0,"",+'Libro Diario'!I760)</f>
        <v/>
      </c>
      <c r="I546" t="str">
        <f>+IF(Table3[[#This Row],[Tipo Movimiento]]="Estructura Balance y PyG","Excluir","Incluir")</f>
        <v>Incluir</v>
      </c>
      <c r="J546" s="153">
        <f>+IF(Table3[[#This Row],[Sin cuenta]]="Con Mov.",(IF(Table3[[#This Row],[Movimiento]]="Debe",Table3[[#This Row],[Importe]],IF(Table3[[#This Row],[Movimiento]]="Haber",Table3[[#This Row],[Importe]]*-1,0))),0)</f>
        <v>0</v>
      </c>
      <c r="K546" s="145">
        <f t="shared" si="25"/>
        <v>0</v>
      </c>
      <c r="L546" s="145" t="str">
        <f t="shared" si="26"/>
        <v/>
      </c>
      <c r="M546" t="str">
        <f>_xlfn.XLOOKUP(Table3[[#This Row],[Cuenta]],Estructura_Balance[Nombre Cuenta ()],Estructura_Balance[Grupo],"",0)</f>
        <v/>
      </c>
      <c r="N546" t="str">
        <f>_xlfn.XLOOKUP(Table3[[#This Row],[Cuenta]],Estructura_Balance[Nombre Cuenta ()],Estructura_Balance[Nivel 1],"",0)</f>
        <v/>
      </c>
      <c r="O546" t="str">
        <f>_xlfn.XLOOKUP(Table3[[#This Row],[Cuenta]],Estructura_Balance[Nombre Cuenta ()],Estructura_Balance[Nivel 2],"",0)</f>
        <v/>
      </c>
      <c r="P546" t="str">
        <f>_xlfn.XLOOKUP(Table3[[#This Row],[Cuenta]],Estructura_Balance[Nombre Cuenta ()],Estructura_Balance[Nivel 3],"",0)</f>
        <v/>
      </c>
      <c r="Q546" t="str">
        <f>_xlfn.XLOOKUP(Table3[[#This Row],[Cuenta]],Estructura_Balance[Nombre Cuenta ()],Estructura_Balance[Nivel 4],"",0)</f>
        <v/>
      </c>
      <c r="R546" t="str">
        <f>_xlfn.XLOOKUP(Table3[[#This Row],[Cuenta]],Table8[Nombre Cuenta ()],Table8[Nivel 1],"",0)</f>
        <v/>
      </c>
      <c r="S546" t="str">
        <f>_xlfn.XLOOKUP(Table3[[#This Row],[Cuenta]],Table8[Nombre Cuenta ()],Table8[Nivel 2],"",0)</f>
        <v/>
      </c>
      <c r="T546" t="str">
        <f>_xlfn.XLOOKUP(Table3[[#This Row],[Cuenta]],Table8[Nombre Cuenta ()],Table8[Nivel 3],"",0)</f>
        <v/>
      </c>
      <c r="U546">
        <v>952</v>
      </c>
      <c r="V546" t="str">
        <f>_xlfn.XLOOKUP(Table3[[#This Row],[Cuenta]],Estructura_Balance[Nombre Cuenta ()],Estructura_Balance[Niveles:2],"",0)</f>
        <v/>
      </c>
      <c r="W546" t="str">
        <f>_xlfn.XLOOKUP(Table3[[#This Row],[Cuenta]],Estructura_Balance[Nombre Cuenta ()],Estructura_Balance[Niveles:3],"",0)</f>
        <v/>
      </c>
      <c r="X546" t="str">
        <f>_xlfn.XLOOKUP(Table3[[#This Row],[Cuenta]],Estructura_Balance[Nombre Cuenta ()],Estructura_Balance[Grupos],"Grupo 1",0)</f>
        <v>Grupo 1</v>
      </c>
      <c r="Y546" t="str">
        <f>+Table3[[#This Row],[BS_Nivel_1]]</f>
        <v/>
      </c>
    </row>
    <row r="547" spans="1:25">
      <c r="A547">
        <f>+'Libro Diario'!F761</f>
        <v>0</v>
      </c>
      <c r="B547" s="144">
        <f>VALUE(IF(+'Libro Diario'!G761="","01/01/2025",+'Libro Diario'!G761))</f>
        <v>45658</v>
      </c>
      <c r="C547">
        <f>IF(ISNUMBER(+IF(IFERROR(VALUE(MID('Libro Diario'!C761,1,4)),0)&lt;&gt;0,'Libro Diario'!C761,0))=FALSE,'Libro Diario'!C761,0)</f>
        <v>0</v>
      </c>
      <c r="D547" s="145">
        <f>+'Libro Diario'!B761</f>
        <v>0</v>
      </c>
      <c r="E547" s="139" t="s">
        <v>445</v>
      </c>
      <c r="F547" t="str">
        <f t="shared" si="24"/>
        <v>Sin Mov.</v>
      </c>
      <c r="G547" t="str">
        <f>IF(+'Libro Diario'!H761=0,"",+'Libro Diario'!H761)</f>
        <v/>
      </c>
      <c r="H547" t="str">
        <f>IF(+'Libro Diario'!I761=0,"",+'Libro Diario'!I761)</f>
        <v/>
      </c>
      <c r="I547" t="str">
        <f>+IF(Table3[[#This Row],[Tipo Movimiento]]="Estructura Balance y PyG","Excluir","Incluir")</f>
        <v>Incluir</v>
      </c>
      <c r="J547" s="153">
        <f>+IF(Table3[[#This Row],[Sin cuenta]]="Con Mov.",(IF(Table3[[#This Row],[Movimiento]]="Debe",Table3[[#This Row],[Importe]],IF(Table3[[#This Row],[Movimiento]]="Haber",Table3[[#This Row],[Importe]]*-1,0))),0)</f>
        <v>0</v>
      </c>
      <c r="K547" s="145">
        <f t="shared" si="25"/>
        <v>0</v>
      </c>
      <c r="L547" s="145" t="str">
        <f t="shared" si="26"/>
        <v/>
      </c>
      <c r="M547" t="str">
        <f>_xlfn.XLOOKUP(Table3[[#This Row],[Cuenta]],Estructura_Balance[Nombre Cuenta ()],Estructura_Balance[Grupo],"",0)</f>
        <v/>
      </c>
      <c r="N547" t="str">
        <f>_xlfn.XLOOKUP(Table3[[#This Row],[Cuenta]],Estructura_Balance[Nombre Cuenta ()],Estructura_Balance[Nivel 1],"",0)</f>
        <v/>
      </c>
      <c r="O547" t="str">
        <f>_xlfn.XLOOKUP(Table3[[#This Row],[Cuenta]],Estructura_Balance[Nombre Cuenta ()],Estructura_Balance[Nivel 2],"",0)</f>
        <v/>
      </c>
      <c r="P547" t="str">
        <f>_xlfn.XLOOKUP(Table3[[#This Row],[Cuenta]],Estructura_Balance[Nombre Cuenta ()],Estructura_Balance[Nivel 3],"",0)</f>
        <v/>
      </c>
      <c r="Q547" t="str">
        <f>_xlfn.XLOOKUP(Table3[[#This Row],[Cuenta]],Estructura_Balance[Nombre Cuenta ()],Estructura_Balance[Nivel 4],"",0)</f>
        <v/>
      </c>
      <c r="R547" s="154" t="str">
        <f>_xlfn.XLOOKUP(Table3[[#This Row],[Cuenta]],Table8[Nombre Cuenta ()],Table8[Nivel 1],"",0)</f>
        <v/>
      </c>
      <c r="S547" t="str">
        <f>_xlfn.XLOOKUP(Table3[[#This Row],[Cuenta]],Table8[Nombre Cuenta ()],Table8[Nivel 2],"",0)</f>
        <v/>
      </c>
      <c r="T547" t="str">
        <f>_xlfn.XLOOKUP(Table3[[#This Row],[Cuenta]],Table8[Nombre Cuenta ()],Table8[Nivel 3],"",0)</f>
        <v/>
      </c>
      <c r="U547">
        <v>953</v>
      </c>
      <c r="V547" t="str">
        <f>_xlfn.XLOOKUP(Table3[[#This Row],[Cuenta]],Estructura_Balance[Nombre Cuenta ()],Estructura_Balance[Niveles:2],"",0)</f>
        <v/>
      </c>
      <c r="W547" t="str">
        <f>_xlfn.XLOOKUP(Table3[[#This Row],[Cuenta]],Estructura_Balance[Nombre Cuenta ()],Estructura_Balance[Niveles:3],"",0)</f>
        <v/>
      </c>
      <c r="X547" t="str">
        <f>_xlfn.XLOOKUP(Table3[[#This Row],[Cuenta]],Estructura_Balance[Nombre Cuenta ()],Estructura_Balance[Grupos],"Grupo 1",0)</f>
        <v>Grupo 1</v>
      </c>
      <c r="Y547" t="str">
        <f>+Table3[[#This Row],[BS_Nivel_1]]</f>
        <v/>
      </c>
    </row>
    <row r="548" spans="1:25">
      <c r="A548">
        <f>+'Libro Diario'!F762</f>
        <v>0</v>
      </c>
      <c r="B548" s="144">
        <f>VALUE(IF(+'Libro Diario'!G762="","01/01/2025",+'Libro Diario'!G762))</f>
        <v>45658</v>
      </c>
      <c r="C548">
        <f>IF(ISNUMBER(+IF(IFERROR(VALUE(MID('Libro Diario'!C762,1,4)),0)&lt;&gt;0,'Libro Diario'!C762,0))=FALSE,'Libro Diario'!C762,0)</f>
        <v>0</v>
      </c>
      <c r="D548" s="145">
        <f>+'Libro Diario'!B762</f>
        <v>0</v>
      </c>
      <c r="E548" s="139" t="s">
        <v>445</v>
      </c>
      <c r="F548" t="str">
        <f t="shared" si="24"/>
        <v>Sin Mov.</v>
      </c>
      <c r="G548" t="str">
        <f>IF(+'Libro Diario'!H762=0,"",+'Libro Diario'!H762)</f>
        <v/>
      </c>
      <c r="H548" t="str">
        <f>IF(+'Libro Diario'!I762=0,"",+'Libro Diario'!I762)</f>
        <v/>
      </c>
      <c r="I548" t="str">
        <f>+IF(Table3[[#This Row],[Tipo Movimiento]]="Estructura Balance y PyG","Excluir","Incluir")</f>
        <v>Incluir</v>
      </c>
      <c r="J548" s="153">
        <f>+IF(Table3[[#This Row],[Sin cuenta]]="Con Mov.",(IF(Table3[[#This Row],[Movimiento]]="Debe",Table3[[#This Row],[Importe]],IF(Table3[[#This Row],[Movimiento]]="Haber",Table3[[#This Row],[Importe]]*-1,0))),0)</f>
        <v>0</v>
      </c>
      <c r="K548" s="145">
        <f t="shared" si="25"/>
        <v>0</v>
      </c>
      <c r="L548" s="145" t="str">
        <f t="shared" si="26"/>
        <v/>
      </c>
      <c r="M548" t="str">
        <f>_xlfn.XLOOKUP(Table3[[#This Row],[Cuenta]],Estructura_Balance[Nombre Cuenta ()],Estructura_Balance[Grupo],"",0)</f>
        <v/>
      </c>
      <c r="N548" t="str">
        <f>_xlfn.XLOOKUP(Table3[[#This Row],[Cuenta]],Estructura_Balance[Nombre Cuenta ()],Estructura_Balance[Nivel 1],"",0)</f>
        <v/>
      </c>
      <c r="O548" t="str">
        <f>_xlfn.XLOOKUP(Table3[[#This Row],[Cuenta]],Estructura_Balance[Nombre Cuenta ()],Estructura_Balance[Nivel 2],"",0)</f>
        <v/>
      </c>
      <c r="P548" t="str">
        <f>_xlfn.XLOOKUP(Table3[[#This Row],[Cuenta]],Estructura_Balance[Nombre Cuenta ()],Estructura_Balance[Nivel 3],"",0)</f>
        <v/>
      </c>
      <c r="Q548" t="str">
        <f>_xlfn.XLOOKUP(Table3[[#This Row],[Cuenta]],Estructura_Balance[Nombre Cuenta ()],Estructura_Balance[Nivel 4],"",0)</f>
        <v/>
      </c>
      <c r="R548" s="154" t="str">
        <f>_xlfn.XLOOKUP(Table3[[#This Row],[Cuenta]],Table8[Nombre Cuenta ()],Table8[Nivel 1],"",0)</f>
        <v/>
      </c>
      <c r="S548" t="str">
        <f>_xlfn.XLOOKUP(Table3[[#This Row],[Cuenta]],Table8[Nombre Cuenta ()],Table8[Nivel 2],"",0)</f>
        <v/>
      </c>
      <c r="T548" t="str">
        <f>_xlfn.XLOOKUP(Table3[[#This Row],[Cuenta]],Table8[Nombre Cuenta ()],Table8[Nivel 3],"",0)</f>
        <v/>
      </c>
      <c r="U548">
        <v>954</v>
      </c>
      <c r="V548" t="str">
        <f>_xlfn.XLOOKUP(Table3[[#This Row],[Cuenta]],Estructura_Balance[Nombre Cuenta ()],Estructura_Balance[Niveles:2],"",0)</f>
        <v/>
      </c>
      <c r="W548" t="str">
        <f>_xlfn.XLOOKUP(Table3[[#This Row],[Cuenta]],Estructura_Balance[Nombre Cuenta ()],Estructura_Balance[Niveles:3],"",0)</f>
        <v/>
      </c>
      <c r="X548" t="str">
        <f>_xlfn.XLOOKUP(Table3[[#This Row],[Cuenta]],Estructura_Balance[Nombre Cuenta ()],Estructura_Balance[Grupos],"Grupo 1",0)</f>
        <v>Grupo 1</v>
      </c>
      <c r="Y548" t="str">
        <f>+Table3[[#This Row],[BS_Nivel_1]]</f>
        <v/>
      </c>
    </row>
    <row r="549" spans="1:25">
      <c r="A549">
        <f>+'Libro Diario'!F763</f>
        <v>0</v>
      </c>
      <c r="B549" s="144">
        <f>VALUE(IF(+'Libro Diario'!G763="","01/01/2025",+'Libro Diario'!G763))</f>
        <v>45658</v>
      </c>
      <c r="C549">
        <f>IF(ISNUMBER(+IF(IFERROR(VALUE(MID('Libro Diario'!C763,1,4)),0)&lt;&gt;0,'Libro Diario'!C763,0))=FALSE,'Libro Diario'!C763,0)</f>
        <v>0</v>
      </c>
      <c r="D549" s="145">
        <f>+'Libro Diario'!B763</f>
        <v>0</v>
      </c>
      <c r="E549" s="139" t="s">
        <v>445</v>
      </c>
      <c r="F549" t="str">
        <f t="shared" si="24"/>
        <v>Sin Mov.</v>
      </c>
      <c r="G549" t="str">
        <f>IF(+'Libro Diario'!H763=0,"",+'Libro Diario'!H763)</f>
        <v/>
      </c>
      <c r="H549" t="str">
        <f>IF(+'Libro Diario'!I763=0,"",+'Libro Diario'!I763)</f>
        <v/>
      </c>
      <c r="I549" t="str">
        <f>+IF(Table3[[#This Row],[Tipo Movimiento]]="Estructura Balance y PyG","Excluir","Incluir")</f>
        <v>Incluir</v>
      </c>
      <c r="J549" s="153">
        <f>+IF(Table3[[#This Row],[Sin cuenta]]="Con Mov.",(IF(Table3[[#This Row],[Movimiento]]="Debe",Table3[[#This Row],[Importe]],IF(Table3[[#This Row],[Movimiento]]="Haber",Table3[[#This Row],[Importe]]*-1,0))),0)</f>
        <v>0</v>
      </c>
      <c r="K549" s="145">
        <f t="shared" si="25"/>
        <v>0</v>
      </c>
      <c r="L549" s="145" t="str">
        <f t="shared" si="26"/>
        <v/>
      </c>
      <c r="M549" t="str">
        <f>_xlfn.XLOOKUP(Table3[[#This Row],[Cuenta]],Estructura_Balance[Nombre Cuenta ()],Estructura_Balance[Grupo],"",0)</f>
        <v/>
      </c>
      <c r="N549" t="str">
        <f>_xlfn.XLOOKUP(Table3[[#This Row],[Cuenta]],Estructura_Balance[Nombre Cuenta ()],Estructura_Balance[Nivel 1],"",0)</f>
        <v/>
      </c>
      <c r="O549" t="str">
        <f>_xlfn.XLOOKUP(Table3[[#This Row],[Cuenta]],Estructura_Balance[Nombre Cuenta ()],Estructura_Balance[Nivel 2],"",0)</f>
        <v/>
      </c>
      <c r="P549" t="str">
        <f>_xlfn.XLOOKUP(Table3[[#This Row],[Cuenta]],Estructura_Balance[Nombre Cuenta ()],Estructura_Balance[Nivel 3],"",0)</f>
        <v/>
      </c>
      <c r="Q549" t="str">
        <f>_xlfn.XLOOKUP(Table3[[#This Row],[Cuenta]],Estructura_Balance[Nombre Cuenta ()],Estructura_Balance[Nivel 4],"",0)</f>
        <v/>
      </c>
      <c r="R549" s="154" t="str">
        <f>_xlfn.XLOOKUP(Table3[[#This Row],[Cuenta]],Table8[Nombre Cuenta ()],Table8[Nivel 1],"",0)</f>
        <v/>
      </c>
      <c r="S549" t="str">
        <f>_xlfn.XLOOKUP(Table3[[#This Row],[Cuenta]],Table8[Nombre Cuenta ()],Table8[Nivel 2],"",0)</f>
        <v/>
      </c>
      <c r="T549" t="str">
        <f>_xlfn.XLOOKUP(Table3[[#This Row],[Cuenta]],Table8[Nombre Cuenta ()],Table8[Nivel 3],"",0)</f>
        <v/>
      </c>
      <c r="U549">
        <v>955</v>
      </c>
      <c r="V549" t="str">
        <f>_xlfn.XLOOKUP(Table3[[#This Row],[Cuenta]],Estructura_Balance[Nombre Cuenta ()],Estructura_Balance[Niveles:2],"",0)</f>
        <v/>
      </c>
      <c r="W549" t="str">
        <f>_xlfn.XLOOKUP(Table3[[#This Row],[Cuenta]],Estructura_Balance[Nombre Cuenta ()],Estructura_Balance[Niveles:3],"",0)</f>
        <v/>
      </c>
      <c r="X549" t="str">
        <f>_xlfn.XLOOKUP(Table3[[#This Row],[Cuenta]],Estructura_Balance[Nombre Cuenta ()],Estructura_Balance[Grupos],"Grupo 1",0)</f>
        <v>Grupo 1</v>
      </c>
      <c r="Y549" t="str">
        <f>+Table3[[#This Row],[BS_Nivel_1]]</f>
        <v/>
      </c>
    </row>
    <row r="550" spans="1:25">
      <c r="A550">
        <f>+'Libro Diario'!F764</f>
        <v>0</v>
      </c>
      <c r="B550" s="144">
        <f>VALUE(IF(+'Libro Diario'!G764="","01/01/2025",+'Libro Diario'!G764))</f>
        <v>45658</v>
      </c>
      <c r="C550">
        <f>IF(ISNUMBER(+IF(IFERROR(VALUE(MID('Libro Diario'!C764,1,4)),0)&lt;&gt;0,'Libro Diario'!C764,0))=FALSE,'Libro Diario'!C764,0)</f>
        <v>0</v>
      </c>
      <c r="D550" s="145">
        <f>+'Libro Diario'!B764</f>
        <v>0</v>
      </c>
      <c r="E550" s="139" t="s">
        <v>445</v>
      </c>
      <c r="F550" t="str">
        <f t="shared" si="24"/>
        <v>Sin Mov.</v>
      </c>
      <c r="G550" t="str">
        <f>IF(+'Libro Diario'!H764=0,"",+'Libro Diario'!H764)</f>
        <v/>
      </c>
      <c r="H550" t="str">
        <f>IF(+'Libro Diario'!I764=0,"",+'Libro Diario'!I764)</f>
        <v/>
      </c>
      <c r="I550" t="str">
        <f>+IF(Table3[[#This Row],[Tipo Movimiento]]="Estructura Balance y PyG","Excluir","Incluir")</f>
        <v>Incluir</v>
      </c>
      <c r="J550" s="153">
        <f>+IF(Table3[[#This Row],[Sin cuenta]]="Con Mov.",(IF(Table3[[#This Row],[Movimiento]]="Debe",Table3[[#This Row],[Importe]],IF(Table3[[#This Row],[Movimiento]]="Haber",Table3[[#This Row],[Importe]]*-1,0))),0)</f>
        <v>0</v>
      </c>
      <c r="K550" s="145">
        <f t="shared" si="25"/>
        <v>0</v>
      </c>
      <c r="L550" s="145" t="str">
        <f t="shared" si="26"/>
        <v/>
      </c>
      <c r="M550" t="str">
        <f>_xlfn.XLOOKUP(Table3[[#This Row],[Cuenta]],Estructura_Balance[Nombre Cuenta ()],Estructura_Balance[Grupo],"",0)</f>
        <v/>
      </c>
      <c r="N550" t="str">
        <f>_xlfn.XLOOKUP(Table3[[#This Row],[Cuenta]],Estructura_Balance[Nombre Cuenta ()],Estructura_Balance[Nivel 1],"",0)</f>
        <v/>
      </c>
      <c r="O550" t="str">
        <f>_xlfn.XLOOKUP(Table3[[#This Row],[Cuenta]],Estructura_Balance[Nombre Cuenta ()],Estructura_Balance[Nivel 2],"",0)</f>
        <v/>
      </c>
      <c r="P550" t="str">
        <f>_xlfn.XLOOKUP(Table3[[#This Row],[Cuenta]],Estructura_Balance[Nombre Cuenta ()],Estructura_Balance[Nivel 3],"",0)</f>
        <v/>
      </c>
      <c r="Q550" t="str">
        <f>_xlfn.XLOOKUP(Table3[[#This Row],[Cuenta]],Estructura_Balance[Nombre Cuenta ()],Estructura_Balance[Nivel 4],"",0)</f>
        <v/>
      </c>
      <c r="R550" s="154" t="str">
        <f>_xlfn.XLOOKUP(Table3[[#This Row],[Cuenta]],Table8[Nombre Cuenta ()],Table8[Nivel 1],"",0)</f>
        <v/>
      </c>
      <c r="S550" t="str">
        <f>_xlfn.XLOOKUP(Table3[[#This Row],[Cuenta]],Table8[Nombre Cuenta ()],Table8[Nivel 2],"",0)</f>
        <v/>
      </c>
      <c r="T550" t="str">
        <f>_xlfn.XLOOKUP(Table3[[#This Row],[Cuenta]],Table8[Nombre Cuenta ()],Table8[Nivel 3],"",0)</f>
        <v/>
      </c>
      <c r="U550">
        <v>956</v>
      </c>
      <c r="V550" t="str">
        <f>_xlfn.XLOOKUP(Table3[[#This Row],[Cuenta]],Estructura_Balance[Nombre Cuenta ()],Estructura_Balance[Niveles:2],"",0)</f>
        <v/>
      </c>
      <c r="W550" t="str">
        <f>_xlfn.XLOOKUP(Table3[[#This Row],[Cuenta]],Estructura_Balance[Nombre Cuenta ()],Estructura_Balance[Niveles:3],"",0)</f>
        <v/>
      </c>
      <c r="X550" t="str">
        <f>_xlfn.XLOOKUP(Table3[[#This Row],[Cuenta]],Estructura_Balance[Nombre Cuenta ()],Estructura_Balance[Grupos],"Grupo 1",0)</f>
        <v>Grupo 1</v>
      </c>
      <c r="Y550" t="str">
        <f>+Table3[[#This Row],[BS_Nivel_1]]</f>
        <v/>
      </c>
    </row>
    <row r="551" spans="1:25">
      <c r="A551">
        <f>+'Libro Diario'!F765</f>
        <v>0</v>
      </c>
      <c r="B551" s="144">
        <f>VALUE(IF(+'Libro Diario'!G765="","01/01/2025",+'Libro Diario'!G765))</f>
        <v>45658</v>
      </c>
      <c r="C551">
        <f>IF(ISNUMBER(+IF(IFERROR(VALUE(MID('Libro Diario'!C765,1,4)),0)&lt;&gt;0,'Libro Diario'!C765,0))=FALSE,'Libro Diario'!C765,0)</f>
        <v>0</v>
      </c>
      <c r="D551" s="145">
        <f>+'Libro Diario'!B765</f>
        <v>0</v>
      </c>
      <c r="E551" s="139" t="s">
        <v>445</v>
      </c>
      <c r="F551" t="str">
        <f t="shared" si="24"/>
        <v>Sin Mov.</v>
      </c>
      <c r="G551" t="str">
        <f>IF(+'Libro Diario'!H765=0,"",+'Libro Diario'!H765)</f>
        <v/>
      </c>
      <c r="H551" t="str">
        <f>IF(+'Libro Diario'!I765=0,"",+'Libro Diario'!I765)</f>
        <v/>
      </c>
      <c r="I551" t="str">
        <f>+IF(Table3[[#This Row],[Tipo Movimiento]]="Estructura Balance y PyG","Excluir","Incluir")</f>
        <v>Incluir</v>
      </c>
      <c r="J551" s="153">
        <f>+IF(Table3[[#This Row],[Sin cuenta]]="Con Mov.",(IF(Table3[[#This Row],[Movimiento]]="Debe",Table3[[#This Row],[Importe]],IF(Table3[[#This Row],[Movimiento]]="Haber",Table3[[#This Row],[Importe]]*-1,0))),0)</f>
        <v>0</v>
      </c>
      <c r="K551" s="145">
        <f t="shared" si="25"/>
        <v>0</v>
      </c>
      <c r="L551" s="145" t="str">
        <f t="shared" si="26"/>
        <v/>
      </c>
      <c r="M551" t="str">
        <f>_xlfn.XLOOKUP(Table3[[#This Row],[Cuenta]],Estructura_Balance[Nombre Cuenta ()],Estructura_Balance[Grupo],"",0)</f>
        <v/>
      </c>
      <c r="N551" t="str">
        <f>_xlfn.XLOOKUP(Table3[[#This Row],[Cuenta]],Estructura_Balance[Nombre Cuenta ()],Estructura_Balance[Nivel 1],"",0)</f>
        <v/>
      </c>
      <c r="O551" t="str">
        <f>_xlfn.XLOOKUP(Table3[[#This Row],[Cuenta]],Estructura_Balance[Nombre Cuenta ()],Estructura_Balance[Nivel 2],"",0)</f>
        <v/>
      </c>
      <c r="P551" t="str">
        <f>_xlfn.XLOOKUP(Table3[[#This Row],[Cuenta]],Estructura_Balance[Nombre Cuenta ()],Estructura_Balance[Nivel 3],"",0)</f>
        <v/>
      </c>
      <c r="Q551" t="str">
        <f>_xlfn.XLOOKUP(Table3[[#This Row],[Cuenta]],Estructura_Balance[Nombre Cuenta ()],Estructura_Balance[Nivel 4],"",0)</f>
        <v/>
      </c>
      <c r="R551" s="154" t="str">
        <f>_xlfn.XLOOKUP(Table3[[#This Row],[Cuenta]],Table8[Nombre Cuenta ()],Table8[Nivel 1],"",0)</f>
        <v/>
      </c>
      <c r="S551" t="str">
        <f>_xlfn.XLOOKUP(Table3[[#This Row],[Cuenta]],Table8[Nombre Cuenta ()],Table8[Nivel 2],"",0)</f>
        <v/>
      </c>
      <c r="T551" t="str">
        <f>_xlfn.XLOOKUP(Table3[[#This Row],[Cuenta]],Table8[Nombre Cuenta ()],Table8[Nivel 3],"",0)</f>
        <v/>
      </c>
      <c r="U551">
        <v>957</v>
      </c>
      <c r="V551" t="str">
        <f>_xlfn.XLOOKUP(Table3[[#This Row],[Cuenta]],Estructura_Balance[Nombre Cuenta ()],Estructura_Balance[Niveles:2],"",0)</f>
        <v/>
      </c>
      <c r="W551" t="str">
        <f>_xlfn.XLOOKUP(Table3[[#This Row],[Cuenta]],Estructura_Balance[Nombre Cuenta ()],Estructura_Balance[Niveles:3],"",0)</f>
        <v/>
      </c>
      <c r="X551" t="str">
        <f>_xlfn.XLOOKUP(Table3[[#This Row],[Cuenta]],Estructura_Balance[Nombre Cuenta ()],Estructura_Balance[Grupos],"Grupo 1",0)</f>
        <v>Grupo 1</v>
      </c>
      <c r="Y551" t="str">
        <f>+Table3[[#This Row],[BS_Nivel_1]]</f>
        <v/>
      </c>
    </row>
    <row r="552" spans="1:25">
      <c r="A552">
        <f>+'Libro Diario'!F766</f>
        <v>0</v>
      </c>
      <c r="B552" s="144">
        <f>VALUE(IF(+'Libro Diario'!G766="","01/01/2025",+'Libro Diario'!G766))</f>
        <v>45658</v>
      </c>
      <c r="C552">
        <f>IF(ISNUMBER(+IF(IFERROR(VALUE(MID('Libro Diario'!C766,1,4)),0)&lt;&gt;0,'Libro Diario'!C766,0))=FALSE,'Libro Diario'!C766,0)</f>
        <v>0</v>
      </c>
      <c r="D552" s="145">
        <f>+'Libro Diario'!B766</f>
        <v>0</v>
      </c>
      <c r="E552" s="139" t="s">
        <v>445</v>
      </c>
      <c r="F552" t="str">
        <f t="shared" si="24"/>
        <v>Sin Mov.</v>
      </c>
      <c r="G552" t="str">
        <f>IF(+'Libro Diario'!H766=0,"",+'Libro Diario'!H766)</f>
        <v/>
      </c>
      <c r="H552" t="str">
        <f>IF(+'Libro Diario'!I766=0,"",+'Libro Diario'!I766)</f>
        <v/>
      </c>
      <c r="I552" t="str">
        <f>+IF(Table3[[#This Row],[Tipo Movimiento]]="Estructura Balance y PyG","Excluir","Incluir")</f>
        <v>Incluir</v>
      </c>
      <c r="J552" s="153">
        <f>+IF(Table3[[#This Row],[Sin cuenta]]="Con Mov.",(IF(Table3[[#This Row],[Movimiento]]="Debe",Table3[[#This Row],[Importe]],IF(Table3[[#This Row],[Movimiento]]="Haber",Table3[[#This Row],[Importe]]*-1,0))),0)</f>
        <v>0</v>
      </c>
      <c r="K552" s="145">
        <f t="shared" si="25"/>
        <v>0</v>
      </c>
      <c r="L552" s="145" t="str">
        <f t="shared" si="26"/>
        <v/>
      </c>
      <c r="M552" t="str">
        <f>_xlfn.XLOOKUP(Table3[[#This Row],[Cuenta]],Estructura_Balance[Nombre Cuenta ()],Estructura_Balance[Grupo],"",0)</f>
        <v/>
      </c>
      <c r="N552" t="str">
        <f>_xlfn.XLOOKUP(Table3[[#This Row],[Cuenta]],Estructura_Balance[Nombre Cuenta ()],Estructura_Balance[Nivel 1],"",0)</f>
        <v/>
      </c>
      <c r="O552" t="str">
        <f>_xlfn.XLOOKUP(Table3[[#This Row],[Cuenta]],Estructura_Balance[Nombre Cuenta ()],Estructura_Balance[Nivel 2],"",0)</f>
        <v/>
      </c>
      <c r="P552" t="str">
        <f>_xlfn.XLOOKUP(Table3[[#This Row],[Cuenta]],Estructura_Balance[Nombre Cuenta ()],Estructura_Balance[Nivel 3],"",0)</f>
        <v/>
      </c>
      <c r="Q552" t="str">
        <f>_xlfn.XLOOKUP(Table3[[#This Row],[Cuenta]],Estructura_Balance[Nombre Cuenta ()],Estructura_Balance[Nivel 4],"",0)</f>
        <v/>
      </c>
      <c r="R552" s="154" t="str">
        <f>_xlfn.XLOOKUP(Table3[[#This Row],[Cuenta]],Table8[Nombre Cuenta ()],Table8[Nivel 1],"",0)</f>
        <v/>
      </c>
      <c r="S552" t="str">
        <f>_xlfn.XLOOKUP(Table3[[#This Row],[Cuenta]],Table8[Nombre Cuenta ()],Table8[Nivel 2],"",0)</f>
        <v/>
      </c>
      <c r="T552" t="str">
        <f>_xlfn.XLOOKUP(Table3[[#This Row],[Cuenta]],Table8[Nombre Cuenta ()],Table8[Nivel 3],"",0)</f>
        <v/>
      </c>
      <c r="U552">
        <v>958</v>
      </c>
      <c r="V552" t="str">
        <f>_xlfn.XLOOKUP(Table3[[#This Row],[Cuenta]],Estructura_Balance[Nombre Cuenta ()],Estructura_Balance[Niveles:2],"",0)</f>
        <v/>
      </c>
      <c r="W552" t="str">
        <f>_xlfn.XLOOKUP(Table3[[#This Row],[Cuenta]],Estructura_Balance[Nombre Cuenta ()],Estructura_Balance[Niveles:3],"",0)</f>
        <v/>
      </c>
      <c r="X552" t="str">
        <f>_xlfn.XLOOKUP(Table3[[#This Row],[Cuenta]],Estructura_Balance[Nombre Cuenta ()],Estructura_Balance[Grupos],"Grupo 1",0)</f>
        <v>Grupo 1</v>
      </c>
      <c r="Y552" t="str">
        <f>+Table3[[#This Row],[BS_Nivel_1]]</f>
        <v/>
      </c>
    </row>
    <row r="553" spans="1:25">
      <c r="A553">
        <f>+'Libro Diario'!F767</f>
        <v>0</v>
      </c>
      <c r="B553" s="144">
        <f>VALUE(IF(+'Libro Diario'!G767="","01/01/2025",+'Libro Diario'!G767))</f>
        <v>45658</v>
      </c>
      <c r="C553">
        <f>IF(ISNUMBER(+IF(IFERROR(VALUE(MID('Libro Diario'!C767,1,4)),0)&lt;&gt;0,'Libro Diario'!C767,0))=FALSE,'Libro Diario'!C767,0)</f>
        <v>0</v>
      </c>
      <c r="D553" s="145">
        <f>+'Libro Diario'!B767</f>
        <v>0</v>
      </c>
      <c r="E553" s="139" t="s">
        <v>445</v>
      </c>
      <c r="F553" t="str">
        <f t="shared" si="24"/>
        <v>Sin Mov.</v>
      </c>
      <c r="G553" t="str">
        <f>IF(+'Libro Diario'!H767=0,"",+'Libro Diario'!H767)</f>
        <v/>
      </c>
      <c r="H553" t="str">
        <f>IF(+'Libro Diario'!I767=0,"",+'Libro Diario'!I767)</f>
        <v/>
      </c>
      <c r="I553" t="str">
        <f>+IF(Table3[[#This Row],[Tipo Movimiento]]="Estructura Balance y PyG","Excluir","Incluir")</f>
        <v>Incluir</v>
      </c>
      <c r="J553" s="153">
        <f>+IF(Table3[[#This Row],[Sin cuenta]]="Con Mov.",(IF(Table3[[#This Row],[Movimiento]]="Debe",Table3[[#This Row],[Importe]],IF(Table3[[#This Row],[Movimiento]]="Haber",Table3[[#This Row],[Importe]]*-1,0))),0)</f>
        <v>0</v>
      </c>
      <c r="K553" s="145">
        <f t="shared" si="25"/>
        <v>0</v>
      </c>
      <c r="L553" s="145" t="str">
        <f t="shared" si="26"/>
        <v/>
      </c>
      <c r="M553" t="str">
        <f>_xlfn.XLOOKUP(Table3[[#This Row],[Cuenta]],Estructura_Balance[Nombre Cuenta ()],Estructura_Balance[Grupo],"",0)</f>
        <v/>
      </c>
      <c r="N553" t="str">
        <f>_xlfn.XLOOKUP(Table3[[#This Row],[Cuenta]],Estructura_Balance[Nombre Cuenta ()],Estructura_Balance[Nivel 1],"",0)</f>
        <v/>
      </c>
      <c r="O553" t="str">
        <f>_xlfn.XLOOKUP(Table3[[#This Row],[Cuenta]],Estructura_Balance[Nombre Cuenta ()],Estructura_Balance[Nivel 2],"",0)</f>
        <v/>
      </c>
      <c r="P553" t="str">
        <f>_xlfn.XLOOKUP(Table3[[#This Row],[Cuenta]],Estructura_Balance[Nombre Cuenta ()],Estructura_Balance[Nivel 3],"",0)</f>
        <v/>
      </c>
      <c r="Q553" t="str">
        <f>_xlfn.XLOOKUP(Table3[[#This Row],[Cuenta]],Estructura_Balance[Nombre Cuenta ()],Estructura_Balance[Nivel 4],"",0)</f>
        <v/>
      </c>
      <c r="R553" s="154" t="str">
        <f>_xlfn.XLOOKUP(Table3[[#This Row],[Cuenta]],Table8[Nombre Cuenta ()],Table8[Nivel 1],"",0)</f>
        <v/>
      </c>
      <c r="S553" t="str">
        <f>_xlfn.XLOOKUP(Table3[[#This Row],[Cuenta]],Table8[Nombre Cuenta ()],Table8[Nivel 2],"",0)</f>
        <v/>
      </c>
      <c r="T553" t="str">
        <f>_xlfn.XLOOKUP(Table3[[#This Row],[Cuenta]],Table8[Nombre Cuenta ()],Table8[Nivel 3],"",0)</f>
        <v/>
      </c>
      <c r="U553">
        <v>959</v>
      </c>
      <c r="V553" t="str">
        <f>_xlfn.XLOOKUP(Table3[[#This Row],[Cuenta]],Estructura_Balance[Nombre Cuenta ()],Estructura_Balance[Niveles:2],"",0)</f>
        <v/>
      </c>
      <c r="W553" t="str">
        <f>_xlfn.XLOOKUP(Table3[[#This Row],[Cuenta]],Estructura_Balance[Nombre Cuenta ()],Estructura_Balance[Niveles:3],"",0)</f>
        <v/>
      </c>
      <c r="X553" t="str">
        <f>_xlfn.XLOOKUP(Table3[[#This Row],[Cuenta]],Estructura_Balance[Nombre Cuenta ()],Estructura_Balance[Grupos],"Grupo 1",0)</f>
        <v>Grupo 1</v>
      </c>
      <c r="Y553" t="str">
        <f>+Table3[[#This Row],[BS_Nivel_1]]</f>
        <v/>
      </c>
    </row>
    <row r="554" spans="1:25">
      <c r="A554">
        <f>+'Libro Diario'!F768</f>
        <v>0</v>
      </c>
      <c r="B554" s="144">
        <f>VALUE(IF(+'Libro Diario'!G768="","01/01/2025",+'Libro Diario'!G768))</f>
        <v>45658</v>
      </c>
      <c r="C554">
        <f>IF(ISNUMBER(+IF(IFERROR(VALUE(MID('Libro Diario'!C768,1,4)),0)&lt;&gt;0,'Libro Diario'!C768,0))=FALSE,'Libro Diario'!C768,0)</f>
        <v>0</v>
      </c>
      <c r="D554" s="145">
        <f>+'Libro Diario'!B768</f>
        <v>0</v>
      </c>
      <c r="E554" s="139" t="s">
        <v>445</v>
      </c>
      <c r="F554" t="str">
        <f t="shared" si="24"/>
        <v>Sin Mov.</v>
      </c>
      <c r="G554" t="str">
        <f>IF(+'Libro Diario'!H768=0,"",+'Libro Diario'!H768)</f>
        <v/>
      </c>
      <c r="H554" t="str">
        <f>IF(+'Libro Diario'!I768=0,"",+'Libro Diario'!I768)</f>
        <v/>
      </c>
      <c r="I554" t="str">
        <f>+IF(Table3[[#This Row],[Tipo Movimiento]]="Estructura Balance y PyG","Excluir","Incluir")</f>
        <v>Incluir</v>
      </c>
      <c r="J554" s="153">
        <f>+IF(Table3[[#This Row],[Sin cuenta]]="Con Mov.",(IF(Table3[[#This Row],[Movimiento]]="Debe",Table3[[#This Row],[Importe]],IF(Table3[[#This Row],[Movimiento]]="Haber",Table3[[#This Row],[Importe]]*-1,0))),0)</f>
        <v>0</v>
      </c>
      <c r="K554" s="145">
        <f t="shared" si="25"/>
        <v>0</v>
      </c>
      <c r="L554" s="145" t="str">
        <f t="shared" si="26"/>
        <v/>
      </c>
      <c r="M554" t="str">
        <f>_xlfn.XLOOKUP(Table3[[#This Row],[Cuenta]],Estructura_Balance[Nombre Cuenta ()],Estructura_Balance[Grupo],"",0)</f>
        <v/>
      </c>
      <c r="N554" t="str">
        <f>_xlfn.XLOOKUP(Table3[[#This Row],[Cuenta]],Estructura_Balance[Nombre Cuenta ()],Estructura_Balance[Nivel 1],"",0)</f>
        <v/>
      </c>
      <c r="O554" t="str">
        <f>_xlfn.XLOOKUP(Table3[[#This Row],[Cuenta]],Estructura_Balance[Nombre Cuenta ()],Estructura_Balance[Nivel 2],"",0)</f>
        <v/>
      </c>
      <c r="P554" t="str">
        <f>_xlfn.XLOOKUP(Table3[[#This Row],[Cuenta]],Estructura_Balance[Nombre Cuenta ()],Estructura_Balance[Nivel 3],"",0)</f>
        <v/>
      </c>
      <c r="Q554" t="str">
        <f>_xlfn.XLOOKUP(Table3[[#This Row],[Cuenta]],Estructura_Balance[Nombre Cuenta ()],Estructura_Balance[Nivel 4],"",0)</f>
        <v/>
      </c>
      <c r="R554" s="154" t="str">
        <f>_xlfn.XLOOKUP(Table3[[#This Row],[Cuenta]],Table8[Nombre Cuenta ()],Table8[Nivel 1],"",0)</f>
        <v/>
      </c>
      <c r="S554" t="str">
        <f>_xlfn.XLOOKUP(Table3[[#This Row],[Cuenta]],Table8[Nombre Cuenta ()],Table8[Nivel 2],"",0)</f>
        <v/>
      </c>
      <c r="T554" t="str">
        <f>_xlfn.XLOOKUP(Table3[[#This Row],[Cuenta]],Table8[Nombre Cuenta ()],Table8[Nivel 3],"",0)</f>
        <v/>
      </c>
      <c r="U554">
        <v>960</v>
      </c>
      <c r="V554" t="str">
        <f>_xlfn.XLOOKUP(Table3[[#This Row],[Cuenta]],Estructura_Balance[Nombre Cuenta ()],Estructura_Balance[Niveles:2],"",0)</f>
        <v/>
      </c>
      <c r="W554" t="str">
        <f>_xlfn.XLOOKUP(Table3[[#This Row],[Cuenta]],Estructura_Balance[Nombre Cuenta ()],Estructura_Balance[Niveles:3],"",0)</f>
        <v/>
      </c>
      <c r="X554" t="str">
        <f>_xlfn.XLOOKUP(Table3[[#This Row],[Cuenta]],Estructura_Balance[Nombre Cuenta ()],Estructura_Balance[Grupos],"Grupo 1",0)</f>
        <v>Grupo 1</v>
      </c>
      <c r="Y554" t="str">
        <f>+Table3[[#This Row],[BS_Nivel_1]]</f>
        <v/>
      </c>
    </row>
    <row r="555" spans="1:25">
      <c r="A555">
        <f>+'Libro Diario'!F769</f>
        <v>0</v>
      </c>
      <c r="B555" s="144">
        <f>VALUE(IF(+'Libro Diario'!G769="","01/01/2025",+'Libro Diario'!G769))</f>
        <v>45658</v>
      </c>
      <c r="C555">
        <f>IF(ISNUMBER(+IF(IFERROR(VALUE(MID('Libro Diario'!C769,1,4)),0)&lt;&gt;0,'Libro Diario'!C769,0))=FALSE,'Libro Diario'!C769,0)</f>
        <v>0</v>
      </c>
      <c r="D555" s="145">
        <f>+'Libro Diario'!B769</f>
        <v>0</v>
      </c>
      <c r="E555" s="139" t="s">
        <v>445</v>
      </c>
      <c r="F555" t="str">
        <f t="shared" si="24"/>
        <v>Sin Mov.</v>
      </c>
      <c r="G555" t="str">
        <f>IF(+'Libro Diario'!H769=0,"",+'Libro Diario'!H769)</f>
        <v/>
      </c>
      <c r="H555" t="str">
        <f>IF(+'Libro Diario'!I769=0,"",+'Libro Diario'!I769)</f>
        <v/>
      </c>
      <c r="I555" t="str">
        <f>+IF(Table3[[#This Row],[Tipo Movimiento]]="Estructura Balance y PyG","Excluir","Incluir")</f>
        <v>Incluir</v>
      </c>
      <c r="J555" s="153">
        <f>+IF(Table3[[#This Row],[Sin cuenta]]="Con Mov.",(IF(Table3[[#This Row],[Movimiento]]="Debe",Table3[[#This Row],[Importe]],IF(Table3[[#This Row],[Movimiento]]="Haber",Table3[[#This Row],[Importe]]*-1,0))),0)</f>
        <v>0</v>
      </c>
      <c r="K555" s="145">
        <f t="shared" si="25"/>
        <v>0</v>
      </c>
      <c r="L555" s="145" t="str">
        <f t="shared" si="26"/>
        <v/>
      </c>
      <c r="M555" t="str">
        <f>_xlfn.XLOOKUP(Table3[[#This Row],[Cuenta]],Estructura_Balance[Nombre Cuenta ()],Estructura_Balance[Grupo],"",0)</f>
        <v/>
      </c>
      <c r="N555" t="str">
        <f>_xlfn.XLOOKUP(Table3[[#This Row],[Cuenta]],Estructura_Balance[Nombre Cuenta ()],Estructura_Balance[Nivel 1],"",0)</f>
        <v/>
      </c>
      <c r="O555" t="str">
        <f>_xlfn.XLOOKUP(Table3[[#This Row],[Cuenta]],Estructura_Balance[Nombre Cuenta ()],Estructura_Balance[Nivel 2],"",0)</f>
        <v/>
      </c>
      <c r="P555" t="str">
        <f>_xlfn.XLOOKUP(Table3[[#This Row],[Cuenta]],Estructura_Balance[Nombre Cuenta ()],Estructura_Balance[Nivel 3],"",0)</f>
        <v/>
      </c>
      <c r="Q555" t="str">
        <f>_xlfn.XLOOKUP(Table3[[#This Row],[Cuenta]],Estructura_Balance[Nombre Cuenta ()],Estructura_Balance[Nivel 4],"",0)</f>
        <v/>
      </c>
      <c r="R555" s="154" t="str">
        <f>_xlfn.XLOOKUP(Table3[[#This Row],[Cuenta]],Table8[Nombre Cuenta ()],Table8[Nivel 1],"",0)</f>
        <v/>
      </c>
      <c r="S555" t="str">
        <f>_xlfn.XLOOKUP(Table3[[#This Row],[Cuenta]],Table8[Nombre Cuenta ()],Table8[Nivel 2],"",0)</f>
        <v/>
      </c>
      <c r="T555" t="str">
        <f>_xlfn.XLOOKUP(Table3[[#This Row],[Cuenta]],Table8[Nombre Cuenta ()],Table8[Nivel 3],"",0)</f>
        <v/>
      </c>
      <c r="U555">
        <v>961</v>
      </c>
      <c r="V555" t="str">
        <f>_xlfn.XLOOKUP(Table3[[#This Row],[Cuenta]],Estructura_Balance[Nombre Cuenta ()],Estructura_Balance[Niveles:2],"",0)</f>
        <v/>
      </c>
      <c r="W555" t="str">
        <f>_xlfn.XLOOKUP(Table3[[#This Row],[Cuenta]],Estructura_Balance[Nombre Cuenta ()],Estructura_Balance[Niveles:3],"",0)</f>
        <v/>
      </c>
      <c r="X555" t="str">
        <f>_xlfn.XLOOKUP(Table3[[#This Row],[Cuenta]],Estructura_Balance[Nombre Cuenta ()],Estructura_Balance[Grupos],"Grupo 1",0)</f>
        <v>Grupo 1</v>
      </c>
      <c r="Y555" t="str">
        <f>+Table3[[#This Row],[BS_Nivel_1]]</f>
        <v/>
      </c>
    </row>
    <row r="556" spans="1:25">
      <c r="A556">
        <f>+'Libro Diario'!F770</f>
        <v>0</v>
      </c>
      <c r="B556" s="144">
        <f>VALUE(IF(+'Libro Diario'!G770="","01/01/2025",+'Libro Diario'!G770))</f>
        <v>45658</v>
      </c>
      <c r="C556">
        <f>IF(ISNUMBER(+IF(IFERROR(VALUE(MID('Libro Diario'!C770,1,4)),0)&lt;&gt;0,'Libro Diario'!C770,0))=FALSE,'Libro Diario'!C770,0)</f>
        <v>0</v>
      </c>
      <c r="D556" s="145">
        <f>+'Libro Diario'!B770</f>
        <v>0</v>
      </c>
      <c r="E556" s="139" t="s">
        <v>445</v>
      </c>
      <c r="F556" t="str">
        <f t="shared" si="24"/>
        <v>Sin Mov.</v>
      </c>
      <c r="G556" t="str">
        <f>IF(+'Libro Diario'!H770=0,"",+'Libro Diario'!H770)</f>
        <v/>
      </c>
      <c r="H556" t="str">
        <f>IF(+'Libro Diario'!I770=0,"",+'Libro Diario'!I770)</f>
        <v/>
      </c>
      <c r="I556" t="str">
        <f>+IF(Table3[[#This Row],[Tipo Movimiento]]="Estructura Balance y PyG","Excluir","Incluir")</f>
        <v>Incluir</v>
      </c>
      <c r="J556" s="153">
        <f>+IF(Table3[[#This Row],[Sin cuenta]]="Con Mov.",(IF(Table3[[#This Row],[Movimiento]]="Debe",Table3[[#This Row],[Importe]],IF(Table3[[#This Row],[Movimiento]]="Haber",Table3[[#This Row],[Importe]]*-1,0))),0)</f>
        <v>0</v>
      </c>
      <c r="K556" s="145">
        <f t="shared" si="25"/>
        <v>0</v>
      </c>
      <c r="L556" s="145" t="str">
        <f t="shared" si="26"/>
        <v/>
      </c>
      <c r="M556" t="str">
        <f>_xlfn.XLOOKUP(Table3[[#This Row],[Cuenta]],Estructura_Balance[Nombre Cuenta ()],Estructura_Balance[Grupo],"",0)</f>
        <v/>
      </c>
      <c r="N556" t="str">
        <f>_xlfn.XLOOKUP(Table3[[#This Row],[Cuenta]],Estructura_Balance[Nombre Cuenta ()],Estructura_Balance[Nivel 1],"",0)</f>
        <v/>
      </c>
      <c r="O556" t="str">
        <f>_xlfn.XLOOKUP(Table3[[#This Row],[Cuenta]],Estructura_Balance[Nombre Cuenta ()],Estructura_Balance[Nivel 2],"",0)</f>
        <v/>
      </c>
      <c r="P556" t="str">
        <f>_xlfn.XLOOKUP(Table3[[#This Row],[Cuenta]],Estructura_Balance[Nombre Cuenta ()],Estructura_Balance[Nivel 3],"",0)</f>
        <v/>
      </c>
      <c r="Q556" t="str">
        <f>_xlfn.XLOOKUP(Table3[[#This Row],[Cuenta]],Estructura_Balance[Nombre Cuenta ()],Estructura_Balance[Nivel 4],"",0)</f>
        <v/>
      </c>
      <c r="R556" s="154" t="str">
        <f>_xlfn.XLOOKUP(Table3[[#This Row],[Cuenta]],Table8[Nombre Cuenta ()],Table8[Nivel 1],"",0)</f>
        <v/>
      </c>
      <c r="S556" t="str">
        <f>_xlfn.XLOOKUP(Table3[[#This Row],[Cuenta]],Table8[Nombre Cuenta ()],Table8[Nivel 2],"",0)</f>
        <v/>
      </c>
      <c r="T556" t="str">
        <f>_xlfn.XLOOKUP(Table3[[#This Row],[Cuenta]],Table8[Nombre Cuenta ()],Table8[Nivel 3],"",0)</f>
        <v/>
      </c>
      <c r="U556">
        <v>962</v>
      </c>
      <c r="V556" t="str">
        <f>_xlfn.XLOOKUP(Table3[[#This Row],[Cuenta]],Estructura_Balance[Nombre Cuenta ()],Estructura_Balance[Niveles:2],"",0)</f>
        <v/>
      </c>
      <c r="W556" t="str">
        <f>_xlfn.XLOOKUP(Table3[[#This Row],[Cuenta]],Estructura_Balance[Nombre Cuenta ()],Estructura_Balance[Niveles:3],"",0)</f>
        <v/>
      </c>
      <c r="X556" t="str">
        <f>_xlfn.XLOOKUP(Table3[[#This Row],[Cuenta]],Estructura_Balance[Nombre Cuenta ()],Estructura_Balance[Grupos],"Grupo 1",0)</f>
        <v>Grupo 1</v>
      </c>
      <c r="Y556" t="str">
        <f>+Table3[[#This Row],[BS_Nivel_1]]</f>
        <v/>
      </c>
    </row>
    <row r="557" spans="1:25">
      <c r="A557">
        <f>+'Libro Diario'!F771</f>
        <v>0</v>
      </c>
      <c r="B557" s="144">
        <f>VALUE(IF(+'Libro Diario'!G771="","01/01/2025",+'Libro Diario'!G771))</f>
        <v>45658</v>
      </c>
      <c r="C557">
        <f>IF(ISNUMBER(+IF(IFERROR(VALUE(MID('Libro Diario'!C771,1,4)),0)&lt;&gt;0,'Libro Diario'!C771,0))=FALSE,'Libro Diario'!C771,0)</f>
        <v>0</v>
      </c>
      <c r="D557" s="145">
        <f>+'Libro Diario'!B771</f>
        <v>0</v>
      </c>
      <c r="E557" s="139" t="s">
        <v>445</v>
      </c>
      <c r="F557" t="str">
        <f t="shared" si="24"/>
        <v>Sin Mov.</v>
      </c>
      <c r="G557" t="str">
        <f>IF(+'Libro Diario'!H771=0,"",+'Libro Diario'!H771)</f>
        <v/>
      </c>
      <c r="H557" t="str">
        <f>IF(+'Libro Diario'!I771=0,"",+'Libro Diario'!I771)</f>
        <v/>
      </c>
      <c r="I557" t="str">
        <f>+IF(Table3[[#This Row],[Tipo Movimiento]]="Estructura Balance y PyG","Excluir","Incluir")</f>
        <v>Incluir</v>
      </c>
      <c r="J557" s="153">
        <f>+IF(Table3[[#This Row],[Sin cuenta]]="Con Mov.",(IF(Table3[[#This Row],[Movimiento]]="Debe",Table3[[#This Row],[Importe]],IF(Table3[[#This Row],[Movimiento]]="Haber",Table3[[#This Row],[Importe]]*-1,0))),0)</f>
        <v>0</v>
      </c>
      <c r="K557" s="145">
        <f t="shared" si="25"/>
        <v>0</v>
      </c>
      <c r="L557" s="145" t="str">
        <f t="shared" si="26"/>
        <v/>
      </c>
      <c r="M557" t="str">
        <f>_xlfn.XLOOKUP(Table3[[#This Row],[Cuenta]],Estructura_Balance[Nombre Cuenta ()],Estructura_Balance[Grupo],"",0)</f>
        <v/>
      </c>
      <c r="N557" t="str">
        <f>_xlfn.XLOOKUP(Table3[[#This Row],[Cuenta]],Estructura_Balance[Nombre Cuenta ()],Estructura_Balance[Nivel 1],"",0)</f>
        <v/>
      </c>
      <c r="O557" t="str">
        <f>_xlfn.XLOOKUP(Table3[[#This Row],[Cuenta]],Estructura_Balance[Nombre Cuenta ()],Estructura_Balance[Nivel 2],"",0)</f>
        <v/>
      </c>
      <c r="P557" t="str">
        <f>_xlfn.XLOOKUP(Table3[[#This Row],[Cuenta]],Estructura_Balance[Nombre Cuenta ()],Estructura_Balance[Nivel 3],"",0)</f>
        <v/>
      </c>
      <c r="Q557" t="str">
        <f>_xlfn.XLOOKUP(Table3[[#This Row],[Cuenta]],Estructura_Balance[Nombre Cuenta ()],Estructura_Balance[Nivel 4],"",0)</f>
        <v/>
      </c>
      <c r="R557" s="154" t="str">
        <f>_xlfn.XLOOKUP(Table3[[#This Row],[Cuenta]],Table8[Nombre Cuenta ()],Table8[Nivel 1],"",0)</f>
        <v/>
      </c>
      <c r="S557" t="str">
        <f>_xlfn.XLOOKUP(Table3[[#This Row],[Cuenta]],Table8[Nombre Cuenta ()],Table8[Nivel 2],"",0)</f>
        <v/>
      </c>
      <c r="T557" t="str">
        <f>_xlfn.XLOOKUP(Table3[[#This Row],[Cuenta]],Table8[Nombre Cuenta ()],Table8[Nivel 3],"",0)</f>
        <v/>
      </c>
      <c r="U557">
        <v>963</v>
      </c>
      <c r="V557" t="str">
        <f>_xlfn.XLOOKUP(Table3[[#This Row],[Cuenta]],Estructura_Balance[Nombre Cuenta ()],Estructura_Balance[Niveles:2],"",0)</f>
        <v/>
      </c>
      <c r="W557" t="str">
        <f>_xlfn.XLOOKUP(Table3[[#This Row],[Cuenta]],Estructura_Balance[Nombre Cuenta ()],Estructura_Balance[Niveles:3],"",0)</f>
        <v/>
      </c>
      <c r="X557" t="str">
        <f>_xlfn.XLOOKUP(Table3[[#This Row],[Cuenta]],Estructura_Balance[Nombre Cuenta ()],Estructura_Balance[Grupos],"Grupo 1",0)</f>
        <v>Grupo 1</v>
      </c>
      <c r="Y557" t="str">
        <f>+Table3[[#This Row],[BS_Nivel_1]]</f>
        <v/>
      </c>
    </row>
    <row r="558" spans="1:25">
      <c r="A558">
        <f>+'Libro Diario'!F772</f>
        <v>0</v>
      </c>
      <c r="B558" s="144">
        <f>VALUE(IF(+'Libro Diario'!G772="","01/01/2025",+'Libro Diario'!G772))</f>
        <v>45658</v>
      </c>
      <c r="C558">
        <f>IF(ISNUMBER(+IF(IFERROR(VALUE(MID('Libro Diario'!C772,1,4)),0)&lt;&gt;0,'Libro Diario'!C772,0))=FALSE,'Libro Diario'!C772,0)</f>
        <v>0</v>
      </c>
      <c r="D558" s="145">
        <f>+'Libro Diario'!B772</f>
        <v>0</v>
      </c>
      <c r="E558" s="139" t="s">
        <v>445</v>
      </c>
      <c r="F558" t="str">
        <f t="shared" si="24"/>
        <v>Sin Mov.</v>
      </c>
      <c r="G558" t="str">
        <f>IF(+'Libro Diario'!H772=0,"",+'Libro Diario'!H772)</f>
        <v/>
      </c>
      <c r="H558" t="str">
        <f>IF(+'Libro Diario'!I772=0,"",+'Libro Diario'!I772)</f>
        <v/>
      </c>
      <c r="I558" t="str">
        <f>+IF(Table3[[#This Row],[Tipo Movimiento]]="Estructura Balance y PyG","Excluir","Incluir")</f>
        <v>Incluir</v>
      </c>
      <c r="J558" s="153">
        <f>+IF(Table3[[#This Row],[Sin cuenta]]="Con Mov.",(IF(Table3[[#This Row],[Movimiento]]="Debe",Table3[[#This Row],[Importe]],IF(Table3[[#This Row],[Movimiento]]="Haber",Table3[[#This Row],[Importe]]*-1,0))),0)</f>
        <v>0</v>
      </c>
      <c r="K558" s="145">
        <f t="shared" si="25"/>
        <v>0</v>
      </c>
      <c r="L558" s="145" t="str">
        <f t="shared" si="26"/>
        <v/>
      </c>
      <c r="M558" t="str">
        <f>_xlfn.XLOOKUP(Table3[[#This Row],[Cuenta]],Estructura_Balance[Nombre Cuenta ()],Estructura_Balance[Grupo],"",0)</f>
        <v/>
      </c>
      <c r="N558" t="str">
        <f>_xlfn.XLOOKUP(Table3[[#This Row],[Cuenta]],Estructura_Balance[Nombre Cuenta ()],Estructura_Balance[Nivel 1],"",0)</f>
        <v/>
      </c>
      <c r="O558" t="str">
        <f>_xlfn.XLOOKUP(Table3[[#This Row],[Cuenta]],Estructura_Balance[Nombre Cuenta ()],Estructura_Balance[Nivel 2],"",0)</f>
        <v/>
      </c>
      <c r="P558" t="str">
        <f>_xlfn.XLOOKUP(Table3[[#This Row],[Cuenta]],Estructura_Balance[Nombre Cuenta ()],Estructura_Balance[Nivel 3],"",0)</f>
        <v/>
      </c>
      <c r="Q558" t="str">
        <f>_xlfn.XLOOKUP(Table3[[#This Row],[Cuenta]],Estructura_Balance[Nombre Cuenta ()],Estructura_Balance[Nivel 4],"",0)</f>
        <v/>
      </c>
      <c r="R558" s="154" t="str">
        <f>_xlfn.XLOOKUP(Table3[[#This Row],[Cuenta]],Table8[Nombre Cuenta ()],Table8[Nivel 1],"",0)</f>
        <v/>
      </c>
      <c r="S558" t="str">
        <f>_xlfn.XLOOKUP(Table3[[#This Row],[Cuenta]],Table8[Nombre Cuenta ()],Table8[Nivel 2],"",0)</f>
        <v/>
      </c>
      <c r="T558" t="str">
        <f>_xlfn.XLOOKUP(Table3[[#This Row],[Cuenta]],Table8[Nombre Cuenta ()],Table8[Nivel 3],"",0)</f>
        <v/>
      </c>
      <c r="U558">
        <v>964</v>
      </c>
      <c r="V558" t="str">
        <f>_xlfn.XLOOKUP(Table3[[#This Row],[Cuenta]],Estructura_Balance[Nombre Cuenta ()],Estructura_Balance[Niveles:2],"",0)</f>
        <v/>
      </c>
      <c r="W558" t="str">
        <f>_xlfn.XLOOKUP(Table3[[#This Row],[Cuenta]],Estructura_Balance[Nombre Cuenta ()],Estructura_Balance[Niveles:3],"",0)</f>
        <v/>
      </c>
      <c r="X558" t="str">
        <f>_xlfn.XLOOKUP(Table3[[#This Row],[Cuenta]],Estructura_Balance[Nombre Cuenta ()],Estructura_Balance[Grupos],"Grupo 1",0)</f>
        <v>Grupo 1</v>
      </c>
      <c r="Y558" t="str">
        <f>+Table3[[#This Row],[BS_Nivel_1]]</f>
        <v/>
      </c>
    </row>
    <row r="559" spans="1:25">
      <c r="A559">
        <f>+'Libro Diario'!F773</f>
        <v>0</v>
      </c>
      <c r="B559" s="144">
        <f>VALUE(IF(+'Libro Diario'!G773="","01/01/2025",+'Libro Diario'!G773))</f>
        <v>45658</v>
      </c>
      <c r="C559">
        <f>IF(ISNUMBER(+IF(IFERROR(VALUE(MID('Libro Diario'!C773,1,4)),0)&lt;&gt;0,'Libro Diario'!C773,0))=FALSE,'Libro Diario'!C773,0)</f>
        <v>0</v>
      </c>
      <c r="D559" s="145">
        <f>+'Libro Diario'!B773</f>
        <v>0</v>
      </c>
      <c r="E559" s="139" t="s">
        <v>445</v>
      </c>
      <c r="F559" t="str">
        <f t="shared" si="24"/>
        <v>Sin Mov.</v>
      </c>
      <c r="G559" t="str">
        <f>IF(+'Libro Diario'!H773=0,"",+'Libro Diario'!H773)</f>
        <v/>
      </c>
      <c r="H559" t="str">
        <f>IF(+'Libro Diario'!I773=0,"",+'Libro Diario'!I773)</f>
        <v/>
      </c>
      <c r="I559" t="str">
        <f>+IF(Table3[[#This Row],[Tipo Movimiento]]="Estructura Balance y PyG","Excluir","Incluir")</f>
        <v>Incluir</v>
      </c>
      <c r="J559" s="153">
        <f>+IF(Table3[[#This Row],[Sin cuenta]]="Con Mov.",(IF(Table3[[#This Row],[Movimiento]]="Debe",Table3[[#This Row],[Importe]],IF(Table3[[#This Row],[Movimiento]]="Haber",Table3[[#This Row],[Importe]]*-1,0))),0)</f>
        <v>0</v>
      </c>
      <c r="K559" s="145">
        <f t="shared" si="25"/>
        <v>0</v>
      </c>
      <c r="L559" s="145" t="str">
        <f t="shared" si="26"/>
        <v/>
      </c>
      <c r="M559" t="str">
        <f>_xlfn.XLOOKUP(Table3[[#This Row],[Cuenta]],Estructura_Balance[Nombre Cuenta ()],Estructura_Balance[Grupo],"",0)</f>
        <v/>
      </c>
      <c r="N559" t="str">
        <f>_xlfn.XLOOKUP(Table3[[#This Row],[Cuenta]],Estructura_Balance[Nombre Cuenta ()],Estructura_Balance[Nivel 1],"",0)</f>
        <v/>
      </c>
      <c r="O559" t="str">
        <f>_xlfn.XLOOKUP(Table3[[#This Row],[Cuenta]],Estructura_Balance[Nombre Cuenta ()],Estructura_Balance[Nivel 2],"",0)</f>
        <v/>
      </c>
      <c r="P559" t="str">
        <f>_xlfn.XLOOKUP(Table3[[#This Row],[Cuenta]],Estructura_Balance[Nombre Cuenta ()],Estructura_Balance[Nivel 3],"",0)</f>
        <v/>
      </c>
      <c r="Q559" t="str">
        <f>_xlfn.XLOOKUP(Table3[[#This Row],[Cuenta]],Estructura_Balance[Nombre Cuenta ()],Estructura_Balance[Nivel 4],"",0)</f>
        <v/>
      </c>
      <c r="R559" s="154" t="str">
        <f>_xlfn.XLOOKUP(Table3[[#This Row],[Cuenta]],Table8[Nombre Cuenta ()],Table8[Nivel 1],"",0)</f>
        <v/>
      </c>
      <c r="S559" t="str">
        <f>_xlfn.XLOOKUP(Table3[[#This Row],[Cuenta]],Table8[Nombre Cuenta ()],Table8[Nivel 2],"",0)</f>
        <v/>
      </c>
      <c r="T559" t="str">
        <f>_xlfn.XLOOKUP(Table3[[#This Row],[Cuenta]],Table8[Nombre Cuenta ()],Table8[Nivel 3],"",0)</f>
        <v/>
      </c>
      <c r="U559">
        <v>965</v>
      </c>
      <c r="V559" t="str">
        <f>_xlfn.XLOOKUP(Table3[[#This Row],[Cuenta]],Estructura_Balance[Nombre Cuenta ()],Estructura_Balance[Niveles:2],"",0)</f>
        <v/>
      </c>
      <c r="W559" t="str">
        <f>_xlfn.XLOOKUP(Table3[[#This Row],[Cuenta]],Estructura_Balance[Nombre Cuenta ()],Estructura_Balance[Niveles:3],"",0)</f>
        <v/>
      </c>
      <c r="X559" t="str">
        <f>_xlfn.XLOOKUP(Table3[[#This Row],[Cuenta]],Estructura_Balance[Nombre Cuenta ()],Estructura_Balance[Grupos],"Grupo 1",0)</f>
        <v>Grupo 1</v>
      </c>
      <c r="Y559" t="str">
        <f>+Table3[[#This Row],[BS_Nivel_1]]</f>
        <v/>
      </c>
    </row>
    <row r="560" spans="1:25">
      <c r="A560">
        <f>+'Libro Diario'!F774</f>
        <v>0</v>
      </c>
      <c r="B560" s="144">
        <f>VALUE(IF(+'Libro Diario'!G774="","01/01/2025",+'Libro Diario'!G774))</f>
        <v>45658</v>
      </c>
      <c r="C560">
        <f>IF(ISNUMBER(+IF(IFERROR(VALUE(MID('Libro Diario'!C774,1,4)),0)&lt;&gt;0,'Libro Diario'!C774,0))=FALSE,'Libro Diario'!C774,0)</f>
        <v>0</v>
      </c>
      <c r="D560" s="145">
        <f>+'Libro Diario'!B774</f>
        <v>0</v>
      </c>
      <c r="E560" s="139" t="s">
        <v>445</v>
      </c>
      <c r="F560" t="str">
        <f t="shared" si="24"/>
        <v>Sin Mov.</v>
      </c>
      <c r="G560" t="str">
        <f>IF(+'Libro Diario'!H774=0,"",+'Libro Diario'!H774)</f>
        <v/>
      </c>
      <c r="H560" t="str">
        <f>IF(+'Libro Diario'!I774=0,"",+'Libro Diario'!I774)</f>
        <v/>
      </c>
      <c r="I560" t="str">
        <f>+IF(Table3[[#This Row],[Tipo Movimiento]]="Estructura Balance y PyG","Excluir","Incluir")</f>
        <v>Incluir</v>
      </c>
      <c r="J560" s="153">
        <f>+IF(Table3[[#This Row],[Sin cuenta]]="Con Mov.",(IF(Table3[[#This Row],[Movimiento]]="Debe",Table3[[#This Row],[Importe]],IF(Table3[[#This Row],[Movimiento]]="Haber",Table3[[#This Row],[Importe]]*-1,0))),0)</f>
        <v>0</v>
      </c>
      <c r="K560" s="145">
        <f t="shared" si="25"/>
        <v>0</v>
      </c>
      <c r="L560" s="145" t="str">
        <f t="shared" si="26"/>
        <v/>
      </c>
      <c r="M560" t="str">
        <f>_xlfn.XLOOKUP(Table3[[#This Row],[Cuenta]],Estructura_Balance[Nombre Cuenta ()],Estructura_Balance[Grupo],"",0)</f>
        <v/>
      </c>
      <c r="N560" t="str">
        <f>_xlfn.XLOOKUP(Table3[[#This Row],[Cuenta]],Estructura_Balance[Nombre Cuenta ()],Estructura_Balance[Nivel 1],"",0)</f>
        <v/>
      </c>
      <c r="O560" t="str">
        <f>_xlfn.XLOOKUP(Table3[[#This Row],[Cuenta]],Estructura_Balance[Nombre Cuenta ()],Estructura_Balance[Nivel 2],"",0)</f>
        <v/>
      </c>
      <c r="P560" t="str">
        <f>_xlfn.XLOOKUP(Table3[[#This Row],[Cuenta]],Estructura_Balance[Nombre Cuenta ()],Estructura_Balance[Nivel 3],"",0)</f>
        <v/>
      </c>
      <c r="Q560" t="str">
        <f>_xlfn.XLOOKUP(Table3[[#This Row],[Cuenta]],Estructura_Balance[Nombre Cuenta ()],Estructura_Balance[Nivel 4],"",0)</f>
        <v/>
      </c>
      <c r="R560" s="154" t="str">
        <f>_xlfn.XLOOKUP(Table3[[#This Row],[Cuenta]],Table8[Nombre Cuenta ()],Table8[Nivel 1],"",0)</f>
        <v/>
      </c>
      <c r="S560" t="str">
        <f>_xlfn.XLOOKUP(Table3[[#This Row],[Cuenta]],Table8[Nombre Cuenta ()],Table8[Nivel 2],"",0)</f>
        <v/>
      </c>
      <c r="T560" t="str">
        <f>_xlfn.XLOOKUP(Table3[[#This Row],[Cuenta]],Table8[Nombre Cuenta ()],Table8[Nivel 3],"",0)</f>
        <v/>
      </c>
      <c r="U560">
        <v>966</v>
      </c>
      <c r="V560" t="str">
        <f>_xlfn.XLOOKUP(Table3[[#This Row],[Cuenta]],Estructura_Balance[Nombre Cuenta ()],Estructura_Balance[Niveles:2],"",0)</f>
        <v/>
      </c>
      <c r="W560" t="str">
        <f>_xlfn.XLOOKUP(Table3[[#This Row],[Cuenta]],Estructura_Balance[Nombre Cuenta ()],Estructura_Balance[Niveles:3],"",0)</f>
        <v/>
      </c>
      <c r="X560" t="str">
        <f>_xlfn.XLOOKUP(Table3[[#This Row],[Cuenta]],Estructura_Balance[Nombre Cuenta ()],Estructura_Balance[Grupos],"Grupo 1",0)</f>
        <v>Grupo 1</v>
      </c>
      <c r="Y560" t="str">
        <f>+Table3[[#This Row],[BS_Nivel_1]]</f>
        <v/>
      </c>
    </row>
    <row r="561" spans="1:25">
      <c r="A561">
        <f>+'Libro Diario'!F775</f>
        <v>0</v>
      </c>
      <c r="B561" s="144">
        <f>VALUE(IF(+'Libro Diario'!G775="","01/01/2025",+'Libro Diario'!G775))</f>
        <v>45658</v>
      </c>
      <c r="C561">
        <f>IF(ISNUMBER(+IF(IFERROR(VALUE(MID('Libro Diario'!C775,1,4)),0)&lt;&gt;0,'Libro Diario'!C775,0))=FALSE,'Libro Diario'!C775,0)</f>
        <v>0</v>
      </c>
      <c r="D561" s="145">
        <f>+'Libro Diario'!B775</f>
        <v>0</v>
      </c>
      <c r="E561" s="139" t="s">
        <v>445</v>
      </c>
      <c r="F561" t="str">
        <f t="shared" si="24"/>
        <v>Sin Mov.</v>
      </c>
      <c r="G561" t="str">
        <f>IF(+'Libro Diario'!H775=0,"",+'Libro Diario'!H775)</f>
        <v/>
      </c>
      <c r="H561" t="str">
        <f>IF(+'Libro Diario'!I775=0,"",+'Libro Diario'!I775)</f>
        <v/>
      </c>
      <c r="I561" t="str">
        <f>+IF(Table3[[#This Row],[Tipo Movimiento]]="Estructura Balance y PyG","Excluir","Incluir")</f>
        <v>Incluir</v>
      </c>
      <c r="J561" s="153">
        <f>+IF(Table3[[#This Row],[Sin cuenta]]="Con Mov.",(IF(Table3[[#This Row],[Movimiento]]="Debe",Table3[[#This Row],[Importe]],IF(Table3[[#This Row],[Movimiento]]="Haber",Table3[[#This Row],[Importe]]*-1,0))),0)</f>
        <v>0</v>
      </c>
      <c r="K561" s="145">
        <f t="shared" si="25"/>
        <v>0</v>
      </c>
      <c r="L561" s="145" t="str">
        <f t="shared" si="26"/>
        <v/>
      </c>
      <c r="M561" t="str">
        <f>_xlfn.XLOOKUP(Table3[[#This Row],[Cuenta]],Estructura_Balance[Nombre Cuenta ()],Estructura_Balance[Grupo],"",0)</f>
        <v/>
      </c>
      <c r="N561" t="str">
        <f>_xlfn.XLOOKUP(Table3[[#This Row],[Cuenta]],Estructura_Balance[Nombre Cuenta ()],Estructura_Balance[Nivel 1],"",0)</f>
        <v/>
      </c>
      <c r="O561" t="str">
        <f>_xlfn.XLOOKUP(Table3[[#This Row],[Cuenta]],Estructura_Balance[Nombre Cuenta ()],Estructura_Balance[Nivel 2],"",0)</f>
        <v/>
      </c>
      <c r="P561" t="str">
        <f>_xlfn.XLOOKUP(Table3[[#This Row],[Cuenta]],Estructura_Balance[Nombre Cuenta ()],Estructura_Balance[Nivel 3],"",0)</f>
        <v/>
      </c>
      <c r="Q561" t="str">
        <f>_xlfn.XLOOKUP(Table3[[#This Row],[Cuenta]],Estructura_Balance[Nombre Cuenta ()],Estructura_Balance[Nivel 4],"",0)</f>
        <v/>
      </c>
      <c r="R561" s="154" t="str">
        <f>_xlfn.XLOOKUP(Table3[[#This Row],[Cuenta]],Table8[Nombre Cuenta ()],Table8[Nivel 1],"",0)</f>
        <v/>
      </c>
      <c r="S561" t="str">
        <f>_xlfn.XLOOKUP(Table3[[#This Row],[Cuenta]],Table8[Nombre Cuenta ()],Table8[Nivel 2],"",0)</f>
        <v/>
      </c>
      <c r="T561" t="str">
        <f>_xlfn.XLOOKUP(Table3[[#This Row],[Cuenta]],Table8[Nombre Cuenta ()],Table8[Nivel 3],"",0)</f>
        <v/>
      </c>
      <c r="U561">
        <v>967</v>
      </c>
      <c r="V561" t="str">
        <f>_xlfn.XLOOKUP(Table3[[#This Row],[Cuenta]],Estructura_Balance[Nombre Cuenta ()],Estructura_Balance[Niveles:2],"",0)</f>
        <v/>
      </c>
      <c r="W561" t="str">
        <f>_xlfn.XLOOKUP(Table3[[#This Row],[Cuenta]],Estructura_Balance[Nombre Cuenta ()],Estructura_Balance[Niveles:3],"",0)</f>
        <v/>
      </c>
      <c r="X561" t="str">
        <f>_xlfn.XLOOKUP(Table3[[#This Row],[Cuenta]],Estructura_Balance[Nombre Cuenta ()],Estructura_Balance[Grupos],"Grupo 1",0)</f>
        <v>Grupo 1</v>
      </c>
      <c r="Y561" t="str">
        <f>+Table3[[#This Row],[BS_Nivel_1]]</f>
        <v/>
      </c>
    </row>
    <row r="562" spans="1:25">
      <c r="A562">
        <f>+'Libro Diario'!F776</f>
        <v>0</v>
      </c>
      <c r="B562" s="144">
        <f>VALUE(IF(+'Libro Diario'!G776="","01/01/2025",+'Libro Diario'!G776))</f>
        <v>45658</v>
      </c>
      <c r="C562">
        <f>IF(ISNUMBER(+IF(IFERROR(VALUE(MID('Libro Diario'!C776,1,4)),0)&lt;&gt;0,'Libro Diario'!C776,0))=FALSE,'Libro Diario'!C776,0)</f>
        <v>0</v>
      </c>
      <c r="D562" s="145">
        <f>+'Libro Diario'!B776</f>
        <v>0</v>
      </c>
      <c r="E562" s="139" t="s">
        <v>445</v>
      </c>
      <c r="F562" t="str">
        <f t="shared" si="24"/>
        <v>Sin Mov.</v>
      </c>
      <c r="G562" t="str">
        <f>IF(+'Libro Diario'!H776=0,"",+'Libro Diario'!H776)</f>
        <v/>
      </c>
      <c r="H562" t="str">
        <f>IF(+'Libro Diario'!I776=0,"",+'Libro Diario'!I776)</f>
        <v/>
      </c>
      <c r="I562" t="str">
        <f>+IF(Table3[[#This Row],[Tipo Movimiento]]="Estructura Balance y PyG","Excluir","Incluir")</f>
        <v>Incluir</v>
      </c>
      <c r="J562" s="153">
        <f>+IF(Table3[[#This Row],[Sin cuenta]]="Con Mov.",(IF(Table3[[#This Row],[Movimiento]]="Debe",Table3[[#This Row],[Importe]],IF(Table3[[#This Row],[Movimiento]]="Haber",Table3[[#This Row],[Importe]]*-1,0))),0)</f>
        <v>0</v>
      </c>
      <c r="K562" s="145">
        <f t="shared" si="25"/>
        <v>0</v>
      </c>
      <c r="L562" s="145" t="str">
        <f t="shared" si="26"/>
        <v/>
      </c>
      <c r="M562" t="str">
        <f>_xlfn.XLOOKUP(Table3[[#This Row],[Cuenta]],Estructura_Balance[Nombre Cuenta ()],Estructura_Balance[Grupo],"",0)</f>
        <v/>
      </c>
      <c r="N562" t="str">
        <f>_xlfn.XLOOKUP(Table3[[#This Row],[Cuenta]],Estructura_Balance[Nombre Cuenta ()],Estructura_Balance[Nivel 1],"",0)</f>
        <v/>
      </c>
      <c r="O562" t="str">
        <f>_xlfn.XLOOKUP(Table3[[#This Row],[Cuenta]],Estructura_Balance[Nombre Cuenta ()],Estructura_Balance[Nivel 2],"",0)</f>
        <v/>
      </c>
      <c r="P562" t="str">
        <f>_xlfn.XLOOKUP(Table3[[#This Row],[Cuenta]],Estructura_Balance[Nombre Cuenta ()],Estructura_Balance[Nivel 3],"",0)</f>
        <v/>
      </c>
      <c r="Q562" t="str">
        <f>_xlfn.XLOOKUP(Table3[[#This Row],[Cuenta]],Estructura_Balance[Nombre Cuenta ()],Estructura_Balance[Nivel 4],"",0)</f>
        <v/>
      </c>
      <c r="R562" s="154" t="str">
        <f>_xlfn.XLOOKUP(Table3[[#This Row],[Cuenta]],Table8[Nombre Cuenta ()],Table8[Nivel 1],"",0)</f>
        <v/>
      </c>
      <c r="S562" t="str">
        <f>_xlfn.XLOOKUP(Table3[[#This Row],[Cuenta]],Table8[Nombre Cuenta ()],Table8[Nivel 2],"",0)</f>
        <v/>
      </c>
      <c r="T562" t="str">
        <f>_xlfn.XLOOKUP(Table3[[#This Row],[Cuenta]],Table8[Nombre Cuenta ()],Table8[Nivel 3],"",0)</f>
        <v/>
      </c>
      <c r="U562">
        <v>968</v>
      </c>
      <c r="V562" t="str">
        <f>_xlfn.XLOOKUP(Table3[[#This Row],[Cuenta]],Estructura_Balance[Nombre Cuenta ()],Estructura_Balance[Niveles:2],"",0)</f>
        <v/>
      </c>
      <c r="W562" t="str">
        <f>_xlfn.XLOOKUP(Table3[[#This Row],[Cuenta]],Estructura_Balance[Nombre Cuenta ()],Estructura_Balance[Niveles:3],"",0)</f>
        <v/>
      </c>
      <c r="X562" t="str">
        <f>_xlfn.XLOOKUP(Table3[[#This Row],[Cuenta]],Estructura_Balance[Nombre Cuenta ()],Estructura_Balance[Grupos],"Grupo 1",0)</f>
        <v>Grupo 1</v>
      </c>
      <c r="Y562" t="str">
        <f>+Table3[[#This Row],[BS_Nivel_1]]</f>
        <v/>
      </c>
    </row>
    <row r="563" spans="1:25">
      <c r="A563">
        <f>+'Libro Diario'!F777</f>
        <v>0</v>
      </c>
      <c r="B563" s="144">
        <f>VALUE(IF(+'Libro Diario'!G777="","01/01/2025",+'Libro Diario'!G777))</f>
        <v>45658</v>
      </c>
      <c r="C563">
        <f>IF(ISNUMBER(+IF(IFERROR(VALUE(MID('Libro Diario'!C777,1,4)),0)&lt;&gt;0,'Libro Diario'!C777,0))=FALSE,'Libro Diario'!C777,0)</f>
        <v>0</v>
      </c>
      <c r="D563" s="145">
        <f>+'Libro Diario'!B777</f>
        <v>0</v>
      </c>
      <c r="E563" s="139" t="s">
        <v>445</v>
      </c>
      <c r="F563" t="str">
        <f t="shared" si="24"/>
        <v>Sin Mov.</v>
      </c>
      <c r="G563" t="str">
        <f>IF(+'Libro Diario'!H777=0,"",+'Libro Diario'!H777)</f>
        <v/>
      </c>
      <c r="H563" t="str">
        <f>IF(+'Libro Diario'!I777=0,"",+'Libro Diario'!I777)</f>
        <v/>
      </c>
      <c r="I563" t="str">
        <f>+IF(Table3[[#This Row],[Tipo Movimiento]]="Estructura Balance y PyG","Excluir","Incluir")</f>
        <v>Incluir</v>
      </c>
      <c r="J563" s="153">
        <f>+IF(Table3[[#This Row],[Sin cuenta]]="Con Mov.",(IF(Table3[[#This Row],[Movimiento]]="Debe",Table3[[#This Row],[Importe]],IF(Table3[[#This Row],[Movimiento]]="Haber",Table3[[#This Row],[Importe]]*-1,0))),0)</f>
        <v>0</v>
      </c>
      <c r="K563" s="145">
        <f t="shared" si="25"/>
        <v>0</v>
      </c>
      <c r="L563" s="145" t="str">
        <f t="shared" si="26"/>
        <v/>
      </c>
      <c r="M563" t="str">
        <f>_xlfn.XLOOKUP(Table3[[#This Row],[Cuenta]],Estructura_Balance[Nombre Cuenta ()],Estructura_Balance[Grupo],"",0)</f>
        <v/>
      </c>
      <c r="N563" t="str">
        <f>_xlfn.XLOOKUP(Table3[[#This Row],[Cuenta]],Estructura_Balance[Nombre Cuenta ()],Estructura_Balance[Nivel 1],"",0)</f>
        <v/>
      </c>
      <c r="O563" t="str">
        <f>_xlfn.XLOOKUP(Table3[[#This Row],[Cuenta]],Estructura_Balance[Nombre Cuenta ()],Estructura_Balance[Nivel 2],"",0)</f>
        <v/>
      </c>
      <c r="P563" t="str">
        <f>_xlfn.XLOOKUP(Table3[[#This Row],[Cuenta]],Estructura_Balance[Nombre Cuenta ()],Estructura_Balance[Nivel 3],"",0)</f>
        <v/>
      </c>
      <c r="Q563" t="str">
        <f>_xlfn.XLOOKUP(Table3[[#This Row],[Cuenta]],Estructura_Balance[Nombre Cuenta ()],Estructura_Balance[Nivel 4],"",0)</f>
        <v/>
      </c>
      <c r="R563" s="154" t="str">
        <f>_xlfn.XLOOKUP(Table3[[#This Row],[Cuenta]],Table8[Nombre Cuenta ()],Table8[Nivel 1],"",0)</f>
        <v/>
      </c>
      <c r="S563" t="str">
        <f>_xlfn.XLOOKUP(Table3[[#This Row],[Cuenta]],Table8[Nombre Cuenta ()],Table8[Nivel 2],"",0)</f>
        <v/>
      </c>
      <c r="T563" t="str">
        <f>_xlfn.XLOOKUP(Table3[[#This Row],[Cuenta]],Table8[Nombre Cuenta ()],Table8[Nivel 3],"",0)</f>
        <v/>
      </c>
      <c r="U563">
        <v>969</v>
      </c>
      <c r="V563" t="str">
        <f>_xlfn.XLOOKUP(Table3[[#This Row],[Cuenta]],Estructura_Balance[Nombre Cuenta ()],Estructura_Balance[Niveles:2],"",0)</f>
        <v/>
      </c>
      <c r="W563" t="str">
        <f>_xlfn.XLOOKUP(Table3[[#This Row],[Cuenta]],Estructura_Balance[Nombre Cuenta ()],Estructura_Balance[Niveles:3],"",0)</f>
        <v/>
      </c>
      <c r="X563" t="str">
        <f>_xlfn.XLOOKUP(Table3[[#This Row],[Cuenta]],Estructura_Balance[Nombre Cuenta ()],Estructura_Balance[Grupos],"Grupo 1",0)</f>
        <v>Grupo 1</v>
      </c>
      <c r="Y563" t="str">
        <f>+Table3[[#This Row],[BS_Nivel_1]]</f>
        <v/>
      </c>
    </row>
    <row r="564" spans="1:25">
      <c r="A564">
        <f>+'Libro Diario'!F778</f>
        <v>0</v>
      </c>
      <c r="B564" s="144">
        <f>VALUE(IF(+'Libro Diario'!G778="","01/01/2025",+'Libro Diario'!G778))</f>
        <v>45658</v>
      </c>
      <c r="C564">
        <f>IF(ISNUMBER(+IF(IFERROR(VALUE(MID('Libro Diario'!C778,1,4)),0)&lt;&gt;0,'Libro Diario'!C778,0))=FALSE,'Libro Diario'!C778,0)</f>
        <v>0</v>
      </c>
      <c r="D564" s="145">
        <f>+'Libro Diario'!B778</f>
        <v>0</v>
      </c>
      <c r="E564" s="139" t="s">
        <v>445</v>
      </c>
      <c r="F564" t="str">
        <f t="shared" si="24"/>
        <v>Sin Mov.</v>
      </c>
      <c r="G564" t="str">
        <f>IF(+'Libro Diario'!H778=0,"",+'Libro Diario'!H778)</f>
        <v/>
      </c>
      <c r="H564" t="str">
        <f>IF(+'Libro Diario'!I778=0,"",+'Libro Diario'!I778)</f>
        <v/>
      </c>
      <c r="I564" t="str">
        <f>+IF(Table3[[#This Row],[Tipo Movimiento]]="Estructura Balance y PyG","Excluir","Incluir")</f>
        <v>Incluir</v>
      </c>
      <c r="J564" s="153">
        <f>+IF(Table3[[#This Row],[Sin cuenta]]="Con Mov.",(IF(Table3[[#This Row],[Movimiento]]="Debe",Table3[[#This Row],[Importe]],IF(Table3[[#This Row],[Movimiento]]="Haber",Table3[[#This Row],[Importe]]*-1,0))),0)</f>
        <v>0</v>
      </c>
      <c r="K564" s="145">
        <f t="shared" si="25"/>
        <v>0</v>
      </c>
      <c r="L564" s="145" t="str">
        <f t="shared" si="26"/>
        <v/>
      </c>
      <c r="M564" t="str">
        <f>_xlfn.XLOOKUP(Table3[[#This Row],[Cuenta]],Estructura_Balance[Nombre Cuenta ()],Estructura_Balance[Grupo],"",0)</f>
        <v/>
      </c>
      <c r="N564" t="str">
        <f>_xlfn.XLOOKUP(Table3[[#This Row],[Cuenta]],Estructura_Balance[Nombre Cuenta ()],Estructura_Balance[Nivel 1],"",0)</f>
        <v/>
      </c>
      <c r="O564" t="str">
        <f>_xlfn.XLOOKUP(Table3[[#This Row],[Cuenta]],Estructura_Balance[Nombre Cuenta ()],Estructura_Balance[Nivel 2],"",0)</f>
        <v/>
      </c>
      <c r="P564" t="str">
        <f>_xlfn.XLOOKUP(Table3[[#This Row],[Cuenta]],Estructura_Balance[Nombre Cuenta ()],Estructura_Balance[Nivel 3],"",0)</f>
        <v/>
      </c>
      <c r="Q564" t="str">
        <f>_xlfn.XLOOKUP(Table3[[#This Row],[Cuenta]],Estructura_Balance[Nombre Cuenta ()],Estructura_Balance[Nivel 4],"",0)</f>
        <v/>
      </c>
      <c r="R564" s="154" t="str">
        <f>_xlfn.XLOOKUP(Table3[[#This Row],[Cuenta]],Table8[Nombre Cuenta ()],Table8[Nivel 1],"",0)</f>
        <v/>
      </c>
      <c r="S564" t="str">
        <f>_xlfn.XLOOKUP(Table3[[#This Row],[Cuenta]],Table8[Nombre Cuenta ()],Table8[Nivel 2],"",0)</f>
        <v/>
      </c>
      <c r="T564" t="str">
        <f>_xlfn.XLOOKUP(Table3[[#This Row],[Cuenta]],Table8[Nombre Cuenta ()],Table8[Nivel 3],"",0)</f>
        <v/>
      </c>
      <c r="U564">
        <v>970</v>
      </c>
      <c r="V564" t="str">
        <f>_xlfn.XLOOKUP(Table3[[#This Row],[Cuenta]],Estructura_Balance[Nombre Cuenta ()],Estructura_Balance[Niveles:2],"",0)</f>
        <v/>
      </c>
      <c r="W564" t="str">
        <f>_xlfn.XLOOKUP(Table3[[#This Row],[Cuenta]],Estructura_Balance[Nombre Cuenta ()],Estructura_Balance[Niveles:3],"",0)</f>
        <v/>
      </c>
      <c r="X564" t="str">
        <f>_xlfn.XLOOKUP(Table3[[#This Row],[Cuenta]],Estructura_Balance[Nombre Cuenta ()],Estructura_Balance[Grupos],"Grupo 1",0)</f>
        <v>Grupo 1</v>
      </c>
      <c r="Y564" t="str">
        <f>+Table3[[#This Row],[BS_Nivel_1]]</f>
        <v/>
      </c>
    </row>
    <row r="565" spans="1:25">
      <c r="A565">
        <f>+'Libro Diario'!F779</f>
        <v>0</v>
      </c>
      <c r="B565" s="144">
        <f>VALUE(IF(+'Libro Diario'!G779="","01/01/2025",+'Libro Diario'!G779))</f>
        <v>45658</v>
      </c>
      <c r="C565">
        <f>IF(ISNUMBER(+IF(IFERROR(VALUE(MID('Libro Diario'!C779,1,4)),0)&lt;&gt;0,'Libro Diario'!C779,0))=FALSE,'Libro Diario'!C779,0)</f>
        <v>0</v>
      </c>
      <c r="D565" s="145">
        <f>+'Libro Diario'!B779</f>
        <v>0</v>
      </c>
      <c r="E565" s="139" t="s">
        <v>445</v>
      </c>
      <c r="F565" t="str">
        <f t="shared" si="24"/>
        <v>Sin Mov.</v>
      </c>
      <c r="G565" t="str">
        <f>IF(+'Libro Diario'!H779=0,"",+'Libro Diario'!H779)</f>
        <v/>
      </c>
      <c r="H565" t="str">
        <f>IF(+'Libro Diario'!I779=0,"",+'Libro Diario'!I779)</f>
        <v/>
      </c>
      <c r="I565" t="str">
        <f>+IF(Table3[[#This Row],[Tipo Movimiento]]="Estructura Balance y PyG","Excluir","Incluir")</f>
        <v>Incluir</v>
      </c>
      <c r="J565" s="153">
        <f>+IF(Table3[[#This Row],[Sin cuenta]]="Con Mov.",(IF(Table3[[#This Row],[Movimiento]]="Debe",Table3[[#This Row],[Importe]],IF(Table3[[#This Row],[Movimiento]]="Haber",Table3[[#This Row],[Importe]]*-1,0))),0)</f>
        <v>0</v>
      </c>
      <c r="K565" s="145">
        <f t="shared" si="25"/>
        <v>0</v>
      </c>
      <c r="L565" s="145" t="str">
        <f t="shared" si="26"/>
        <v/>
      </c>
      <c r="M565" t="str">
        <f>_xlfn.XLOOKUP(Table3[[#This Row],[Cuenta]],Estructura_Balance[Nombre Cuenta ()],Estructura_Balance[Grupo],"",0)</f>
        <v/>
      </c>
      <c r="N565" t="str">
        <f>_xlfn.XLOOKUP(Table3[[#This Row],[Cuenta]],Estructura_Balance[Nombre Cuenta ()],Estructura_Balance[Nivel 1],"",0)</f>
        <v/>
      </c>
      <c r="O565" t="str">
        <f>_xlfn.XLOOKUP(Table3[[#This Row],[Cuenta]],Estructura_Balance[Nombre Cuenta ()],Estructura_Balance[Nivel 2],"",0)</f>
        <v/>
      </c>
      <c r="P565" t="str">
        <f>_xlfn.XLOOKUP(Table3[[#This Row],[Cuenta]],Estructura_Balance[Nombre Cuenta ()],Estructura_Balance[Nivel 3],"",0)</f>
        <v/>
      </c>
      <c r="Q565" t="str">
        <f>_xlfn.XLOOKUP(Table3[[#This Row],[Cuenta]],Estructura_Balance[Nombre Cuenta ()],Estructura_Balance[Nivel 4],"",0)</f>
        <v/>
      </c>
      <c r="R565" s="154" t="str">
        <f>_xlfn.XLOOKUP(Table3[[#This Row],[Cuenta]],Table8[Nombre Cuenta ()],Table8[Nivel 1],"",0)</f>
        <v/>
      </c>
      <c r="S565" t="str">
        <f>_xlfn.XLOOKUP(Table3[[#This Row],[Cuenta]],Table8[Nombre Cuenta ()],Table8[Nivel 2],"",0)</f>
        <v/>
      </c>
      <c r="T565" t="str">
        <f>_xlfn.XLOOKUP(Table3[[#This Row],[Cuenta]],Table8[Nombre Cuenta ()],Table8[Nivel 3],"",0)</f>
        <v/>
      </c>
      <c r="U565">
        <v>971</v>
      </c>
      <c r="V565" t="str">
        <f>_xlfn.XLOOKUP(Table3[[#This Row],[Cuenta]],Estructura_Balance[Nombre Cuenta ()],Estructura_Balance[Niveles:2],"",0)</f>
        <v/>
      </c>
      <c r="W565" t="str">
        <f>_xlfn.XLOOKUP(Table3[[#This Row],[Cuenta]],Estructura_Balance[Nombre Cuenta ()],Estructura_Balance[Niveles:3],"",0)</f>
        <v/>
      </c>
      <c r="X565" t="str">
        <f>_xlfn.XLOOKUP(Table3[[#This Row],[Cuenta]],Estructura_Balance[Nombre Cuenta ()],Estructura_Balance[Grupos],"Grupo 1",0)</f>
        <v>Grupo 1</v>
      </c>
      <c r="Y565" t="str">
        <f>+Table3[[#This Row],[BS_Nivel_1]]</f>
        <v/>
      </c>
    </row>
    <row r="566" spans="1:25">
      <c r="A566">
        <f>+'Libro Diario'!F780</f>
        <v>0</v>
      </c>
      <c r="B566" s="144">
        <f>VALUE(IF(+'Libro Diario'!G780="","01/01/2025",+'Libro Diario'!G780))</f>
        <v>45658</v>
      </c>
      <c r="C566">
        <f>IF(ISNUMBER(+IF(IFERROR(VALUE(MID('Libro Diario'!C780,1,4)),0)&lt;&gt;0,'Libro Diario'!C780,0))=FALSE,'Libro Diario'!C780,0)</f>
        <v>0</v>
      </c>
      <c r="D566" s="145">
        <f>+'Libro Diario'!B780</f>
        <v>0</v>
      </c>
      <c r="E566" s="139" t="s">
        <v>445</v>
      </c>
      <c r="F566" t="str">
        <f t="shared" si="24"/>
        <v>Sin Mov.</v>
      </c>
      <c r="G566" t="str">
        <f>IF(+'Libro Diario'!H780=0,"",+'Libro Diario'!H780)</f>
        <v/>
      </c>
      <c r="H566" t="str">
        <f>IF(+'Libro Diario'!I780=0,"",+'Libro Diario'!I780)</f>
        <v/>
      </c>
      <c r="I566" t="str">
        <f>+IF(Table3[[#This Row],[Tipo Movimiento]]="Estructura Balance y PyG","Excluir","Incluir")</f>
        <v>Incluir</v>
      </c>
      <c r="J566" s="153">
        <f>+IF(Table3[[#This Row],[Sin cuenta]]="Con Mov.",(IF(Table3[[#This Row],[Movimiento]]="Debe",Table3[[#This Row],[Importe]],IF(Table3[[#This Row],[Movimiento]]="Haber",Table3[[#This Row],[Importe]]*-1,0))),0)</f>
        <v>0</v>
      </c>
      <c r="K566" s="145">
        <f t="shared" si="25"/>
        <v>0</v>
      </c>
      <c r="L566" s="145" t="str">
        <f t="shared" si="26"/>
        <v/>
      </c>
      <c r="M566" t="str">
        <f>_xlfn.XLOOKUP(Table3[[#This Row],[Cuenta]],Estructura_Balance[Nombre Cuenta ()],Estructura_Balance[Grupo],"",0)</f>
        <v/>
      </c>
      <c r="N566" t="str">
        <f>_xlfn.XLOOKUP(Table3[[#This Row],[Cuenta]],Estructura_Balance[Nombre Cuenta ()],Estructura_Balance[Nivel 1],"",0)</f>
        <v/>
      </c>
      <c r="O566" t="str">
        <f>_xlfn.XLOOKUP(Table3[[#This Row],[Cuenta]],Estructura_Balance[Nombre Cuenta ()],Estructura_Balance[Nivel 2],"",0)</f>
        <v/>
      </c>
      <c r="P566" t="str">
        <f>_xlfn.XLOOKUP(Table3[[#This Row],[Cuenta]],Estructura_Balance[Nombre Cuenta ()],Estructura_Balance[Nivel 3],"",0)</f>
        <v/>
      </c>
      <c r="Q566" t="str">
        <f>_xlfn.XLOOKUP(Table3[[#This Row],[Cuenta]],Estructura_Balance[Nombre Cuenta ()],Estructura_Balance[Nivel 4],"",0)</f>
        <v/>
      </c>
      <c r="R566" s="154" t="str">
        <f>_xlfn.XLOOKUP(Table3[[#This Row],[Cuenta]],Table8[Nombre Cuenta ()],Table8[Nivel 1],"",0)</f>
        <v/>
      </c>
      <c r="S566" t="str">
        <f>_xlfn.XLOOKUP(Table3[[#This Row],[Cuenta]],Table8[Nombre Cuenta ()],Table8[Nivel 2],"",0)</f>
        <v/>
      </c>
      <c r="T566" t="str">
        <f>_xlfn.XLOOKUP(Table3[[#This Row],[Cuenta]],Table8[Nombre Cuenta ()],Table8[Nivel 3],"",0)</f>
        <v/>
      </c>
      <c r="U566">
        <v>972</v>
      </c>
      <c r="V566" t="str">
        <f>_xlfn.XLOOKUP(Table3[[#This Row],[Cuenta]],Estructura_Balance[Nombre Cuenta ()],Estructura_Balance[Niveles:2],"",0)</f>
        <v/>
      </c>
      <c r="W566" t="str">
        <f>_xlfn.XLOOKUP(Table3[[#This Row],[Cuenta]],Estructura_Balance[Nombre Cuenta ()],Estructura_Balance[Niveles:3],"",0)</f>
        <v/>
      </c>
      <c r="X566" t="str">
        <f>_xlfn.XLOOKUP(Table3[[#This Row],[Cuenta]],Estructura_Balance[Nombre Cuenta ()],Estructura_Balance[Grupos],"Grupo 1",0)</f>
        <v>Grupo 1</v>
      </c>
      <c r="Y566" t="str">
        <f>+Table3[[#This Row],[BS_Nivel_1]]</f>
        <v/>
      </c>
    </row>
    <row r="567" spans="1:25">
      <c r="A567">
        <f>+'Libro Diario'!F781</f>
        <v>0</v>
      </c>
      <c r="B567" s="144">
        <f>VALUE(IF(+'Libro Diario'!G781="","01/01/2025",+'Libro Diario'!G781))</f>
        <v>45658</v>
      </c>
      <c r="C567">
        <f>IF(ISNUMBER(+IF(IFERROR(VALUE(MID('Libro Diario'!C781,1,4)),0)&lt;&gt;0,'Libro Diario'!C781,0))=FALSE,'Libro Diario'!C781,0)</f>
        <v>0</v>
      </c>
      <c r="D567" s="145">
        <f>+'Libro Diario'!B781</f>
        <v>0</v>
      </c>
      <c r="E567" s="139" t="s">
        <v>445</v>
      </c>
      <c r="F567" t="str">
        <f t="shared" si="24"/>
        <v>Sin Mov.</v>
      </c>
      <c r="G567" t="str">
        <f>IF(+'Libro Diario'!H781=0,"",+'Libro Diario'!H781)</f>
        <v/>
      </c>
      <c r="H567" t="str">
        <f>IF(+'Libro Diario'!I781=0,"",+'Libro Diario'!I781)</f>
        <v/>
      </c>
      <c r="I567" t="str">
        <f>+IF(Table3[[#This Row],[Tipo Movimiento]]="Estructura Balance y PyG","Excluir","Incluir")</f>
        <v>Incluir</v>
      </c>
      <c r="J567" s="153">
        <f>+IF(Table3[[#This Row],[Sin cuenta]]="Con Mov.",(IF(Table3[[#This Row],[Movimiento]]="Debe",Table3[[#This Row],[Importe]],IF(Table3[[#This Row],[Movimiento]]="Haber",Table3[[#This Row],[Importe]]*-1,0))),0)</f>
        <v>0</v>
      </c>
      <c r="K567" s="145">
        <f t="shared" si="25"/>
        <v>0</v>
      </c>
      <c r="L567" s="145" t="str">
        <f t="shared" si="26"/>
        <v/>
      </c>
      <c r="M567" t="str">
        <f>_xlfn.XLOOKUP(Table3[[#This Row],[Cuenta]],Estructura_Balance[Nombre Cuenta ()],Estructura_Balance[Grupo],"",0)</f>
        <v/>
      </c>
      <c r="N567" t="str">
        <f>_xlfn.XLOOKUP(Table3[[#This Row],[Cuenta]],Estructura_Balance[Nombre Cuenta ()],Estructura_Balance[Nivel 1],"",0)</f>
        <v/>
      </c>
      <c r="O567" t="str">
        <f>_xlfn.XLOOKUP(Table3[[#This Row],[Cuenta]],Estructura_Balance[Nombre Cuenta ()],Estructura_Balance[Nivel 2],"",0)</f>
        <v/>
      </c>
      <c r="P567" t="str">
        <f>_xlfn.XLOOKUP(Table3[[#This Row],[Cuenta]],Estructura_Balance[Nombre Cuenta ()],Estructura_Balance[Nivel 3],"",0)</f>
        <v/>
      </c>
      <c r="Q567" t="str">
        <f>_xlfn.XLOOKUP(Table3[[#This Row],[Cuenta]],Estructura_Balance[Nombre Cuenta ()],Estructura_Balance[Nivel 4],"",0)</f>
        <v/>
      </c>
      <c r="R567" s="154" t="str">
        <f>_xlfn.XLOOKUP(Table3[[#This Row],[Cuenta]],Table8[Nombre Cuenta ()],Table8[Nivel 1],"",0)</f>
        <v/>
      </c>
      <c r="S567" t="str">
        <f>_xlfn.XLOOKUP(Table3[[#This Row],[Cuenta]],Table8[Nombre Cuenta ()],Table8[Nivel 2],"",0)</f>
        <v/>
      </c>
      <c r="T567" t="str">
        <f>_xlfn.XLOOKUP(Table3[[#This Row],[Cuenta]],Table8[Nombre Cuenta ()],Table8[Nivel 3],"",0)</f>
        <v/>
      </c>
      <c r="U567">
        <v>973</v>
      </c>
      <c r="V567" t="str">
        <f>_xlfn.XLOOKUP(Table3[[#This Row],[Cuenta]],Estructura_Balance[Nombre Cuenta ()],Estructura_Balance[Niveles:2],"",0)</f>
        <v/>
      </c>
      <c r="W567" t="str">
        <f>_xlfn.XLOOKUP(Table3[[#This Row],[Cuenta]],Estructura_Balance[Nombre Cuenta ()],Estructura_Balance[Niveles:3],"",0)</f>
        <v/>
      </c>
      <c r="X567" t="str">
        <f>_xlfn.XLOOKUP(Table3[[#This Row],[Cuenta]],Estructura_Balance[Nombre Cuenta ()],Estructura_Balance[Grupos],"Grupo 1",0)</f>
        <v>Grupo 1</v>
      </c>
      <c r="Y567" t="str">
        <f>+Table3[[#This Row],[BS_Nivel_1]]</f>
        <v/>
      </c>
    </row>
    <row r="568" spans="1:25">
      <c r="A568">
        <f>+'Libro Diario'!F782</f>
        <v>0</v>
      </c>
      <c r="B568" s="144">
        <f>VALUE(IF(+'Libro Diario'!G782="","01/01/2025",+'Libro Diario'!G782))</f>
        <v>45658</v>
      </c>
      <c r="C568">
        <f>IF(ISNUMBER(+IF(IFERROR(VALUE(MID('Libro Diario'!C782,1,4)),0)&lt;&gt;0,'Libro Diario'!C782,0))=FALSE,'Libro Diario'!C782,0)</f>
        <v>0</v>
      </c>
      <c r="D568" s="145">
        <f>+'Libro Diario'!B782</f>
        <v>0</v>
      </c>
      <c r="E568" s="139" t="s">
        <v>445</v>
      </c>
      <c r="F568" t="str">
        <f t="shared" si="24"/>
        <v>Sin Mov.</v>
      </c>
      <c r="G568" t="str">
        <f>IF(+'Libro Diario'!H782=0,"",+'Libro Diario'!H782)</f>
        <v/>
      </c>
      <c r="H568" t="str">
        <f>IF(+'Libro Diario'!I782=0,"",+'Libro Diario'!I782)</f>
        <v/>
      </c>
      <c r="I568" t="str">
        <f>+IF(Table3[[#This Row],[Tipo Movimiento]]="Estructura Balance y PyG","Excluir","Incluir")</f>
        <v>Incluir</v>
      </c>
      <c r="J568" s="153">
        <f>+IF(Table3[[#This Row],[Sin cuenta]]="Con Mov.",(IF(Table3[[#This Row],[Movimiento]]="Debe",Table3[[#This Row],[Importe]],IF(Table3[[#This Row],[Movimiento]]="Haber",Table3[[#This Row],[Importe]]*-1,0))),0)</f>
        <v>0</v>
      </c>
      <c r="K568" s="145">
        <f t="shared" si="25"/>
        <v>0</v>
      </c>
      <c r="L568" s="145" t="str">
        <f t="shared" si="26"/>
        <v/>
      </c>
      <c r="M568" t="str">
        <f>_xlfn.XLOOKUP(Table3[[#This Row],[Cuenta]],Estructura_Balance[Nombre Cuenta ()],Estructura_Balance[Grupo],"",0)</f>
        <v/>
      </c>
      <c r="N568" t="str">
        <f>_xlfn.XLOOKUP(Table3[[#This Row],[Cuenta]],Estructura_Balance[Nombre Cuenta ()],Estructura_Balance[Nivel 1],"",0)</f>
        <v/>
      </c>
      <c r="O568" t="str">
        <f>_xlfn.XLOOKUP(Table3[[#This Row],[Cuenta]],Estructura_Balance[Nombre Cuenta ()],Estructura_Balance[Nivel 2],"",0)</f>
        <v/>
      </c>
      <c r="P568" t="str">
        <f>_xlfn.XLOOKUP(Table3[[#This Row],[Cuenta]],Estructura_Balance[Nombre Cuenta ()],Estructura_Balance[Nivel 3],"",0)</f>
        <v/>
      </c>
      <c r="Q568" t="str">
        <f>_xlfn.XLOOKUP(Table3[[#This Row],[Cuenta]],Estructura_Balance[Nombre Cuenta ()],Estructura_Balance[Nivel 4],"",0)</f>
        <v/>
      </c>
      <c r="R568" s="154" t="str">
        <f>_xlfn.XLOOKUP(Table3[[#This Row],[Cuenta]],Table8[Nombre Cuenta ()],Table8[Nivel 1],"",0)</f>
        <v/>
      </c>
      <c r="S568" t="str">
        <f>_xlfn.XLOOKUP(Table3[[#This Row],[Cuenta]],Table8[Nombre Cuenta ()],Table8[Nivel 2],"",0)</f>
        <v/>
      </c>
      <c r="T568" t="str">
        <f>_xlfn.XLOOKUP(Table3[[#This Row],[Cuenta]],Table8[Nombre Cuenta ()],Table8[Nivel 3],"",0)</f>
        <v/>
      </c>
      <c r="U568">
        <v>974</v>
      </c>
      <c r="V568" t="str">
        <f>_xlfn.XLOOKUP(Table3[[#This Row],[Cuenta]],Estructura_Balance[Nombre Cuenta ()],Estructura_Balance[Niveles:2],"",0)</f>
        <v/>
      </c>
      <c r="W568" t="str">
        <f>_xlfn.XLOOKUP(Table3[[#This Row],[Cuenta]],Estructura_Balance[Nombre Cuenta ()],Estructura_Balance[Niveles:3],"",0)</f>
        <v/>
      </c>
      <c r="X568" t="str">
        <f>_xlfn.XLOOKUP(Table3[[#This Row],[Cuenta]],Estructura_Balance[Nombre Cuenta ()],Estructura_Balance[Grupos],"Grupo 1",0)</f>
        <v>Grupo 1</v>
      </c>
      <c r="Y568" t="str">
        <f>+Table3[[#This Row],[BS_Nivel_1]]</f>
        <v/>
      </c>
    </row>
    <row r="569" spans="1:25">
      <c r="A569">
        <f>+'Libro Diario'!F783</f>
        <v>0</v>
      </c>
      <c r="B569" s="144">
        <f>VALUE(IF(+'Libro Diario'!G783="","01/01/2025",+'Libro Diario'!G783))</f>
        <v>45658</v>
      </c>
      <c r="C569">
        <f>IF(ISNUMBER(+IF(IFERROR(VALUE(MID('Libro Diario'!C783,1,4)),0)&lt;&gt;0,'Libro Diario'!C783,0))=FALSE,'Libro Diario'!C783,0)</f>
        <v>0</v>
      </c>
      <c r="D569" s="145">
        <f>+'Libro Diario'!B783</f>
        <v>0</v>
      </c>
      <c r="E569" s="139" t="s">
        <v>445</v>
      </c>
      <c r="F569" t="str">
        <f t="shared" si="24"/>
        <v>Sin Mov.</v>
      </c>
      <c r="G569" t="str">
        <f>IF(+'Libro Diario'!H783=0,"",+'Libro Diario'!H783)</f>
        <v/>
      </c>
      <c r="H569" t="str">
        <f>IF(+'Libro Diario'!I783=0,"",+'Libro Diario'!I783)</f>
        <v/>
      </c>
      <c r="I569" t="str">
        <f>+IF(Table3[[#This Row],[Tipo Movimiento]]="Estructura Balance y PyG","Excluir","Incluir")</f>
        <v>Incluir</v>
      </c>
      <c r="J569" s="153">
        <f>+IF(Table3[[#This Row],[Sin cuenta]]="Con Mov.",(IF(Table3[[#This Row],[Movimiento]]="Debe",Table3[[#This Row],[Importe]],IF(Table3[[#This Row],[Movimiento]]="Haber",Table3[[#This Row],[Importe]]*-1,0))),0)</f>
        <v>0</v>
      </c>
      <c r="K569" s="145">
        <f t="shared" si="25"/>
        <v>0</v>
      </c>
      <c r="L569" s="145" t="str">
        <f t="shared" si="26"/>
        <v/>
      </c>
      <c r="M569" t="str">
        <f>_xlfn.XLOOKUP(Table3[[#This Row],[Cuenta]],Estructura_Balance[Nombre Cuenta ()],Estructura_Balance[Grupo],"",0)</f>
        <v/>
      </c>
      <c r="N569" t="str">
        <f>_xlfn.XLOOKUP(Table3[[#This Row],[Cuenta]],Estructura_Balance[Nombre Cuenta ()],Estructura_Balance[Nivel 1],"",0)</f>
        <v/>
      </c>
      <c r="O569" t="str">
        <f>_xlfn.XLOOKUP(Table3[[#This Row],[Cuenta]],Estructura_Balance[Nombre Cuenta ()],Estructura_Balance[Nivel 2],"",0)</f>
        <v/>
      </c>
      <c r="P569" t="str">
        <f>_xlfn.XLOOKUP(Table3[[#This Row],[Cuenta]],Estructura_Balance[Nombre Cuenta ()],Estructura_Balance[Nivel 3],"",0)</f>
        <v/>
      </c>
      <c r="Q569" t="str">
        <f>_xlfn.XLOOKUP(Table3[[#This Row],[Cuenta]],Estructura_Balance[Nombre Cuenta ()],Estructura_Balance[Nivel 4],"",0)</f>
        <v/>
      </c>
      <c r="R569" s="154" t="str">
        <f>_xlfn.XLOOKUP(Table3[[#This Row],[Cuenta]],Table8[Nombre Cuenta ()],Table8[Nivel 1],"",0)</f>
        <v/>
      </c>
      <c r="S569" t="str">
        <f>_xlfn.XLOOKUP(Table3[[#This Row],[Cuenta]],Table8[Nombre Cuenta ()],Table8[Nivel 2],"",0)</f>
        <v/>
      </c>
      <c r="T569" t="str">
        <f>_xlfn.XLOOKUP(Table3[[#This Row],[Cuenta]],Table8[Nombre Cuenta ()],Table8[Nivel 3],"",0)</f>
        <v/>
      </c>
      <c r="U569">
        <v>975</v>
      </c>
      <c r="V569" t="str">
        <f>_xlfn.XLOOKUP(Table3[[#This Row],[Cuenta]],Estructura_Balance[Nombre Cuenta ()],Estructura_Balance[Niveles:2],"",0)</f>
        <v/>
      </c>
      <c r="W569" t="str">
        <f>_xlfn.XLOOKUP(Table3[[#This Row],[Cuenta]],Estructura_Balance[Nombre Cuenta ()],Estructura_Balance[Niveles:3],"",0)</f>
        <v/>
      </c>
      <c r="X569" t="str">
        <f>_xlfn.XLOOKUP(Table3[[#This Row],[Cuenta]],Estructura_Balance[Nombre Cuenta ()],Estructura_Balance[Grupos],"Grupo 1",0)</f>
        <v>Grupo 1</v>
      </c>
      <c r="Y569" t="str">
        <f>+Table3[[#This Row],[BS_Nivel_1]]</f>
        <v/>
      </c>
    </row>
    <row r="570" spans="1:25">
      <c r="A570">
        <f>+'Libro Diario'!F784</f>
        <v>0</v>
      </c>
      <c r="B570" s="144">
        <f>VALUE(IF(+'Libro Diario'!G784="","01/01/2025",+'Libro Diario'!G784))</f>
        <v>45658</v>
      </c>
      <c r="C570">
        <f>IF(ISNUMBER(+IF(IFERROR(VALUE(MID('Libro Diario'!C784,1,4)),0)&lt;&gt;0,'Libro Diario'!C784,0))=FALSE,'Libro Diario'!C784,0)</f>
        <v>0</v>
      </c>
      <c r="D570" s="145">
        <f>+'Libro Diario'!B784</f>
        <v>0</v>
      </c>
      <c r="E570" s="139" t="s">
        <v>445</v>
      </c>
      <c r="F570" t="str">
        <f t="shared" si="24"/>
        <v>Sin Mov.</v>
      </c>
      <c r="G570" t="str">
        <f>IF(+'Libro Diario'!H784=0,"",+'Libro Diario'!H784)</f>
        <v/>
      </c>
      <c r="H570" t="str">
        <f>IF(+'Libro Diario'!I784=0,"",+'Libro Diario'!I784)</f>
        <v/>
      </c>
      <c r="I570" t="str">
        <f>+IF(Table3[[#This Row],[Tipo Movimiento]]="Estructura Balance y PyG","Excluir","Incluir")</f>
        <v>Incluir</v>
      </c>
      <c r="J570" s="153">
        <f>+IF(Table3[[#This Row],[Sin cuenta]]="Con Mov.",(IF(Table3[[#This Row],[Movimiento]]="Debe",Table3[[#This Row],[Importe]],IF(Table3[[#This Row],[Movimiento]]="Haber",Table3[[#This Row],[Importe]]*-1,0))),0)</f>
        <v>0</v>
      </c>
      <c r="K570" s="145">
        <f t="shared" si="25"/>
        <v>0</v>
      </c>
      <c r="L570" s="145" t="str">
        <f t="shared" si="26"/>
        <v/>
      </c>
      <c r="M570" t="str">
        <f>_xlfn.XLOOKUP(Table3[[#This Row],[Cuenta]],Estructura_Balance[Nombre Cuenta ()],Estructura_Balance[Grupo],"",0)</f>
        <v/>
      </c>
      <c r="N570" t="str">
        <f>_xlfn.XLOOKUP(Table3[[#This Row],[Cuenta]],Estructura_Balance[Nombre Cuenta ()],Estructura_Balance[Nivel 1],"",0)</f>
        <v/>
      </c>
      <c r="O570" t="str">
        <f>_xlfn.XLOOKUP(Table3[[#This Row],[Cuenta]],Estructura_Balance[Nombre Cuenta ()],Estructura_Balance[Nivel 2],"",0)</f>
        <v/>
      </c>
      <c r="P570" t="str">
        <f>_xlfn.XLOOKUP(Table3[[#This Row],[Cuenta]],Estructura_Balance[Nombre Cuenta ()],Estructura_Balance[Nivel 3],"",0)</f>
        <v/>
      </c>
      <c r="Q570" t="str">
        <f>_xlfn.XLOOKUP(Table3[[#This Row],[Cuenta]],Estructura_Balance[Nombre Cuenta ()],Estructura_Balance[Nivel 4],"",0)</f>
        <v/>
      </c>
      <c r="R570" s="154" t="str">
        <f>_xlfn.XLOOKUP(Table3[[#This Row],[Cuenta]],Table8[Nombre Cuenta ()],Table8[Nivel 1],"",0)</f>
        <v/>
      </c>
      <c r="S570" t="str">
        <f>_xlfn.XLOOKUP(Table3[[#This Row],[Cuenta]],Table8[Nombre Cuenta ()],Table8[Nivel 2],"",0)</f>
        <v/>
      </c>
      <c r="T570" t="str">
        <f>_xlfn.XLOOKUP(Table3[[#This Row],[Cuenta]],Table8[Nombre Cuenta ()],Table8[Nivel 3],"",0)</f>
        <v/>
      </c>
      <c r="U570">
        <v>976</v>
      </c>
      <c r="V570" t="str">
        <f>_xlfn.XLOOKUP(Table3[[#This Row],[Cuenta]],Estructura_Balance[Nombre Cuenta ()],Estructura_Balance[Niveles:2],"",0)</f>
        <v/>
      </c>
      <c r="W570" t="str">
        <f>_xlfn.XLOOKUP(Table3[[#This Row],[Cuenta]],Estructura_Balance[Nombre Cuenta ()],Estructura_Balance[Niveles:3],"",0)</f>
        <v/>
      </c>
      <c r="X570" t="str">
        <f>_xlfn.XLOOKUP(Table3[[#This Row],[Cuenta]],Estructura_Balance[Nombre Cuenta ()],Estructura_Balance[Grupos],"Grupo 1",0)</f>
        <v>Grupo 1</v>
      </c>
      <c r="Y570" t="str">
        <f>+Table3[[#This Row],[BS_Nivel_1]]</f>
        <v/>
      </c>
    </row>
    <row r="571" spans="1:25">
      <c r="A571">
        <f>+'Libro Diario'!F785</f>
        <v>0</v>
      </c>
      <c r="B571" s="144">
        <f>VALUE(IF(+'Libro Diario'!G785="","01/01/2025",+'Libro Diario'!G785))</f>
        <v>45658</v>
      </c>
      <c r="C571">
        <f>IF(ISNUMBER(+IF(IFERROR(VALUE(MID('Libro Diario'!C785,1,4)),0)&lt;&gt;0,'Libro Diario'!C785,0))=FALSE,'Libro Diario'!C785,0)</f>
        <v>0</v>
      </c>
      <c r="D571" s="145">
        <f>+'Libro Diario'!B785</f>
        <v>0</v>
      </c>
      <c r="E571" s="139" t="s">
        <v>445</v>
      </c>
      <c r="F571" t="str">
        <f t="shared" si="24"/>
        <v>Sin Mov.</v>
      </c>
      <c r="G571" t="str">
        <f>IF(+'Libro Diario'!H785=0,"",+'Libro Diario'!H785)</f>
        <v/>
      </c>
      <c r="H571" t="str">
        <f>IF(+'Libro Diario'!I785=0,"",+'Libro Diario'!I785)</f>
        <v/>
      </c>
      <c r="I571" t="str">
        <f>+IF(Table3[[#This Row],[Tipo Movimiento]]="Estructura Balance y PyG","Excluir","Incluir")</f>
        <v>Incluir</v>
      </c>
      <c r="J571" s="153">
        <f>+IF(Table3[[#This Row],[Sin cuenta]]="Con Mov.",(IF(Table3[[#This Row],[Movimiento]]="Debe",Table3[[#This Row],[Importe]],IF(Table3[[#This Row],[Movimiento]]="Haber",Table3[[#This Row],[Importe]]*-1,0))),0)</f>
        <v>0</v>
      </c>
      <c r="K571" s="145">
        <f t="shared" si="25"/>
        <v>0</v>
      </c>
      <c r="L571" s="145" t="str">
        <f t="shared" si="26"/>
        <v/>
      </c>
      <c r="M571" t="str">
        <f>_xlfn.XLOOKUP(Table3[[#This Row],[Cuenta]],Estructura_Balance[Nombre Cuenta ()],Estructura_Balance[Grupo],"",0)</f>
        <v/>
      </c>
      <c r="N571" t="str">
        <f>_xlfn.XLOOKUP(Table3[[#This Row],[Cuenta]],Estructura_Balance[Nombre Cuenta ()],Estructura_Balance[Nivel 1],"",0)</f>
        <v/>
      </c>
      <c r="O571" t="str">
        <f>_xlfn.XLOOKUP(Table3[[#This Row],[Cuenta]],Estructura_Balance[Nombre Cuenta ()],Estructura_Balance[Nivel 2],"",0)</f>
        <v/>
      </c>
      <c r="P571" t="str">
        <f>_xlfn.XLOOKUP(Table3[[#This Row],[Cuenta]],Estructura_Balance[Nombre Cuenta ()],Estructura_Balance[Nivel 3],"",0)</f>
        <v/>
      </c>
      <c r="Q571" t="str">
        <f>_xlfn.XLOOKUP(Table3[[#This Row],[Cuenta]],Estructura_Balance[Nombre Cuenta ()],Estructura_Balance[Nivel 4],"",0)</f>
        <v/>
      </c>
      <c r="R571" s="154" t="str">
        <f>_xlfn.XLOOKUP(Table3[[#This Row],[Cuenta]],Table8[Nombre Cuenta ()],Table8[Nivel 1],"",0)</f>
        <v/>
      </c>
      <c r="S571" t="str">
        <f>_xlfn.XLOOKUP(Table3[[#This Row],[Cuenta]],Table8[Nombre Cuenta ()],Table8[Nivel 2],"",0)</f>
        <v/>
      </c>
      <c r="T571" t="str">
        <f>_xlfn.XLOOKUP(Table3[[#This Row],[Cuenta]],Table8[Nombre Cuenta ()],Table8[Nivel 3],"",0)</f>
        <v/>
      </c>
      <c r="U571">
        <v>977</v>
      </c>
      <c r="V571" t="str">
        <f>_xlfn.XLOOKUP(Table3[[#This Row],[Cuenta]],Estructura_Balance[Nombre Cuenta ()],Estructura_Balance[Niveles:2],"",0)</f>
        <v/>
      </c>
      <c r="W571" t="str">
        <f>_xlfn.XLOOKUP(Table3[[#This Row],[Cuenta]],Estructura_Balance[Nombre Cuenta ()],Estructura_Balance[Niveles:3],"",0)</f>
        <v/>
      </c>
      <c r="X571" t="str">
        <f>_xlfn.XLOOKUP(Table3[[#This Row],[Cuenta]],Estructura_Balance[Nombre Cuenta ()],Estructura_Balance[Grupos],"Grupo 1",0)</f>
        <v>Grupo 1</v>
      </c>
      <c r="Y571" t="str">
        <f>+Table3[[#This Row],[BS_Nivel_1]]</f>
        <v/>
      </c>
    </row>
    <row r="572" spans="1:25">
      <c r="A572">
        <f>+'Libro Diario'!F786</f>
        <v>0</v>
      </c>
      <c r="B572" s="144">
        <f>VALUE(IF(+'Libro Diario'!G786="","01/01/2025",+'Libro Diario'!G786))</f>
        <v>45658</v>
      </c>
      <c r="C572">
        <f>IF(ISNUMBER(+IF(IFERROR(VALUE(MID('Libro Diario'!C786,1,4)),0)&lt;&gt;0,'Libro Diario'!C786,0))=FALSE,'Libro Diario'!C786,0)</f>
        <v>0</v>
      </c>
      <c r="D572" s="145">
        <f>+'Libro Diario'!B786</f>
        <v>0</v>
      </c>
      <c r="E572" s="139" t="s">
        <v>445</v>
      </c>
      <c r="F572" t="str">
        <f t="shared" si="24"/>
        <v>Sin Mov.</v>
      </c>
      <c r="G572" t="str">
        <f>IF(+'Libro Diario'!H786=0,"",+'Libro Diario'!H786)</f>
        <v/>
      </c>
      <c r="H572" t="str">
        <f>IF(+'Libro Diario'!I786=0,"",+'Libro Diario'!I786)</f>
        <v/>
      </c>
      <c r="I572" t="str">
        <f>+IF(Table3[[#This Row],[Tipo Movimiento]]="Estructura Balance y PyG","Excluir","Incluir")</f>
        <v>Incluir</v>
      </c>
      <c r="J572" s="153">
        <f>+IF(Table3[[#This Row],[Sin cuenta]]="Con Mov.",(IF(Table3[[#This Row],[Movimiento]]="Debe",Table3[[#This Row],[Importe]],IF(Table3[[#This Row],[Movimiento]]="Haber",Table3[[#This Row],[Importe]]*-1,0))),0)</f>
        <v>0</v>
      </c>
      <c r="K572" s="145">
        <f t="shared" si="25"/>
        <v>0</v>
      </c>
      <c r="L572" s="145" t="str">
        <f t="shared" si="26"/>
        <v/>
      </c>
      <c r="M572" t="str">
        <f>_xlfn.XLOOKUP(Table3[[#This Row],[Cuenta]],Estructura_Balance[Nombre Cuenta ()],Estructura_Balance[Grupo],"",0)</f>
        <v/>
      </c>
      <c r="N572" t="str">
        <f>_xlfn.XLOOKUP(Table3[[#This Row],[Cuenta]],Estructura_Balance[Nombre Cuenta ()],Estructura_Balance[Nivel 1],"",0)</f>
        <v/>
      </c>
      <c r="O572" t="str">
        <f>_xlfn.XLOOKUP(Table3[[#This Row],[Cuenta]],Estructura_Balance[Nombre Cuenta ()],Estructura_Balance[Nivel 2],"",0)</f>
        <v/>
      </c>
      <c r="P572" t="str">
        <f>_xlfn.XLOOKUP(Table3[[#This Row],[Cuenta]],Estructura_Balance[Nombre Cuenta ()],Estructura_Balance[Nivel 3],"",0)</f>
        <v/>
      </c>
      <c r="Q572" t="str">
        <f>_xlfn.XLOOKUP(Table3[[#This Row],[Cuenta]],Estructura_Balance[Nombre Cuenta ()],Estructura_Balance[Nivel 4],"",0)</f>
        <v/>
      </c>
      <c r="R572" s="154" t="str">
        <f>_xlfn.XLOOKUP(Table3[[#This Row],[Cuenta]],Table8[Nombre Cuenta ()],Table8[Nivel 1],"",0)</f>
        <v/>
      </c>
      <c r="S572" t="str">
        <f>_xlfn.XLOOKUP(Table3[[#This Row],[Cuenta]],Table8[Nombre Cuenta ()],Table8[Nivel 2],"",0)</f>
        <v/>
      </c>
      <c r="T572" t="str">
        <f>_xlfn.XLOOKUP(Table3[[#This Row],[Cuenta]],Table8[Nombre Cuenta ()],Table8[Nivel 3],"",0)</f>
        <v/>
      </c>
      <c r="U572">
        <v>978</v>
      </c>
      <c r="V572" t="str">
        <f>_xlfn.XLOOKUP(Table3[[#This Row],[Cuenta]],Estructura_Balance[Nombre Cuenta ()],Estructura_Balance[Niveles:2],"",0)</f>
        <v/>
      </c>
      <c r="W572" t="str">
        <f>_xlfn.XLOOKUP(Table3[[#This Row],[Cuenta]],Estructura_Balance[Nombre Cuenta ()],Estructura_Balance[Niveles:3],"",0)</f>
        <v/>
      </c>
      <c r="X572" t="str">
        <f>_xlfn.XLOOKUP(Table3[[#This Row],[Cuenta]],Estructura_Balance[Nombre Cuenta ()],Estructura_Balance[Grupos],"Grupo 1",0)</f>
        <v>Grupo 1</v>
      </c>
      <c r="Y572" t="str">
        <f>+Table3[[#This Row],[BS_Nivel_1]]</f>
        <v/>
      </c>
    </row>
    <row r="573" spans="1:25">
      <c r="A573">
        <f>+'Libro Diario'!F787</f>
        <v>0</v>
      </c>
      <c r="B573" s="144">
        <f>VALUE(IF(+'Libro Diario'!G787="","01/01/2025",+'Libro Diario'!G787))</f>
        <v>45658</v>
      </c>
      <c r="C573">
        <f>IF(ISNUMBER(+IF(IFERROR(VALUE(MID('Libro Diario'!C787,1,4)),0)&lt;&gt;0,'Libro Diario'!C787,0))=FALSE,'Libro Diario'!C787,0)</f>
        <v>0</v>
      </c>
      <c r="D573" s="145">
        <f>+'Libro Diario'!B787</f>
        <v>0</v>
      </c>
      <c r="E573" s="139" t="s">
        <v>445</v>
      </c>
      <c r="F573" t="str">
        <f t="shared" si="24"/>
        <v>Sin Mov.</v>
      </c>
      <c r="G573" t="str">
        <f>IF(+'Libro Diario'!H787=0,"",+'Libro Diario'!H787)</f>
        <v/>
      </c>
      <c r="H573" t="str">
        <f>IF(+'Libro Diario'!I787=0,"",+'Libro Diario'!I787)</f>
        <v/>
      </c>
      <c r="I573" t="str">
        <f>+IF(Table3[[#This Row],[Tipo Movimiento]]="Estructura Balance y PyG","Excluir","Incluir")</f>
        <v>Incluir</v>
      </c>
      <c r="J573" s="153">
        <f>+IF(Table3[[#This Row],[Sin cuenta]]="Con Mov.",(IF(Table3[[#This Row],[Movimiento]]="Debe",Table3[[#This Row],[Importe]],IF(Table3[[#This Row],[Movimiento]]="Haber",Table3[[#This Row],[Importe]]*-1,0))),0)</f>
        <v>0</v>
      </c>
      <c r="K573" s="145">
        <f t="shared" si="25"/>
        <v>0</v>
      </c>
      <c r="L573" s="145" t="str">
        <f t="shared" si="26"/>
        <v/>
      </c>
      <c r="M573" t="str">
        <f>_xlfn.XLOOKUP(Table3[[#This Row],[Cuenta]],Estructura_Balance[Nombre Cuenta ()],Estructura_Balance[Grupo],"",0)</f>
        <v/>
      </c>
      <c r="N573" t="str">
        <f>_xlfn.XLOOKUP(Table3[[#This Row],[Cuenta]],Estructura_Balance[Nombre Cuenta ()],Estructura_Balance[Nivel 1],"",0)</f>
        <v/>
      </c>
      <c r="O573" t="str">
        <f>_xlfn.XLOOKUP(Table3[[#This Row],[Cuenta]],Estructura_Balance[Nombre Cuenta ()],Estructura_Balance[Nivel 2],"",0)</f>
        <v/>
      </c>
      <c r="P573" t="str">
        <f>_xlfn.XLOOKUP(Table3[[#This Row],[Cuenta]],Estructura_Balance[Nombre Cuenta ()],Estructura_Balance[Nivel 3],"",0)</f>
        <v/>
      </c>
      <c r="Q573" t="str">
        <f>_xlfn.XLOOKUP(Table3[[#This Row],[Cuenta]],Estructura_Balance[Nombre Cuenta ()],Estructura_Balance[Nivel 4],"",0)</f>
        <v/>
      </c>
      <c r="R573" s="154" t="str">
        <f>_xlfn.XLOOKUP(Table3[[#This Row],[Cuenta]],Table8[Nombre Cuenta ()],Table8[Nivel 1],"",0)</f>
        <v/>
      </c>
      <c r="S573" t="str">
        <f>_xlfn.XLOOKUP(Table3[[#This Row],[Cuenta]],Table8[Nombre Cuenta ()],Table8[Nivel 2],"",0)</f>
        <v/>
      </c>
      <c r="T573" t="str">
        <f>_xlfn.XLOOKUP(Table3[[#This Row],[Cuenta]],Table8[Nombre Cuenta ()],Table8[Nivel 3],"",0)</f>
        <v/>
      </c>
      <c r="U573">
        <v>979</v>
      </c>
      <c r="V573" t="str">
        <f>_xlfn.XLOOKUP(Table3[[#This Row],[Cuenta]],Estructura_Balance[Nombre Cuenta ()],Estructura_Balance[Niveles:2],"",0)</f>
        <v/>
      </c>
      <c r="W573" t="str">
        <f>_xlfn.XLOOKUP(Table3[[#This Row],[Cuenta]],Estructura_Balance[Nombre Cuenta ()],Estructura_Balance[Niveles:3],"",0)</f>
        <v/>
      </c>
      <c r="X573" t="str">
        <f>_xlfn.XLOOKUP(Table3[[#This Row],[Cuenta]],Estructura_Balance[Nombre Cuenta ()],Estructura_Balance[Grupos],"Grupo 1",0)</f>
        <v>Grupo 1</v>
      </c>
      <c r="Y573" t="str">
        <f>+Table3[[#This Row],[BS_Nivel_1]]</f>
        <v/>
      </c>
    </row>
    <row r="574" spans="1:25">
      <c r="A574">
        <f>+'Libro Diario'!F788</f>
        <v>0</v>
      </c>
      <c r="B574" s="144">
        <f>VALUE(IF(+'Libro Diario'!G788="","01/01/2025",+'Libro Diario'!G788))</f>
        <v>45658</v>
      </c>
      <c r="C574">
        <f>IF(ISNUMBER(+IF(IFERROR(VALUE(MID('Libro Diario'!C788,1,4)),0)&lt;&gt;0,'Libro Diario'!C788,0))=FALSE,'Libro Diario'!C788,0)</f>
        <v>0</v>
      </c>
      <c r="D574" s="145">
        <f>+'Libro Diario'!B788</f>
        <v>0</v>
      </c>
      <c r="E574" s="139" t="s">
        <v>445</v>
      </c>
      <c r="F574" t="str">
        <f t="shared" si="24"/>
        <v>Sin Mov.</v>
      </c>
      <c r="G574" t="str">
        <f>IF(+'Libro Diario'!H788=0,"",+'Libro Diario'!H788)</f>
        <v/>
      </c>
      <c r="H574" t="str">
        <f>IF(+'Libro Diario'!I788=0,"",+'Libro Diario'!I788)</f>
        <v/>
      </c>
      <c r="I574" t="str">
        <f>+IF(Table3[[#This Row],[Tipo Movimiento]]="Estructura Balance y PyG","Excluir","Incluir")</f>
        <v>Incluir</v>
      </c>
      <c r="J574" s="153">
        <f>+IF(Table3[[#This Row],[Sin cuenta]]="Con Mov.",(IF(Table3[[#This Row],[Movimiento]]="Debe",Table3[[#This Row],[Importe]],IF(Table3[[#This Row],[Movimiento]]="Haber",Table3[[#This Row],[Importe]]*-1,0))),0)</f>
        <v>0</v>
      </c>
      <c r="K574" s="145">
        <f t="shared" si="25"/>
        <v>0</v>
      </c>
      <c r="L574" s="145" t="str">
        <f t="shared" si="26"/>
        <v/>
      </c>
      <c r="M574" t="str">
        <f>_xlfn.XLOOKUP(Table3[[#This Row],[Cuenta]],Estructura_Balance[Nombre Cuenta ()],Estructura_Balance[Grupo],"",0)</f>
        <v/>
      </c>
      <c r="N574" t="str">
        <f>_xlfn.XLOOKUP(Table3[[#This Row],[Cuenta]],Estructura_Balance[Nombre Cuenta ()],Estructura_Balance[Nivel 1],"",0)</f>
        <v/>
      </c>
      <c r="O574" t="str">
        <f>_xlfn.XLOOKUP(Table3[[#This Row],[Cuenta]],Estructura_Balance[Nombre Cuenta ()],Estructura_Balance[Nivel 2],"",0)</f>
        <v/>
      </c>
      <c r="P574" t="str">
        <f>_xlfn.XLOOKUP(Table3[[#This Row],[Cuenta]],Estructura_Balance[Nombre Cuenta ()],Estructura_Balance[Nivel 3],"",0)</f>
        <v/>
      </c>
      <c r="Q574" t="str">
        <f>_xlfn.XLOOKUP(Table3[[#This Row],[Cuenta]],Estructura_Balance[Nombre Cuenta ()],Estructura_Balance[Nivel 4],"",0)</f>
        <v/>
      </c>
      <c r="R574" s="154" t="str">
        <f>_xlfn.XLOOKUP(Table3[[#This Row],[Cuenta]],Table8[Nombre Cuenta ()],Table8[Nivel 1],"",0)</f>
        <v/>
      </c>
      <c r="S574" t="str">
        <f>_xlfn.XLOOKUP(Table3[[#This Row],[Cuenta]],Table8[Nombre Cuenta ()],Table8[Nivel 2],"",0)</f>
        <v/>
      </c>
      <c r="T574" t="str">
        <f>_xlfn.XLOOKUP(Table3[[#This Row],[Cuenta]],Table8[Nombre Cuenta ()],Table8[Nivel 3],"",0)</f>
        <v/>
      </c>
      <c r="U574">
        <v>980</v>
      </c>
      <c r="V574" t="str">
        <f>_xlfn.XLOOKUP(Table3[[#This Row],[Cuenta]],Estructura_Balance[Nombre Cuenta ()],Estructura_Balance[Niveles:2],"",0)</f>
        <v/>
      </c>
      <c r="W574" t="str">
        <f>_xlfn.XLOOKUP(Table3[[#This Row],[Cuenta]],Estructura_Balance[Nombre Cuenta ()],Estructura_Balance[Niveles:3],"",0)</f>
        <v/>
      </c>
      <c r="X574" t="str">
        <f>_xlfn.XLOOKUP(Table3[[#This Row],[Cuenta]],Estructura_Balance[Nombre Cuenta ()],Estructura_Balance[Grupos],"Grupo 1",0)</f>
        <v>Grupo 1</v>
      </c>
      <c r="Y574" t="str">
        <f>+Table3[[#This Row],[BS_Nivel_1]]</f>
        <v/>
      </c>
    </row>
    <row r="575" spans="1:25">
      <c r="A575">
        <f>+'Libro Diario'!F789</f>
        <v>0</v>
      </c>
      <c r="B575" s="144">
        <f>VALUE(IF(+'Libro Diario'!G789="","01/01/2025",+'Libro Diario'!G789))</f>
        <v>45658</v>
      </c>
      <c r="C575">
        <f>IF(ISNUMBER(+IF(IFERROR(VALUE(MID('Libro Diario'!C789,1,4)),0)&lt;&gt;0,'Libro Diario'!C789,0))=FALSE,'Libro Diario'!C789,0)</f>
        <v>0</v>
      </c>
      <c r="D575" s="145">
        <f>+'Libro Diario'!B789</f>
        <v>0</v>
      </c>
      <c r="E575" s="139" t="s">
        <v>445</v>
      </c>
      <c r="F575" t="str">
        <f t="shared" si="24"/>
        <v>Sin Mov.</v>
      </c>
      <c r="G575" t="str">
        <f>IF(+'Libro Diario'!H789=0,"",+'Libro Diario'!H789)</f>
        <v/>
      </c>
      <c r="H575" t="str">
        <f>IF(+'Libro Diario'!I789=0,"",+'Libro Diario'!I789)</f>
        <v/>
      </c>
      <c r="I575" t="str">
        <f>+IF(Table3[[#This Row],[Tipo Movimiento]]="Estructura Balance y PyG","Excluir","Incluir")</f>
        <v>Incluir</v>
      </c>
      <c r="J575" s="153">
        <f>+IF(Table3[[#This Row],[Sin cuenta]]="Con Mov.",(IF(Table3[[#This Row],[Movimiento]]="Debe",Table3[[#This Row],[Importe]],IF(Table3[[#This Row],[Movimiento]]="Haber",Table3[[#This Row],[Importe]]*-1,0))),0)</f>
        <v>0</v>
      </c>
      <c r="K575" s="145">
        <f t="shared" si="25"/>
        <v>0</v>
      </c>
      <c r="L575" s="145" t="str">
        <f t="shared" si="26"/>
        <v/>
      </c>
      <c r="M575" t="str">
        <f>_xlfn.XLOOKUP(Table3[[#This Row],[Cuenta]],Estructura_Balance[Nombre Cuenta ()],Estructura_Balance[Grupo],"",0)</f>
        <v/>
      </c>
      <c r="N575" t="str">
        <f>_xlfn.XLOOKUP(Table3[[#This Row],[Cuenta]],Estructura_Balance[Nombre Cuenta ()],Estructura_Balance[Nivel 1],"",0)</f>
        <v/>
      </c>
      <c r="O575" t="str">
        <f>_xlfn.XLOOKUP(Table3[[#This Row],[Cuenta]],Estructura_Balance[Nombre Cuenta ()],Estructura_Balance[Nivel 2],"",0)</f>
        <v/>
      </c>
      <c r="P575" t="str">
        <f>_xlfn.XLOOKUP(Table3[[#This Row],[Cuenta]],Estructura_Balance[Nombre Cuenta ()],Estructura_Balance[Nivel 3],"",0)</f>
        <v/>
      </c>
      <c r="Q575" t="str">
        <f>_xlfn.XLOOKUP(Table3[[#This Row],[Cuenta]],Estructura_Balance[Nombre Cuenta ()],Estructura_Balance[Nivel 4],"",0)</f>
        <v/>
      </c>
      <c r="R575" s="154" t="str">
        <f>_xlfn.XLOOKUP(Table3[[#This Row],[Cuenta]],Table8[Nombre Cuenta ()],Table8[Nivel 1],"",0)</f>
        <v/>
      </c>
      <c r="S575" t="str">
        <f>_xlfn.XLOOKUP(Table3[[#This Row],[Cuenta]],Table8[Nombre Cuenta ()],Table8[Nivel 2],"",0)</f>
        <v/>
      </c>
      <c r="T575" t="str">
        <f>_xlfn.XLOOKUP(Table3[[#This Row],[Cuenta]],Table8[Nombre Cuenta ()],Table8[Nivel 3],"",0)</f>
        <v/>
      </c>
      <c r="U575">
        <v>981</v>
      </c>
      <c r="V575" t="str">
        <f>_xlfn.XLOOKUP(Table3[[#This Row],[Cuenta]],Estructura_Balance[Nombre Cuenta ()],Estructura_Balance[Niveles:2],"",0)</f>
        <v/>
      </c>
      <c r="W575" t="str">
        <f>_xlfn.XLOOKUP(Table3[[#This Row],[Cuenta]],Estructura_Balance[Nombre Cuenta ()],Estructura_Balance[Niveles:3],"",0)</f>
        <v/>
      </c>
      <c r="X575" t="str">
        <f>_xlfn.XLOOKUP(Table3[[#This Row],[Cuenta]],Estructura_Balance[Nombre Cuenta ()],Estructura_Balance[Grupos],"Grupo 1",0)</f>
        <v>Grupo 1</v>
      </c>
      <c r="Y575" t="str">
        <f>+Table3[[#This Row],[BS_Nivel_1]]</f>
        <v/>
      </c>
    </row>
    <row r="576" spans="1:25">
      <c r="A576">
        <f>+'Libro Diario'!F790</f>
        <v>0</v>
      </c>
      <c r="B576" s="144">
        <f>VALUE(IF(+'Libro Diario'!G790="","01/01/2025",+'Libro Diario'!G790))</f>
        <v>45658</v>
      </c>
      <c r="C576">
        <f>IF(ISNUMBER(+IF(IFERROR(VALUE(MID('Libro Diario'!C790,1,4)),0)&lt;&gt;0,'Libro Diario'!C790,0))=FALSE,'Libro Diario'!C790,0)</f>
        <v>0</v>
      </c>
      <c r="D576" s="145">
        <f>+'Libro Diario'!B790</f>
        <v>0</v>
      </c>
      <c r="E576" s="139" t="s">
        <v>445</v>
      </c>
      <c r="F576" t="str">
        <f t="shared" si="24"/>
        <v>Sin Mov.</v>
      </c>
      <c r="G576" t="str">
        <f>IF(+'Libro Diario'!H790=0,"",+'Libro Diario'!H790)</f>
        <v/>
      </c>
      <c r="H576" t="str">
        <f>IF(+'Libro Diario'!I790=0,"",+'Libro Diario'!I790)</f>
        <v/>
      </c>
      <c r="I576" t="str">
        <f>+IF(Table3[[#This Row],[Tipo Movimiento]]="Estructura Balance y PyG","Excluir","Incluir")</f>
        <v>Incluir</v>
      </c>
      <c r="J576" s="153">
        <f>+IF(Table3[[#This Row],[Sin cuenta]]="Con Mov.",(IF(Table3[[#This Row],[Movimiento]]="Debe",Table3[[#This Row],[Importe]],IF(Table3[[#This Row],[Movimiento]]="Haber",Table3[[#This Row],[Importe]]*-1,0))),0)</f>
        <v>0</v>
      </c>
      <c r="K576" s="145">
        <f t="shared" si="25"/>
        <v>0</v>
      </c>
      <c r="L576" s="145" t="str">
        <f t="shared" si="26"/>
        <v/>
      </c>
      <c r="M576" t="str">
        <f>_xlfn.XLOOKUP(Table3[[#This Row],[Cuenta]],Estructura_Balance[Nombre Cuenta ()],Estructura_Balance[Grupo],"",0)</f>
        <v/>
      </c>
      <c r="N576" t="str">
        <f>_xlfn.XLOOKUP(Table3[[#This Row],[Cuenta]],Estructura_Balance[Nombre Cuenta ()],Estructura_Balance[Nivel 1],"",0)</f>
        <v/>
      </c>
      <c r="O576" t="str">
        <f>_xlfn.XLOOKUP(Table3[[#This Row],[Cuenta]],Estructura_Balance[Nombre Cuenta ()],Estructura_Balance[Nivel 2],"",0)</f>
        <v/>
      </c>
      <c r="P576" t="str">
        <f>_xlfn.XLOOKUP(Table3[[#This Row],[Cuenta]],Estructura_Balance[Nombre Cuenta ()],Estructura_Balance[Nivel 3],"",0)</f>
        <v/>
      </c>
      <c r="Q576" t="str">
        <f>_xlfn.XLOOKUP(Table3[[#This Row],[Cuenta]],Estructura_Balance[Nombre Cuenta ()],Estructura_Balance[Nivel 4],"",0)</f>
        <v/>
      </c>
      <c r="R576" s="154" t="str">
        <f>_xlfn.XLOOKUP(Table3[[#This Row],[Cuenta]],Table8[Nombre Cuenta ()],Table8[Nivel 1],"",0)</f>
        <v/>
      </c>
      <c r="S576" t="str">
        <f>_xlfn.XLOOKUP(Table3[[#This Row],[Cuenta]],Table8[Nombre Cuenta ()],Table8[Nivel 2],"",0)</f>
        <v/>
      </c>
      <c r="T576" t="str">
        <f>_xlfn.XLOOKUP(Table3[[#This Row],[Cuenta]],Table8[Nombre Cuenta ()],Table8[Nivel 3],"",0)</f>
        <v/>
      </c>
      <c r="U576">
        <v>982</v>
      </c>
      <c r="V576" t="str">
        <f>_xlfn.XLOOKUP(Table3[[#This Row],[Cuenta]],Estructura_Balance[Nombre Cuenta ()],Estructura_Balance[Niveles:2],"",0)</f>
        <v/>
      </c>
      <c r="W576" t="str">
        <f>_xlfn.XLOOKUP(Table3[[#This Row],[Cuenta]],Estructura_Balance[Nombre Cuenta ()],Estructura_Balance[Niveles:3],"",0)</f>
        <v/>
      </c>
      <c r="X576" t="str">
        <f>_xlfn.XLOOKUP(Table3[[#This Row],[Cuenta]],Estructura_Balance[Nombre Cuenta ()],Estructura_Balance[Grupos],"Grupo 1",0)</f>
        <v>Grupo 1</v>
      </c>
      <c r="Y576" t="str">
        <f>+Table3[[#This Row],[BS_Nivel_1]]</f>
        <v/>
      </c>
    </row>
    <row r="577" spans="1:25">
      <c r="A577">
        <f>+'Libro Diario'!F791</f>
        <v>0</v>
      </c>
      <c r="B577" s="144">
        <f>VALUE(IF(+'Libro Diario'!G791="","01/01/2025",+'Libro Diario'!G791))</f>
        <v>45658</v>
      </c>
      <c r="C577">
        <f>IF(ISNUMBER(+IF(IFERROR(VALUE(MID('Libro Diario'!C791,1,4)),0)&lt;&gt;0,'Libro Diario'!C791,0))=FALSE,'Libro Diario'!C791,0)</f>
        <v>0</v>
      </c>
      <c r="D577" s="145">
        <f>+'Libro Diario'!B791</f>
        <v>0</v>
      </c>
      <c r="E577" s="139" t="s">
        <v>445</v>
      </c>
      <c r="F577" t="str">
        <f t="shared" si="24"/>
        <v>Sin Mov.</v>
      </c>
      <c r="G577" t="str">
        <f>IF(+'Libro Diario'!H791=0,"",+'Libro Diario'!H791)</f>
        <v/>
      </c>
      <c r="H577" t="str">
        <f>IF(+'Libro Diario'!I791=0,"",+'Libro Diario'!I791)</f>
        <v/>
      </c>
      <c r="I577" t="str">
        <f>+IF(Table3[[#This Row],[Tipo Movimiento]]="Estructura Balance y PyG","Excluir","Incluir")</f>
        <v>Incluir</v>
      </c>
      <c r="J577" s="153">
        <f>+IF(Table3[[#This Row],[Sin cuenta]]="Con Mov.",(IF(Table3[[#This Row],[Movimiento]]="Debe",Table3[[#This Row],[Importe]],IF(Table3[[#This Row],[Movimiento]]="Haber",Table3[[#This Row],[Importe]]*-1,0))),0)</f>
        <v>0</v>
      </c>
      <c r="K577" s="145">
        <f t="shared" si="25"/>
        <v>0</v>
      </c>
      <c r="L577" s="145" t="str">
        <f t="shared" si="26"/>
        <v/>
      </c>
      <c r="M577" t="str">
        <f>_xlfn.XLOOKUP(Table3[[#This Row],[Cuenta]],Estructura_Balance[Nombre Cuenta ()],Estructura_Balance[Grupo],"",0)</f>
        <v/>
      </c>
      <c r="N577" t="str">
        <f>_xlfn.XLOOKUP(Table3[[#This Row],[Cuenta]],Estructura_Balance[Nombre Cuenta ()],Estructura_Balance[Nivel 1],"",0)</f>
        <v/>
      </c>
      <c r="O577" t="str">
        <f>_xlfn.XLOOKUP(Table3[[#This Row],[Cuenta]],Estructura_Balance[Nombre Cuenta ()],Estructura_Balance[Nivel 2],"",0)</f>
        <v/>
      </c>
      <c r="P577" t="str">
        <f>_xlfn.XLOOKUP(Table3[[#This Row],[Cuenta]],Estructura_Balance[Nombre Cuenta ()],Estructura_Balance[Nivel 3],"",0)</f>
        <v/>
      </c>
      <c r="Q577" t="str">
        <f>_xlfn.XLOOKUP(Table3[[#This Row],[Cuenta]],Estructura_Balance[Nombre Cuenta ()],Estructura_Balance[Nivel 4],"",0)</f>
        <v/>
      </c>
      <c r="R577" s="154" t="str">
        <f>_xlfn.XLOOKUP(Table3[[#This Row],[Cuenta]],Table8[Nombre Cuenta ()],Table8[Nivel 1],"",0)</f>
        <v/>
      </c>
      <c r="S577" t="str">
        <f>_xlfn.XLOOKUP(Table3[[#This Row],[Cuenta]],Table8[Nombre Cuenta ()],Table8[Nivel 2],"",0)</f>
        <v/>
      </c>
      <c r="T577" t="str">
        <f>_xlfn.XLOOKUP(Table3[[#This Row],[Cuenta]],Table8[Nombre Cuenta ()],Table8[Nivel 3],"",0)</f>
        <v/>
      </c>
      <c r="U577">
        <v>983</v>
      </c>
      <c r="V577" t="str">
        <f>_xlfn.XLOOKUP(Table3[[#This Row],[Cuenta]],Estructura_Balance[Nombre Cuenta ()],Estructura_Balance[Niveles:2],"",0)</f>
        <v/>
      </c>
      <c r="W577" t="str">
        <f>_xlfn.XLOOKUP(Table3[[#This Row],[Cuenta]],Estructura_Balance[Nombre Cuenta ()],Estructura_Balance[Niveles:3],"",0)</f>
        <v/>
      </c>
      <c r="X577" t="str">
        <f>_xlfn.XLOOKUP(Table3[[#This Row],[Cuenta]],Estructura_Balance[Nombre Cuenta ()],Estructura_Balance[Grupos],"Grupo 1",0)</f>
        <v>Grupo 1</v>
      </c>
      <c r="Y577" t="str">
        <f>+Table3[[#This Row],[BS_Nivel_1]]</f>
        <v/>
      </c>
    </row>
    <row r="578" spans="1:25">
      <c r="A578">
        <f>+'Libro Diario'!F792</f>
        <v>0</v>
      </c>
      <c r="B578" s="144">
        <f>VALUE(IF(+'Libro Diario'!G792="","01/01/2025",+'Libro Diario'!G792))</f>
        <v>45658</v>
      </c>
      <c r="C578">
        <f>IF(ISNUMBER(+IF(IFERROR(VALUE(MID('Libro Diario'!C792,1,4)),0)&lt;&gt;0,'Libro Diario'!C792,0))=FALSE,'Libro Diario'!C792,0)</f>
        <v>0</v>
      </c>
      <c r="D578" s="145">
        <f>+'Libro Diario'!B792</f>
        <v>0</v>
      </c>
      <c r="E578" s="139" t="s">
        <v>445</v>
      </c>
      <c r="F578" t="str">
        <f t="shared" si="24"/>
        <v>Sin Mov.</v>
      </c>
      <c r="G578" t="str">
        <f>IF(+'Libro Diario'!H792=0,"",+'Libro Diario'!H792)</f>
        <v/>
      </c>
      <c r="H578" t="str">
        <f>IF(+'Libro Diario'!I792=0,"",+'Libro Diario'!I792)</f>
        <v/>
      </c>
      <c r="I578" t="str">
        <f>+IF(Table3[[#This Row],[Tipo Movimiento]]="Estructura Balance y PyG","Excluir","Incluir")</f>
        <v>Incluir</v>
      </c>
      <c r="J578" s="153">
        <f>+IF(Table3[[#This Row],[Sin cuenta]]="Con Mov.",(IF(Table3[[#This Row],[Movimiento]]="Debe",Table3[[#This Row],[Importe]],IF(Table3[[#This Row],[Movimiento]]="Haber",Table3[[#This Row],[Importe]]*-1,0))),0)</f>
        <v>0</v>
      </c>
      <c r="K578" s="145">
        <f t="shared" si="25"/>
        <v>0</v>
      </c>
      <c r="L578" s="145" t="str">
        <f t="shared" si="26"/>
        <v/>
      </c>
      <c r="M578" t="str">
        <f>_xlfn.XLOOKUP(Table3[[#This Row],[Cuenta]],Estructura_Balance[Nombre Cuenta ()],Estructura_Balance[Grupo],"",0)</f>
        <v/>
      </c>
      <c r="N578" t="str">
        <f>_xlfn.XLOOKUP(Table3[[#This Row],[Cuenta]],Estructura_Balance[Nombre Cuenta ()],Estructura_Balance[Nivel 1],"",0)</f>
        <v/>
      </c>
      <c r="O578" t="str">
        <f>_xlfn.XLOOKUP(Table3[[#This Row],[Cuenta]],Estructura_Balance[Nombre Cuenta ()],Estructura_Balance[Nivel 2],"",0)</f>
        <v/>
      </c>
      <c r="P578" t="str">
        <f>_xlfn.XLOOKUP(Table3[[#This Row],[Cuenta]],Estructura_Balance[Nombre Cuenta ()],Estructura_Balance[Nivel 3],"",0)</f>
        <v/>
      </c>
      <c r="Q578" t="str">
        <f>_xlfn.XLOOKUP(Table3[[#This Row],[Cuenta]],Estructura_Balance[Nombre Cuenta ()],Estructura_Balance[Nivel 4],"",0)</f>
        <v/>
      </c>
      <c r="R578" s="154" t="str">
        <f>_xlfn.XLOOKUP(Table3[[#This Row],[Cuenta]],Table8[Nombre Cuenta ()],Table8[Nivel 1],"",0)</f>
        <v/>
      </c>
      <c r="S578" t="str">
        <f>_xlfn.XLOOKUP(Table3[[#This Row],[Cuenta]],Table8[Nombre Cuenta ()],Table8[Nivel 2],"",0)</f>
        <v/>
      </c>
      <c r="T578" t="str">
        <f>_xlfn.XLOOKUP(Table3[[#This Row],[Cuenta]],Table8[Nombre Cuenta ()],Table8[Nivel 3],"",0)</f>
        <v/>
      </c>
      <c r="U578">
        <v>984</v>
      </c>
      <c r="V578" t="str">
        <f>_xlfn.XLOOKUP(Table3[[#This Row],[Cuenta]],Estructura_Balance[Nombre Cuenta ()],Estructura_Balance[Niveles:2],"",0)</f>
        <v/>
      </c>
      <c r="W578" t="str">
        <f>_xlfn.XLOOKUP(Table3[[#This Row],[Cuenta]],Estructura_Balance[Nombre Cuenta ()],Estructura_Balance[Niveles:3],"",0)</f>
        <v/>
      </c>
      <c r="X578" t="str">
        <f>_xlfn.XLOOKUP(Table3[[#This Row],[Cuenta]],Estructura_Balance[Nombre Cuenta ()],Estructura_Balance[Grupos],"Grupo 1",0)</f>
        <v>Grupo 1</v>
      </c>
      <c r="Y578" t="str">
        <f>+Table3[[#This Row],[BS_Nivel_1]]</f>
        <v/>
      </c>
    </row>
    <row r="579" spans="1:25">
      <c r="A579">
        <f>+'Libro Diario'!F793</f>
        <v>0</v>
      </c>
      <c r="B579" s="144">
        <f>VALUE(IF(+'Libro Diario'!G793="","01/01/2025",+'Libro Diario'!G793))</f>
        <v>45658</v>
      </c>
      <c r="C579">
        <f>IF(ISNUMBER(+IF(IFERROR(VALUE(MID('Libro Diario'!C793,1,4)),0)&lt;&gt;0,'Libro Diario'!C793,0))=FALSE,'Libro Diario'!C793,0)</f>
        <v>0</v>
      </c>
      <c r="D579" s="145">
        <f>+'Libro Diario'!B793</f>
        <v>0</v>
      </c>
      <c r="E579" s="139" t="s">
        <v>445</v>
      </c>
      <c r="F579" t="str">
        <f t="shared" ref="F579:F642" si="27">+IF(C579=0,"Sin Mov.","Con Mov.")</f>
        <v>Sin Mov.</v>
      </c>
      <c r="G579" t="str">
        <f>IF(+'Libro Diario'!H793=0,"",+'Libro Diario'!H793)</f>
        <v/>
      </c>
      <c r="H579" t="str">
        <f>IF(+'Libro Diario'!I793=0,"",+'Libro Diario'!I793)</f>
        <v/>
      </c>
      <c r="I579" t="str">
        <f>+IF(Table3[[#This Row],[Tipo Movimiento]]="Estructura Balance y PyG","Excluir","Incluir")</f>
        <v>Incluir</v>
      </c>
      <c r="J579" s="153">
        <f>+IF(Table3[[#This Row],[Sin cuenta]]="Con Mov.",(IF(Table3[[#This Row],[Movimiento]]="Debe",Table3[[#This Row],[Importe]],IF(Table3[[#This Row],[Movimiento]]="Haber",Table3[[#This Row],[Importe]]*-1,0))),0)</f>
        <v>0</v>
      </c>
      <c r="K579" s="145">
        <f t="shared" ref="K579:K642" si="28">+IF(E579="Debe",D579,"")</f>
        <v>0</v>
      </c>
      <c r="L579" s="145" t="str">
        <f t="shared" ref="L579:L642" si="29">+IF(E579="Haber",D579,"")</f>
        <v/>
      </c>
      <c r="M579" t="str">
        <f>_xlfn.XLOOKUP(Table3[[#This Row],[Cuenta]],Estructura_Balance[Nombre Cuenta ()],Estructura_Balance[Grupo],"",0)</f>
        <v/>
      </c>
      <c r="N579" t="str">
        <f>_xlfn.XLOOKUP(Table3[[#This Row],[Cuenta]],Estructura_Balance[Nombre Cuenta ()],Estructura_Balance[Nivel 1],"",0)</f>
        <v/>
      </c>
      <c r="O579" t="str">
        <f>_xlfn.XLOOKUP(Table3[[#This Row],[Cuenta]],Estructura_Balance[Nombre Cuenta ()],Estructura_Balance[Nivel 2],"",0)</f>
        <v/>
      </c>
      <c r="P579" t="str">
        <f>_xlfn.XLOOKUP(Table3[[#This Row],[Cuenta]],Estructura_Balance[Nombre Cuenta ()],Estructura_Balance[Nivel 3],"",0)</f>
        <v/>
      </c>
      <c r="Q579" t="str">
        <f>_xlfn.XLOOKUP(Table3[[#This Row],[Cuenta]],Estructura_Balance[Nombre Cuenta ()],Estructura_Balance[Nivel 4],"",0)</f>
        <v/>
      </c>
      <c r="R579" s="154" t="str">
        <f>_xlfn.XLOOKUP(Table3[[#This Row],[Cuenta]],Table8[Nombre Cuenta ()],Table8[Nivel 1],"",0)</f>
        <v/>
      </c>
      <c r="S579" t="str">
        <f>_xlfn.XLOOKUP(Table3[[#This Row],[Cuenta]],Table8[Nombre Cuenta ()],Table8[Nivel 2],"",0)</f>
        <v/>
      </c>
      <c r="T579" t="str">
        <f>_xlfn.XLOOKUP(Table3[[#This Row],[Cuenta]],Table8[Nombre Cuenta ()],Table8[Nivel 3],"",0)</f>
        <v/>
      </c>
      <c r="U579">
        <v>985</v>
      </c>
      <c r="V579" t="str">
        <f>_xlfn.XLOOKUP(Table3[[#This Row],[Cuenta]],Estructura_Balance[Nombre Cuenta ()],Estructura_Balance[Niveles:2],"",0)</f>
        <v/>
      </c>
      <c r="W579" t="str">
        <f>_xlfn.XLOOKUP(Table3[[#This Row],[Cuenta]],Estructura_Balance[Nombre Cuenta ()],Estructura_Balance[Niveles:3],"",0)</f>
        <v/>
      </c>
      <c r="X579" t="str">
        <f>_xlfn.XLOOKUP(Table3[[#This Row],[Cuenta]],Estructura_Balance[Nombre Cuenta ()],Estructura_Balance[Grupos],"Grupo 1",0)</f>
        <v>Grupo 1</v>
      </c>
      <c r="Y579" t="str">
        <f>+Table3[[#This Row],[BS_Nivel_1]]</f>
        <v/>
      </c>
    </row>
    <row r="580" spans="1:25">
      <c r="A580">
        <f>+'Libro Diario'!F794</f>
        <v>0</v>
      </c>
      <c r="B580" s="144">
        <f>VALUE(IF(+'Libro Diario'!G794="","01/01/2025",+'Libro Diario'!G794))</f>
        <v>45658</v>
      </c>
      <c r="C580">
        <f>IF(ISNUMBER(+IF(IFERROR(VALUE(MID('Libro Diario'!C794,1,4)),0)&lt;&gt;0,'Libro Diario'!C794,0))=FALSE,'Libro Diario'!C794,0)</f>
        <v>0</v>
      </c>
      <c r="D580" s="145">
        <f>+'Libro Diario'!B794</f>
        <v>0</v>
      </c>
      <c r="E580" s="139" t="s">
        <v>445</v>
      </c>
      <c r="F580" t="str">
        <f t="shared" si="27"/>
        <v>Sin Mov.</v>
      </c>
      <c r="G580" t="str">
        <f>IF(+'Libro Diario'!H794=0,"",+'Libro Diario'!H794)</f>
        <v/>
      </c>
      <c r="H580" t="str">
        <f>IF(+'Libro Diario'!I794=0,"",+'Libro Diario'!I794)</f>
        <v/>
      </c>
      <c r="I580" t="str">
        <f>+IF(Table3[[#This Row],[Tipo Movimiento]]="Estructura Balance y PyG","Excluir","Incluir")</f>
        <v>Incluir</v>
      </c>
      <c r="J580" s="153">
        <f>+IF(Table3[[#This Row],[Sin cuenta]]="Con Mov.",(IF(Table3[[#This Row],[Movimiento]]="Debe",Table3[[#This Row],[Importe]],IF(Table3[[#This Row],[Movimiento]]="Haber",Table3[[#This Row],[Importe]]*-1,0))),0)</f>
        <v>0</v>
      </c>
      <c r="K580" s="145">
        <f t="shared" si="28"/>
        <v>0</v>
      </c>
      <c r="L580" s="145" t="str">
        <f t="shared" si="29"/>
        <v/>
      </c>
      <c r="M580" t="str">
        <f>_xlfn.XLOOKUP(Table3[[#This Row],[Cuenta]],Estructura_Balance[Nombre Cuenta ()],Estructura_Balance[Grupo],"",0)</f>
        <v/>
      </c>
      <c r="N580" t="str">
        <f>_xlfn.XLOOKUP(Table3[[#This Row],[Cuenta]],Estructura_Balance[Nombre Cuenta ()],Estructura_Balance[Nivel 1],"",0)</f>
        <v/>
      </c>
      <c r="O580" t="str">
        <f>_xlfn.XLOOKUP(Table3[[#This Row],[Cuenta]],Estructura_Balance[Nombre Cuenta ()],Estructura_Balance[Nivel 2],"",0)</f>
        <v/>
      </c>
      <c r="P580" t="str">
        <f>_xlfn.XLOOKUP(Table3[[#This Row],[Cuenta]],Estructura_Balance[Nombre Cuenta ()],Estructura_Balance[Nivel 3],"",0)</f>
        <v/>
      </c>
      <c r="Q580" t="str">
        <f>_xlfn.XLOOKUP(Table3[[#This Row],[Cuenta]],Estructura_Balance[Nombre Cuenta ()],Estructura_Balance[Nivel 4],"",0)</f>
        <v/>
      </c>
      <c r="R580" s="154" t="str">
        <f>_xlfn.XLOOKUP(Table3[[#This Row],[Cuenta]],Table8[Nombre Cuenta ()],Table8[Nivel 1],"",0)</f>
        <v/>
      </c>
      <c r="S580" t="str">
        <f>_xlfn.XLOOKUP(Table3[[#This Row],[Cuenta]],Table8[Nombre Cuenta ()],Table8[Nivel 2],"",0)</f>
        <v/>
      </c>
      <c r="T580" t="str">
        <f>_xlfn.XLOOKUP(Table3[[#This Row],[Cuenta]],Table8[Nombre Cuenta ()],Table8[Nivel 3],"",0)</f>
        <v/>
      </c>
      <c r="U580">
        <v>986</v>
      </c>
      <c r="V580" t="str">
        <f>_xlfn.XLOOKUP(Table3[[#This Row],[Cuenta]],Estructura_Balance[Nombre Cuenta ()],Estructura_Balance[Niveles:2],"",0)</f>
        <v/>
      </c>
      <c r="W580" t="str">
        <f>_xlfn.XLOOKUP(Table3[[#This Row],[Cuenta]],Estructura_Balance[Nombre Cuenta ()],Estructura_Balance[Niveles:3],"",0)</f>
        <v/>
      </c>
      <c r="X580" t="str">
        <f>_xlfn.XLOOKUP(Table3[[#This Row],[Cuenta]],Estructura_Balance[Nombre Cuenta ()],Estructura_Balance[Grupos],"Grupo 1",0)</f>
        <v>Grupo 1</v>
      </c>
      <c r="Y580" t="str">
        <f>+Table3[[#This Row],[BS_Nivel_1]]</f>
        <v/>
      </c>
    </row>
    <row r="581" spans="1:25">
      <c r="A581">
        <f>+'Libro Diario'!F795</f>
        <v>0</v>
      </c>
      <c r="B581" s="144">
        <f>VALUE(IF(+'Libro Diario'!G795="","01/01/2025",+'Libro Diario'!G795))</f>
        <v>45658</v>
      </c>
      <c r="C581">
        <f>IF(ISNUMBER(+IF(IFERROR(VALUE(MID('Libro Diario'!C795,1,4)),0)&lt;&gt;0,'Libro Diario'!C795,0))=FALSE,'Libro Diario'!C795,0)</f>
        <v>0</v>
      </c>
      <c r="D581" s="145">
        <f>+'Libro Diario'!B795</f>
        <v>0</v>
      </c>
      <c r="E581" s="139" t="s">
        <v>445</v>
      </c>
      <c r="F581" t="str">
        <f t="shared" si="27"/>
        <v>Sin Mov.</v>
      </c>
      <c r="G581" t="str">
        <f>IF(+'Libro Diario'!H795=0,"",+'Libro Diario'!H795)</f>
        <v/>
      </c>
      <c r="H581" t="str">
        <f>IF(+'Libro Diario'!I795=0,"",+'Libro Diario'!I795)</f>
        <v/>
      </c>
      <c r="I581" t="str">
        <f>+IF(Table3[[#This Row],[Tipo Movimiento]]="Estructura Balance y PyG","Excluir","Incluir")</f>
        <v>Incluir</v>
      </c>
      <c r="J581" s="153">
        <f>+IF(Table3[[#This Row],[Sin cuenta]]="Con Mov.",(IF(Table3[[#This Row],[Movimiento]]="Debe",Table3[[#This Row],[Importe]],IF(Table3[[#This Row],[Movimiento]]="Haber",Table3[[#This Row],[Importe]]*-1,0))),0)</f>
        <v>0</v>
      </c>
      <c r="K581" s="145">
        <f t="shared" si="28"/>
        <v>0</v>
      </c>
      <c r="L581" s="145" t="str">
        <f t="shared" si="29"/>
        <v/>
      </c>
      <c r="M581" t="str">
        <f>_xlfn.XLOOKUP(Table3[[#This Row],[Cuenta]],Estructura_Balance[Nombre Cuenta ()],Estructura_Balance[Grupo],"",0)</f>
        <v/>
      </c>
      <c r="N581" t="str">
        <f>_xlfn.XLOOKUP(Table3[[#This Row],[Cuenta]],Estructura_Balance[Nombre Cuenta ()],Estructura_Balance[Nivel 1],"",0)</f>
        <v/>
      </c>
      <c r="O581" t="str">
        <f>_xlfn.XLOOKUP(Table3[[#This Row],[Cuenta]],Estructura_Balance[Nombre Cuenta ()],Estructura_Balance[Nivel 2],"",0)</f>
        <v/>
      </c>
      <c r="P581" t="str">
        <f>_xlfn.XLOOKUP(Table3[[#This Row],[Cuenta]],Estructura_Balance[Nombre Cuenta ()],Estructura_Balance[Nivel 3],"",0)</f>
        <v/>
      </c>
      <c r="Q581" t="str">
        <f>_xlfn.XLOOKUP(Table3[[#This Row],[Cuenta]],Estructura_Balance[Nombre Cuenta ()],Estructura_Balance[Nivel 4],"",0)</f>
        <v/>
      </c>
      <c r="R581" s="154" t="str">
        <f>_xlfn.XLOOKUP(Table3[[#This Row],[Cuenta]],Table8[Nombre Cuenta ()],Table8[Nivel 1],"",0)</f>
        <v/>
      </c>
      <c r="S581" t="str">
        <f>_xlfn.XLOOKUP(Table3[[#This Row],[Cuenta]],Table8[Nombre Cuenta ()],Table8[Nivel 2],"",0)</f>
        <v/>
      </c>
      <c r="T581" t="str">
        <f>_xlfn.XLOOKUP(Table3[[#This Row],[Cuenta]],Table8[Nombre Cuenta ()],Table8[Nivel 3],"",0)</f>
        <v/>
      </c>
      <c r="U581">
        <v>987</v>
      </c>
      <c r="V581" t="str">
        <f>_xlfn.XLOOKUP(Table3[[#This Row],[Cuenta]],Estructura_Balance[Nombre Cuenta ()],Estructura_Balance[Niveles:2],"",0)</f>
        <v/>
      </c>
      <c r="W581" t="str">
        <f>_xlfn.XLOOKUP(Table3[[#This Row],[Cuenta]],Estructura_Balance[Nombre Cuenta ()],Estructura_Balance[Niveles:3],"",0)</f>
        <v/>
      </c>
      <c r="X581" t="str">
        <f>_xlfn.XLOOKUP(Table3[[#This Row],[Cuenta]],Estructura_Balance[Nombre Cuenta ()],Estructura_Balance[Grupos],"Grupo 1",0)</f>
        <v>Grupo 1</v>
      </c>
      <c r="Y581" t="str">
        <f>+Table3[[#This Row],[BS_Nivel_1]]</f>
        <v/>
      </c>
    </row>
    <row r="582" spans="1:25">
      <c r="A582">
        <f>+'Libro Diario'!F796</f>
        <v>0</v>
      </c>
      <c r="B582" s="144">
        <f>VALUE(IF(+'Libro Diario'!G796="","01/01/2025",+'Libro Diario'!G796))</f>
        <v>45658</v>
      </c>
      <c r="C582">
        <f>IF(ISNUMBER(+IF(IFERROR(VALUE(MID('Libro Diario'!C796,1,4)),0)&lt;&gt;0,'Libro Diario'!C796,0))=FALSE,'Libro Diario'!C796,0)</f>
        <v>0</v>
      </c>
      <c r="D582" s="145">
        <f>+'Libro Diario'!B796</f>
        <v>0</v>
      </c>
      <c r="E582" s="139" t="s">
        <v>445</v>
      </c>
      <c r="F582" t="str">
        <f t="shared" si="27"/>
        <v>Sin Mov.</v>
      </c>
      <c r="G582" t="str">
        <f>IF(+'Libro Diario'!H796=0,"",+'Libro Diario'!H796)</f>
        <v/>
      </c>
      <c r="H582" t="str">
        <f>IF(+'Libro Diario'!I796=0,"",+'Libro Diario'!I796)</f>
        <v/>
      </c>
      <c r="I582" t="str">
        <f>+IF(Table3[[#This Row],[Tipo Movimiento]]="Estructura Balance y PyG","Excluir","Incluir")</f>
        <v>Incluir</v>
      </c>
      <c r="J582" s="153">
        <f>+IF(Table3[[#This Row],[Sin cuenta]]="Con Mov.",(IF(Table3[[#This Row],[Movimiento]]="Debe",Table3[[#This Row],[Importe]],IF(Table3[[#This Row],[Movimiento]]="Haber",Table3[[#This Row],[Importe]]*-1,0))),0)</f>
        <v>0</v>
      </c>
      <c r="K582" s="145">
        <f t="shared" si="28"/>
        <v>0</v>
      </c>
      <c r="L582" s="145" t="str">
        <f t="shared" si="29"/>
        <v/>
      </c>
      <c r="M582" t="str">
        <f>_xlfn.XLOOKUP(Table3[[#This Row],[Cuenta]],Estructura_Balance[Nombre Cuenta ()],Estructura_Balance[Grupo],"",0)</f>
        <v/>
      </c>
      <c r="N582" t="str">
        <f>_xlfn.XLOOKUP(Table3[[#This Row],[Cuenta]],Estructura_Balance[Nombre Cuenta ()],Estructura_Balance[Nivel 1],"",0)</f>
        <v/>
      </c>
      <c r="O582" t="str">
        <f>_xlfn.XLOOKUP(Table3[[#This Row],[Cuenta]],Estructura_Balance[Nombre Cuenta ()],Estructura_Balance[Nivel 2],"",0)</f>
        <v/>
      </c>
      <c r="P582" t="str">
        <f>_xlfn.XLOOKUP(Table3[[#This Row],[Cuenta]],Estructura_Balance[Nombre Cuenta ()],Estructura_Balance[Nivel 3],"",0)</f>
        <v/>
      </c>
      <c r="Q582" t="str">
        <f>_xlfn.XLOOKUP(Table3[[#This Row],[Cuenta]],Estructura_Balance[Nombre Cuenta ()],Estructura_Balance[Nivel 4],"",0)</f>
        <v/>
      </c>
      <c r="R582" s="154" t="str">
        <f>_xlfn.XLOOKUP(Table3[[#This Row],[Cuenta]],Table8[Nombre Cuenta ()],Table8[Nivel 1],"",0)</f>
        <v/>
      </c>
      <c r="S582" t="str">
        <f>_xlfn.XLOOKUP(Table3[[#This Row],[Cuenta]],Table8[Nombre Cuenta ()],Table8[Nivel 2],"",0)</f>
        <v/>
      </c>
      <c r="T582" t="str">
        <f>_xlfn.XLOOKUP(Table3[[#This Row],[Cuenta]],Table8[Nombre Cuenta ()],Table8[Nivel 3],"",0)</f>
        <v/>
      </c>
      <c r="U582">
        <v>988</v>
      </c>
      <c r="V582" t="str">
        <f>_xlfn.XLOOKUP(Table3[[#This Row],[Cuenta]],Estructura_Balance[Nombre Cuenta ()],Estructura_Balance[Niveles:2],"",0)</f>
        <v/>
      </c>
      <c r="W582" t="str">
        <f>_xlfn.XLOOKUP(Table3[[#This Row],[Cuenta]],Estructura_Balance[Nombre Cuenta ()],Estructura_Balance[Niveles:3],"",0)</f>
        <v/>
      </c>
      <c r="X582" t="str">
        <f>_xlfn.XLOOKUP(Table3[[#This Row],[Cuenta]],Estructura_Balance[Nombre Cuenta ()],Estructura_Balance[Grupos],"Grupo 1",0)</f>
        <v>Grupo 1</v>
      </c>
      <c r="Y582" t="str">
        <f>+Table3[[#This Row],[BS_Nivel_1]]</f>
        <v/>
      </c>
    </row>
    <row r="583" spans="1:25">
      <c r="A583">
        <f>+'Libro Diario'!F797</f>
        <v>0</v>
      </c>
      <c r="B583" s="144">
        <f>VALUE(IF(+'Libro Diario'!G797="","01/01/2025",+'Libro Diario'!G797))</f>
        <v>45658</v>
      </c>
      <c r="C583">
        <f>IF(ISNUMBER(+IF(IFERROR(VALUE(MID('Libro Diario'!C797,1,4)),0)&lt;&gt;0,'Libro Diario'!C797,0))=FALSE,'Libro Diario'!C797,0)</f>
        <v>0</v>
      </c>
      <c r="D583" s="145">
        <f>+'Libro Diario'!B797</f>
        <v>0</v>
      </c>
      <c r="E583" s="139" t="s">
        <v>445</v>
      </c>
      <c r="F583" t="str">
        <f t="shared" si="27"/>
        <v>Sin Mov.</v>
      </c>
      <c r="G583" t="str">
        <f>IF(+'Libro Diario'!H797=0,"",+'Libro Diario'!H797)</f>
        <v/>
      </c>
      <c r="H583" t="str">
        <f>IF(+'Libro Diario'!I797=0,"",+'Libro Diario'!I797)</f>
        <v/>
      </c>
      <c r="I583" t="str">
        <f>+IF(Table3[[#This Row],[Tipo Movimiento]]="Estructura Balance y PyG","Excluir","Incluir")</f>
        <v>Incluir</v>
      </c>
      <c r="J583" s="153">
        <f>+IF(Table3[[#This Row],[Sin cuenta]]="Con Mov.",(IF(Table3[[#This Row],[Movimiento]]="Debe",Table3[[#This Row],[Importe]],IF(Table3[[#This Row],[Movimiento]]="Haber",Table3[[#This Row],[Importe]]*-1,0))),0)</f>
        <v>0</v>
      </c>
      <c r="K583" s="145">
        <f t="shared" si="28"/>
        <v>0</v>
      </c>
      <c r="L583" s="145" t="str">
        <f t="shared" si="29"/>
        <v/>
      </c>
      <c r="M583" t="str">
        <f>_xlfn.XLOOKUP(Table3[[#This Row],[Cuenta]],Estructura_Balance[Nombre Cuenta ()],Estructura_Balance[Grupo],"",0)</f>
        <v/>
      </c>
      <c r="N583" t="str">
        <f>_xlfn.XLOOKUP(Table3[[#This Row],[Cuenta]],Estructura_Balance[Nombre Cuenta ()],Estructura_Balance[Nivel 1],"",0)</f>
        <v/>
      </c>
      <c r="O583" t="str">
        <f>_xlfn.XLOOKUP(Table3[[#This Row],[Cuenta]],Estructura_Balance[Nombre Cuenta ()],Estructura_Balance[Nivel 2],"",0)</f>
        <v/>
      </c>
      <c r="P583" t="str">
        <f>_xlfn.XLOOKUP(Table3[[#This Row],[Cuenta]],Estructura_Balance[Nombre Cuenta ()],Estructura_Balance[Nivel 3],"",0)</f>
        <v/>
      </c>
      <c r="Q583" t="str">
        <f>_xlfn.XLOOKUP(Table3[[#This Row],[Cuenta]],Estructura_Balance[Nombre Cuenta ()],Estructura_Balance[Nivel 4],"",0)</f>
        <v/>
      </c>
      <c r="R583" s="154" t="str">
        <f>_xlfn.XLOOKUP(Table3[[#This Row],[Cuenta]],Table8[Nombre Cuenta ()],Table8[Nivel 1],"",0)</f>
        <v/>
      </c>
      <c r="S583" t="str">
        <f>_xlfn.XLOOKUP(Table3[[#This Row],[Cuenta]],Table8[Nombre Cuenta ()],Table8[Nivel 2],"",0)</f>
        <v/>
      </c>
      <c r="T583" t="str">
        <f>_xlfn.XLOOKUP(Table3[[#This Row],[Cuenta]],Table8[Nombre Cuenta ()],Table8[Nivel 3],"",0)</f>
        <v/>
      </c>
      <c r="U583">
        <v>989</v>
      </c>
      <c r="V583" t="str">
        <f>_xlfn.XLOOKUP(Table3[[#This Row],[Cuenta]],Estructura_Balance[Nombre Cuenta ()],Estructura_Balance[Niveles:2],"",0)</f>
        <v/>
      </c>
      <c r="W583" t="str">
        <f>_xlfn.XLOOKUP(Table3[[#This Row],[Cuenta]],Estructura_Balance[Nombre Cuenta ()],Estructura_Balance[Niveles:3],"",0)</f>
        <v/>
      </c>
      <c r="X583" t="str">
        <f>_xlfn.XLOOKUP(Table3[[#This Row],[Cuenta]],Estructura_Balance[Nombre Cuenta ()],Estructura_Balance[Grupos],"Grupo 1",0)</f>
        <v>Grupo 1</v>
      </c>
      <c r="Y583" t="str">
        <f>+Table3[[#This Row],[BS_Nivel_1]]</f>
        <v/>
      </c>
    </row>
    <row r="584" spans="1:25">
      <c r="A584">
        <f>+'Libro Diario'!F798</f>
        <v>0</v>
      </c>
      <c r="B584" s="144">
        <f>VALUE(IF(+'Libro Diario'!G798="","01/01/2025",+'Libro Diario'!G798))</f>
        <v>45658</v>
      </c>
      <c r="C584">
        <f>IF(ISNUMBER(+IF(IFERROR(VALUE(MID('Libro Diario'!C798,1,4)),0)&lt;&gt;0,'Libro Diario'!C798,0))=FALSE,'Libro Diario'!C798,0)</f>
        <v>0</v>
      </c>
      <c r="D584" s="145">
        <f>+'Libro Diario'!B798</f>
        <v>0</v>
      </c>
      <c r="E584" s="139" t="s">
        <v>445</v>
      </c>
      <c r="F584" t="str">
        <f t="shared" si="27"/>
        <v>Sin Mov.</v>
      </c>
      <c r="G584" t="str">
        <f>IF(+'Libro Diario'!H798=0,"",+'Libro Diario'!H798)</f>
        <v/>
      </c>
      <c r="H584" t="str">
        <f>IF(+'Libro Diario'!I798=0,"",+'Libro Diario'!I798)</f>
        <v/>
      </c>
      <c r="I584" t="str">
        <f>+IF(Table3[[#This Row],[Tipo Movimiento]]="Estructura Balance y PyG","Excluir","Incluir")</f>
        <v>Incluir</v>
      </c>
      <c r="J584" s="153">
        <f>+IF(Table3[[#This Row],[Sin cuenta]]="Con Mov.",(IF(Table3[[#This Row],[Movimiento]]="Debe",Table3[[#This Row],[Importe]],IF(Table3[[#This Row],[Movimiento]]="Haber",Table3[[#This Row],[Importe]]*-1,0))),0)</f>
        <v>0</v>
      </c>
      <c r="K584" s="145">
        <f t="shared" si="28"/>
        <v>0</v>
      </c>
      <c r="L584" s="145" t="str">
        <f t="shared" si="29"/>
        <v/>
      </c>
      <c r="M584" t="str">
        <f>_xlfn.XLOOKUP(Table3[[#This Row],[Cuenta]],Estructura_Balance[Nombre Cuenta ()],Estructura_Balance[Grupo],"",0)</f>
        <v/>
      </c>
      <c r="N584" t="str">
        <f>_xlfn.XLOOKUP(Table3[[#This Row],[Cuenta]],Estructura_Balance[Nombre Cuenta ()],Estructura_Balance[Nivel 1],"",0)</f>
        <v/>
      </c>
      <c r="O584" t="str">
        <f>_xlfn.XLOOKUP(Table3[[#This Row],[Cuenta]],Estructura_Balance[Nombre Cuenta ()],Estructura_Balance[Nivel 2],"",0)</f>
        <v/>
      </c>
      <c r="P584" t="str">
        <f>_xlfn.XLOOKUP(Table3[[#This Row],[Cuenta]],Estructura_Balance[Nombre Cuenta ()],Estructura_Balance[Nivel 3],"",0)</f>
        <v/>
      </c>
      <c r="Q584" t="str">
        <f>_xlfn.XLOOKUP(Table3[[#This Row],[Cuenta]],Estructura_Balance[Nombre Cuenta ()],Estructura_Balance[Nivel 4],"",0)</f>
        <v/>
      </c>
      <c r="R584" s="154" t="str">
        <f>_xlfn.XLOOKUP(Table3[[#This Row],[Cuenta]],Table8[Nombre Cuenta ()],Table8[Nivel 1],"",0)</f>
        <v/>
      </c>
      <c r="S584" t="str">
        <f>_xlfn.XLOOKUP(Table3[[#This Row],[Cuenta]],Table8[Nombre Cuenta ()],Table8[Nivel 2],"",0)</f>
        <v/>
      </c>
      <c r="T584" t="str">
        <f>_xlfn.XLOOKUP(Table3[[#This Row],[Cuenta]],Table8[Nombre Cuenta ()],Table8[Nivel 3],"",0)</f>
        <v/>
      </c>
      <c r="U584">
        <v>990</v>
      </c>
      <c r="V584" t="str">
        <f>_xlfn.XLOOKUP(Table3[[#This Row],[Cuenta]],Estructura_Balance[Nombre Cuenta ()],Estructura_Balance[Niveles:2],"",0)</f>
        <v/>
      </c>
      <c r="W584" t="str">
        <f>_xlfn.XLOOKUP(Table3[[#This Row],[Cuenta]],Estructura_Balance[Nombre Cuenta ()],Estructura_Balance[Niveles:3],"",0)</f>
        <v/>
      </c>
      <c r="X584" t="str">
        <f>_xlfn.XLOOKUP(Table3[[#This Row],[Cuenta]],Estructura_Balance[Nombre Cuenta ()],Estructura_Balance[Grupos],"Grupo 1",0)</f>
        <v>Grupo 1</v>
      </c>
      <c r="Y584" t="str">
        <f>+Table3[[#This Row],[BS_Nivel_1]]</f>
        <v/>
      </c>
    </row>
    <row r="585" spans="1:25">
      <c r="A585">
        <f>+'Libro Diario'!F799</f>
        <v>0</v>
      </c>
      <c r="B585" s="144">
        <f>VALUE(IF(+'Libro Diario'!G799="","01/01/2025",+'Libro Diario'!G799))</f>
        <v>45658</v>
      </c>
      <c r="C585">
        <f>IF(ISNUMBER(+IF(IFERROR(VALUE(MID('Libro Diario'!C799,1,4)),0)&lt;&gt;0,'Libro Diario'!C799,0))=FALSE,'Libro Diario'!C799,0)</f>
        <v>0</v>
      </c>
      <c r="D585" s="145">
        <f>+'Libro Diario'!B799</f>
        <v>0</v>
      </c>
      <c r="E585" s="139" t="s">
        <v>445</v>
      </c>
      <c r="F585" t="str">
        <f t="shared" si="27"/>
        <v>Sin Mov.</v>
      </c>
      <c r="G585" t="str">
        <f>IF(+'Libro Diario'!H799=0,"",+'Libro Diario'!H799)</f>
        <v/>
      </c>
      <c r="H585" t="str">
        <f>IF(+'Libro Diario'!I799=0,"",+'Libro Diario'!I799)</f>
        <v/>
      </c>
      <c r="I585" t="str">
        <f>+IF(Table3[[#This Row],[Tipo Movimiento]]="Estructura Balance y PyG","Excluir","Incluir")</f>
        <v>Incluir</v>
      </c>
      <c r="J585" s="153">
        <f>+IF(Table3[[#This Row],[Sin cuenta]]="Con Mov.",(IF(Table3[[#This Row],[Movimiento]]="Debe",Table3[[#This Row],[Importe]],IF(Table3[[#This Row],[Movimiento]]="Haber",Table3[[#This Row],[Importe]]*-1,0))),0)</f>
        <v>0</v>
      </c>
      <c r="K585" s="145">
        <f t="shared" si="28"/>
        <v>0</v>
      </c>
      <c r="L585" s="145" t="str">
        <f t="shared" si="29"/>
        <v/>
      </c>
      <c r="M585" t="str">
        <f>_xlfn.XLOOKUP(Table3[[#This Row],[Cuenta]],Estructura_Balance[Nombre Cuenta ()],Estructura_Balance[Grupo],"",0)</f>
        <v/>
      </c>
      <c r="N585" t="str">
        <f>_xlfn.XLOOKUP(Table3[[#This Row],[Cuenta]],Estructura_Balance[Nombre Cuenta ()],Estructura_Balance[Nivel 1],"",0)</f>
        <v/>
      </c>
      <c r="O585" t="str">
        <f>_xlfn.XLOOKUP(Table3[[#This Row],[Cuenta]],Estructura_Balance[Nombre Cuenta ()],Estructura_Balance[Nivel 2],"",0)</f>
        <v/>
      </c>
      <c r="P585" t="str">
        <f>_xlfn.XLOOKUP(Table3[[#This Row],[Cuenta]],Estructura_Balance[Nombre Cuenta ()],Estructura_Balance[Nivel 3],"",0)</f>
        <v/>
      </c>
      <c r="Q585" t="str">
        <f>_xlfn.XLOOKUP(Table3[[#This Row],[Cuenta]],Estructura_Balance[Nombre Cuenta ()],Estructura_Balance[Nivel 4],"",0)</f>
        <v/>
      </c>
      <c r="R585" s="154" t="str">
        <f>_xlfn.XLOOKUP(Table3[[#This Row],[Cuenta]],Table8[Nombre Cuenta ()],Table8[Nivel 1],"",0)</f>
        <v/>
      </c>
      <c r="S585" t="str">
        <f>_xlfn.XLOOKUP(Table3[[#This Row],[Cuenta]],Table8[Nombre Cuenta ()],Table8[Nivel 2],"",0)</f>
        <v/>
      </c>
      <c r="T585" t="str">
        <f>_xlfn.XLOOKUP(Table3[[#This Row],[Cuenta]],Table8[Nombre Cuenta ()],Table8[Nivel 3],"",0)</f>
        <v/>
      </c>
      <c r="U585">
        <v>991</v>
      </c>
      <c r="V585" t="str">
        <f>_xlfn.XLOOKUP(Table3[[#This Row],[Cuenta]],Estructura_Balance[Nombre Cuenta ()],Estructura_Balance[Niveles:2],"",0)</f>
        <v/>
      </c>
      <c r="W585" t="str">
        <f>_xlfn.XLOOKUP(Table3[[#This Row],[Cuenta]],Estructura_Balance[Nombre Cuenta ()],Estructura_Balance[Niveles:3],"",0)</f>
        <v/>
      </c>
      <c r="X585" t="str">
        <f>_xlfn.XLOOKUP(Table3[[#This Row],[Cuenta]],Estructura_Balance[Nombre Cuenta ()],Estructura_Balance[Grupos],"Grupo 1",0)</f>
        <v>Grupo 1</v>
      </c>
      <c r="Y585" t="str">
        <f>+Table3[[#This Row],[BS_Nivel_1]]</f>
        <v/>
      </c>
    </row>
    <row r="586" spans="1:25">
      <c r="A586">
        <f>+'Libro Diario'!F800</f>
        <v>0</v>
      </c>
      <c r="B586" s="144">
        <f>VALUE(IF(+'Libro Diario'!G800="","01/01/2025",+'Libro Diario'!G800))</f>
        <v>45658</v>
      </c>
      <c r="C586">
        <f>IF(ISNUMBER(+IF(IFERROR(VALUE(MID('Libro Diario'!C800,1,4)),0)&lt;&gt;0,'Libro Diario'!C800,0))=FALSE,'Libro Diario'!C800,0)</f>
        <v>0</v>
      </c>
      <c r="D586" s="145">
        <f>+'Libro Diario'!B800</f>
        <v>0</v>
      </c>
      <c r="E586" s="139" t="s">
        <v>445</v>
      </c>
      <c r="F586" t="str">
        <f t="shared" si="27"/>
        <v>Sin Mov.</v>
      </c>
      <c r="G586" t="str">
        <f>IF(+'Libro Diario'!H800=0,"",+'Libro Diario'!H800)</f>
        <v/>
      </c>
      <c r="H586" t="str">
        <f>IF(+'Libro Diario'!I800=0,"",+'Libro Diario'!I800)</f>
        <v/>
      </c>
      <c r="I586" t="str">
        <f>+IF(Table3[[#This Row],[Tipo Movimiento]]="Estructura Balance y PyG","Excluir","Incluir")</f>
        <v>Incluir</v>
      </c>
      <c r="J586" s="153">
        <f>+IF(Table3[[#This Row],[Sin cuenta]]="Con Mov.",(IF(Table3[[#This Row],[Movimiento]]="Debe",Table3[[#This Row],[Importe]],IF(Table3[[#This Row],[Movimiento]]="Haber",Table3[[#This Row],[Importe]]*-1,0))),0)</f>
        <v>0</v>
      </c>
      <c r="K586" s="145">
        <f t="shared" si="28"/>
        <v>0</v>
      </c>
      <c r="L586" s="145" t="str">
        <f t="shared" si="29"/>
        <v/>
      </c>
      <c r="M586" t="str">
        <f>_xlfn.XLOOKUP(Table3[[#This Row],[Cuenta]],Estructura_Balance[Nombre Cuenta ()],Estructura_Balance[Grupo],"",0)</f>
        <v/>
      </c>
      <c r="N586" t="str">
        <f>_xlfn.XLOOKUP(Table3[[#This Row],[Cuenta]],Estructura_Balance[Nombre Cuenta ()],Estructura_Balance[Nivel 1],"",0)</f>
        <v/>
      </c>
      <c r="O586" t="str">
        <f>_xlfn.XLOOKUP(Table3[[#This Row],[Cuenta]],Estructura_Balance[Nombre Cuenta ()],Estructura_Balance[Nivel 2],"",0)</f>
        <v/>
      </c>
      <c r="P586" t="str">
        <f>_xlfn.XLOOKUP(Table3[[#This Row],[Cuenta]],Estructura_Balance[Nombre Cuenta ()],Estructura_Balance[Nivel 3],"",0)</f>
        <v/>
      </c>
      <c r="Q586" t="str">
        <f>_xlfn.XLOOKUP(Table3[[#This Row],[Cuenta]],Estructura_Balance[Nombre Cuenta ()],Estructura_Balance[Nivel 4],"",0)</f>
        <v/>
      </c>
      <c r="R586" s="154" t="str">
        <f>_xlfn.XLOOKUP(Table3[[#This Row],[Cuenta]],Table8[Nombre Cuenta ()],Table8[Nivel 1],"",0)</f>
        <v/>
      </c>
      <c r="S586" t="str">
        <f>_xlfn.XLOOKUP(Table3[[#This Row],[Cuenta]],Table8[Nombre Cuenta ()],Table8[Nivel 2],"",0)</f>
        <v/>
      </c>
      <c r="T586" t="str">
        <f>_xlfn.XLOOKUP(Table3[[#This Row],[Cuenta]],Table8[Nombre Cuenta ()],Table8[Nivel 3],"",0)</f>
        <v/>
      </c>
      <c r="U586">
        <v>992</v>
      </c>
      <c r="V586" t="str">
        <f>_xlfn.XLOOKUP(Table3[[#This Row],[Cuenta]],Estructura_Balance[Nombre Cuenta ()],Estructura_Balance[Niveles:2],"",0)</f>
        <v/>
      </c>
      <c r="W586" t="str">
        <f>_xlfn.XLOOKUP(Table3[[#This Row],[Cuenta]],Estructura_Balance[Nombre Cuenta ()],Estructura_Balance[Niveles:3],"",0)</f>
        <v/>
      </c>
      <c r="X586" t="str">
        <f>_xlfn.XLOOKUP(Table3[[#This Row],[Cuenta]],Estructura_Balance[Nombre Cuenta ()],Estructura_Balance[Grupos],"Grupo 1",0)</f>
        <v>Grupo 1</v>
      </c>
      <c r="Y586" t="str">
        <f>+Table3[[#This Row],[BS_Nivel_1]]</f>
        <v/>
      </c>
    </row>
    <row r="587" spans="1:25">
      <c r="A587">
        <f>+'Libro Diario'!F801</f>
        <v>0</v>
      </c>
      <c r="B587" s="144">
        <f>VALUE(IF(+'Libro Diario'!G801="","01/01/2025",+'Libro Diario'!G801))</f>
        <v>45658</v>
      </c>
      <c r="C587">
        <f>IF(ISNUMBER(+IF(IFERROR(VALUE(MID('Libro Diario'!C801,1,4)),0)&lt;&gt;0,'Libro Diario'!C801,0))=FALSE,'Libro Diario'!C801,0)</f>
        <v>0</v>
      </c>
      <c r="D587" s="145">
        <f>+'Libro Diario'!B801</f>
        <v>0</v>
      </c>
      <c r="E587" s="139" t="s">
        <v>445</v>
      </c>
      <c r="F587" t="str">
        <f t="shared" si="27"/>
        <v>Sin Mov.</v>
      </c>
      <c r="G587" t="str">
        <f>IF(+'Libro Diario'!H801=0,"",+'Libro Diario'!H801)</f>
        <v/>
      </c>
      <c r="H587" t="str">
        <f>IF(+'Libro Diario'!I801=0,"",+'Libro Diario'!I801)</f>
        <v/>
      </c>
      <c r="I587" t="str">
        <f>+IF(Table3[[#This Row],[Tipo Movimiento]]="Estructura Balance y PyG","Excluir","Incluir")</f>
        <v>Incluir</v>
      </c>
      <c r="J587" s="153">
        <f>+IF(Table3[[#This Row],[Sin cuenta]]="Con Mov.",(IF(Table3[[#This Row],[Movimiento]]="Debe",Table3[[#This Row],[Importe]],IF(Table3[[#This Row],[Movimiento]]="Haber",Table3[[#This Row],[Importe]]*-1,0))),0)</f>
        <v>0</v>
      </c>
      <c r="K587" s="145">
        <f t="shared" si="28"/>
        <v>0</v>
      </c>
      <c r="L587" s="145" t="str">
        <f t="shared" si="29"/>
        <v/>
      </c>
      <c r="M587" t="str">
        <f>_xlfn.XLOOKUP(Table3[[#This Row],[Cuenta]],Estructura_Balance[Nombre Cuenta ()],Estructura_Balance[Grupo],"",0)</f>
        <v/>
      </c>
      <c r="N587" t="str">
        <f>_xlfn.XLOOKUP(Table3[[#This Row],[Cuenta]],Estructura_Balance[Nombre Cuenta ()],Estructura_Balance[Nivel 1],"",0)</f>
        <v/>
      </c>
      <c r="O587" t="str">
        <f>_xlfn.XLOOKUP(Table3[[#This Row],[Cuenta]],Estructura_Balance[Nombre Cuenta ()],Estructura_Balance[Nivel 2],"",0)</f>
        <v/>
      </c>
      <c r="P587" t="str">
        <f>_xlfn.XLOOKUP(Table3[[#This Row],[Cuenta]],Estructura_Balance[Nombre Cuenta ()],Estructura_Balance[Nivel 3],"",0)</f>
        <v/>
      </c>
      <c r="Q587" t="str">
        <f>_xlfn.XLOOKUP(Table3[[#This Row],[Cuenta]],Estructura_Balance[Nombre Cuenta ()],Estructura_Balance[Nivel 4],"",0)</f>
        <v/>
      </c>
      <c r="R587" s="154" t="str">
        <f>_xlfn.XLOOKUP(Table3[[#This Row],[Cuenta]],Table8[Nombre Cuenta ()],Table8[Nivel 1],"",0)</f>
        <v/>
      </c>
      <c r="S587" t="str">
        <f>_xlfn.XLOOKUP(Table3[[#This Row],[Cuenta]],Table8[Nombre Cuenta ()],Table8[Nivel 2],"",0)</f>
        <v/>
      </c>
      <c r="T587" t="str">
        <f>_xlfn.XLOOKUP(Table3[[#This Row],[Cuenta]],Table8[Nombre Cuenta ()],Table8[Nivel 3],"",0)</f>
        <v/>
      </c>
      <c r="U587">
        <v>993</v>
      </c>
      <c r="V587" t="str">
        <f>_xlfn.XLOOKUP(Table3[[#This Row],[Cuenta]],Estructura_Balance[Nombre Cuenta ()],Estructura_Balance[Niveles:2],"",0)</f>
        <v/>
      </c>
      <c r="W587" t="str">
        <f>_xlfn.XLOOKUP(Table3[[#This Row],[Cuenta]],Estructura_Balance[Nombre Cuenta ()],Estructura_Balance[Niveles:3],"",0)</f>
        <v/>
      </c>
      <c r="X587" t="str">
        <f>_xlfn.XLOOKUP(Table3[[#This Row],[Cuenta]],Estructura_Balance[Nombre Cuenta ()],Estructura_Balance[Grupos],"Grupo 1",0)</f>
        <v>Grupo 1</v>
      </c>
      <c r="Y587" t="str">
        <f>+Table3[[#This Row],[BS_Nivel_1]]</f>
        <v/>
      </c>
    </row>
    <row r="588" spans="1:25">
      <c r="A588">
        <f>+'Libro Diario'!F802</f>
        <v>0</v>
      </c>
      <c r="B588" s="144">
        <f>VALUE(IF(+'Libro Diario'!G802="","01/01/2025",+'Libro Diario'!G802))</f>
        <v>45658</v>
      </c>
      <c r="C588">
        <f>IF(ISNUMBER(+IF(IFERROR(VALUE(MID('Libro Diario'!C802,1,4)),0)&lt;&gt;0,'Libro Diario'!C802,0))=FALSE,'Libro Diario'!C802,0)</f>
        <v>0</v>
      </c>
      <c r="D588" s="145">
        <f>+'Libro Diario'!B802</f>
        <v>0</v>
      </c>
      <c r="E588" s="139" t="s">
        <v>445</v>
      </c>
      <c r="F588" t="str">
        <f t="shared" si="27"/>
        <v>Sin Mov.</v>
      </c>
      <c r="G588" t="str">
        <f>IF(+'Libro Diario'!H802=0,"",+'Libro Diario'!H802)</f>
        <v/>
      </c>
      <c r="H588" t="str">
        <f>IF(+'Libro Diario'!I802=0,"",+'Libro Diario'!I802)</f>
        <v/>
      </c>
      <c r="I588" t="str">
        <f>+IF(Table3[[#This Row],[Tipo Movimiento]]="Estructura Balance y PyG","Excluir","Incluir")</f>
        <v>Incluir</v>
      </c>
      <c r="J588" s="153">
        <f>+IF(Table3[[#This Row],[Sin cuenta]]="Con Mov.",(IF(Table3[[#This Row],[Movimiento]]="Debe",Table3[[#This Row],[Importe]],IF(Table3[[#This Row],[Movimiento]]="Haber",Table3[[#This Row],[Importe]]*-1,0))),0)</f>
        <v>0</v>
      </c>
      <c r="K588" s="145">
        <f t="shared" si="28"/>
        <v>0</v>
      </c>
      <c r="L588" s="145" t="str">
        <f t="shared" si="29"/>
        <v/>
      </c>
      <c r="M588" t="str">
        <f>_xlfn.XLOOKUP(Table3[[#This Row],[Cuenta]],Estructura_Balance[Nombre Cuenta ()],Estructura_Balance[Grupo],"",0)</f>
        <v/>
      </c>
      <c r="N588" t="str">
        <f>_xlfn.XLOOKUP(Table3[[#This Row],[Cuenta]],Estructura_Balance[Nombre Cuenta ()],Estructura_Balance[Nivel 1],"",0)</f>
        <v/>
      </c>
      <c r="O588" t="str">
        <f>_xlfn.XLOOKUP(Table3[[#This Row],[Cuenta]],Estructura_Balance[Nombre Cuenta ()],Estructura_Balance[Nivel 2],"",0)</f>
        <v/>
      </c>
      <c r="P588" t="str">
        <f>_xlfn.XLOOKUP(Table3[[#This Row],[Cuenta]],Estructura_Balance[Nombre Cuenta ()],Estructura_Balance[Nivel 3],"",0)</f>
        <v/>
      </c>
      <c r="Q588" t="str">
        <f>_xlfn.XLOOKUP(Table3[[#This Row],[Cuenta]],Estructura_Balance[Nombre Cuenta ()],Estructura_Balance[Nivel 4],"",0)</f>
        <v/>
      </c>
      <c r="R588" t="str">
        <f>_xlfn.XLOOKUP(Table3[[#This Row],[Cuenta]],Table8[Nombre Cuenta ()],Table8[Nivel 1],"",0)</f>
        <v/>
      </c>
      <c r="S588" t="str">
        <f>_xlfn.XLOOKUP(Table3[[#This Row],[Cuenta]],Table8[Nombre Cuenta ()],Table8[Nivel 2],"",0)</f>
        <v/>
      </c>
      <c r="T588" t="str">
        <f>_xlfn.XLOOKUP(Table3[[#This Row],[Cuenta]],Table8[Nombre Cuenta ()],Table8[Nivel 3],"",0)</f>
        <v/>
      </c>
      <c r="U588">
        <v>994</v>
      </c>
      <c r="V588" t="str">
        <f>_xlfn.XLOOKUP(Table3[[#This Row],[Cuenta]],Estructura_Balance[Nombre Cuenta ()],Estructura_Balance[Niveles:2],"",0)</f>
        <v/>
      </c>
      <c r="W588" t="str">
        <f>_xlfn.XLOOKUP(Table3[[#This Row],[Cuenta]],Estructura_Balance[Nombre Cuenta ()],Estructura_Balance[Niveles:3],"",0)</f>
        <v/>
      </c>
      <c r="X588" t="str">
        <f>_xlfn.XLOOKUP(Table3[[#This Row],[Cuenta]],Estructura_Balance[Nombre Cuenta ()],Estructura_Balance[Grupos],"Grupo 1",0)</f>
        <v>Grupo 1</v>
      </c>
      <c r="Y588" t="str">
        <f>+Table3[[#This Row],[BS_Nivel_1]]</f>
        <v/>
      </c>
    </row>
    <row r="589" spans="1:25">
      <c r="A589">
        <f>+'Libro Diario'!F803</f>
        <v>0</v>
      </c>
      <c r="B589" s="144">
        <f>VALUE(IF(+'Libro Diario'!G803="","01/01/2025",+'Libro Diario'!G803))</f>
        <v>45658</v>
      </c>
      <c r="C589">
        <f>IF(ISNUMBER(+IF(IFERROR(VALUE(MID('Libro Diario'!C803,1,4)),0)&lt;&gt;0,'Libro Diario'!C803,0))=FALSE,'Libro Diario'!C803,0)</f>
        <v>0</v>
      </c>
      <c r="D589" s="145">
        <f>+'Libro Diario'!B803</f>
        <v>0</v>
      </c>
      <c r="E589" s="139" t="s">
        <v>445</v>
      </c>
      <c r="F589" t="str">
        <f t="shared" si="27"/>
        <v>Sin Mov.</v>
      </c>
      <c r="G589" t="str">
        <f>IF(+'Libro Diario'!H803=0,"",+'Libro Diario'!H803)</f>
        <v/>
      </c>
      <c r="H589" t="str">
        <f>IF(+'Libro Diario'!I803=0,"",+'Libro Diario'!I803)</f>
        <v/>
      </c>
      <c r="I589" t="str">
        <f>+IF(Table3[[#This Row],[Tipo Movimiento]]="Estructura Balance y PyG","Excluir","Incluir")</f>
        <v>Incluir</v>
      </c>
      <c r="J589" s="153">
        <f>+IF(Table3[[#This Row],[Sin cuenta]]="Con Mov.",(IF(Table3[[#This Row],[Movimiento]]="Debe",Table3[[#This Row],[Importe]],IF(Table3[[#This Row],[Movimiento]]="Haber",Table3[[#This Row],[Importe]]*-1,0))),0)</f>
        <v>0</v>
      </c>
      <c r="K589" s="145">
        <f t="shared" si="28"/>
        <v>0</v>
      </c>
      <c r="L589" s="145" t="str">
        <f t="shared" si="29"/>
        <v/>
      </c>
      <c r="M589" t="str">
        <f>_xlfn.XLOOKUP(Table3[[#This Row],[Cuenta]],Estructura_Balance[Nombre Cuenta ()],Estructura_Balance[Grupo],"",0)</f>
        <v/>
      </c>
      <c r="N589" t="str">
        <f>_xlfn.XLOOKUP(Table3[[#This Row],[Cuenta]],Estructura_Balance[Nombre Cuenta ()],Estructura_Balance[Nivel 1],"",0)</f>
        <v/>
      </c>
      <c r="O589" t="str">
        <f>_xlfn.XLOOKUP(Table3[[#This Row],[Cuenta]],Estructura_Balance[Nombre Cuenta ()],Estructura_Balance[Nivel 2],"",0)</f>
        <v/>
      </c>
      <c r="P589" t="str">
        <f>_xlfn.XLOOKUP(Table3[[#This Row],[Cuenta]],Estructura_Balance[Nombre Cuenta ()],Estructura_Balance[Nivel 3],"",0)</f>
        <v/>
      </c>
      <c r="Q589" t="str">
        <f>_xlfn.XLOOKUP(Table3[[#This Row],[Cuenta]],Estructura_Balance[Nombre Cuenta ()],Estructura_Balance[Nivel 4],"",0)</f>
        <v/>
      </c>
      <c r="R589" t="str">
        <f>_xlfn.XLOOKUP(Table3[[#This Row],[Cuenta]],Table8[Nombre Cuenta ()],Table8[Nivel 1],"",0)</f>
        <v/>
      </c>
      <c r="S589" t="str">
        <f>_xlfn.XLOOKUP(Table3[[#This Row],[Cuenta]],Table8[Nombre Cuenta ()],Table8[Nivel 2],"",0)</f>
        <v/>
      </c>
      <c r="T589" t="str">
        <f>_xlfn.XLOOKUP(Table3[[#This Row],[Cuenta]],Table8[Nombre Cuenta ()],Table8[Nivel 3],"",0)</f>
        <v/>
      </c>
      <c r="U589">
        <v>995</v>
      </c>
      <c r="V589" t="str">
        <f>_xlfn.XLOOKUP(Table3[[#This Row],[Cuenta]],Estructura_Balance[Nombre Cuenta ()],Estructura_Balance[Niveles:2],"",0)</f>
        <v/>
      </c>
      <c r="W589" t="str">
        <f>_xlfn.XLOOKUP(Table3[[#This Row],[Cuenta]],Estructura_Balance[Nombre Cuenta ()],Estructura_Balance[Niveles:3],"",0)</f>
        <v/>
      </c>
      <c r="X589" t="str">
        <f>_xlfn.XLOOKUP(Table3[[#This Row],[Cuenta]],Estructura_Balance[Nombre Cuenta ()],Estructura_Balance[Grupos],"Grupo 1",0)</f>
        <v>Grupo 1</v>
      </c>
      <c r="Y589" t="str">
        <f>+Table3[[#This Row],[BS_Nivel_1]]</f>
        <v/>
      </c>
    </row>
    <row r="590" spans="1:25">
      <c r="A590">
        <f>+'Libro Diario'!F804</f>
        <v>0</v>
      </c>
      <c r="B590" s="144">
        <f>VALUE(IF(+'Libro Diario'!G804="","01/01/2025",+'Libro Diario'!G804))</f>
        <v>45658</v>
      </c>
      <c r="C590">
        <f>IF(ISNUMBER(+IF(IFERROR(VALUE(MID('Libro Diario'!C804,1,4)),0)&lt;&gt;0,'Libro Diario'!C804,0))=FALSE,'Libro Diario'!C804,0)</f>
        <v>0</v>
      </c>
      <c r="D590" s="145">
        <f>+'Libro Diario'!B804</f>
        <v>0</v>
      </c>
      <c r="E590" s="139" t="s">
        <v>445</v>
      </c>
      <c r="F590" t="str">
        <f t="shared" si="27"/>
        <v>Sin Mov.</v>
      </c>
      <c r="G590" t="str">
        <f>IF(+'Libro Diario'!H804=0,"",+'Libro Diario'!H804)</f>
        <v/>
      </c>
      <c r="H590" t="str">
        <f>IF(+'Libro Diario'!I804=0,"",+'Libro Diario'!I804)</f>
        <v/>
      </c>
      <c r="I590" t="str">
        <f>+IF(Table3[[#This Row],[Tipo Movimiento]]="Estructura Balance y PyG","Excluir","Incluir")</f>
        <v>Incluir</v>
      </c>
      <c r="J590" s="153">
        <f>+IF(Table3[[#This Row],[Sin cuenta]]="Con Mov.",(IF(Table3[[#This Row],[Movimiento]]="Debe",Table3[[#This Row],[Importe]],IF(Table3[[#This Row],[Movimiento]]="Haber",Table3[[#This Row],[Importe]]*-1,0))),0)</f>
        <v>0</v>
      </c>
      <c r="K590" s="145">
        <f t="shared" si="28"/>
        <v>0</v>
      </c>
      <c r="L590" s="145" t="str">
        <f t="shared" si="29"/>
        <v/>
      </c>
      <c r="M590" t="str">
        <f>_xlfn.XLOOKUP(Table3[[#This Row],[Cuenta]],Estructura_Balance[Nombre Cuenta ()],Estructura_Balance[Grupo],"",0)</f>
        <v/>
      </c>
      <c r="N590" t="str">
        <f>_xlfn.XLOOKUP(Table3[[#This Row],[Cuenta]],Estructura_Balance[Nombre Cuenta ()],Estructura_Balance[Nivel 1],"",0)</f>
        <v/>
      </c>
      <c r="O590" t="str">
        <f>_xlfn.XLOOKUP(Table3[[#This Row],[Cuenta]],Estructura_Balance[Nombre Cuenta ()],Estructura_Balance[Nivel 2],"",0)</f>
        <v/>
      </c>
      <c r="P590" t="str">
        <f>_xlfn.XLOOKUP(Table3[[#This Row],[Cuenta]],Estructura_Balance[Nombre Cuenta ()],Estructura_Balance[Nivel 3],"",0)</f>
        <v/>
      </c>
      <c r="Q590" t="str">
        <f>_xlfn.XLOOKUP(Table3[[#This Row],[Cuenta]],Estructura_Balance[Nombre Cuenta ()],Estructura_Balance[Nivel 4],"",0)</f>
        <v/>
      </c>
      <c r="R590" t="str">
        <f>_xlfn.XLOOKUP(Table3[[#This Row],[Cuenta]],Table8[Nombre Cuenta ()],Table8[Nivel 1],"",0)</f>
        <v/>
      </c>
      <c r="S590" t="str">
        <f>_xlfn.XLOOKUP(Table3[[#This Row],[Cuenta]],Table8[Nombre Cuenta ()],Table8[Nivel 2],"",0)</f>
        <v/>
      </c>
      <c r="T590" t="str">
        <f>_xlfn.XLOOKUP(Table3[[#This Row],[Cuenta]],Table8[Nombre Cuenta ()],Table8[Nivel 3],"",0)</f>
        <v/>
      </c>
      <c r="U590">
        <v>996</v>
      </c>
      <c r="V590" t="str">
        <f>_xlfn.XLOOKUP(Table3[[#This Row],[Cuenta]],Estructura_Balance[Nombre Cuenta ()],Estructura_Balance[Niveles:2],"",0)</f>
        <v/>
      </c>
      <c r="W590" t="str">
        <f>_xlfn.XLOOKUP(Table3[[#This Row],[Cuenta]],Estructura_Balance[Nombre Cuenta ()],Estructura_Balance[Niveles:3],"",0)</f>
        <v/>
      </c>
      <c r="X590" t="str">
        <f>_xlfn.XLOOKUP(Table3[[#This Row],[Cuenta]],Estructura_Balance[Nombre Cuenta ()],Estructura_Balance[Grupos],"Grupo 1",0)</f>
        <v>Grupo 1</v>
      </c>
      <c r="Y590" t="str">
        <f>+Table3[[#This Row],[BS_Nivel_1]]</f>
        <v/>
      </c>
    </row>
    <row r="591" spans="1:25">
      <c r="A591">
        <f>+'Libro Diario'!F805</f>
        <v>0</v>
      </c>
      <c r="B591" s="144">
        <f>VALUE(IF(+'Libro Diario'!G805="","01/01/2025",+'Libro Diario'!G805))</f>
        <v>45658</v>
      </c>
      <c r="C591">
        <f>IF(ISNUMBER(+IF(IFERROR(VALUE(MID('Libro Diario'!C805,1,4)),0)&lt;&gt;0,'Libro Diario'!C805,0))=FALSE,'Libro Diario'!C805,0)</f>
        <v>0</v>
      </c>
      <c r="D591" s="145">
        <f>+'Libro Diario'!B805</f>
        <v>0</v>
      </c>
      <c r="E591" s="139" t="s">
        <v>445</v>
      </c>
      <c r="F591" t="str">
        <f t="shared" si="27"/>
        <v>Sin Mov.</v>
      </c>
      <c r="G591" t="str">
        <f>IF(+'Libro Diario'!H805=0,"",+'Libro Diario'!H805)</f>
        <v/>
      </c>
      <c r="H591" t="str">
        <f>IF(+'Libro Diario'!I805=0,"",+'Libro Diario'!I805)</f>
        <v/>
      </c>
      <c r="I591" t="str">
        <f>+IF(Table3[[#This Row],[Tipo Movimiento]]="Estructura Balance y PyG","Excluir","Incluir")</f>
        <v>Incluir</v>
      </c>
      <c r="J591" s="153">
        <f>+IF(Table3[[#This Row],[Sin cuenta]]="Con Mov.",(IF(Table3[[#This Row],[Movimiento]]="Debe",Table3[[#This Row],[Importe]],IF(Table3[[#This Row],[Movimiento]]="Haber",Table3[[#This Row],[Importe]]*-1,0))),0)</f>
        <v>0</v>
      </c>
      <c r="K591" s="145">
        <f t="shared" si="28"/>
        <v>0</v>
      </c>
      <c r="L591" s="145" t="str">
        <f t="shared" si="29"/>
        <v/>
      </c>
      <c r="M591" t="str">
        <f>_xlfn.XLOOKUP(Table3[[#This Row],[Cuenta]],Estructura_Balance[Nombre Cuenta ()],Estructura_Balance[Grupo],"",0)</f>
        <v/>
      </c>
      <c r="N591" t="str">
        <f>_xlfn.XLOOKUP(Table3[[#This Row],[Cuenta]],Estructura_Balance[Nombre Cuenta ()],Estructura_Balance[Nivel 1],"",0)</f>
        <v/>
      </c>
      <c r="O591" t="str">
        <f>_xlfn.XLOOKUP(Table3[[#This Row],[Cuenta]],Estructura_Balance[Nombre Cuenta ()],Estructura_Balance[Nivel 2],"",0)</f>
        <v/>
      </c>
      <c r="P591" t="str">
        <f>_xlfn.XLOOKUP(Table3[[#This Row],[Cuenta]],Estructura_Balance[Nombre Cuenta ()],Estructura_Balance[Nivel 3],"",0)</f>
        <v/>
      </c>
      <c r="Q591" t="str">
        <f>_xlfn.XLOOKUP(Table3[[#This Row],[Cuenta]],Estructura_Balance[Nombre Cuenta ()],Estructura_Balance[Nivel 4],"",0)</f>
        <v/>
      </c>
      <c r="R591" t="str">
        <f>_xlfn.XLOOKUP(Table3[[#This Row],[Cuenta]],Table8[Nombre Cuenta ()],Table8[Nivel 1],"",0)</f>
        <v/>
      </c>
      <c r="S591" t="str">
        <f>_xlfn.XLOOKUP(Table3[[#This Row],[Cuenta]],Table8[Nombre Cuenta ()],Table8[Nivel 2],"",0)</f>
        <v/>
      </c>
      <c r="T591" t="str">
        <f>_xlfn.XLOOKUP(Table3[[#This Row],[Cuenta]],Table8[Nombre Cuenta ()],Table8[Nivel 3],"",0)</f>
        <v/>
      </c>
      <c r="U591">
        <v>997</v>
      </c>
      <c r="V591" t="str">
        <f>_xlfn.XLOOKUP(Table3[[#This Row],[Cuenta]],Estructura_Balance[Nombre Cuenta ()],Estructura_Balance[Niveles:2],"",0)</f>
        <v/>
      </c>
      <c r="W591" t="str">
        <f>_xlfn.XLOOKUP(Table3[[#This Row],[Cuenta]],Estructura_Balance[Nombre Cuenta ()],Estructura_Balance[Niveles:3],"",0)</f>
        <v/>
      </c>
      <c r="X591" t="str">
        <f>_xlfn.XLOOKUP(Table3[[#This Row],[Cuenta]],Estructura_Balance[Nombre Cuenta ()],Estructura_Balance[Grupos],"Grupo 1",0)</f>
        <v>Grupo 1</v>
      </c>
      <c r="Y591" t="str">
        <f>+Table3[[#This Row],[BS_Nivel_1]]</f>
        <v/>
      </c>
    </row>
    <row r="592" spans="1:25">
      <c r="A592">
        <f>+'Libro Diario'!F806</f>
        <v>0</v>
      </c>
      <c r="B592" s="144">
        <f>VALUE(IF(+'Libro Diario'!G806="","01/01/2025",+'Libro Diario'!G806))</f>
        <v>45658</v>
      </c>
      <c r="C592">
        <f>IF(ISNUMBER(+IF(IFERROR(VALUE(MID('Libro Diario'!C806,1,4)),0)&lt;&gt;0,'Libro Diario'!C806,0))=FALSE,'Libro Diario'!C806,0)</f>
        <v>0</v>
      </c>
      <c r="D592" s="145">
        <f>+'Libro Diario'!B806</f>
        <v>0</v>
      </c>
      <c r="E592" s="139" t="s">
        <v>445</v>
      </c>
      <c r="F592" t="str">
        <f t="shared" si="27"/>
        <v>Sin Mov.</v>
      </c>
      <c r="G592" t="str">
        <f>IF(+'Libro Diario'!H806=0,"",+'Libro Diario'!H806)</f>
        <v/>
      </c>
      <c r="H592" t="str">
        <f>IF(+'Libro Diario'!I806=0,"",+'Libro Diario'!I806)</f>
        <v/>
      </c>
      <c r="I592" t="str">
        <f>+IF(Table3[[#This Row],[Tipo Movimiento]]="Estructura Balance y PyG","Excluir","Incluir")</f>
        <v>Incluir</v>
      </c>
      <c r="J592" s="153">
        <f>+IF(Table3[[#This Row],[Sin cuenta]]="Con Mov.",(IF(Table3[[#This Row],[Movimiento]]="Debe",Table3[[#This Row],[Importe]],IF(Table3[[#This Row],[Movimiento]]="Haber",Table3[[#This Row],[Importe]]*-1,0))),0)</f>
        <v>0</v>
      </c>
      <c r="K592" s="145">
        <f t="shared" si="28"/>
        <v>0</v>
      </c>
      <c r="L592" s="145" t="str">
        <f t="shared" si="29"/>
        <v/>
      </c>
      <c r="M592" t="str">
        <f>_xlfn.XLOOKUP(Table3[[#This Row],[Cuenta]],Estructura_Balance[Nombre Cuenta ()],Estructura_Balance[Grupo],"",0)</f>
        <v/>
      </c>
      <c r="N592" t="str">
        <f>_xlfn.XLOOKUP(Table3[[#This Row],[Cuenta]],Estructura_Balance[Nombre Cuenta ()],Estructura_Balance[Nivel 1],"",0)</f>
        <v/>
      </c>
      <c r="O592" t="str">
        <f>_xlfn.XLOOKUP(Table3[[#This Row],[Cuenta]],Estructura_Balance[Nombre Cuenta ()],Estructura_Balance[Nivel 2],"",0)</f>
        <v/>
      </c>
      <c r="P592" t="str">
        <f>_xlfn.XLOOKUP(Table3[[#This Row],[Cuenta]],Estructura_Balance[Nombre Cuenta ()],Estructura_Balance[Nivel 3],"",0)</f>
        <v/>
      </c>
      <c r="Q592" t="str">
        <f>_xlfn.XLOOKUP(Table3[[#This Row],[Cuenta]],Estructura_Balance[Nombre Cuenta ()],Estructura_Balance[Nivel 4],"",0)</f>
        <v/>
      </c>
      <c r="R592" t="str">
        <f>_xlfn.XLOOKUP(Table3[[#This Row],[Cuenta]],Table8[Nombre Cuenta ()],Table8[Nivel 1],"",0)</f>
        <v/>
      </c>
      <c r="S592" t="str">
        <f>_xlfn.XLOOKUP(Table3[[#This Row],[Cuenta]],Table8[Nombre Cuenta ()],Table8[Nivel 2],"",0)</f>
        <v/>
      </c>
      <c r="T592" t="str">
        <f>_xlfn.XLOOKUP(Table3[[#This Row],[Cuenta]],Table8[Nombre Cuenta ()],Table8[Nivel 3],"",0)</f>
        <v/>
      </c>
      <c r="U592">
        <v>998</v>
      </c>
      <c r="V592" t="str">
        <f>_xlfn.XLOOKUP(Table3[[#This Row],[Cuenta]],Estructura_Balance[Nombre Cuenta ()],Estructura_Balance[Niveles:2],"",0)</f>
        <v/>
      </c>
      <c r="W592" t="str">
        <f>_xlfn.XLOOKUP(Table3[[#This Row],[Cuenta]],Estructura_Balance[Nombre Cuenta ()],Estructura_Balance[Niveles:3],"",0)</f>
        <v/>
      </c>
      <c r="X592" t="str">
        <f>_xlfn.XLOOKUP(Table3[[#This Row],[Cuenta]],Estructura_Balance[Nombre Cuenta ()],Estructura_Balance[Grupos],"Grupo 1",0)</f>
        <v>Grupo 1</v>
      </c>
      <c r="Y592" t="str">
        <f>+Table3[[#This Row],[BS_Nivel_1]]</f>
        <v/>
      </c>
    </row>
    <row r="593" spans="1:25">
      <c r="A593">
        <f>+'Libro Diario'!F807</f>
        <v>0</v>
      </c>
      <c r="B593" s="144">
        <f>VALUE(IF(+'Libro Diario'!G807="","01/01/2025",+'Libro Diario'!G807))</f>
        <v>45658</v>
      </c>
      <c r="C593">
        <f>IF(ISNUMBER(+IF(IFERROR(VALUE(MID('Libro Diario'!C807,1,4)),0)&lt;&gt;0,'Libro Diario'!C807,0))=FALSE,'Libro Diario'!C807,0)</f>
        <v>0</v>
      </c>
      <c r="D593" s="145">
        <f>+'Libro Diario'!B807</f>
        <v>0</v>
      </c>
      <c r="E593" s="139" t="s">
        <v>445</v>
      </c>
      <c r="F593" t="str">
        <f t="shared" si="27"/>
        <v>Sin Mov.</v>
      </c>
      <c r="G593" t="str">
        <f>IF(+'Libro Diario'!H807=0,"",+'Libro Diario'!H807)</f>
        <v/>
      </c>
      <c r="H593" t="str">
        <f>IF(+'Libro Diario'!I807=0,"",+'Libro Diario'!I807)</f>
        <v/>
      </c>
      <c r="I593" t="str">
        <f>+IF(Table3[[#This Row],[Tipo Movimiento]]="Estructura Balance y PyG","Excluir","Incluir")</f>
        <v>Incluir</v>
      </c>
      <c r="J593" s="153">
        <f>+IF(Table3[[#This Row],[Sin cuenta]]="Con Mov.",(IF(Table3[[#This Row],[Movimiento]]="Debe",Table3[[#This Row],[Importe]],IF(Table3[[#This Row],[Movimiento]]="Haber",Table3[[#This Row],[Importe]]*-1,0))),0)</f>
        <v>0</v>
      </c>
      <c r="K593" s="145">
        <f t="shared" si="28"/>
        <v>0</v>
      </c>
      <c r="L593" s="145" t="str">
        <f t="shared" si="29"/>
        <v/>
      </c>
      <c r="M593" t="str">
        <f>_xlfn.XLOOKUP(Table3[[#This Row],[Cuenta]],Estructura_Balance[Nombre Cuenta ()],Estructura_Balance[Grupo],"",0)</f>
        <v/>
      </c>
      <c r="N593" t="str">
        <f>_xlfn.XLOOKUP(Table3[[#This Row],[Cuenta]],Estructura_Balance[Nombre Cuenta ()],Estructura_Balance[Nivel 1],"",0)</f>
        <v/>
      </c>
      <c r="O593" t="str">
        <f>_xlfn.XLOOKUP(Table3[[#This Row],[Cuenta]],Estructura_Balance[Nombre Cuenta ()],Estructura_Balance[Nivel 2],"",0)</f>
        <v/>
      </c>
      <c r="P593" t="str">
        <f>_xlfn.XLOOKUP(Table3[[#This Row],[Cuenta]],Estructura_Balance[Nombre Cuenta ()],Estructura_Balance[Nivel 3],"",0)</f>
        <v/>
      </c>
      <c r="Q593" t="str">
        <f>_xlfn.XLOOKUP(Table3[[#This Row],[Cuenta]],Estructura_Balance[Nombre Cuenta ()],Estructura_Balance[Nivel 4],"",0)</f>
        <v/>
      </c>
      <c r="R593" t="str">
        <f>_xlfn.XLOOKUP(Table3[[#This Row],[Cuenta]],Table8[Nombre Cuenta ()],Table8[Nivel 1],"",0)</f>
        <v/>
      </c>
      <c r="S593" t="str">
        <f>_xlfn.XLOOKUP(Table3[[#This Row],[Cuenta]],Table8[Nombre Cuenta ()],Table8[Nivel 2],"",0)</f>
        <v/>
      </c>
      <c r="T593" t="str">
        <f>_xlfn.XLOOKUP(Table3[[#This Row],[Cuenta]],Table8[Nombre Cuenta ()],Table8[Nivel 3],"",0)</f>
        <v/>
      </c>
      <c r="U593">
        <v>999</v>
      </c>
      <c r="V593" t="str">
        <f>_xlfn.XLOOKUP(Table3[[#This Row],[Cuenta]],Estructura_Balance[Nombre Cuenta ()],Estructura_Balance[Niveles:2],"",0)</f>
        <v/>
      </c>
      <c r="W593" t="str">
        <f>_xlfn.XLOOKUP(Table3[[#This Row],[Cuenta]],Estructura_Balance[Nombre Cuenta ()],Estructura_Balance[Niveles:3],"",0)</f>
        <v/>
      </c>
      <c r="X593" t="str">
        <f>_xlfn.XLOOKUP(Table3[[#This Row],[Cuenta]],Estructura_Balance[Nombre Cuenta ()],Estructura_Balance[Grupos],"Grupo 1",0)</f>
        <v>Grupo 1</v>
      </c>
      <c r="Y593" t="str">
        <f>+Table3[[#This Row],[BS_Nivel_1]]</f>
        <v/>
      </c>
    </row>
    <row r="594" spans="1:25">
      <c r="A594">
        <f>+'Libro Diario'!F808</f>
        <v>0</v>
      </c>
      <c r="B594" s="144">
        <f>VALUE(IF(+'Libro Diario'!G808="","01/01/2025",+'Libro Diario'!G808))</f>
        <v>45658</v>
      </c>
      <c r="C594">
        <f>IF(ISNUMBER(+IF(IFERROR(VALUE(MID('Libro Diario'!C808,1,4)),0)&lt;&gt;0,'Libro Diario'!C808,0))=FALSE,'Libro Diario'!C808,0)</f>
        <v>0</v>
      </c>
      <c r="D594" s="145">
        <f>+'Libro Diario'!B808</f>
        <v>0</v>
      </c>
      <c r="E594" s="139" t="s">
        <v>445</v>
      </c>
      <c r="F594" t="str">
        <f t="shared" si="27"/>
        <v>Sin Mov.</v>
      </c>
      <c r="G594" t="str">
        <f>IF(+'Libro Diario'!H808=0,"",+'Libro Diario'!H808)</f>
        <v/>
      </c>
      <c r="H594" t="str">
        <f>IF(+'Libro Diario'!I808=0,"",+'Libro Diario'!I808)</f>
        <v/>
      </c>
      <c r="I594" t="str">
        <f>+IF(Table3[[#This Row],[Tipo Movimiento]]="Estructura Balance y PyG","Excluir","Incluir")</f>
        <v>Incluir</v>
      </c>
      <c r="J594" s="153">
        <f>+IF(Table3[[#This Row],[Sin cuenta]]="Con Mov.",(IF(Table3[[#This Row],[Movimiento]]="Debe",Table3[[#This Row],[Importe]],IF(Table3[[#This Row],[Movimiento]]="Haber",Table3[[#This Row],[Importe]]*-1,0))),0)</f>
        <v>0</v>
      </c>
      <c r="K594" s="145">
        <f t="shared" si="28"/>
        <v>0</v>
      </c>
      <c r="L594" s="145" t="str">
        <f t="shared" si="29"/>
        <v/>
      </c>
      <c r="M594" t="str">
        <f>_xlfn.XLOOKUP(Table3[[#This Row],[Cuenta]],Estructura_Balance[Nombre Cuenta ()],Estructura_Balance[Grupo],"",0)</f>
        <v/>
      </c>
      <c r="N594" t="str">
        <f>_xlfn.XLOOKUP(Table3[[#This Row],[Cuenta]],Estructura_Balance[Nombre Cuenta ()],Estructura_Balance[Nivel 1],"",0)</f>
        <v/>
      </c>
      <c r="O594" t="str">
        <f>_xlfn.XLOOKUP(Table3[[#This Row],[Cuenta]],Estructura_Balance[Nombre Cuenta ()],Estructura_Balance[Nivel 2],"",0)</f>
        <v/>
      </c>
      <c r="P594" t="str">
        <f>_xlfn.XLOOKUP(Table3[[#This Row],[Cuenta]],Estructura_Balance[Nombre Cuenta ()],Estructura_Balance[Nivel 3],"",0)</f>
        <v/>
      </c>
      <c r="Q594" t="str">
        <f>_xlfn.XLOOKUP(Table3[[#This Row],[Cuenta]],Estructura_Balance[Nombre Cuenta ()],Estructura_Balance[Nivel 4],"",0)</f>
        <v/>
      </c>
      <c r="R594" t="str">
        <f>_xlfn.XLOOKUP(Table3[[#This Row],[Cuenta]],Table8[Nombre Cuenta ()],Table8[Nivel 1],"",0)</f>
        <v/>
      </c>
      <c r="S594" t="str">
        <f>_xlfn.XLOOKUP(Table3[[#This Row],[Cuenta]],Table8[Nombre Cuenta ()],Table8[Nivel 2],"",0)</f>
        <v/>
      </c>
      <c r="T594" t="str">
        <f>_xlfn.XLOOKUP(Table3[[#This Row],[Cuenta]],Table8[Nombre Cuenta ()],Table8[Nivel 3],"",0)</f>
        <v/>
      </c>
      <c r="U594">
        <v>1000</v>
      </c>
      <c r="V594" t="str">
        <f>_xlfn.XLOOKUP(Table3[[#This Row],[Cuenta]],Estructura_Balance[Nombre Cuenta ()],Estructura_Balance[Niveles:2],"",0)</f>
        <v/>
      </c>
      <c r="W594" t="str">
        <f>_xlfn.XLOOKUP(Table3[[#This Row],[Cuenta]],Estructura_Balance[Nombre Cuenta ()],Estructura_Balance[Niveles:3],"",0)</f>
        <v/>
      </c>
      <c r="X594" t="str">
        <f>_xlfn.XLOOKUP(Table3[[#This Row],[Cuenta]],Estructura_Balance[Nombre Cuenta ()],Estructura_Balance[Grupos],"Grupo 1",0)</f>
        <v>Grupo 1</v>
      </c>
      <c r="Y594" t="str">
        <f>+Table3[[#This Row],[BS_Nivel_1]]</f>
        <v/>
      </c>
    </row>
    <row r="595" spans="1:25">
      <c r="A595">
        <f>+'Libro Diario'!F809</f>
        <v>0</v>
      </c>
      <c r="B595" s="144">
        <f>VALUE(IF(+'Libro Diario'!G809="","01/01/2025",+'Libro Diario'!G809))</f>
        <v>45658</v>
      </c>
      <c r="C595">
        <f>IF(ISNUMBER(+IF(IFERROR(VALUE(MID('Libro Diario'!C809,1,4)),0)&lt;&gt;0,'Libro Diario'!C809,0))=FALSE,'Libro Diario'!C809,0)</f>
        <v>0</v>
      </c>
      <c r="D595" s="145">
        <f>+'Libro Diario'!B809</f>
        <v>0</v>
      </c>
      <c r="E595" s="139" t="s">
        <v>445</v>
      </c>
      <c r="F595" t="str">
        <f t="shared" si="27"/>
        <v>Sin Mov.</v>
      </c>
      <c r="G595" t="str">
        <f>IF(+'Libro Diario'!H809=0,"",+'Libro Diario'!H809)</f>
        <v/>
      </c>
      <c r="H595" t="str">
        <f>IF(+'Libro Diario'!I809=0,"",+'Libro Diario'!I809)</f>
        <v/>
      </c>
      <c r="I595" t="str">
        <f>+IF(Table3[[#This Row],[Tipo Movimiento]]="Estructura Balance y PyG","Excluir","Incluir")</f>
        <v>Incluir</v>
      </c>
      <c r="J595" s="153">
        <f>+IF(Table3[[#This Row],[Sin cuenta]]="Con Mov.",(IF(Table3[[#This Row],[Movimiento]]="Debe",Table3[[#This Row],[Importe]],IF(Table3[[#This Row],[Movimiento]]="Haber",Table3[[#This Row],[Importe]]*-1,0))),0)</f>
        <v>0</v>
      </c>
      <c r="K595" s="145">
        <f t="shared" si="28"/>
        <v>0</v>
      </c>
      <c r="L595" s="145" t="str">
        <f t="shared" si="29"/>
        <v/>
      </c>
      <c r="M595" t="str">
        <f>_xlfn.XLOOKUP(Table3[[#This Row],[Cuenta]],Estructura_Balance[Nombre Cuenta ()],Estructura_Balance[Grupo],"",0)</f>
        <v/>
      </c>
      <c r="N595" t="str">
        <f>_xlfn.XLOOKUP(Table3[[#This Row],[Cuenta]],Estructura_Balance[Nombre Cuenta ()],Estructura_Balance[Nivel 1],"",0)</f>
        <v/>
      </c>
      <c r="O595" t="str">
        <f>_xlfn.XLOOKUP(Table3[[#This Row],[Cuenta]],Estructura_Balance[Nombre Cuenta ()],Estructura_Balance[Nivel 2],"",0)</f>
        <v/>
      </c>
      <c r="P595" t="str">
        <f>_xlfn.XLOOKUP(Table3[[#This Row],[Cuenta]],Estructura_Balance[Nombre Cuenta ()],Estructura_Balance[Nivel 3],"",0)</f>
        <v/>
      </c>
      <c r="Q595" t="str">
        <f>_xlfn.XLOOKUP(Table3[[#This Row],[Cuenta]],Estructura_Balance[Nombre Cuenta ()],Estructura_Balance[Nivel 4],"",0)</f>
        <v/>
      </c>
      <c r="R595" t="str">
        <f>_xlfn.XLOOKUP(Table3[[#This Row],[Cuenta]],Table8[Nombre Cuenta ()],Table8[Nivel 1],"",0)</f>
        <v/>
      </c>
      <c r="S595" t="str">
        <f>_xlfn.XLOOKUP(Table3[[#This Row],[Cuenta]],Table8[Nombre Cuenta ()],Table8[Nivel 2],"",0)</f>
        <v/>
      </c>
      <c r="T595" t="str">
        <f>_xlfn.XLOOKUP(Table3[[#This Row],[Cuenta]],Table8[Nombre Cuenta ()],Table8[Nivel 3],"",0)</f>
        <v/>
      </c>
      <c r="U595">
        <v>1001</v>
      </c>
      <c r="V595" t="str">
        <f>_xlfn.XLOOKUP(Table3[[#This Row],[Cuenta]],Estructura_Balance[Nombre Cuenta ()],Estructura_Balance[Niveles:2],"",0)</f>
        <v/>
      </c>
      <c r="W595" t="str">
        <f>_xlfn.XLOOKUP(Table3[[#This Row],[Cuenta]],Estructura_Balance[Nombre Cuenta ()],Estructura_Balance[Niveles:3],"",0)</f>
        <v/>
      </c>
      <c r="X595" t="str">
        <f>_xlfn.XLOOKUP(Table3[[#This Row],[Cuenta]],Estructura_Balance[Nombre Cuenta ()],Estructura_Balance[Grupos],"Grupo 1",0)</f>
        <v>Grupo 1</v>
      </c>
      <c r="Y595" t="str">
        <f>+Table3[[#This Row],[BS_Nivel_1]]</f>
        <v/>
      </c>
    </row>
    <row r="596" spans="1:25">
      <c r="A596">
        <f>+'Libro Diario'!F810</f>
        <v>0</v>
      </c>
      <c r="B596" s="144">
        <f>VALUE(IF(+'Libro Diario'!G810="","01/01/2025",+'Libro Diario'!G810))</f>
        <v>45658</v>
      </c>
      <c r="C596">
        <f>IF(ISNUMBER(+IF(IFERROR(VALUE(MID('Libro Diario'!C810,1,4)),0)&lt;&gt;0,'Libro Diario'!C810,0))=FALSE,'Libro Diario'!C810,0)</f>
        <v>0</v>
      </c>
      <c r="D596" s="145">
        <f>+'Libro Diario'!B810</f>
        <v>0</v>
      </c>
      <c r="E596" s="139" t="s">
        <v>445</v>
      </c>
      <c r="F596" t="str">
        <f t="shared" si="27"/>
        <v>Sin Mov.</v>
      </c>
      <c r="G596" t="str">
        <f>IF(+'Libro Diario'!H810=0,"",+'Libro Diario'!H810)</f>
        <v/>
      </c>
      <c r="H596" t="str">
        <f>IF(+'Libro Diario'!I810=0,"",+'Libro Diario'!I810)</f>
        <v/>
      </c>
      <c r="I596" t="str">
        <f>+IF(Table3[[#This Row],[Tipo Movimiento]]="Estructura Balance y PyG","Excluir","Incluir")</f>
        <v>Incluir</v>
      </c>
      <c r="J596" s="153">
        <f>+IF(Table3[[#This Row],[Sin cuenta]]="Con Mov.",(IF(Table3[[#This Row],[Movimiento]]="Debe",Table3[[#This Row],[Importe]],IF(Table3[[#This Row],[Movimiento]]="Haber",Table3[[#This Row],[Importe]]*-1,0))),0)</f>
        <v>0</v>
      </c>
      <c r="K596" s="145">
        <f t="shared" si="28"/>
        <v>0</v>
      </c>
      <c r="L596" s="145" t="str">
        <f t="shared" si="29"/>
        <v/>
      </c>
      <c r="M596" t="str">
        <f>_xlfn.XLOOKUP(Table3[[#This Row],[Cuenta]],Estructura_Balance[Nombre Cuenta ()],Estructura_Balance[Grupo],"",0)</f>
        <v/>
      </c>
      <c r="N596" t="str">
        <f>_xlfn.XLOOKUP(Table3[[#This Row],[Cuenta]],Estructura_Balance[Nombre Cuenta ()],Estructura_Balance[Nivel 1],"",0)</f>
        <v/>
      </c>
      <c r="O596" t="str">
        <f>_xlfn.XLOOKUP(Table3[[#This Row],[Cuenta]],Estructura_Balance[Nombre Cuenta ()],Estructura_Balance[Nivel 2],"",0)</f>
        <v/>
      </c>
      <c r="P596" t="str">
        <f>_xlfn.XLOOKUP(Table3[[#This Row],[Cuenta]],Estructura_Balance[Nombre Cuenta ()],Estructura_Balance[Nivel 3],"",0)</f>
        <v/>
      </c>
      <c r="Q596" t="str">
        <f>_xlfn.XLOOKUP(Table3[[#This Row],[Cuenta]],Estructura_Balance[Nombre Cuenta ()],Estructura_Balance[Nivel 4],"",0)</f>
        <v/>
      </c>
      <c r="R596" t="str">
        <f>_xlfn.XLOOKUP(Table3[[#This Row],[Cuenta]],Table8[Nombre Cuenta ()],Table8[Nivel 1],"",0)</f>
        <v/>
      </c>
      <c r="S596" t="str">
        <f>_xlfn.XLOOKUP(Table3[[#This Row],[Cuenta]],Table8[Nombre Cuenta ()],Table8[Nivel 2],"",0)</f>
        <v/>
      </c>
      <c r="T596" t="str">
        <f>_xlfn.XLOOKUP(Table3[[#This Row],[Cuenta]],Table8[Nombre Cuenta ()],Table8[Nivel 3],"",0)</f>
        <v/>
      </c>
      <c r="U596">
        <v>1002</v>
      </c>
      <c r="V596" t="str">
        <f>_xlfn.XLOOKUP(Table3[[#This Row],[Cuenta]],Estructura_Balance[Nombre Cuenta ()],Estructura_Balance[Niveles:2],"",0)</f>
        <v/>
      </c>
      <c r="W596" t="str">
        <f>_xlfn.XLOOKUP(Table3[[#This Row],[Cuenta]],Estructura_Balance[Nombre Cuenta ()],Estructura_Balance[Niveles:3],"",0)</f>
        <v/>
      </c>
      <c r="X596" t="str">
        <f>_xlfn.XLOOKUP(Table3[[#This Row],[Cuenta]],Estructura_Balance[Nombre Cuenta ()],Estructura_Balance[Grupos],"Grupo 1",0)</f>
        <v>Grupo 1</v>
      </c>
      <c r="Y596" t="str">
        <f>+Table3[[#This Row],[BS_Nivel_1]]</f>
        <v/>
      </c>
    </row>
    <row r="597" spans="1:25">
      <c r="A597">
        <f>+'Libro Diario'!F811</f>
        <v>0</v>
      </c>
      <c r="B597" s="144">
        <f>VALUE(IF(+'Libro Diario'!G811="","01/01/2025",+'Libro Diario'!G811))</f>
        <v>45658</v>
      </c>
      <c r="C597">
        <f>IF(ISNUMBER(+IF(IFERROR(VALUE(MID('Libro Diario'!C811,1,4)),0)&lt;&gt;0,'Libro Diario'!C811,0))=FALSE,'Libro Diario'!C811,0)</f>
        <v>0</v>
      </c>
      <c r="D597" s="145">
        <f>+'Libro Diario'!B811</f>
        <v>0</v>
      </c>
      <c r="E597" s="139" t="s">
        <v>445</v>
      </c>
      <c r="F597" t="str">
        <f t="shared" si="27"/>
        <v>Sin Mov.</v>
      </c>
      <c r="G597" t="str">
        <f>IF(+'Libro Diario'!H811=0,"",+'Libro Diario'!H811)</f>
        <v/>
      </c>
      <c r="H597" t="str">
        <f>IF(+'Libro Diario'!I811=0,"",+'Libro Diario'!I811)</f>
        <v/>
      </c>
      <c r="I597" t="str">
        <f>+IF(Table3[[#This Row],[Tipo Movimiento]]="Estructura Balance y PyG","Excluir","Incluir")</f>
        <v>Incluir</v>
      </c>
      <c r="J597" s="153">
        <f>+IF(Table3[[#This Row],[Sin cuenta]]="Con Mov.",(IF(Table3[[#This Row],[Movimiento]]="Debe",Table3[[#This Row],[Importe]],IF(Table3[[#This Row],[Movimiento]]="Haber",Table3[[#This Row],[Importe]]*-1,0))),0)</f>
        <v>0</v>
      </c>
      <c r="K597" s="145">
        <f t="shared" si="28"/>
        <v>0</v>
      </c>
      <c r="L597" s="145" t="str">
        <f t="shared" si="29"/>
        <v/>
      </c>
      <c r="M597" t="str">
        <f>_xlfn.XLOOKUP(Table3[[#This Row],[Cuenta]],Estructura_Balance[Nombre Cuenta ()],Estructura_Balance[Grupo],"",0)</f>
        <v/>
      </c>
      <c r="N597" t="str">
        <f>_xlfn.XLOOKUP(Table3[[#This Row],[Cuenta]],Estructura_Balance[Nombre Cuenta ()],Estructura_Balance[Nivel 1],"",0)</f>
        <v/>
      </c>
      <c r="O597" t="str">
        <f>_xlfn.XLOOKUP(Table3[[#This Row],[Cuenta]],Estructura_Balance[Nombre Cuenta ()],Estructura_Balance[Nivel 2],"",0)</f>
        <v/>
      </c>
      <c r="P597" t="str">
        <f>_xlfn.XLOOKUP(Table3[[#This Row],[Cuenta]],Estructura_Balance[Nombre Cuenta ()],Estructura_Balance[Nivel 3],"",0)</f>
        <v/>
      </c>
      <c r="Q597" t="str">
        <f>_xlfn.XLOOKUP(Table3[[#This Row],[Cuenta]],Estructura_Balance[Nombre Cuenta ()],Estructura_Balance[Nivel 4],"",0)</f>
        <v/>
      </c>
      <c r="R597" t="str">
        <f>_xlfn.XLOOKUP(Table3[[#This Row],[Cuenta]],Table8[Nombre Cuenta ()],Table8[Nivel 1],"",0)</f>
        <v/>
      </c>
      <c r="S597" t="str">
        <f>_xlfn.XLOOKUP(Table3[[#This Row],[Cuenta]],Table8[Nombre Cuenta ()],Table8[Nivel 2],"",0)</f>
        <v/>
      </c>
      <c r="T597" t="str">
        <f>_xlfn.XLOOKUP(Table3[[#This Row],[Cuenta]],Table8[Nombre Cuenta ()],Table8[Nivel 3],"",0)</f>
        <v/>
      </c>
      <c r="U597">
        <v>1003</v>
      </c>
      <c r="V597" t="str">
        <f>_xlfn.XLOOKUP(Table3[[#This Row],[Cuenta]],Estructura_Balance[Nombre Cuenta ()],Estructura_Balance[Niveles:2],"",0)</f>
        <v/>
      </c>
      <c r="W597" t="str">
        <f>_xlfn.XLOOKUP(Table3[[#This Row],[Cuenta]],Estructura_Balance[Nombre Cuenta ()],Estructura_Balance[Niveles:3],"",0)</f>
        <v/>
      </c>
      <c r="X597" t="str">
        <f>_xlfn.XLOOKUP(Table3[[#This Row],[Cuenta]],Estructura_Balance[Nombre Cuenta ()],Estructura_Balance[Grupos],"Grupo 1",0)</f>
        <v>Grupo 1</v>
      </c>
      <c r="Y597" t="str">
        <f>+Table3[[#This Row],[BS_Nivel_1]]</f>
        <v/>
      </c>
    </row>
    <row r="598" spans="1:25">
      <c r="A598">
        <f>+'Libro Diario'!F812</f>
        <v>0</v>
      </c>
      <c r="B598" s="144">
        <f>VALUE(IF(+'Libro Diario'!G812="","01/01/2025",+'Libro Diario'!G812))</f>
        <v>45658</v>
      </c>
      <c r="C598">
        <f>IF(ISNUMBER(+IF(IFERROR(VALUE(MID('Libro Diario'!C812,1,4)),0)&lt;&gt;0,'Libro Diario'!C812,0))=FALSE,'Libro Diario'!C812,0)</f>
        <v>0</v>
      </c>
      <c r="D598" s="145">
        <f>+'Libro Diario'!B812</f>
        <v>0</v>
      </c>
      <c r="E598" s="139" t="s">
        <v>445</v>
      </c>
      <c r="F598" t="str">
        <f t="shared" si="27"/>
        <v>Sin Mov.</v>
      </c>
      <c r="G598" t="str">
        <f>IF(+'Libro Diario'!H812=0,"",+'Libro Diario'!H812)</f>
        <v/>
      </c>
      <c r="H598" t="str">
        <f>IF(+'Libro Diario'!I812=0,"",+'Libro Diario'!I812)</f>
        <v/>
      </c>
      <c r="I598" t="str">
        <f>+IF(Table3[[#This Row],[Tipo Movimiento]]="Estructura Balance y PyG","Excluir","Incluir")</f>
        <v>Incluir</v>
      </c>
      <c r="J598" s="153">
        <f>+IF(Table3[[#This Row],[Sin cuenta]]="Con Mov.",(IF(Table3[[#This Row],[Movimiento]]="Debe",Table3[[#This Row],[Importe]],IF(Table3[[#This Row],[Movimiento]]="Haber",Table3[[#This Row],[Importe]]*-1,0))),0)</f>
        <v>0</v>
      </c>
      <c r="K598" s="145">
        <f t="shared" si="28"/>
        <v>0</v>
      </c>
      <c r="L598" s="145" t="str">
        <f t="shared" si="29"/>
        <v/>
      </c>
      <c r="M598" t="str">
        <f>_xlfn.XLOOKUP(Table3[[#This Row],[Cuenta]],Estructura_Balance[Nombre Cuenta ()],Estructura_Balance[Grupo],"",0)</f>
        <v/>
      </c>
      <c r="N598" t="str">
        <f>_xlfn.XLOOKUP(Table3[[#This Row],[Cuenta]],Estructura_Balance[Nombre Cuenta ()],Estructura_Balance[Nivel 1],"",0)</f>
        <v/>
      </c>
      <c r="O598" t="str">
        <f>_xlfn.XLOOKUP(Table3[[#This Row],[Cuenta]],Estructura_Balance[Nombre Cuenta ()],Estructura_Balance[Nivel 2],"",0)</f>
        <v/>
      </c>
      <c r="P598" t="str">
        <f>_xlfn.XLOOKUP(Table3[[#This Row],[Cuenta]],Estructura_Balance[Nombre Cuenta ()],Estructura_Balance[Nivel 3],"",0)</f>
        <v/>
      </c>
      <c r="Q598" t="str">
        <f>_xlfn.XLOOKUP(Table3[[#This Row],[Cuenta]],Estructura_Balance[Nombre Cuenta ()],Estructura_Balance[Nivel 4],"",0)</f>
        <v/>
      </c>
      <c r="R598" t="str">
        <f>_xlfn.XLOOKUP(Table3[[#This Row],[Cuenta]],Table8[Nombre Cuenta ()],Table8[Nivel 1],"",0)</f>
        <v/>
      </c>
      <c r="S598" t="str">
        <f>_xlfn.XLOOKUP(Table3[[#This Row],[Cuenta]],Table8[Nombre Cuenta ()],Table8[Nivel 2],"",0)</f>
        <v/>
      </c>
      <c r="T598" t="str">
        <f>_xlfn.XLOOKUP(Table3[[#This Row],[Cuenta]],Table8[Nombre Cuenta ()],Table8[Nivel 3],"",0)</f>
        <v/>
      </c>
      <c r="U598">
        <v>1004</v>
      </c>
      <c r="V598" t="str">
        <f>_xlfn.XLOOKUP(Table3[[#This Row],[Cuenta]],Estructura_Balance[Nombre Cuenta ()],Estructura_Balance[Niveles:2],"",0)</f>
        <v/>
      </c>
      <c r="W598" t="str">
        <f>_xlfn.XLOOKUP(Table3[[#This Row],[Cuenta]],Estructura_Balance[Nombre Cuenta ()],Estructura_Balance[Niveles:3],"",0)</f>
        <v/>
      </c>
      <c r="X598" t="str">
        <f>_xlfn.XLOOKUP(Table3[[#This Row],[Cuenta]],Estructura_Balance[Nombre Cuenta ()],Estructura_Balance[Grupos],"Grupo 1",0)</f>
        <v>Grupo 1</v>
      </c>
      <c r="Y598" t="str">
        <f>+Table3[[#This Row],[BS_Nivel_1]]</f>
        <v/>
      </c>
    </row>
    <row r="599" spans="1:25">
      <c r="A599">
        <f>+'Libro Diario'!F813</f>
        <v>0</v>
      </c>
      <c r="B599" s="144">
        <f>VALUE(IF(+'Libro Diario'!G813="","01/01/2025",+'Libro Diario'!G813))</f>
        <v>45658</v>
      </c>
      <c r="C599">
        <f>IF(ISNUMBER(+IF(IFERROR(VALUE(MID('Libro Diario'!C813,1,4)),0)&lt;&gt;0,'Libro Diario'!C813,0))=FALSE,'Libro Diario'!C813,0)</f>
        <v>0</v>
      </c>
      <c r="D599" s="145">
        <f>+'Libro Diario'!B813</f>
        <v>0</v>
      </c>
      <c r="E599" s="139" t="s">
        <v>445</v>
      </c>
      <c r="F599" t="str">
        <f t="shared" si="27"/>
        <v>Sin Mov.</v>
      </c>
      <c r="G599" t="str">
        <f>IF(+'Libro Diario'!H813=0,"",+'Libro Diario'!H813)</f>
        <v/>
      </c>
      <c r="H599" t="str">
        <f>IF(+'Libro Diario'!I813=0,"",+'Libro Diario'!I813)</f>
        <v/>
      </c>
      <c r="I599" t="str">
        <f>+IF(Table3[[#This Row],[Tipo Movimiento]]="Estructura Balance y PyG","Excluir","Incluir")</f>
        <v>Incluir</v>
      </c>
      <c r="J599" s="153">
        <f>+IF(Table3[[#This Row],[Sin cuenta]]="Con Mov.",(IF(Table3[[#This Row],[Movimiento]]="Debe",Table3[[#This Row],[Importe]],IF(Table3[[#This Row],[Movimiento]]="Haber",Table3[[#This Row],[Importe]]*-1,0))),0)</f>
        <v>0</v>
      </c>
      <c r="K599" s="145">
        <f t="shared" si="28"/>
        <v>0</v>
      </c>
      <c r="L599" s="145" t="str">
        <f t="shared" si="29"/>
        <v/>
      </c>
      <c r="M599" t="str">
        <f>_xlfn.XLOOKUP(Table3[[#This Row],[Cuenta]],Estructura_Balance[Nombre Cuenta ()],Estructura_Balance[Grupo],"",0)</f>
        <v/>
      </c>
      <c r="N599" t="str">
        <f>_xlfn.XLOOKUP(Table3[[#This Row],[Cuenta]],Estructura_Balance[Nombre Cuenta ()],Estructura_Balance[Nivel 1],"",0)</f>
        <v/>
      </c>
      <c r="O599" t="str">
        <f>_xlfn.XLOOKUP(Table3[[#This Row],[Cuenta]],Estructura_Balance[Nombre Cuenta ()],Estructura_Balance[Nivel 2],"",0)</f>
        <v/>
      </c>
      <c r="P599" t="str">
        <f>_xlfn.XLOOKUP(Table3[[#This Row],[Cuenta]],Estructura_Balance[Nombre Cuenta ()],Estructura_Balance[Nivel 3],"",0)</f>
        <v/>
      </c>
      <c r="Q599" t="str">
        <f>_xlfn.XLOOKUP(Table3[[#This Row],[Cuenta]],Estructura_Balance[Nombre Cuenta ()],Estructura_Balance[Nivel 4],"",0)</f>
        <v/>
      </c>
      <c r="R599" t="str">
        <f>_xlfn.XLOOKUP(Table3[[#This Row],[Cuenta]],Table8[Nombre Cuenta ()],Table8[Nivel 1],"",0)</f>
        <v/>
      </c>
      <c r="S599" t="str">
        <f>_xlfn.XLOOKUP(Table3[[#This Row],[Cuenta]],Table8[Nombre Cuenta ()],Table8[Nivel 2],"",0)</f>
        <v/>
      </c>
      <c r="T599" t="str">
        <f>_xlfn.XLOOKUP(Table3[[#This Row],[Cuenta]],Table8[Nombre Cuenta ()],Table8[Nivel 3],"",0)</f>
        <v/>
      </c>
      <c r="U599">
        <v>1005</v>
      </c>
      <c r="V599" t="str">
        <f>_xlfn.XLOOKUP(Table3[[#This Row],[Cuenta]],Estructura_Balance[Nombre Cuenta ()],Estructura_Balance[Niveles:2],"",0)</f>
        <v/>
      </c>
      <c r="W599" t="str">
        <f>_xlfn.XLOOKUP(Table3[[#This Row],[Cuenta]],Estructura_Balance[Nombre Cuenta ()],Estructura_Balance[Niveles:3],"",0)</f>
        <v/>
      </c>
      <c r="X599" t="str">
        <f>_xlfn.XLOOKUP(Table3[[#This Row],[Cuenta]],Estructura_Balance[Nombre Cuenta ()],Estructura_Balance[Grupos],"Grupo 1",0)</f>
        <v>Grupo 1</v>
      </c>
      <c r="Y599" t="str">
        <f>+Table3[[#This Row],[BS_Nivel_1]]</f>
        <v/>
      </c>
    </row>
    <row r="600" spans="1:25">
      <c r="A600">
        <f>+'Libro Diario'!F814</f>
        <v>0</v>
      </c>
      <c r="B600" s="144">
        <f>VALUE(IF(+'Libro Diario'!G814="","01/01/2025",+'Libro Diario'!G814))</f>
        <v>45658</v>
      </c>
      <c r="C600">
        <f>IF(ISNUMBER(+IF(IFERROR(VALUE(MID('Libro Diario'!C814,1,4)),0)&lt;&gt;0,'Libro Diario'!C814,0))=FALSE,'Libro Diario'!C814,0)</f>
        <v>0</v>
      </c>
      <c r="D600" s="145">
        <f>+'Libro Diario'!B814</f>
        <v>0</v>
      </c>
      <c r="E600" s="139" t="s">
        <v>445</v>
      </c>
      <c r="F600" t="str">
        <f t="shared" si="27"/>
        <v>Sin Mov.</v>
      </c>
      <c r="G600" t="str">
        <f>IF(+'Libro Diario'!H814=0,"",+'Libro Diario'!H814)</f>
        <v/>
      </c>
      <c r="H600" t="str">
        <f>IF(+'Libro Diario'!I814=0,"",+'Libro Diario'!I814)</f>
        <v/>
      </c>
      <c r="I600" t="str">
        <f>+IF(Table3[[#This Row],[Tipo Movimiento]]="Estructura Balance y PyG","Excluir","Incluir")</f>
        <v>Incluir</v>
      </c>
      <c r="J600" s="153">
        <f>+IF(Table3[[#This Row],[Sin cuenta]]="Con Mov.",(IF(Table3[[#This Row],[Movimiento]]="Debe",Table3[[#This Row],[Importe]],IF(Table3[[#This Row],[Movimiento]]="Haber",Table3[[#This Row],[Importe]]*-1,0))),0)</f>
        <v>0</v>
      </c>
      <c r="K600" s="145">
        <f t="shared" si="28"/>
        <v>0</v>
      </c>
      <c r="L600" s="145" t="str">
        <f t="shared" si="29"/>
        <v/>
      </c>
      <c r="M600" t="str">
        <f>_xlfn.XLOOKUP(Table3[[#This Row],[Cuenta]],Estructura_Balance[Nombre Cuenta ()],Estructura_Balance[Grupo],"",0)</f>
        <v/>
      </c>
      <c r="N600" t="str">
        <f>_xlfn.XLOOKUP(Table3[[#This Row],[Cuenta]],Estructura_Balance[Nombre Cuenta ()],Estructura_Balance[Nivel 1],"",0)</f>
        <v/>
      </c>
      <c r="O600" t="str">
        <f>_xlfn.XLOOKUP(Table3[[#This Row],[Cuenta]],Estructura_Balance[Nombre Cuenta ()],Estructura_Balance[Nivel 2],"",0)</f>
        <v/>
      </c>
      <c r="P600" t="str">
        <f>_xlfn.XLOOKUP(Table3[[#This Row],[Cuenta]],Estructura_Balance[Nombre Cuenta ()],Estructura_Balance[Nivel 3],"",0)</f>
        <v/>
      </c>
      <c r="Q600" t="str">
        <f>_xlfn.XLOOKUP(Table3[[#This Row],[Cuenta]],Estructura_Balance[Nombre Cuenta ()],Estructura_Balance[Nivel 4],"",0)</f>
        <v/>
      </c>
      <c r="R600" t="str">
        <f>_xlfn.XLOOKUP(Table3[[#This Row],[Cuenta]],Table8[Nombre Cuenta ()],Table8[Nivel 1],"",0)</f>
        <v/>
      </c>
      <c r="S600" t="str">
        <f>_xlfn.XLOOKUP(Table3[[#This Row],[Cuenta]],Table8[Nombre Cuenta ()],Table8[Nivel 2],"",0)</f>
        <v/>
      </c>
      <c r="T600" t="str">
        <f>_xlfn.XLOOKUP(Table3[[#This Row],[Cuenta]],Table8[Nombre Cuenta ()],Table8[Nivel 3],"",0)</f>
        <v/>
      </c>
      <c r="U600">
        <v>1006</v>
      </c>
      <c r="V600" t="str">
        <f>_xlfn.XLOOKUP(Table3[[#This Row],[Cuenta]],Estructura_Balance[Nombre Cuenta ()],Estructura_Balance[Niveles:2],"",0)</f>
        <v/>
      </c>
      <c r="W600" t="str">
        <f>_xlfn.XLOOKUP(Table3[[#This Row],[Cuenta]],Estructura_Balance[Nombre Cuenta ()],Estructura_Balance[Niveles:3],"",0)</f>
        <v/>
      </c>
      <c r="X600" t="str">
        <f>_xlfn.XLOOKUP(Table3[[#This Row],[Cuenta]],Estructura_Balance[Nombre Cuenta ()],Estructura_Balance[Grupos],"Grupo 1",0)</f>
        <v>Grupo 1</v>
      </c>
      <c r="Y600" t="str">
        <f>+Table3[[#This Row],[BS_Nivel_1]]</f>
        <v/>
      </c>
    </row>
    <row r="601" spans="1:25">
      <c r="A601">
        <f>+'Libro Diario'!F815</f>
        <v>0</v>
      </c>
      <c r="B601" s="144">
        <f>VALUE(IF(+'Libro Diario'!G815="","01/01/2025",+'Libro Diario'!G815))</f>
        <v>45658</v>
      </c>
      <c r="C601">
        <f>IF(ISNUMBER(+IF(IFERROR(VALUE(MID('Libro Diario'!C815,1,4)),0)&lt;&gt;0,'Libro Diario'!C815,0))=FALSE,'Libro Diario'!C815,0)</f>
        <v>0</v>
      </c>
      <c r="D601" s="145">
        <f>+'Libro Diario'!B815</f>
        <v>0</v>
      </c>
      <c r="E601" s="139" t="s">
        <v>445</v>
      </c>
      <c r="F601" t="str">
        <f t="shared" si="27"/>
        <v>Sin Mov.</v>
      </c>
      <c r="G601" t="str">
        <f>IF(+'Libro Diario'!H815=0,"",+'Libro Diario'!H815)</f>
        <v/>
      </c>
      <c r="H601" t="str">
        <f>IF(+'Libro Diario'!I815=0,"",+'Libro Diario'!I815)</f>
        <v/>
      </c>
      <c r="I601" t="str">
        <f>+IF(Table3[[#This Row],[Tipo Movimiento]]="Estructura Balance y PyG","Excluir","Incluir")</f>
        <v>Incluir</v>
      </c>
      <c r="J601" s="153">
        <f>+IF(Table3[[#This Row],[Sin cuenta]]="Con Mov.",(IF(Table3[[#This Row],[Movimiento]]="Debe",Table3[[#This Row],[Importe]],IF(Table3[[#This Row],[Movimiento]]="Haber",Table3[[#This Row],[Importe]]*-1,0))),0)</f>
        <v>0</v>
      </c>
      <c r="K601" s="145">
        <f t="shared" si="28"/>
        <v>0</v>
      </c>
      <c r="L601" s="145" t="str">
        <f t="shared" si="29"/>
        <v/>
      </c>
      <c r="M601" t="str">
        <f>_xlfn.XLOOKUP(Table3[[#This Row],[Cuenta]],Estructura_Balance[Nombre Cuenta ()],Estructura_Balance[Grupo],"",0)</f>
        <v/>
      </c>
      <c r="N601" t="str">
        <f>_xlfn.XLOOKUP(Table3[[#This Row],[Cuenta]],Estructura_Balance[Nombre Cuenta ()],Estructura_Balance[Nivel 1],"",0)</f>
        <v/>
      </c>
      <c r="O601" t="str">
        <f>_xlfn.XLOOKUP(Table3[[#This Row],[Cuenta]],Estructura_Balance[Nombre Cuenta ()],Estructura_Balance[Nivel 2],"",0)</f>
        <v/>
      </c>
      <c r="P601" t="str">
        <f>_xlfn.XLOOKUP(Table3[[#This Row],[Cuenta]],Estructura_Balance[Nombre Cuenta ()],Estructura_Balance[Nivel 3],"",0)</f>
        <v/>
      </c>
      <c r="Q601" t="str">
        <f>_xlfn.XLOOKUP(Table3[[#This Row],[Cuenta]],Estructura_Balance[Nombre Cuenta ()],Estructura_Balance[Nivel 4],"",0)</f>
        <v/>
      </c>
      <c r="R601" t="str">
        <f>_xlfn.XLOOKUP(Table3[[#This Row],[Cuenta]],Table8[Nombre Cuenta ()],Table8[Nivel 1],"",0)</f>
        <v/>
      </c>
      <c r="S601" t="str">
        <f>_xlfn.XLOOKUP(Table3[[#This Row],[Cuenta]],Table8[Nombre Cuenta ()],Table8[Nivel 2],"",0)</f>
        <v/>
      </c>
      <c r="T601" t="str">
        <f>_xlfn.XLOOKUP(Table3[[#This Row],[Cuenta]],Table8[Nombre Cuenta ()],Table8[Nivel 3],"",0)</f>
        <v/>
      </c>
      <c r="U601">
        <v>1007</v>
      </c>
      <c r="V601" t="str">
        <f>_xlfn.XLOOKUP(Table3[[#This Row],[Cuenta]],Estructura_Balance[Nombre Cuenta ()],Estructura_Balance[Niveles:2],"",0)</f>
        <v/>
      </c>
      <c r="W601" t="str">
        <f>_xlfn.XLOOKUP(Table3[[#This Row],[Cuenta]],Estructura_Balance[Nombre Cuenta ()],Estructura_Balance[Niveles:3],"",0)</f>
        <v/>
      </c>
      <c r="X601" t="str">
        <f>_xlfn.XLOOKUP(Table3[[#This Row],[Cuenta]],Estructura_Balance[Nombre Cuenta ()],Estructura_Balance[Grupos],"Grupo 1",0)</f>
        <v>Grupo 1</v>
      </c>
      <c r="Y601" t="str">
        <f>+Table3[[#This Row],[BS_Nivel_1]]</f>
        <v/>
      </c>
    </row>
    <row r="602" spans="1:25">
      <c r="A602">
        <f>+'Libro Diario'!F816</f>
        <v>0</v>
      </c>
      <c r="B602" s="144">
        <f>VALUE(IF(+'Libro Diario'!G816="","01/01/2025",+'Libro Diario'!G816))</f>
        <v>45658</v>
      </c>
      <c r="C602">
        <f>IF(ISNUMBER(+IF(IFERROR(VALUE(MID('Libro Diario'!C816,1,4)),0)&lt;&gt;0,'Libro Diario'!C816,0))=FALSE,'Libro Diario'!C816,0)</f>
        <v>0</v>
      </c>
      <c r="D602" s="145">
        <f>+'Libro Diario'!B816</f>
        <v>0</v>
      </c>
      <c r="E602" s="139" t="s">
        <v>445</v>
      </c>
      <c r="F602" t="str">
        <f t="shared" si="27"/>
        <v>Sin Mov.</v>
      </c>
      <c r="G602" t="str">
        <f>IF(+'Libro Diario'!H816=0,"",+'Libro Diario'!H816)</f>
        <v/>
      </c>
      <c r="H602" t="str">
        <f>IF(+'Libro Diario'!I816=0,"",+'Libro Diario'!I816)</f>
        <v/>
      </c>
      <c r="I602" t="str">
        <f>+IF(Table3[[#This Row],[Tipo Movimiento]]="Estructura Balance y PyG","Excluir","Incluir")</f>
        <v>Incluir</v>
      </c>
      <c r="J602" s="153">
        <f>+IF(Table3[[#This Row],[Sin cuenta]]="Con Mov.",(IF(Table3[[#This Row],[Movimiento]]="Debe",Table3[[#This Row],[Importe]],IF(Table3[[#This Row],[Movimiento]]="Haber",Table3[[#This Row],[Importe]]*-1,0))),0)</f>
        <v>0</v>
      </c>
      <c r="K602" s="145">
        <f t="shared" si="28"/>
        <v>0</v>
      </c>
      <c r="L602" s="145" t="str">
        <f t="shared" si="29"/>
        <v/>
      </c>
      <c r="M602" t="str">
        <f>_xlfn.XLOOKUP(Table3[[#This Row],[Cuenta]],Estructura_Balance[Nombre Cuenta ()],Estructura_Balance[Grupo],"",0)</f>
        <v/>
      </c>
      <c r="N602" t="str">
        <f>_xlfn.XLOOKUP(Table3[[#This Row],[Cuenta]],Estructura_Balance[Nombre Cuenta ()],Estructura_Balance[Nivel 1],"",0)</f>
        <v/>
      </c>
      <c r="O602" t="str">
        <f>_xlfn.XLOOKUP(Table3[[#This Row],[Cuenta]],Estructura_Balance[Nombre Cuenta ()],Estructura_Balance[Nivel 2],"",0)</f>
        <v/>
      </c>
      <c r="P602" t="str">
        <f>_xlfn.XLOOKUP(Table3[[#This Row],[Cuenta]],Estructura_Balance[Nombre Cuenta ()],Estructura_Balance[Nivel 3],"",0)</f>
        <v/>
      </c>
      <c r="Q602" t="str">
        <f>_xlfn.XLOOKUP(Table3[[#This Row],[Cuenta]],Estructura_Balance[Nombre Cuenta ()],Estructura_Balance[Nivel 4],"",0)</f>
        <v/>
      </c>
      <c r="R602" t="str">
        <f>_xlfn.XLOOKUP(Table3[[#This Row],[Cuenta]],Table8[Nombre Cuenta ()],Table8[Nivel 1],"",0)</f>
        <v/>
      </c>
      <c r="S602" t="str">
        <f>_xlfn.XLOOKUP(Table3[[#This Row],[Cuenta]],Table8[Nombre Cuenta ()],Table8[Nivel 2],"",0)</f>
        <v/>
      </c>
      <c r="T602" t="str">
        <f>_xlfn.XLOOKUP(Table3[[#This Row],[Cuenta]],Table8[Nombre Cuenta ()],Table8[Nivel 3],"",0)</f>
        <v/>
      </c>
      <c r="U602">
        <v>1008</v>
      </c>
      <c r="V602" t="str">
        <f>_xlfn.XLOOKUP(Table3[[#This Row],[Cuenta]],Estructura_Balance[Nombre Cuenta ()],Estructura_Balance[Niveles:2],"",0)</f>
        <v/>
      </c>
      <c r="W602" t="str">
        <f>_xlfn.XLOOKUP(Table3[[#This Row],[Cuenta]],Estructura_Balance[Nombre Cuenta ()],Estructura_Balance[Niveles:3],"",0)</f>
        <v/>
      </c>
      <c r="X602" t="str">
        <f>_xlfn.XLOOKUP(Table3[[#This Row],[Cuenta]],Estructura_Balance[Nombre Cuenta ()],Estructura_Balance[Grupos],"Grupo 1",0)</f>
        <v>Grupo 1</v>
      </c>
      <c r="Y602" t="str">
        <f>+Table3[[#This Row],[BS_Nivel_1]]</f>
        <v/>
      </c>
    </row>
    <row r="603" spans="1:25">
      <c r="A603">
        <f>+'Libro Diario'!F817</f>
        <v>0</v>
      </c>
      <c r="B603" s="144">
        <f>VALUE(IF(+'Libro Diario'!G817="","01/01/2025",+'Libro Diario'!G817))</f>
        <v>45658</v>
      </c>
      <c r="C603">
        <f>IF(ISNUMBER(+IF(IFERROR(VALUE(MID('Libro Diario'!C817,1,4)),0)&lt;&gt;0,'Libro Diario'!C817,0))=FALSE,'Libro Diario'!C817,0)</f>
        <v>0</v>
      </c>
      <c r="D603" s="145">
        <f>+'Libro Diario'!B817</f>
        <v>0</v>
      </c>
      <c r="E603" s="139" t="s">
        <v>445</v>
      </c>
      <c r="F603" t="str">
        <f t="shared" si="27"/>
        <v>Sin Mov.</v>
      </c>
      <c r="G603" t="str">
        <f>IF(+'Libro Diario'!H817=0,"",+'Libro Diario'!H817)</f>
        <v/>
      </c>
      <c r="H603" t="str">
        <f>IF(+'Libro Diario'!I817=0,"",+'Libro Diario'!I817)</f>
        <v/>
      </c>
      <c r="I603" t="str">
        <f>+IF(Table3[[#This Row],[Tipo Movimiento]]="Estructura Balance y PyG","Excluir","Incluir")</f>
        <v>Incluir</v>
      </c>
      <c r="J603" s="153">
        <f>+IF(Table3[[#This Row],[Sin cuenta]]="Con Mov.",(IF(Table3[[#This Row],[Movimiento]]="Debe",Table3[[#This Row],[Importe]],IF(Table3[[#This Row],[Movimiento]]="Haber",Table3[[#This Row],[Importe]]*-1,0))),0)</f>
        <v>0</v>
      </c>
      <c r="K603" s="145">
        <f t="shared" si="28"/>
        <v>0</v>
      </c>
      <c r="L603" s="145" t="str">
        <f t="shared" si="29"/>
        <v/>
      </c>
      <c r="M603" t="str">
        <f>_xlfn.XLOOKUP(Table3[[#This Row],[Cuenta]],Estructura_Balance[Nombre Cuenta ()],Estructura_Balance[Grupo],"",0)</f>
        <v/>
      </c>
      <c r="N603" t="str">
        <f>_xlfn.XLOOKUP(Table3[[#This Row],[Cuenta]],Estructura_Balance[Nombre Cuenta ()],Estructura_Balance[Nivel 1],"",0)</f>
        <v/>
      </c>
      <c r="O603" t="str">
        <f>_xlfn.XLOOKUP(Table3[[#This Row],[Cuenta]],Estructura_Balance[Nombre Cuenta ()],Estructura_Balance[Nivel 2],"",0)</f>
        <v/>
      </c>
      <c r="P603" t="str">
        <f>_xlfn.XLOOKUP(Table3[[#This Row],[Cuenta]],Estructura_Balance[Nombre Cuenta ()],Estructura_Balance[Nivel 3],"",0)</f>
        <v/>
      </c>
      <c r="Q603" t="str">
        <f>_xlfn.XLOOKUP(Table3[[#This Row],[Cuenta]],Estructura_Balance[Nombre Cuenta ()],Estructura_Balance[Nivel 4],"",0)</f>
        <v/>
      </c>
      <c r="R603" t="str">
        <f>_xlfn.XLOOKUP(Table3[[#This Row],[Cuenta]],Table8[Nombre Cuenta ()],Table8[Nivel 1],"",0)</f>
        <v/>
      </c>
      <c r="S603" t="str">
        <f>_xlfn.XLOOKUP(Table3[[#This Row],[Cuenta]],Table8[Nombre Cuenta ()],Table8[Nivel 2],"",0)</f>
        <v/>
      </c>
      <c r="T603" t="str">
        <f>_xlfn.XLOOKUP(Table3[[#This Row],[Cuenta]],Table8[Nombre Cuenta ()],Table8[Nivel 3],"",0)</f>
        <v/>
      </c>
      <c r="U603">
        <v>1009</v>
      </c>
      <c r="V603" t="str">
        <f>_xlfn.XLOOKUP(Table3[[#This Row],[Cuenta]],Estructura_Balance[Nombre Cuenta ()],Estructura_Balance[Niveles:2],"",0)</f>
        <v/>
      </c>
      <c r="W603" t="str">
        <f>_xlfn.XLOOKUP(Table3[[#This Row],[Cuenta]],Estructura_Balance[Nombre Cuenta ()],Estructura_Balance[Niveles:3],"",0)</f>
        <v/>
      </c>
      <c r="X603" t="str">
        <f>_xlfn.XLOOKUP(Table3[[#This Row],[Cuenta]],Estructura_Balance[Nombre Cuenta ()],Estructura_Balance[Grupos],"Grupo 1",0)</f>
        <v>Grupo 1</v>
      </c>
      <c r="Y603" t="str">
        <f>+Table3[[#This Row],[BS_Nivel_1]]</f>
        <v/>
      </c>
    </row>
    <row r="604" spans="1:25">
      <c r="A604">
        <f>+'Libro Diario'!F818</f>
        <v>0</v>
      </c>
      <c r="B604" s="144">
        <f>VALUE(IF(+'Libro Diario'!G818="","01/01/2025",+'Libro Diario'!G818))</f>
        <v>45658</v>
      </c>
      <c r="C604">
        <f>IF(ISNUMBER(+IF(IFERROR(VALUE(MID('Libro Diario'!C818,1,4)),0)&lt;&gt;0,'Libro Diario'!C818,0))=FALSE,'Libro Diario'!C818,0)</f>
        <v>0</v>
      </c>
      <c r="D604" s="145">
        <f>+'Libro Diario'!B818</f>
        <v>0</v>
      </c>
      <c r="E604" s="139" t="s">
        <v>445</v>
      </c>
      <c r="F604" t="str">
        <f t="shared" si="27"/>
        <v>Sin Mov.</v>
      </c>
      <c r="G604" t="str">
        <f>IF(+'Libro Diario'!H818=0,"",+'Libro Diario'!H818)</f>
        <v/>
      </c>
      <c r="H604" t="str">
        <f>IF(+'Libro Diario'!I818=0,"",+'Libro Diario'!I818)</f>
        <v/>
      </c>
      <c r="I604" t="str">
        <f>+IF(Table3[[#This Row],[Tipo Movimiento]]="Estructura Balance y PyG","Excluir","Incluir")</f>
        <v>Incluir</v>
      </c>
      <c r="J604" s="153">
        <f>+IF(Table3[[#This Row],[Sin cuenta]]="Con Mov.",(IF(Table3[[#This Row],[Movimiento]]="Debe",Table3[[#This Row],[Importe]],IF(Table3[[#This Row],[Movimiento]]="Haber",Table3[[#This Row],[Importe]]*-1,0))),0)</f>
        <v>0</v>
      </c>
      <c r="K604" s="145">
        <f t="shared" si="28"/>
        <v>0</v>
      </c>
      <c r="L604" s="145" t="str">
        <f t="shared" si="29"/>
        <v/>
      </c>
      <c r="M604" t="str">
        <f>_xlfn.XLOOKUP(Table3[[#This Row],[Cuenta]],Estructura_Balance[Nombre Cuenta ()],Estructura_Balance[Grupo],"",0)</f>
        <v/>
      </c>
      <c r="N604" t="str">
        <f>_xlfn.XLOOKUP(Table3[[#This Row],[Cuenta]],Estructura_Balance[Nombre Cuenta ()],Estructura_Balance[Nivel 1],"",0)</f>
        <v/>
      </c>
      <c r="O604" t="str">
        <f>_xlfn.XLOOKUP(Table3[[#This Row],[Cuenta]],Estructura_Balance[Nombre Cuenta ()],Estructura_Balance[Nivel 2],"",0)</f>
        <v/>
      </c>
      <c r="P604" t="str">
        <f>_xlfn.XLOOKUP(Table3[[#This Row],[Cuenta]],Estructura_Balance[Nombre Cuenta ()],Estructura_Balance[Nivel 3],"",0)</f>
        <v/>
      </c>
      <c r="Q604" t="str">
        <f>_xlfn.XLOOKUP(Table3[[#This Row],[Cuenta]],Estructura_Balance[Nombre Cuenta ()],Estructura_Balance[Nivel 4],"",0)</f>
        <v/>
      </c>
      <c r="R604" t="str">
        <f>_xlfn.XLOOKUP(Table3[[#This Row],[Cuenta]],Table8[Nombre Cuenta ()],Table8[Nivel 1],"",0)</f>
        <v/>
      </c>
      <c r="S604" t="str">
        <f>_xlfn.XLOOKUP(Table3[[#This Row],[Cuenta]],Table8[Nombre Cuenta ()],Table8[Nivel 2],"",0)</f>
        <v/>
      </c>
      <c r="T604" t="str">
        <f>_xlfn.XLOOKUP(Table3[[#This Row],[Cuenta]],Table8[Nombre Cuenta ()],Table8[Nivel 3],"",0)</f>
        <v/>
      </c>
      <c r="U604">
        <v>1010</v>
      </c>
      <c r="V604" t="str">
        <f>_xlfn.XLOOKUP(Table3[[#This Row],[Cuenta]],Estructura_Balance[Nombre Cuenta ()],Estructura_Balance[Niveles:2],"",0)</f>
        <v/>
      </c>
      <c r="W604" t="str">
        <f>_xlfn.XLOOKUP(Table3[[#This Row],[Cuenta]],Estructura_Balance[Nombre Cuenta ()],Estructura_Balance[Niveles:3],"",0)</f>
        <v/>
      </c>
      <c r="X604" t="str">
        <f>_xlfn.XLOOKUP(Table3[[#This Row],[Cuenta]],Estructura_Balance[Nombre Cuenta ()],Estructura_Balance[Grupos],"Grupo 1",0)</f>
        <v>Grupo 1</v>
      </c>
      <c r="Y604" t="str">
        <f>+Table3[[#This Row],[BS_Nivel_1]]</f>
        <v/>
      </c>
    </row>
    <row r="605" spans="1:25">
      <c r="A605">
        <f>+'Libro Diario'!F819</f>
        <v>0</v>
      </c>
      <c r="B605" s="144">
        <f>VALUE(IF(+'Libro Diario'!G819="","01/01/2025",+'Libro Diario'!G819))</f>
        <v>45658</v>
      </c>
      <c r="C605">
        <f>IF(ISNUMBER(+IF(IFERROR(VALUE(MID('Libro Diario'!C819,1,4)),0)&lt;&gt;0,'Libro Diario'!C819,0))=FALSE,'Libro Diario'!C819,0)</f>
        <v>0</v>
      </c>
      <c r="D605" s="145">
        <f>+'Libro Diario'!B819</f>
        <v>0</v>
      </c>
      <c r="E605" s="139" t="s">
        <v>445</v>
      </c>
      <c r="F605" t="str">
        <f t="shared" si="27"/>
        <v>Sin Mov.</v>
      </c>
      <c r="G605" t="str">
        <f>IF(+'Libro Diario'!H819=0,"",+'Libro Diario'!H819)</f>
        <v/>
      </c>
      <c r="H605" t="str">
        <f>IF(+'Libro Diario'!I819=0,"",+'Libro Diario'!I819)</f>
        <v/>
      </c>
      <c r="I605" t="str">
        <f>+IF(Table3[[#This Row],[Tipo Movimiento]]="Estructura Balance y PyG","Excluir","Incluir")</f>
        <v>Incluir</v>
      </c>
      <c r="J605" s="153">
        <f>+IF(Table3[[#This Row],[Sin cuenta]]="Con Mov.",(IF(Table3[[#This Row],[Movimiento]]="Debe",Table3[[#This Row],[Importe]],IF(Table3[[#This Row],[Movimiento]]="Haber",Table3[[#This Row],[Importe]]*-1,0))),0)</f>
        <v>0</v>
      </c>
      <c r="K605" s="145">
        <f t="shared" si="28"/>
        <v>0</v>
      </c>
      <c r="L605" s="145" t="str">
        <f t="shared" si="29"/>
        <v/>
      </c>
      <c r="M605" t="str">
        <f>_xlfn.XLOOKUP(Table3[[#This Row],[Cuenta]],Estructura_Balance[Nombre Cuenta ()],Estructura_Balance[Grupo],"",0)</f>
        <v/>
      </c>
      <c r="N605" t="str">
        <f>_xlfn.XLOOKUP(Table3[[#This Row],[Cuenta]],Estructura_Balance[Nombre Cuenta ()],Estructura_Balance[Nivel 1],"",0)</f>
        <v/>
      </c>
      <c r="O605" t="str">
        <f>_xlfn.XLOOKUP(Table3[[#This Row],[Cuenta]],Estructura_Balance[Nombre Cuenta ()],Estructura_Balance[Nivel 2],"",0)</f>
        <v/>
      </c>
      <c r="P605" t="str">
        <f>_xlfn.XLOOKUP(Table3[[#This Row],[Cuenta]],Estructura_Balance[Nombre Cuenta ()],Estructura_Balance[Nivel 3],"",0)</f>
        <v/>
      </c>
      <c r="Q605" t="str">
        <f>_xlfn.XLOOKUP(Table3[[#This Row],[Cuenta]],Estructura_Balance[Nombre Cuenta ()],Estructura_Balance[Nivel 4],"",0)</f>
        <v/>
      </c>
      <c r="R605" t="str">
        <f>_xlfn.XLOOKUP(Table3[[#This Row],[Cuenta]],Table8[Nombre Cuenta ()],Table8[Nivel 1],"",0)</f>
        <v/>
      </c>
      <c r="S605" t="str">
        <f>_xlfn.XLOOKUP(Table3[[#This Row],[Cuenta]],Table8[Nombre Cuenta ()],Table8[Nivel 2],"",0)</f>
        <v/>
      </c>
      <c r="T605" t="str">
        <f>_xlfn.XLOOKUP(Table3[[#This Row],[Cuenta]],Table8[Nombre Cuenta ()],Table8[Nivel 3],"",0)</f>
        <v/>
      </c>
      <c r="U605">
        <v>1011</v>
      </c>
      <c r="V605" t="str">
        <f>_xlfn.XLOOKUP(Table3[[#This Row],[Cuenta]],Estructura_Balance[Nombre Cuenta ()],Estructura_Balance[Niveles:2],"",0)</f>
        <v/>
      </c>
      <c r="W605" t="str">
        <f>_xlfn.XLOOKUP(Table3[[#This Row],[Cuenta]],Estructura_Balance[Nombre Cuenta ()],Estructura_Balance[Niveles:3],"",0)</f>
        <v/>
      </c>
      <c r="X605" t="str">
        <f>_xlfn.XLOOKUP(Table3[[#This Row],[Cuenta]],Estructura_Balance[Nombre Cuenta ()],Estructura_Balance[Grupos],"Grupo 1",0)</f>
        <v>Grupo 1</v>
      </c>
      <c r="Y605" t="str">
        <f>+Table3[[#This Row],[BS_Nivel_1]]</f>
        <v/>
      </c>
    </row>
    <row r="606" spans="1:25">
      <c r="A606">
        <f>+'Libro Diario'!F820</f>
        <v>0</v>
      </c>
      <c r="B606" s="144">
        <f>VALUE(IF(+'Libro Diario'!G820="","01/01/2025",+'Libro Diario'!G820))</f>
        <v>45658</v>
      </c>
      <c r="C606">
        <f>IF(ISNUMBER(+IF(IFERROR(VALUE(MID('Libro Diario'!C820,1,4)),0)&lt;&gt;0,'Libro Diario'!C820,0))=FALSE,'Libro Diario'!C820,0)</f>
        <v>0</v>
      </c>
      <c r="D606" s="145">
        <f>+'Libro Diario'!B820</f>
        <v>0</v>
      </c>
      <c r="E606" s="139" t="s">
        <v>445</v>
      </c>
      <c r="F606" t="str">
        <f t="shared" si="27"/>
        <v>Sin Mov.</v>
      </c>
      <c r="G606" t="str">
        <f>IF(+'Libro Diario'!H820=0,"",+'Libro Diario'!H820)</f>
        <v/>
      </c>
      <c r="H606" t="str">
        <f>IF(+'Libro Diario'!I820=0,"",+'Libro Diario'!I820)</f>
        <v/>
      </c>
      <c r="I606" t="str">
        <f>+IF(Table3[[#This Row],[Tipo Movimiento]]="Estructura Balance y PyG","Excluir","Incluir")</f>
        <v>Incluir</v>
      </c>
      <c r="J606" s="153">
        <f>+IF(Table3[[#This Row],[Sin cuenta]]="Con Mov.",(IF(Table3[[#This Row],[Movimiento]]="Debe",Table3[[#This Row],[Importe]],IF(Table3[[#This Row],[Movimiento]]="Haber",Table3[[#This Row],[Importe]]*-1,0))),0)</f>
        <v>0</v>
      </c>
      <c r="K606" s="145">
        <f t="shared" si="28"/>
        <v>0</v>
      </c>
      <c r="L606" s="145" t="str">
        <f t="shared" si="29"/>
        <v/>
      </c>
      <c r="M606" t="str">
        <f>_xlfn.XLOOKUP(Table3[[#This Row],[Cuenta]],Estructura_Balance[Nombre Cuenta ()],Estructura_Balance[Grupo],"",0)</f>
        <v/>
      </c>
      <c r="N606" t="str">
        <f>_xlfn.XLOOKUP(Table3[[#This Row],[Cuenta]],Estructura_Balance[Nombre Cuenta ()],Estructura_Balance[Nivel 1],"",0)</f>
        <v/>
      </c>
      <c r="O606" t="str">
        <f>_xlfn.XLOOKUP(Table3[[#This Row],[Cuenta]],Estructura_Balance[Nombre Cuenta ()],Estructura_Balance[Nivel 2],"",0)</f>
        <v/>
      </c>
      <c r="P606" t="str">
        <f>_xlfn.XLOOKUP(Table3[[#This Row],[Cuenta]],Estructura_Balance[Nombre Cuenta ()],Estructura_Balance[Nivel 3],"",0)</f>
        <v/>
      </c>
      <c r="Q606" t="str">
        <f>_xlfn.XLOOKUP(Table3[[#This Row],[Cuenta]],Estructura_Balance[Nombre Cuenta ()],Estructura_Balance[Nivel 4],"",0)</f>
        <v/>
      </c>
      <c r="R606" t="str">
        <f>_xlfn.XLOOKUP(Table3[[#This Row],[Cuenta]],Table8[Nombre Cuenta ()],Table8[Nivel 1],"",0)</f>
        <v/>
      </c>
      <c r="S606" t="str">
        <f>_xlfn.XLOOKUP(Table3[[#This Row],[Cuenta]],Table8[Nombre Cuenta ()],Table8[Nivel 2],"",0)</f>
        <v/>
      </c>
      <c r="T606" t="str">
        <f>_xlfn.XLOOKUP(Table3[[#This Row],[Cuenta]],Table8[Nombre Cuenta ()],Table8[Nivel 3],"",0)</f>
        <v/>
      </c>
      <c r="U606">
        <v>1012</v>
      </c>
      <c r="V606" t="str">
        <f>_xlfn.XLOOKUP(Table3[[#This Row],[Cuenta]],Estructura_Balance[Nombre Cuenta ()],Estructura_Balance[Niveles:2],"",0)</f>
        <v/>
      </c>
      <c r="W606" t="str">
        <f>_xlfn.XLOOKUP(Table3[[#This Row],[Cuenta]],Estructura_Balance[Nombre Cuenta ()],Estructura_Balance[Niveles:3],"",0)</f>
        <v/>
      </c>
      <c r="X606" t="str">
        <f>_xlfn.XLOOKUP(Table3[[#This Row],[Cuenta]],Estructura_Balance[Nombre Cuenta ()],Estructura_Balance[Grupos],"Grupo 1",0)</f>
        <v>Grupo 1</v>
      </c>
      <c r="Y606" t="str">
        <f>+Table3[[#This Row],[BS_Nivel_1]]</f>
        <v/>
      </c>
    </row>
    <row r="607" spans="1:25">
      <c r="A607">
        <f>+'Libro Diario'!F821</f>
        <v>0</v>
      </c>
      <c r="B607" s="144">
        <f>VALUE(IF(+'Libro Diario'!G821="","01/01/2025",+'Libro Diario'!G821))</f>
        <v>45658</v>
      </c>
      <c r="C607">
        <f>IF(ISNUMBER(+IF(IFERROR(VALUE(MID('Libro Diario'!C821,1,4)),0)&lt;&gt;0,'Libro Diario'!C821,0))=FALSE,'Libro Diario'!C821,0)</f>
        <v>0</v>
      </c>
      <c r="D607" s="145">
        <f>+'Libro Diario'!B821</f>
        <v>0</v>
      </c>
      <c r="E607" s="139" t="s">
        <v>445</v>
      </c>
      <c r="F607" t="str">
        <f t="shared" si="27"/>
        <v>Sin Mov.</v>
      </c>
      <c r="G607" t="str">
        <f>IF(+'Libro Diario'!H821=0,"",+'Libro Diario'!H821)</f>
        <v/>
      </c>
      <c r="H607" t="str">
        <f>IF(+'Libro Diario'!I821=0,"",+'Libro Diario'!I821)</f>
        <v/>
      </c>
      <c r="I607" t="str">
        <f>+IF(Table3[[#This Row],[Tipo Movimiento]]="Estructura Balance y PyG","Excluir","Incluir")</f>
        <v>Incluir</v>
      </c>
      <c r="J607" s="153">
        <f>+IF(Table3[[#This Row],[Sin cuenta]]="Con Mov.",(IF(Table3[[#This Row],[Movimiento]]="Debe",Table3[[#This Row],[Importe]],IF(Table3[[#This Row],[Movimiento]]="Haber",Table3[[#This Row],[Importe]]*-1,0))),0)</f>
        <v>0</v>
      </c>
      <c r="K607" s="145">
        <f t="shared" si="28"/>
        <v>0</v>
      </c>
      <c r="L607" s="145" t="str">
        <f t="shared" si="29"/>
        <v/>
      </c>
      <c r="M607" t="str">
        <f>_xlfn.XLOOKUP(Table3[[#This Row],[Cuenta]],Estructura_Balance[Nombre Cuenta ()],Estructura_Balance[Grupo],"",0)</f>
        <v/>
      </c>
      <c r="N607" t="str">
        <f>_xlfn.XLOOKUP(Table3[[#This Row],[Cuenta]],Estructura_Balance[Nombre Cuenta ()],Estructura_Balance[Nivel 1],"",0)</f>
        <v/>
      </c>
      <c r="O607" t="str">
        <f>_xlfn.XLOOKUP(Table3[[#This Row],[Cuenta]],Estructura_Balance[Nombre Cuenta ()],Estructura_Balance[Nivel 2],"",0)</f>
        <v/>
      </c>
      <c r="P607" t="str">
        <f>_xlfn.XLOOKUP(Table3[[#This Row],[Cuenta]],Estructura_Balance[Nombre Cuenta ()],Estructura_Balance[Nivel 3],"",0)</f>
        <v/>
      </c>
      <c r="Q607" t="str">
        <f>_xlfn.XLOOKUP(Table3[[#This Row],[Cuenta]],Estructura_Balance[Nombre Cuenta ()],Estructura_Balance[Nivel 4],"",0)</f>
        <v/>
      </c>
      <c r="R607" t="str">
        <f>_xlfn.XLOOKUP(Table3[[#This Row],[Cuenta]],Table8[Nombre Cuenta ()],Table8[Nivel 1],"",0)</f>
        <v/>
      </c>
      <c r="S607" t="str">
        <f>_xlfn.XLOOKUP(Table3[[#This Row],[Cuenta]],Table8[Nombre Cuenta ()],Table8[Nivel 2],"",0)</f>
        <v/>
      </c>
      <c r="T607" t="str">
        <f>_xlfn.XLOOKUP(Table3[[#This Row],[Cuenta]],Table8[Nombre Cuenta ()],Table8[Nivel 3],"",0)</f>
        <v/>
      </c>
      <c r="U607">
        <v>1013</v>
      </c>
      <c r="V607" t="str">
        <f>_xlfn.XLOOKUP(Table3[[#This Row],[Cuenta]],Estructura_Balance[Nombre Cuenta ()],Estructura_Balance[Niveles:2],"",0)</f>
        <v/>
      </c>
      <c r="W607" t="str">
        <f>_xlfn.XLOOKUP(Table3[[#This Row],[Cuenta]],Estructura_Balance[Nombre Cuenta ()],Estructura_Balance[Niveles:3],"",0)</f>
        <v/>
      </c>
      <c r="X607" t="str">
        <f>_xlfn.XLOOKUP(Table3[[#This Row],[Cuenta]],Estructura_Balance[Nombre Cuenta ()],Estructura_Balance[Grupos],"Grupo 1",0)</f>
        <v>Grupo 1</v>
      </c>
      <c r="Y607" t="str">
        <f>+Table3[[#This Row],[BS_Nivel_1]]</f>
        <v/>
      </c>
    </row>
    <row r="608" spans="1:25">
      <c r="A608">
        <f>+'Libro Diario'!F822</f>
        <v>0</v>
      </c>
      <c r="B608" s="144">
        <f>VALUE(IF(+'Libro Diario'!G822="","01/01/2025",+'Libro Diario'!G822))</f>
        <v>45658</v>
      </c>
      <c r="C608">
        <f>IF(ISNUMBER(+IF(IFERROR(VALUE(MID('Libro Diario'!C822,1,4)),0)&lt;&gt;0,'Libro Diario'!C822,0))=FALSE,'Libro Diario'!C822,0)</f>
        <v>0</v>
      </c>
      <c r="D608" s="145">
        <f>+'Libro Diario'!B822</f>
        <v>0</v>
      </c>
      <c r="E608" s="139" t="s">
        <v>445</v>
      </c>
      <c r="F608" t="str">
        <f t="shared" si="27"/>
        <v>Sin Mov.</v>
      </c>
      <c r="G608" t="str">
        <f>IF(+'Libro Diario'!H822=0,"",+'Libro Diario'!H822)</f>
        <v/>
      </c>
      <c r="H608" t="str">
        <f>IF(+'Libro Diario'!I822=0,"",+'Libro Diario'!I822)</f>
        <v/>
      </c>
      <c r="I608" t="str">
        <f>+IF(Table3[[#This Row],[Tipo Movimiento]]="Estructura Balance y PyG","Excluir","Incluir")</f>
        <v>Incluir</v>
      </c>
      <c r="J608" s="153">
        <f>+IF(Table3[[#This Row],[Sin cuenta]]="Con Mov.",(IF(Table3[[#This Row],[Movimiento]]="Debe",Table3[[#This Row],[Importe]],IF(Table3[[#This Row],[Movimiento]]="Haber",Table3[[#This Row],[Importe]]*-1,0))),0)</f>
        <v>0</v>
      </c>
      <c r="K608" s="145">
        <f t="shared" si="28"/>
        <v>0</v>
      </c>
      <c r="L608" s="145" t="str">
        <f t="shared" si="29"/>
        <v/>
      </c>
      <c r="M608" t="str">
        <f>_xlfn.XLOOKUP(Table3[[#This Row],[Cuenta]],Estructura_Balance[Nombre Cuenta ()],Estructura_Balance[Grupo],"",0)</f>
        <v/>
      </c>
      <c r="N608" t="str">
        <f>_xlfn.XLOOKUP(Table3[[#This Row],[Cuenta]],Estructura_Balance[Nombre Cuenta ()],Estructura_Balance[Nivel 1],"",0)</f>
        <v/>
      </c>
      <c r="O608" t="str">
        <f>_xlfn.XLOOKUP(Table3[[#This Row],[Cuenta]],Estructura_Balance[Nombre Cuenta ()],Estructura_Balance[Nivel 2],"",0)</f>
        <v/>
      </c>
      <c r="P608" t="str">
        <f>_xlfn.XLOOKUP(Table3[[#This Row],[Cuenta]],Estructura_Balance[Nombre Cuenta ()],Estructura_Balance[Nivel 3],"",0)</f>
        <v/>
      </c>
      <c r="Q608" t="str">
        <f>_xlfn.XLOOKUP(Table3[[#This Row],[Cuenta]],Estructura_Balance[Nombre Cuenta ()],Estructura_Balance[Nivel 4],"",0)</f>
        <v/>
      </c>
      <c r="R608" t="str">
        <f>_xlfn.XLOOKUP(Table3[[#This Row],[Cuenta]],Table8[Nombre Cuenta ()],Table8[Nivel 1],"",0)</f>
        <v/>
      </c>
      <c r="S608" t="str">
        <f>_xlfn.XLOOKUP(Table3[[#This Row],[Cuenta]],Table8[Nombre Cuenta ()],Table8[Nivel 2],"",0)</f>
        <v/>
      </c>
      <c r="T608" t="str">
        <f>_xlfn.XLOOKUP(Table3[[#This Row],[Cuenta]],Table8[Nombre Cuenta ()],Table8[Nivel 3],"",0)</f>
        <v/>
      </c>
      <c r="U608">
        <v>1014</v>
      </c>
      <c r="V608" t="str">
        <f>_xlfn.XLOOKUP(Table3[[#This Row],[Cuenta]],Estructura_Balance[Nombre Cuenta ()],Estructura_Balance[Niveles:2],"",0)</f>
        <v/>
      </c>
      <c r="W608" t="str">
        <f>_xlfn.XLOOKUP(Table3[[#This Row],[Cuenta]],Estructura_Balance[Nombre Cuenta ()],Estructura_Balance[Niveles:3],"",0)</f>
        <v/>
      </c>
      <c r="X608" t="str">
        <f>_xlfn.XLOOKUP(Table3[[#This Row],[Cuenta]],Estructura_Balance[Nombre Cuenta ()],Estructura_Balance[Grupos],"Grupo 1",0)</f>
        <v>Grupo 1</v>
      </c>
      <c r="Y608" t="str">
        <f>+Table3[[#This Row],[BS_Nivel_1]]</f>
        <v/>
      </c>
    </row>
    <row r="609" spans="1:25">
      <c r="A609">
        <f>+'Libro Diario'!F823</f>
        <v>0</v>
      </c>
      <c r="B609" s="144">
        <f>VALUE(IF(+'Libro Diario'!G823="","01/01/2025",+'Libro Diario'!G823))</f>
        <v>45658</v>
      </c>
      <c r="C609">
        <f>IF(ISNUMBER(+IF(IFERROR(VALUE(MID('Libro Diario'!C823,1,4)),0)&lt;&gt;0,'Libro Diario'!C823,0))=FALSE,'Libro Diario'!C823,0)</f>
        <v>0</v>
      </c>
      <c r="D609" s="145">
        <f>+'Libro Diario'!B823</f>
        <v>0</v>
      </c>
      <c r="E609" s="139" t="s">
        <v>445</v>
      </c>
      <c r="F609" t="str">
        <f t="shared" si="27"/>
        <v>Sin Mov.</v>
      </c>
      <c r="G609" t="str">
        <f>IF(+'Libro Diario'!H823=0,"",+'Libro Diario'!H823)</f>
        <v/>
      </c>
      <c r="H609" t="str">
        <f>IF(+'Libro Diario'!I823=0,"",+'Libro Diario'!I823)</f>
        <v/>
      </c>
      <c r="I609" t="str">
        <f>+IF(Table3[[#This Row],[Tipo Movimiento]]="Estructura Balance y PyG","Excluir","Incluir")</f>
        <v>Incluir</v>
      </c>
      <c r="J609" s="153">
        <f>+IF(Table3[[#This Row],[Sin cuenta]]="Con Mov.",(IF(Table3[[#This Row],[Movimiento]]="Debe",Table3[[#This Row],[Importe]],IF(Table3[[#This Row],[Movimiento]]="Haber",Table3[[#This Row],[Importe]]*-1,0))),0)</f>
        <v>0</v>
      </c>
      <c r="K609" s="145">
        <f t="shared" si="28"/>
        <v>0</v>
      </c>
      <c r="L609" s="145" t="str">
        <f t="shared" si="29"/>
        <v/>
      </c>
      <c r="M609" t="str">
        <f>_xlfn.XLOOKUP(Table3[[#This Row],[Cuenta]],Estructura_Balance[Nombre Cuenta ()],Estructura_Balance[Grupo],"",0)</f>
        <v/>
      </c>
      <c r="N609" t="str">
        <f>_xlfn.XLOOKUP(Table3[[#This Row],[Cuenta]],Estructura_Balance[Nombre Cuenta ()],Estructura_Balance[Nivel 1],"",0)</f>
        <v/>
      </c>
      <c r="O609" t="str">
        <f>_xlfn.XLOOKUP(Table3[[#This Row],[Cuenta]],Estructura_Balance[Nombre Cuenta ()],Estructura_Balance[Nivel 2],"",0)</f>
        <v/>
      </c>
      <c r="P609" t="str">
        <f>_xlfn.XLOOKUP(Table3[[#This Row],[Cuenta]],Estructura_Balance[Nombre Cuenta ()],Estructura_Balance[Nivel 3],"",0)</f>
        <v/>
      </c>
      <c r="Q609" t="str">
        <f>_xlfn.XLOOKUP(Table3[[#This Row],[Cuenta]],Estructura_Balance[Nombre Cuenta ()],Estructura_Balance[Nivel 4],"",0)</f>
        <v/>
      </c>
      <c r="R609" t="str">
        <f>_xlfn.XLOOKUP(Table3[[#This Row],[Cuenta]],Table8[Nombre Cuenta ()],Table8[Nivel 1],"",0)</f>
        <v/>
      </c>
      <c r="S609" t="str">
        <f>_xlfn.XLOOKUP(Table3[[#This Row],[Cuenta]],Table8[Nombre Cuenta ()],Table8[Nivel 2],"",0)</f>
        <v/>
      </c>
      <c r="T609" t="str">
        <f>_xlfn.XLOOKUP(Table3[[#This Row],[Cuenta]],Table8[Nombre Cuenta ()],Table8[Nivel 3],"",0)</f>
        <v/>
      </c>
      <c r="U609">
        <v>1015</v>
      </c>
      <c r="V609" t="str">
        <f>_xlfn.XLOOKUP(Table3[[#This Row],[Cuenta]],Estructura_Balance[Nombre Cuenta ()],Estructura_Balance[Niveles:2],"",0)</f>
        <v/>
      </c>
      <c r="W609" t="str">
        <f>_xlfn.XLOOKUP(Table3[[#This Row],[Cuenta]],Estructura_Balance[Nombre Cuenta ()],Estructura_Balance[Niveles:3],"",0)</f>
        <v/>
      </c>
      <c r="X609" t="str">
        <f>_xlfn.XLOOKUP(Table3[[#This Row],[Cuenta]],Estructura_Balance[Nombre Cuenta ()],Estructura_Balance[Grupos],"Grupo 1",0)</f>
        <v>Grupo 1</v>
      </c>
      <c r="Y609" t="str">
        <f>+Table3[[#This Row],[BS_Nivel_1]]</f>
        <v/>
      </c>
    </row>
    <row r="610" spans="1:25">
      <c r="A610">
        <f>+'Libro Diario'!F824</f>
        <v>0</v>
      </c>
      <c r="B610" s="144">
        <f>VALUE(IF(+'Libro Diario'!G824="","01/01/2025",+'Libro Diario'!G824))</f>
        <v>45658</v>
      </c>
      <c r="C610">
        <f>IF(ISNUMBER(+IF(IFERROR(VALUE(MID('Libro Diario'!C824,1,4)),0)&lt;&gt;0,'Libro Diario'!C824,0))=FALSE,'Libro Diario'!C824,0)</f>
        <v>0</v>
      </c>
      <c r="D610" s="145">
        <f>+'Libro Diario'!B824</f>
        <v>0</v>
      </c>
      <c r="E610" s="139" t="s">
        <v>445</v>
      </c>
      <c r="F610" t="str">
        <f t="shared" si="27"/>
        <v>Sin Mov.</v>
      </c>
      <c r="G610" t="str">
        <f>IF(+'Libro Diario'!H824=0,"",+'Libro Diario'!H824)</f>
        <v/>
      </c>
      <c r="H610" t="str">
        <f>IF(+'Libro Diario'!I824=0,"",+'Libro Diario'!I824)</f>
        <v/>
      </c>
      <c r="I610" t="str">
        <f>+IF(Table3[[#This Row],[Tipo Movimiento]]="Estructura Balance y PyG","Excluir","Incluir")</f>
        <v>Incluir</v>
      </c>
      <c r="J610" s="153">
        <f>+IF(Table3[[#This Row],[Sin cuenta]]="Con Mov.",(IF(Table3[[#This Row],[Movimiento]]="Debe",Table3[[#This Row],[Importe]],IF(Table3[[#This Row],[Movimiento]]="Haber",Table3[[#This Row],[Importe]]*-1,0))),0)</f>
        <v>0</v>
      </c>
      <c r="K610" s="145">
        <f t="shared" si="28"/>
        <v>0</v>
      </c>
      <c r="L610" s="145" t="str">
        <f t="shared" si="29"/>
        <v/>
      </c>
      <c r="M610" t="str">
        <f>_xlfn.XLOOKUP(Table3[[#This Row],[Cuenta]],Estructura_Balance[Nombre Cuenta ()],Estructura_Balance[Grupo],"",0)</f>
        <v/>
      </c>
      <c r="N610" t="str">
        <f>_xlfn.XLOOKUP(Table3[[#This Row],[Cuenta]],Estructura_Balance[Nombre Cuenta ()],Estructura_Balance[Nivel 1],"",0)</f>
        <v/>
      </c>
      <c r="O610" t="str">
        <f>_xlfn.XLOOKUP(Table3[[#This Row],[Cuenta]],Estructura_Balance[Nombre Cuenta ()],Estructura_Balance[Nivel 2],"",0)</f>
        <v/>
      </c>
      <c r="P610" t="str">
        <f>_xlfn.XLOOKUP(Table3[[#This Row],[Cuenta]],Estructura_Balance[Nombre Cuenta ()],Estructura_Balance[Nivel 3],"",0)</f>
        <v/>
      </c>
      <c r="Q610" t="str">
        <f>_xlfn.XLOOKUP(Table3[[#This Row],[Cuenta]],Estructura_Balance[Nombre Cuenta ()],Estructura_Balance[Nivel 4],"",0)</f>
        <v/>
      </c>
      <c r="R610" t="str">
        <f>_xlfn.XLOOKUP(Table3[[#This Row],[Cuenta]],Table8[Nombre Cuenta ()],Table8[Nivel 1],"",0)</f>
        <v/>
      </c>
      <c r="S610" t="str">
        <f>_xlfn.XLOOKUP(Table3[[#This Row],[Cuenta]],Table8[Nombre Cuenta ()],Table8[Nivel 2],"",0)</f>
        <v/>
      </c>
      <c r="T610" t="str">
        <f>_xlfn.XLOOKUP(Table3[[#This Row],[Cuenta]],Table8[Nombre Cuenta ()],Table8[Nivel 3],"",0)</f>
        <v/>
      </c>
      <c r="U610">
        <v>1016</v>
      </c>
      <c r="V610" t="str">
        <f>_xlfn.XLOOKUP(Table3[[#This Row],[Cuenta]],Estructura_Balance[Nombre Cuenta ()],Estructura_Balance[Niveles:2],"",0)</f>
        <v/>
      </c>
      <c r="W610" t="str">
        <f>_xlfn.XLOOKUP(Table3[[#This Row],[Cuenta]],Estructura_Balance[Nombre Cuenta ()],Estructura_Balance[Niveles:3],"",0)</f>
        <v/>
      </c>
      <c r="X610" t="str">
        <f>_xlfn.XLOOKUP(Table3[[#This Row],[Cuenta]],Estructura_Balance[Nombre Cuenta ()],Estructura_Balance[Grupos],"Grupo 1",0)</f>
        <v>Grupo 1</v>
      </c>
      <c r="Y610" t="str">
        <f>+Table3[[#This Row],[BS_Nivel_1]]</f>
        <v/>
      </c>
    </row>
    <row r="611" spans="1:25">
      <c r="A611">
        <f>+'Libro Diario'!F825</f>
        <v>0</v>
      </c>
      <c r="B611" s="144">
        <f>VALUE(IF(+'Libro Diario'!G825="","01/01/2025",+'Libro Diario'!G825))</f>
        <v>45658</v>
      </c>
      <c r="C611">
        <f>IF(ISNUMBER(+IF(IFERROR(VALUE(MID('Libro Diario'!C825,1,4)),0)&lt;&gt;0,'Libro Diario'!C825,0))=FALSE,'Libro Diario'!C825,0)</f>
        <v>0</v>
      </c>
      <c r="D611" s="145">
        <f>+'Libro Diario'!B825</f>
        <v>0</v>
      </c>
      <c r="E611" s="139" t="s">
        <v>445</v>
      </c>
      <c r="F611" t="str">
        <f t="shared" si="27"/>
        <v>Sin Mov.</v>
      </c>
      <c r="G611" t="str">
        <f>IF(+'Libro Diario'!H825=0,"",+'Libro Diario'!H825)</f>
        <v/>
      </c>
      <c r="H611" t="str">
        <f>IF(+'Libro Diario'!I825=0,"",+'Libro Diario'!I825)</f>
        <v/>
      </c>
      <c r="I611" t="str">
        <f>+IF(Table3[[#This Row],[Tipo Movimiento]]="Estructura Balance y PyG","Excluir","Incluir")</f>
        <v>Incluir</v>
      </c>
      <c r="J611" s="153">
        <f>+IF(Table3[[#This Row],[Sin cuenta]]="Con Mov.",(IF(Table3[[#This Row],[Movimiento]]="Debe",Table3[[#This Row],[Importe]],IF(Table3[[#This Row],[Movimiento]]="Haber",Table3[[#This Row],[Importe]]*-1,0))),0)</f>
        <v>0</v>
      </c>
      <c r="K611" s="145">
        <f t="shared" si="28"/>
        <v>0</v>
      </c>
      <c r="L611" s="145" t="str">
        <f t="shared" si="29"/>
        <v/>
      </c>
      <c r="M611" t="str">
        <f>_xlfn.XLOOKUP(Table3[[#This Row],[Cuenta]],Estructura_Balance[Nombre Cuenta ()],Estructura_Balance[Grupo],"",0)</f>
        <v/>
      </c>
      <c r="N611" t="str">
        <f>_xlfn.XLOOKUP(Table3[[#This Row],[Cuenta]],Estructura_Balance[Nombre Cuenta ()],Estructura_Balance[Nivel 1],"",0)</f>
        <v/>
      </c>
      <c r="O611" t="str">
        <f>_xlfn.XLOOKUP(Table3[[#This Row],[Cuenta]],Estructura_Balance[Nombre Cuenta ()],Estructura_Balance[Nivel 2],"",0)</f>
        <v/>
      </c>
      <c r="P611" t="str">
        <f>_xlfn.XLOOKUP(Table3[[#This Row],[Cuenta]],Estructura_Balance[Nombre Cuenta ()],Estructura_Balance[Nivel 3],"",0)</f>
        <v/>
      </c>
      <c r="Q611" t="str">
        <f>_xlfn.XLOOKUP(Table3[[#This Row],[Cuenta]],Estructura_Balance[Nombre Cuenta ()],Estructura_Balance[Nivel 4],"",0)</f>
        <v/>
      </c>
      <c r="R611" t="str">
        <f>_xlfn.XLOOKUP(Table3[[#This Row],[Cuenta]],Table8[Nombre Cuenta ()],Table8[Nivel 1],"",0)</f>
        <v/>
      </c>
      <c r="S611" t="str">
        <f>_xlfn.XLOOKUP(Table3[[#This Row],[Cuenta]],Table8[Nombre Cuenta ()],Table8[Nivel 2],"",0)</f>
        <v/>
      </c>
      <c r="T611" t="str">
        <f>_xlfn.XLOOKUP(Table3[[#This Row],[Cuenta]],Table8[Nombre Cuenta ()],Table8[Nivel 3],"",0)</f>
        <v/>
      </c>
      <c r="U611">
        <v>1017</v>
      </c>
      <c r="V611" t="str">
        <f>_xlfn.XLOOKUP(Table3[[#This Row],[Cuenta]],Estructura_Balance[Nombre Cuenta ()],Estructura_Balance[Niveles:2],"",0)</f>
        <v/>
      </c>
      <c r="W611" t="str">
        <f>_xlfn.XLOOKUP(Table3[[#This Row],[Cuenta]],Estructura_Balance[Nombre Cuenta ()],Estructura_Balance[Niveles:3],"",0)</f>
        <v/>
      </c>
      <c r="X611" t="str">
        <f>_xlfn.XLOOKUP(Table3[[#This Row],[Cuenta]],Estructura_Balance[Nombre Cuenta ()],Estructura_Balance[Grupos],"Grupo 1",0)</f>
        <v>Grupo 1</v>
      </c>
      <c r="Y611" t="str">
        <f>+Table3[[#This Row],[BS_Nivel_1]]</f>
        <v/>
      </c>
    </row>
    <row r="612" spans="1:25">
      <c r="A612">
        <f>+'Libro Diario'!F826</f>
        <v>0</v>
      </c>
      <c r="B612" s="144">
        <f>VALUE(IF(+'Libro Diario'!G826="","01/01/2025",+'Libro Diario'!G826))</f>
        <v>45658</v>
      </c>
      <c r="C612">
        <f>IF(ISNUMBER(+IF(IFERROR(VALUE(MID('Libro Diario'!C826,1,4)),0)&lt;&gt;0,'Libro Diario'!C826,0))=FALSE,'Libro Diario'!C826,0)</f>
        <v>0</v>
      </c>
      <c r="D612" s="145">
        <f>+'Libro Diario'!B826</f>
        <v>0</v>
      </c>
      <c r="E612" s="139" t="s">
        <v>445</v>
      </c>
      <c r="F612" t="str">
        <f t="shared" si="27"/>
        <v>Sin Mov.</v>
      </c>
      <c r="G612" t="str">
        <f>IF(+'Libro Diario'!H826=0,"",+'Libro Diario'!H826)</f>
        <v/>
      </c>
      <c r="H612" t="str">
        <f>IF(+'Libro Diario'!I826=0,"",+'Libro Diario'!I826)</f>
        <v/>
      </c>
      <c r="I612" t="str">
        <f>+IF(Table3[[#This Row],[Tipo Movimiento]]="Estructura Balance y PyG","Excluir","Incluir")</f>
        <v>Incluir</v>
      </c>
      <c r="J612" s="153">
        <f>+IF(Table3[[#This Row],[Sin cuenta]]="Con Mov.",(IF(Table3[[#This Row],[Movimiento]]="Debe",Table3[[#This Row],[Importe]],IF(Table3[[#This Row],[Movimiento]]="Haber",Table3[[#This Row],[Importe]]*-1,0))),0)</f>
        <v>0</v>
      </c>
      <c r="K612" s="145">
        <f t="shared" si="28"/>
        <v>0</v>
      </c>
      <c r="L612" s="145" t="str">
        <f t="shared" si="29"/>
        <v/>
      </c>
      <c r="M612" t="str">
        <f>_xlfn.XLOOKUP(Table3[[#This Row],[Cuenta]],Estructura_Balance[Nombre Cuenta ()],Estructura_Balance[Grupo],"",0)</f>
        <v/>
      </c>
      <c r="N612" t="str">
        <f>_xlfn.XLOOKUP(Table3[[#This Row],[Cuenta]],Estructura_Balance[Nombre Cuenta ()],Estructura_Balance[Nivel 1],"",0)</f>
        <v/>
      </c>
      <c r="O612" t="str">
        <f>_xlfn.XLOOKUP(Table3[[#This Row],[Cuenta]],Estructura_Balance[Nombre Cuenta ()],Estructura_Balance[Nivel 2],"",0)</f>
        <v/>
      </c>
      <c r="P612" t="str">
        <f>_xlfn.XLOOKUP(Table3[[#This Row],[Cuenta]],Estructura_Balance[Nombre Cuenta ()],Estructura_Balance[Nivel 3],"",0)</f>
        <v/>
      </c>
      <c r="Q612" t="str">
        <f>_xlfn.XLOOKUP(Table3[[#This Row],[Cuenta]],Estructura_Balance[Nombre Cuenta ()],Estructura_Balance[Nivel 4],"",0)</f>
        <v/>
      </c>
      <c r="R612" t="str">
        <f>_xlfn.XLOOKUP(Table3[[#This Row],[Cuenta]],Table8[Nombre Cuenta ()],Table8[Nivel 1],"",0)</f>
        <v/>
      </c>
      <c r="S612" t="str">
        <f>_xlfn.XLOOKUP(Table3[[#This Row],[Cuenta]],Table8[Nombre Cuenta ()],Table8[Nivel 2],"",0)</f>
        <v/>
      </c>
      <c r="T612" t="str">
        <f>_xlfn.XLOOKUP(Table3[[#This Row],[Cuenta]],Table8[Nombre Cuenta ()],Table8[Nivel 3],"",0)</f>
        <v/>
      </c>
      <c r="U612">
        <v>1018</v>
      </c>
      <c r="V612" t="str">
        <f>_xlfn.XLOOKUP(Table3[[#This Row],[Cuenta]],Estructura_Balance[Nombre Cuenta ()],Estructura_Balance[Niveles:2],"",0)</f>
        <v/>
      </c>
      <c r="W612" t="str">
        <f>_xlfn.XLOOKUP(Table3[[#This Row],[Cuenta]],Estructura_Balance[Nombre Cuenta ()],Estructura_Balance[Niveles:3],"",0)</f>
        <v/>
      </c>
      <c r="X612" t="str">
        <f>_xlfn.XLOOKUP(Table3[[#This Row],[Cuenta]],Estructura_Balance[Nombre Cuenta ()],Estructura_Balance[Grupos],"Grupo 1",0)</f>
        <v>Grupo 1</v>
      </c>
      <c r="Y612" t="str">
        <f>+Table3[[#This Row],[BS_Nivel_1]]</f>
        <v/>
      </c>
    </row>
    <row r="613" spans="1:25">
      <c r="A613">
        <f>+'Libro Diario'!F827</f>
        <v>0</v>
      </c>
      <c r="B613" s="144">
        <f>VALUE(IF(+'Libro Diario'!G827="","01/01/2025",+'Libro Diario'!G827))</f>
        <v>45658</v>
      </c>
      <c r="C613">
        <f>IF(ISNUMBER(+IF(IFERROR(VALUE(MID('Libro Diario'!C827,1,4)),0)&lt;&gt;0,'Libro Diario'!C827,0))=FALSE,'Libro Diario'!C827,0)</f>
        <v>0</v>
      </c>
      <c r="D613" s="145">
        <f>+'Libro Diario'!B827</f>
        <v>0</v>
      </c>
      <c r="E613" s="139" t="s">
        <v>445</v>
      </c>
      <c r="F613" t="str">
        <f t="shared" si="27"/>
        <v>Sin Mov.</v>
      </c>
      <c r="G613" t="str">
        <f>IF(+'Libro Diario'!H827=0,"",+'Libro Diario'!H827)</f>
        <v/>
      </c>
      <c r="H613" t="str">
        <f>IF(+'Libro Diario'!I827=0,"",+'Libro Diario'!I827)</f>
        <v/>
      </c>
      <c r="I613" t="str">
        <f>+IF(Table3[[#This Row],[Tipo Movimiento]]="Estructura Balance y PyG","Excluir","Incluir")</f>
        <v>Incluir</v>
      </c>
      <c r="J613" s="153">
        <f>+IF(Table3[[#This Row],[Sin cuenta]]="Con Mov.",(IF(Table3[[#This Row],[Movimiento]]="Debe",Table3[[#This Row],[Importe]],IF(Table3[[#This Row],[Movimiento]]="Haber",Table3[[#This Row],[Importe]]*-1,0))),0)</f>
        <v>0</v>
      </c>
      <c r="K613" s="145">
        <f t="shared" si="28"/>
        <v>0</v>
      </c>
      <c r="L613" s="145" t="str">
        <f t="shared" si="29"/>
        <v/>
      </c>
      <c r="M613" t="str">
        <f>_xlfn.XLOOKUP(Table3[[#This Row],[Cuenta]],Estructura_Balance[Nombre Cuenta ()],Estructura_Balance[Grupo],"",0)</f>
        <v/>
      </c>
      <c r="N613" t="str">
        <f>_xlfn.XLOOKUP(Table3[[#This Row],[Cuenta]],Estructura_Balance[Nombre Cuenta ()],Estructura_Balance[Nivel 1],"",0)</f>
        <v/>
      </c>
      <c r="O613" t="str">
        <f>_xlfn.XLOOKUP(Table3[[#This Row],[Cuenta]],Estructura_Balance[Nombre Cuenta ()],Estructura_Balance[Nivel 2],"",0)</f>
        <v/>
      </c>
      <c r="P613" t="str">
        <f>_xlfn.XLOOKUP(Table3[[#This Row],[Cuenta]],Estructura_Balance[Nombre Cuenta ()],Estructura_Balance[Nivel 3],"",0)</f>
        <v/>
      </c>
      <c r="Q613" t="str">
        <f>_xlfn.XLOOKUP(Table3[[#This Row],[Cuenta]],Estructura_Balance[Nombre Cuenta ()],Estructura_Balance[Nivel 4],"",0)</f>
        <v/>
      </c>
      <c r="R613" t="str">
        <f>_xlfn.XLOOKUP(Table3[[#This Row],[Cuenta]],Table8[Nombre Cuenta ()],Table8[Nivel 1],"",0)</f>
        <v/>
      </c>
      <c r="S613" t="str">
        <f>_xlfn.XLOOKUP(Table3[[#This Row],[Cuenta]],Table8[Nombre Cuenta ()],Table8[Nivel 2],"",0)</f>
        <v/>
      </c>
      <c r="T613" t="str">
        <f>_xlfn.XLOOKUP(Table3[[#This Row],[Cuenta]],Table8[Nombre Cuenta ()],Table8[Nivel 3],"",0)</f>
        <v/>
      </c>
      <c r="U613">
        <v>1019</v>
      </c>
      <c r="V613" t="str">
        <f>_xlfn.XLOOKUP(Table3[[#This Row],[Cuenta]],Estructura_Balance[Nombre Cuenta ()],Estructura_Balance[Niveles:2],"",0)</f>
        <v/>
      </c>
      <c r="W613" t="str">
        <f>_xlfn.XLOOKUP(Table3[[#This Row],[Cuenta]],Estructura_Balance[Nombre Cuenta ()],Estructura_Balance[Niveles:3],"",0)</f>
        <v/>
      </c>
      <c r="X613" t="str">
        <f>_xlfn.XLOOKUP(Table3[[#This Row],[Cuenta]],Estructura_Balance[Nombre Cuenta ()],Estructura_Balance[Grupos],"Grupo 1",0)</f>
        <v>Grupo 1</v>
      </c>
      <c r="Y613" t="str">
        <f>+Table3[[#This Row],[BS_Nivel_1]]</f>
        <v/>
      </c>
    </row>
    <row r="614" spans="1:25">
      <c r="A614">
        <f>+'Libro Diario'!F828</f>
        <v>0</v>
      </c>
      <c r="B614" s="144">
        <f>VALUE(IF(+'Libro Diario'!G828="","01/01/2025",+'Libro Diario'!G828))</f>
        <v>45658</v>
      </c>
      <c r="C614">
        <f>IF(ISNUMBER(+IF(IFERROR(VALUE(MID('Libro Diario'!C828,1,4)),0)&lt;&gt;0,'Libro Diario'!C828,0))=FALSE,'Libro Diario'!C828,0)</f>
        <v>0</v>
      </c>
      <c r="D614" s="145">
        <f>+'Libro Diario'!B828</f>
        <v>0</v>
      </c>
      <c r="E614" s="139" t="s">
        <v>445</v>
      </c>
      <c r="F614" t="str">
        <f t="shared" si="27"/>
        <v>Sin Mov.</v>
      </c>
      <c r="G614" t="str">
        <f>IF(+'Libro Diario'!H828=0,"",+'Libro Diario'!H828)</f>
        <v/>
      </c>
      <c r="H614" t="str">
        <f>IF(+'Libro Diario'!I828=0,"",+'Libro Diario'!I828)</f>
        <v/>
      </c>
      <c r="I614" t="str">
        <f>+IF(Table3[[#This Row],[Tipo Movimiento]]="Estructura Balance y PyG","Excluir","Incluir")</f>
        <v>Incluir</v>
      </c>
      <c r="J614" s="153">
        <f>+IF(Table3[[#This Row],[Sin cuenta]]="Con Mov.",(IF(Table3[[#This Row],[Movimiento]]="Debe",Table3[[#This Row],[Importe]],IF(Table3[[#This Row],[Movimiento]]="Haber",Table3[[#This Row],[Importe]]*-1,0))),0)</f>
        <v>0</v>
      </c>
      <c r="K614" s="145">
        <f t="shared" si="28"/>
        <v>0</v>
      </c>
      <c r="L614" s="145" t="str">
        <f t="shared" si="29"/>
        <v/>
      </c>
      <c r="M614" t="str">
        <f>_xlfn.XLOOKUP(Table3[[#This Row],[Cuenta]],Estructura_Balance[Nombre Cuenta ()],Estructura_Balance[Grupo],"",0)</f>
        <v/>
      </c>
      <c r="N614" t="str">
        <f>_xlfn.XLOOKUP(Table3[[#This Row],[Cuenta]],Estructura_Balance[Nombre Cuenta ()],Estructura_Balance[Nivel 1],"",0)</f>
        <v/>
      </c>
      <c r="O614" t="str">
        <f>_xlfn.XLOOKUP(Table3[[#This Row],[Cuenta]],Estructura_Balance[Nombre Cuenta ()],Estructura_Balance[Nivel 2],"",0)</f>
        <v/>
      </c>
      <c r="P614" t="str">
        <f>_xlfn.XLOOKUP(Table3[[#This Row],[Cuenta]],Estructura_Balance[Nombre Cuenta ()],Estructura_Balance[Nivel 3],"",0)</f>
        <v/>
      </c>
      <c r="Q614" t="str">
        <f>_xlfn.XLOOKUP(Table3[[#This Row],[Cuenta]],Estructura_Balance[Nombre Cuenta ()],Estructura_Balance[Nivel 4],"",0)</f>
        <v/>
      </c>
      <c r="R614" t="str">
        <f>_xlfn.XLOOKUP(Table3[[#This Row],[Cuenta]],Table8[Nombre Cuenta ()],Table8[Nivel 1],"",0)</f>
        <v/>
      </c>
      <c r="S614" t="str">
        <f>_xlfn.XLOOKUP(Table3[[#This Row],[Cuenta]],Table8[Nombre Cuenta ()],Table8[Nivel 2],"",0)</f>
        <v/>
      </c>
      <c r="T614" t="str">
        <f>_xlfn.XLOOKUP(Table3[[#This Row],[Cuenta]],Table8[Nombre Cuenta ()],Table8[Nivel 3],"",0)</f>
        <v/>
      </c>
      <c r="U614">
        <v>1020</v>
      </c>
      <c r="V614" t="str">
        <f>_xlfn.XLOOKUP(Table3[[#This Row],[Cuenta]],Estructura_Balance[Nombre Cuenta ()],Estructura_Balance[Niveles:2],"",0)</f>
        <v/>
      </c>
      <c r="W614" t="str">
        <f>_xlfn.XLOOKUP(Table3[[#This Row],[Cuenta]],Estructura_Balance[Nombre Cuenta ()],Estructura_Balance[Niveles:3],"",0)</f>
        <v/>
      </c>
      <c r="X614" t="str">
        <f>_xlfn.XLOOKUP(Table3[[#This Row],[Cuenta]],Estructura_Balance[Nombre Cuenta ()],Estructura_Balance[Grupos],"Grupo 1",0)</f>
        <v>Grupo 1</v>
      </c>
      <c r="Y614" t="str">
        <f>+Table3[[#This Row],[BS_Nivel_1]]</f>
        <v/>
      </c>
    </row>
    <row r="615" spans="1:25">
      <c r="A615">
        <f>+'Libro Diario'!F829</f>
        <v>0</v>
      </c>
      <c r="B615" s="144">
        <f>VALUE(IF(+'Libro Diario'!G829="","01/01/2025",+'Libro Diario'!G829))</f>
        <v>45658</v>
      </c>
      <c r="C615">
        <f>IF(ISNUMBER(+IF(IFERROR(VALUE(MID('Libro Diario'!C829,1,4)),0)&lt;&gt;0,'Libro Diario'!C829,0))=FALSE,'Libro Diario'!C829,0)</f>
        <v>0</v>
      </c>
      <c r="D615" s="145">
        <f>+'Libro Diario'!B829</f>
        <v>0</v>
      </c>
      <c r="E615" s="139" t="s">
        <v>445</v>
      </c>
      <c r="F615" t="str">
        <f t="shared" si="27"/>
        <v>Sin Mov.</v>
      </c>
      <c r="G615" t="str">
        <f>IF(+'Libro Diario'!H829=0,"",+'Libro Diario'!H829)</f>
        <v/>
      </c>
      <c r="H615" t="str">
        <f>IF(+'Libro Diario'!I829=0,"",+'Libro Diario'!I829)</f>
        <v/>
      </c>
      <c r="I615" t="str">
        <f>+IF(Table3[[#This Row],[Tipo Movimiento]]="Estructura Balance y PyG","Excluir","Incluir")</f>
        <v>Incluir</v>
      </c>
      <c r="J615" s="153">
        <f>+IF(Table3[[#This Row],[Sin cuenta]]="Con Mov.",(IF(Table3[[#This Row],[Movimiento]]="Debe",Table3[[#This Row],[Importe]],IF(Table3[[#This Row],[Movimiento]]="Haber",Table3[[#This Row],[Importe]]*-1,0))),0)</f>
        <v>0</v>
      </c>
      <c r="K615" s="145">
        <f t="shared" si="28"/>
        <v>0</v>
      </c>
      <c r="L615" s="145" t="str">
        <f t="shared" si="29"/>
        <v/>
      </c>
      <c r="M615" t="str">
        <f>_xlfn.XLOOKUP(Table3[[#This Row],[Cuenta]],Estructura_Balance[Nombre Cuenta ()],Estructura_Balance[Grupo],"",0)</f>
        <v/>
      </c>
      <c r="N615" t="str">
        <f>_xlfn.XLOOKUP(Table3[[#This Row],[Cuenta]],Estructura_Balance[Nombre Cuenta ()],Estructura_Balance[Nivel 1],"",0)</f>
        <v/>
      </c>
      <c r="O615" t="str">
        <f>_xlfn.XLOOKUP(Table3[[#This Row],[Cuenta]],Estructura_Balance[Nombre Cuenta ()],Estructura_Balance[Nivel 2],"",0)</f>
        <v/>
      </c>
      <c r="P615" t="str">
        <f>_xlfn.XLOOKUP(Table3[[#This Row],[Cuenta]],Estructura_Balance[Nombre Cuenta ()],Estructura_Balance[Nivel 3],"",0)</f>
        <v/>
      </c>
      <c r="Q615" t="str">
        <f>_xlfn.XLOOKUP(Table3[[#This Row],[Cuenta]],Estructura_Balance[Nombre Cuenta ()],Estructura_Balance[Nivel 4],"",0)</f>
        <v/>
      </c>
      <c r="R615" t="str">
        <f>_xlfn.XLOOKUP(Table3[[#This Row],[Cuenta]],Table8[Nombre Cuenta ()],Table8[Nivel 1],"",0)</f>
        <v/>
      </c>
      <c r="S615" t="str">
        <f>_xlfn.XLOOKUP(Table3[[#This Row],[Cuenta]],Table8[Nombre Cuenta ()],Table8[Nivel 2],"",0)</f>
        <v/>
      </c>
      <c r="T615" t="str">
        <f>_xlfn.XLOOKUP(Table3[[#This Row],[Cuenta]],Table8[Nombre Cuenta ()],Table8[Nivel 3],"",0)</f>
        <v/>
      </c>
      <c r="U615">
        <v>1021</v>
      </c>
      <c r="V615" t="str">
        <f>_xlfn.XLOOKUP(Table3[[#This Row],[Cuenta]],Estructura_Balance[Nombre Cuenta ()],Estructura_Balance[Niveles:2],"",0)</f>
        <v/>
      </c>
      <c r="W615" t="str">
        <f>_xlfn.XLOOKUP(Table3[[#This Row],[Cuenta]],Estructura_Balance[Nombre Cuenta ()],Estructura_Balance[Niveles:3],"",0)</f>
        <v/>
      </c>
      <c r="X615" t="str">
        <f>_xlfn.XLOOKUP(Table3[[#This Row],[Cuenta]],Estructura_Balance[Nombre Cuenta ()],Estructura_Balance[Grupos],"Grupo 1",0)</f>
        <v>Grupo 1</v>
      </c>
      <c r="Y615" t="str">
        <f>+Table3[[#This Row],[BS_Nivel_1]]</f>
        <v/>
      </c>
    </row>
    <row r="616" spans="1:25">
      <c r="A616">
        <f>+'Libro Diario'!F830</f>
        <v>0</v>
      </c>
      <c r="B616" s="144">
        <f>VALUE(IF(+'Libro Diario'!G830="","01/01/2025",+'Libro Diario'!G830))</f>
        <v>45658</v>
      </c>
      <c r="C616">
        <f>IF(ISNUMBER(+IF(IFERROR(VALUE(MID('Libro Diario'!C830,1,4)),0)&lt;&gt;0,'Libro Diario'!C830,0))=FALSE,'Libro Diario'!C830,0)</f>
        <v>0</v>
      </c>
      <c r="D616" s="145">
        <f>+'Libro Diario'!B830</f>
        <v>0</v>
      </c>
      <c r="E616" s="139" t="s">
        <v>445</v>
      </c>
      <c r="F616" t="str">
        <f t="shared" si="27"/>
        <v>Sin Mov.</v>
      </c>
      <c r="G616" t="str">
        <f>IF(+'Libro Diario'!H830=0,"",+'Libro Diario'!H830)</f>
        <v/>
      </c>
      <c r="H616" t="str">
        <f>IF(+'Libro Diario'!I830=0,"",+'Libro Diario'!I830)</f>
        <v/>
      </c>
      <c r="I616" t="str">
        <f>+IF(Table3[[#This Row],[Tipo Movimiento]]="Estructura Balance y PyG","Excluir","Incluir")</f>
        <v>Incluir</v>
      </c>
      <c r="J616" s="153">
        <f>+IF(Table3[[#This Row],[Sin cuenta]]="Con Mov.",(IF(Table3[[#This Row],[Movimiento]]="Debe",Table3[[#This Row],[Importe]],IF(Table3[[#This Row],[Movimiento]]="Haber",Table3[[#This Row],[Importe]]*-1,0))),0)</f>
        <v>0</v>
      </c>
      <c r="K616" s="145">
        <f t="shared" si="28"/>
        <v>0</v>
      </c>
      <c r="L616" s="145" t="str">
        <f t="shared" si="29"/>
        <v/>
      </c>
      <c r="M616" t="str">
        <f>_xlfn.XLOOKUP(Table3[[#This Row],[Cuenta]],Estructura_Balance[Nombre Cuenta ()],Estructura_Balance[Grupo],"",0)</f>
        <v/>
      </c>
      <c r="N616" t="str">
        <f>_xlfn.XLOOKUP(Table3[[#This Row],[Cuenta]],Estructura_Balance[Nombre Cuenta ()],Estructura_Balance[Nivel 1],"",0)</f>
        <v/>
      </c>
      <c r="O616" t="str">
        <f>_xlfn.XLOOKUP(Table3[[#This Row],[Cuenta]],Estructura_Balance[Nombre Cuenta ()],Estructura_Balance[Nivel 2],"",0)</f>
        <v/>
      </c>
      <c r="P616" t="str">
        <f>_xlfn.XLOOKUP(Table3[[#This Row],[Cuenta]],Estructura_Balance[Nombre Cuenta ()],Estructura_Balance[Nivel 3],"",0)</f>
        <v/>
      </c>
      <c r="Q616" t="str">
        <f>_xlfn.XLOOKUP(Table3[[#This Row],[Cuenta]],Estructura_Balance[Nombre Cuenta ()],Estructura_Balance[Nivel 4],"",0)</f>
        <v/>
      </c>
      <c r="R616" t="str">
        <f>_xlfn.XLOOKUP(Table3[[#This Row],[Cuenta]],Table8[Nombre Cuenta ()],Table8[Nivel 1],"",0)</f>
        <v/>
      </c>
      <c r="S616" t="str">
        <f>_xlfn.XLOOKUP(Table3[[#This Row],[Cuenta]],Table8[Nombre Cuenta ()],Table8[Nivel 2],"",0)</f>
        <v/>
      </c>
      <c r="T616" t="str">
        <f>_xlfn.XLOOKUP(Table3[[#This Row],[Cuenta]],Table8[Nombre Cuenta ()],Table8[Nivel 3],"",0)</f>
        <v/>
      </c>
      <c r="U616">
        <v>1022</v>
      </c>
      <c r="V616" t="str">
        <f>_xlfn.XLOOKUP(Table3[[#This Row],[Cuenta]],Estructura_Balance[Nombre Cuenta ()],Estructura_Balance[Niveles:2],"",0)</f>
        <v/>
      </c>
      <c r="W616" t="str">
        <f>_xlfn.XLOOKUP(Table3[[#This Row],[Cuenta]],Estructura_Balance[Nombre Cuenta ()],Estructura_Balance[Niveles:3],"",0)</f>
        <v/>
      </c>
      <c r="X616" t="str">
        <f>_xlfn.XLOOKUP(Table3[[#This Row],[Cuenta]],Estructura_Balance[Nombre Cuenta ()],Estructura_Balance[Grupos],"Grupo 1",0)</f>
        <v>Grupo 1</v>
      </c>
      <c r="Y616" t="str">
        <f>+Table3[[#This Row],[BS_Nivel_1]]</f>
        <v/>
      </c>
    </row>
    <row r="617" spans="1:25">
      <c r="A617">
        <f>+'Libro Diario'!F831</f>
        <v>0</v>
      </c>
      <c r="B617" s="144">
        <f>VALUE(IF(+'Libro Diario'!G831="","01/01/2025",+'Libro Diario'!G831))</f>
        <v>45658</v>
      </c>
      <c r="C617">
        <f>IF(ISNUMBER(+IF(IFERROR(VALUE(MID('Libro Diario'!C831,1,4)),0)&lt;&gt;0,'Libro Diario'!C831,0))=FALSE,'Libro Diario'!C831,0)</f>
        <v>0</v>
      </c>
      <c r="D617" s="145">
        <f>+'Libro Diario'!B831</f>
        <v>0</v>
      </c>
      <c r="E617" s="139" t="s">
        <v>445</v>
      </c>
      <c r="F617" t="str">
        <f t="shared" si="27"/>
        <v>Sin Mov.</v>
      </c>
      <c r="G617" t="str">
        <f>IF(+'Libro Diario'!H831=0,"",+'Libro Diario'!H831)</f>
        <v/>
      </c>
      <c r="H617" t="str">
        <f>IF(+'Libro Diario'!I831=0,"",+'Libro Diario'!I831)</f>
        <v/>
      </c>
      <c r="I617" t="str">
        <f>+IF(Table3[[#This Row],[Tipo Movimiento]]="Estructura Balance y PyG","Excluir","Incluir")</f>
        <v>Incluir</v>
      </c>
      <c r="J617" s="153">
        <f>+IF(Table3[[#This Row],[Sin cuenta]]="Con Mov.",(IF(Table3[[#This Row],[Movimiento]]="Debe",Table3[[#This Row],[Importe]],IF(Table3[[#This Row],[Movimiento]]="Haber",Table3[[#This Row],[Importe]]*-1,0))),0)</f>
        <v>0</v>
      </c>
      <c r="K617" s="145">
        <f t="shared" si="28"/>
        <v>0</v>
      </c>
      <c r="L617" s="145" t="str">
        <f t="shared" si="29"/>
        <v/>
      </c>
      <c r="M617" t="str">
        <f>_xlfn.XLOOKUP(Table3[[#This Row],[Cuenta]],Estructura_Balance[Nombre Cuenta ()],Estructura_Balance[Grupo],"",0)</f>
        <v/>
      </c>
      <c r="N617" t="str">
        <f>_xlfn.XLOOKUP(Table3[[#This Row],[Cuenta]],Estructura_Balance[Nombre Cuenta ()],Estructura_Balance[Nivel 1],"",0)</f>
        <v/>
      </c>
      <c r="O617" t="str">
        <f>_xlfn.XLOOKUP(Table3[[#This Row],[Cuenta]],Estructura_Balance[Nombre Cuenta ()],Estructura_Balance[Nivel 2],"",0)</f>
        <v/>
      </c>
      <c r="P617" t="str">
        <f>_xlfn.XLOOKUP(Table3[[#This Row],[Cuenta]],Estructura_Balance[Nombre Cuenta ()],Estructura_Balance[Nivel 3],"",0)</f>
        <v/>
      </c>
      <c r="Q617" t="str">
        <f>_xlfn.XLOOKUP(Table3[[#This Row],[Cuenta]],Estructura_Balance[Nombre Cuenta ()],Estructura_Balance[Nivel 4],"",0)</f>
        <v/>
      </c>
      <c r="R617" t="str">
        <f>_xlfn.XLOOKUP(Table3[[#This Row],[Cuenta]],Table8[Nombre Cuenta ()],Table8[Nivel 1],"",0)</f>
        <v/>
      </c>
      <c r="S617" t="str">
        <f>_xlfn.XLOOKUP(Table3[[#This Row],[Cuenta]],Table8[Nombre Cuenta ()],Table8[Nivel 2],"",0)</f>
        <v/>
      </c>
      <c r="T617" t="str">
        <f>_xlfn.XLOOKUP(Table3[[#This Row],[Cuenta]],Table8[Nombre Cuenta ()],Table8[Nivel 3],"",0)</f>
        <v/>
      </c>
      <c r="U617">
        <v>1023</v>
      </c>
      <c r="V617" t="str">
        <f>_xlfn.XLOOKUP(Table3[[#This Row],[Cuenta]],Estructura_Balance[Nombre Cuenta ()],Estructura_Balance[Niveles:2],"",0)</f>
        <v/>
      </c>
      <c r="W617" t="str">
        <f>_xlfn.XLOOKUP(Table3[[#This Row],[Cuenta]],Estructura_Balance[Nombre Cuenta ()],Estructura_Balance[Niveles:3],"",0)</f>
        <v/>
      </c>
      <c r="X617" t="str">
        <f>_xlfn.XLOOKUP(Table3[[#This Row],[Cuenta]],Estructura_Balance[Nombre Cuenta ()],Estructura_Balance[Grupos],"Grupo 1",0)</f>
        <v>Grupo 1</v>
      </c>
      <c r="Y617" t="str">
        <f>+Table3[[#This Row],[BS_Nivel_1]]</f>
        <v/>
      </c>
    </row>
    <row r="618" spans="1:25">
      <c r="A618">
        <f>+'Libro Diario'!F832</f>
        <v>0</v>
      </c>
      <c r="B618" s="144">
        <f>VALUE(IF(+'Libro Diario'!G832="","01/01/2025",+'Libro Diario'!G832))</f>
        <v>45658</v>
      </c>
      <c r="C618">
        <f>IF(ISNUMBER(+IF(IFERROR(VALUE(MID('Libro Diario'!C832,1,4)),0)&lt;&gt;0,'Libro Diario'!C832,0))=FALSE,'Libro Diario'!C832,0)</f>
        <v>0</v>
      </c>
      <c r="D618" s="145">
        <f>+'Libro Diario'!B832</f>
        <v>0</v>
      </c>
      <c r="E618" s="139" t="s">
        <v>445</v>
      </c>
      <c r="F618" t="str">
        <f t="shared" si="27"/>
        <v>Sin Mov.</v>
      </c>
      <c r="G618" t="str">
        <f>IF(+'Libro Diario'!H832=0,"",+'Libro Diario'!H832)</f>
        <v/>
      </c>
      <c r="H618" t="str">
        <f>IF(+'Libro Diario'!I832=0,"",+'Libro Diario'!I832)</f>
        <v/>
      </c>
      <c r="I618" t="str">
        <f>+IF(Table3[[#This Row],[Tipo Movimiento]]="Estructura Balance y PyG","Excluir","Incluir")</f>
        <v>Incluir</v>
      </c>
      <c r="J618" s="153">
        <f>+IF(Table3[[#This Row],[Sin cuenta]]="Con Mov.",(IF(Table3[[#This Row],[Movimiento]]="Debe",Table3[[#This Row],[Importe]],IF(Table3[[#This Row],[Movimiento]]="Haber",Table3[[#This Row],[Importe]]*-1,0))),0)</f>
        <v>0</v>
      </c>
      <c r="K618" s="145">
        <f t="shared" si="28"/>
        <v>0</v>
      </c>
      <c r="L618" s="145" t="str">
        <f t="shared" si="29"/>
        <v/>
      </c>
      <c r="M618" t="str">
        <f>_xlfn.XLOOKUP(Table3[[#This Row],[Cuenta]],Estructura_Balance[Nombre Cuenta ()],Estructura_Balance[Grupo],"",0)</f>
        <v/>
      </c>
      <c r="N618" t="str">
        <f>_xlfn.XLOOKUP(Table3[[#This Row],[Cuenta]],Estructura_Balance[Nombre Cuenta ()],Estructura_Balance[Nivel 1],"",0)</f>
        <v/>
      </c>
      <c r="O618" t="str">
        <f>_xlfn.XLOOKUP(Table3[[#This Row],[Cuenta]],Estructura_Balance[Nombre Cuenta ()],Estructura_Balance[Nivel 2],"",0)</f>
        <v/>
      </c>
      <c r="P618" t="str">
        <f>_xlfn.XLOOKUP(Table3[[#This Row],[Cuenta]],Estructura_Balance[Nombre Cuenta ()],Estructura_Balance[Nivel 3],"",0)</f>
        <v/>
      </c>
      <c r="Q618" t="str">
        <f>_xlfn.XLOOKUP(Table3[[#This Row],[Cuenta]],Estructura_Balance[Nombre Cuenta ()],Estructura_Balance[Nivel 4],"",0)</f>
        <v/>
      </c>
      <c r="R618" t="str">
        <f>_xlfn.XLOOKUP(Table3[[#This Row],[Cuenta]],Table8[Nombre Cuenta ()],Table8[Nivel 1],"",0)</f>
        <v/>
      </c>
      <c r="S618" t="str">
        <f>_xlfn.XLOOKUP(Table3[[#This Row],[Cuenta]],Table8[Nombre Cuenta ()],Table8[Nivel 2],"",0)</f>
        <v/>
      </c>
      <c r="T618" t="str">
        <f>_xlfn.XLOOKUP(Table3[[#This Row],[Cuenta]],Table8[Nombre Cuenta ()],Table8[Nivel 3],"",0)</f>
        <v/>
      </c>
      <c r="U618">
        <v>1024</v>
      </c>
      <c r="V618" t="str">
        <f>_xlfn.XLOOKUP(Table3[[#This Row],[Cuenta]],Estructura_Balance[Nombre Cuenta ()],Estructura_Balance[Niveles:2],"",0)</f>
        <v/>
      </c>
      <c r="W618" t="str">
        <f>_xlfn.XLOOKUP(Table3[[#This Row],[Cuenta]],Estructura_Balance[Nombre Cuenta ()],Estructura_Balance[Niveles:3],"",0)</f>
        <v/>
      </c>
      <c r="X618" t="str">
        <f>_xlfn.XLOOKUP(Table3[[#This Row],[Cuenta]],Estructura_Balance[Nombre Cuenta ()],Estructura_Balance[Grupos],"Grupo 1",0)</f>
        <v>Grupo 1</v>
      </c>
      <c r="Y618" t="str">
        <f>+Table3[[#This Row],[BS_Nivel_1]]</f>
        <v/>
      </c>
    </row>
    <row r="619" spans="1:25">
      <c r="A619">
        <f>+'Libro Diario'!F833</f>
        <v>0</v>
      </c>
      <c r="B619" s="144">
        <f>VALUE(IF(+'Libro Diario'!G833="","01/01/2025",+'Libro Diario'!G833))</f>
        <v>45658</v>
      </c>
      <c r="C619">
        <f>IF(ISNUMBER(+IF(IFERROR(VALUE(MID('Libro Diario'!C833,1,4)),0)&lt;&gt;0,'Libro Diario'!C833,0))=FALSE,'Libro Diario'!C833,0)</f>
        <v>0</v>
      </c>
      <c r="D619" s="145">
        <f>+'Libro Diario'!B833</f>
        <v>0</v>
      </c>
      <c r="E619" s="139" t="s">
        <v>445</v>
      </c>
      <c r="F619" t="str">
        <f t="shared" si="27"/>
        <v>Sin Mov.</v>
      </c>
      <c r="G619" t="str">
        <f>IF(+'Libro Diario'!H833=0,"",+'Libro Diario'!H833)</f>
        <v/>
      </c>
      <c r="H619" t="str">
        <f>IF(+'Libro Diario'!I833=0,"",+'Libro Diario'!I833)</f>
        <v/>
      </c>
      <c r="I619" t="str">
        <f>+IF(Table3[[#This Row],[Tipo Movimiento]]="Estructura Balance y PyG","Excluir","Incluir")</f>
        <v>Incluir</v>
      </c>
      <c r="J619" s="153">
        <f>+IF(Table3[[#This Row],[Sin cuenta]]="Con Mov.",(IF(Table3[[#This Row],[Movimiento]]="Debe",Table3[[#This Row],[Importe]],IF(Table3[[#This Row],[Movimiento]]="Haber",Table3[[#This Row],[Importe]]*-1,0))),0)</f>
        <v>0</v>
      </c>
      <c r="K619" s="145">
        <f t="shared" si="28"/>
        <v>0</v>
      </c>
      <c r="L619" s="145" t="str">
        <f t="shared" si="29"/>
        <v/>
      </c>
      <c r="M619" t="str">
        <f>_xlfn.XLOOKUP(Table3[[#This Row],[Cuenta]],Estructura_Balance[Nombre Cuenta ()],Estructura_Balance[Grupo],"",0)</f>
        <v/>
      </c>
      <c r="N619" t="str">
        <f>_xlfn.XLOOKUP(Table3[[#This Row],[Cuenta]],Estructura_Balance[Nombre Cuenta ()],Estructura_Balance[Nivel 1],"",0)</f>
        <v/>
      </c>
      <c r="O619" t="str">
        <f>_xlfn.XLOOKUP(Table3[[#This Row],[Cuenta]],Estructura_Balance[Nombre Cuenta ()],Estructura_Balance[Nivel 2],"",0)</f>
        <v/>
      </c>
      <c r="P619" t="str">
        <f>_xlfn.XLOOKUP(Table3[[#This Row],[Cuenta]],Estructura_Balance[Nombre Cuenta ()],Estructura_Balance[Nivel 3],"",0)</f>
        <v/>
      </c>
      <c r="Q619" t="str">
        <f>_xlfn.XLOOKUP(Table3[[#This Row],[Cuenta]],Estructura_Balance[Nombre Cuenta ()],Estructura_Balance[Nivel 4],"",0)</f>
        <v/>
      </c>
      <c r="R619" t="str">
        <f>_xlfn.XLOOKUP(Table3[[#This Row],[Cuenta]],Table8[Nombre Cuenta ()],Table8[Nivel 1],"",0)</f>
        <v/>
      </c>
      <c r="S619" t="str">
        <f>_xlfn.XLOOKUP(Table3[[#This Row],[Cuenta]],Table8[Nombre Cuenta ()],Table8[Nivel 2],"",0)</f>
        <v/>
      </c>
      <c r="T619" t="str">
        <f>_xlfn.XLOOKUP(Table3[[#This Row],[Cuenta]],Table8[Nombre Cuenta ()],Table8[Nivel 3],"",0)</f>
        <v/>
      </c>
      <c r="U619">
        <v>1025</v>
      </c>
      <c r="V619" t="str">
        <f>_xlfn.XLOOKUP(Table3[[#This Row],[Cuenta]],Estructura_Balance[Nombre Cuenta ()],Estructura_Balance[Niveles:2],"",0)</f>
        <v/>
      </c>
      <c r="W619" t="str">
        <f>_xlfn.XLOOKUP(Table3[[#This Row],[Cuenta]],Estructura_Balance[Nombre Cuenta ()],Estructura_Balance[Niveles:3],"",0)</f>
        <v/>
      </c>
      <c r="X619" t="str">
        <f>_xlfn.XLOOKUP(Table3[[#This Row],[Cuenta]],Estructura_Balance[Nombre Cuenta ()],Estructura_Balance[Grupos],"Grupo 1",0)</f>
        <v>Grupo 1</v>
      </c>
      <c r="Y619" t="str">
        <f>+Table3[[#This Row],[BS_Nivel_1]]</f>
        <v/>
      </c>
    </row>
    <row r="620" spans="1:25">
      <c r="A620">
        <f>+'Libro Diario'!F834</f>
        <v>0</v>
      </c>
      <c r="B620" s="144">
        <f>VALUE(IF(+'Libro Diario'!G834="","01/01/2025",+'Libro Diario'!G834))</f>
        <v>45658</v>
      </c>
      <c r="C620">
        <f>IF(ISNUMBER(+IF(IFERROR(VALUE(MID('Libro Diario'!C834,1,4)),0)&lt;&gt;0,'Libro Diario'!C834,0))=FALSE,'Libro Diario'!C834,0)</f>
        <v>0</v>
      </c>
      <c r="D620" s="145">
        <f>+'Libro Diario'!B834</f>
        <v>0</v>
      </c>
      <c r="E620" s="139" t="s">
        <v>445</v>
      </c>
      <c r="F620" t="str">
        <f t="shared" si="27"/>
        <v>Sin Mov.</v>
      </c>
      <c r="G620" t="str">
        <f>IF(+'Libro Diario'!H834=0,"",+'Libro Diario'!H834)</f>
        <v/>
      </c>
      <c r="H620" t="str">
        <f>IF(+'Libro Diario'!I834=0,"",+'Libro Diario'!I834)</f>
        <v/>
      </c>
      <c r="I620" t="str">
        <f>+IF(Table3[[#This Row],[Tipo Movimiento]]="Estructura Balance y PyG","Excluir","Incluir")</f>
        <v>Incluir</v>
      </c>
      <c r="J620" s="153">
        <f>+IF(Table3[[#This Row],[Sin cuenta]]="Con Mov.",(IF(Table3[[#This Row],[Movimiento]]="Debe",Table3[[#This Row],[Importe]],IF(Table3[[#This Row],[Movimiento]]="Haber",Table3[[#This Row],[Importe]]*-1,0))),0)</f>
        <v>0</v>
      </c>
      <c r="K620" s="145">
        <f t="shared" si="28"/>
        <v>0</v>
      </c>
      <c r="L620" s="145" t="str">
        <f t="shared" si="29"/>
        <v/>
      </c>
      <c r="M620" t="str">
        <f>_xlfn.XLOOKUP(Table3[[#This Row],[Cuenta]],Estructura_Balance[Nombre Cuenta ()],Estructura_Balance[Grupo],"",0)</f>
        <v/>
      </c>
      <c r="N620" t="str">
        <f>_xlfn.XLOOKUP(Table3[[#This Row],[Cuenta]],Estructura_Balance[Nombre Cuenta ()],Estructura_Balance[Nivel 1],"",0)</f>
        <v/>
      </c>
      <c r="O620" t="str">
        <f>_xlfn.XLOOKUP(Table3[[#This Row],[Cuenta]],Estructura_Balance[Nombre Cuenta ()],Estructura_Balance[Nivel 2],"",0)</f>
        <v/>
      </c>
      <c r="P620" t="str">
        <f>_xlfn.XLOOKUP(Table3[[#This Row],[Cuenta]],Estructura_Balance[Nombre Cuenta ()],Estructura_Balance[Nivel 3],"",0)</f>
        <v/>
      </c>
      <c r="Q620" t="str">
        <f>_xlfn.XLOOKUP(Table3[[#This Row],[Cuenta]],Estructura_Balance[Nombre Cuenta ()],Estructura_Balance[Nivel 4],"",0)</f>
        <v/>
      </c>
      <c r="R620" t="str">
        <f>_xlfn.XLOOKUP(Table3[[#This Row],[Cuenta]],Table8[Nombre Cuenta ()],Table8[Nivel 1],"",0)</f>
        <v/>
      </c>
      <c r="S620" t="str">
        <f>_xlfn.XLOOKUP(Table3[[#This Row],[Cuenta]],Table8[Nombre Cuenta ()],Table8[Nivel 2],"",0)</f>
        <v/>
      </c>
      <c r="T620" t="str">
        <f>_xlfn.XLOOKUP(Table3[[#This Row],[Cuenta]],Table8[Nombre Cuenta ()],Table8[Nivel 3],"",0)</f>
        <v/>
      </c>
      <c r="U620">
        <v>1026</v>
      </c>
      <c r="V620" t="str">
        <f>_xlfn.XLOOKUP(Table3[[#This Row],[Cuenta]],Estructura_Balance[Nombre Cuenta ()],Estructura_Balance[Niveles:2],"",0)</f>
        <v/>
      </c>
      <c r="W620" t="str">
        <f>_xlfn.XLOOKUP(Table3[[#This Row],[Cuenta]],Estructura_Balance[Nombre Cuenta ()],Estructura_Balance[Niveles:3],"",0)</f>
        <v/>
      </c>
      <c r="X620" t="str">
        <f>_xlfn.XLOOKUP(Table3[[#This Row],[Cuenta]],Estructura_Balance[Nombre Cuenta ()],Estructura_Balance[Grupos],"Grupo 1",0)</f>
        <v>Grupo 1</v>
      </c>
      <c r="Y620" t="str">
        <f>+Table3[[#This Row],[BS_Nivel_1]]</f>
        <v/>
      </c>
    </row>
    <row r="621" spans="1:25">
      <c r="A621">
        <f>+'Libro Diario'!F835</f>
        <v>0</v>
      </c>
      <c r="B621" s="144">
        <f>VALUE(IF(+'Libro Diario'!G835="","01/01/2025",+'Libro Diario'!G835))</f>
        <v>45658</v>
      </c>
      <c r="C621">
        <f>IF(ISNUMBER(+IF(IFERROR(VALUE(MID('Libro Diario'!C835,1,4)),0)&lt;&gt;0,'Libro Diario'!C835,0))=FALSE,'Libro Diario'!C835,0)</f>
        <v>0</v>
      </c>
      <c r="D621" s="145">
        <f>+'Libro Diario'!B835</f>
        <v>0</v>
      </c>
      <c r="E621" s="139" t="s">
        <v>445</v>
      </c>
      <c r="F621" t="str">
        <f t="shared" si="27"/>
        <v>Sin Mov.</v>
      </c>
      <c r="G621" t="str">
        <f>IF(+'Libro Diario'!H835=0,"",+'Libro Diario'!H835)</f>
        <v/>
      </c>
      <c r="H621" t="str">
        <f>IF(+'Libro Diario'!I835=0,"",+'Libro Diario'!I835)</f>
        <v/>
      </c>
      <c r="I621" t="str">
        <f>+IF(Table3[[#This Row],[Tipo Movimiento]]="Estructura Balance y PyG","Excluir","Incluir")</f>
        <v>Incluir</v>
      </c>
      <c r="J621" s="153">
        <f>+IF(Table3[[#This Row],[Sin cuenta]]="Con Mov.",(IF(Table3[[#This Row],[Movimiento]]="Debe",Table3[[#This Row],[Importe]],IF(Table3[[#This Row],[Movimiento]]="Haber",Table3[[#This Row],[Importe]]*-1,0))),0)</f>
        <v>0</v>
      </c>
      <c r="K621" s="145">
        <f t="shared" si="28"/>
        <v>0</v>
      </c>
      <c r="L621" s="145" t="str">
        <f t="shared" si="29"/>
        <v/>
      </c>
      <c r="M621" t="str">
        <f>_xlfn.XLOOKUP(Table3[[#This Row],[Cuenta]],Estructura_Balance[Nombre Cuenta ()],Estructura_Balance[Grupo],"",0)</f>
        <v/>
      </c>
      <c r="N621" t="str">
        <f>_xlfn.XLOOKUP(Table3[[#This Row],[Cuenta]],Estructura_Balance[Nombre Cuenta ()],Estructura_Balance[Nivel 1],"",0)</f>
        <v/>
      </c>
      <c r="O621" t="str">
        <f>_xlfn.XLOOKUP(Table3[[#This Row],[Cuenta]],Estructura_Balance[Nombre Cuenta ()],Estructura_Balance[Nivel 2],"",0)</f>
        <v/>
      </c>
      <c r="P621" t="str">
        <f>_xlfn.XLOOKUP(Table3[[#This Row],[Cuenta]],Estructura_Balance[Nombre Cuenta ()],Estructura_Balance[Nivel 3],"",0)</f>
        <v/>
      </c>
      <c r="Q621" t="str">
        <f>_xlfn.XLOOKUP(Table3[[#This Row],[Cuenta]],Estructura_Balance[Nombre Cuenta ()],Estructura_Balance[Nivel 4],"",0)</f>
        <v/>
      </c>
      <c r="R621" t="str">
        <f>_xlfn.XLOOKUP(Table3[[#This Row],[Cuenta]],Table8[Nombre Cuenta ()],Table8[Nivel 1],"",0)</f>
        <v/>
      </c>
      <c r="S621" t="str">
        <f>_xlfn.XLOOKUP(Table3[[#This Row],[Cuenta]],Table8[Nombre Cuenta ()],Table8[Nivel 2],"",0)</f>
        <v/>
      </c>
      <c r="T621" t="str">
        <f>_xlfn.XLOOKUP(Table3[[#This Row],[Cuenta]],Table8[Nombre Cuenta ()],Table8[Nivel 3],"",0)</f>
        <v/>
      </c>
      <c r="U621">
        <v>1027</v>
      </c>
      <c r="V621" t="str">
        <f>_xlfn.XLOOKUP(Table3[[#This Row],[Cuenta]],Estructura_Balance[Nombre Cuenta ()],Estructura_Balance[Niveles:2],"",0)</f>
        <v/>
      </c>
      <c r="W621" t="str">
        <f>_xlfn.XLOOKUP(Table3[[#This Row],[Cuenta]],Estructura_Balance[Nombre Cuenta ()],Estructura_Balance[Niveles:3],"",0)</f>
        <v/>
      </c>
      <c r="X621" t="str">
        <f>_xlfn.XLOOKUP(Table3[[#This Row],[Cuenta]],Estructura_Balance[Nombre Cuenta ()],Estructura_Balance[Grupos],"Grupo 1",0)</f>
        <v>Grupo 1</v>
      </c>
      <c r="Y621" t="str">
        <f>+Table3[[#This Row],[BS_Nivel_1]]</f>
        <v/>
      </c>
    </row>
    <row r="622" spans="1:25">
      <c r="A622">
        <f>+'Libro Diario'!F836</f>
        <v>0</v>
      </c>
      <c r="B622" s="144">
        <f>VALUE(IF(+'Libro Diario'!G836="","01/01/2025",+'Libro Diario'!G836))</f>
        <v>45658</v>
      </c>
      <c r="C622">
        <f>IF(ISNUMBER(+IF(IFERROR(VALUE(MID('Libro Diario'!C836,1,4)),0)&lt;&gt;0,'Libro Diario'!C836,0))=FALSE,'Libro Diario'!C836,0)</f>
        <v>0</v>
      </c>
      <c r="D622" s="145">
        <f>+'Libro Diario'!B836</f>
        <v>0</v>
      </c>
      <c r="E622" s="139" t="s">
        <v>445</v>
      </c>
      <c r="F622" t="str">
        <f t="shared" si="27"/>
        <v>Sin Mov.</v>
      </c>
      <c r="G622" t="str">
        <f>IF(+'Libro Diario'!H836=0,"",+'Libro Diario'!H836)</f>
        <v/>
      </c>
      <c r="H622" t="str">
        <f>IF(+'Libro Diario'!I836=0,"",+'Libro Diario'!I836)</f>
        <v/>
      </c>
      <c r="I622" t="str">
        <f>+IF(Table3[[#This Row],[Tipo Movimiento]]="Estructura Balance y PyG","Excluir","Incluir")</f>
        <v>Incluir</v>
      </c>
      <c r="J622" s="153">
        <f>+IF(Table3[[#This Row],[Sin cuenta]]="Con Mov.",(IF(Table3[[#This Row],[Movimiento]]="Debe",Table3[[#This Row],[Importe]],IF(Table3[[#This Row],[Movimiento]]="Haber",Table3[[#This Row],[Importe]]*-1,0))),0)</f>
        <v>0</v>
      </c>
      <c r="K622" s="145">
        <f t="shared" si="28"/>
        <v>0</v>
      </c>
      <c r="L622" s="145" t="str">
        <f t="shared" si="29"/>
        <v/>
      </c>
      <c r="M622" t="str">
        <f>_xlfn.XLOOKUP(Table3[[#This Row],[Cuenta]],Estructura_Balance[Nombre Cuenta ()],Estructura_Balance[Grupo],"",0)</f>
        <v/>
      </c>
      <c r="N622" t="str">
        <f>_xlfn.XLOOKUP(Table3[[#This Row],[Cuenta]],Estructura_Balance[Nombre Cuenta ()],Estructura_Balance[Nivel 1],"",0)</f>
        <v/>
      </c>
      <c r="O622" t="str">
        <f>_xlfn.XLOOKUP(Table3[[#This Row],[Cuenta]],Estructura_Balance[Nombre Cuenta ()],Estructura_Balance[Nivel 2],"",0)</f>
        <v/>
      </c>
      <c r="P622" t="str">
        <f>_xlfn.XLOOKUP(Table3[[#This Row],[Cuenta]],Estructura_Balance[Nombre Cuenta ()],Estructura_Balance[Nivel 3],"",0)</f>
        <v/>
      </c>
      <c r="Q622" t="str">
        <f>_xlfn.XLOOKUP(Table3[[#This Row],[Cuenta]],Estructura_Balance[Nombre Cuenta ()],Estructura_Balance[Nivel 4],"",0)</f>
        <v/>
      </c>
      <c r="R622" t="str">
        <f>_xlfn.XLOOKUP(Table3[[#This Row],[Cuenta]],Table8[Nombre Cuenta ()],Table8[Nivel 1],"",0)</f>
        <v/>
      </c>
      <c r="S622" t="str">
        <f>_xlfn.XLOOKUP(Table3[[#This Row],[Cuenta]],Table8[Nombre Cuenta ()],Table8[Nivel 2],"",0)</f>
        <v/>
      </c>
      <c r="T622" t="str">
        <f>_xlfn.XLOOKUP(Table3[[#This Row],[Cuenta]],Table8[Nombre Cuenta ()],Table8[Nivel 3],"",0)</f>
        <v/>
      </c>
      <c r="U622">
        <v>1028</v>
      </c>
      <c r="V622" t="str">
        <f>_xlfn.XLOOKUP(Table3[[#This Row],[Cuenta]],Estructura_Balance[Nombre Cuenta ()],Estructura_Balance[Niveles:2],"",0)</f>
        <v/>
      </c>
      <c r="W622" t="str">
        <f>_xlfn.XLOOKUP(Table3[[#This Row],[Cuenta]],Estructura_Balance[Nombre Cuenta ()],Estructura_Balance[Niveles:3],"",0)</f>
        <v/>
      </c>
      <c r="X622" t="str">
        <f>_xlfn.XLOOKUP(Table3[[#This Row],[Cuenta]],Estructura_Balance[Nombre Cuenta ()],Estructura_Balance[Grupos],"Grupo 1",0)</f>
        <v>Grupo 1</v>
      </c>
      <c r="Y622" t="str">
        <f>+Table3[[#This Row],[BS_Nivel_1]]</f>
        <v/>
      </c>
    </row>
    <row r="623" spans="1:25">
      <c r="A623">
        <f>+'Libro Diario'!F837</f>
        <v>0</v>
      </c>
      <c r="B623" s="144">
        <f>VALUE(IF(+'Libro Diario'!G837="","01/01/2025",+'Libro Diario'!G837))</f>
        <v>45658</v>
      </c>
      <c r="C623">
        <f>IF(ISNUMBER(+IF(IFERROR(VALUE(MID('Libro Diario'!C837,1,4)),0)&lt;&gt;0,'Libro Diario'!C837,0))=FALSE,'Libro Diario'!C837,0)</f>
        <v>0</v>
      </c>
      <c r="D623" s="145">
        <f>+'Libro Diario'!B837</f>
        <v>0</v>
      </c>
      <c r="E623" s="139" t="s">
        <v>445</v>
      </c>
      <c r="F623" t="str">
        <f t="shared" si="27"/>
        <v>Sin Mov.</v>
      </c>
      <c r="G623" t="str">
        <f>IF(+'Libro Diario'!H837=0,"",+'Libro Diario'!H837)</f>
        <v/>
      </c>
      <c r="H623" t="str">
        <f>IF(+'Libro Diario'!I837=0,"",+'Libro Diario'!I837)</f>
        <v/>
      </c>
      <c r="I623" t="str">
        <f>+IF(Table3[[#This Row],[Tipo Movimiento]]="Estructura Balance y PyG","Excluir","Incluir")</f>
        <v>Incluir</v>
      </c>
      <c r="J623" s="153">
        <f>+IF(Table3[[#This Row],[Sin cuenta]]="Con Mov.",(IF(Table3[[#This Row],[Movimiento]]="Debe",Table3[[#This Row],[Importe]],IF(Table3[[#This Row],[Movimiento]]="Haber",Table3[[#This Row],[Importe]]*-1,0))),0)</f>
        <v>0</v>
      </c>
      <c r="K623" s="145">
        <f t="shared" si="28"/>
        <v>0</v>
      </c>
      <c r="L623" s="145" t="str">
        <f t="shared" si="29"/>
        <v/>
      </c>
      <c r="M623" t="str">
        <f>_xlfn.XLOOKUP(Table3[[#This Row],[Cuenta]],Estructura_Balance[Nombre Cuenta ()],Estructura_Balance[Grupo],"",0)</f>
        <v/>
      </c>
      <c r="N623" t="str">
        <f>_xlfn.XLOOKUP(Table3[[#This Row],[Cuenta]],Estructura_Balance[Nombre Cuenta ()],Estructura_Balance[Nivel 1],"",0)</f>
        <v/>
      </c>
      <c r="O623" t="str">
        <f>_xlfn.XLOOKUP(Table3[[#This Row],[Cuenta]],Estructura_Balance[Nombre Cuenta ()],Estructura_Balance[Nivel 2],"",0)</f>
        <v/>
      </c>
      <c r="P623" t="str">
        <f>_xlfn.XLOOKUP(Table3[[#This Row],[Cuenta]],Estructura_Balance[Nombre Cuenta ()],Estructura_Balance[Nivel 3],"",0)</f>
        <v/>
      </c>
      <c r="Q623" t="str">
        <f>_xlfn.XLOOKUP(Table3[[#This Row],[Cuenta]],Estructura_Balance[Nombre Cuenta ()],Estructura_Balance[Nivel 4],"",0)</f>
        <v/>
      </c>
      <c r="R623" t="str">
        <f>_xlfn.XLOOKUP(Table3[[#This Row],[Cuenta]],Table8[Nombre Cuenta ()],Table8[Nivel 1],"",0)</f>
        <v/>
      </c>
      <c r="S623" t="str">
        <f>_xlfn.XLOOKUP(Table3[[#This Row],[Cuenta]],Table8[Nombre Cuenta ()],Table8[Nivel 2],"",0)</f>
        <v/>
      </c>
      <c r="T623" t="str">
        <f>_xlfn.XLOOKUP(Table3[[#This Row],[Cuenta]],Table8[Nombre Cuenta ()],Table8[Nivel 3],"",0)</f>
        <v/>
      </c>
      <c r="U623">
        <v>1029</v>
      </c>
      <c r="V623" t="str">
        <f>_xlfn.XLOOKUP(Table3[[#This Row],[Cuenta]],Estructura_Balance[Nombre Cuenta ()],Estructura_Balance[Niveles:2],"",0)</f>
        <v/>
      </c>
      <c r="W623" t="str">
        <f>_xlfn.XLOOKUP(Table3[[#This Row],[Cuenta]],Estructura_Balance[Nombre Cuenta ()],Estructura_Balance[Niveles:3],"",0)</f>
        <v/>
      </c>
      <c r="X623" t="str">
        <f>_xlfn.XLOOKUP(Table3[[#This Row],[Cuenta]],Estructura_Balance[Nombre Cuenta ()],Estructura_Balance[Grupos],"Grupo 1",0)</f>
        <v>Grupo 1</v>
      </c>
      <c r="Y623" t="str">
        <f>+Table3[[#This Row],[BS_Nivel_1]]</f>
        <v/>
      </c>
    </row>
    <row r="624" spans="1:25">
      <c r="A624">
        <f>+'Libro Diario'!F838</f>
        <v>0</v>
      </c>
      <c r="B624" s="144">
        <f>VALUE(IF(+'Libro Diario'!G838="","01/01/2025",+'Libro Diario'!G838))</f>
        <v>45658</v>
      </c>
      <c r="C624">
        <f>IF(ISNUMBER(+IF(IFERROR(VALUE(MID('Libro Diario'!C838,1,4)),0)&lt;&gt;0,'Libro Diario'!C838,0))=FALSE,'Libro Diario'!C838,0)</f>
        <v>0</v>
      </c>
      <c r="D624" s="145">
        <f>+'Libro Diario'!B838</f>
        <v>0</v>
      </c>
      <c r="E624" s="139" t="s">
        <v>445</v>
      </c>
      <c r="F624" t="str">
        <f t="shared" si="27"/>
        <v>Sin Mov.</v>
      </c>
      <c r="G624" t="str">
        <f>IF(+'Libro Diario'!H838=0,"",+'Libro Diario'!H838)</f>
        <v/>
      </c>
      <c r="H624" t="str">
        <f>IF(+'Libro Diario'!I838=0,"",+'Libro Diario'!I838)</f>
        <v/>
      </c>
      <c r="I624" t="str">
        <f>+IF(Table3[[#This Row],[Tipo Movimiento]]="Estructura Balance y PyG","Excluir","Incluir")</f>
        <v>Incluir</v>
      </c>
      <c r="J624" s="153">
        <f>+IF(Table3[[#This Row],[Sin cuenta]]="Con Mov.",(IF(Table3[[#This Row],[Movimiento]]="Debe",Table3[[#This Row],[Importe]],IF(Table3[[#This Row],[Movimiento]]="Haber",Table3[[#This Row],[Importe]]*-1,0))),0)</f>
        <v>0</v>
      </c>
      <c r="K624" s="145">
        <f t="shared" si="28"/>
        <v>0</v>
      </c>
      <c r="L624" s="145" t="str">
        <f t="shared" si="29"/>
        <v/>
      </c>
      <c r="M624" t="str">
        <f>_xlfn.XLOOKUP(Table3[[#This Row],[Cuenta]],Estructura_Balance[Nombre Cuenta ()],Estructura_Balance[Grupo],"",0)</f>
        <v/>
      </c>
      <c r="N624" t="str">
        <f>_xlfn.XLOOKUP(Table3[[#This Row],[Cuenta]],Estructura_Balance[Nombre Cuenta ()],Estructura_Balance[Nivel 1],"",0)</f>
        <v/>
      </c>
      <c r="O624" t="str">
        <f>_xlfn.XLOOKUP(Table3[[#This Row],[Cuenta]],Estructura_Balance[Nombre Cuenta ()],Estructura_Balance[Nivel 2],"",0)</f>
        <v/>
      </c>
      <c r="P624" t="str">
        <f>_xlfn.XLOOKUP(Table3[[#This Row],[Cuenta]],Estructura_Balance[Nombre Cuenta ()],Estructura_Balance[Nivel 3],"",0)</f>
        <v/>
      </c>
      <c r="Q624" t="str">
        <f>_xlfn.XLOOKUP(Table3[[#This Row],[Cuenta]],Estructura_Balance[Nombre Cuenta ()],Estructura_Balance[Nivel 4],"",0)</f>
        <v/>
      </c>
      <c r="R624" t="str">
        <f>_xlfn.XLOOKUP(Table3[[#This Row],[Cuenta]],Table8[Nombre Cuenta ()],Table8[Nivel 1],"",0)</f>
        <v/>
      </c>
      <c r="S624" t="str">
        <f>_xlfn.XLOOKUP(Table3[[#This Row],[Cuenta]],Table8[Nombre Cuenta ()],Table8[Nivel 2],"",0)</f>
        <v/>
      </c>
      <c r="T624" t="str">
        <f>_xlfn.XLOOKUP(Table3[[#This Row],[Cuenta]],Table8[Nombre Cuenta ()],Table8[Nivel 3],"",0)</f>
        <v/>
      </c>
      <c r="U624">
        <v>1030</v>
      </c>
      <c r="V624" t="str">
        <f>_xlfn.XLOOKUP(Table3[[#This Row],[Cuenta]],Estructura_Balance[Nombre Cuenta ()],Estructura_Balance[Niveles:2],"",0)</f>
        <v/>
      </c>
      <c r="W624" t="str">
        <f>_xlfn.XLOOKUP(Table3[[#This Row],[Cuenta]],Estructura_Balance[Nombre Cuenta ()],Estructura_Balance[Niveles:3],"",0)</f>
        <v/>
      </c>
      <c r="X624" t="str">
        <f>_xlfn.XLOOKUP(Table3[[#This Row],[Cuenta]],Estructura_Balance[Nombre Cuenta ()],Estructura_Balance[Grupos],"Grupo 1",0)</f>
        <v>Grupo 1</v>
      </c>
      <c r="Y624" t="str">
        <f>+Table3[[#This Row],[BS_Nivel_1]]</f>
        <v/>
      </c>
    </row>
    <row r="625" spans="1:25">
      <c r="A625">
        <f>+'Libro Diario'!F839</f>
        <v>0</v>
      </c>
      <c r="B625" s="144">
        <f>VALUE(IF(+'Libro Diario'!G839="","01/01/2025",+'Libro Diario'!G839))</f>
        <v>45658</v>
      </c>
      <c r="C625">
        <f>IF(ISNUMBER(+IF(IFERROR(VALUE(MID('Libro Diario'!C839,1,4)),0)&lt;&gt;0,'Libro Diario'!C839,0))=FALSE,'Libro Diario'!C839,0)</f>
        <v>0</v>
      </c>
      <c r="D625" s="145">
        <f>+'Libro Diario'!B839</f>
        <v>0</v>
      </c>
      <c r="E625" s="139" t="s">
        <v>445</v>
      </c>
      <c r="F625" t="str">
        <f t="shared" si="27"/>
        <v>Sin Mov.</v>
      </c>
      <c r="G625" t="str">
        <f>IF(+'Libro Diario'!H839=0,"",+'Libro Diario'!H839)</f>
        <v/>
      </c>
      <c r="H625" t="str">
        <f>IF(+'Libro Diario'!I839=0,"",+'Libro Diario'!I839)</f>
        <v/>
      </c>
      <c r="I625" t="str">
        <f>+IF(Table3[[#This Row],[Tipo Movimiento]]="Estructura Balance y PyG","Excluir","Incluir")</f>
        <v>Incluir</v>
      </c>
      <c r="J625" s="153">
        <f>+IF(Table3[[#This Row],[Sin cuenta]]="Con Mov.",(IF(Table3[[#This Row],[Movimiento]]="Debe",Table3[[#This Row],[Importe]],IF(Table3[[#This Row],[Movimiento]]="Haber",Table3[[#This Row],[Importe]]*-1,0))),0)</f>
        <v>0</v>
      </c>
      <c r="K625" s="145">
        <f t="shared" si="28"/>
        <v>0</v>
      </c>
      <c r="L625" s="145" t="str">
        <f t="shared" si="29"/>
        <v/>
      </c>
      <c r="M625" t="str">
        <f>_xlfn.XLOOKUP(Table3[[#This Row],[Cuenta]],Estructura_Balance[Nombre Cuenta ()],Estructura_Balance[Grupo],"",0)</f>
        <v/>
      </c>
      <c r="N625" t="str">
        <f>_xlfn.XLOOKUP(Table3[[#This Row],[Cuenta]],Estructura_Balance[Nombre Cuenta ()],Estructura_Balance[Nivel 1],"",0)</f>
        <v/>
      </c>
      <c r="O625" t="str">
        <f>_xlfn.XLOOKUP(Table3[[#This Row],[Cuenta]],Estructura_Balance[Nombre Cuenta ()],Estructura_Balance[Nivel 2],"",0)</f>
        <v/>
      </c>
      <c r="P625" t="str">
        <f>_xlfn.XLOOKUP(Table3[[#This Row],[Cuenta]],Estructura_Balance[Nombre Cuenta ()],Estructura_Balance[Nivel 3],"",0)</f>
        <v/>
      </c>
      <c r="Q625" t="str">
        <f>_xlfn.XLOOKUP(Table3[[#This Row],[Cuenta]],Estructura_Balance[Nombre Cuenta ()],Estructura_Balance[Nivel 4],"",0)</f>
        <v/>
      </c>
      <c r="R625" t="str">
        <f>_xlfn.XLOOKUP(Table3[[#This Row],[Cuenta]],Table8[Nombre Cuenta ()],Table8[Nivel 1],"",0)</f>
        <v/>
      </c>
      <c r="S625" t="str">
        <f>_xlfn.XLOOKUP(Table3[[#This Row],[Cuenta]],Table8[Nombre Cuenta ()],Table8[Nivel 2],"",0)</f>
        <v/>
      </c>
      <c r="T625" t="str">
        <f>_xlfn.XLOOKUP(Table3[[#This Row],[Cuenta]],Table8[Nombre Cuenta ()],Table8[Nivel 3],"",0)</f>
        <v/>
      </c>
      <c r="U625">
        <v>1031</v>
      </c>
      <c r="V625" t="str">
        <f>_xlfn.XLOOKUP(Table3[[#This Row],[Cuenta]],Estructura_Balance[Nombre Cuenta ()],Estructura_Balance[Niveles:2],"",0)</f>
        <v/>
      </c>
      <c r="W625" t="str">
        <f>_xlfn.XLOOKUP(Table3[[#This Row],[Cuenta]],Estructura_Balance[Nombre Cuenta ()],Estructura_Balance[Niveles:3],"",0)</f>
        <v/>
      </c>
      <c r="X625" t="str">
        <f>_xlfn.XLOOKUP(Table3[[#This Row],[Cuenta]],Estructura_Balance[Nombre Cuenta ()],Estructura_Balance[Grupos],"Grupo 1",0)</f>
        <v>Grupo 1</v>
      </c>
      <c r="Y625" t="str">
        <f>+Table3[[#This Row],[BS_Nivel_1]]</f>
        <v/>
      </c>
    </row>
    <row r="626" spans="1:25">
      <c r="A626">
        <f>+'Libro Diario'!F840</f>
        <v>0</v>
      </c>
      <c r="B626" s="144">
        <f>VALUE(IF(+'Libro Diario'!G840="","01/01/2025",+'Libro Diario'!G840))</f>
        <v>45658</v>
      </c>
      <c r="C626">
        <f>IF(ISNUMBER(+IF(IFERROR(VALUE(MID('Libro Diario'!C840,1,4)),0)&lt;&gt;0,'Libro Diario'!C840,0))=FALSE,'Libro Diario'!C840,0)</f>
        <v>0</v>
      </c>
      <c r="D626" s="145">
        <f>+'Libro Diario'!B840</f>
        <v>0</v>
      </c>
      <c r="E626" s="139" t="s">
        <v>445</v>
      </c>
      <c r="F626" t="str">
        <f t="shared" si="27"/>
        <v>Sin Mov.</v>
      </c>
      <c r="G626" t="str">
        <f>IF(+'Libro Diario'!H840=0,"",+'Libro Diario'!H840)</f>
        <v/>
      </c>
      <c r="H626" t="str">
        <f>IF(+'Libro Diario'!I840=0,"",+'Libro Diario'!I840)</f>
        <v/>
      </c>
      <c r="I626" t="str">
        <f>+IF(Table3[[#This Row],[Tipo Movimiento]]="Estructura Balance y PyG","Excluir","Incluir")</f>
        <v>Incluir</v>
      </c>
      <c r="J626" s="153">
        <f>+IF(Table3[[#This Row],[Sin cuenta]]="Con Mov.",(IF(Table3[[#This Row],[Movimiento]]="Debe",Table3[[#This Row],[Importe]],IF(Table3[[#This Row],[Movimiento]]="Haber",Table3[[#This Row],[Importe]]*-1,0))),0)</f>
        <v>0</v>
      </c>
      <c r="K626" s="145">
        <f t="shared" si="28"/>
        <v>0</v>
      </c>
      <c r="L626" s="145" t="str">
        <f t="shared" si="29"/>
        <v/>
      </c>
      <c r="M626" t="str">
        <f>_xlfn.XLOOKUP(Table3[[#This Row],[Cuenta]],Estructura_Balance[Nombre Cuenta ()],Estructura_Balance[Grupo],"",0)</f>
        <v/>
      </c>
      <c r="N626" t="str">
        <f>_xlfn.XLOOKUP(Table3[[#This Row],[Cuenta]],Estructura_Balance[Nombre Cuenta ()],Estructura_Balance[Nivel 1],"",0)</f>
        <v/>
      </c>
      <c r="O626" t="str">
        <f>_xlfn.XLOOKUP(Table3[[#This Row],[Cuenta]],Estructura_Balance[Nombre Cuenta ()],Estructura_Balance[Nivel 2],"",0)</f>
        <v/>
      </c>
      <c r="P626" t="str">
        <f>_xlfn.XLOOKUP(Table3[[#This Row],[Cuenta]],Estructura_Balance[Nombre Cuenta ()],Estructura_Balance[Nivel 3],"",0)</f>
        <v/>
      </c>
      <c r="Q626" t="str">
        <f>_xlfn.XLOOKUP(Table3[[#This Row],[Cuenta]],Estructura_Balance[Nombre Cuenta ()],Estructura_Balance[Nivel 4],"",0)</f>
        <v/>
      </c>
      <c r="R626" t="str">
        <f>_xlfn.XLOOKUP(Table3[[#This Row],[Cuenta]],Table8[Nombre Cuenta ()],Table8[Nivel 1],"",0)</f>
        <v/>
      </c>
      <c r="S626" t="str">
        <f>_xlfn.XLOOKUP(Table3[[#This Row],[Cuenta]],Table8[Nombre Cuenta ()],Table8[Nivel 2],"",0)</f>
        <v/>
      </c>
      <c r="T626" t="str">
        <f>_xlfn.XLOOKUP(Table3[[#This Row],[Cuenta]],Table8[Nombre Cuenta ()],Table8[Nivel 3],"",0)</f>
        <v/>
      </c>
      <c r="U626">
        <v>1032</v>
      </c>
      <c r="V626" t="str">
        <f>_xlfn.XLOOKUP(Table3[[#This Row],[Cuenta]],Estructura_Balance[Nombre Cuenta ()],Estructura_Balance[Niveles:2],"",0)</f>
        <v/>
      </c>
      <c r="W626" t="str">
        <f>_xlfn.XLOOKUP(Table3[[#This Row],[Cuenta]],Estructura_Balance[Nombre Cuenta ()],Estructura_Balance[Niveles:3],"",0)</f>
        <v/>
      </c>
      <c r="X626" t="str">
        <f>_xlfn.XLOOKUP(Table3[[#This Row],[Cuenta]],Estructura_Balance[Nombre Cuenta ()],Estructura_Balance[Grupos],"Grupo 1",0)</f>
        <v>Grupo 1</v>
      </c>
      <c r="Y626" t="str">
        <f>+Table3[[#This Row],[BS_Nivel_1]]</f>
        <v/>
      </c>
    </row>
    <row r="627" spans="1:25">
      <c r="A627">
        <f>+'Libro Diario'!F841</f>
        <v>0</v>
      </c>
      <c r="B627" s="144">
        <f>VALUE(IF(+'Libro Diario'!G841="","01/01/2025",+'Libro Diario'!G841))</f>
        <v>45658</v>
      </c>
      <c r="C627">
        <f>IF(ISNUMBER(+IF(IFERROR(VALUE(MID('Libro Diario'!C841,1,4)),0)&lt;&gt;0,'Libro Diario'!C841,0))=FALSE,'Libro Diario'!C841,0)</f>
        <v>0</v>
      </c>
      <c r="D627" s="145">
        <f>+'Libro Diario'!B841</f>
        <v>0</v>
      </c>
      <c r="E627" s="139" t="s">
        <v>445</v>
      </c>
      <c r="F627" t="str">
        <f t="shared" si="27"/>
        <v>Sin Mov.</v>
      </c>
      <c r="G627" t="str">
        <f>IF(+'Libro Diario'!H841=0,"",+'Libro Diario'!H841)</f>
        <v/>
      </c>
      <c r="H627" t="str">
        <f>IF(+'Libro Diario'!I841=0,"",+'Libro Diario'!I841)</f>
        <v/>
      </c>
      <c r="I627" t="str">
        <f>+IF(Table3[[#This Row],[Tipo Movimiento]]="Estructura Balance y PyG","Excluir","Incluir")</f>
        <v>Incluir</v>
      </c>
      <c r="J627" s="153">
        <f>+IF(Table3[[#This Row],[Sin cuenta]]="Con Mov.",(IF(Table3[[#This Row],[Movimiento]]="Debe",Table3[[#This Row],[Importe]],IF(Table3[[#This Row],[Movimiento]]="Haber",Table3[[#This Row],[Importe]]*-1,0))),0)</f>
        <v>0</v>
      </c>
      <c r="K627" s="145">
        <f t="shared" si="28"/>
        <v>0</v>
      </c>
      <c r="L627" s="145" t="str">
        <f t="shared" si="29"/>
        <v/>
      </c>
      <c r="M627" t="str">
        <f>_xlfn.XLOOKUP(Table3[[#This Row],[Cuenta]],Estructura_Balance[Nombre Cuenta ()],Estructura_Balance[Grupo],"",0)</f>
        <v/>
      </c>
      <c r="N627" t="str">
        <f>_xlfn.XLOOKUP(Table3[[#This Row],[Cuenta]],Estructura_Balance[Nombre Cuenta ()],Estructura_Balance[Nivel 1],"",0)</f>
        <v/>
      </c>
      <c r="O627" t="str">
        <f>_xlfn.XLOOKUP(Table3[[#This Row],[Cuenta]],Estructura_Balance[Nombre Cuenta ()],Estructura_Balance[Nivel 2],"",0)</f>
        <v/>
      </c>
      <c r="P627" t="str">
        <f>_xlfn.XLOOKUP(Table3[[#This Row],[Cuenta]],Estructura_Balance[Nombre Cuenta ()],Estructura_Balance[Nivel 3],"",0)</f>
        <v/>
      </c>
      <c r="Q627" t="str">
        <f>_xlfn.XLOOKUP(Table3[[#This Row],[Cuenta]],Estructura_Balance[Nombre Cuenta ()],Estructura_Balance[Nivel 4],"",0)</f>
        <v/>
      </c>
      <c r="R627" t="str">
        <f>_xlfn.XLOOKUP(Table3[[#This Row],[Cuenta]],Table8[Nombre Cuenta ()],Table8[Nivel 1],"",0)</f>
        <v/>
      </c>
      <c r="S627" t="str">
        <f>_xlfn.XLOOKUP(Table3[[#This Row],[Cuenta]],Table8[Nombre Cuenta ()],Table8[Nivel 2],"",0)</f>
        <v/>
      </c>
      <c r="T627" t="str">
        <f>_xlfn.XLOOKUP(Table3[[#This Row],[Cuenta]],Table8[Nombre Cuenta ()],Table8[Nivel 3],"",0)</f>
        <v/>
      </c>
      <c r="U627">
        <v>1033</v>
      </c>
      <c r="V627" t="str">
        <f>_xlfn.XLOOKUP(Table3[[#This Row],[Cuenta]],Estructura_Balance[Nombre Cuenta ()],Estructura_Balance[Niveles:2],"",0)</f>
        <v/>
      </c>
      <c r="W627" t="str">
        <f>_xlfn.XLOOKUP(Table3[[#This Row],[Cuenta]],Estructura_Balance[Nombre Cuenta ()],Estructura_Balance[Niveles:3],"",0)</f>
        <v/>
      </c>
      <c r="X627" t="str">
        <f>_xlfn.XLOOKUP(Table3[[#This Row],[Cuenta]],Estructura_Balance[Nombre Cuenta ()],Estructura_Balance[Grupos],"Grupo 1",0)</f>
        <v>Grupo 1</v>
      </c>
      <c r="Y627" t="str">
        <f>+Table3[[#This Row],[BS_Nivel_1]]</f>
        <v/>
      </c>
    </row>
    <row r="628" spans="1:25">
      <c r="A628">
        <f>+'Libro Diario'!F842</f>
        <v>0</v>
      </c>
      <c r="B628" s="144">
        <f>VALUE(IF(+'Libro Diario'!G842="","01/01/2025",+'Libro Diario'!G842))</f>
        <v>45658</v>
      </c>
      <c r="C628">
        <f>IF(ISNUMBER(+IF(IFERROR(VALUE(MID('Libro Diario'!C842,1,4)),0)&lt;&gt;0,'Libro Diario'!C842,0))=FALSE,'Libro Diario'!C842,0)</f>
        <v>0</v>
      </c>
      <c r="D628" s="145">
        <f>+'Libro Diario'!B842</f>
        <v>0</v>
      </c>
      <c r="E628" s="139" t="s">
        <v>445</v>
      </c>
      <c r="F628" t="str">
        <f t="shared" si="27"/>
        <v>Sin Mov.</v>
      </c>
      <c r="G628" t="str">
        <f>IF(+'Libro Diario'!H842=0,"",+'Libro Diario'!H842)</f>
        <v/>
      </c>
      <c r="H628" t="str">
        <f>IF(+'Libro Diario'!I842=0,"",+'Libro Diario'!I842)</f>
        <v/>
      </c>
      <c r="I628" t="str">
        <f>+IF(Table3[[#This Row],[Tipo Movimiento]]="Estructura Balance y PyG","Excluir","Incluir")</f>
        <v>Incluir</v>
      </c>
      <c r="J628" s="153">
        <f>+IF(Table3[[#This Row],[Sin cuenta]]="Con Mov.",(IF(Table3[[#This Row],[Movimiento]]="Debe",Table3[[#This Row],[Importe]],IF(Table3[[#This Row],[Movimiento]]="Haber",Table3[[#This Row],[Importe]]*-1,0))),0)</f>
        <v>0</v>
      </c>
      <c r="K628" s="145">
        <f t="shared" si="28"/>
        <v>0</v>
      </c>
      <c r="L628" s="145" t="str">
        <f t="shared" si="29"/>
        <v/>
      </c>
      <c r="M628" t="str">
        <f>_xlfn.XLOOKUP(Table3[[#This Row],[Cuenta]],Estructura_Balance[Nombre Cuenta ()],Estructura_Balance[Grupo],"",0)</f>
        <v/>
      </c>
      <c r="N628" t="str">
        <f>_xlfn.XLOOKUP(Table3[[#This Row],[Cuenta]],Estructura_Balance[Nombre Cuenta ()],Estructura_Balance[Nivel 1],"",0)</f>
        <v/>
      </c>
      <c r="O628" t="str">
        <f>_xlfn.XLOOKUP(Table3[[#This Row],[Cuenta]],Estructura_Balance[Nombre Cuenta ()],Estructura_Balance[Nivel 2],"",0)</f>
        <v/>
      </c>
      <c r="P628" t="str">
        <f>_xlfn.XLOOKUP(Table3[[#This Row],[Cuenta]],Estructura_Balance[Nombre Cuenta ()],Estructura_Balance[Nivel 3],"",0)</f>
        <v/>
      </c>
      <c r="Q628" t="str">
        <f>_xlfn.XLOOKUP(Table3[[#This Row],[Cuenta]],Estructura_Balance[Nombre Cuenta ()],Estructura_Balance[Nivel 4],"",0)</f>
        <v/>
      </c>
      <c r="R628" t="str">
        <f>_xlfn.XLOOKUP(Table3[[#This Row],[Cuenta]],Table8[Nombre Cuenta ()],Table8[Nivel 1],"",0)</f>
        <v/>
      </c>
      <c r="S628" t="str">
        <f>_xlfn.XLOOKUP(Table3[[#This Row],[Cuenta]],Table8[Nombre Cuenta ()],Table8[Nivel 2],"",0)</f>
        <v/>
      </c>
      <c r="T628" t="str">
        <f>_xlfn.XLOOKUP(Table3[[#This Row],[Cuenta]],Table8[Nombre Cuenta ()],Table8[Nivel 3],"",0)</f>
        <v/>
      </c>
      <c r="U628">
        <v>1034</v>
      </c>
      <c r="V628" t="str">
        <f>_xlfn.XLOOKUP(Table3[[#This Row],[Cuenta]],Estructura_Balance[Nombre Cuenta ()],Estructura_Balance[Niveles:2],"",0)</f>
        <v/>
      </c>
      <c r="W628" t="str">
        <f>_xlfn.XLOOKUP(Table3[[#This Row],[Cuenta]],Estructura_Balance[Nombre Cuenta ()],Estructura_Balance[Niveles:3],"",0)</f>
        <v/>
      </c>
      <c r="X628" t="str">
        <f>_xlfn.XLOOKUP(Table3[[#This Row],[Cuenta]],Estructura_Balance[Nombre Cuenta ()],Estructura_Balance[Grupos],"Grupo 1",0)</f>
        <v>Grupo 1</v>
      </c>
      <c r="Y628" t="str">
        <f>+Table3[[#This Row],[BS_Nivel_1]]</f>
        <v/>
      </c>
    </row>
    <row r="629" spans="1:25">
      <c r="A629">
        <f>+'Libro Diario'!F843</f>
        <v>0</v>
      </c>
      <c r="B629" s="144">
        <f>VALUE(IF(+'Libro Diario'!G843="","01/01/2025",+'Libro Diario'!G843))</f>
        <v>45658</v>
      </c>
      <c r="C629">
        <f>IF(ISNUMBER(+IF(IFERROR(VALUE(MID('Libro Diario'!C843,1,4)),0)&lt;&gt;0,'Libro Diario'!C843,0))=FALSE,'Libro Diario'!C843,0)</f>
        <v>0</v>
      </c>
      <c r="D629" s="145">
        <f>+'Libro Diario'!B843</f>
        <v>0</v>
      </c>
      <c r="E629" s="139" t="s">
        <v>445</v>
      </c>
      <c r="F629" t="str">
        <f t="shared" si="27"/>
        <v>Sin Mov.</v>
      </c>
      <c r="G629" t="str">
        <f>IF(+'Libro Diario'!H843=0,"",+'Libro Diario'!H843)</f>
        <v/>
      </c>
      <c r="H629" t="str">
        <f>IF(+'Libro Diario'!I843=0,"",+'Libro Diario'!I843)</f>
        <v/>
      </c>
      <c r="I629" t="str">
        <f>+IF(Table3[[#This Row],[Tipo Movimiento]]="Estructura Balance y PyG","Excluir","Incluir")</f>
        <v>Incluir</v>
      </c>
      <c r="J629" s="153">
        <f>+IF(Table3[[#This Row],[Sin cuenta]]="Con Mov.",(IF(Table3[[#This Row],[Movimiento]]="Debe",Table3[[#This Row],[Importe]],IF(Table3[[#This Row],[Movimiento]]="Haber",Table3[[#This Row],[Importe]]*-1,0))),0)</f>
        <v>0</v>
      </c>
      <c r="K629" s="145">
        <f t="shared" si="28"/>
        <v>0</v>
      </c>
      <c r="L629" s="145" t="str">
        <f t="shared" si="29"/>
        <v/>
      </c>
      <c r="M629" t="str">
        <f>_xlfn.XLOOKUP(Table3[[#This Row],[Cuenta]],Estructura_Balance[Nombre Cuenta ()],Estructura_Balance[Grupo],"",0)</f>
        <v/>
      </c>
      <c r="N629" t="str">
        <f>_xlfn.XLOOKUP(Table3[[#This Row],[Cuenta]],Estructura_Balance[Nombre Cuenta ()],Estructura_Balance[Nivel 1],"",0)</f>
        <v/>
      </c>
      <c r="O629" t="str">
        <f>_xlfn.XLOOKUP(Table3[[#This Row],[Cuenta]],Estructura_Balance[Nombre Cuenta ()],Estructura_Balance[Nivel 2],"",0)</f>
        <v/>
      </c>
      <c r="P629" t="str">
        <f>_xlfn.XLOOKUP(Table3[[#This Row],[Cuenta]],Estructura_Balance[Nombre Cuenta ()],Estructura_Balance[Nivel 3],"",0)</f>
        <v/>
      </c>
      <c r="Q629" t="str">
        <f>_xlfn.XLOOKUP(Table3[[#This Row],[Cuenta]],Estructura_Balance[Nombre Cuenta ()],Estructura_Balance[Nivel 4],"",0)</f>
        <v/>
      </c>
      <c r="R629" t="str">
        <f>_xlfn.XLOOKUP(Table3[[#This Row],[Cuenta]],Table8[Nombre Cuenta ()],Table8[Nivel 1],"",0)</f>
        <v/>
      </c>
      <c r="S629" t="str">
        <f>_xlfn.XLOOKUP(Table3[[#This Row],[Cuenta]],Table8[Nombre Cuenta ()],Table8[Nivel 2],"",0)</f>
        <v/>
      </c>
      <c r="T629" t="str">
        <f>_xlfn.XLOOKUP(Table3[[#This Row],[Cuenta]],Table8[Nombre Cuenta ()],Table8[Nivel 3],"",0)</f>
        <v/>
      </c>
      <c r="U629">
        <v>1035</v>
      </c>
      <c r="V629" t="str">
        <f>_xlfn.XLOOKUP(Table3[[#This Row],[Cuenta]],Estructura_Balance[Nombre Cuenta ()],Estructura_Balance[Niveles:2],"",0)</f>
        <v/>
      </c>
      <c r="W629" t="str">
        <f>_xlfn.XLOOKUP(Table3[[#This Row],[Cuenta]],Estructura_Balance[Nombre Cuenta ()],Estructura_Balance[Niveles:3],"",0)</f>
        <v/>
      </c>
      <c r="X629" t="str">
        <f>_xlfn.XLOOKUP(Table3[[#This Row],[Cuenta]],Estructura_Balance[Nombre Cuenta ()],Estructura_Balance[Grupos],"Grupo 1",0)</f>
        <v>Grupo 1</v>
      </c>
      <c r="Y629" t="str">
        <f>+Table3[[#This Row],[BS_Nivel_1]]</f>
        <v/>
      </c>
    </row>
    <row r="630" spans="1:25">
      <c r="A630">
        <f>+'Libro Diario'!F844</f>
        <v>0</v>
      </c>
      <c r="B630" s="144">
        <f>VALUE(IF(+'Libro Diario'!G844="","01/01/2025",+'Libro Diario'!G844))</f>
        <v>45658</v>
      </c>
      <c r="C630">
        <f>IF(ISNUMBER(+IF(IFERROR(VALUE(MID('Libro Diario'!C844,1,4)),0)&lt;&gt;0,'Libro Diario'!C844,0))=FALSE,'Libro Diario'!C844,0)</f>
        <v>0</v>
      </c>
      <c r="D630" s="145">
        <f>+'Libro Diario'!B844</f>
        <v>0</v>
      </c>
      <c r="E630" s="139" t="s">
        <v>445</v>
      </c>
      <c r="F630" t="str">
        <f t="shared" si="27"/>
        <v>Sin Mov.</v>
      </c>
      <c r="G630" t="str">
        <f>IF(+'Libro Diario'!H844=0,"",+'Libro Diario'!H844)</f>
        <v/>
      </c>
      <c r="H630" t="str">
        <f>IF(+'Libro Diario'!I844=0,"",+'Libro Diario'!I844)</f>
        <v/>
      </c>
      <c r="I630" t="str">
        <f>+IF(Table3[[#This Row],[Tipo Movimiento]]="Estructura Balance y PyG","Excluir","Incluir")</f>
        <v>Incluir</v>
      </c>
      <c r="J630" s="153">
        <f>+IF(Table3[[#This Row],[Sin cuenta]]="Con Mov.",(IF(Table3[[#This Row],[Movimiento]]="Debe",Table3[[#This Row],[Importe]],IF(Table3[[#This Row],[Movimiento]]="Haber",Table3[[#This Row],[Importe]]*-1,0))),0)</f>
        <v>0</v>
      </c>
      <c r="K630" s="145">
        <f t="shared" si="28"/>
        <v>0</v>
      </c>
      <c r="L630" s="145" t="str">
        <f t="shared" si="29"/>
        <v/>
      </c>
      <c r="M630" t="str">
        <f>_xlfn.XLOOKUP(Table3[[#This Row],[Cuenta]],Estructura_Balance[Nombre Cuenta ()],Estructura_Balance[Grupo],"",0)</f>
        <v/>
      </c>
      <c r="N630" t="str">
        <f>_xlfn.XLOOKUP(Table3[[#This Row],[Cuenta]],Estructura_Balance[Nombre Cuenta ()],Estructura_Balance[Nivel 1],"",0)</f>
        <v/>
      </c>
      <c r="O630" t="str">
        <f>_xlfn.XLOOKUP(Table3[[#This Row],[Cuenta]],Estructura_Balance[Nombre Cuenta ()],Estructura_Balance[Nivel 2],"",0)</f>
        <v/>
      </c>
      <c r="P630" t="str">
        <f>_xlfn.XLOOKUP(Table3[[#This Row],[Cuenta]],Estructura_Balance[Nombre Cuenta ()],Estructura_Balance[Nivel 3],"",0)</f>
        <v/>
      </c>
      <c r="Q630" t="str">
        <f>_xlfn.XLOOKUP(Table3[[#This Row],[Cuenta]],Estructura_Balance[Nombre Cuenta ()],Estructura_Balance[Nivel 4],"",0)</f>
        <v/>
      </c>
      <c r="R630" t="str">
        <f>_xlfn.XLOOKUP(Table3[[#This Row],[Cuenta]],Table8[Nombre Cuenta ()],Table8[Nivel 1],"",0)</f>
        <v/>
      </c>
      <c r="S630" t="str">
        <f>_xlfn.XLOOKUP(Table3[[#This Row],[Cuenta]],Table8[Nombre Cuenta ()],Table8[Nivel 2],"",0)</f>
        <v/>
      </c>
      <c r="T630" t="str">
        <f>_xlfn.XLOOKUP(Table3[[#This Row],[Cuenta]],Table8[Nombre Cuenta ()],Table8[Nivel 3],"",0)</f>
        <v/>
      </c>
      <c r="U630">
        <v>1036</v>
      </c>
      <c r="V630" t="str">
        <f>_xlfn.XLOOKUP(Table3[[#This Row],[Cuenta]],Estructura_Balance[Nombre Cuenta ()],Estructura_Balance[Niveles:2],"",0)</f>
        <v/>
      </c>
      <c r="W630" t="str">
        <f>_xlfn.XLOOKUP(Table3[[#This Row],[Cuenta]],Estructura_Balance[Nombre Cuenta ()],Estructura_Balance[Niveles:3],"",0)</f>
        <v/>
      </c>
      <c r="X630" t="str">
        <f>_xlfn.XLOOKUP(Table3[[#This Row],[Cuenta]],Estructura_Balance[Nombre Cuenta ()],Estructura_Balance[Grupos],"Grupo 1",0)</f>
        <v>Grupo 1</v>
      </c>
      <c r="Y630" t="str">
        <f>+Table3[[#This Row],[BS_Nivel_1]]</f>
        <v/>
      </c>
    </row>
    <row r="631" spans="1:25">
      <c r="A631">
        <f>+'Libro Diario'!F845</f>
        <v>0</v>
      </c>
      <c r="B631" s="144">
        <f>VALUE(IF(+'Libro Diario'!G845="","01/01/2025",+'Libro Diario'!G845))</f>
        <v>45658</v>
      </c>
      <c r="C631">
        <f>IF(ISNUMBER(+IF(IFERROR(VALUE(MID('Libro Diario'!C845,1,4)),0)&lt;&gt;0,'Libro Diario'!C845,0))=FALSE,'Libro Diario'!C845,0)</f>
        <v>0</v>
      </c>
      <c r="D631" s="145">
        <f>+'Libro Diario'!B845</f>
        <v>0</v>
      </c>
      <c r="E631" s="139" t="s">
        <v>445</v>
      </c>
      <c r="F631" t="str">
        <f t="shared" si="27"/>
        <v>Sin Mov.</v>
      </c>
      <c r="G631" t="str">
        <f>IF(+'Libro Diario'!H845=0,"",+'Libro Diario'!H845)</f>
        <v/>
      </c>
      <c r="H631" t="str">
        <f>IF(+'Libro Diario'!I845=0,"",+'Libro Diario'!I845)</f>
        <v/>
      </c>
      <c r="I631" t="str">
        <f>+IF(Table3[[#This Row],[Tipo Movimiento]]="Estructura Balance y PyG","Excluir","Incluir")</f>
        <v>Incluir</v>
      </c>
      <c r="J631" s="153">
        <f>+IF(Table3[[#This Row],[Sin cuenta]]="Con Mov.",(IF(Table3[[#This Row],[Movimiento]]="Debe",Table3[[#This Row],[Importe]],IF(Table3[[#This Row],[Movimiento]]="Haber",Table3[[#This Row],[Importe]]*-1,0))),0)</f>
        <v>0</v>
      </c>
      <c r="K631" s="145">
        <f t="shared" si="28"/>
        <v>0</v>
      </c>
      <c r="L631" s="145" t="str">
        <f t="shared" si="29"/>
        <v/>
      </c>
      <c r="M631" t="str">
        <f>_xlfn.XLOOKUP(Table3[[#This Row],[Cuenta]],Estructura_Balance[Nombre Cuenta ()],Estructura_Balance[Grupo],"",0)</f>
        <v/>
      </c>
      <c r="N631" t="str">
        <f>_xlfn.XLOOKUP(Table3[[#This Row],[Cuenta]],Estructura_Balance[Nombre Cuenta ()],Estructura_Balance[Nivel 1],"",0)</f>
        <v/>
      </c>
      <c r="O631" t="str">
        <f>_xlfn.XLOOKUP(Table3[[#This Row],[Cuenta]],Estructura_Balance[Nombre Cuenta ()],Estructura_Balance[Nivel 2],"",0)</f>
        <v/>
      </c>
      <c r="P631" t="str">
        <f>_xlfn.XLOOKUP(Table3[[#This Row],[Cuenta]],Estructura_Balance[Nombre Cuenta ()],Estructura_Balance[Nivel 3],"",0)</f>
        <v/>
      </c>
      <c r="Q631" t="str">
        <f>_xlfn.XLOOKUP(Table3[[#This Row],[Cuenta]],Estructura_Balance[Nombre Cuenta ()],Estructura_Balance[Nivel 4],"",0)</f>
        <v/>
      </c>
      <c r="R631" t="str">
        <f>_xlfn.XLOOKUP(Table3[[#This Row],[Cuenta]],Table8[Nombre Cuenta ()],Table8[Nivel 1],"",0)</f>
        <v/>
      </c>
      <c r="S631" t="str">
        <f>_xlfn.XLOOKUP(Table3[[#This Row],[Cuenta]],Table8[Nombre Cuenta ()],Table8[Nivel 2],"",0)</f>
        <v/>
      </c>
      <c r="T631" t="str">
        <f>_xlfn.XLOOKUP(Table3[[#This Row],[Cuenta]],Table8[Nombre Cuenta ()],Table8[Nivel 3],"",0)</f>
        <v/>
      </c>
      <c r="U631">
        <v>1037</v>
      </c>
      <c r="V631" t="str">
        <f>_xlfn.XLOOKUP(Table3[[#This Row],[Cuenta]],Estructura_Balance[Nombre Cuenta ()],Estructura_Balance[Niveles:2],"",0)</f>
        <v/>
      </c>
      <c r="W631" t="str">
        <f>_xlfn.XLOOKUP(Table3[[#This Row],[Cuenta]],Estructura_Balance[Nombre Cuenta ()],Estructura_Balance[Niveles:3],"",0)</f>
        <v/>
      </c>
      <c r="X631" t="str">
        <f>_xlfn.XLOOKUP(Table3[[#This Row],[Cuenta]],Estructura_Balance[Nombre Cuenta ()],Estructura_Balance[Grupos],"Grupo 1",0)</f>
        <v>Grupo 1</v>
      </c>
      <c r="Y631" t="str">
        <f>+Table3[[#This Row],[BS_Nivel_1]]</f>
        <v/>
      </c>
    </row>
    <row r="632" spans="1:25">
      <c r="A632">
        <f>+'Libro Diario'!F846</f>
        <v>0</v>
      </c>
      <c r="B632" s="144">
        <f>VALUE(IF(+'Libro Diario'!G846="","01/01/2025",+'Libro Diario'!G846))</f>
        <v>45658</v>
      </c>
      <c r="C632">
        <f>IF(ISNUMBER(+IF(IFERROR(VALUE(MID('Libro Diario'!C846,1,4)),0)&lt;&gt;0,'Libro Diario'!C846,0))=FALSE,'Libro Diario'!C846,0)</f>
        <v>0</v>
      </c>
      <c r="D632" s="145">
        <f>+'Libro Diario'!B846</f>
        <v>0</v>
      </c>
      <c r="E632" s="139" t="s">
        <v>445</v>
      </c>
      <c r="F632" t="str">
        <f t="shared" si="27"/>
        <v>Sin Mov.</v>
      </c>
      <c r="G632" t="str">
        <f>IF(+'Libro Diario'!H846=0,"",+'Libro Diario'!H846)</f>
        <v/>
      </c>
      <c r="H632" t="str">
        <f>IF(+'Libro Diario'!I846=0,"",+'Libro Diario'!I846)</f>
        <v/>
      </c>
      <c r="I632" t="str">
        <f>+IF(Table3[[#This Row],[Tipo Movimiento]]="Estructura Balance y PyG","Excluir","Incluir")</f>
        <v>Incluir</v>
      </c>
      <c r="J632" s="153">
        <f>+IF(Table3[[#This Row],[Sin cuenta]]="Con Mov.",(IF(Table3[[#This Row],[Movimiento]]="Debe",Table3[[#This Row],[Importe]],IF(Table3[[#This Row],[Movimiento]]="Haber",Table3[[#This Row],[Importe]]*-1,0))),0)</f>
        <v>0</v>
      </c>
      <c r="K632" s="145">
        <f t="shared" si="28"/>
        <v>0</v>
      </c>
      <c r="L632" s="145" t="str">
        <f t="shared" si="29"/>
        <v/>
      </c>
      <c r="M632" t="str">
        <f>_xlfn.XLOOKUP(Table3[[#This Row],[Cuenta]],Estructura_Balance[Nombre Cuenta ()],Estructura_Balance[Grupo],"",0)</f>
        <v/>
      </c>
      <c r="N632" t="str">
        <f>_xlfn.XLOOKUP(Table3[[#This Row],[Cuenta]],Estructura_Balance[Nombre Cuenta ()],Estructura_Balance[Nivel 1],"",0)</f>
        <v/>
      </c>
      <c r="O632" t="str">
        <f>_xlfn.XLOOKUP(Table3[[#This Row],[Cuenta]],Estructura_Balance[Nombre Cuenta ()],Estructura_Balance[Nivel 2],"",0)</f>
        <v/>
      </c>
      <c r="P632" t="str">
        <f>_xlfn.XLOOKUP(Table3[[#This Row],[Cuenta]],Estructura_Balance[Nombre Cuenta ()],Estructura_Balance[Nivel 3],"",0)</f>
        <v/>
      </c>
      <c r="Q632" t="str">
        <f>_xlfn.XLOOKUP(Table3[[#This Row],[Cuenta]],Estructura_Balance[Nombre Cuenta ()],Estructura_Balance[Nivel 4],"",0)</f>
        <v/>
      </c>
      <c r="R632" t="str">
        <f>_xlfn.XLOOKUP(Table3[[#This Row],[Cuenta]],Table8[Nombre Cuenta ()],Table8[Nivel 1],"",0)</f>
        <v/>
      </c>
      <c r="S632" t="str">
        <f>_xlfn.XLOOKUP(Table3[[#This Row],[Cuenta]],Table8[Nombre Cuenta ()],Table8[Nivel 2],"",0)</f>
        <v/>
      </c>
      <c r="T632" t="str">
        <f>_xlfn.XLOOKUP(Table3[[#This Row],[Cuenta]],Table8[Nombre Cuenta ()],Table8[Nivel 3],"",0)</f>
        <v/>
      </c>
      <c r="U632">
        <v>1038</v>
      </c>
      <c r="V632" t="str">
        <f>_xlfn.XLOOKUP(Table3[[#This Row],[Cuenta]],Estructura_Balance[Nombre Cuenta ()],Estructura_Balance[Niveles:2],"",0)</f>
        <v/>
      </c>
      <c r="W632" t="str">
        <f>_xlfn.XLOOKUP(Table3[[#This Row],[Cuenta]],Estructura_Balance[Nombre Cuenta ()],Estructura_Balance[Niveles:3],"",0)</f>
        <v/>
      </c>
      <c r="X632" t="str">
        <f>_xlfn.XLOOKUP(Table3[[#This Row],[Cuenta]],Estructura_Balance[Nombre Cuenta ()],Estructura_Balance[Grupos],"Grupo 1",0)</f>
        <v>Grupo 1</v>
      </c>
      <c r="Y632" t="str">
        <f>+Table3[[#This Row],[BS_Nivel_1]]</f>
        <v/>
      </c>
    </row>
    <row r="633" spans="1:25">
      <c r="A633">
        <f>+'Libro Diario'!F847</f>
        <v>0</v>
      </c>
      <c r="B633" s="144">
        <f>VALUE(IF(+'Libro Diario'!G847="","01/01/2025",+'Libro Diario'!G847))</f>
        <v>45658</v>
      </c>
      <c r="C633">
        <f>IF(ISNUMBER(+IF(IFERROR(VALUE(MID('Libro Diario'!C847,1,4)),0)&lt;&gt;0,'Libro Diario'!C847,0))=FALSE,'Libro Diario'!C847,0)</f>
        <v>0</v>
      </c>
      <c r="D633" s="145">
        <f>+'Libro Diario'!B847</f>
        <v>0</v>
      </c>
      <c r="E633" s="139" t="s">
        <v>445</v>
      </c>
      <c r="F633" t="str">
        <f t="shared" si="27"/>
        <v>Sin Mov.</v>
      </c>
      <c r="G633" t="str">
        <f>IF(+'Libro Diario'!H847=0,"",+'Libro Diario'!H847)</f>
        <v/>
      </c>
      <c r="H633" t="str">
        <f>IF(+'Libro Diario'!I847=0,"",+'Libro Diario'!I847)</f>
        <v/>
      </c>
      <c r="I633" t="str">
        <f>+IF(Table3[[#This Row],[Tipo Movimiento]]="Estructura Balance y PyG","Excluir","Incluir")</f>
        <v>Incluir</v>
      </c>
      <c r="J633" s="153">
        <f>+IF(Table3[[#This Row],[Sin cuenta]]="Con Mov.",(IF(Table3[[#This Row],[Movimiento]]="Debe",Table3[[#This Row],[Importe]],IF(Table3[[#This Row],[Movimiento]]="Haber",Table3[[#This Row],[Importe]]*-1,0))),0)</f>
        <v>0</v>
      </c>
      <c r="K633" s="145">
        <f t="shared" si="28"/>
        <v>0</v>
      </c>
      <c r="L633" s="145" t="str">
        <f t="shared" si="29"/>
        <v/>
      </c>
      <c r="M633" t="str">
        <f>_xlfn.XLOOKUP(Table3[[#This Row],[Cuenta]],Estructura_Balance[Nombre Cuenta ()],Estructura_Balance[Grupo],"",0)</f>
        <v/>
      </c>
      <c r="N633" t="str">
        <f>_xlfn.XLOOKUP(Table3[[#This Row],[Cuenta]],Estructura_Balance[Nombre Cuenta ()],Estructura_Balance[Nivel 1],"",0)</f>
        <v/>
      </c>
      <c r="O633" t="str">
        <f>_xlfn.XLOOKUP(Table3[[#This Row],[Cuenta]],Estructura_Balance[Nombre Cuenta ()],Estructura_Balance[Nivel 2],"",0)</f>
        <v/>
      </c>
      <c r="P633" t="str">
        <f>_xlfn.XLOOKUP(Table3[[#This Row],[Cuenta]],Estructura_Balance[Nombre Cuenta ()],Estructura_Balance[Nivel 3],"",0)</f>
        <v/>
      </c>
      <c r="Q633" t="str">
        <f>_xlfn.XLOOKUP(Table3[[#This Row],[Cuenta]],Estructura_Balance[Nombre Cuenta ()],Estructura_Balance[Nivel 4],"",0)</f>
        <v/>
      </c>
      <c r="R633" t="str">
        <f>_xlfn.XLOOKUP(Table3[[#This Row],[Cuenta]],Table8[Nombre Cuenta ()],Table8[Nivel 1],"",0)</f>
        <v/>
      </c>
      <c r="S633" t="str">
        <f>_xlfn.XLOOKUP(Table3[[#This Row],[Cuenta]],Table8[Nombre Cuenta ()],Table8[Nivel 2],"",0)</f>
        <v/>
      </c>
      <c r="T633" t="str">
        <f>_xlfn.XLOOKUP(Table3[[#This Row],[Cuenta]],Table8[Nombre Cuenta ()],Table8[Nivel 3],"",0)</f>
        <v/>
      </c>
      <c r="U633">
        <v>1039</v>
      </c>
      <c r="V633" t="str">
        <f>_xlfn.XLOOKUP(Table3[[#This Row],[Cuenta]],Estructura_Balance[Nombre Cuenta ()],Estructura_Balance[Niveles:2],"",0)</f>
        <v/>
      </c>
      <c r="W633" t="str">
        <f>_xlfn.XLOOKUP(Table3[[#This Row],[Cuenta]],Estructura_Balance[Nombre Cuenta ()],Estructura_Balance[Niveles:3],"",0)</f>
        <v/>
      </c>
      <c r="X633" t="str">
        <f>_xlfn.XLOOKUP(Table3[[#This Row],[Cuenta]],Estructura_Balance[Nombre Cuenta ()],Estructura_Balance[Grupos],"Grupo 1",0)</f>
        <v>Grupo 1</v>
      </c>
      <c r="Y633" t="str">
        <f>+Table3[[#This Row],[BS_Nivel_1]]</f>
        <v/>
      </c>
    </row>
    <row r="634" spans="1:25">
      <c r="A634">
        <f>+'Libro Diario'!F848</f>
        <v>0</v>
      </c>
      <c r="B634" s="144">
        <f>VALUE(IF(+'Libro Diario'!G848="","01/01/2025",+'Libro Diario'!G848))</f>
        <v>45658</v>
      </c>
      <c r="C634">
        <f>IF(ISNUMBER(+IF(IFERROR(VALUE(MID('Libro Diario'!C848,1,4)),0)&lt;&gt;0,'Libro Diario'!C848,0))=FALSE,'Libro Diario'!C848,0)</f>
        <v>0</v>
      </c>
      <c r="D634" s="145">
        <f>+'Libro Diario'!B848</f>
        <v>0</v>
      </c>
      <c r="E634" s="139" t="s">
        <v>445</v>
      </c>
      <c r="F634" t="str">
        <f t="shared" si="27"/>
        <v>Sin Mov.</v>
      </c>
      <c r="G634" t="str">
        <f>IF(+'Libro Diario'!H848=0,"",+'Libro Diario'!H848)</f>
        <v/>
      </c>
      <c r="H634" t="str">
        <f>IF(+'Libro Diario'!I848=0,"",+'Libro Diario'!I848)</f>
        <v/>
      </c>
      <c r="I634" t="str">
        <f>+IF(Table3[[#This Row],[Tipo Movimiento]]="Estructura Balance y PyG","Excluir","Incluir")</f>
        <v>Incluir</v>
      </c>
      <c r="J634" s="153">
        <f>+IF(Table3[[#This Row],[Sin cuenta]]="Con Mov.",(IF(Table3[[#This Row],[Movimiento]]="Debe",Table3[[#This Row],[Importe]],IF(Table3[[#This Row],[Movimiento]]="Haber",Table3[[#This Row],[Importe]]*-1,0))),0)</f>
        <v>0</v>
      </c>
      <c r="K634" s="145">
        <f t="shared" si="28"/>
        <v>0</v>
      </c>
      <c r="L634" s="145" t="str">
        <f t="shared" si="29"/>
        <v/>
      </c>
      <c r="M634" t="str">
        <f>_xlfn.XLOOKUP(Table3[[#This Row],[Cuenta]],Estructura_Balance[Nombre Cuenta ()],Estructura_Balance[Grupo],"",0)</f>
        <v/>
      </c>
      <c r="N634" t="str">
        <f>_xlfn.XLOOKUP(Table3[[#This Row],[Cuenta]],Estructura_Balance[Nombre Cuenta ()],Estructura_Balance[Nivel 1],"",0)</f>
        <v/>
      </c>
      <c r="O634" t="str">
        <f>_xlfn.XLOOKUP(Table3[[#This Row],[Cuenta]],Estructura_Balance[Nombre Cuenta ()],Estructura_Balance[Nivel 2],"",0)</f>
        <v/>
      </c>
      <c r="P634" t="str">
        <f>_xlfn.XLOOKUP(Table3[[#This Row],[Cuenta]],Estructura_Balance[Nombre Cuenta ()],Estructura_Balance[Nivel 3],"",0)</f>
        <v/>
      </c>
      <c r="Q634" t="str">
        <f>_xlfn.XLOOKUP(Table3[[#This Row],[Cuenta]],Estructura_Balance[Nombre Cuenta ()],Estructura_Balance[Nivel 4],"",0)</f>
        <v/>
      </c>
      <c r="R634" t="str">
        <f>_xlfn.XLOOKUP(Table3[[#This Row],[Cuenta]],Table8[Nombre Cuenta ()],Table8[Nivel 1],"",0)</f>
        <v/>
      </c>
      <c r="S634" t="str">
        <f>_xlfn.XLOOKUP(Table3[[#This Row],[Cuenta]],Table8[Nombre Cuenta ()],Table8[Nivel 2],"",0)</f>
        <v/>
      </c>
      <c r="T634" t="str">
        <f>_xlfn.XLOOKUP(Table3[[#This Row],[Cuenta]],Table8[Nombre Cuenta ()],Table8[Nivel 3],"",0)</f>
        <v/>
      </c>
      <c r="U634">
        <v>1040</v>
      </c>
      <c r="V634" t="str">
        <f>_xlfn.XLOOKUP(Table3[[#This Row],[Cuenta]],Estructura_Balance[Nombre Cuenta ()],Estructura_Balance[Niveles:2],"",0)</f>
        <v/>
      </c>
      <c r="W634" t="str">
        <f>_xlfn.XLOOKUP(Table3[[#This Row],[Cuenta]],Estructura_Balance[Nombre Cuenta ()],Estructura_Balance[Niveles:3],"",0)</f>
        <v/>
      </c>
      <c r="X634" t="str">
        <f>_xlfn.XLOOKUP(Table3[[#This Row],[Cuenta]],Estructura_Balance[Nombre Cuenta ()],Estructura_Balance[Grupos],"Grupo 1",0)</f>
        <v>Grupo 1</v>
      </c>
      <c r="Y634" t="str">
        <f>+Table3[[#This Row],[BS_Nivel_1]]</f>
        <v/>
      </c>
    </row>
    <row r="635" spans="1:25">
      <c r="A635">
        <f>+'Libro Diario'!F849</f>
        <v>0</v>
      </c>
      <c r="B635" s="144">
        <f>VALUE(IF(+'Libro Diario'!G849="","01/01/2025",+'Libro Diario'!G849))</f>
        <v>45658</v>
      </c>
      <c r="C635">
        <f>IF(ISNUMBER(+IF(IFERROR(VALUE(MID('Libro Diario'!C849,1,4)),0)&lt;&gt;0,'Libro Diario'!C849,0))=FALSE,'Libro Diario'!C849,0)</f>
        <v>0</v>
      </c>
      <c r="D635" s="145">
        <f>+'Libro Diario'!B849</f>
        <v>0</v>
      </c>
      <c r="E635" s="139" t="s">
        <v>445</v>
      </c>
      <c r="F635" t="str">
        <f t="shared" si="27"/>
        <v>Sin Mov.</v>
      </c>
      <c r="G635" t="str">
        <f>IF(+'Libro Diario'!H849=0,"",+'Libro Diario'!H849)</f>
        <v/>
      </c>
      <c r="H635" t="str">
        <f>IF(+'Libro Diario'!I849=0,"",+'Libro Diario'!I849)</f>
        <v/>
      </c>
      <c r="I635" t="str">
        <f>+IF(Table3[[#This Row],[Tipo Movimiento]]="Estructura Balance y PyG","Excluir","Incluir")</f>
        <v>Incluir</v>
      </c>
      <c r="J635" s="153">
        <f>+IF(Table3[[#This Row],[Sin cuenta]]="Con Mov.",(IF(Table3[[#This Row],[Movimiento]]="Debe",Table3[[#This Row],[Importe]],IF(Table3[[#This Row],[Movimiento]]="Haber",Table3[[#This Row],[Importe]]*-1,0))),0)</f>
        <v>0</v>
      </c>
      <c r="K635" s="145">
        <f t="shared" si="28"/>
        <v>0</v>
      </c>
      <c r="L635" s="145" t="str">
        <f t="shared" si="29"/>
        <v/>
      </c>
      <c r="M635" t="str">
        <f>_xlfn.XLOOKUP(Table3[[#This Row],[Cuenta]],Estructura_Balance[Nombre Cuenta ()],Estructura_Balance[Grupo],"",0)</f>
        <v/>
      </c>
      <c r="N635" t="str">
        <f>_xlfn.XLOOKUP(Table3[[#This Row],[Cuenta]],Estructura_Balance[Nombre Cuenta ()],Estructura_Balance[Nivel 1],"",0)</f>
        <v/>
      </c>
      <c r="O635" t="str">
        <f>_xlfn.XLOOKUP(Table3[[#This Row],[Cuenta]],Estructura_Balance[Nombre Cuenta ()],Estructura_Balance[Nivel 2],"",0)</f>
        <v/>
      </c>
      <c r="P635" t="str">
        <f>_xlfn.XLOOKUP(Table3[[#This Row],[Cuenta]],Estructura_Balance[Nombre Cuenta ()],Estructura_Balance[Nivel 3],"",0)</f>
        <v/>
      </c>
      <c r="Q635" t="str">
        <f>_xlfn.XLOOKUP(Table3[[#This Row],[Cuenta]],Estructura_Balance[Nombre Cuenta ()],Estructura_Balance[Nivel 4],"",0)</f>
        <v/>
      </c>
      <c r="R635" t="str">
        <f>_xlfn.XLOOKUP(Table3[[#This Row],[Cuenta]],Table8[Nombre Cuenta ()],Table8[Nivel 1],"",0)</f>
        <v/>
      </c>
      <c r="S635" t="str">
        <f>_xlfn.XLOOKUP(Table3[[#This Row],[Cuenta]],Table8[Nombre Cuenta ()],Table8[Nivel 2],"",0)</f>
        <v/>
      </c>
      <c r="T635" t="str">
        <f>_xlfn.XLOOKUP(Table3[[#This Row],[Cuenta]],Table8[Nombre Cuenta ()],Table8[Nivel 3],"",0)</f>
        <v/>
      </c>
      <c r="U635">
        <v>1041</v>
      </c>
      <c r="V635" t="str">
        <f>_xlfn.XLOOKUP(Table3[[#This Row],[Cuenta]],Estructura_Balance[Nombre Cuenta ()],Estructura_Balance[Niveles:2],"",0)</f>
        <v/>
      </c>
      <c r="W635" t="str">
        <f>_xlfn.XLOOKUP(Table3[[#This Row],[Cuenta]],Estructura_Balance[Nombre Cuenta ()],Estructura_Balance[Niveles:3],"",0)</f>
        <v/>
      </c>
      <c r="X635" t="str">
        <f>_xlfn.XLOOKUP(Table3[[#This Row],[Cuenta]],Estructura_Balance[Nombre Cuenta ()],Estructura_Balance[Grupos],"Grupo 1",0)</f>
        <v>Grupo 1</v>
      </c>
      <c r="Y635" t="str">
        <f>+Table3[[#This Row],[BS_Nivel_1]]</f>
        <v/>
      </c>
    </row>
    <row r="636" spans="1:25">
      <c r="A636">
        <f>+'Libro Diario'!F850</f>
        <v>0</v>
      </c>
      <c r="B636" s="144">
        <f>VALUE(IF(+'Libro Diario'!G850="","01/01/2025",+'Libro Diario'!G850))</f>
        <v>45658</v>
      </c>
      <c r="C636">
        <f>IF(ISNUMBER(+IF(IFERROR(VALUE(MID('Libro Diario'!C850,1,4)),0)&lt;&gt;0,'Libro Diario'!C850,0))=FALSE,'Libro Diario'!C850,0)</f>
        <v>0</v>
      </c>
      <c r="D636" s="145">
        <f>+'Libro Diario'!B850</f>
        <v>0</v>
      </c>
      <c r="E636" s="139" t="s">
        <v>445</v>
      </c>
      <c r="F636" t="str">
        <f t="shared" si="27"/>
        <v>Sin Mov.</v>
      </c>
      <c r="G636" t="str">
        <f>IF(+'Libro Diario'!H850=0,"",+'Libro Diario'!H850)</f>
        <v/>
      </c>
      <c r="H636" t="str">
        <f>IF(+'Libro Diario'!I850=0,"",+'Libro Diario'!I850)</f>
        <v/>
      </c>
      <c r="I636" t="str">
        <f>+IF(Table3[[#This Row],[Tipo Movimiento]]="Estructura Balance y PyG","Excluir","Incluir")</f>
        <v>Incluir</v>
      </c>
      <c r="J636" s="153">
        <f>+IF(Table3[[#This Row],[Sin cuenta]]="Con Mov.",(IF(Table3[[#This Row],[Movimiento]]="Debe",Table3[[#This Row],[Importe]],IF(Table3[[#This Row],[Movimiento]]="Haber",Table3[[#This Row],[Importe]]*-1,0))),0)</f>
        <v>0</v>
      </c>
      <c r="K636" s="145">
        <f t="shared" si="28"/>
        <v>0</v>
      </c>
      <c r="L636" s="145" t="str">
        <f t="shared" si="29"/>
        <v/>
      </c>
      <c r="M636" t="str">
        <f>_xlfn.XLOOKUP(Table3[[#This Row],[Cuenta]],Estructura_Balance[Nombre Cuenta ()],Estructura_Balance[Grupo],"",0)</f>
        <v/>
      </c>
      <c r="N636" t="str">
        <f>_xlfn.XLOOKUP(Table3[[#This Row],[Cuenta]],Estructura_Balance[Nombre Cuenta ()],Estructura_Balance[Nivel 1],"",0)</f>
        <v/>
      </c>
      <c r="O636" t="str">
        <f>_xlfn.XLOOKUP(Table3[[#This Row],[Cuenta]],Estructura_Balance[Nombre Cuenta ()],Estructura_Balance[Nivel 2],"",0)</f>
        <v/>
      </c>
      <c r="P636" t="str">
        <f>_xlfn.XLOOKUP(Table3[[#This Row],[Cuenta]],Estructura_Balance[Nombre Cuenta ()],Estructura_Balance[Nivel 3],"",0)</f>
        <v/>
      </c>
      <c r="Q636" t="str">
        <f>_xlfn.XLOOKUP(Table3[[#This Row],[Cuenta]],Estructura_Balance[Nombre Cuenta ()],Estructura_Balance[Nivel 4],"",0)</f>
        <v/>
      </c>
      <c r="R636" t="str">
        <f>_xlfn.XLOOKUP(Table3[[#This Row],[Cuenta]],Table8[Nombre Cuenta ()],Table8[Nivel 1],"",0)</f>
        <v/>
      </c>
      <c r="S636" t="str">
        <f>_xlfn.XLOOKUP(Table3[[#This Row],[Cuenta]],Table8[Nombre Cuenta ()],Table8[Nivel 2],"",0)</f>
        <v/>
      </c>
      <c r="T636" t="str">
        <f>_xlfn.XLOOKUP(Table3[[#This Row],[Cuenta]],Table8[Nombre Cuenta ()],Table8[Nivel 3],"",0)</f>
        <v/>
      </c>
      <c r="U636">
        <v>1042</v>
      </c>
      <c r="V636" t="str">
        <f>_xlfn.XLOOKUP(Table3[[#This Row],[Cuenta]],Estructura_Balance[Nombre Cuenta ()],Estructura_Balance[Niveles:2],"",0)</f>
        <v/>
      </c>
      <c r="W636" t="str">
        <f>_xlfn.XLOOKUP(Table3[[#This Row],[Cuenta]],Estructura_Balance[Nombre Cuenta ()],Estructura_Balance[Niveles:3],"",0)</f>
        <v/>
      </c>
      <c r="X636" t="str">
        <f>_xlfn.XLOOKUP(Table3[[#This Row],[Cuenta]],Estructura_Balance[Nombre Cuenta ()],Estructura_Balance[Grupos],"Grupo 1",0)</f>
        <v>Grupo 1</v>
      </c>
      <c r="Y636" t="str">
        <f>+Table3[[#This Row],[BS_Nivel_1]]</f>
        <v/>
      </c>
    </row>
    <row r="637" spans="1:25">
      <c r="A637">
        <f>+'Libro Diario'!F851</f>
        <v>0</v>
      </c>
      <c r="B637" s="144">
        <f>VALUE(IF(+'Libro Diario'!G851="","01/01/2025",+'Libro Diario'!G851))</f>
        <v>45658</v>
      </c>
      <c r="C637">
        <f>IF(ISNUMBER(+IF(IFERROR(VALUE(MID('Libro Diario'!C851,1,4)),0)&lt;&gt;0,'Libro Diario'!C851,0))=FALSE,'Libro Diario'!C851,0)</f>
        <v>0</v>
      </c>
      <c r="D637" s="145">
        <f>+'Libro Diario'!B851</f>
        <v>0</v>
      </c>
      <c r="E637" s="139" t="s">
        <v>445</v>
      </c>
      <c r="F637" t="str">
        <f t="shared" si="27"/>
        <v>Sin Mov.</v>
      </c>
      <c r="G637" t="str">
        <f>IF(+'Libro Diario'!H851=0,"",+'Libro Diario'!H851)</f>
        <v/>
      </c>
      <c r="H637" t="str">
        <f>IF(+'Libro Diario'!I851=0,"",+'Libro Diario'!I851)</f>
        <v/>
      </c>
      <c r="I637" t="str">
        <f>+IF(Table3[[#This Row],[Tipo Movimiento]]="Estructura Balance y PyG","Excluir","Incluir")</f>
        <v>Incluir</v>
      </c>
      <c r="J637" s="153">
        <f>+IF(Table3[[#This Row],[Sin cuenta]]="Con Mov.",(IF(Table3[[#This Row],[Movimiento]]="Debe",Table3[[#This Row],[Importe]],IF(Table3[[#This Row],[Movimiento]]="Haber",Table3[[#This Row],[Importe]]*-1,0))),0)</f>
        <v>0</v>
      </c>
      <c r="K637" s="145">
        <f t="shared" si="28"/>
        <v>0</v>
      </c>
      <c r="L637" s="145" t="str">
        <f t="shared" si="29"/>
        <v/>
      </c>
      <c r="M637" t="str">
        <f>_xlfn.XLOOKUP(Table3[[#This Row],[Cuenta]],Estructura_Balance[Nombre Cuenta ()],Estructura_Balance[Grupo],"",0)</f>
        <v/>
      </c>
      <c r="N637" t="str">
        <f>_xlfn.XLOOKUP(Table3[[#This Row],[Cuenta]],Estructura_Balance[Nombre Cuenta ()],Estructura_Balance[Nivel 1],"",0)</f>
        <v/>
      </c>
      <c r="O637" t="str">
        <f>_xlfn.XLOOKUP(Table3[[#This Row],[Cuenta]],Estructura_Balance[Nombre Cuenta ()],Estructura_Balance[Nivel 2],"",0)</f>
        <v/>
      </c>
      <c r="P637" t="str">
        <f>_xlfn.XLOOKUP(Table3[[#This Row],[Cuenta]],Estructura_Balance[Nombre Cuenta ()],Estructura_Balance[Nivel 3],"",0)</f>
        <v/>
      </c>
      <c r="Q637" t="str">
        <f>_xlfn.XLOOKUP(Table3[[#This Row],[Cuenta]],Estructura_Balance[Nombre Cuenta ()],Estructura_Balance[Nivel 4],"",0)</f>
        <v/>
      </c>
      <c r="R637" t="str">
        <f>_xlfn.XLOOKUP(Table3[[#This Row],[Cuenta]],Table8[Nombre Cuenta ()],Table8[Nivel 1],"",0)</f>
        <v/>
      </c>
      <c r="S637" t="str">
        <f>_xlfn.XLOOKUP(Table3[[#This Row],[Cuenta]],Table8[Nombre Cuenta ()],Table8[Nivel 2],"",0)</f>
        <v/>
      </c>
      <c r="T637" t="str">
        <f>_xlfn.XLOOKUP(Table3[[#This Row],[Cuenta]],Table8[Nombre Cuenta ()],Table8[Nivel 3],"",0)</f>
        <v/>
      </c>
      <c r="U637">
        <v>1043</v>
      </c>
      <c r="V637" t="str">
        <f>_xlfn.XLOOKUP(Table3[[#This Row],[Cuenta]],Estructura_Balance[Nombre Cuenta ()],Estructura_Balance[Niveles:2],"",0)</f>
        <v/>
      </c>
      <c r="W637" t="str">
        <f>_xlfn.XLOOKUP(Table3[[#This Row],[Cuenta]],Estructura_Balance[Nombre Cuenta ()],Estructura_Balance[Niveles:3],"",0)</f>
        <v/>
      </c>
      <c r="X637" t="str">
        <f>_xlfn.XLOOKUP(Table3[[#This Row],[Cuenta]],Estructura_Balance[Nombre Cuenta ()],Estructura_Balance[Grupos],"Grupo 1",0)</f>
        <v>Grupo 1</v>
      </c>
      <c r="Y637" t="str">
        <f>+Table3[[#This Row],[BS_Nivel_1]]</f>
        <v/>
      </c>
    </row>
    <row r="638" spans="1:25">
      <c r="A638">
        <f>+'Libro Diario'!F852</f>
        <v>0</v>
      </c>
      <c r="B638" s="144">
        <f>VALUE(IF(+'Libro Diario'!G852="","01/01/2025",+'Libro Diario'!G852))</f>
        <v>45658</v>
      </c>
      <c r="C638">
        <f>IF(ISNUMBER(+IF(IFERROR(VALUE(MID('Libro Diario'!C852,1,4)),0)&lt;&gt;0,'Libro Diario'!C852,0))=FALSE,'Libro Diario'!C852,0)</f>
        <v>0</v>
      </c>
      <c r="D638" s="145">
        <f>+'Libro Diario'!B852</f>
        <v>0</v>
      </c>
      <c r="E638" s="139" t="s">
        <v>445</v>
      </c>
      <c r="F638" t="str">
        <f t="shared" si="27"/>
        <v>Sin Mov.</v>
      </c>
      <c r="G638" t="str">
        <f>IF(+'Libro Diario'!H852=0,"",+'Libro Diario'!H852)</f>
        <v/>
      </c>
      <c r="H638" t="str">
        <f>IF(+'Libro Diario'!I852=0,"",+'Libro Diario'!I852)</f>
        <v/>
      </c>
      <c r="I638" t="str">
        <f>+IF(Table3[[#This Row],[Tipo Movimiento]]="Estructura Balance y PyG","Excluir","Incluir")</f>
        <v>Incluir</v>
      </c>
      <c r="J638" s="153">
        <f>+IF(Table3[[#This Row],[Sin cuenta]]="Con Mov.",(IF(Table3[[#This Row],[Movimiento]]="Debe",Table3[[#This Row],[Importe]],IF(Table3[[#This Row],[Movimiento]]="Haber",Table3[[#This Row],[Importe]]*-1,0))),0)</f>
        <v>0</v>
      </c>
      <c r="K638" s="145">
        <f t="shared" si="28"/>
        <v>0</v>
      </c>
      <c r="L638" s="145" t="str">
        <f t="shared" si="29"/>
        <v/>
      </c>
      <c r="M638" t="str">
        <f>_xlfn.XLOOKUP(Table3[[#This Row],[Cuenta]],Estructura_Balance[Nombre Cuenta ()],Estructura_Balance[Grupo],"",0)</f>
        <v/>
      </c>
      <c r="N638" t="str">
        <f>_xlfn.XLOOKUP(Table3[[#This Row],[Cuenta]],Estructura_Balance[Nombre Cuenta ()],Estructura_Balance[Nivel 1],"",0)</f>
        <v/>
      </c>
      <c r="O638" t="str">
        <f>_xlfn.XLOOKUP(Table3[[#This Row],[Cuenta]],Estructura_Balance[Nombre Cuenta ()],Estructura_Balance[Nivel 2],"",0)</f>
        <v/>
      </c>
      <c r="P638" t="str">
        <f>_xlfn.XLOOKUP(Table3[[#This Row],[Cuenta]],Estructura_Balance[Nombre Cuenta ()],Estructura_Balance[Nivel 3],"",0)</f>
        <v/>
      </c>
      <c r="Q638" t="str">
        <f>_xlfn.XLOOKUP(Table3[[#This Row],[Cuenta]],Estructura_Balance[Nombre Cuenta ()],Estructura_Balance[Nivel 4],"",0)</f>
        <v/>
      </c>
      <c r="R638" t="str">
        <f>_xlfn.XLOOKUP(Table3[[#This Row],[Cuenta]],Table8[Nombre Cuenta ()],Table8[Nivel 1],"",0)</f>
        <v/>
      </c>
      <c r="S638" t="str">
        <f>_xlfn.XLOOKUP(Table3[[#This Row],[Cuenta]],Table8[Nombre Cuenta ()],Table8[Nivel 2],"",0)</f>
        <v/>
      </c>
      <c r="T638" t="str">
        <f>_xlfn.XLOOKUP(Table3[[#This Row],[Cuenta]],Table8[Nombre Cuenta ()],Table8[Nivel 3],"",0)</f>
        <v/>
      </c>
      <c r="U638">
        <v>1063</v>
      </c>
      <c r="V638" t="str">
        <f>_xlfn.XLOOKUP(Table3[[#This Row],[Cuenta]],Estructura_Balance[Nombre Cuenta ()],Estructura_Balance[Niveles:2],"",0)</f>
        <v/>
      </c>
      <c r="W638" t="str">
        <f>_xlfn.XLOOKUP(Table3[[#This Row],[Cuenta]],Estructura_Balance[Nombre Cuenta ()],Estructura_Balance[Niveles:3],"",0)</f>
        <v/>
      </c>
      <c r="X638" t="str">
        <f>_xlfn.XLOOKUP(Table3[[#This Row],[Cuenta]],Estructura_Balance[Nombre Cuenta ()],Estructura_Balance[Grupos],"Grupo 1",0)</f>
        <v>Grupo 1</v>
      </c>
      <c r="Y638" t="str">
        <f>+Table3[[#This Row],[BS_Nivel_1]]</f>
        <v/>
      </c>
    </row>
    <row r="639" spans="1:25">
      <c r="A639">
        <f>+'Libro Diario'!F853</f>
        <v>0</v>
      </c>
      <c r="B639" s="144">
        <f>VALUE(IF(+'Libro Diario'!G853="","01/01/2025",+'Libro Diario'!G853))</f>
        <v>45658</v>
      </c>
      <c r="C639">
        <f>IF(ISNUMBER(+IF(IFERROR(VALUE(MID('Libro Diario'!C853,1,4)),0)&lt;&gt;0,'Libro Diario'!C853,0))=FALSE,'Libro Diario'!C853,0)</f>
        <v>0</v>
      </c>
      <c r="D639" s="145">
        <f>+'Libro Diario'!B853</f>
        <v>0</v>
      </c>
      <c r="E639" s="139" t="s">
        <v>445</v>
      </c>
      <c r="F639" t="str">
        <f t="shared" si="27"/>
        <v>Sin Mov.</v>
      </c>
      <c r="G639" t="str">
        <f>IF(+'Libro Diario'!H853=0,"",+'Libro Diario'!H853)</f>
        <v/>
      </c>
      <c r="H639" t="str">
        <f>IF(+'Libro Diario'!I853=0,"",+'Libro Diario'!I853)</f>
        <v/>
      </c>
      <c r="I639" t="str">
        <f>+IF(Table3[[#This Row],[Tipo Movimiento]]="Estructura Balance y PyG","Excluir","Incluir")</f>
        <v>Incluir</v>
      </c>
      <c r="J639" s="153">
        <f>+IF(Table3[[#This Row],[Sin cuenta]]="Con Mov.",(IF(Table3[[#This Row],[Movimiento]]="Debe",Table3[[#This Row],[Importe]],IF(Table3[[#This Row],[Movimiento]]="Haber",Table3[[#This Row],[Importe]]*-1,0))),0)</f>
        <v>0</v>
      </c>
      <c r="K639" s="145">
        <f t="shared" si="28"/>
        <v>0</v>
      </c>
      <c r="L639" s="145" t="str">
        <f t="shared" si="29"/>
        <v/>
      </c>
      <c r="M639" t="str">
        <f>_xlfn.XLOOKUP(Table3[[#This Row],[Cuenta]],Estructura_Balance[Nombre Cuenta ()],Estructura_Balance[Grupo],"",0)</f>
        <v/>
      </c>
      <c r="N639" t="str">
        <f>_xlfn.XLOOKUP(Table3[[#This Row],[Cuenta]],Estructura_Balance[Nombre Cuenta ()],Estructura_Balance[Nivel 1],"",0)</f>
        <v/>
      </c>
      <c r="O639" t="str">
        <f>_xlfn.XLOOKUP(Table3[[#This Row],[Cuenta]],Estructura_Balance[Nombre Cuenta ()],Estructura_Balance[Nivel 2],"",0)</f>
        <v/>
      </c>
      <c r="P639" t="str">
        <f>_xlfn.XLOOKUP(Table3[[#This Row],[Cuenta]],Estructura_Balance[Nombre Cuenta ()],Estructura_Balance[Nivel 3],"",0)</f>
        <v/>
      </c>
      <c r="Q639" t="str">
        <f>_xlfn.XLOOKUP(Table3[[#This Row],[Cuenta]],Estructura_Balance[Nombre Cuenta ()],Estructura_Balance[Nivel 4],"",0)</f>
        <v/>
      </c>
      <c r="R639" t="str">
        <f>_xlfn.XLOOKUP(Table3[[#This Row],[Cuenta]],Table8[Nombre Cuenta ()],Table8[Nivel 1],"",0)</f>
        <v/>
      </c>
      <c r="S639" t="str">
        <f>_xlfn.XLOOKUP(Table3[[#This Row],[Cuenta]],Table8[Nombre Cuenta ()],Table8[Nivel 2],"",0)</f>
        <v/>
      </c>
      <c r="T639" t="str">
        <f>_xlfn.XLOOKUP(Table3[[#This Row],[Cuenta]],Table8[Nombre Cuenta ()],Table8[Nivel 3],"",0)</f>
        <v/>
      </c>
      <c r="U639">
        <v>1064</v>
      </c>
      <c r="V639" t="str">
        <f>_xlfn.XLOOKUP(Table3[[#This Row],[Cuenta]],Estructura_Balance[Nombre Cuenta ()],Estructura_Balance[Niveles:2],"",0)</f>
        <v/>
      </c>
      <c r="W639" t="str">
        <f>_xlfn.XLOOKUP(Table3[[#This Row],[Cuenta]],Estructura_Balance[Nombre Cuenta ()],Estructura_Balance[Niveles:3],"",0)</f>
        <v/>
      </c>
      <c r="X639" t="str">
        <f>_xlfn.XLOOKUP(Table3[[#This Row],[Cuenta]],Estructura_Balance[Nombre Cuenta ()],Estructura_Balance[Grupos],"Grupo 1",0)</f>
        <v>Grupo 1</v>
      </c>
      <c r="Y639" t="str">
        <f>+Table3[[#This Row],[BS_Nivel_1]]</f>
        <v/>
      </c>
    </row>
    <row r="640" spans="1:25">
      <c r="A640">
        <f>+'Libro Diario'!F854</f>
        <v>0</v>
      </c>
      <c r="B640" s="144">
        <f>VALUE(IF(+'Libro Diario'!G854="","01/01/2025",+'Libro Diario'!G854))</f>
        <v>45658</v>
      </c>
      <c r="C640">
        <f>IF(ISNUMBER(+IF(IFERROR(VALUE(MID('Libro Diario'!C854,1,4)),0)&lt;&gt;0,'Libro Diario'!C854,0))=FALSE,'Libro Diario'!C854,0)</f>
        <v>0</v>
      </c>
      <c r="D640" s="145">
        <f>+'Libro Diario'!B854</f>
        <v>0</v>
      </c>
      <c r="E640" s="139" t="s">
        <v>445</v>
      </c>
      <c r="F640" t="str">
        <f t="shared" si="27"/>
        <v>Sin Mov.</v>
      </c>
      <c r="G640" t="str">
        <f>IF(+'Libro Diario'!H854=0,"",+'Libro Diario'!H854)</f>
        <v/>
      </c>
      <c r="H640" t="str">
        <f>IF(+'Libro Diario'!I854=0,"",+'Libro Diario'!I854)</f>
        <v/>
      </c>
      <c r="I640" t="str">
        <f>+IF(Table3[[#This Row],[Tipo Movimiento]]="Estructura Balance y PyG","Excluir","Incluir")</f>
        <v>Incluir</v>
      </c>
      <c r="J640" s="153">
        <f>+IF(Table3[[#This Row],[Sin cuenta]]="Con Mov.",(IF(Table3[[#This Row],[Movimiento]]="Debe",Table3[[#This Row],[Importe]],IF(Table3[[#This Row],[Movimiento]]="Haber",Table3[[#This Row],[Importe]]*-1,0))),0)</f>
        <v>0</v>
      </c>
      <c r="K640" s="145">
        <f t="shared" si="28"/>
        <v>0</v>
      </c>
      <c r="L640" s="145" t="str">
        <f t="shared" si="29"/>
        <v/>
      </c>
      <c r="M640" t="str">
        <f>_xlfn.XLOOKUP(Table3[[#This Row],[Cuenta]],Estructura_Balance[Nombre Cuenta ()],Estructura_Balance[Grupo],"",0)</f>
        <v/>
      </c>
      <c r="N640" t="str">
        <f>_xlfn.XLOOKUP(Table3[[#This Row],[Cuenta]],Estructura_Balance[Nombre Cuenta ()],Estructura_Balance[Nivel 1],"",0)</f>
        <v/>
      </c>
      <c r="O640" t="str">
        <f>_xlfn.XLOOKUP(Table3[[#This Row],[Cuenta]],Estructura_Balance[Nombre Cuenta ()],Estructura_Balance[Nivel 2],"",0)</f>
        <v/>
      </c>
      <c r="P640" t="str">
        <f>_xlfn.XLOOKUP(Table3[[#This Row],[Cuenta]],Estructura_Balance[Nombre Cuenta ()],Estructura_Balance[Nivel 3],"",0)</f>
        <v/>
      </c>
      <c r="Q640" t="str">
        <f>_xlfn.XLOOKUP(Table3[[#This Row],[Cuenta]],Estructura_Balance[Nombre Cuenta ()],Estructura_Balance[Nivel 4],"",0)</f>
        <v/>
      </c>
      <c r="R640" t="str">
        <f>_xlfn.XLOOKUP(Table3[[#This Row],[Cuenta]],Table8[Nombre Cuenta ()],Table8[Nivel 1],"",0)</f>
        <v/>
      </c>
      <c r="S640" t="str">
        <f>_xlfn.XLOOKUP(Table3[[#This Row],[Cuenta]],Table8[Nombre Cuenta ()],Table8[Nivel 2],"",0)</f>
        <v/>
      </c>
      <c r="T640" t="str">
        <f>_xlfn.XLOOKUP(Table3[[#This Row],[Cuenta]],Table8[Nombre Cuenta ()],Table8[Nivel 3],"",0)</f>
        <v/>
      </c>
      <c r="U640">
        <v>1065</v>
      </c>
      <c r="V640" t="str">
        <f>_xlfn.XLOOKUP(Table3[[#This Row],[Cuenta]],Estructura_Balance[Nombre Cuenta ()],Estructura_Balance[Niveles:2],"",0)</f>
        <v/>
      </c>
      <c r="W640" t="str">
        <f>_xlfn.XLOOKUP(Table3[[#This Row],[Cuenta]],Estructura_Balance[Nombre Cuenta ()],Estructura_Balance[Niveles:3],"",0)</f>
        <v/>
      </c>
      <c r="X640" t="str">
        <f>_xlfn.XLOOKUP(Table3[[#This Row],[Cuenta]],Estructura_Balance[Nombre Cuenta ()],Estructura_Balance[Grupos],"Grupo 1",0)</f>
        <v>Grupo 1</v>
      </c>
      <c r="Y640" t="str">
        <f>+Table3[[#This Row],[BS_Nivel_1]]</f>
        <v/>
      </c>
    </row>
    <row r="641" spans="1:25">
      <c r="A641">
        <f>+'Libro Diario'!F855</f>
        <v>0</v>
      </c>
      <c r="B641" s="144">
        <f>VALUE(IF(+'Libro Diario'!G855="","01/01/2025",+'Libro Diario'!G855))</f>
        <v>45658</v>
      </c>
      <c r="C641">
        <f>IF(ISNUMBER(+IF(IFERROR(VALUE(MID('Libro Diario'!C855,1,4)),0)&lt;&gt;0,'Libro Diario'!C855,0))=FALSE,'Libro Diario'!C855,0)</f>
        <v>0</v>
      </c>
      <c r="D641" s="145">
        <f>+'Libro Diario'!B855</f>
        <v>0</v>
      </c>
      <c r="E641" s="139" t="s">
        <v>445</v>
      </c>
      <c r="F641" t="str">
        <f t="shared" si="27"/>
        <v>Sin Mov.</v>
      </c>
      <c r="G641" t="str">
        <f>IF(+'Libro Diario'!H855=0,"",+'Libro Diario'!H855)</f>
        <v/>
      </c>
      <c r="H641" t="str">
        <f>IF(+'Libro Diario'!I855=0,"",+'Libro Diario'!I855)</f>
        <v/>
      </c>
      <c r="I641" t="str">
        <f>+IF(Table3[[#This Row],[Tipo Movimiento]]="Estructura Balance y PyG","Excluir","Incluir")</f>
        <v>Incluir</v>
      </c>
      <c r="J641" s="153">
        <f>+IF(Table3[[#This Row],[Sin cuenta]]="Con Mov.",(IF(Table3[[#This Row],[Movimiento]]="Debe",Table3[[#This Row],[Importe]],IF(Table3[[#This Row],[Movimiento]]="Haber",Table3[[#This Row],[Importe]]*-1,0))),0)</f>
        <v>0</v>
      </c>
      <c r="K641" s="145">
        <f t="shared" si="28"/>
        <v>0</v>
      </c>
      <c r="L641" s="145" t="str">
        <f t="shared" si="29"/>
        <v/>
      </c>
      <c r="M641" t="str">
        <f>_xlfn.XLOOKUP(Table3[[#This Row],[Cuenta]],Estructura_Balance[Nombre Cuenta ()],Estructura_Balance[Grupo],"",0)</f>
        <v/>
      </c>
      <c r="N641" t="str">
        <f>_xlfn.XLOOKUP(Table3[[#This Row],[Cuenta]],Estructura_Balance[Nombre Cuenta ()],Estructura_Balance[Nivel 1],"",0)</f>
        <v/>
      </c>
      <c r="O641" t="str">
        <f>_xlfn.XLOOKUP(Table3[[#This Row],[Cuenta]],Estructura_Balance[Nombre Cuenta ()],Estructura_Balance[Nivel 2],"",0)</f>
        <v/>
      </c>
      <c r="P641" t="str">
        <f>_xlfn.XLOOKUP(Table3[[#This Row],[Cuenta]],Estructura_Balance[Nombre Cuenta ()],Estructura_Balance[Nivel 3],"",0)</f>
        <v/>
      </c>
      <c r="Q641" t="str">
        <f>_xlfn.XLOOKUP(Table3[[#This Row],[Cuenta]],Estructura_Balance[Nombre Cuenta ()],Estructura_Balance[Nivel 4],"",0)</f>
        <v/>
      </c>
      <c r="R641" t="str">
        <f>_xlfn.XLOOKUP(Table3[[#This Row],[Cuenta]],Table8[Nombre Cuenta ()],Table8[Nivel 1],"",0)</f>
        <v/>
      </c>
      <c r="S641" t="str">
        <f>_xlfn.XLOOKUP(Table3[[#This Row],[Cuenta]],Table8[Nombre Cuenta ()],Table8[Nivel 2],"",0)</f>
        <v/>
      </c>
      <c r="T641" t="str">
        <f>_xlfn.XLOOKUP(Table3[[#This Row],[Cuenta]],Table8[Nombre Cuenta ()],Table8[Nivel 3],"",0)</f>
        <v/>
      </c>
      <c r="U641">
        <v>1066</v>
      </c>
      <c r="V641" t="str">
        <f>_xlfn.XLOOKUP(Table3[[#This Row],[Cuenta]],Estructura_Balance[Nombre Cuenta ()],Estructura_Balance[Niveles:2],"",0)</f>
        <v/>
      </c>
      <c r="W641" t="str">
        <f>_xlfn.XLOOKUP(Table3[[#This Row],[Cuenta]],Estructura_Balance[Nombre Cuenta ()],Estructura_Balance[Niveles:3],"",0)</f>
        <v/>
      </c>
      <c r="X641" t="str">
        <f>_xlfn.XLOOKUP(Table3[[#This Row],[Cuenta]],Estructura_Balance[Nombre Cuenta ()],Estructura_Balance[Grupos],"Grupo 1",0)</f>
        <v>Grupo 1</v>
      </c>
      <c r="Y641" t="str">
        <f>+Table3[[#This Row],[BS_Nivel_1]]</f>
        <v/>
      </c>
    </row>
    <row r="642" spans="1:25">
      <c r="A642">
        <f>+'Libro Diario'!F856</f>
        <v>0</v>
      </c>
      <c r="B642" s="144">
        <f>VALUE(IF(+'Libro Diario'!G856="","01/01/2025",+'Libro Diario'!G856))</f>
        <v>45658</v>
      </c>
      <c r="C642">
        <f>IF(ISNUMBER(+IF(IFERROR(VALUE(MID('Libro Diario'!C856,1,4)),0)&lt;&gt;0,'Libro Diario'!C856,0))=FALSE,'Libro Diario'!C856,0)</f>
        <v>0</v>
      </c>
      <c r="D642" s="145">
        <f>+'Libro Diario'!B856</f>
        <v>0</v>
      </c>
      <c r="E642" s="139" t="s">
        <v>445</v>
      </c>
      <c r="F642" t="str">
        <f t="shared" si="27"/>
        <v>Sin Mov.</v>
      </c>
      <c r="G642" t="str">
        <f>IF(+'Libro Diario'!H856=0,"",+'Libro Diario'!H856)</f>
        <v/>
      </c>
      <c r="H642" t="str">
        <f>IF(+'Libro Diario'!I856=0,"",+'Libro Diario'!I856)</f>
        <v/>
      </c>
      <c r="I642" t="str">
        <f>+IF(Table3[[#This Row],[Tipo Movimiento]]="Estructura Balance y PyG","Excluir","Incluir")</f>
        <v>Incluir</v>
      </c>
      <c r="J642" s="153">
        <f>+IF(Table3[[#This Row],[Sin cuenta]]="Con Mov.",(IF(Table3[[#This Row],[Movimiento]]="Debe",Table3[[#This Row],[Importe]],IF(Table3[[#This Row],[Movimiento]]="Haber",Table3[[#This Row],[Importe]]*-1,0))),0)</f>
        <v>0</v>
      </c>
      <c r="K642" s="145">
        <f t="shared" si="28"/>
        <v>0</v>
      </c>
      <c r="L642" s="145" t="str">
        <f t="shared" si="29"/>
        <v/>
      </c>
      <c r="M642" t="str">
        <f>_xlfn.XLOOKUP(Table3[[#This Row],[Cuenta]],Estructura_Balance[Nombre Cuenta ()],Estructura_Balance[Grupo],"",0)</f>
        <v/>
      </c>
      <c r="N642" t="str">
        <f>_xlfn.XLOOKUP(Table3[[#This Row],[Cuenta]],Estructura_Balance[Nombre Cuenta ()],Estructura_Balance[Nivel 1],"",0)</f>
        <v/>
      </c>
      <c r="O642" t="str">
        <f>_xlfn.XLOOKUP(Table3[[#This Row],[Cuenta]],Estructura_Balance[Nombre Cuenta ()],Estructura_Balance[Nivel 2],"",0)</f>
        <v/>
      </c>
      <c r="P642" t="str">
        <f>_xlfn.XLOOKUP(Table3[[#This Row],[Cuenta]],Estructura_Balance[Nombre Cuenta ()],Estructura_Balance[Nivel 3],"",0)</f>
        <v/>
      </c>
      <c r="Q642" t="str">
        <f>_xlfn.XLOOKUP(Table3[[#This Row],[Cuenta]],Estructura_Balance[Nombre Cuenta ()],Estructura_Balance[Nivel 4],"",0)</f>
        <v/>
      </c>
      <c r="R642" t="str">
        <f>_xlfn.XLOOKUP(Table3[[#This Row],[Cuenta]],Table8[Nombre Cuenta ()],Table8[Nivel 1],"",0)</f>
        <v/>
      </c>
      <c r="S642" t="str">
        <f>_xlfn.XLOOKUP(Table3[[#This Row],[Cuenta]],Table8[Nombre Cuenta ()],Table8[Nivel 2],"",0)</f>
        <v/>
      </c>
      <c r="T642" t="str">
        <f>_xlfn.XLOOKUP(Table3[[#This Row],[Cuenta]],Table8[Nombre Cuenta ()],Table8[Nivel 3],"",0)</f>
        <v/>
      </c>
      <c r="U642">
        <v>1067</v>
      </c>
      <c r="V642" t="str">
        <f>_xlfn.XLOOKUP(Table3[[#This Row],[Cuenta]],Estructura_Balance[Nombre Cuenta ()],Estructura_Balance[Niveles:2],"",0)</f>
        <v/>
      </c>
      <c r="W642" t="str">
        <f>_xlfn.XLOOKUP(Table3[[#This Row],[Cuenta]],Estructura_Balance[Nombre Cuenta ()],Estructura_Balance[Niveles:3],"",0)</f>
        <v/>
      </c>
      <c r="X642" t="str">
        <f>_xlfn.XLOOKUP(Table3[[#This Row],[Cuenta]],Estructura_Balance[Nombre Cuenta ()],Estructura_Balance[Grupos],"Grupo 1",0)</f>
        <v>Grupo 1</v>
      </c>
      <c r="Y642" t="str">
        <f>+Table3[[#This Row],[BS_Nivel_1]]</f>
        <v/>
      </c>
    </row>
    <row r="643" spans="1:25">
      <c r="A643">
        <f>+'Libro Diario'!F857</f>
        <v>0</v>
      </c>
      <c r="B643" s="144">
        <f>VALUE(IF(+'Libro Diario'!G857="","01/01/2025",+'Libro Diario'!G857))</f>
        <v>45658</v>
      </c>
      <c r="C643">
        <f>IF(ISNUMBER(+IF(IFERROR(VALUE(MID('Libro Diario'!C857,1,4)),0)&lt;&gt;0,'Libro Diario'!C857,0))=FALSE,'Libro Diario'!C857,0)</f>
        <v>0</v>
      </c>
      <c r="D643" s="145">
        <f>+'Libro Diario'!B857</f>
        <v>0</v>
      </c>
      <c r="E643" s="139" t="s">
        <v>445</v>
      </c>
      <c r="F643" t="str">
        <f t="shared" ref="F643:F706" si="30">+IF(C643=0,"Sin Mov.","Con Mov.")</f>
        <v>Sin Mov.</v>
      </c>
      <c r="G643" t="str">
        <f>IF(+'Libro Diario'!H857=0,"",+'Libro Diario'!H857)</f>
        <v/>
      </c>
      <c r="H643" t="str">
        <f>IF(+'Libro Diario'!I857=0,"",+'Libro Diario'!I857)</f>
        <v/>
      </c>
      <c r="I643" t="str">
        <f>+IF(Table3[[#This Row],[Tipo Movimiento]]="Estructura Balance y PyG","Excluir","Incluir")</f>
        <v>Incluir</v>
      </c>
      <c r="J643" s="153">
        <f>+IF(Table3[[#This Row],[Sin cuenta]]="Con Mov.",(IF(Table3[[#This Row],[Movimiento]]="Debe",Table3[[#This Row],[Importe]],IF(Table3[[#This Row],[Movimiento]]="Haber",Table3[[#This Row],[Importe]]*-1,0))),0)</f>
        <v>0</v>
      </c>
      <c r="K643" s="145">
        <f t="shared" ref="K643:K706" si="31">+IF(E643="Debe",D643,"")</f>
        <v>0</v>
      </c>
      <c r="L643" s="145" t="str">
        <f t="shared" ref="L643:L706" si="32">+IF(E643="Haber",D643,"")</f>
        <v/>
      </c>
      <c r="M643" t="str">
        <f>_xlfn.XLOOKUP(Table3[[#This Row],[Cuenta]],Estructura_Balance[Nombre Cuenta ()],Estructura_Balance[Grupo],"",0)</f>
        <v/>
      </c>
      <c r="N643" t="str">
        <f>_xlfn.XLOOKUP(Table3[[#This Row],[Cuenta]],Estructura_Balance[Nombre Cuenta ()],Estructura_Balance[Nivel 1],"",0)</f>
        <v/>
      </c>
      <c r="O643" t="str">
        <f>_xlfn.XLOOKUP(Table3[[#This Row],[Cuenta]],Estructura_Balance[Nombre Cuenta ()],Estructura_Balance[Nivel 2],"",0)</f>
        <v/>
      </c>
      <c r="P643" t="str">
        <f>_xlfn.XLOOKUP(Table3[[#This Row],[Cuenta]],Estructura_Balance[Nombre Cuenta ()],Estructura_Balance[Nivel 3],"",0)</f>
        <v/>
      </c>
      <c r="Q643" t="str">
        <f>_xlfn.XLOOKUP(Table3[[#This Row],[Cuenta]],Estructura_Balance[Nombre Cuenta ()],Estructura_Balance[Nivel 4],"",0)</f>
        <v/>
      </c>
      <c r="R643" t="str">
        <f>_xlfn.XLOOKUP(Table3[[#This Row],[Cuenta]],Table8[Nombre Cuenta ()],Table8[Nivel 1],"",0)</f>
        <v/>
      </c>
      <c r="S643" t="str">
        <f>_xlfn.XLOOKUP(Table3[[#This Row],[Cuenta]],Table8[Nombre Cuenta ()],Table8[Nivel 2],"",0)</f>
        <v/>
      </c>
      <c r="T643" t="str">
        <f>_xlfn.XLOOKUP(Table3[[#This Row],[Cuenta]],Table8[Nombre Cuenta ()],Table8[Nivel 3],"",0)</f>
        <v/>
      </c>
      <c r="U643">
        <v>1070</v>
      </c>
      <c r="V643" t="str">
        <f>_xlfn.XLOOKUP(Table3[[#This Row],[Cuenta]],Estructura_Balance[Nombre Cuenta ()],Estructura_Balance[Niveles:2],"",0)</f>
        <v/>
      </c>
      <c r="W643" t="str">
        <f>_xlfn.XLOOKUP(Table3[[#This Row],[Cuenta]],Estructura_Balance[Nombre Cuenta ()],Estructura_Balance[Niveles:3],"",0)</f>
        <v/>
      </c>
      <c r="X643" t="str">
        <f>_xlfn.XLOOKUP(Table3[[#This Row],[Cuenta]],Estructura_Balance[Nombre Cuenta ()],Estructura_Balance[Grupos],"Grupo 1",0)</f>
        <v>Grupo 1</v>
      </c>
      <c r="Y643" t="str">
        <f>+Table3[[#This Row],[BS_Nivel_1]]</f>
        <v/>
      </c>
    </row>
    <row r="644" spans="1:25">
      <c r="A644">
        <f>+'Libro Diario'!F858</f>
        <v>0</v>
      </c>
      <c r="B644" s="144">
        <f>VALUE(IF(+'Libro Diario'!G858="","01/01/2025",+'Libro Diario'!G858))</f>
        <v>45658</v>
      </c>
      <c r="C644">
        <f>IF(ISNUMBER(+IF(IFERROR(VALUE(MID('Libro Diario'!C858,1,4)),0)&lt;&gt;0,'Libro Diario'!C858,0))=FALSE,'Libro Diario'!C858,0)</f>
        <v>0</v>
      </c>
      <c r="D644" s="145">
        <f>+'Libro Diario'!B858</f>
        <v>0</v>
      </c>
      <c r="E644" s="139" t="s">
        <v>445</v>
      </c>
      <c r="F644" t="str">
        <f t="shared" si="30"/>
        <v>Sin Mov.</v>
      </c>
      <c r="G644" t="str">
        <f>IF(+'Libro Diario'!H858=0,"",+'Libro Diario'!H858)</f>
        <v/>
      </c>
      <c r="H644" t="str">
        <f>IF(+'Libro Diario'!I858=0,"",+'Libro Diario'!I858)</f>
        <v/>
      </c>
      <c r="I644" t="str">
        <f>+IF(Table3[[#This Row],[Tipo Movimiento]]="Estructura Balance y PyG","Excluir","Incluir")</f>
        <v>Incluir</v>
      </c>
      <c r="J644" s="153">
        <f>+IF(Table3[[#This Row],[Sin cuenta]]="Con Mov.",(IF(Table3[[#This Row],[Movimiento]]="Debe",Table3[[#This Row],[Importe]],IF(Table3[[#This Row],[Movimiento]]="Haber",Table3[[#This Row],[Importe]]*-1,0))),0)</f>
        <v>0</v>
      </c>
      <c r="K644" s="145">
        <f t="shared" si="31"/>
        <v>0</v>
      </c>
      <c r="L644" s="145" t="str">
        <f t="shared" si="32"/>
        <v/>
      </c>
      <c r="M644" t="str">
        <f>_xlfn.XLOOKUP(Table3[[#This Row],[Cuenta]],Estructura_Balance[Nombre Cuenta ()],Estructura_Balance[Grupo],"",0)</f>
        <v/>
      </c>
      <c r="N644" t="str">
        <f>_xlfn.XLOOKUP(Table3[[#This Row],[Cuenta]],Estructura_Balance[Nombre Cuenta ()],Estructura_Balance[Nivel 1],"",0)</f>
        <v/>
      </c>
      <c r="O644" t="str">
        <f>_xlfn.XLOOKUP(Table3[[#This Row],[Cuenta]],Estructura_Balance[Nombre Cuenta ()],Estructura_Balance[Nivel 2],"",0)</f>
        <v/>
      </c>
      <c r="P644" t="str">
        <f>_xlfn.XLOOKUP(Table3[[#This Row],[Cuenta]],Estructura_Balance[Nombre Cuenta ()],Estructura_Balance[Nivel 3],"",0)</f>
        <v/>
      </c>
      <c r="Q644" t="str">
        <f>_xlfn.XLOOKUP(Table3[[#This Row],[Cuenta]],Estructura_Balance[Nombre Cuenta ()],Estructura_Balance[Nivel 4],"",0)</f>
        <v/>
      </c>
      <c r="R644" t="str">
        <f>_xlfn.XLOOKUP(Table3[[#This Row],[Cuenta]],Table8[Nombre Cuenta ()],Table8[Nivel 1],"",0)</f>
        <v/>
      </c>
      <c r="S644" t="str">
        <f>_xlfn.XLOOKUP(Table3[[#This Row],[Cuenta]],Table8[Nombre Cuenta ()],Table8[Nivel 2],"",0)</f>
        <v/>
      </c>
      <c r="T644" t="str">
        <f>_xlfn.XLOOKUP(Table3[[#This Row],[Cuenta]],Table8[Nombre Cuenta ()],Table8[Nivel 3],"",0)</f>
        <v/>
      </c>
      <c r="U644">
        <v>1071</v>
      </c>
      <c r="V644" t="str">
        <f>_xlfn.XLOOKUP(Table3[[#This Row],[Cuenta]],Estructura_Balance[Nombre Cuenta ()],Estructura_Balance[Niveles:2],"",0)</f>
        <v/>
      </c>
      <c r="W644" t="str">
        <f>_xlfn.XLOOKUP(Table3[[#This Row],[Cuenta]],Estructura_Balance[Nombre Cuenta ()],Estructura_Balance[Niveles:3],"",0)</f>
        <v/>
      </c>
      <c r="X644" t="str">
        <f>_xlfn.XLOOKUP(Table3[[#This Row],[Cuenta]],Estructura_Balance[Nombre Cuenta ()],Estructura_Balance[Grupos],"Grupo 1",0)</f>
        <v>Grupo 1</v>
      </c>
      <c r="Y644" t="str">
        <f>+Table3[[#This Row],[BS_Nivel_1]]</f>
        <v/>
      </c>
    </row>
    <row r="645" spans="1:25">
      <c r="A645">
        <f>+'Libro Diario'!F859</f>
        <v>0</v>
      </c>
      <c r="B645" s="144">
        <f>VALUE(IF(+'Libro Diario'!G859="","01/01/2025",+'Libro Diario'!G859))</f>
        <v>45658</v>
      </c>
      <c r="C645">
        <f>IF(ISNUMBER(+IF(IFERROR(VALUE(MID('Libro Diario'!C859,1,4)),0)&lt;&gt;0,'Libro Diario'!C859,0))=FALSE,'Libro Diario'!C859,0)</f>
        <v>0</v>
      </c>
      <c r="D645" s="145">
        <f>+'Libro Diario'!B859</f>
        <v>0</v>
      </c>
      <c r="E645" s="139" t="s">
        <v>445</v>
      </c>
      <c r="F645" t="str">
        <f t="shared" si="30"/>
        <v>Sin Mov.</v>
      </c>
      <c r="G645" t="str">
        <f>IF(+'Libro Diario'!H859=0,"",+'Libro Diario'!H859)</f>
        <v/>
      </c>
      <c r="H645" t="str">
        <f>IF(+'Libro Diario'!I859=0,"",+'Libro Diario'!I859)</f>
        <v/>
      </c>
      <c r="I645" t="str">
        <f>+IF(Table3[[#This Row],[Tipo Movimiento]]="Estructura Balance y PyG","Excluir","Incluir")</f>
        <v>Incluir</v>
      </c>
      <c r="J645" s="153">
        <f>+IF(Table3[[#This Row],[Sin cuenta]]="Con Mov.",(IF(Table3[[#This Row],[Movimiento]]="Debe",Table3[[#This Row],[Importe]],IF(Table3[[#This Row],[Movimiento]]="Haber",Table3[[#This Row],[Importe]]*-1,0))),0)</f>
        <v>0</v>
      </c>
      <c r="K645" s="145">
        <f t="shared" si="31"/>
        <v>0</v>
      </c>
      <c r="L645" s="145" t="str">
        <f t="shared" si="32"/>
        <v/>
      </c>
      <c r="M645" t="str">
        <f>_xlfn.XLOOKUP(Table3[[#This Row],[Cuenta]],Estructura_Balance[Nombre Cuenta ()],Estructura_Balance[Grupo],"",0)</f>
        <v/>
      </c>
      <c r="N645" t="str">
        <f>_xlfn.XLOOKUP(Table3[[#This Row],[Cuenta]],Estructura_Balance[Nombre Cuenta ()],Estructura_Balance[Nivel 1],"",0)</f>
        <v/>
      </c>
      <c r="O645" t="str">
        <f>_xlfn.XLOOKUP(Table3[[#This Row],[Cuenta]],Estructura_Balance[Nombre Cuenta ()],Estructura_Balance[Nivel 2],"",0)</f>
        <v/>
      </c>
      <c r="P645" t="str">
        <f>_xlfn.XLOOKUP(Table3[[#This Row],[Cuenta]],Estructura_Balance[Nombre Cuenta ()],Estructura_Balance[Nivel 3],"",0)</f>
        <v/>
      </c>
      <c r="Q645" t="str">
        <f>_xlfn.XLOOKUP(Table3[[#This Row],[Cuenta]],Estructura_Balance[Nombre Cuenta ()],Estructura_Balance[Nivel 4],"",0)</f>
        <v/>
      </c>
      <c r="R645" t="str">
        <f>_xlfn.XLOOKUP(Table3[[#This Row],[Cuenta]],Table8[Nombre Cuenta ()],Table8[Nivel 1],"",0)</f>
        <v/>
      </c>
      <c r="S645" t="str">
        <f>_xlfn.XLOOKUP(Table3[[#This Row],[Cuenta]],Table8[Nombre Cuenta ()],Table8[Nivel 2],"",0)</f>
        <v/>
      </c>
      <c r="T645" t="str">
        <f>_xlfn.XLOOKUP(Table3[[#This Row],[Cuenta]],Table8[Nombre Cuenta ()],Table8[Nivel 3],"",0)</f>
        <v/>
      </c>
      <c r="U645">
        <v>1072</v>
      </c>
      <c r="V645" t="str">
        <f>_xlfn.XLOOKUP(Table3[[#This Row],[Cuenta]],Estructura_Balance[Nombre Cuenta ()],Estructura_Balance[Niveles:2],"",0)</f>
        <v/>
      </c>
      <c r="W645" t="str">
        <f>_xlfn.XLOOKUP(Table3[[#This Row],[Cuenta]],Estructura_Balance[Nombre Cuenta ()],Estructura_Balance[Niveles:3],"",0)</f>
        <v/>
      </c>
      <c r="X645" t="str">
        <f>_xlfn.XLOOKUP(Table3[[#This Row],[Cuenta]],Estructura_Balance[Nombre Cuenta ()],Estructura_Balance[Grupos],"Grupo 1",0)</f>
        <v>Grupo 1</v>
      </c>
      <c r="Y645" t="str">
        <f>+Table3[[#This Row],[BS_Nivel_1]]</f>
        <v/>
      </c>
    </row>
    <row r="646" spans="1:25">
      <c r="A646">
        <f>+'Libro Diario'!F860</f>
        <v>0</v>
      </c>
      <c r="B646" s="144">
        <f>VALUE(IF(+'Libro Diario'!G860="","01/01/2025",+'Libro Diario'!G860))</f>
        <v>45658</v>
      </c>
      <c r="C646">
        <f>IF(ISNUMBER(+IF(IFERROR(VALUE(MID('Libro Diario'!C860,1,4)),0)&lt;&gt;0,'Libro Diario'!C860,0))=FALSE,'Libro Diario'!C860,0)</f>
        <v>0</v>
      </c>
      <c r="D646" s="145">
        <f>+'Libro Diario'!B860</f>
        <v>0</v>
      </c>
      <c r="E646" s="139" t="s">
        <v>445</v>
      </c>
      <c r="F646" t="str">
        <f t="shared" si="30"/>
        <v>Sin Mov.</v>
      </c>
      <c r="G646" t="str">
        <f>IF(+'Libro Diario'!H860=0,"",+'Libro Diario'!H860)</f>
        <v/>
      </c>
      <c r="H646" t="str">
        <f>IF(+'Libro Diario'!I860=0,"",+'Libro Diario'!I860)</f>
        <v/>
      </c>
      <c r="I646" t="str">
        <f>+IF(Table3[[#This Row],[Tipo Movimiento]]="Estructura Balance y PyG","Excluir","Incluir")</f>
        <v>Incluir</v>
      </c>
      <c r="J646" s="153">
        <f>+IF(Table3[[#This Row],[Sin cuenta]]="Con Mov.",(IF(Table3[[#This Row],[Movimiento]]="Debe",Table3[[#This Row],[Importe]],IF(Table3[[#This Row],[Movimiento]]="Haber",Table3[[#This Row],[Importe]]*-1,0))),0)</f>
        <v>0</v>
      </c>
      <c r="K646" s="145">
        <f t="shared" si="31"/>
        <v>0</v>
      </c>
      <c r="L646" s="145" t="str">
        <f t="shared" si="32"/>
        <v/>
      </c>
      <c r="M646" t="str">
        <f>_xlfn.XLOOKUP(Table3[[#This Row],[Cuenta]],Estructura_Balance[Nombre Cuenta ()],Estructura_Balance[Grupo],"",0)</f>
        <v/>
      </c>
      <c r="N646" t="str">
        <f>_xlfn.XLOOKUP(Table3[[#This Row],[Cuenta]],Estructura_Balance[Nombre Cuenta ()],Estructura_Balance[Nivel 1],"",0)</f>
        <v/>
      </c>
      <c r="O646" t="str">
        <f>_xlfn.XLOOKUP(Table3[[#This Row],[Cuenta]],Estructura_Balance[Nombre Cuenta ()],Estructura_Balance[Nivel 2],"",0)</f>
        <v/>
      </c>
      <c r="P646" t="str">
        <f>_xlfn.XLOOKUP(Table3[[#This Row],[Cuenta]],Estructura_Balance[Nombre Cuenta ()],Estructura_Balance[Nivel 3],"",0)</f>
        <v/>
      </c>
      <c r="Q646" t="str">
        <f>_xlfn.XLOOKUP(Table3[[#This Row],[Cuenta]],Estructura_Balance[Nombre Cuenta ()],Estructura_Balance[Nivel 4],"",0)</f>
        <v/>
      </c>
      <c r="R646" t="str">
        <f>_xlfn.XLOOKUP(Table3[[#This Row],[Cuenta]],Table8[Nombre Cuenta ()],Table8[Nivel 1],"",0)</f>
        <v/>
      </c>
      <c r="S646" t="str">
        <f>_xlfn.XLOOKUP(Table3[[#This Row],[Cuenta]],Table8[Nombre Cuenta ()],Table8[Nivel 2],"",0)</f>
        <v/>
      </c>
      <c r="T646" t="str">
        <f>_xlfn.XLOOKUP(Table3[[#This Row],[Cuenta]],Table8[Nombre Cuenta ()],Table8[Nivel 3],"",0)</f>
        <v/>
      </c>
      <c r="U646">
        <v>1073</v>
      </c>
      <c r="V646" t="str">
        <f>_xlfn.XLOOKUP(Table3[[#This Row],[Cuenta]],Estructura_Balance[Nombre Cuenta ()],Estructura_Balance[Niveles:2],"",0)</f>
        <v/>
      </c>
      <c r="W646" t="str">
        <f>_xlfn.XLOOKUP(Table3[[#This Row],[Cuenta]],Estructura_Balance[Nombre Cuenta ()],Estructura_Balance[Niveles:3],"",0)</f>
        <v/>
      </c>
      <c r="X646" t="str">
        <f>_xlfn.XLOOKUP(Table3[[#This Row],[Cuenta]],Estructura_Balance[Nombre Cuenta ()],Estructura_Balance[Grupos],"Grupo 1",0)</f>
        <v>Grupo 1</v>
      </c>
      <c r="Y646" t="str">
        <f>+Table3[[#This Row],[BS_Nivel_1]]</f>
        <v/>
      </c>
    </row>
    <row r="647" spans="1:25">
      <c r="A647">
        <f>+'Libro Diario'!F861</f>
        <v>0</v>
      </c>
      <c r="B647" s="144">
        <f>VALUE(IF(+'Libro Diario'!G861="","01/01/2025",+'Libro Diario'!G861))</f>
        <v>45658</v>
      </c>
      <c r="C647">
        <f>IF(ISNUMBER(+IF(IFERROR(VALUE(MID('Libro Diario'!C861,1,4)),0)&lt;&gt;0,'Libro Diario'!C861,0))=FALSE,'Libro Diario'!C861,0)</f>
        <v>0</v>
      </c>
      <c r="D647" s="145">
        <f>+'Libro Diario'!B861</f>
        <v>0</v>
      </c>
      <c r="E647" s="139" t="s">
        <v>445</v>
      </c>
      <c r="F647" t="str">
        <f t="shared" si="30"/>
        <v>Sin Mov.</v>
      </c>
      <c r="G647" t="str">
        <f>IF(+'Libro Diario'!H861=0,"",+'Libro Diario'!H861)</f>
        <v/>
      </c>
      <c r="H647" t="str">
        <f>IF(+'Libro Diario'!I861=0,"",+'Libro Diario'!I861)</f>
        <v/>
      </c>
      <c r="I647" t="str">
        <f>+IF(Table3[[#This Row],[Tipo Movimiento]]="Estructura Balance y PyG","Excluir","Incluir")</f>
        <v>Incluir</v>
      </c>
      <c r="J647" s="153">
        <f>+IF(Table3[[#This Row],[Sin cuenta]]="Con Mov.",(IF(Table3[[#This Row],[Movimiento]]="Debe",Table3[[#This Row],[Importe]],IF(Table3[[#This Row],[Movimiento]]="Haber",Table3[[#This Row],[Importe]]*-1,0))),0)</f>
        <v>0</v>
      </c>
      <c r="K647" s="145">
        <f t="shared" si="31"/>
        <v>0</v>
      </c>
      <c r="L647" s="145" t="str">
        <f t="shared" si="32"/>
        <v/>
      </c>
      <c r="M647" t="str">
        <f>_xlfn.XLOOKUP(Table3[[#This Row],[Cuenta]],Estructura_Balance[Nombre Cuenta ()],Estructura_Balance[Grupo],"",0)</f>
        <v/>
      </c>
      <c r="N647" t="str">
        <f>_xlfn.XLOOKUP(Table3[[#This Row],[Cuenta]],Estructura_Balance[Nombre Cuenta ()],Estructura_Balance[Nivel 1],"",0)</f>
        <v/>
      </c>
      <c r="O647" t="str">
        <f>_xlfn.XLOOKUP(Table3[[#This Row],[Cuenta]],Estructura_Balance[Nombre Cuenta ()],Estructura_Balance[Nivel 2],"",0)</f>
        <v/>
      </c>
      <c r="P647" t="str">
        <f>_xlfn.XLOOKUP(Table3[[#This Row],[Cuenta]],Estructura_Balance[Nombre Cuenta ()],Estructura_Balance[Nivel 3],"",0)</f>
        <v/>
      </c>
      <c r="Q647" t="str">
        <f>_xlfn.XLOOKUP(Table3[[#This Row],[Cuenta]],Estructura_Balance[Nombre Cuenta ()],Estructura_Balance[Nivel 4],"",0)</f>
        <v/>
      </c>
      <c r="R647" t="str">
        <f>_xlfn.XLOOKUP(Table3[[#This Row],[Cuenta]],Table8[Nombre Cuenta ()],Table8[Nivel 1],"",0)</f>
        <v/>
      </c>
      <c r="S647" t="str">
        <f>_xlfn.XLOOKUP(Table3[[#This Row],[Cuenta]],Table8[Nombre Cuenta ()],Table8[Nivel 2],"",0)</f>
        <v/>
      </c>
      <c r="T647" t="str">
        <f>_xlfn.XLOOKUP(Table3[[#This Row],[Cuenta]],Table8[Nombre Cuenta ()],Table8[Nivel 3],"",0)</f>
        <v/>
      </c>
      <c r="U647">
        <v>1074</v>
      </c>
      <c r="V647" t="str">
        <f>_xlfn.XLOOKUP(Table3[[#This Row],[Cuenta]],Estructura_Balance[Nombre Cuenta ()],Estructura_Balance[Niveles:2],"",0)</f>
        <v/>
      </c>
      <c r="W647" t="str">
        <f>_xlfn.XLOOKUP(Table3[[#This Row],[Cuenta]],Estructura_Balance[Nombre Cuenta ()],Estructura_Balance[Niveles:3],"",0)</f>
        <v/>
      </c>
      <c r="X647" t="str">
        <f>_xlfn.XLOOKUP(Table3[[#This Row],[Cuenta]],Estructura_Balance[Nombre Cuenta ()],Estructura_Balance[Grupos],"Grupo 1",0)</f>
        <v>Grupo 1</v>
      </c>
      <c r="Y647" t="str">
        <f>+Table3[[#This Row],[BS_Nivel_1]]</f>
        <v/>
      </c>
    </row>
    <row r="648" spans="1:25">
      <c r="A648">
        <f>+'Libro Diario'!F862</f>
        <v>0</v>
      </c>
      <c r="B648" s="144">
        <f>VALUE(IF(+'Libro Diario'!G862="","01/01/2025",+'Libro Diario'!G862))</f>
        <v>45658</v>
      </c>
      <c r="C648">
        <f>IF(ISNUMBER(+IF(IFERROR(VALUE(MID('Libro Diario'!C862,1,4)),0)&lt;&gt;0,'Libro Diario'!C862,0))=FALSE,'Libro Diario'!C862,0)</f>
        <v>0</v>
      </c>
      <c r="D648" s="145">
        <f>+'Libro Diario'!B862</f>
        <v>0</v>
      </c>
      <c r="E648" s="139" t="s">
        <v>445</v>
      </c>
      <c r="F648" t="str">
        <f t="shared" si="30"/>
        <v>Sin Mov.</v>
      </c>
      <c r="G648" t="str">
        <f>IF(+'Libro Diario'!H862=0,"",+'Libro Diario'!H862)</f>
        <v/>
      </c>
      <c r="H648" t="str">
        <f>IF(+'Libro Diario'!I862=0,"",+'Libro Diario'!I862)</f>
        <v/>
      </c>
      <c r="I648" t="str">
        <f>+IF(Table3[[#This Row],[Tipo Movimiento]]="Estructura Balance y PyG","Excluir","Incluir")</f>
        <v>Incluir</v>
      </c>
      <c r="J648" s="153">
        <f>+IF(Table3[[#This Row],[Sin cuenta]]="Con Mov.",(IF(Table3[[#This Row],[Movimiento]]="Debe",Table3[[#This Row],[Importe]],IF(Table3[[#This Row],[Movimiento]]="Haber",Table3[[#This Row],[Importe]]*-1,0))),0)</f>
        <v>0</v>
      </c>
      <c r="K648" s="145">
        <f t="shared" si="31"/>
        <v>0</v>
      </c>
      <c r="L648" s="145" t="str">
        <f t="shared" si="32"/>
        <v/>
      </c>
      <c r="M648" t="str">
        <f>_xlfn.XLOOKUP(Table3[[#This Row],[Cuenta]],Estructura_Balance[Nombre Cuenta ()],Estructura_Balance[Grupo],"",0)</f>
        <v/>
      </c>
      <c r="N648" t="str">
        <f>_xlfn.XLOOKUP(Table3[[#This Row],[Cuenta]],Estructura_Balance[Nombre Cuenta ()],Estructura_Balance[Nivel 1],"",0)</f>
        <v/>
      </c>
      <c r="O648" t="str">
        <f>_xlfn.XLOOKUP(Table3[[#This Row],[Cuenta]],Estructura_Balance[Nombre Cuenta ()],Estructura_Balance[Nivel 2],"",0)</f>
        <v/>
      </c>
      <c r="P648" t="str">
        <f>_xlfn.XLOOKUP(Table3[[#This Row],[Cuenta]],Estructura_Balance[Nombre Cuenta ()],Estructura_Balance[Nivel 3],"",0)</f>
        <v/>
      </c>
      <c r="Q648" t="str">
        <f>_xlfn.XLOOKUP(Table3[[#This Row],[Cuenta]],Estructura_Balance[Nombre Cuenta ()],Estructura_Balance[Nivel 4],"",0)</f>
        <v/>
      </c>
      <c r="R648" t="str">
        <f>_xlfn.XLOOKUP(Table3[[#This Row],[Cuenta]],Table8[Nombre Cuenta ()],Table8[Nivel 1],"",0)</f>
        <v/>
      </c>
      <c r="S648" t="str">
        <f>_xlfn.XLOOKUP(Table3[[#This Row],[Cuenta]],Table8[Nombre Cuenta ()],Table8[Nivel 2],"",0)</f>
        <v/>
      </c>
      <c r="T648" t="str">
        <f>_xlfn.XLOOKUP(Table3[[#This Row],[Cuenta]],Table8[Nombre Cuenta ()],Table8[Nivel 3],"",0)</f>
        <v/>
      </c>
      <c r="U648">
        <v>1077</v>
      </c>
      <c r="V648" t="str">
        <f>_xlfn.XLOOKUP(Table3[[#This Row],[Cuenta]],Estructura_Balance[Nombre Cuenta ()],Estructura_Balance[Niveles:2],"",0)</f>
        <v/>
      </c>
      <c r="W648" t="str">
        <f>_xlfn.XLOOKUP(Table3[[#This Row],[Cuenta]],Estructura_Balance[Nombre Cuenta ()],Estructura_Balance[Niveles:3],"",0)</f>
        <v/>
      </c>
      <c r="X648" t="str">
        <f>_xlfn.XLOOKUP(Table3[[#This Row],[Cuenta]],Estructura_Balance[Nombre Cuenta ()],Estructura_Balance[Grupos],"Grupo 1",0)</f>
        <v>Grupo 1</v>
      </c>
      <c r="Y648" t="str">
        <f>+Table3[[#This Row],[BS_Nivel_1]]</f>
        <v/>
      </c>
    </row>
    <row r="649" spans="1:25">
      <c r="A649">
        <f>+'Libro Diario'!F863</f>
        <v>0</v>
      </c>
      <c r="B649" s="144">
        <f>VALUE(IF(+'Libro Diario'!G863="","01/01/2025",+'Libro Diario'!G863))</f>
        <v>45658</v>
      </c>
      <c r="C649">
        <f>IF(ISNUMBER(+IF(IFERROR(VALUE(MID('Libro Diario'!C863,1,4)),0)&lt;&gt;0,'Libro Diario'!C863,0))=FALSE,'Libro Diario'!C863,0)</f>
        <v>0</v>
      </c>
      <c r="D649" s="145">
        <f>+'Libro Diario'!B863</f>
        <v>0</v>
      </c>
      <c r="E649" s="139" t="s">
        <v>445</v>
      </c>
      <c r="F649" t="str">
        <f t="shared" si="30"/>
        <v>Sin Mov.</v>
      </c>
      <c r="G649" t="str">
        <f>IF(+'Libro Diario'!H863=0,"",+'Libro Diario'!H863)</f>
        <v/>
      </c>
      <c r="H649" t="str">
        <f>IF(+'Libro Diario'!I863=0,"",+'Libro Diario'!I863)</f>
        <v/>
      </c>
      <c r="I649" t="str">
        <f>+IF(Table3[[#This Row],[Tipo Movimiento]]="Estructura Balance y PyG","Excluir","Incluir")</f>
        <v>Incluir</v>
      </c>
      <c r="J649" s="153">
        <f>+IF(Table3[[#This Row],[Sin cuenta]]="Con Mov.",(IF(Table3[[#This Row],[Movimiento]]="Debe",Table3[[#This Row],[Importe]],IF(Table3[[#This Row],[Movimiento]]="Haber",Table3[[#This Row],[Importe]]*-1,0))),0)</f>
        <v>0</v>
      </c>
      <c r="K649" s="145">
        <f t="shared" si="31"/>
        <v>0</v>
      </c>
      <c r="L649" s="145" t="str">
        <f t="shared" si="32"/>
        <v/>
      </c>
      <c r="M649" t="str">
        <f>_xlfn.XLOOKUP(Table3[[#This Row],[Cuenta]],Estructura_Balance[Nombre Cuenta ()],Estructura_Balance[Grupo],"",0)</f>
        <v/>
      </c>
      <c r="N649" t="str">
        <f>_xlfn.XLOOKUP(Table3[[#This Row],[Cuenta]],Estructura_Balance[Nombre Cuenta ()],Estructura_Balance[Nivel 1],"",0)</f>
        <v/>
      </c>
      <c r="O649" t="str">
        <f>_xlfn.XLOOKUP(Table3[[#This Row],[Cuenta]],Estructura_Balance[Nombre Cuenta ()],Estructura_Balance[Nivel 2],"",0)</f>
        <v/>
      </c>
      <c r="P649" t="str">
        <f>_xlfn.XLOOKUP(Table3[[#This Row],[Cuenta]],Estructura_Balance[Nombre Cuenta ()],Estructura_Balance[Nivel 3],"",0)</f>
        <v/>
      </c>
      <c r="Q649" t="str">
        <f>_xlfn.XLOOKUP(Table3[[#This Row],[Cuenta]],Estructura_Balance[Nombre Cuenta ()],Estructura_Balance[Nivel 4],"",0)</f>
        <v/>
      </c>
      <c r="R649" t="str">
        <f>_xlfn.XLOOKUP(Table3[[#This Row],[Cuenta]],Table8[Nombre Cuenta ()],Table8[Nivel 1],"",0)</f>
        <v/>
      </c>
      <c r="S649" t="str">
        <f>_xlfn.XLOOKUP(Table3[[#This Row],[Cuenta]],Table8[Nombre Cuenta ()],Table8[Nivel 2],"",0)</f>
        <v/>
      </c>
      <c r="T649" t="str">
        <f>_xlfn.XLOOKUP(Table3[[#This Row],[Cuenta]],Table8[Nombre Cuenta ()],Table8[Nivel 3],"",0)</f>
        <v/>
      </c>
      <c r="U649">
        <v>1078</v>
      </c>
      <c r="V649" t="str">
        <f>_xlfn.XLOOKUP(Table3[[#This Row],[Cuenta]],Estructura_Balance[Nombre Cuenta ()],Estructura_Balance[Niveles:2],"",0)</f>
        <v/>
      </c>
      <c r="W649" t="str">
        <f>_xlfn.XLOOKUP(Table3[[#This Row],[Cuenta]],Estructura_Balance[Nombre Cuenta ()],Estructura_Balance[Niveles:3],"",0)</f>
        <v/>
      </c>
      <c r="X649" t="str">
        <f>_xlfn.XLOOKUP(Table3[[#This Row],[Cuenta]],Estructura_Balance[Nombre Cuenta ()],Estructura_Balance[Grupos],"Grupo 1",0)</f>
        <v>Grupo 1</v>
      </c>
      <c r="Y649" t="str">
        <f>+Table3[[#This Row],[BS_Nivel_1]]</f>
        <v/>
      </c>
    </row>
    <row r="650" spans="1:25">
      <c r="A650">
        <f>+'Libro Diario'!F864</f>
        <v>0</v>
      </c>
      <c r="B650" s="144">
        <f>VALUE(IF(+'Libro Diario'!G864="","01/01/2025",+'Libro Diario'!G864))</f>
        <v>45658</v>
      </c>
      <c r="C650">
        <f>IF(ISNUMBER(+IF(IFERROR(VALUE(MID('Libro Diario'!C864,1,4)),0)&lt;&gt;0,'Libro Diario'!C864,0))=FALSE,'Libro Diario'!C864,0)</f>
        <v>0</v>
      </c>
      <c r="D650" s="145">
        <f>+'Libro Diario'!B864</f>
        <v>0</v>
      </c>
      <c r="E650" s="139" t="s">
        <v>445</v>
      </c>
      <c r="F650" t="str">
        <f t="shared" si="30"/>
        <v>Sin Mov.</v>
      </c>
      <c r="G650" t="str">
        <f>IF(+'Libro Diario'!H864=0,"",+'Libro Diario'!H864)</f>
        <v/>
      </c>
      <c r="H650" t="str">
        <f>IF(+'Libro Diario'!I864=0,"",+'Libro Diario'!I864)</f>
        <v/>
      </c>
      <c r="I650" t="str">
        <f>+IF(Table3[[#This Row],[Tipo Movimiento]]="Estructura Balance y PyG","Excluir","Incluir")</f>
        <v>Incluir</v>
      </c>
      <c r="J650" s="153">
        <f>+IF(Table3[[#This Row],[Sin cuenta]]="Con Mov.",(IF(Table3[[#This Row],[Movimiento]]="Debe",Table3[[#This Row],[Importe]],IF(Table3[[#This Row],[Movimiento]]="Haber",Table3[[#This Row],[Importe]]*-1,0))),0)</f>
        <v>0</v>
      </c>
      <c r="K650" s="145">
        <f t="shared" si="31"/>
        <v>0</v>
      </c>
      <c r="L650" s="145" t="str">
        <f t="shared" si="32"/>
        <v/>
      </c>
      <c r="M650" t="str">
        <f>_xlfn.XLOOKUP(Table3[[#This Row],[Cuenta]],Estructura_Balance[Nombre Cuenta ()],Estructura_Balance[Grupo],"",0)</f>
        <v/>
      </c>
      <c r="N650" t="str">
        <f>_xlfn.XLOOKUP(Table3[[#This Row],[Cuenta]],Estructura_Balance[Nombre Cuenta ()],Estructura_Balance[Nivel 1],"",0)</f>
        <v/>
      </c>
      <c r="O650" t="str">
        <f>_xlfn.XLOOKUP(Table3[[#This Row],[Cuenta]],Estructura_Balance[Nombre Cuenta ()],Estructura_Balance[Nivel 2],"",0)</f>
        <v/>
      </c>
      <c r="P650" t="str">
        <f>_xlfn.XLOOKUP(Table3[[#This Row],[Cuenta]],Estructura_Balance[Nombre Cuenta ()],Estructura_Balance[Nivel 3],"",0)</f>
        <v/>
      </c>
      <c r="Q650" t="str">
        <f>_xlfn.XLOOKUP(Table3[[#This Row],[Cuenta]],Estructura_Balance[Nombre Cuenta ()],Estructura_Balance[Nivel 4],"",0)</f>
        <v/>
      </c>
      <c r="R650" t="str">
        <f>_xlfn.XLOOKUP(Table3[[#This Row],[Cuenta]],Table8[Nombre Cuenta ()],Table8[Nivel 1],"",0)</f>
        <v/>
      </c>
      <c r="S650" t="str">
        <f>_xlfn.XLOOKUP(Table3[[#This Row],[Cuenta]],Table8[Nombre Cuenta ()],Table8[Nivel 2],"",0)</f>
        <v/>
      </c>
      <c r="T650" t="str">
        <f>_xlfn.XLOOKUP(Table3[[#This Row],[Cuenta]],Table8[Nombre Cuenta ()],Table8[Nivel 3],"",0)</f>
        <v/>
      </c>
      <c r="U650">
        <v>1079</v>
      </c>
      <c r="V650" t="str">
        <f>_xlfn.XLOOKUP(Table3[[#This Row],[Cuenta]],Estructura_Balance[Nombre Cuenta ()],Estructura_Balance[Niveles:2],"",0)</f>
        <v/>
      </c>
      <c r="W650" t="str">
        <f>_xlfn.XLOOKUP(Table3[[#This Row],[Cuenta]],Estructura_Balance[Nombre Cuenta ()],Estructura_Balance[Niveles:3],"",0)</f>
        <v/>
      </c>
      <c r="X650" t="str">
        <f>_xlfn.XLOOKUP(Table3[[#This Row],[Cuenta]],Estructura_Balance[Nombre Cuenta ()],Estructura_Balance[Grupos],"Grupo 1",0)</f>
        <v>Grupo 1</v>
      </c>
      <c r="Y650" t="str">
        <f>+Table3[[#This Row],[BS_Nivel_1]]</f>
        <v/>
      </c>
    </row>
    <row r="651" spans="1:25">
      <c r="A651">
        <f>+'Libro Diario'!F865</f>
        <v>0</v>
      </c>
      <c r="B651" s="144">
        <f>VALUE(IF(+'Libro Diario'!G865="","01/01/2025",+'Libro Diario'!G865))</f>
        <v>45658</v>
      </c>
      <c r="C651">
        <f>IF(ISNUMBER(+IF(IFERROR(VALUE(MID('Libro Diario'!C865,1,4)),0)&lt;&gt;0,'Libro Diario'!C865,0))=FALSE,'Libro Diario'!C865,0)</f>
        <v>0</v>
      </c>
      <c r="D651" s="145">
        <f>+'Libro Diario'!B865</f>
        <v>0</v>
      </c>
      <c r="E651" s="139" t="s">
        <v>445</v>
      </c>
      <c r="F651" t="str">
        <f t="shared" si="30"/>
        <v>Sin Mov.</v>
      </c>
      <c r="G651" t="str">
        <f>IF(+'Libro Diario'!H865=0,"",+'Libro Diario'!H865)</f>
        <v/>
      </c>
      <c r="H651" t="str">
        <f>IF(+'Libro Diario'!I865=0,"",+'Libro Diario'!I865)</f>
        <v/>
      </c>
      <c r="I651" t="str">
        <f>+IF(Table3[[#This Row],[Tipo Movimiento]]="Estructura Balance y PyG","Excluir","Incluir")</f>
        <v>Incluir</v>
      </c>
      <c r="J651" s="153">
        <f>+IF(Table3[[#This Row],[Sin cuenta]]="Con Mov.",(IF(Table3[[#This Row],[Movimiento]]="Debe",Table3[[#This Row],[Importe]],IF(Table3[[#This Row],[Movimiento]]="Haber",Table3[[#This Row],[Importe]]*-1,0))),0)</f>
        <v>0</v>
      </c>
      <c r="K651" s="145">
        <f t="shared" si="31"/>
        <v>0</v>
      </c>
      <c r="L651" s="145" t="str">
        <f t="shared" si="32"/>
        <v/>
      </c>
      <c r="M651" t="str">
        <f>_xlfn.XLOOKUP(Table3[[#This Row],[Cuenta]],Estructura_Balance[Nombre Cuenta ()],Estructura_Balance[Grupo],"",0)</f>
        <v/>
      </c>
      <c r="N651" t="str">
        <f>_xlfn.XLOOKUP(Table3[[#This Row],[Cuenta]],Estructura_Balance[Nombre Cuenta ()],Estructura_Balance[Nivel 1],"",0)</f>
        <v/>
      </c>
      <c r="O651" t="str">
        <f>_xlfn.XLOOKUP(Table3[[#This Row],[Cuenta]],Estructura_Balance[Nombre Cuenta ()],Estructura_Balance[Nivel 2],"",0)</f>
        <v/>
      </c>
      <c r="P651" t="str">
        <f>_xlfn.XLOOKUP(Table3[[#This Row],[Cuenta]],Estructura_Balance[Nombre Cuenta ()],Estructura_Balance[Nivel 3],"",0)</f>
        <v/>
      </c>
      <c r="Q651" t="str">
        <f>_xlfn.XLOOKUP(Table3[[#This Row],[Cuenta]],Estructura_Balance[Nombre Cuenta ()],Estructura_Balance[Nivel 4],"",0)</f>
        <v/>
      </c>
      <c r="R651" t="str">
        <f>_xlfn.XLOOKUP(Table3[[#This Row],[Cuenta]],Table8[Nombre Cuenta ()],Table8[Nivel 1],"",0)</f>
        <v/>
      </c>
      <c r="S651" t="str">
        <f>_xlfn.XLOOKUP(Table3[[#This Row],[Cuenta]],Table8[Nombre Cuenta ()],Table8[Nivel 2],"",0)</f>
        <v/>
      </c>
      <c r="T651" t="str">
        <f>_xlfn.XLOOKUP(Table3[[#This Row],[Cuenta]],Table8[Nombre Cuenta ()],Table8[Nivel 3],"",0)</f>
        <v/>
      </c>
      <c r="U651">
        <v>1080</v>
      </c>
      <c r="V651" t="str">
        <f>_xlfn.XLOOKUP(Table3[[#This Row],[Cuenta]],Estructura_Balance[Nombre Cuenta ()],Estructura_Balance[Niveles:2],"",0)</f>
        <v/>
      </c>
      <c r="W651" t="str">
        <f>_xlfn.XLOOKUP(Table3[[#This Row],[Cuenta]],Estructura_Balance[Nombre Cuenta ()],Estructura_Balance[Niveles:3],"",0)</f>
        <v/>
      </c>
      <c r="X651" t="str">
        <f>_xlfn.XLOOKUP(Table3[[#This Row],[Cuenta]],Estructura_Balance[Nombre Cuenta ()],Estructura_Balance[Grupos],"Grupo 1",0)</f>
        <v>Grupo 1</v>
      </c>
      <c r="Y651" t="str">
        <f>+Table3[[#This Row],[BS_Nivel_1]]</f>
        <v/>
      </c>
    </row>
    <row r="652" spans="1:25">
      <c r="A652">
        <f>+'Libro Diario'!F866</f>
        <v>0</v>
      </c>
      <c r="B652" s="144">
        <f>VALUE(IF(+'Libro Diario'!G866="","01/01/2025",+'Libro Diario'!G866))</f>
        <v>45658</v>
      </c>
      <c r="C652">
        <f>IF(ISNUMBER(+IF(IFERROR(VALUE(MID('Libro Diario'!C866,1,4)),0)&lt;&gt;0,'Libro Diario'!C866,0))=FALSE,'Libro Diario'!C866,0)</f>
        <v>0</v>
      </c>
      <c r="D652" s="145">
        <f>+'Libro Diario'!B866</f>
        <v>0</v>
      </c>
      <c r="E652" s="139" t="s">
        <v>445</v>
      </c>
      <c r="F652" t="str">
        <f t="shared" si="30"/>
        <v>Sin Mov.</v>
      </c>
      <c r="G652" t="str">
        <f>IF(+'Libro Diario'!H866=0,"",+'Libro Diario'!H866)</f>
        <v/>
      </c>
      <c r="H652" t="str">
        <f>IF(+'Libro Diario'!I866=0,"",+'Libro Diario'!I866)</f>
        <v/>
      </c>
      <c r="I652" t="str">
        <f>+IF(Table3[[#This Row],[Tipo Movimiento]]="Estructura Balance y PyG","Excluir","Incluir")</f>
        <v>Incluir</v>
      </c>
      <c r="J652" s="153">
        <f>+IF(Table3[[#This Row],[Sin cuenta]]="Con Mov.",(IF(Table3[[#This Row],[Movimiento]]="Debe",Table3[[#This Row],[Importe]],IF(Table3[[#This Row],[Movimiento]]="Haber",Table3[[#This Row],[Importe]]*-1,0))),0)</f>
        <v>0</v>
      </c>
      <c r="K652" s="145">
        <f t="shared" si="31"/>
        <v>0</v>
      </c>
      <c r="L652" s="145" t="str">
        <f t="shared" si="32"/>
        <v/>
      </c>
      <c r="M652" t="str">
        <f>_xlfn.XLOOKUP(Table3[[#This Row],[Cuenta]],Estructura_Balance[Nombre Cuenta ()],Estructura_Balance[Grupo],"",0)</f>
        <v/>
      </c>
      <c r="N652" t="str">
        <f>_xlfn.XLOOKUP(Table3[[#This Row],[Cuenta]],Estructura_Balance[Nombre Cuenta ()],Estructura_Balance[Nivel 1],"",0)</f>
        <v/>
      </c>
      <c r="O652" t="str">
        <f>_xlfn.XLOOKUP(Table3[[#This Row],[Cuenta]],Estructura_Balance[Nombre Cuenta ()],Estructura_Balance[Nivel 2],"",0)</f>
        <v/>
      </c>
      <c r="P652" t="str">
        <f>_xlfn.XLOOKUP(Table3[[#This Row],[Cuenta]],Estructura_Balance[Nombre Cuenta ()],Estructura_Balance[Nivel 3],"",0)</f>
        <v/>
      </c>
      <c r="Q652" t="str">
        <f>_xlfn.XLOOKUP(Table3[[#This Row],[Cuenta]],Estructura_Balance[Nombre Cuenta ()],Estructura_Balance[Nivel 4],"",0)</f>
        <v/>
      </c>
      <c r="R652" t="str">
        <f>_xlfn.XLOOKUP(Table3[[#This Row],[Cuenta]],Table8[Nombre Cuenta ()],Table8[Nivel 1],"",0)</f>
        <v/>
      </c>
      <c r="S652" t="str">
        <f>_xlfn.XLOOKUP(Table3[[#This Row],[Cuenta]],Table8[Nombre Cuenta ()],Table8[Nivel 2],"",0)</f>
        <v/>
      </c>
      <c r="T652" t="str">
        <f>_xlfn.XLOOKUP(Table3[[#This Row],[Cuenta]],Table8[Nombre Cuenta ()],Table8[Nivel 3],"",0)</f>
        <v/>
      </c>
      <c r="U652">
        <v>1081</v>
      </c>
      <c r="V652" t="str">
        <f>_xlfn.XLOOKUP(Table3[[#This Row],[Cuenta]],Estructura_Balance[Nombre Cuenta ()],Estructura_Balance[Niveles:2],"",0)</f>
        <v/>
      </c>
      <c r="W652" t="str">
        <f>_xlfn.XLOOKUP(Table3[[#This Row],[Cuenta]],Estructura_Balance[Nombre Cuenta ()],Estructura_Balance[Niveles:3],"",0)</f>
        <v/>
      </c>
      <c r="X652" t="str">
        <f>_xlfn.XLOOKUP(Table3[[#This Row],[Cuenta]],Estructura_Balance[Nombre Cuenta ()],Estructura_Balance[Grupos],"Grupo 1",0)</f>
        <v>Grupo 1</v>
      </c>
      <c r="Y652" t="str">
        <f>+Table3[[#This Row],[BS_Nivel_1]]</f>
        <v/>
      </c>
    </row>
    <row r="653" spans="1:25">
      <c r="A653">
        <f>+'Libro Diario'!F867</f>
        <v>0</v>
      </c>
      <c r="B653" s="144">
        <f>VALUE(IF(+'Libro Diario'!G867="","01/01/2025",+'Libro Diario'!G867))</f>
        <v>45658</v>
      </c>
      <c r="C653">
        <f>IF(ISNUMBER(+IF(IFERROR(VALUE(MID('Libro Diario'!C867,1,4)),0)&lt;&gt;0,'Libro Diario'!C867,0))=FALSE,'Libro Diario'!C867,0)</f>
        <v>0</v>
      </c>
      <c r="D653" s="145">
        <f>+'Libro Diario'!B867</f>
        <v>0</v>
      </c>
      <c r="E653" s="139" t="s">
        <v>445</v>
      </c>
      <c r="F653" t="str">
        <f t="shared" si="30"/>
        <v>Sin Mov.</v>
      </c>
      <c r="G653" t="str">
        <f>IF(+'Libro Diario'!H867=0,"",+'Libro Diario'!H867)</f>
        <v/>
      </c>
      <c r="H653" t="str">
        <f>IF(+'Libro Diario'!I867=0,"",+'Libro Diario'!I867)</f>
        <v/>
      </c>
      <c r="I653" t="str">
        <f>+IF(Table3[[#This Row],[Tipo Movimiento]]="Estructura Balance y PyG","Excluir","Incluir")</f>
        <v>Incluir</v>
      </c>
      <c r="J653" s="153">
        <f>+IF(Table3[[#This Row],[Sin cuenta]]="Con Mov.",(IF(Table3[[#This Row],[Movimiento]]="Debe",Table3[[#This Row],[Importe]],IF(Table3[[#This Row],[Movimiento]]="Haber",Table3[[#This Row],[Importe]]*-1,0))),0)</f>
        <v>0</v>
      </c>
      <c r="K653" s="145">
        <f t="shared" si="31"/>
        <v>0</v>
      </c>
      <c r="L653" s="145" t="str">
        <f t="shared" si="32"/>
        <v/>
      </c>
      <c r="M653" t="str">
        <f>_xlfn.XLOOKUP(Table3[[#This Row],[Cuenta]],Estructura_Balance[Nombre Cuenta ()],Estructura_Balance[Grupo],"",0)</f>
        <v/>
      </c>
      <c r="N653" t="str">
        <f>_xlfn.XLOOKUP(Table3[[#This Row],[Cuenta]],Estructura_Balance[Nombre Cuenta ()],Estructura_Balance[Nivel 1],"",0)</f>
        <v/>
      </c>
      <c r="O653" t="str">
        <f>_xlfn.XLOOKUP(Table3[[#This Row],[Cuenta]],Estructura_Balance[Nombre Cuenta ()],Estructura_Balance[Nivel 2],"",0)</f>
        <v/>
      </c>
      <c r="P653" t="str">
        <f>_xlfn.XLOOKUP(Table3[[#This Row],[Cuenta]],Estructura_Balance[Nombre Cuenta ()],Estructura_Balance[Nivel 3],"",0)</f>
        <v/>
      </c>
      <c r="Q653" t="str">
        <f>_xlfn.XLOOKUP(Table3[[#This Row],[Cuenta]],Estructura_Balance[Nombre Cuenta ()],Estructura_Balance[Nivel 4],"",0)</f>
        <v/>
      </c>
      <c r="R653" t="str">
        <f>_xlfn.XLOOKUP(Table3[[#This Row],[Cuenta]],Table8[Nombre Cuenta ()],Table8[Nivel 1],"",0)</f>
        <v/>
      </c>
      <c r="S653" t="str">
        <f>_xlfn.XLOOKUP(Table3[[#This Row],[Cuenta]],Table8[Nombre Cuenta ()],Table8[Nivel 2],"",0)</f>
        <v/>
      </c>
      <c r="T653" t="str">
        <f>_xlfn.XLOOKUP(Table3[[#This Row],[Cuenta]],Table8[Nombre Cuenta ()],Table8[Nivel 3],"",0)</f>
        <v/>
      </c>
      <c r="U653">
        <v>1084</v>
      </c>
      <c r="V653" t="str">
        <f>_xlfn.XLOOKUP(Table3[[#This Row],[Cuenta]],Estructura_Balance[Nombre Cuenta ()],Estructura_Balance[Niveles:2],"",0)</f>
        <v/>
      </c>
      <c r="W653" t="str">
        <f>_xlfn.XLOOKUP(Table3[[#This Row],[Cuenta]],Estructura_Balance[Nombre Cuenta ()],Estructura_Balance[Niveles:3],"",0)</f>
        <v/>
      </c>
      <c r="X653" t="str">
        <f>_xlfn.XLOOKUP(Table3[[#This Row],[Cuenta]],Estructura_Balance[Nombre Cuenta ()],Estructura_Balance[Grupos],"Grupo 1",0)</f>
        <v>Grupo 1</v>
      </c>
      <c r="Y653" t="str">
        <f>+Table3[[#This Row],[BS_Nivel_1]]</f>
        <v/>
      </c>
    </row>
    <row r="654" spans="1:25">
      <c r="A654">
        <f>+'Libro Diario'!F868</f>
        <v>0</v>
      </c>
      <c r="B654" s="144">
        <f>VALUE(IF(+'Libro Diario'!G868="","01/01/2025",+'Libro Diario'!G868))</f>
        <v>45658</v>
      </c>
      <c r="C654">
        <f>IF(ISNUMBER(+IF(IFERROR(VALUE(MID('Libro Diario'!C868,1,4)),0)&lt;&gt;0,'Libro Diario'!C868,0))=FALSE,'Libro Diario'!C868,0)</f>
        <v>0</v>
      </c>
      <c r="D654" s="145">
        <f>+'Libro Diario'!B868</f>
        <v>0</v>
      </c>
      <c r="E654" s="139" t="s">
        <v>445</v>
      </c>
      <c r="F654" t="str">
        <f t="shared" si="30"/>
        <v>Sin Mov.</v>
      </c>
      <c r="G654" t="str">
        <f>IF(+'Libro Diario'!H868=0,"",+'Libro Diario'!H868)</f>
        <v/>
      </c>
      <c r="H654" t="str">
        <f>IF(+'Libro Diario'!I868=0,"",+'Libro Diario'!I868)</f>
        <v/>
      </c>
      <c r="I654" t="str">
        <f>+IF(Table3[[#This Row],[Tipo Movimiento]]="Estructura Balance y PyG","Excluir","Incluir")</f>
        <v>Incluir</v>
      </c>
      <c r="J654" s="153">
        <f>+IF(Table3[[#This Row],[Sin cuenta]]="Con Mov.",(IF(Table3[[#This Row],[Movimiento]]="Debe",Table3[[#This Row],[Importe]],IF(Table3[[#This Row],[Movimiento]]="Haber",Table3[[#This Row],[Importe]]*-1,0))),0)</f>
        <v>0</v>
      </c>
      <c r="K654" s="145">
        <f t="shared" si="31"/>
        <v>0</v>
      </c>
      <c r="L654" s="145" t="str">
        <f t="shared" si="32"/>
        <v/>
      </c>
      <c r="M654" t="str">
        <f>_xlfn.XLOOKUP(Table3[[#This Row],[Cuenta]],Estructura_Balance[Nombre Cuenta ()],Estructura_Balance[Grupo],"",0)</f>
        <v/>
      </c>
      <c r="N654" t="str">
        <f>_xlfn.XLOOKUP(Table3[[#This Row],[Cuenta]],Estructura_Balance[Nombre Cuenta ()],Estructura_Balance[Nivel 1],"",0)</f>
        <v/>
      </c>
      <c r="O654" t="str">
        <f>_xlfn.XLOOKUP(Table3[[#This Row],[Cuenta]],Estructura_Balance[Nombre Cuenta ()],Estructura_Balance[Nivel 2],"",0)</f>
        <v/>
      </c>
      <c r="P654" t="str">
        <f>_xlfn.XLOOKUP(Table3[[#This Row],[Cuenta]],Estructura_Balance[Nombre Cuenta ()],Estructura_Balance[Nivel 3],"",0)</f>
        <v/>
      </c>
      <c r="Q654" t="str">
        <f>_xlfn.XLOOKUP(Table3[[#This Row],[Cuenta]],Estructura_Balance[Nombre Cuenta ()],Estructura_Balance[Nivel 4],"",0)</f>
        <v/>
      </c>
      <c r="R654" t="str">
        <f>_xlfn.XLOOKUP(Table3[[#This Row],[Cuenta]],Table8[Nombre Cuenta ()],Table8[Nivel 1],"",0)</f>
        <v/>
      </c>
      <c r="S654" t="str">
        <f>_xlfn.XLOOKUP(Table3[[#This Row],[Cuenta]],Table8[Nombre Cuenta ()],Table8[Nivel 2],"",0)</f>
        <v/>
      </c>
      <c r="T654" t="str">
        <f>_xlfn.XLOOKUP(Table3[[#This Row],[Cuenta]],Table8[Nombre Cuenta ()],Table8[Nivel 3],"",0)</f>
        <v/>
      </c>
      <c r="U654">
        <v>1085</v>
      </c>
      <c r="V654" t="str">
        <f>_xlfn.XLOOKUP(Table3[[#This Row],[Cuenta]],Estructura_Balance[Nombre Cuenta ()],Estructura_Balance[Niveles:2],"",0)</f>
        <v/>
      </c>
      <c r="W654" t="str">
        <f>_xlfn.XLOOKUP(Table3[[#This Row],[Cuenta]],Estructura_Balance[Nombre Cuenta ()],Estructura_Balance[Niveles:3],"",0)</f>
        <v/>
      </c>
      <c r="X654" t="str">
        <f>_xlfn.XLOOKUP(Table3[[#This Row],[Cuenta]],Estructura_Balance[Nombre Cuenta ()],Estructura_Balance[Grupos],"Grupo 1",0)</f>
        <v>Grupo 1</v>
      </c>
      <c r="Y654" t="str">
        <f>+Table3[[#This Row],[BS_Nivel_1]]</f>
        <v/>
      </c>
    </row>
    <row r="655" spans="1:25">
      <c r="A655">
        <f>+'Libro Diario'!F869</f>
        <v>0</v>
      </c>
      <c r="B655" s="144">
        <f>VALUE(IF(+'Libro Diario'!G869="","01/01/2025",+'Libro Diario'!G869))</f>
        <v>45658</v>
      </c>
      <c r="C655">
        <f>IF(ISNUMBER(+IF(IFERROR(VALUE(MID('Libro Diario'!C869,1,4)),0)&lt;&gt;0,'Libro Diario'!C869,0))=FALSE,'Libro Diario'!C869,0)</f>
        <v>0</v>
      </c>
      <c r="D655" s="145">
        <f>+'Libro Diario'!B869</f>
        <v>0</v>
      </c>
      <c r="E655" s="139" t="s">
        <v>445</v>
      </c>
      <c r="F655" t="str">
        <f t="shared" si="30"/>
        <v>Sin Mov.</v>
      </c>
      <c r="G655" t="str">
        <f>IF(+'Libro Diario'!H869=0,"",+'Libro Diario'!H869)</f>
        <v/>
      </c>
      <c r="H655" t="str">
        <f>IF(+'Libro Diario'!I869=0,"",+'Libro Diario'!I869)</f>
        <v/>
      </c>
      <c r="I655" t="str">
        <f>+IF(Table3[[#This Row],[Tipo Movimiento]]="Estructura Balance y PyG","Excluir","Incluir")</f>
        <v>Incluir</v>
      </c>
      <c r="J655" s="153">
        <f>+IF(Table3[[#This Row],[Sin cuenta]]="Con Mov.",(IF(Table3[[#This Row],[Movimiento]]="Debe",Table3[[#This Row],[Importe]],IF(Table3[[#This Row],[Movimiento]]="Haber",Table3[[#This Row],[Importe]]*-1,0))),0)</f>
        <v>0</v>
      </c>
      <c r="K655" s="145">
        <f t="shared" si="31"/>
        <v>0</v>
      </c>
      <c r="L655" s="145" t="str">
        <f t="shared" si="32"/>
        <v/>
      </c>
      <c r="M655" t="str">
        <f>_xlfn.XLOOKUP(Table3[[#This Row],[Cuenta]],Estructura_Balance[Nombre Cuenta ()],Estructura_Balance[Grupo],"",0)</f>
        <v/>
      </c>
      <c r="N655" t="str">
        <f>_xlfn.XLOOKUP(Table3[[#This Row],[Cuenta]],Estructura_Balance[Nombre Cuenta ()],Estructura_Balance[Nivel 1],"",0)</f>
        <v/>
      </c>
      <c r="O655" t="str">
        <f>_xlfn.XLOOKUP(Table3[[#This Row],[Cuenta]],Estructura_Balance[Nombre Cuenta ()],Estructura_Balance[Nivel 2],"",0)</f>
        <v/>
      </c>
      <c r="P655" t="str">
        <f>_xlfn.XLOOKUP(Table3[[#This Row],[Cuenta]],Estructura_Balance[Nombre Cuenta ()],Estructura_Balance[Nivel 3],"",0)</f>
        <v/>
      </c>
      <c r="Q655" t="str">
        <f>_xlfn.XLOOKUP(Table3[[#This Row],[Cuenta]],Estructura_Balance[Nombre Cuenta ()],Estructura_Balance[Nivel 4],"",0)</f>
        <v/>
      </c>
      <c r="R655" t="str">
        <f>_xlfn.XLOOKUP(Table3[[#This Row],[Cuenta]],Table8[Nombre Cuenta ()],Table8[Nivel 1],"",0)</f>
        <v/>
      </c>
      <c r="S655" t="str">
        <f>_xlfn.XLOOKUP(Table3[[#This Row],[Cuenta]],Table8[Nombre Cuenta ()],Table8[Nivel 2],"",0)</f>
        <v/>
      </c>
      <c r="T655" t="str">
        <f>_xlfn.XLOOKUP(Table3[[#This Row],[Cuenta]],Table8[Nombre Cuenta ()],Table8[Nivel 3],"",0)</f>
        <v/>
      </c>
      <c r="U655">
        <v>1086</v>
      </c>
      <c r="V655" t="str">
        <f>_xlfn.XLOOKUP(Table3[[#This Row],[Cuenta]],Estructura_Balance[Nombre Cuenta ()],Estructura_Balance[Niveles:2],"",0)</f>
        <v/>
      </c>
      <c r="W655" t="str">
        <f>_xlfn.XLOOKUP(Table3[[#This Row],[Cuenta]],Estructura_Balance[Nombre Cuenta ()],Estructura_Balance[Niveles:3],"",0)</f>
        <v/>
      </c>
      <c r="X655" t="str">
        <f>_xlfn.XLOOKUP(Table3[[#This Row],[Cuenta]],Estructura_Balance[Nombre Cuenta ()],Estructura_Balance[Grupos],"Grupo 1",0)</f>
        <v>Grupo 1</v>
      </c>
      <c r="Y655" t="str">
        <f>+Table3[[#This Row],[BS_Nivel_1]]</f>
        <v/>
      </c>
    </row>
    <row r="656" spans="1:25">
      <c r="A656">
        <f>+'Libro Diario'!F870</f>
        <v>0</v>
      </c>
      <c r="B656" s="144">
        <f>VALUE(IF(+'Libro Diario'!G870="","01/01/2025",+'Libro Diario'!G870))</f>
        <v>45658</v>
      </c>
      <c r="C656">
        <f>IF(ISNUMBER(+IF(IFERROR(VALUE(MID('Libro Diario'!C870,1,4)),0)&lt;&gt;0,'Libro Diario'!C870,0))=FALSE,'Libro Diario'!C870,0)</f>
        <v>0</v>
      </c>
      <c r="D656" s="145">
        <f>+'Libro Diario'!B870</f>
        <v>0</v>
      </c>
      <c r="E656" s="139" t="s">
        <v>445</v>
      </c>
      <c r="F656" t="str">
        <f t="shared" si="30"/>
        <v>Sin Mov.</v>
      </c>
      <c r="G656" t="str">
        <f>IF(+'Libro Diario'!H870=0,"",+'Libro Diario'!H870)</f>
        <v/>
      </c>
      <c r="H656" t="str">
        <f>IF(+'Libro Diario'!I870=0,"",+'Libro Diario'!I870)</f>
        <v/>
      </c>
      <c r="I656" t="str">
        <f>+IF(Table3[[#This Row],[Tipo Movimiento]]="Estructura Balance y PyG","Excluir","Incluir")</f>
        <v>Incluir</v>
      </c>
      <c r="J656" s="153">
        <f>+IF(Table3[[#This Row],[Sin cuenta]]="Con Mov.",(IF(Table3[[#This Row],[Movimiento]]="Debe",Table3[[#This Row],[Importe]],IF(Table3[[#This Row],[Movimiento]]="Haber",Table3[[#This Row],[Importe]]*-1,0))),0)</f>
        <v>0</v>
      </c>
      <c r="K656" s="145">
        <f t="shared" si="31"/>
        <v>0</v>
      </c>
      <c r="L656" s="145" t="str">
        <f t="shared" si="32"/>
        <v/>
      </c>
      <c r="M656" t="str">
        <f>_xlfn.XLOOKUP(Table3[[#This Row],[Cuenta]],Estructura_Balance[Nombre Cuenta ()],Estructura_Balance[Grupo],"",0)</f>
        <v/>
      </c>
      <c r="N656" t="str">
        <f>_xlfn.XLOOKUP(Table3[[#This Row],[Cuenta]],Estructura_Balance[Nombre Cuenta ()],Estructura_Balance[Nivel 1],"",0)</f>
        <v/>
      </c>
      <c r="O656" t="str">
        <f>_xlfn.XLOOKUP(Table3[[#This Row],[Cuenta]],Estructura_Balance[Nombre Cuenta ()],Estructura_Balance[Nivel 2],"",0)</f>
        <v/>
      </c>
      <c r="P656" t="str">
        <f>_xlfn.XLOOKUP(Table3[[#This Row],[Cuenta]],Estructura_Balance[Nombre Cuenta ()],Estructura_Balance[Nivel 3],"",0)</f>
        <v/>
      </c>
      <c r="Q656" t="str">
        <f>_xlfn.XLOOKUP(Table3[[#This Row],[Cuenta]],Estructura_Balance[Nombre Cuenta ()],Estructura_Balance[Nivel 4],"",0)</f>
        <v/>
      </c>
      <c r="R656" t="str">
        <f>_xlfn.XLOOKUP(Table3[[#This Row],[Cuenta]],Table8[Nombre Cuenta ()],Table8[Nivel 1],"",0)</f>
        <v/>
      </c>
      <c r="S656" t="str">
        <f>_xlfn.XLOOKUP(Table3[[#This Row],[Cuenta]],Table8[Nombre Cuenta ()],Table8[Nivel 2],"",0)</f>
        <v/>
      </c>
      <c r="T656" t="str">
        <f>_xlfn.XLOOKUP(Table3[[#This Row],[Cuenta]],Table8[Nombre Cuenta ()],Table8[Nivel 3],"",0)</f>
        <v/>
      </c>
      <c r="U656">
        <v>1087</v>
      </c>
      <c r="V656" t="str">
        <f>_xlfn.XLOOKUP(Table3[[#This Row],[Cuenta]],Estructura_Balance[Nombre Cuenta ()],Estructura_Balance[Niveles:2],"",0)</f>
        <v/>
      </c>
      <c r="W656" t="str">
        <f>_xlfn.XLOOKUP(Table3[[#This Row],[Cuenta]],Estructura_Balance[Nombre Cuenta ()],Estructura_Balance[Niveles:3],"",0)</f>
        <v/>
      </c>
      <c r="X656" t="str">
        <f>_xlfn.XLOOKUP(Table3[[#This Row],[Cuenta]],Estructura_Balance[Nombre Cuenta ()],Estructura_Balance[Grupos],"Grupo 1",0)</f>
        <v>Grupo 1</v>
      </c>
      <c r="Y656" t="str">
        <f>+Table3[[#This Row],[BS_Nivel_1]]</f>
        <v/>
      </c>
    </row>
    <row r="657" spans="1:25">
      <c r="A657">
        <f>+'Libro Diario'!F871</f>
        <v>0</v>
      </c>
      <c r="B657" s="144">
        <f>VALUE(IF(+'Libro Diario'!G871="","01/01/2025",+'Libro Diario'!G871))</f>
        <v>45658</v>
      </c>
      <c r="C657">
        <f>IF(ISNUMBER(+IF(IFERROR(VALUE(MID('Libro Diario'!C871,1,4)),0)&lt;&gt;0,'Libro Diario'!C871,0))=FALSE,'Libro Diario'!C871,0)</f>
        <v>0</v>
      </c>
      <c r="D657" s="145">
        <f>+'Libro Diario'!B871</f>
        <v>0</v>
      </c>
      <c r="E657" s="139" t="s">
        <v>445</v>
      </c>
      <c r="F657" t="str">
        <f t="shared" si="30"/>
        <v>Sin Mov.</v>
      </c>
      <c r="G657" t="str">
        <f>IF(+'Libro Diario'!H871=0,"",+'Libro Diario'!H871)</f>
        <v/>
      </c>
      <c r="H657" t="str">
        <f>IF(+'Libro Diario'!I871=0,"",+'Libro Diario'!I871)</f>
        <v/>
      </c>
      <c r="I657" t="str">
        <f>+IF(Table3[[#This Row],[Tipo Movimiento]]="Estructura Balance y PyG","Excluir","Incluir")</f>
        <v>Incluir</v>
      </c>
      <c r="J657" s="153">
        <f>+IF(Table3[[#This Row],[Sin cuenta]]="Con Mov.",(IF(Table3[[#This Row],[Movimiento]]="Debe",Table3[[#This Row],[Importe]],IF(Table3[[#This Row],[Movimiento]]="Haber",Table3[[#This Row],[Importe]]*-1,0))),0)</f>
        <v>0</v>
      </c>
      <c r="K657" s="145">
        <f t="shared" si="31"/>
        <v>0</v>
      </c>
      <c r="L657" s="145" t="str">
        <f t="shared" si="32"/>
        <v/>
      </c>
      <c r="M657" t="str">
        <f>_xlfn.XLOOKUP(Table3[[#This Row],[Cuenta]],Estructura_Balance[Nombre Cuenta ()],Estructura_Balance[Grupo],"",0)</f>
        <v/>
      </c>
      <c r="N657" t="str">
        <f>_xlfn.XLOOKUP(Table3[[#This Row],[Cuenta]],Estructura_Balance[Nombre Cuenta ()],Estructura_Balance[Nivel 1],"",0)</f>
        <v/>
      </c>
      <c r="O657" t="str">
        <f>_xlfn.XLOOKUP(Table3[[#This Row],[Cuenta]],Estructura_Balance[Nombre Cuenta ()],Estructura_Balance[Nivel 2],"",0)</f>
        <v/>
      </c>
      <c r="P657" t="str">
        <f>_xlfn.XLOOKUP(Table3[[#This Row],[Cuenta]],Estructura_Balance[Nombre Cuenta ()],Estructura_Balance[Nivel 3],"",0)</f>
        <v/>
      </c>
      <c r="Q657" t="str">
        <f>_xlfn.XLOOKUP(Table3[[#This Row],[Cuenta]],Estructura_Balance[Nombre Cuenta ()],Estructura_Balance[Nivel 4],"",0)</f>
        <v/>
      </c>
      <c r="R657" t="str">
        <f>_xlfn.XLOOKUP(Table3[[#This Row],[Cuenta]],Table8[Nombre Cuenta ()],Table8[Nivel 1],"",0)</f>
        <v/>
      </c>
      <c r="S657" t="str">
        <f>_xlfn.XLOOKUP(Table3[[#This Row],[Cuenta]],Table8[Nombre Cuenta ()],Table8[Nivel 2],"",0)</f>
        <v/>
      </c>
      <c r="T657" t="str">
        <f>_xlfn.XLOOKUP(Table3[[#This Row],[Cuenta]],Table8[Nombre Cuenta ()],Table8[Nivel 3],"",0)</f>
        <v/>
      </c>
      <c r="U657">
        <v>1088</v>
      </c>
      <c r="V657" t="str">
        <f>_xlfn.XLOOKUP(Table3[[#This Row],[Cuenta]],Estructura_Balance[Nombre Cuenta ()],Estructura_Balance[Niveles:2],"",0)</f>
        <v/>
      </c>
      <c r="W657" t="str">
        <f>_xlfn.XLOOKUP(Table3[[#This Row],[Cuenta]],Estructura_Balance[Nombre Cuenta ()],Estructura_Balance[Niveles:3],"",0)</f>
        <v/>
      </c>
      <c r="X657" t="str">
        <f>_xlfn.XLOOKUP(Table3[[#This Row],[Cuenta]],Estructura_Balance[Nombre Cuenta ()],Estructura_Balance[Grupos],"Grupo 1",0)</f>
        <v>Grupo 1</v>
      </c>
      <c r="Y657" t="str">
        <f>+Table3[[#This Row],[BS_Nivel_1]]</f>
        <v/>
      </c>
    </row>
    <row r="658" spans="1:25">
      <c r="A658">
        <f>+'Libro Diario'!F872</f>
        <v>0</v>
      </c>
      <c r="B658" s="144">
        <f>VALUE(IF(+'Libro Diario'!G872="","01/01/2025",+'Libro Diario'!G872))</f>
        <v>45658</v>
      </c>
      <c r="C658">
        <f>IF(ISNUMBER(+IF(IFERROR(VALUE(MID('Libro Diario'!C872,1,4)),0)&lt;&gt;0,'Libro Diario'!C872,0))=FALSE,'Libro Diario'!C872,0)</f>
        <v>0</v>
      </c>
      <c r="D658" s="145">
        <f>+'Libro Diario'!B872</f>
        <v>0</v>
      </c>
      <c r="E658" s="139" t="s">
        <v>445</v>
      </c>
      <c r="F658" t="str">
        <f t="shared" si="30"/>
        <v>Sin Mov.</v>
      </c>
      <c r="G658" t="str">
        <f>IF(+'Libro Diario'!H872=0,"",+'Libro Diario'!H872)</f>
        <v/>
      </c>
      <c r="H658" t="str">
        <f>IF(+'Libro Diario'!I872=0,"",+'Libro Diario'!I872)</f>
        <v/>
      </c>
      <c r="I658" t="str">
        <f>+IF(Table3[[#This Row],[Tipo Movimiento]]="Estructura Balance y PyG","Excluir","Incluir")</f>
        <v>Incluir</v>
      </c>
      <c r="J658" s="153">
        <f>+IF(Table3[[#This Row],[Sin cuenta]]="Con Mov.",(IF(Table3[[#This Row],[Movimiento]]="Debe",Table3[[#This Row],[Importe]],IF(Table3[[#This Row],[Movimiento]]="Haber",Table3[[#This Row],[Importe]]*-1,0))),0)</f>
        <v>0</v>
      </c>
      <c r="K658" s="145">
        <f t="shared" si="31"/>
        <v>0</v>
      </c>
      <c r="L658" s="145" t="str">
        <f t="shared" si="32"/>
        <v/>
      </c>
      <c r="M658" t="str">
        <f>_xlfn.XLOOKUP(Table3[[#This Row],[Cuenta]],Estructura_Balance[Nombre Cuenta ()],Estructura_Balance[Grupo],"",0)</f>
        <v/>
      </c>
      <c r="N658" t="str">
        <f>_xlfn.XLOOKUP(Table3[[#This Row],[Cuenta]],Estructura_Balance[Nombre Cuenta ()],Estructura_Balance[Nivel 1],"",0)</f>
        <v/>
      </c>
      <c r="O658" t="str">
        <f>_xlfn.XLOOKUP(Table3[[#This Row],[Cuenta]],Estructura_Balance[Nombre Cuenta ()],Estructura_Balance[Nivel 2],"",0)</f>
        <v/>
      </c>
      <c r="P658" t="str">
        <f>_xlfn.XLOOKUP(Table3[[#This Row],[Cuenta]],Estructura_Balance[Nombre Cuenta ()],Estructura_Balance[Nivel 3],"",0)</f>
        <v/>
      </c>
      <c r="Q658" t="str">
        <f>_xlfn.XLOOKUP(Table3[[#This Row],[Cuenta]],Estructura_Balance[Nombre Cuenta ()],Estructura_Balance[Nivel 4],"",0)</f>
        <v/>
      </c>
      <c r="R658" t="str">
        <f>_xlfn.XLOOKUP(Table3[[#This Row],[Cuenta]],Table8[Nombre Cuenta ()],Table8[Nivel 1],"",0)</f>
        <v/>
      </c>
      <c r="S658" t="str">
        <f>_xlfn.XLOOKUP(Table3[[#This Row],[Cuenta]],Table8[Nombre Cuenta ()],Table8[Nivel 2],"",0)</f>
        <v/>
      </c>
      <c r="T658" t="str">
        <f>_xlfn.XLOOKUP(Table3[[#This Row],[Cuenta]],Table8[Nombre Cuenta ()],Table8[Nivel 3],"",0)</f>
        <v/>
      </c>
      <c r="U658">
        <v>1092</v>
      </c>
      <c r="V658" t="str">
        <f>_xlfn.XLOOKUP(Table3[[#This Row],[Cuenta]],Estructura_Balance[Nombre Cuenta ()],Estructura_Balance[Niveles:2],"",0)</f>
        <v/>
      </c>
      <c r="W658" t="str">
        <f>_xlfn.XLOOKUP(Table3[[#This Row],[Cuenta]],Estructura_Balance[Nombre Cuenta ()],Estructura_Balance[Niveles:3],"",0)</f>
        <v/>
      </c>
      <c r="X658" t="str">
        <f>_xlfn.XLOOKUP(Table3[[#This Row],[Cuenta]],Estructura_Balance[Nombre Cuenta ()],Estructura_Balance[Grupos],"Grupo 1",0)</f>
        <v>Grupo 1</v>
      </c>
      <c r="Y658" t="str">
        <f>+Table3[[#This Row],[BS_Nivel_1]]</f>
        <v/>
      </c>
    </row>
    <row r="659" spans="1:25">
      <c r="A659">
        <f>+'Libro Diario'!F873</f>
        <v>0</v>
      </c>
      <c r="B659" s="144">
        <f>VALUE(IF(+'Libro Diario'!G873="","01/01/2025",+'Libro Diario'!G873))</f>
        <v>45658</v>
      </c>
      <c r="C659">
        <f>IF(ISNUMBER(+IF(IFERROR(VALUE(MID('Libro Diario'!C873,1,4)),0)&lt;&gt;0,'Libro Diario'!C873,0))=FALSE,'Libro Diario'!C873,0)</f>
        <v>0</v>
      </c>
      <c r="D659" s="145">
        <f>+'Libro Diario'!B873</f>
        <v>0</v>
      </c>
      <c r="E659" s="139" t="s">
        <v>445</v>
      </c>
      <c r="F659" t="str">
        <f t="shared" si="30"/>
        <v>Sin Mov.</v>
      </c>
      <c r="G659" t="str">
        <f>IF(+'Libro Diario'!H873=0,"",+'Libro Diario'!H873)</f>
        <v/>
      </c>
      <c r="H659" t="str">
        <f>IF(+'Libro Diario'!I873=0,"",+'Libro Diario'!I873)</f>
        <v/>
      </c>
      <c r="I659" t="str">
        <f>+IF(Table3[[#This Row],[Tipo Movimiento]]="Estructura Balance y PyG","Excluir","Incluir")</f>
        <v>Incluir</v>
      </c>
      <c r="J659" s="153">
        <f>+IF(Table3[[#This Row],[Sin cuenta]]="Con Mov.",(IF(Table3[[#This Row],[Movimiento]]="Debe",Table3[[#This Row],[Importe]],IF(Table3[[#This Row],[Movimiento]]="Haber",Table3[[#This Row],[Importe]]*-1,0))),0)</f>
        <v>0</v>
      </c>
      <c r="K659" s="145">
        <f t="shared" si="31"/>
        <v>0</v>
      </c>
      <c r="L659" s="145" t="str">
        <f t="shared" si="32"/>
        <v/>
      </c>
      <c r="M659" t="str">
        <f>_xlfn.XLOOKUP(Table3[[#This Row],[Cuenta]],Estructura_Balance[Nombre Cuenta ()],Estructura_Balance[Grupo],"",0)</f>
        <v/>
      </c>
      <c r="N659" t="str">
        <f>_xlfn.XLOOKUP(Table3[[#This Row],[Cuenta]],Estructura_Balance[Nombre Cuenta ()],Estructura_Balance[Nivel 1],"",0)</f>
        <v/>
      </c>
      <c r="O659" t="str">
        <f>_xlfn.XLOOKUP(Table3[[#This Row],[Cuenta]],Estructura_Balance[Nombre Cuenta ()],Estructura_Balance[Nivel 2],"",0)</f>
        <v/>
      </c>
      <c r="P659" t="str">
        <f>_xlfn.XLOOKUP(Table3[[#This Row],[Cuenta]],Estructura_Balance[Nombre Cuenta ()],Estructura_Balance[Nivel 3],"",0)</f>
        <v/>
      </c>
      <c r="Q659" t="str">
        <f>_xlfn.XLOOKUP(Table3[[#This Row],[Cuenta]],Estructura_Balance[Nombre Cuenta ()],Estructura_Balance[Nivel 4],"",0)</f>
        <v/>
      </c>
      <c r="R659" t="str">
        <f>_xlfn.XLOOKUP(Table3[[#This Row],[Cuenta]],Table8[Nombre Cuenta ()],Table8[Nivel 1],"",0)</f>
        <v/>
      </c>
      <c r="S659" t="str">
        <f>_xlfn.XLOOKUP(Table3[[#This Row],[Cuenta]],Table8[Nombre Cuenta ()],Table8[Nivel 2],"",0)</f>
        <v/>
      </c>
      <c r="T659" t="str">
        <f>_xlfn.XLOOKUP(Table3[[#This Row],[Cuenta]],Table8[Nombre Cuenta ()],Table8[Nivel 3],"",0)</f>
        <v/>
      </c>
      <c r="U659">
        <v>1093</v>
      </c>
      <c r="V659" t="str">
        <f>_xlfn.XLOOKUP(Table3[[#This Row],[Cuenta]],Estructura_Balance[Nombre Cuenta ()],Estructura_Balance[Niveles:2],"",0)</f>
        <v/>
      </c>
      <c r="W659" t="str">
        <f>_xlfn.XLOOKUP(Table3[[#This Row],[Cuenta]],Estructura_Balance[Nombre Cuenta ()],Estructura_Balance[Niveles:3],"",0)</f>
        <v/>
      </c>
      <c r="X659" t="str">
        <f>_xlfn.XLOOKUP(Table3[[#This Row],[Cuenta]],Estructura_Balance[Nombre Cuenta ()],Estructura_Balance[Grupos],"Grupo 1",0)</f>
        <v>Grupo 1</v>
      </c>
      <c r="Y659" t="str">
        <f>+Table3[[#This Row],[BS_Nivel_1]]</f>
        <v/>
      </c>
    </row>
    <row r="660" spans="1:25">
      <c r="A660">
        <f>+'Libro Diario'!F874</f>
        <v>0</v>
      </c>
      <c r="B660" s="144">
        <f>VALUE(IF(+'Libro Diario'!G874="","01/01/2025",+'Libro Diario'!G874))</f>
        <v>45658</v>
      </c>
      <c r="C660">
        <f>IF(ISNUMBER(+IF(IFERROR(VALUE(MID('Libro Diario'!C874,1,4)),0)&lt;&gt;0,'Libro Diario'!C874,0))=FALSE,'Libro Diario'!C874,0)</f>
        <v>0</v>
      </c>
      <c r="D660" s="145">
        <f>+'Libro Diario'!B874</f>
        <v>0</v>
      </c>
      <c r="E660" s="139" t="s">
        <v>445</v>
      </c>
      <c r="F660" t="str">
        <f t="shared" si="30"/>
        <v>Sin Mov.</v>
      </c>
      <c r="G660" t="str">
        <f>IF(+'Libro Diario'!H874=0,"",+'Libro Diario'!H874)</f>
        <v/>
      </c>
      <c r="H660" t="str">
        <f>IF(+'Libro Diario'!I874=0,"",+'Libro Diario'!I874)</f>
        <v/>
      </c>
      <c r="I660" t="str">
        <f>+IF(Table3[[#This Row],[Tipo Movimiento]]="Estructura Balance y PyG","Excluir","Incluir")</f>
        <v>Incluir</v>
      </c>
      <c r="J660" s="153">
        <f>+IF(Table3[[#This Row],[Sin cuenta]]="Con Mov.",(IF(Table3[[#This Row],[Movimiento]]="Debe",Table3[[#This Row],[Importe]],IF(Table3[[#This Row],[Movimiento]]="Haber",Table3[[#This Row],[Importe]]*-1,0))),0)</f>
        <v>0</v>
      </c>
      <c r="K660" s="145">
        <f t="shared" si="31"/>
        <v>0</v>
      </c>
      <c r="L660" s="145" t="str">
        <f t="shared" si="32"/>
        <v/>
      </c>
      <c r="M660" t="str">
        <f>_xlfn.XLOOKUP(Table3[[#This Row],[Cuenta]],Estructura_Balance[Nombre Cuenta ()],Estructura_Balance[Grupo],"",0)</f>
        <v/>
      </c>
      <c r="N660" t="str">
        <f>_xlfn.XLOOKUP(Table3[[#This Row],[Cuenta]],Estructura_Balance[Nombre Cuenta ()],Estructura_Balance[Nivel 1],"",0)</f>
        <v/>
      </c>
      <c r="O660" t="str">
        <f>_xlfn.XLOOKUP(Table3[[#This Row],[Cuenta]],Estructura_Balance[Nombre Cuenta ()],Estructura_Balance[Nivel 2],"",0)</f>
        <v/>
      </c>
      <c r="P660" t="str">
        <f>_xlfn.XLOOKUP(Table3[[#This Row],[Cuenta]],Estructura_Balance[Nombre Cuenta ()],Estructura_Balance[Nivel 3],"",0)</f>
        <v/>
      </c>
      <c r="Q660" t="str">
        <f>_xlfn.XLOOKUP(Table3[[#This Row],[Cuenta]],Estructura_Balance[Nombre Cuenta ()],Estructura_Balance[Nivel 4],"",0)</f>
        <v/>
      </c>
      <c r="R660" t="str">
        <f>_xlfn.XLOOKUP(Table3[[#This Row],[Cuenta]],Table8[Nombre Cuenta ()],Table8[Nivel 1],"",0)</f>
        <v/>
      </c>
      <c r="S660" t="str">
        <f>_xlfn.XLOOKUP(Table3[[#This Row],[Cuenta]],Table8[Nombre Cuenta ()],Table8[Nivel 2],"",0)</f>
        <v/>
      </c>
      <c r="T660" t="str">
        <f>_xlfn.XLOOKUP(Table3[[#This Row],[Cuenta]],Table8[Nombre Cuenta ()],Table8[Nivel 3],"",0)</f>
        <v/>
      </c>
      <c r="U660">
        <v>1094</v>
      </c>
      <c r="V660" t="str">
        <f>_xlfn.XLOOKUP(Table3[[#This Row],[Cuenta]],Estructura_Balance[Nombre Cuenta ()],Estructura_Balance[Niveles:2],"",0)</f>
        <v/>
      </c>
      <c r="W660" t="str">
        <f>_xlfn.XLOOKUP(Table3[[#This Row],[Cuenta]],Estructura_Balance[Nombre Cuenta ()],Estructura_Balance[Niveles:3],"",0)</f>
        <v/>
      </c>
      <c r="X660" t="str">
        <f>_xlfn.XLOOKUP(Table3[[#This Row],[Cuenta]],Estructura_Balance[Nombre Cuenta ()],Estructura_Balance[Grupos],"Grupo 1",0)</f>
        <v>Grupo 1</v>
      </c>
      <c r="Y660" t="str">
        <f>+Table3[[#This Row],[BS_Nivel_1]]</f>
        <v/>
      </c>
    </row>
    <row r="661" spans="1:25">
      <c r="A661">
        <f>+'Libro Diario'!F875</f>
        <v>0</v>
      </c>
      <c r="B661" s="144">
        <f>VALUE(IF(+'Libro Diario'!G875="","01/01/2025",+'Libro Diario'!G875))</f>
        <v>45658</v>
      </c>
      <c r="C661">
        <f>IF(ISNUMBER(+IF(IFERROR(VALUE(MID('Libro Diario'!C875,1,4)),0)&lt;&gt;0,'Libro Diario'!C875,0))=FALSE,'Libro Diario'!C875,0)</f>
        <v>0</v>
      </c>
      <c r="D661" s="145">
        <f>+'Libro Diario'!B875</f>
        <v>0</v>
      </c>
      <c r="E661" s="139" t="s">
        <v>445</v>
      </c>
      <c r="F661" t="str">
        <f t="shared" si="30"/>
        <v>Sin Mov.</v>
      </c>
      <c r="G661" t="str">
        <f>IF(+'Libro Diario'!H875=0,"",+'Libro Diario'!H875)</f>
        <v/>
      </c>
      <c r="H661" t="str">
        <f>IF(+'Libro Diario'!I875=0,"",+'Libro Diario'!I875)</f>
        <v/>
      </c>
      <c r="I661" t="str">
        <f>+IF(Table3[[#This Row],[Tipo Movimiento]]="Estructura Balance y PyG","Excluir","Incluir")</f>
        <v>Incluir</v>
      </c>
      <c r="J661" s="153">
        <f>+IF(Table3[[#This Row],[Sin cuenta]]="Con Mov.",(IF(Table3[[#This Row],[Movimiento]]="Debe",Table3[[#This Row],[Importe]],IF(Table3[[#This Row],[Movimiento]]="Haber",Table3[[#This Row],[Importe]]*-1,0))),0)</f>
        <v>0</v>
      </c>
      <c r="K661" s="145">
        <f t="shared" si="31"/>
        <v>0</v>
      </c>
      <c r="L661" s="145" t="str">
        <f t="shared" si="32"/>
        <v/>
      </c>
      <c r="M661" t="str">
        <f>_xlfn.XLOOKUP(Table3[[#This Row],[Cuenta]],Estructura_Balance[Nombre Cuenta ()],Estructura_Balance[Grupo],"",0)</f>
        <v/>
      </c>
      <c r="N661" t="str">
        <f>_xlfn.XLOOKUP(Table3[[#This Row],[Cuenta]],Estructura_Balance[Nombre Cuenta ()],Estructura_Balance[Nivel 1],"",0)</f>
        <v/>
      </c>
      <c r="O661" t="str">
        <f>_xlfn.XLOOKUP(Table3[[#This Row],[Cuenta]],Estructura_Balance[Nombre Cuenta ()],Estructura_Balance[Nivel 2],"",0)</f>
        <v/>
      </c>
      <c r="P661" t="str">
        <f>_xlfn.XLOOKUP(Table3[[#This Row],[Cuenta]],Estructura_Balance[Nombre Cuenta ()],Estructura_Balance[Nivel 3],"",0)</f>
        <v/>
      </c>
      <c r="Q661" t="str">
        <f>_xlfn.XLOOKUP(Table3[[#This Row],[Cuenta]],Estructura_Balance[Nombre Cuenta ()],Estructura_Balance[Nivel 4],"",0)</f>
        <v/>
      </c>
      <c r="R661" t="str">
        <f>_xlfn.XLOOKUP(Table3[[#This Row],[Cuenta]],Table8[Nombre Cuenta ()],Table8[Nivel 1],"",0)</f>
        <v/>
      </c>
      <c r="S661" t="str">
        <f>_xlfn.XLOOKUP(Table3[[#This Row],[Cuenta]],Table8[Nombre Cuenta ()],Table8[Nivel 2],"",0)</f>
        <v/>
      </c>
      <c r="T661" t="str">
        <f>_xlfn.XLOOKUP(Table3[[#This Row],[Cuenta]],Table8[Nombre Cuenta ()],Table8[Nivel 3],"",0)</f>
        <v/>
      </c>
      <c r="U661">
        <v>1095</v>
      </c>
      <c r="V661" t="str">
        <f>_xlfn.XLOOKUP(Table3[[#This Row],[Cuenta]],Estructura_Balance[Nombre Cuenta ()],Estructura_Balance[Niveles:2],"",0)</f>
        <v/>
      </c>
      <c r="W661" t="str">
        <f>_xlfn.XLOOKUP(Table3[[#This Row],[Cuenta]],Estructura_Balance[Nombre Cuenta ()],Estructura_Balance[Niveles:3],"",0)</f>
        <v/>
      </c>
      <c r="X661" t="str">
        <f>_xlfn.XLOOKUP(Table3[[#This Row],[Cuenta]],Estructura_Balance[Nombre Cuenta ()],Estructura_Balance[Grupos],"Grupo 1",0)</f>
        <v>Grupo 1</v>
      </c>
      <c r="Y661" t="str">
        <f>+Table3[[#This Row],[BS_Nivel_1]]</f>
        <v/>
      </c>
    </row>
    <row r="662" spans="1:25">
      <c r="A662">
        <f>+'Libro Diario'!F876</f>
        <v>0</v>
      </c>
      <c r="B662" s="144">
        <f>VALUE(IF(+'Libro Diario'!G876="","01/01/2025",+'Libro Diario'!G876))</f>
        <v>45658</v>
      </c>
      <c r="C662">
        <f>IF(ISNUMBER(+IF(IFERROR(VALUE(MID('Libro Diario'!C876,1,4)),0)&lt;&gt;0,'Libro Diario'!C876,0))=FALSE,'Libro Diario'!C876,0)</f>
        <v>0</v>
      </c>
      <c r="D662" s="145">
        <f>+'Libro Diario'!B876</f>
        <v>0</v>
      </c>
      <c r="E662" s="139" t="s">
        <v>445</v>
      </c>
      <c r="F662" t="str">
        <f t="shared" si="30"/>
        <v>Sin Mov.</v>
      </c>
      <c r="G662" t="str">
        <f>IF(+'Libro Diario'!H876=0,"",+'Libro Diario'!H876)</f>
        <v/>
      </c>
      <c r="H662" t="str">
        <f>IF(+'Libro Diario'!I876=0,"",+'Libro Diario'!I876)</f>
        <v/>
      </c>
      <c r="I662" t="str">
        <f>+IF(Table3[[#This Row],[Tipo Movimiento]]="Estructura Balance y PyG","Excluir","Incluir")</f>
        <v>Incluir</v>
      </c>
      <c r="J662" s="153">
        <f>+IF(Table3[[#This Row],[Sin cuenta]]="Con Mov.",(IF(Table3[[#This Row],[Movimiento]]="Debe",Table3[[#This Row],[Importe]],IF(Table3[[#This Row],[Movimiento]]="Haber",Table3[[#This Row],[Importe]]*-1,0))),0)</f>
        <v>0</v>
      </c>
      <c r="K662" s="145">
        <f t="shared" si="31"/>
        <v>0</v>
      </c>
      <c r="L662" s="145" t="str">
        <f t="shared" si="32"/>
        <v/>
      </c>
      <c r="M662" t="str">
        <f>_xlfn.XLOOKUP(Table3[[#This Row],[Cuenta]],Estructura_Balance[Nombre Cuenta ()],Estructura_Balance[Grupo],"",0)</f>
        <v/>
      </c>
      <c r="N662" t="str">
        <f>_xlfn.XLOOKUP(Table3[[#This Row],[Cuenta]],Estructura_Balance[Nombre Cuenta ()],Estructura_Balance[Nivel 1],"",0)</f>
        <v/>
      </c>
      <c r="O662" t="str">
        <f>_xlfn.XLOOKUP(Table3[[#This Row],[Cuenta]],Estructura_Balance[Nombre Cuenta ()],Estructura_Balance[Nivel 2],"",0)</f>
        <v/>
      </c>
      <c r="P662" t="str">
        <f>_xlfn.XLOOKUP(Table3[[#This Row],[Cuenta]],Estructura_Balance[Nombre Cuenta ()],Estructura_Balance[Nivel 3],"",0)</f>
        <v/>
      </c>
      <c r="Q662" t="str">
        <f>_xlfn.XLOOKUP(Table3[[#This Row],[Cuenta]],Estructura_Balance[Nombre Cuenta ()],Estructura_Balance[Nivel 4],"",0)</f>
        <v/>
      </c>
      <c r="R662" t="str">
        <f>_xlfn.XLOOKUP(Table3[[#This Row],[Cuenta]],Table8[Nombre Cuenta ()],Table8[Nivel 1],"",0)</f>
        <v/>
      </c>
      <c r="S662" t="str">
        <f>_xlfn.XLOOKUP(Table3[[#This Row],[Cuenta]],Table8[Nombre Cuenta ()],Table8[Nivel 2],"",0)</f>
        <v/>
      </c>
      <c r="T662" t="str">
        <f>_xlfn.XLOOKUP(Table3[[#This Row],[Cuenta]],Table8[Nombre Cuenta ()],Table8[Nivel 3],"",0)</f>
        <v/>
      </c>
      <c r="U662">
        <v>1096</v>
      </c>
      <c r="V662" t="str">
        <f>_xlfn.XLOOKUP(Table3[[#This Row],[Cuenta]],Estructura_Balance[Nombre Cuenta ()],Estructura_Balance[Niveles:2],"",0)</f>
        <v/>
      </c>
      <c r="W662" t="str">
        <f>_xlfn.XLOOKUP(Table3[[#This Row],[Cuenta]],Estructura_Balance[Nombre Cuenta ()],Estructura_Balance[Niveles:3],"",0)</f>
        <v/>
      </c>
      <c r="X662" t="str">
        <f>_xlfn.XLOOKUP(Table3[[#This Row],[Cuenta]],Estructura_Balance[Nombre Cuenta ()],Estructura_Balance[Grupos],"Grupo 1",0)</f>
        <v>Grupo 1</v>
      </c>
      <c r="Y662" t="str">
        <f>+Table3[[#This Row],[BS_Nivel_1]]</f>
        <v/>
      </c>
    </row>
    <row r="663" spans="1:25">
      <c r="A663">
        <f>+'Libro Diario'!F877</f>
        <v>0</v>
      </c>
      <c r="B663" s="144">
        <f>VALUE(IF(+'Libro Diario'!G877="","01/01/2025",+'Libro Diario'!G877))</f>
        <v>45658</v>
      </c>
      <c r="C663">
        <f>IF(ISNUMBER(+IF(IFERROR(VALUE(MID('Libro Diario'!C877,1,4)),0)&lt;&gt;0,'Libro Diario'!C877,0))=FALSE,'Libro Diario'!C877,0)</f>
        <v>0</v>
      </c>
      <c r="D663" s="145">
        <f>+'Libro Diario'!B877</f>
        <v>0</v>
      </c>
      <c r="E663" s="139" t="s">
        <v>445</v>
      </c>
      <c r="F663" t="str">
        <f t="shared" si="30"/>
        <v>Sin Mov.</v>
      </c>
      <c r="G663" t="str">
        <f>IF(+'Libro Diario'!H877=0,"",+'Libro Diario'!H877)</f>
        <v/>
      </c>
      <c r="H663" t="str">
        <f>IF(+'Libro Diario'!I877=0,"",+'Libro Diario'!I877)</f>
        <v/>
      </c>
      <c r="I663" t="str">
        <f>+IF(Table3[[#This Row],[Tipo Movimiento]]="Estructura Balance y PyG","Excluir","Incluir")</f>
        <v>Incluir</v>
      </c>
      <c r="J663" s="153">
        <f>+IF(Table3[[#This Row],[Sin cuenta]]="Con Mov.",(IF(Table3[[#This Row],[Movimiento]]="Debe",Table3[[#This Row],[Importe]],IF(Table3[[#This Row],[Movimiento]]="Haber",Table3[[#This Row],[Importe]]*-1,0))),0)</f>
        <v>0</v>
      </c>
      <c r="K663" s="145">
        <f t="shared" si="31"/>
        <v>0</v>
      </c>
      <c r="L663" s="145" t="str">
        <f t="shared" si="32"/>
        <v/>
      </c>
      <c r="M663" t="str">
        <f>_xlfn.XLOOKUP(Table3[[#This Row],[Cuenta]],Estructura_Balance[Nombre Cuenta ()],Estructura_Balance[Grupo],"",0)</f>
        <v/>
      </c>
      <c r="N663" t="str">
        <f>_xlfn.XLOOKUP(Table3[[#This Row],[Cuenta]],Estructura_Balance[Nombre Cuenta ()],Estructura_Balance[Nivel 1],"",0)</f>
        <v/>
      </c>
      <c r="O663" t="str">
        <f>_xlfn.XLOOKUP(Table3[[#This Row],[Cuenta]],Estructura_Balance[Nombre Cuenta ()],Estructura_Balance[Nivel 2],"",0)</f>
        <v/>
      </c>
      <c r="P663" t="str">
        <f>_xlfn.XLOOKUP(Table3[[#This Row],[Cuenta]],Estructura_Balance[Nombre Cuenta ()],Estructura_Balance[Nivel 3],"",0)</f>
        <v/>
      </c>
      <c r="Q663" t="str">
        <f>_xlfn.XLOOKUP(Table3[[#This Row],[Cuenta]],Estructura_Balance[Nombre Cuenta ()],Estructura_Balance[Nivel 4],"",0)</f>
        <v/>
      </c>
      <c r="R663" t="str">
        <f>_xlfn.XLOOKUP(Table3[[#This Row],[Cuenta]],Table8[Nombre Cuenta ()],Table8[Nivel 1],"",0)</f>
        <v/>
      </c>
      <c r="S663" t="str">
        <f>_xlfn.XLOOKUP(Table3[[#This Row],[Cuenta]],Table8[Nombre Cuenta ()],Table8[Nivel 2],"",0)</f>
        <v/>
      </c>
      <c r="T663" t="str">
        <f>_xlfn.XLOOKUP(Table3[[#This Row],[Cuenta]],Table8[Nombre Cuenta ()],Table8[Nivel 3],"",0)</f>
        <v/>
      </c>
      <c r="U663">
        <v>1100</v>
      </c>
      <c r="V663" t="str">
        <f>_xlfn.XLOOKUP(Table3[[#This Row],[Cuenta]],Estructura_Balance[Nombre Cuenta ()],Estructura_Balance[Niveles:2],"",0)</f>
        <v/>
      </c>
      <c r="W663" t="str">
        <f>_xlfn.XLOOKUP(Table3[[#This Row],[Cuenta]],Estructura_Balance[Nombre Cuenta ()],Estructura_Balance[Niveles:3],"",0)</f>
        <v/>
      </c>
      <c r="X663" t="str">
        <f>_xlfn.XLOOKUP(Table3[[#This Row],[Cuenta]],Estructura_Balance[Nombre Cuenta ()],Estructura_Balance[Grupos],"Grupo 1",0)</f>
        <v>Grupo 1</v>
      </c>
      <c r="Y663" t="str">
        <f>+Table3[[#This Row],[BS_Nivel_1]]</f>
        <v/>
      </c>
    </row>
    <row r="664" spans="1:25">
      <c r="A664">
        <f>+'Libro Diario'!F878</f>
        <v>0</v>
      </c>
      <c r="B664" s="144">
        <f>VALUE(IF(+'Libro Diario'!G878="","01/01/2025",+'Libro Diario'!G878))</f>
        <v>45658</v>
      </c>
      <c r="C664">
        <f>IF(ISNUMBER(+IF(IFERROR(VALUE(MID('Libro Diario'!C878,1,4)),0)&lt;&gt;0,'Libro Diario'!C878,0))=FALSE,'Libro Diario'!C878,0)</f>
        <v>0</v>
      </c>
      <c r="D664" s="145">
        <f>+'Libro Diario'!B878</f>
        <v>0</v>
      </c>
      <c r="E664" s="139" t="s">
        <v>445</v>
      </c>
      <c r="F664" t="str">
        <f t="shared" si="30"/>
        <v>Sin Mov.</v>
      </c>
      <c r="G664" t="str">
        <f>IF(+'Libro Diario'!H878=0,"",+'Libro Diario'!H878)</f>
        <v/>
      </c>
      <c r="H664" t="str">
        <f>IF(+'Libro Diario'!I878=0,"",+'Libro Diario'!I878)</f>
        <v/>
      </c>
      <c r="I664" t="str">
        <f>+IF(Table3[[#This Row],[Tipo Movimiento]]="Estructura Balance y PyG","Excluir","Incluir")</f>
        <v>Incluir</v>
      </c>
      <c r="J664" s="153">
        <f>+IF(Table3[[#This Row],[Sin cuenta]]="Con Mov.",(IF(Table3[[#This Row],[Movimiento]]="Debe",Table3[[#This Row],[Importe]],IF(Table3[[#This Row],[Movimiento]]="Haber",Table3[[#This Row],[Importe]]*-1,0))),0)</f>
        <v>0</v>
      </c>
      <c r="K664" s="145">
        <f t="shared" si="31"/>
        <v>0</v>
      </c>
      <c r="L664" s="145" t="str">
        <f t="shared" si="32"/>
        <v/>
      </c>
      <c r="M664" t="str">
        <f>_xlfn.XLOOKUP(Table3[[#This Row],[Cuenta]],Estructura_Balance[Nombre Cuenta ()],Estructura_Balance[Grupo],"",0)</f>
        <v/>
      </c>
      <c r="N664" t="str">
        <f>_xlfn.XLOOKUP(Table3[[#This Row],[Cuenta]],Estructura_Balance[Nombre Cuenta ()],Estructura_Balance[Nivel 1],"",0)</f>
        <v/>
      </c>
      <c r="O664" t="str">
        <f>_xlfn.XLOOKUP(Table3[[#This Row],[Cuenta]],Estructura_Balance[Nombre Cuenta ()],Estructura_Balance[Nivel 2],"",0)</f>
        <v/>
      </c>
      <c r="P664" t="str">
        <f>_xlfn.XLOOKUP(Table3[[#This Row],[Cuenta]],Estructura_Balance[Nombre Cuenta ()],Estructura_Balance[Nivel 3],"",0)</f>
        <v/>
      </c>
      <c r="Q664" t="str">
        <f>_xlfn.XLOOKUP(Table3[[#This Row],[Cuenta]],Estructura_Balance[Nombre Cuenta ()],Estructura_Balance[Nivel 4],"",0)</f>
        <v/>
      </c>
      <c r="R664" t="str">
        <f>_xlfn.XLOOKUP(Table3[[#This Row],[Cuenta]],Table8[Nombre Cuenta ()],Table8[Nivel 1],"",0)</f>
        <v/>
      </c>
      <c r="S664" t="str">
        <f>_xlfn.XLOOKUP(Table3[[#This Row],[Cuenta]],Table8[Nombre Cuenta ()],Table8[Nivel 2],"",0)</f>
        <v/>
      </c>
      <c r="T664" t="str">
        <f>_xlfn.XLOOKUP(Table3[[#This Row],[Cuenta]],Table8[Nombre Cuenta ()],Table8[Nivel 3],"",0)</f>
        <v/>
      </c>
      <c r="U664">
        <v>1101</v>
      </c>
      <c r="V664" t="str">
        <f>_xlfn.XLOOKUP(Table3[[#This Row],[Cuenta]],Estructura_Balance[Nombre Cuenta ()],Estructura_Balance[Niveles:2],"",0)</f>
        <v/>
      </c>
      <c r="W664" t="str">
        <f>_xlfn.XLOOKUP(Table3[[#This Row],[Cuenta]],Estructura_Balance[Nombre Cuenta ()],Estructura_Balance[Niveles:3],"",0)</f>
        <v/>
      </c>
      <c r="X664" t="str">
        <f>_xlfn.XLOOKUP(Table3[[#This Row],[Cuenta]],Estructura_Balance[Nombre Cuenta ()],Estructura_Balance[Grupos],"Grupo 1",0)</f>
        <v>Grupo 1</v>
      </c>
      <c r="Y664" t="str">
        <f>+Table3[[#This Row],[BS_Nivel_1]]</f>
        <v/>
      </c>
    </row>
    <row r="665" spans="1:25">
      <c r="A665">
        <f>+'Libro Diario'!F879</f>
        <v>0</v>
      </c>
      <c r="B665" s="144">
        <f>VALUE(IF(+'Libro Diario'!G879="","01/01/2025",+'Libro Diario'!G879))</f>
        <v>45658</v>
      </c>
      <c r="C665">
        <f>IF(ISNUMBER(+IF(IFERROR(VALUE(MID('Libro Diario'!C879,1,4)),0)&lt;&gt;0,'Libro Diario'!C879,0))=FALSE,'Libro Diario'!C879,0)</f>
        <v>0</v>
      </c>
      <c r="D665" s="145">
        <f>+'Libro Diario'!B879</f>
        <v>0</v>
      </c>
      <c r="E665" s="139" t="s">
        <v>445</v>
      </c>
      <c r="F665" t="str">
        <f t="shared" si="30"/>
        <v>Sin Mov.</v>
      </c>
      <c r="G665" t="str">
        <f>IF(+'Libro Diario'!H879=0,"",+'Libro Diario'!H879)</f>
        <v/>
      </c>
      <c r="H665" t="str">
        <f>IF(+'Libro Diario'!I879=0,"",+'Libro Diario'!I879)</f>
        <v/>
      </c>
      <c r="I665" t="str">
        <f>+IF(Table3[[#This Row],[Tipo Movimiento]]="Estructura Balance y PyG","Excluir","Incluir")</f>
        <v>Incluir</v>
      </c>
      <c r="J665" s="153">
        <f>+IF(Table3[[#This Row],[Sin cuenta]]="Con Mov.",(IF(Table3[[#This Row],[Movimiento]]="Debe",Table3[[#This Row],[Importe]],IF(Table3[[#This Row],[Movimiento]]="Haber",Table3[[#This Row],[Importe]]*-1,0))),0)</f>
        <v>0</v>
      </c>
      <c r="K665" s="145">
        <f t="shared" si="31"/>
        <v>0</v>
      </c>
      <c r="L665" s="145" t="str">
        <f t="shared" si="32"/>
        <v/>
      </c>
      <c r="M665" t="str">
        <f>_xlfn.XLOOKUP(Table3[[#This Row],[Cuenta]],Estructura_Balance[Nombre Cuenta ()],Estructura_Balance[Grupo],"",0)</f>
        <v/>
      </c>
      <c r="N665" t="str">
        <f>_xlfn.XLOOKUP(Table3[[#This Row],[Cuenta]],Estructura_Balance[Nombre Cuenta ()],Estructura_Balance[Nivel 1],"",0)</f>
        <v/>
      </c>
      <c r="O665" t="str">
        <f>_xlfn.XLOOKUP(Table3[[#This Row],[Cuenta]],Estructura_Balance[Nombre Cuenta ()],Estructura_Balance[Nivel 2],"",0)</f>
        <v/>
      </c>
      <c r="P665" t="str">
        <f>_xlfn.XLOOKUP(Table3[[#This Row],[Cuenta]],Estructura_Balance[Nombre Cuenta ()],Estructura_Balance[Nivel 3],"",0)</f>
        <v/>
      </c>
      <c r="Q665" t="str">
        <f>_xlfn.XLOOKUP(Table3[[#This Row],[Cuenta]],Estructura_Balance[Nombre Cuenta ()],Estructura_Balance[Nivel 4],"",0)</f>
        <v/>
      </c>
      <c r="R665" t="str">
        <f>_xlfn.XLOOKUP(Table3[[#This Row],[Cuenta]],Table8[Nombre Cuenta ()],Table8[Nivel 1],"",0)</f>
        <v/>
      </c>
      <c r="S665" t="str">
        <f>_xlfn.XLOOKUP(Table3[[#This Row],[Cuenta]],Table8[Nombre Cuenta ()],Table8[Nivel 2],"",0)</f>
        <v/>
      </c>
      <c r="T665" t="str">
        <f>_xlfn.XLOOKUP(Table3[[#This Row],[Cuenta]],Table8[Nombre Cuenta ()],Table8[Nivel 3],"",0)</f>
        <v/>
      </c>
      <c r="U665">
        <v>1102</v>
      </c>
      <c r="V665" t="str">
        <f>_xlfn.XLOOKUP(Table3[[#This Row],[Cuenta]],Estructura_Balance[Nombre Cuenta ()],Estructura_Balance[Niveles:2],"",0)</f>
        <v/>
      </c>
      <c r="W665" t="str">
        <f>_xlfn.XLOOKUP(Table3[[#This Row],[Cuenta]],Estructura_Balance[Nombre Cuenta ()],Estructura_Balance[Niveles:3],"",0)</f>
        <v/>
      </c>
      <c r="X665" t="str">
        <f>_xlfn.XLOOKUP(Table3[[#This Row],[Cuenta]],Estructura_Balance[Nombre Cuenta ()],Estructura_Balance[Grupos],"Grupo 1",0)</f>
        <v>Grupo 1</v>
      </c>
      <c r="Y665" t="str">
        <f>+Table3[[#This Row],[BS_Nivel_1]]</f>
        <v/>
      </c>
    </row>
    <row r="666" spans="1:25">
      <c r="A666">
        <f>+'Libro Diario'!F880</f>
        <v>0</v>
      </c>
      <c r="B666" s="144">
        <f>VALUE(IF(+'Libro Diario'!G880="","01/01/2025",+'Libro Diario'!G880))</f>
        <v>45658</v>
      </c>
      <c r="C666">
        <f>IF(ISNUMBER(+IF(IFERROR(VALUE(MID('Libro Diario'!C880,1,4)),0)&lt;&gt;0,'Libro Diario'!C880,0))=FALSE,'Libro Diario'!C880,0)</f>
        <v>0</v>
      </c>
      <c r="D666" s="145">
        <f>+'Libro Diario'!B880</f>
        <v>0</v>
      </c>
      <c r="E666" s="139" t="s">
        <v>445</v>
      </c>
      <c r="F666" t="str">
        <f t="shared" si="30"/>
        <v>Sin Mov.</v>
      </c>
      <c r="G666" t="str">
        <f>IF(+'Libro Diario'!H880=0,"",+'Libro Diario'!H880)</f>
        <v/>
      </c>
      <c r="H666" t="str">
        <f>IF(+'Libro Diario'!I880=0,"",+'Libro Diario'!I880)</f>
        <v/>
      </c>
      <c r="I666" t="str">
        <f>+IF(Table3[[#This Row],[Tipo Movimiento]]="Estructura Balance y PyG","Excluir","Incluir")</f>
        <v>Incluir</v>
      </c>
      <c r="J666" s="153">
        <f>+IF(Table3[[#This Row],[Sin cuenta]]="Con Mov.",(IF(Table3[[#This Row],[Movimiento]]="Debe",Table3[[#This Row],[Importe]],IF(Table3[[#This Row],[Movimiento]]="Haber",Table3[[#This Row],[Importe]]*-1,0))),0)</f>
        <v>0</v>
      </c>
      <c r="K666" s="145">
        <f t="shared" si="31"/>
        <v>0</v>
      </c>
      <c r="L666" s="145" t="str">
        <f t="shared" si="32"/>
        <v/>
      </c>
      <c r="M666" t="str">
        <f>_xlfn.XLOOKUP(Table3[[#This Row],[Cuenta]],Estructura_Balance[Nombre Cuenta ()],Estructura_Balance[Grupo],"",0)</f>
        <v/>
      </c>
      <c r="N666" t="str">
        <f>_xlfn.XLOOKUP(Table3[[#This Row],[Cuenta]],Estructura_Balance[Nombre Cuenta ()],Estructura_Balance[Nivel 1],"",0)</f>
        <v/>
      </c>
      <c r="O666" t="str">
        <f>_xlfn.XLOOKUP(Table3[[#This Row],[Cuenta]],Estructura_Balance[Nombre Cuenta ()],Estructura_Balance[Nivel 2],"",0)</f>
        <v/>
      </c>
      <c r="P666" t="str">
        <f>_xlfn.XLOOKUP(Table3[[#This Row],[Cuenta]],Estructura_Balance[Nombre Cuenta ()],Estructura_Balance[Nivel 3],"",0)</f>
        <v/>
      </c>
      <c r="Q666" t="str">
        <f>_xlfn.XLOOKUP(Table3[[#This Row],[Cuenta]],Estructura_Balance[Nombre Cuenta ()],Estructura_Balance[Nivel 4],"",0)</f>
        <v/>
      </c>
      <c r="R666" t="str">
        <f>_xlfn.XLOOKUP(Table3[[#This Row],[Cuenta]],Table8[Nombre Cuenta ()],Table8[Nivel 1],"",0)</f>
        <v/>
      </c>
      <c r="S666" t="str">
        <f>_xlfn.XLOOKUP(Table3[[#This Row],[Cuenta]],Table8[Nombre Cuenta ()],Table8[Nivel 2],"",0)</f>
        <v/>
      </c>
      <c r="T666" t="str">
        <f>_xlfn.XLOOKUP(Table3[[#This Row],[Cuenta]],Table8[Nombre Cuenta ()],Table8[Nivel 3],"",0)</f>
        <v/>
      </c>
      <c r="U666">
        <v>1103</v>
      </c>
      <c r="V666" t="str">
        <f>_xlfn.XLOOKUP(Table3[[#This Row],[Cuenta]],Estructura_Balance[Nombre Cuenta ()],Estructura_Balance[Niveles:2],"",0)</f>
        <v/>
      </c>
      <c r="W666" t="str">
        <f>_xlfn.XLOOKUP(Table3[[#This Row],[Cuenta]],Estructura_Balance[Nombre Cuenta ()],Estructura_Balance[Niveles:3],"",0)</f>
        <v/>
      </c>
      <c r="X666" t="str">
        <f>_xlfn.XLOOKUP(Table3[[#This Row],[Cuenta]],Estructura_Balance[Nombre Cuenta ()],Estructura_Balance[Grupos],"Grupo 1",0)</f>
        <v>Grupo 1</v>
      </c>
      <c r="Y666" t="str">
        <f>+Table3[[#This Row],[BS_Nivel_1]]</f>
        <v/>
      </c>
    </row>
    <row r="667" spans="1:25">
      <c r="A667">
        <f>+'Libro Diario'!F881</f>
        <v>0</v>
      </c>
      <c r="B667" s="144">
        <f>VALUE(IF(+'Libro Diario'!G881="","01/01/2025",+'Libro Diario'!G881))</f>
        <v>45658</v>
      </c>
      <c r="C667">
        <f>IF(ISNUMBER(+IF(IFERROR(VALUE(MID('Libro Diario'!C881,1,4)),0)&lt;&gt;0,'Libro Diario'!C881,0))=FALSE,'Libro Diario'!C881,0)</f>
        <v>0</v>
      </c>
      <c r="D667" s="145">
        <f>+'Libro Diario'!B881</f>
        <v>0</v>
      </c>
      <c r="E667" s="139" t="s">
        <v>445</v>
      </c>
      <c r="F667" t="str">
        <f t="shared" si="30"/>
        <v>Sin Mov.</v>
      </c>
      <c r="G667" t="str">
        <f>IF(+'Libro Diario'!H881=0,"",+'Libro Diario'!H881)</f>
        <v/>
      </c>
      <c r="H667" t="str">
        <f>IF(+'Libro Diario'!I881=0,"",+'Libro Diario'!I881)</f>
        <v/>
      </c>
      <c r="I667" t="str">
        <f>+IF(Table3[[#This Row],[Tipo Movimiento]]="Estructura Balance y PyG","Excluir","Incluir")</f>
        <v>Incluir</v>
      </c>
      <c r="J667" s="153">
        <f>+IF(Table3[[#This Row],[Sin cuenta]]="Con Mov.",(IF(Table3[[#This Row],[Movimiento]]="Debe",Table3[[#This Row],[Importe]],IF(Table3[[#This Row],[Movimiento]]="Haber",Table3[[#This Row],[Importe]]*-1,0))),0)</f>
        <v>0</v>
      </c>
      <c r="K667" s="145">
        <f t="shared" si="31"/>
        <v>0</v>
      </c>
      <c r="L667" s="145" t="str">
        <f t="shared" si="32"/>
        <v/>
      </c>
      <c r="M667" t="str">
        <f>_xlfn.XLOOKUP(Table3[[#This Row],[Cuenta]],Estructura_Balance[Nombre Cuenta ()],Estructura_Balance[Grupo],"",0)</f>
        <v/>
      </c>
      <c r="N667" t="str">
        <f>_xlfn.XLOOKUP(Table3[[#This Row],[Cuenta]],Estructura_Balance[Nombre Cuenta ()],Estructura_Balance[Nivel 1],"",0)</f>
        <v/>
      </c>
      <c r="O667" t="str">
        <f>_xlfn.XLOOKUP(Table3[[#This Row],[Cuenta]],Estructura_Balance[Nombre Cuenta ()],Estructura_Balance[Nivel 2],"",0)</f>
        <v/>
      </c>
      <c r="P667" t="str">
        <f>_xlfn.XLOOKUP(Table3[[#This Row],[Cuenta]],Estructura_Balance[Nombre Cuenta ()],Estructura_Balance[Nivel 3],"",0)</f>
        <v/>
      </c>
      <c r="Q667" t="str">
        <f>_xlfn.XLOOKUP(Table3[[#This Row],[Cuenta]],Estructura_Balance[Nombre Cuenta ()],Estructura_Balance[Nivel 4],"",0)</f>
        <v/>
      </c>
      <c r="R667" t="str">
        <f>_xlfn.XLOOKUP(Table3[[#This Row],[Cuenta]],Table8[Nombre Cuenta ()],Table8[Nivel 1],"",0)</f>
        <v/>
      </c>
      <c r="S667" t="str">
        <f>_xlfn.XLOOKUP(Table3[[#This Row],[Cuenta]],Table8[Nombre Cuenta ()],Table8[Nivel 2],"",0)</f>
        <v/>
      </c>
      <c r="T667" t="str">
        <f>_xlfn.XLOOKUP(Table3[[#This Row],[Cuenta]],Table8[Nombre Cuenta ()],Table8[Nivel 3],"",0)</f>
        <v/>
      </c>
      <c r="U667">
        <v>1104</v>
      </c>
      <c r="V667" t="str">
        <f>_xlfn.XLOOKUP(Table3[[#This Row],[Cuenta]],Estructura_Balance[Nombre Cuenta ()],Estructura_Balance[Niveles:2],"",0)</f>
        <v/>
      </c>
      <c r="W667" t="str">
        <f>_xlfn.XLOOKUP(Table3[[#This Row],[Cuenta]],Estructura_Balance[Nombre Cuenta ()],Estructura_Balance[Niveles:3],"",0)</f>
        <v/>
      </c>
      <c r="X667" t="str">
        <f>_xlfn.XLOOKUP(Table3[[#This Row],[Cuenta]],Estructura_Balance[Nombre Cuenta ()],Estructura_Balance[Grupos],"Grupo 1",0)</f>
        <v>Grupo 1</v>
      </c>
      <c r="Y667" t="str">
        <f>+Table3[[#This Row],[BS_Nivel_1]]</f>
        <v/>
      </c>
    </row>
    <row r="668" spans="1:25">
      <c r="A668">
        <f>+'Libro Diario'!F882</f>
        <v>0</v>
      </c>
      <c r="B668" s="144">
        <f>VALUE(IF(+'Libro Diario'!G882="","01/01/2025",+'Libro Diario'!G882))</f>
        <v>45658</v>
      </c>
      <c r="C668">
        <f>IF(ISNUMBER(+IF(IFERROR(VALUE(MID('Libro Diario'!C882,1,4)),0)&lt;&gt;0,'Libro Diario'!C882,0))=FALSE,'Libro Diario'!C882,0)</f>
        <v>0</v>
      </c>
      <c r="D668" s="145">
        <f>+'Libro Diario'!B882</f>
        <v>0</v>
      </c>
      <c r="E668" s="139" t="s">
        <v>445</v>
      </c>
      <c r="F668" t="str">
        <f t="shared" si="30"/>
        <v>Sin Mov.</v>
      </c>
      <c r="G668" t="str">
        <f>IF(+'Libro Diario'!H882=0,"",+'Libro Diario'!H882)</f>
        <v/>
      </c>
      <c r="H668" t="str">
        <f>IF(+'Libro Diario'!I882=0,"",+'Libro Diario'!I882)</f>
        <v/>
      </c>
      <c r="I668" t="str">
        <f>+IF(Table3[[#This Row],[Tipo Movimiento]]="Estructura Balance y PyG","Excluir","Incluir")</f>
        <v>Incluir</v>
      </c>
      <c r="J668" s="153">
        <f>+IF(Table3[[#This Row],[Sin cuenta]]="Con Mov.",(IF(Table3[[#This Row],[Movimiento]]="Debe",Table3[[#This Row],[Importe]],IF(Table3[[#This Row],[Movimiento]]="Haber",Table3[[#This Row],[Importe]]*-1,0))),0)</f>
        <v>0</v>
      </c>
      <c r="K668" s="145">
        <f t="shared" si="31"/>
        <v>0</v>
      </c>
      <c r="L668" s="145" t="str">
        <f t="shared" si="32"/>
        <v/>
      </c>
      <c r="M668" t="str">
        <f>_xlfn.XLOOKUP(Table3[[#This Row],[Cuenta]],Estructura_Balance[Nombre Cuenta ()],Estructura_Balance[Grupo],"",0)</f>
        <v/>
      </c>
      <c r="N668" t="str">
        <f>_xlfn.XLOOKUP(Table3[[#This Row],[Cuenta]],Estructura_Balance[Nombre Cuenta ()],Estructura_Balance[Nivel 1],"",0)</f>
        <v/>
      </c>
      <c r="O668" t="str">
        <f>_xlfn.XLOOKUP(Table3[[#This Row],[Cuenta]],Estructura_Balance[Nombre Cuenta ()],Estructura_Balance[Nivel 2],"",0)</f>
        <v/>
      </c>
      <c r="P668" t="str">
        <f>_xlfn.XLOOKUP(Table3[[#This Row],[Cuenta]],Estructura_Balance[Nombre Cuenta ()],Estructura_Balance[Nivel 3],"",0)</f>
        <v/>
      </c>
      <c r="Q668" t="str">
        <f>_xlfn.XLOOKUP(Table3[[#This Row],[Cuenta]],Estructura_Balance[Nombre Cuenta ()],Estructura_Balance[Nivel 4],"",0)</f>
        <v/>
      </c>
      <c r="R668" t="str">
        <f>_xlfn.XLOOKUP(Table3[[#This Row],[Cuenta]],Table8[Nombre Cuenta ()],Table8[Nivel 1],"",0)</f>
        <v/>
      </c>
      <c r="S668" t="str">
        <f>_xlfn.XLOOKUP(Table3[[#This Row],[Cuenta]],Table8[Nombre Cuenta ()],Table8[Nivel 2],"",0)</f>
        <v/>
      </c>
      <c r="T668" t="str">
        <f>_xlfn.XLOOKUP(Table3[[#This Row],[Cuenta]],Table8[Nombre Cuenta ()],Table8[Nivel 3],"",0)</f>
        <v/>
      </c>
      <c r="U668">
        <v>1107</v>
      </c>
      <c r="V668" t="str">
        <f>_xlfn.XLOOKUP(Table3[[#This Row],[Cuenta]],Estructura_Balance[Nombre Cuenta ()],Estructura_Balance[Niveles:2],"",0)</f>
        <v/>
      </c>
      <c r="W668" t="str">
        <f>_xlfn.XLOOKUP(Table3[[#This Row],[Cuenta]],Estructura_Balance[Nombre Cuenta ()],Estructura_Balance[Niveles:3],"",0)</f>
        <v/>
      </c>
      <c r="X668" t="str">
        <f>_xlfn.XLOOKUP(Table3[[#This Row],[Cuenta]],Estructura_Balance[Nombre Cuenta ()],Estructura_Balance[Grupos],"Grupo 1",0)</f>
        <v>Grupo 1</v>
      </c>
      <c r="Y668" t="str">
        <f>+Table3[[#This Row],[BS_Nivel_1]]</f>
        <v/>
      </c>
    </row>
    <row r="669" spans="1:25">
      <c r="A669">
        <f>+'Libro Diario'!F883</f>
        <v>0</v>
      </c>
      <c r="B669" s="144">
        <f>VALUE(IF(+'Libro Diario'!G883="","01/01/2025",+'Libro Diario'!G883))</f>
        <v>45658</v>
      </c>
      <c r="C669">
        <f>IF(ISNUMBER(+IF(IFERROR(VALUE(MID('Libro Diario'!C883,1,4)),0)&lt;&gt;0,'Libro Diario'!C883,0))=FALSE,'Libro Diario'!C883,0)</f>
        <v>0</v>
      </c>
      <c r="D669" s="145">
        <f>+'Libro Diario'!B883</f>
        <v>0</v>
      </c>
      <c r="E669" s="139" t="s">
        <v>445</v>
      </c>
      <c r="F669" t="str">
        <f t="shared" si="30"/>
        <v>Sin Mov.</v>
      </c>
      <c r="G669" t="str">
        <f>IF(+'Libro Diario'!H883=0,"",+'Libro Diario'!H883)</f>
        <v/>
      </c>
      <c r="H669" t="str">
        <f>IF(+'Libro Diario'!I883=0,"",+'Libro Diario'!I883)</f>
        <v/>
      </c>
      <c r="I669" t="str">
        <f>+IF(Table3[[#This Row],[Tipo Movimiento]]="Estructura Balance y PyG","Excluir","Incluir")</f>
        <v>Incluir</v>
      </c>
      <c r="J669" s="153">
        <f>+IF(Table3[[#This Row],[Sin cuenta]]="Con Mov.",(IF(Table3[[#This Row],[Movimiento]]="Debe",Table3[[#This Row],[Importe]],IF(Table3[[#This Row],[Movimiento]]="Haber",Table3[[#This Row],[Importe]]*-1,0))),0)</f>
        <v>0</v>
      </c>
      <c r="K669" s="145">
        <f t="shared" si="31"/>
        <v>0</v>
      </c>
      <c r="L669" s="145" t="str">
        <f t="shared" si="32"/>
        <v/>
      </c>
      <c r="M669" t="str">
        <f>_xlfn.XLOOKUP(Table3[[#This Row],[Cuenta]],Estructura_Balance[Nombre Cuenta ()],Estructura_Balance[Grupo],"",0)</f>
        <v/>
      </c>
      <c r="N669" t="str">
        <f>_xlfn.XLOOKUP(Table3[[#This Row],[Cuenta]],Estructura_Balance[Nombre Cuenta ()],Estructura_Balance[Nivel 1],"",0)</f>
        <v/>
      </c>
      <c r="O669" t="str">
        <f>_xlfn.XLOOKUP(Table3[[#This Row],[Cuenta]],Estructura_Balance[Nombre Cuenta ()],Estructura_Balance[Nivel 2],"",0)</f>
        <v/>
      </c>
      <c r="P669" t="str">
        <f>_xlfn.XLOOKUP(Table3[[#This Row],[Cuenta]],Estructura_Balance[Nombre Cuenta ()],Estructura_Balance[Nivel 3],"",0)</f>
        <v/>
      </c>
      <c r="Q669" t="str">
        <f>_xlfn.XLOOKUP(Table3[[#This Row],[Cuenta]],Estructura_Balance[Nombre Cuenta ()],Estructura_Balance[Nivel 4],"",0)</f>
        <v/>
      </c>
      <c r="R669" t="str">
        <f>_xlfn.XLOOKUP(Table3[[#This Row],[Cuenta]],Table8[Nombre Cuenta ()],Table8[Nivel 1],"",0)</f>
        <v/>
      </c>
      <c r="S669" t="str">
        <f>_xlfn.XLOOKUP(Table3[[#This Row],[Cuenta]],Table8[Nombre Cuenta ()],Table8[Nivel 2],"",0)</f>
        <v/>
      </c>
      <c r="T669" t="str">
        <f>_xlfn.XLOOKUP(Table3[[#This Row],[Cuenta]],Table8[Nombre Cuenta ()],Table8[Nivel 3],"",0)</f>
        <v/>
      </c>
      <c r="U669">
        <v>1108</v>
      </c>
      <c r="V669" t="str">
        <f>_xlfn.XLOOKUP(Table3[[#This Row],[Cuenta]],Estructura_Balance[Nombre Cuenta ()],Estructura_Balance[Niveles:2],"",0)</f>
        <v/>
      </c>
      <c r="W669" t="str">
        <f>_xlfn.XLOOKUP(Table3[[#This Row],[Cuenta]],Estructura_Balance[Nombre Cuenta ()],Estructura_Balance[Niveles:3],"",0)</f>
        <v/>
      </c>
      <c r="X669" t="str">
        <f>_xlfn.XLOOKUP(Table3[[#This Row],[Cuenta]],Estructura_Balance[Nombre Cuenta ()],Estructura_Balance[Grupos],"Grupo 1",0)</f>
        <v>Grupo 1</v>
      </c>
      <c r="Y669" t="str">
        <f>+Table3[[#This Row],[BS_Nivel_1]]</f>
        <v/>
      </c>
    </row>
    <row r="670" spans="1:25">
      <c r="A670">
        <f>+'Libro Diario'!F884</f>
        <v>0</v>
      </c>
      <c r="B670" s="144">
        <f>VALUE(IF(+'Libro Diario'!G884="","01/01/2025",+'Libro Diario'!G884))</f>
        <v>45658</v>
      </c>
      <c r="C670">
        <f>IF(ISNUMBER(+IF(IFERROR(VALUE(MID('Libro Diario'!C884,1,4)),0)&lt;&gt;0,'Libro Diario'!C884,0))=FALSE,'Libro Diario'!C884,0)</f>
        <v>0</v>
      </c>
      <c r="D670" s="145">
        <f>+'Libro Diario'!B884</f>
        <v>0</v>
      </c>
      <c r="E670" s="139" t="s">
        <v>445</v>
      </c>
      <c r="F670" t="str">
        <f t="shared" si="30"/>
        <v>Sin Mov.</v>
      </c>
      <c r="G670" t="str">
        <f>IF(+'Libro Diario'!H884=0,"",+'Libro Diario'!H884)</f>
        <v/>
      </c>
      <c r="H670" t="str">
        <f>IF(+'Libro Diario'!I884=0,"",+'Libro Diario'!I884)</f>
        <v/>
      </c>
      <c r="I670" t="str">
        <f>+IF(Table3[[#This Row],[Tipo Movimiento]]="Estructura Balance y PyG","Excluir","Incluir")</f>
        <v>Incluir</v>
      </c>
      <c r="J670" s="153">
        <f>+IF(Table3[[#This Row],[Sin cuenta]]="Con Mov.",(IF(Table3[[#This Row],[Movimiento]]="Debe",Table3[[#This Row],[Importe]],IF(Table3[[#This Row],[Movimiento]]="Haber",Table3[[#This Row],[Importe]]*-1,0))),0)</f>
        <v>0</v>
      </c>
      <c r="K670" s="145">
        <f t="shared" si="31"/>
        <v>0</v>
      </c>
      <c r="L670" s="145" t="str">
        <f t="shared" si="32"/>
        <v/>
      </c>
      <c r="M670" t="str">
        <f>_xlfn.XLOOKUP(Table3[[#This Row],[Cuenta]],Estructura_Balance[Nombre Cuenta ()],Estructura_Balance[Grupo],"",0)</f>
        <v/>
      </c>
      <c r="N670" t="str">
        <f>_xlfn.XLOOKUP(Table3[[#This Row],[Cuenta]],Estructura_Balance[Nombre Cuenta ()],Estructura_Balance[Nivel 1],"",0)</f>
        <v/>
      </c>
      <c r="O670" t="str">
        <f>_xlfn.XLOOKUP(Table3[[#This Row],[Cuenta]],Estructura_Balance[Nombre Cuenta ()],Estructura_Balance[Nivel 2],"",0)</f>
        <v/>
      </c>
      <c r="P670" t="str">
        <f>_xlfn.XLOOKUP(Table3[[#This Row],[Cuenta]],Estructura_Balance[Nombre Cuenta ()],Estructura_Balance[Nivel 3],"",0)</f>
        <v/>
      </c>
      <c r="Q670" t="str">
        <f>_xlfn.XLOOKUP(Table3[[#This Row],[Cuenta]],Estructura_Balance[Nombre Cuenta ()],Estructura_Balance[Nivel 4],"",0)</f>
        <v/>
      </c>
      <c r="R670" t="str">
        <f>_xlfn.XLOOKUP(Table3[[#This Row],[Cuenta]],Table8[Nombre Cuenta ()],Table8[Nivel 1],"",0)</f>
        <v/>
      </c>
      <c r="S670" t="str">
        <f>_xlfn.XLOOKUP(Table3[[#This Row],[Cuenta]],Table8[Nombre Cuenta ()],Table8[Nivel 2],"",0)</f>
        <v/>
      </c>
      <c r="T670" t="str">
        <f>_xlfn.XLOOKUP(Table3[[#This Row],[Cuenta]],Table8[Nombre Cuenta ()],Table8[Nivel 3],"",0)</f>
        <v/>
      </c>
      <c r="U670">
        <v>1109</v>
      </c>
      <c r="V670" t="str">
        <f>_xlfn.XLOOKUP(Table3[[#This Row],[Cuenta]],Estructura_Balance[Nombre Cuenta ()],Estructura_Balance[Niveles:2],"",0)</f>
        <v/>
      </c>
      <c r="W670" t="str">
        <f>_xlfn.XLOOKUP(Table3[[#This Row],[Cuenta]],Estructura_Balance[Nombre Cuenta ()],Estructura_Balance[Niveles:3],"",0)</f>
        <v/>
      </c>
      <c r="X670" t="str">
        <f>_xlfn.XLOOKUP(Table3[[#This Row],[Cuenta]],Estructura_Balance[Nombre Cuenta ()],Estructura_Balance[Grupos],"Grupo 1",0)</f>
        <v>Grupo 1</v>
      </c>
      <c r="Y670" t="str">
        <f>+Table3[[#This Row],[BS_Nivel_1]]</f>
        <v/>
      </c>
    </row>
    <row r="671" spans="1:25">
      <c r="A671">
        <f>+'Libro Diario'!F885</f>
        <v>0</v>
      </c>
      <c r="B671" s="144">
        <f>VALUE(IF(+'Libro Diario'!G885="","01/01/2025",+'Libro Diario'!G885))</f>
        <v>45658</v>
      </c>
      <c r="C671">
        <f>IF(ISNUMBER(+IF(IFERROR(VALUE(MID('Libro Diario'!C885,1,4)),0)&lt;&gt;0,'Libro Diario'!C885,0))=FALSE,'Libro Diario'!C885,0)</f>
        <v>0</v>
      </c>
      <c r="D671" s="145">
        <f>+'Libro Diario'!B885</f>
        <v>0</v>
      </c>
      <c r="E671" s="139" t="s">
        <v>445</v>
      </c>
      <c r="F671" t="str">
        <f t="shared" si="30"/>
        <v>Sin Mov.</v>
      </c>
      <c r="G671" t="str">
        <f>IF(+'Libro Diario'!H885=0,"",+'Libro Diario'!H885)</f>
        <v/>
      </c>
      <c r="H671" t="str">
        <f>IF(+'Libro Diario'!I885=0,"",+'Libro Diario'!I885)</f>
        <v/>
      </c>
      <c r="I671" t="str">
        <f>+IF(Table3[[#This Row],[Tipo Movimiento]]="Estructura Balance y PyG","Excluir","Incluir")</f>
        <v>Incluir</v>
      </c>
      <c r="J671" s="153">
        <f>+IF(Table3[[#This Row],[Sin cuenta]]="Con Mov.",(IF(Table3[[#This Row],[Movimiento]]="Debe",Table3[[#This Row],[Importe]],IF(Table3[[#This Row],[Movimiento]]="Haber",Table3[[#This Row],[Importe]]*-1,0))),0)</f>
        <v>0</v>
      </c>
      <c r="K671" s="145">
        <f t="shared" si="31"/>
        <v>0</v>
      </c>
      <c r="L671" s="145" t="str">
        <f t="shared" si="32"/>
        <v/>
      </c>
      <c r="M671" t="str">
        <f>_xlfn.XLOOKUP(Table3[[#This Row],[Cuenta]],Estructura_Balance[Nombre Cuenta ()],Estructura_Balance[Grupo],"",0)</f>
        <v/>
      </c>
      <c r="N671" t="str">
        <f>_xlfn.XLOOKUP(Table3[[#This Row],[Cuenta]],Estructura_Balance[Nombre Cuenta ()],Estructura_Balance[Nivel 1],"",0)</f>
        <v/>
      </c>
      <c r="O671" t="str">
        <f>_xlfn.XLOOKUP(Table3[[#This Row],[Cuenta]],Estructura_Balance[Nombre Cuenta ()],Estructura_Balance[Nivel 2],"",0)</f>
        <v/>
      </c>
      <c r="P671" t="str">
        <f>_xlfn.XLOOKUP(Table3[[#This Row],[Cuenta]],Estructura_Balance[Nombre Cuenta ()],Estructura_Balance[Nivel 3],"",0)</f>
        <v/>
      </c>
      <c r="Q671" t="str">
        <f>_xlfn.XLOOKUP(Table3[[#This Row],[Cuenta]],Estructura_Balance[Nombre Cuenta ()],Estructura_Balance[Nivel 4],"",0)</f>
        <v/>
      </c>
      <c r="R671" t="str">
        <f>_xlfn.XLOOKUP(Table3[[#This Row],[Cuenta]],Table8[Nombre Cuenta ()],Table8[Nivel 1],"",0)</f>
        <v/>
      </c>
      <c r="S671" t="str">
        <f>_xlfn.XLOOKUP(Table3[[#This Row],[Cuenta]],Table8[Nombre Cuenta ()],Table8[Nivel 2],"",0)</f>
        <v/>
      </c>
      <c r="T671" t="str">
        <f>_xlfn.XLOOKUP(Table3[[#This Row],[Cuenta]],Table8[Nombre Cuenta ()],Table8[Nivel 3],"",0)</f>
        <v/>
      </c>
      <c r="U671">
        <v>1110</v>
      </c>
      <c r="V671" t="str">
        <f>_xlfn.XLOOKUP(Table3[[#This Row],[Cuenta]],Estructura_Balance[Nombre Cuenta ()],Estructura_Balance[Niveles:2],"",0)</f>
        <v/>
      </c>
      <c r="W671" t="str">
        <f>_xlfn.XLOOKUP(Table3[[#This Row],[Cuenta]],Estructura_Balance[Nombre Cuenta ()],Estructura_Balance[Niveles:3],"",0)</f>
        <v/>
      </c>
      <c r="X671" t="str">
        <f>_xlfn.XLOOKUP(Table3[[#This Row],[Cuenta]],Estructura_Balance[Nombre Cuenta ()],Estructura_Balance[Grupos],"Grupo 1",0)</f>
        <v>Grupo 1</v>
      </c>
      <c r="Y671" t="str">
        <f>+Table3[[#This Row],[BS_Nivel_1]]</f>
        <v/>
      </c>
    </row>
    <row r="672" spans="1:25">
      <c r="A672">
        <f>+'Libro Diario'!F886</f>
        <v>0</v>
      </c>
      <c r="B672" s="144">
        <f>VALUE(IF(+'Libro Diario'!G886="","01/01/2025",+'Libro Diario'!G886))</f>
        <v>45658</v>
      </c>
      <c r="C672">
        <f>IF(ISNUMBER(+IF(IFERROR(VALUE(MID('Libro Diario'!C886,1,4)),0)&lt;&gt;0,'Libro Diario'!C886,0))=FALSE,'Libro Diario'!C886,0)</f>
        <v>0</v>
      </c>
      <c r="D672" s="145">
        <f>+'Libro Diario'!B886</f>
        <v>0</v>
      </c>
      <c r="E672" s="139" t="s">
        <v>445</v>
      </c>
      <c r="F672" t="str">
        <f t="shared" si="30"/>
        <v>Sin Mov.</v>
      </c>
      <c r="G672" t="str">
        <f>IF(+'Libro Diario'!H886=0,"",+'Libro Diario'!H886)</f>
        <v/>
      </c>
      <c r="H672" t="str">
        <f>IF(+'Libro Diario'!I886=0,"",+'Libro Diario'!I886)</f>
        <v/>
      </c>
      <c r="I672" t="str">
        <f>+IF(Table3[[#This Row],[Tipo Movimiento]]="Estructura Balance y PyG","Excluir","Incluir")</f>
        <v>Incluir</v>
      </c>
      <c r="J672" s="153">
        <f>+IF(Table3[[#This Row],[Sin cuenta]]="Con Mov.",(IF(Table3[[#This Row],[Movimiento]]="Debe",Table3[[#This Row],[Importe]],IF(Table3[[#This Row],[Movimiento]]="Haber",Table3[[#This Row],[Importe]]*-1,0))),0)</f>
        <v>0</v>
      </c>
      <c r="K672" s="145">
        <f t="shared" si="31"/>
        <v>0</v>
      </c>
      <c r="L672" s="145" t="str">
        <f t="shared" si="32"/>
        <v/>
      </c>
      <c r="M672" t="str">
        <f>_xlfn.XLOOKUP(Table3[[#This Row],[Cuenta]],Estructura_Balance[Nombre Cuenta ()],Estructura_Balance[Grupo],"",0)</f>
        <v/>
      </c>
      <c r="N672" t="str">
        <f>_xlfn.XLOOKUP(Table3[[#This Row],[Cuenta]],Estructura_Balance[Nombre Cuenta ()],Estructura_Balance[Nivel 1],"",0)</f>
        <v/>
      </c>
      <c r="O672" t="str">
        <f>_xlfn.XLOOKUP(Table3[[#This Row],[Cuenta]],Estructura_Balance[Nombre Cuenta ()],Estructura_Balance[Nivel 2],"",0)</f>
        <v/>
      </c>
      <c r="P672" t="str">
        <f>_xlfn.XLOOKUP(Table3[[#This Row],[Cuenta]],Estructura_Balance[Nombre Cuenta ()],Estructura_Balance[Nivel 3],"",0)</f>
        <v/>
      </c>
      <c r="Q672" t="str">
        <f>_xlfn.XLOOKUP(Table3[[#This Row],[Cuenta]],Estructura_Balance[Nombre Cuenta ()],Estructura_Balance[Nivel 4],"",0)</f>
        <v/>
      </c>
      <c r="R672" t="str">
        <f>_xlfn.XLOOKUP(Table3[[#This Row],[Cuenta]],Table8[Nombre Cuenta ()],Table8[Nivel 1],"",0)</f>
        <v/>
      </c>
      <c r="S672" t="str">
        <f>_xlfn.XLOOKUP(Table3[[#This Row],[Cuenta]],Table8[Nombre Cuenta ()],Table8[Nivel 2],"",0)</f>
        <v/>
      </c>
      <c r="T672" t="str">
        <f>_xlfn.XLOOKUP(Table3[[#This Row],[Cuenta]],Table8[Nombre Cuenta ()],Table8[Nivel 3],"",0)</f>
        <v/>
      </c>
      <c r="U672">
        <v>1111</v>
      </c>
      <c r="V672" t="str">
        <f>_xlfn.XLOOKUP(Table3[[#This Row],[Cuenta]],Estructura_Balance[Nombre Cuenta ()],Estructura_Balance[Niveles:2],"",0)</f>
        <v/>
      </c>
      <c r="W672" t="str">
        <f>_xlfn.XLOOKUP(Table3[[#This Row],[Cuenta]],Estructura_Balance[Nombre Cuenta ()],Estructura_Balance[Niveles:3],"",0)</f>
        <v/>
      </c>
      <c r="X672" t="str">
        <f>_xlfn.XLOOKUP(Table3[[#This Row],[Cuenta]],Estructura_Balance[Nombre Cuenta ()],Estructura_Balance[Grupos],"Grupo 1",0)</f>
        <v>Grupo 1</v>
      </c>
      <c r="Y672" t="str">
        <f>+Table3[[#This Row],[BS_Nivel_1]]</f>
        <v/>
      </c>
    </row>
    <row r="673" spans="1:25">
      <c r="A673">
        <f>+'Libro Diario'!F887</f>
        <v>0</v>
      </c>
      <c r="B673" s="144">
        <f>VALUE(IF(+'Libro Diario'!G887="","01/01/2025",+'Libro Diario'!G887))</f>
        <v>45658</v>
      </c>
      <c r="C673">
        <f>IF(ISNUMBER(+IF(IFERROR(VALUE(MID('Libro Diario'!C887,1,4)),0)&lt;&gt;0,'Libro Diario'!C887,0))=FALSE,'Libro Diario'!C887,0)</f>
        <v>0</v>
      </c>
      <c r="D673" s="145">
        <f>+'Libro Diario'!B887</f>
        <v>0</v>
      </c>
      <c r="E673" s="139" t="s">
        <v>445</v>
      </c>
      <c r="F673" t="str">
        <f t="shared" si="30"/>
        <v>Sin Mov.</v>
      </c>
      <c r="G673" t="str">
        <f>IF(+'Libro Diario'!H887=0,"",+'Libro Diario'!H887)</f>
        <v/>
      </c>
      <c r="H673" t="str">
        <f>IF(+'Libro Diario'!I887=0,"",+'Libro Diario'!I887)</f>
        <v/>
      </c>
      <c r="I673" t="str">
        <f>+IF(Table3[[#This Row],[Tipo Movimiento]]="Estructura Balance y PyG","Excluir","Incluir")</f>
        <v>Incluir</v>
      </c>
      <c r="J673" s="153">
        <f>+IF(Table3[[#This Row],[Sin cuenta]]="Con Mov.",(IF(Table3[[#This Row],[Movimiento]]="Debe",Table3[[#This Row],[Importe]],IF(Table3[[#This Row],[Movimiento]]="Haber",Table3[[#This Row],[Importe]]*-1,0))),0)</f>
        <v>0</v>
      </c>
      <c r="K673" s="145">
        <f t="shared" si="31"/>
        <v>0</v>
      </c>
      <c r="L673" s="145" t="str">
        <f t="shared" si="32"/>
        <v/>
      </c>
      <c r="M673" t="str">
        <f>_xlfn.XLOOKUP(Table3[[#This Row],[Cuenta]],Estructura_Balance[Nombre Cuenta ()],Estructura_Balance[Grupo],"",0)</f>
        <v/>
      </c>
      <c r="N673" t="str">
        <f>_xlfn.XLOOKUP(Table3[[#This Row],[Cuenta]],Estructura_Balance[Nombre Cuenta ()],Estructura_Balance[Nivel 1],"",0)</f>
        <v/>
      </c>
      <c r="O673" t="str">
        <f>_xlfn.XLOOKUP(Table3[[#This Row],[Cuenta]],Estructura_Balance[Nombre Cuenta ()],Estructura_Balance[Nivel 2],"",0)</f>
        <v/>
      </c>
      <c r="P673" t="str">
        <f>_xlfn.XLOOKUP(Table3[[#This Row],[Cuenta]],Estructura_Balance[Nombre Cuenta ()],Estructura_Balance[Nivel 3],"",0)</f>
        <v/>
      </c>
      <c r="Q673" t="str">
        <f>_xlfn.XLOOKUP(Table3[[#This Row],[Cuenta]],Estructura_Balance[Nombre Cuenta ()],Estructura_Balance[Nivel 4],"",0)</f>
        <v/>
      </c>
      <c r="R673" t="str">
        <f>_xlfn.XLOOKUP(Table3[[#This Row],[Cuenta]],Table8[Nombre Cuenta ()],Table8[Nivel 1],"",0)</f>
        <v/>
      </c>
      <c r="S673" t="str">
        <f>_xlfn.XLOOKUP(Table3[[#This Row],[Cuenta]],Table8[Nombre Cuenta ()],Table8[Nivel 2],"",0)</f>
        <v/>
      </c>
      <c r="T673" t="str">
        <f>_xlfn.XLOOKUP(Table3[[#This Row],[Cuenta]],Table8[Nombre Cuenta ()],Table8[Nivel 3],"",0)</f>
        <v/>
      </c>
      <c r="U673">
        <v>1114</v>
      </c>
      <c r="V673" t="str">
        <f>_xlfn.XLOOKUP(Table3[[#This Row],[Cuenta]],Estructura_Balance[Nombre Cuenta ()],Estructura_Balance[Niveles:2],"",0)</f>
        <v/>
      </c>
      <c r="W673" t="str">
        <f>_xlfn.XLOOKUP(Table3[[#This Row],[Cuenta]],Estructura_Balance[Nombre Cuenta ()],Estructura_Balance[Niveles:3],"",0)</f>
        <v/>
      </c>
      <c r="X673" t="str">
        <f>_xlfn.XLOOKUP(Table3[[#This Row],[Cuenta]],Estructura_Balance[Nombre Cuenta ()],Estructura_Balance[Grupos],"Grupo 1",0)</f>
        <v>Grupo 1</v>
      </c>
      <c r="Y673" t="str">
        <f>+Table3[[#This Row],[BS_Nivel_1]]</f>
        <v/>
      </c>
    </row>
    <row r="674" spans="1:25">
      <c r="A674">
        <f>+'Libro Diario'!F888</f>
        <v>0</v>
      </c>
      <c r="B674" s="144">
        <f>VALUE(IF(+'Libro Diario'!G888="","01/01/2025",+'Libro Diario'!G888))</f>
        <v>45658</v>
      </c>
      <c r="C674">
        <f>IF(ISNUMBER(+IF(IFERROR(VALUE(MID('Libro Diario'!C888,1,4)),0)&lt;&gt;0,'Libro Diario'!C888,0))=FALSE,'Libro Diario'!C888,0)</f>
        <v>0</v>
      </c>
      <c r="D674" s="145">
        <f>+'Libro Diario'!B888</f>
        <v>0</v>
      </c>
      <c r="E674" s="139" t="s">
        <v>445</v>
      </c>
      <c r="F674" t="str">
        <f t="shared" si="30"/>
        <v>Sin Mov.</v>
      </c>
      <c r="G674" t="str">
        <f>IF(+'Libro Diario'!H888=0,"",+'Libro Diario'!H888)</f>
        <v/>
      </c>
      <c r="H674" t="str">
        <f>IF(+'Libro Diario'!I888=0,"",+'Libro Diario'!I888)</f>
        <v/>
      </c>
      <c r="I674" t="str">
        <f>+IF(Table3[[#This Row],[Tipo Movimiento]]="Estructura Balance y PyG","Excluir","Incluir")</f>
        <v>Incluir</v>
      </c>
      <c r="J674" s="153">
        <f>+IF(Table3[[#This Row],[Sin cuenta]]="Con Mov.",(IF(Table3[[#This Row],[Movimiento]]="Debe",Table3[[#This Row],[Importe]],IF(Table3[[#This Row],[Movimiento]]="Haber",Table3[[#This Row],[Importe]]*-1,0))),0)</f>
        <v>0</v>
      </c>
      <c r="K674" s="145">
        <f t="shared" si="31"/>
        <v>0</v>
      </c>
      <c r="L674" s="145" t="str">
        <f t="shared" si="32"/>
        <v/>
      </c>
      <c r="M674" t="str">
        <f>_xlfn.XLOOKUP(Table3[[#This Row],[Cuenta]],Estructura_Balance[Nombre Cuenta ()],Estructura_Balance[Grupo],"",0)</f>
        <v/>
      </c>
      <c r="N674" t="str">
        <f>_xlfn.XLOOKUP(Table3[[#This Row],[Cuenta]],Estructura_Balance[Nombre Cuenta ()],Estructura_Balance[Nivel 1],"",0)</f>
        <v/>
      </c>
      <c r="O674" t="str">
        <f>_xlfn.XLOOKUP(Table3[[#This Row],[Cuenta]],Estructura_Balance[Nombre Cuenta ()],Estructura_Balance[Nivel 2],"",0)</f>
        <v/>
      </c>
      <c r="P674" t="str">
        <f>_xlfn.XLOOKUP(Table3[[#This Row],[Cuenta]],Estructura_Balance[Nombre Cuenta ()],Estructura_Balance[Nivel 3],"",0)</f>
        <v/>
      </c>
      <c r="Q674" t="str">
        <f>_xlfn.XLOOKUP(Table3[[#This Row],[Cuenta]],Estructura_Balance[Nombre Cuenta ()],Estructura_Balance[Nivel 4],"",0)</f>
        <v/>
      </c>
      <c r="R674" t="str">
        <f>_xlfn.XLOOKUP(Table3[[#This Row],[Cuenta]],Table8[Nombre Cuenta ()],Table8[Nivel 1],"",0)</f>
        <v/>
      </c>
      <c r="S674" t="str">
        <f>_xlfn.XLOOKUP(Table3[[#This Row],[Cuenta]],Table8[Nombre Cuenta ()],Table8[Nivel 2],"",0)</f>
        <v/>
      </c>
      <c r="T674" t="str">
        <f>_xlfn.XLOOKUP(Table3[[#This Row],[Cuenta]],Table8[Nombre Cuenta ()],Table8[Nivel 3],"",0)</f>
        <v/>
      </c>
      <c r="U674">
        <v>1115</v>
      </c>
      <c r="V674" t="str">
        <f>_xlfn.XLOOKUP(Table3[[#This Row],[Cuenta]],Estructura_Balance[Nombre Cuenta ()],Estructura_Balance[Niveles:2],"",0)</f>
        <v/>
      </c>
      <c r="W674" t="str">
        <f>_xlfn.XLOOKUP(Table3[[#This Row],[Cuenta]],Estructura_Balance[Nombre Cuenta ()],Estructura_Balance[Niveles:3],"",0)</f>
        <v/>
      </c>
      <c r="X674" t="str">
        <f>_xlfn.XLOOKUP(Table3[[#This Row],[Cuenta]],Estructura_Balance[Nombre Cuenta ()],Estructura_Balance[Grupos],"Grupo 1",0)</f>
        <v>Grupo 1</v>
      </c>
      <c r="Y674" t="str">
        <f>+Table3[[#This Row],[BS_Nivel_1]]</f>
        <v/>
      </c>
    </row>
    <row r="675" spans="1:25">
      <c r="A675">
        <f>+'Libro Diario'!F889</f>
        <v>0</v>
      </c>
      <c r="B675" s="144">
        <f>VALUE(IF(+'Libro Diario'!G889="","01/01/2025",+'Libro Diario'!G889))</f>
        <v>45658</v>
      </c>
      <c r="C675">
        <f>IF(ISNUMBER(+IF(IFERROR(VALUE(MID('Libro Diario'!C889,1,4)),0)&lt;&gt;0,'Libro Diario'!C889,0))=FALSE,'Libro Diario'!C889,0)</f>
        <v>0</v>
      </c>
      <c r="D675" s="145">
        <f>+'Libro Diario'!B889</f>
        <v>0</v>
      </c>
      <c r="E675" s="139" t="s">
        <v>445</v>
      </c>
      <c r="F675" t="str">
        <f t="shared" si="30"/>
        <v>Sin Mov.</v>
      </c>
      <c r="G675" t="str">
        <f>IF(+'Libro Diario'!H889=0,"",+'Libro Diario'!H889)</f>
        <v/>
      </c>
      <c r="H675" t="str">
        <f>IF(+'Libro Diario'!I889=0,"",+'Libro Diario'!I889)</f>
        <v/>
      </c>
      <c r="I675" t="str">
        <f>+IF(Table3[[#This Row],[Tipo Movimiento]]="Estructura Balance y PyG","Excluir","Incluir")</f>
        <v>Incluir</v>
      </c>
      <c r="J675" s="153">
        <f>+IF(Table3[[#This Row],[Sin cuenta]]="Con Mov.",(IF(Table3[[#This Row],[Movimiento]]="Debe",Table3[[#This Row],[Importe]],IF(Table3[[#This Row],[Movimiento]]="Haber",Table3[[#This Row],[Importe]]*-1,0))),0)</f>
        <v>0</v>
      </c>
      <c r="K675" s="145">
        <f t="shared" si="31"/>
        <v>0</v>
      </c>
      <c r="L675" s="145" t="str">
        <f t="shared" si="32"/>
        <v/>
      </c>
      <c r="M675" t="str">
        <f>_xlfn.XLOOKUP(Table3[[#This Row],[Cuenta]],Estructura_Balance[Nombre Cuenta ()],Estructura_Balance[Grupo],"",0)</f>
        <v/>
      </c>
      <c r="N675" t="str">
        <f>_xlfn.XLOOKUP(Table3[[#This Row],[Cuenta]],Estructura_Balance[Nombre Cuenta ()],Estructura_Balance[Nivel 1],"",0)</f>
        <v/>
      </c>
      <c r="O675" t="str">
        <f>_xlfn.XLOOKUP(Table3[[#This Row],[Cuenta]],Estructura_Balance[Nombre Cuenta ()],Estructura_Balance[Nivel 2],"",0)</f>
        <v/>
      </c>
      <c r="P675" t="str">
        <f>_xlfn.XLOOKUP(Table3[[#This Row],[Cuenta]],Estructura_Balance[Nombre Cuenta ()],Estructura_Balance[Nivel 3],"",0)</f>
        <v/>
      </c>
      <c r="Q675" t="str">
        <f>_xlfn.XLOOKUP(Table3[[#This Row],[Cuenta]],Estructura_Balance[Nombre Cuenta ()],Estructura_Balance[Nivel 4],"",0)</f>
        <v/>
      </c>
      <c r="R675" t="str">
        <f>_xlfn.XLOOKUP(Table3[[#This Row],[Cuenta]],Table8[Nombre Cuenta ()],Table8[Nivel 1],"",0)</f>
        <v/>
      </c>
      <c r="S675" t="str">
        <f>_xlfn.XLOOKUP(Table3[[#This Row],[Cuenta]],Table8[Nombre Cuenta ()],Table8[Nivel 2],"",0)</f>
        <v/>
      </c>
      <c r="T675" t="str">
        <f>_xlfn.XLOOKUP(Table3[[#This Row],[Cuenta]],Table8[Nombre Cuenta ()],Table8[Nivel 3],"",0)</f>
        <v/>
      </c>
      <c r="U675">
        <v>1116</v>
      </c>
      <c r="V675" t="str">
        <f>_xlfn.XLOOKUP(Table3[[#This Row],[Cuenta]],Estructura_Balance[Nombre Cuenta ()],Estructura_Balance[Niveles:2],"",0)</f>
        <v/>
      </c>
      <c r="W675" t="str">
        <f>_xlfn.XLOOKUP(Table3[[#This Row],[Cuenta]],Estructura_Balance[Nombre Cuenta ()],Estructura_Balance[Niveles:3],"",0)</f>
        <v/>
      </c>
      <c r="X675" t="str">
        <f>_xlfn.XLOOKUP(Table3[[#This Row],[Cuenta]],Estructura_Balance[Nombre Cuenta ()],Estructura_Balance[Grupos],"Grupo 1",0)</f>
        <v>Grupo 1</v>
      </c>
      <c r="Y675" t="str">
        <f>+Table3[[#This Row],[BS_Nivel_1]]</f>
        <v/>
      </c>
    </row>
    <row r="676" spans="1:25">
      <c r="A676">
        <f>+'Libro Diario'!F890</f>
        <v>0</v>
      </c>
      <c r="B676" s="144">
        <f>VALUE(IF(+'Libro Diario'!G890="","01/01/2025",+'Libro Diario'!G890))</f>
        <v>45658</v>
      </c>
      <c r="C676">
        <f>IF(ISNUMBER(+IF(IFERROR(VALUE(MID('Libro Diario'!C890,1,4)),0)&lt;&gt;0,'Libro Diario'!C890,0))=FALSE,'Libro Diario'!C890,0)</f>
        <v>0</v>
      </c>
      <c r="D676" s="145">
        <f>+'Libro Diario'!B890</f>
        <v>0</v>
      </c>
      <c r="E676" s="139" t="s">
        <v>445</v>
      </c>
      <c r="F676" t="str">
        <f t="shared" si="30"/>
        <v>Sin Mov.</v>
      </c>
      <c r="G676" t="str">
        <f>IF(+'Libro Diario'!H890=0,"",+'Libro Diario'!H890)</f>
        <v/>
      </c>
      <c r="H676" t="str">
        <f>IF(+'Libro Diario'!I890=0,"",+'Libro Diario'!I890)</f>
        <v/>
      </c>
      <c r="I676" t="str">
        <f>+IF(Table3[[#This Row],[Tipo Movimiento]]="Estructura Balance y PyG","Excluir","Incluir")</f>
        <v>Incluir</v>
      </c>
      <c r="J676" s="153">
        <f>+IF(Table3[[#This Row],[Sin cuenta]]="Con Mov.",(IF(Table3[[#This Row],[Movimiento]]="Debe",Table3[[#This Row],[Importe]],IF(Table3[[#This Row],[Movimiento]]="Haber",Table3[[#This Row],[Importe]]*-1,0))),0)</f>
        <v>0</v>
      </c>
      <c r="K676" s="145">
        <f t="shared" si="31"/>
        <v>0</v>
      </c>
      <c r="L676" s="145" t="str">
        <f t="shared" si="32"/>
        <v/>
      </c>
      <c r="M676" t="str">
        <f>_xlfn.XLOOKUP(Table3[[#This Row],[Cuenta]],Estructura_Balance[Nombre Cuenta ()],Estructura_Balance[Grupo],"",0)</f>
        <v/>
      </c>
      <c r="N676" t="str">
        <f>_xlfn.XLOOKUP(Table3[[#This Row],[Cuenta]],Estructura_Balance[Nombre Cuenta ()],Estructura_Balance[Nivel 1],"",0)</f>
        <v/>
      </c>
      <c r="O676" t="str">
        <f>_xlfn.XLOOKUP(Table3[[#This Row],[Cuenta]],Estructura_Balance[Nombre Cuenta ()],Estructura_Balance[Nivel 2],"",0)</f>
        <v/>
      </c>
      <c r="P676" t="str">
        <f>_xlfn.XLOOKUP(Table3[[#This Row],[Cuenta]],Estructura_Balance[Nombre Cuenta ()],Estructura_Balance[Nivel 3],"",0)</f>
        <v/>
      </c>
      <c r="Q676" t="str">
        <f>_xlfn.XLOOKUP(Table3[[#This Row],[Cuenta]],Estructura_Balance[Nombre Cuenta ()],Estructura_Balance[Nivel 4],"",0)</f>
        <v/>
      </c>
      <c r="R676" t="str">
        <f>_xlfn.XLOOKUP(Table3[[#This Row],[Cuenta]],Table8[Nombre Cuenta ()],Table8[Nivel 1],"",0)</f>
        <v/>
      </c>
      <c r="S676" t="str">
        <f>_xlfn.XLOOKUP(Table3[[#This Row],[Cuenta]],Table8[Nombre Cuenta ()],Table8[Nivel 2],"",0)</f>
        <v/>
      </c>
      <c r="T676" t="str">
        <f>_xlfn.XLOOKUP(Table3[[#This Row],[Cuenta]],Table8[Nombre Cuenta ()],Table8[Nivel 3],"",0)</f>
        <v/>
      </c>
      <c r="U676">
        <v>1117</v>
      </c>
      <c r="V676" t="str">
        <f>_xlfn.XLOOKUP(Table3[[#This Row],[Cuenta]],Estructura_Balance[Nombre Cuenta ()],Estructura_Balance[Niveles:2],"",0)</f>
        <v/>
      </c>
      <c r="W676" t="str">
        <f>_xlfn.XLOOKUP(Table3[[#This Row],[Cuenta]],Estructura_Balance[Nombre Cuenta ()],Estructura_Balance[Niveles:3],"",0)</f>
        <v/>
      </c>
      <c r="X676" t="str">
        <f>_xlfn.XLOOKUP(Table3[[#This Row],[Cuenta]],Estructura_Balance[Nombre Cuenta ()],Estructura_Balance[Grupos],"Grupo 1",0)</f>
        <v>Grupo 1</v>
      </c>
      <c r="Y676" t="str">
        <f>+Table3[[#This Row],[BS_Nivel_1]]</f>
        <v/>
      </c>
    </row>
    <row r="677" spans="1:25">
      <c r="A677">
        <f>+'Libro Diario'!F891</f>
        <v>0</v>
      </c>
      <c r="B677" s="144">
        <f>VALUE(IF(+'Libro Diario'!G891="","01/01/2025",+'Libro Diario'!G891))</f>
        <v>45658</v>
      </c>
      <c r="C677">
        <f>IF(ISNUMBER(+IF(IFERROR(VALUE(MID('Libro Diario'!C891,1,4)),0)&lt;&gt;0,'Libro Diario'!C891,0))=FALSE,'Libro Diario'!C891,0)</f>
        <v>0</v>
      </c>
      <c r="D677" s="145">
        <f>+'Libro Diario'!B891</f>
        <v>0</v>
      </c>
      <c r="E677" s="139" t="s">
        <v>445</v>
      </c>
      <c r="F677" t="str">
        <f t="shared" si="30"/>
        <v>Sin Mov.</v>
      </c>
      <c r="G677" t="str">
        <f>IF(+'Libro Diario'!H891=0,"",+'Libro Diario'!H891)</f>
        <v/>
      </c>
      <c r="H677" t="str">
        <f>IF(+'Libro Diario'!I891=0,"",+'Libro Diario'!I891)</f>
        <v/>
      </c>
      <c r="I677" t="str">
        <f>+IF(Table3[[#This Row],[Tipo Movimiento]]="Estructura Balance y PyG","Excluir","Incluir")</f>
        <v>Incluir</v>
      </c>
      <c r="J677" s="153">
        <f>+IF(Table3[[#This Row],[Sin cuenta]]="Con Mov.",(IF(Table3[[#This Row],[Movimiento]]="Debe",Table3[[#This Row],[Importe]],IF(Table3[[#This Row],[Movimiento]]="Haber",Table3[[#This Row],[Importe]]*-1,0))),0)</f>
        <v>0</v>
      </c>
      <c r="K677" s="145">
        <f t="shared" si="31"/>
        <v>0</v>
      </c>
      <c r="L677" s="145" t="str">
        <f t="shared" si="32"/>
        <v/>
      </c>
      <c r="M677" t="str">
        <f>_xlfn.XLOOKUP(Table3[[#This Row],[Cuenta]],Estructura_Balance[Nombre Cuenta ()],Estructura_Balance[Grupo],"",0)</f>
        <v/>
      </c>
      <c r="N677" t="str">
        <f>_xlfn.XLOOKUP(Table3[[#This Row],[Cuenta]],Estructura_Balance[Nombre Cuenta ()],Estructura_Balance[Nivel 1],"",0)</f>
        <v/>
      </c>
      <c r="O677" t="str">
        <f>_xlfn.XLOOKUP(Table3[[#This Row],[Cuenta]],Estructura_Balance[Nombre Cuenta ()],Estructura_Balance[Nivel 2],"",0)</f>
        <v/>
      </c>
      <c r="P677" t="str">
        <f>_xlfn.XLOOKUP(Table3[[#This Row],[Cuenta]],Estructura_Balance[Nombre Cuenta ()],Estructura_Balance[Nivel 3],"",0)</f>
        <v/>
      </c>
      <c r="Q677" t="str">
        <f>_xlfn.XLOOKUP(Table3[[#This Row],[Cuenta]],Estructura_Balance[Nombre Cuenta ()],Estructura_Balance[Nivel 4],"",0)</f>
        <v/>
      </c>
      <c r="R677" t="str">
        <f>_xlfn.XLOOKUP(Table3[[#This Row],[Cuenta]],Table8[Nombre Cuenta ()],Table8[Nivel 1],"",0)</f>
        <v/>
      </c>
      <c r="S677" t="str">
        <f>_xlfn.XLOOKUP(Table3[[#This Row],[Cuenta]],Table8[Nombre Cuenta ()],Table8[Nivel 2],"",0)</f>
        <v/>
      </c>
      <c r="T677" t="str">
        <f>_xlfn.XLOOKUP(Table3[[#This Row],[Cuenta]],Table8[Nombre Cuenta ()],Table8[Nivel 3],"",0)</f>
        <v/>
      </c>
      <c r="U677">
        <v>1118</v>
      </c>
      <c r="V677" t="str">
        <f>_xlfn.XLOOKUP(Table3[[#This Row],[Cuenta]],Estructura_Balance[Nombre Cuenta ()],Estructura_Balance[Niveles:2],"",0)</f>
        <v/>
      </c>
      <c r="W677" t="str">
        <f>_xlfn.XLOOKUP(Table3[[#This Row],[Cuenta]],Estructura_Balance[Nombre Cuenta ()],Estructura_Balance[Niveles:3],"",0)</f>
        <v/>
      </c>
      <c r="X677" t="str">
        <f>_xlfn.XLOOKUP(Table3[[#This Row],[Cuenta]],Estructura_Balance[Nombre Cuenta ()],Estructura_Balance[Grupos],"Grupo 1",0)</f>
        <v>Grupo 1</v>
      </c>
      <c r="Y677" t="str">
        <f>+Table3[[#This Row],[BS_Nivel_1]]</f>
        <v/>
      </c>
    </row>
    <row r="678" spans="1:25">
      <c r="A678">
        <f>+'Libro Diario'!F892</f>
        <v>0</v>
      </c>
      <c r="B678" s="144">
        <f>VALUE(IF(+'Libro Diario'!G892="","01/01/2025",+'Libro Diario'!G892))</f>
        <v>45658</v>
      </c>
      <c r="C678">
        <f>IF(ISNUMBER(+IF(IFERROR(VALUE(MID('Libro Diario'!C892,1,4)),0)&lt;&gt;0,'Libro Diario'!C892,0))=FALSE,'Libro Diario'!C892,0)</f>
        <v>0</v>
      </c>
      <c r="D678" s="145">
        <f>+'Libro Diario'!B892</f>
        <v>0</v>
      </c>
      <c r="E678" s="139" t="s">
        <v>445</v>
      </c>
      <c r="F678" t="str">
        <f t="shared" si="30"/>
        <v>Sin Mov.</v>
      </c>
      <c r="G678" t="str">
        <f>IF(+'Libro Diario'!H892=0,"",+'Libro Diario'!H892)</f>
        <v/>
      </c>
      <c r="H678" t="str">
        <f>IF(+'Libro Diario'!I892=0,"",+'Libro Diario'!I892)</f>
        <v/>
      </c>
      <c r="I678" t="str">
        <f>+IF(Table3[[#This Row],[Tipo Movimiento]]="Estructura Balance y PyG","Excluir","Incluir")</f>
        <v>Incluir</v>
      </c>
      <c r="J678" s="153">
        <f>+IF(Table3[[#This Row],[Sin cuenta]]="Con Mov.",(IF(Table3[[#This Row],[Movimiento]]="Debe",Table3[[#This Row],[Importe]],IF(Table3[[#This Row],[Movimiento]]="Haber",Table3[[#This Row],[Importe]]*-1,0))),0)</f>
        <v>0</v>
      </c>
      <c r="K678" s="145">
        <f t="shared" si="31"/>
        <v>0</v>
      </c>
      <c r="L678" s="145" t="str">
        <f t="shared" si="32"/>
        <v/>
      </c>
      <c r="M678" t="str">
        <f>_xlfn.XLOOKUP(Table3[[#This Row],[Cuenta]],Estructura_Balance[Nombre Cuenta ()],Estructura_Balance[Grupo],"",0)</f>
        <v/>
      </c>
      <c r="N678" t="str">
        <f>_xlfn.XLOOKUP(Table3[[#This Row],[Cuenta]],Estructura_Balance[Nombre Cuenta ()],Estructura_Balance[Nivel 1],"",0)</f>
        <v/>
      </c>
      <c r="O678" t="str">
        <f>_xlfn.XLOOKUP(Table3[[#This Row],[Cuenta]],Estructura_Balance[Nombre Cuenta ()],Estructura_Balance[Nivel 2],"",0)</f>
        <v/>
      </c>
      <c r="P678" t="str">
        <f>_xlfn.XLOOKUP(Table3[[#This Row],[Cuenta]],Estructura_Balance[Nombre Cuenta ()],Estructura_Balance[Nivel 3],"",0)</f>
        <v/>
      </c>
      <c r="Q678" t="str">
        <f>_xlfn.XLOOKUP(Table3[[#This Row],[Cuenta]],Estructura_Balance[Nombre Cuenta ()],Estructura_Balance[Nivel 4],"",0)</f>
        <v/>
      </c>
      <c r="R678" t="str">
        <f>_xlfn.XLOOKUP(Table3[[#This Row],[Cuenta]],Table8[Nombre Cuenta ()],Table8[Nivel 1],"",0)</f>
        <v/>
      </c>
      <c r="S678" t="str">
        <f>_xlfn.XLOOKUP(Table3[[#This Row],[Cuenta]],Table8[Nombre Cuenta ()],Table8[Nivel 2],"",0)</f>
        <v/>
      </c>
      <c r="T678" t="str">
        <f>_xlfn.XLOOKUP(Table3[[#This Row],[Cuenta]],Table8[Nombre Cuenta ()],Table8[Nivel 3],"",0)</f>
        <v/>
      </c>
      <c r="U678">
        <v>1121</v>
      </c>
      <c r="V678" t="str">
        <f>_xlfn.XLOOKUP(Table3[[#This Row],[Cuenta]],Estructura_Balance[Nombre Cuenta ()],Estructura_Balance[Niveles:2],"",0)</f>
        <v/>
      </c>
      <c r="W678" t="str">
        <f>_xlfn.XLOOKUP(Table3[[#This Row],[Cuenta]],Estructura_Balance[Nombre Cuenta ()],Estructura_Balance[Niveles:3],"",0)</f>
        <v/>
      </c>
      <c r="X678" t="str">
        <f>_xlfn.XLOOKUP(Table3[[#This Row],[Cuenta]],Estructura_Balance[Nombre Cuenta ()],Estructura_Balance[Grupos],"Grupo 1",0)</f>
        <v>Grupo 1</v>
      </c>
      <c r="Y678" t="str">
        <f>+Table3[[#This Row],[BS_Nivel_1]]</f>
        <v/>
      </c>
    </row>
    <row r="679" spans="1:25">
      <c r="A679">
        <f>+'Libro Diario'!F893</f>
        <v>0</v>
      </c>
      <c r="B679" s="144">
        <f>VALUE(IF(+'Libro Diario'!G893="","01/01/2025",+'Libro Diario'!G893))</f>
        <v>45658</v>
      </c>
      <c r="C679">
        <f>IF(ISNUMBER(+IF(IFERROR(VALUE(MID('Libro Diario'!C893,1,4)),0)&lt;&gt;0,'Libro Diario'!C893,0))=FALSE,'Libro Diario'!C893,0)</f>
        <v>0</v>
      </c>
      <c r="D679" s="145">
        <f>+'Libro Diario'!B893</f>
        <v>0</v>
      </c>
      <c r="E679" s="139" t="s">
        <v>445</v>
      </c>
      <c r="F679" t="str">
        <f t="shared" si="30"/>
        <v>Sin Mov.</v>
      </c>
      <c r="G679" t="str">
        <f>IF(+'Libro Diario'!H893=0,"",+'Libro Diario'!H893)</f>
        <v/>
      </c>
      <c r="H679" t="str">
        <f>IF(+'Libro Diario'!I893=0,"",+'Libro Diario'!I893)</f>
        <v/>
      </c>
      <c r="I679" t="str">
        <f>+IF(Table3[[#This Row],[Tipo Movimiento]]="Estructura Balance y PyG","Excluir","Incluir")</f>
        <v>Incluir</v>
      </c>
      <c r="J679" s="153">
        <f>+IF(Table3[[#This Row],[Sin cuenta]]="Con Mov.",(IF(Table3[[#This Row],[Movimiento]]="Debe",Table3[[#This Row],[Importe]],IF(Table3[[#This Row],[Movimiento]]="Haber",Table3[[#This Row],[Importe]]*-1,0))),0)</f>
        <v>0</v>
      </c>
      <c r="K679" s="145">
        <f t="shared" si="31"/>
        <v>0</v>
      </c>
      <c r="L679" s="145" t="str">
        <f t="shared" si="32"/>
        <v/>
      </c>
      <c r="M679" t="str">
        <f>_xlfn.XLOOKUP(Table3[[#This Row],[Cuenta]],Estructura_Balance[Nombre Cuenta ()],Estructura_Balance[Grupo],"",0)</f>
        <v/>
      </c>
      <c r="N679" t="str">
        <f>_xlfn.XLOOKUP(Table3[[#This Row],[Cuenta]],Estructura_Balance[Nombre Cuenta ()],Estructura_Balance[Nivel 1],"",0)</f>
        <v/>
      </c>
      <c r="O679" t="str">
        <f>_xlfn.XLOOKUP(Table3[[#This Row],[Cuenta]],Estructura_Balance[Nombre Cuenta ()],Estructura_Balance[Nivel 2],"",0)</f>
        <v/>
      </c>
      <c r="P679" t="str">
        <f>_xlfn.XLOOKUP(Table3[[#This Row],[Cuenta]],Estructura_Balance[Nombre Cuenta ()],Estructura_Balance[Nivel 3],"",0)</f>
        <v/>
      </c>
      <c r="Q679" t="str">
        <f>_xlfn.XLOOKUP(Table3[[#This Row],[Cuenta]],Estructura_Balance[Nombre Cuenta ()],Estructura_Balance[Nivel 4],"",0)</f>
        <v/>
      </c>
      <c r="R679" t="str">
        <f>_xlfn.XLOOKUP(Table3[[#This Row],[Cuenta]],Table8[Nombre Cuenta ()],Table8[Nivel 1],"",0)</f>
        <v/>
      </c>
      <c r="S679" t="str">
        <f>_xlfn.XLOOKUP(Table3[[#This Row],[Cuenta]],Table8[Nombre Cuenta ()],Table8[Nivel 2],"",0)</f>
        <v/>
      </c>
      <c r="T679" t="str">
        <f>_xlfn.XLOOKUP(Table3[[#This Row],[Cuenta]],Table8[Nombre Cuenta ()],Table8[Nivel 3],"",0)</f>
        <v/>
      </c>
      <c r="U679">
        <v>1122</v>
      </c>
      <c r="V679" t="str">
        <f>_xlfn.XLOOKUP(Table3[[#This Row],[Cuenta]],Estructura_Balance[Nombre Cuenta ()],Estructura_Balance[Niveles:2],"",0)</f>
        <v/>
      </c>
      <c r="W679" t="str">
        <f>_xlfn.XLOOKUP(Table3[[#This Row],[Cuenta]],Estructura_Balance[Nombre Cuenta ()],Estructura_Balance[Niveles:3],"",0)</f>
        <v/>
      </c>
      <c r="X679" t="str">
        <f>_xlfn.XLOOKUP(Table3[[#This Row],[Cuenta]],Estructura_Balance[Nombre Cuenta ()],Estructura_Balance[Grupos],"Grupo 1",0)</f>
        <v>Grupo 1</v>
      </c>
      <c r="Y679" t="str">
        <f>+Table3[[#This Row],[BS_Nivel_1]]</f>
        <v/>
      </c>
    </row>
    <row r="680" spans="1:25">
      <c r="A680">
        <f>+'Libro Diario'!F894</f>
        <v>0</v>
      </c>
      <c r="B680" s="144">
        <f>VALUE(IF(+'Libro Diario'!G894="","01/01/2025",+'Libro Diario'!G894))</f>
        <v>45658</v>
      </c>
      <c r="C680">
        <f>IF(ISNUMBER(+IF(IFERROR(VALUE(MID('Libro Diario'!C894,1,4)),0)&lt;&gt;0,'Libro Diario'!C894,0))=FALSE,'Libro Diario'!C894,0)</f>
        <v>0</v>
      </c>
      <c r="D680" s="145">
        <f>+'Libro Diario'!B894</f>
        <v>0</v>
      </c>
      <c r="E680" s="139" t="s">
        <v>445</v>
      </c>
      <c r="F680" t="str">
        <f t="shared" si="30"/>
        <v>Sin Mov.</v>
      </c>
      <c r="G680" t="str">
        <f>IF(+'Libro Diario'!H894=0,"",+'Libro Diario'!H894)</f>
        <v/>
      </c>
      <c r="H680" t="str">
        <f>IF(+'Libro Diario'!I894=0,"",+'Libro Diario'!I894)</f>
        <v/>
      </c>
      <c r="I680" t="str">
        <f>+IF(Table3[[#This Row],[Tipo Movimiento]]="Estructura Balance y PyG","Excluir","Incluir")</f>
        <v>Incluir</v>
      </c>
      <c r="J680" s="153">
        <f>+IF(Table3[[#This Row],[Sin cuenta]]="Con Mov.",(IF(Table3[[#This Row],[Movimiento]]="Debe",Table3[[#This Row],[Importe]],IF(Table3[[#This Row],[Movimiento]]="Haber",Table3[[#This Row],[Importe]]*-1,0))),0)</f>
        <v>0</v>
      </c>
      <c r="K680" s="145">
        <f t="shared" si="31"/>
        <v>0</v>
      </c>
      <c r="L680" s="145" t="str">
        <f t="shared" si="32"/>
        <v/>
      </c>
      <c r="M680" t="str">
        <f>_xlfn.XLOOKUP(Table3[[#This Row],[Cuenta]],Estructura_Balance[Nombre Cuenta ()],Estructura_Balance[Grupo],"",0)</f>
        <v/>
      </c>
      <c r="N680" t="str">
        <f>_xlfn.XLOOKUP(Table3[[#This Row],[Cuenta]],Estructura_Balance[Nombre Cuenta ()],Estructura_Balance[Nivel 1],"",0)</f>
        <v/>
      </c>
      <c r="O680" t="str">
        <f>_xlfn.XLOOKUP(Table3[[#This Row],[Cuenta]],Estructura_Balance[Nombre Cuenta ()],Estructura_Balance[Nivel 2],"",0)</f>
        <v/>
      </c>
      <c r="P680" t="str">
        <f>_xlfn.XLOOKUP(Table3[[#This Row],[Cuenta]],Estructura_Balance[Nombre Cuenta ()],Estructura_Balance[Nivel 3],"",0)</f>
        <v/>
      </c>
      <c r="Q680" t="str">
        <f>_xlfn.XLOOKUP(Table3[[#This Row],[Cuenta]],Estructura_Balance[Nombre Cuenta ()],Estructura_Balance[Nivel 4],"",0)</f>
        <v/>
      </c>
      <c r="R680" t="str">
        <f>_xlfn.XLOOKUP(Table3[[#This Row],[Cuenta]],Table8[Nombre Cuenta ()],Table8[Nivel 1],"",0)</f>
        <v/>
      </c>
      <c r="S680" t="str">
        <f>_xlfn.XLOOKUP(Table3[[#This Row],[Cuenta]],Table8[Nombre Cuenta ()],Table8[Nivel 2],"",0)</f>
        <v/>
      </c>
      <c r="T680" t="str">
        <f>_xlfn.XLOOKUP(Table3[[#This Row],[Cuenta]],Table8[Nombre Cuenta ()],Table8[Nivel 3],"",0)</f>
        <v/>
      </c>
      <c r="U680">
        <v>1123</v>
      </c>
      <c r="V680" t="str">
        <f>_xlfn.XLOOKUP(Table3[[#This Row],[Cuenta]],Estructura_Balance[Nombre Cuenta ()],Estructura_Balance[Niveles:2],"",0)</f>
        <v/>
      </c>
      <c r="W680" t="str">
        <f>_xlfn.XLOOKUP(Table3[[#This Row],[Cuenta]],Estructura_Balance[Nombre Cuenta ()],Estructura_Balance[Niveles:3],"",0)</f>
        <v/>
      </c>
      <c r="X680" t="str">
        <f>_xlfn.XLOOKUP(Table3[[#This Row],[Cuenta]],Estructura_Balance[Nombre Cuenta ()],Estructura_Balance[Grupos],"Grupo 1",0)</f>
        <v>Grupo 1</v>
      </c>
      <c r="Y680" t="str">
        <f>+Table3[[#This Row],[BS_Nivel_1]]</f>
        <v/>
      </c>
    </row>
    <row r="681" spans="1:25">
      <c r="A681">
        <f>+'Libro Diario'!F895</f>
        <v>0</v>
      </c>
      <c r="B681" s="144">
        <f>VALUE(IF(+'Libro Diario'!G895="","01/01/2025",+'Libro Diario'!G895))</f>
        <v>45658</v>
      </c>
      <c r="C681">
        <f>IF(ISNUMBER(+IF(IFERROR(VALUE(MID('Libro Diario'!C895,1,4)),0)&lt;&gt;0,'Libro Diario'!C895,0))=FALSE,'Libro Diario'!C895,0)</f>
        <v>0</v>
      </c>
      <c r="D681" s="145">
        <f>+'Libro Diario'!B895</f>
        <v>0</v>
      </c>
      <c r="E681" s="139" t="s">
        <v>445</v>
      </c>
      <c r="F681" t="str">
        <f t="shared" si="30"/>
        <v>Sin Mov.</v>
      </c>
      <c r="G681" t="str">
        <f>IF(+'Libro Diario'!H895=0,"",+'Libro Diario'!H895)</f>
        <v/>
      </c>
      <c r="H681" t="str">
        <f>IF(+'Libro Diario'!I895=0,"",+'Libro Diario'!I895)</f>
        <v/>
      </c>
      <c r="I681" t="str">
        <f>+IF(Table3[[#This Row],[Tipo Movimiento]]="Estructura Balance y PyG","Excluir","Incluir")</f>
        <v>Incluir</v>
      </c>
      <c r="J681" s="153">
        <f>+IF(Table3[[#This Row],[Sin cuenta]]="Con Mov.",(IF(Table3[[#This Row],[Movimiento]]="Debe",Table3[[#This Row],[Importe]],IF(Table3[[#This Row],[Movimiento]]="Haber",Table3[[#This Row],[Importe]]*-1,0))),0)</f>
        <v>0</v>
      </c>
      <c r="K681" s="145">
        <f t="shared" si="31"/>
        <v>0</v>
      </c>
      <c r="L681" s="145" t="str">
        <f t="shared" si="32"/>
        <v/>
      </c>
      <c r="M681" t="str">
        <f>_xlfn.XLOOKUP(Table3[[#This Row],[Cuenta]],Estructura_Balance[Nombre Cuenta ()],Estructura_Balance[Grupo],"",0)</f>
        <v/>
      </c>
      <c r="N681" t="str">
        <f>_xlfn.XLOOKUP(Table3[[#This Row],[Cuenta]],Estructura_Balance[Nombre Cuenta ()],Estructura_Balance[Nivel 1],"",0)</f>
        <v/>
      </c>
      <c r="O681" t="str">
        <f>_xlfn.XLOOKUP(Table3[[#This Row],[Cuenta]],Estructura_Balance[Nombre Cuenta ()],Estructura_Balance[Nivel 2],"",0)</f>
        <v/>
      </c>
      <c r="P681" t="str">
        <f>_xlfn.XLOOKUP(Table3[[#This Row],[Cuenta]],Estructura_Balance[Nombre Cuenta ()],Estructura_Balance[Nivel 3],"",0)</f>
        <v/>
      </c>
      <c r="Q681" t="str">
        <f>_xlfn.XLOOKUP(Table3[[#This Row],[Cuenta]],Estructura_Balance[Nombre Cuenta ()],Estructura_Balance[Nivel 4],"",0)</f>
        <v/>
      </c>
      <c r="R681" t="str">
        <f>_xlfn.XLOOKUP(Table3[[#This Row],[Cuenta]],Table8[Nombre Cuenta ()],Table8[Nivel 1],"",0)</f>
        <v/>
      </c>
      <c r="S681" t="str">
        <f>_xlfn.XLOOKUP(Table3[[#This Row],[Cuenta]],Table8[Nombre Cuenta ()],Table8[Nivel 2],"",0)</f>
        <v/>
      </c>
      <c r="T681" t="str">
        <f>_xlfn.XLOOKUP(Table3[[#This Row],[Cuenta]],Table8[Nombre Cuenta ()],Table8[Nivel 3],"",0)</f>
        <v/>
      </c>
      <c r="U681">
        <v>1124</v>
      </c>
      <c r="V681" t="str">
        <f>_xlfn.XLOOKUP(Table3[[#This Row],[Cuenta]],Estructura_Balance[Nombre Cuenta ()],Estructura_Balance[Niveles:2],"",0)</f>
        <v/>
      </c>
      <c r="W681" t="str">
        <f>_xlfn.XLOOKUP(Table3[[#This Row],[Cuenta]],Estructura_Balance[Nombre Cuenta ()],Estructura_Balance[Niveles:3],"",0)</f>
        <v/>
      </c>
      <c r="X681" t="str">
        <f>_xlfn.XLOOKUP(Table3[[#This Row],[Cuenta]],Estructura_Balance[Nombre Cuenta ()],Estructura_Balance[Grupos],"Grupo 1",0)</f>
        <v>Grupo 1</v>
      </c>
      <c r="Y681" t="str">
        <f>+Table3[[#This Row],[BS_Nivel_1]]</f>
        <v/>
      </c>
    </row>
    <row r="682" spans="1:25">
      <c r="A682">
        <f>+'Libro Diario'!F896</f>
        <v>0</v>
      </c>
      <c r="B682" s="144">
        <f>VALUE(IF(+'Libro Diario'!G896="","01/01/2025",+'Libro Diario'!G896))</f>
        <v>45658</v>
      </c>
      <c r="C682">
        <f>IF(ISNUMBER(+IF(IFERROR(VALUE(MID('Libro Diario'!C896,1,4)),0)&lt;&gt;0,'Libro Diario'!C896,0))=FALSE,'Libro Diario'!C896,0)</f>
        <v>0</v>
      </c>
      <c r="D682" s="145">
        <f>+'Libro Diario'!B896</f>
        <v>0</v>
      </c>
      <c r="E682" s="139" t="s">
        <v>445</v>
      </c>
      <c r="F682" t="str">
        <f t="shared" si="30"/>
        <v>Sin Mov.</v>
      </c>
      <c r="G682" t="str">
        <f>IF(+'Libro Diario'!H896=0,"",+'Libro Diario'!H896)</f>
        <v/>
      </c>
      <c r="H682" t="str">
        <f>IF(+'Libro Diario'!I896=0,"",+'Libro Diario'!I896)</f>
        <v/>
      </c>
      <c r="I682" t="str">
        <f>+IF(Table3[[#This Row],[Tipo Movimiento]]="Estructura Balance y PyG","Excluir","Incluir")</f>
        <v>Incluir</v>
      </c>
      <c r="J682" s="153">
        <f>+IF(Table3[[#This Row],[Sin cuenta]]="Con Mov.",(IF(Table3[[#This Row],[Movimiento]]="Debe",Table3[[#This Row],[Importe]],IF(Table3[[#This Row],[Movimiento]]="Haber",Table3[[#This Row],[Importe]]*-1,0))),0)</f>
        <v>0</v>
      </c>
      <c r="K682" s="145">
        <f t="shared" si="31"/>
        <v>0</v>
      </c>
      <c r="L682" s="145" t="str">
        <f t="shared" si="32"/>
        <v/>
      </c>
      <c r="M682" t="str">
        <f>_xlfn.XLOOKUP(Table3[[#This Row],[Cuenta]],Estructura_Balance[Nombre Cuenta ()],Estructura_Balance[Grupo],"",0)</f>
        <v/>
      </c>
      <c r="N682" t="str">
        <f>_xlfn.XLOOKUP(Table3[[#This Row],[Cuenta]],Estructura_Balance[Nombre Cuenta ()],Estructura_Balance[Nivel 1],"",0)</f>
        <v/>
      </c>
      <c r="O682" t="str">
        <f>_xlfn.XLOOKUP(Table3[[#This Row],[Cuenta]],Estructura_Balance[Nombre Cuenta ()],Estructura_Balance[Nivel 2],"",0)</f>
        <v/>
      </c>
      <c r="P682" t="str">
        <f>_xlfn.XLOOKUP(Table3[[#This Row],[Cuenta]],Estructura_Balance[Nombre Cuenta ()],Estructura_Balance[Nivel 3],"",0)</f>
        <v/>
      </c>
      <c r="Q682" t="str">
        <f>_xlfn.XLOOKUP(Table3[[#This Row],[Cuenta]],Estructura_Balance[Nombre Cuenta ()],Estructura_Balance[Nivel 4],"",0)</f>
        <v/>
      </c>
      <c r="R682" t="str">
        <f>_xlfn.XLOOKUP(Table3[[#This Row],[Cuenta]],Table8[Nombre Cuenta ()],Table8[Nivel 1],"",0)</f>
        <v/>
      </c>
      <c r="S682" t="str">
        <f>_xlfn.XLOOKUP(Table3[[#This Row],[Cuenta]],Table8[Nombre Cuenta ()],Table8[Nivel 2],"",0)</f>
        <v/>
      </c>
      <c r="T682" t="str">
        <f>_xlfn.XLOOKUP(Table3[[#This Row],[Cuenta]],Table8[Nombre Cuenta ()],Table8[Nivel 3],"",0)</f>
        <v/>
      </c>
      <c r="U682">
        <v>1125</v>
      </c>
      <c r="V682" t="str">
        <f>_xlfn.XLOOKUP(Table3[[#This Row],[Cuenta]],Estructura_Balance[Nombre Cuenta ()],Estructura_Balance[Niveles:2],"",0)</f>
        <v/>
      </c>
      <c r="W682" t="str">
        <f>_xlfn.XLOOKUP(Table3[[#This Row],[Cuenta]],Estructura_Balance[Nombre Cuenta ()],Estructura_Balance[Niveles:3],"",0)</f>
        <v/>
      </c>
      <c r="X682" t="str">
        <f>_xlfn.XLOOKUP(Table3[[#This Row],[Cuenta]],Estructura_Balance[Nombre Cuenta ()],Estructura_Balance[Grupos],"Grupo 1",0)</f>
        <v>Grupo 1</v>
      </c>
      <c r="Y682" t="str">
        <f>+Table3[[#This Row],[BS_Nivel_1]]</f>
        <v/>
      </c>
    </row>
    <row r="683" spans="1:25">
      <c r="A683">
        <f>+'Libro Diario'!F897</f>
        <v>0</v>
      </c>
      <c r="B683" s="144">
        <f>VALUE(IF(+'Libro Diario'!G897="","01/01/2025",+'Libro Diario'!G897))</f>
        <v>45658</v>
      </c>
      <c r="C683">
        <f>IF(ISNUMBER(+IF(IFERROR(VALUE(MID('Libro Diario'!C897,1,4)),0)&lt;&gt;0,'Libro Diario'!C897,0))=FALSE,'Libro Diario'!C897,0)</f>
        <v>0</v>
      </c>
      <c r="D683" s="145">
        <f>+'Libro Diario'!B897</f>
        <v>0</v>
      </c>
      <c r="E683" s="139" t="s">
        <v>445</v>
      </c>
      <c r="F683" t="str">
        <f t="shared" si="30"/>
        <v>Sin Mov.</v>
      </c>
      <c r="G683" t="str">
        <f>IF(+'Libro Diario'!H897=0,"",+'Libro Diario'!H897)</f>
        <v/>
      </c>
      <c r="H683" t="str">
        <f>IF(+'Libro Diario'!I897=0,"",+'Libro Diario'!I897)</f>
        <v/>
      </c>
      <c r="I683" t="str">
        <f>+IF(Table3[[#This Row],[Tipo Movimiento]]="Estructura Balance y PyG","Excluir","Incluir")</f>
        <v>Incluir</v>
      </c>
      <c r="J683" s="153">
        <f>+IF(Table3[[#This Row],[Sin cuenta]]="Con Mov.",(IF(Table3[[#This Row],[Movimiento]]="Debe",Table3[[#This Row],[Importe]],IF(Table3[[#This Row],[Movimiento]]="Haber",Table3[[#This Row],[Importe]]*-1,0))),0)</f>
        <v>0</v>
      </c>
      <c r="K683" s="145">
        <f t="shared" si="31"/>
        <v>0</v>
      </c>
      <c r="L683" s="145" t="str">
        <f t="shared" si="32"/>
        <v/>
      </c>
      <c r="M683" t="str">
        <f>_xlfn.XLOOKUP(Table3[[#This Row],[Cuenta]],Estructura_Balance[Nombre Cuenta ()],Estructura_Balance[Grupo],"",0)</f>
        <v/>
      </c>
      <c r="N683" t="str">
        <f>_xlfn.XLOOKUP(Table3[[#This Row],[Cuenta]],Estructura_Balance[Nombre Cuenta ()],Estructura_Balance[Nivel 1],"",0)</f>
        <v/>
      </c>
      <c r="O683" t="str">
        <f>_xlfn.XLOOKUP(Table3[[#This Row],[Cuenta]],Estructura_Balance[Nombre Cuenta ()],Estructura_Balance[Nivel 2],"",0)</f>
        <v/>
      </c>
      <c r="P683" t="str">
        <f>_xlfn.XLOOKUP(Table3[[#This Row],[Cuenta]],Estructura_Balance[Nombre Cuenta ()],Estructura_Balance[Nivel 3],"",0)</f>
        <v/>
      </c>
      <c r="Q683" t="str">
        <f>_xlfn.XLOOKUP(Table3[[#This Row],[Cuenta]],Estructura_Balance[Nombre Cuenta ()],Estructura_Balance[Nivel 4],"",0)</f>
        <v/>
      </c>
      <c r="R683" t="str">
        <f>_xlfn.XLOOKUP(Table3[[#This Row],[Cuenta]],Table8[Nombre Cuenta ()],Table8[Nivel 1],"",0)</f>
        <v/>
      </c>
      <c r="S683" t="str">
        <f>_xlfn.XLOOKUP(Table3[[#This Row],[Cuenta]],Table8[Nombre Cuenta ()],Table8[Nivel 2],"",0)</f>
        <v/>
      </c>
      <c r="T683" t="str">
        <f>_xlfn.XLOOKUP(Table3[[#This Row],[Cuenta]],Table8[Nombre Cuenta ()],Table8[Nivel 3],"",0)</f>
        <v/>
      </c>
      <c r="U683">
        <v>1128</v>
      </c>
      <c r="V683" t="str">
        <f>_xlfn.XLOOKUP(Table3[[#This Row],[Cuenta]],Estructura_Balance[Nombre Cuenta ()],Estructura_Balance[Niveles:2],"",0)</f>
        <v/>
      </c>
      <c r="W683" t="str">
        <f>_xlfn.XLOOKUP(Table3[[#This Row],[Cuenta]],Estructura_Balance[Nombre Cuenta ()],Estructura_Balance[Niveles:3],"",0)</f>
        <v/>
      </c>
      <c r="X683" t="str">
        <f>_xlfn.XLOOKUP(Table3[[#This Row],[Cuenta]],Estructura_Balance[Nombre Cuenta ()],Estructura_Balance[Grupos],"Grupo 1",0)</f>
        <v>Grupo 1</v>
      </c>
      <c r="Y683" t="str">
        <f>+Table3[[#This Row],[BS_Nivel_1]]</f>
        <v/>
      </c>
    </row>
    <row r="684" spans="1:25">
      <c r="A684">
        <f>+'Libro Diario'!F898</f>
        <v>0</v>
      </c>
      <c r="B684" s="144">
        <f>VALUE(IF(+'Libro Diario'!G898="","01/01/2025",+'Libro Diario'!G898))</f>
        <v>45658</v>
      </c>
      <c r="C684">
        <f>IF(ISNUMBER(+IF(IFERROR(VALUE(MID('Libro Diario'!C898,1,4)),0)&lt;&gt;0,'Libro Diario'!C898,0))=FALSE,'Libro Diario'!C898,0)</f>
        <v>0</v>
      </c>
      <c r="D684" s="145">
        <f>+'Libro Diario'!B898</f>
        <v>0</v>
      </c>
      <c r="E684" s="139" t="s">
        <v>445</v>
      </c>
      <c r="F684" t="str">
        <f t="shared" si="30"/>
        <v>Sin Mov.</v>
      </c>
      <c r="G684" t="str">
        <f>IF(+'Libro Diario'!H898=0,"",+'Libro Diario'!H898)</f>
        <v/>
      </c>
      <c r="H684" t="str">
        <f>IF(+'Libro Diario'!I898=0,"",+'Libro Diario'!I898)</f>
        <v/>
      </c>
      <c r="I684" t="str">
        <f>+IF(Table3[[#This Row],[Tipo Movimiento]]="Estructura Balance y PyG","Excluir","Incluir")</f>
        <v>Incluir</v>
      </c>
      <c r="J684" s="153">
        <f>+IF(Table3[[#This Row],[Sin cuenta]]="Con Mov.",(IF(Table3[[#This Row],[Movimiento]]="Debe",Table3[[#This Row],[Importe]],IF(Table3[[#This Row],[Movimiento]]="Haber",Table3[[#This Row],[Importe]]*-1,0))),0)</f>
        <v>0</v>
      </c>
      <c r="K684" s="145">
        <f t="shared" si="31"/>
        <v>0</v>
      </c>
      <c r="L684" s="145" t="str">
        <f t="shared" si="32"/>
        <v/>
      </c>
      <c r="M684" t="str">
        <f>_xlfn.XLOOKUP(Table3[[#This Row],[Cuenta]],Estructura_Balance[Nombre Cuenta ()],Estructura_Balance[Grupo],"",0)</f>
        <v/>
      </c>
      <c r="N684" t="str">
        <f>_xlfn.XLOOKUP(Table3[[#This Row],[Cuenta]],Estructura_Balance[Nombre Cuenta ()],Estructura_Balance[Nivel 1],"",0)</f>
        <v/>
      </c>
      <c r="O684" t="str">
        <f>_xlfn.XLOOKUP(Table3[[#This Row],[Cuenta]],Estructura_Balance[Nombre Cuenta ()],Estructura_Balance[Nivel 2],"",0)</f>
        <v/>
      </c>
      <c r="P684" t="str">
        <f>_xlfn.XLOOKUP(Table3[[#This Row],[Cuenta]],Estructura_Balance[Nombre Cuenta ()],Estructura_Balance[Nivel 3],"",0)</f>
        <v/>
      </c>
      <c r="Q684" t="str">
        <f>_xlfn.XLOOKUP(Table3[[#This Row],[Cuenta]],Estructura_Balance[Nombre Cuenta ()],Estructura_Balance[Nivel 4],"",0)</f>
        <v/>
      </c>
      <c r="R684" t="str">
        <f>_xlfn.XLOOKUP(Table3[[#This Row],[Cuenta]],Table8[Nombre Cuenta ()],Table8[Nivel 1],"",0)</f>
        <v/>
      </c>
      <c r="S684" t="str">
        <f>_xlfn.XLOOKUP(Table3[[#This Row],[Cuenta]],Table8[Nombre Cuenta ()],Table8[Nivel 2],"",0)</f>
        <v/>
      </c>
      <c r="T684" t="str">
        <f>_xlfn.XLOOKUP(Table3[[#This Row],[Cuenta]],Table8[Nombre Cuenta ()],Table8[Nivel 3],"",0)</f>
        <v/>
      </c>
      <c r="U684">
        <v>1129</v>
      </c>
      <c r="V684" t="str">
        <f>_xlfn.XLOOKUP(Table3[[#This Row],[Cuenta]],Estructura_Balance[Nombre Cuenta ()],Estructura_Balance[Niveles:2],"",0)</f>
        <v/>
      </c>
      <c r="W684" t="str">
        <f>_xlfn.XLOOKUP(Table3[[#This Row],[Cuenta]],Estructura_Balance[Nombre Cuenta ()],Estructura_Balance[Niveles:3],"",0)</f>
        <v/>
      </c>
      <c r="X684" t="str">
        <f>_xlfn.XLOOKUP(Table3[[#This Row],[Cuenta]],Estructura_Balance[Nombre Cuenta ()],Estructura_Balance[Grupos],"Grupo 1",0)</f>
        <v>Grupo 1</v>
      </c>
      <c r="Y684" t="str">
        <f>+Table3[[#This Row],[BS_Nivel_1]]</f>
        <v/>
      </c>
    </row>
    <row r="685" spans="1:25">
      <c r="A685">
        <f>+'Libro Diario'!F899</f>
        <v>0</v>
      </c>
      <c r="B685" s="144">
        <f>VALUE(IF(+'Libro Diario'!G899="","01/01/2025",+'Libro Diario'!G899))</f>
        <v>45658</v>
      </c>
      <c r="C685">
        <f>IF(ISNUMBER(+IF(IFERROR(VALUE(MID('Libro Diario'!C899,1,4)),0)&lt;&gt;0,'Libro Diario'!C899,0))=FALSE,'Libro Diario'!C899,0)</f>
        <v>0</v>
      </c>
      <c r="D685" s="145">
        <f>+'Libro Diario'!B899</f>
        <v>0</v>
      </c>
      <c r="E685" s="139" t="s">
        <v>445</v>
      </c>
      <c r="F685" t="str">
        <f t="shared" si="30"/>
        <v>Sin Mov.</v>
      </c>
      <c r="G685" t="str">
        <f>IF(+'Libro Diario'!H899=0,"",+'Libro Diario'!H899)</f>
        <v/>
      </c>
      <c r="H685" t="str">
        <f>IF(+'Libro Diario'!I899=0,"",+'Libro Diario'!I899)</f>
        <v/>
      </c>
      <c r="I685" t="str">
        <f>+IF(Table3[[#This Row],[Tipo Movimiento]]="Estructura Balance y PyG","Excluir","Incluir")</f>
        <v>Incluir</v>
      </c>
      <c r="J685" s="153">
        <f>+IF(Table3[[#This Row],[Sin cuenta]]="Con Mov.",(IF(Table3[[#This Row],[Movimiento]]="Debe",Table3[[#This Row],[Importe]],IF(Table3[[#This Row],[Movimiento]]="Haber",Table3[[#This Row],[Importe]]*-1,0))),0)</f>
        <v>0</v>
      </c>
      <c r="K685" s="145">
        <f t="shared" si="31"/>
        <v>0</v>
      </c>
      <c r="L685" s="145" t="str">
        <f t="shared" si="32"/>
        <v/>
      </c>
      <c r="M685" t="str">
        <f>_xlfn.XLOOKUP(Table3[[#This Row],[Cuenta]],Estructura_Balance[Nombre Cuenta ()],Estructura_Balance[Grupo],"",0)</f>
        <v/>
      </c>
      <c r="N685" t="str">
        <f>_xlfn.XLOOKUP(Table3[[#This Row],[Cuenta]],Estructura_Balance[Nombre Cuenta ()],Estructura_Balance[Nivel 1],"",0)</f>
        <v/>
      </c>
      <c r="O685" t="str">
        <f>_xlfn.XLOOKUP(Table3[[#This Row],[Cuenta]],Estructura_Balance[Nombre Cuenta ()],Estructura_Balance[Nivel 2],"",0)</f>
        <v/>
      </c>
      <c r="P685" t="str">
        <f>_xlfn.XLOOKUP(Table3[[#This Row],[Cuenta]],Estructura_Balance[Nombre Cuenta ()],Estructura_Balance[Nivel 3],"",0)</f>
        <v/>
      </c>
      <c r="Q685" t="str">
        <f>_xlfn.XLOOKUP(Table3[[#This Row],[Cuenta]],Estructura_Balance[Nombre Cuenta ()],Estructura_Balance[Nivel 4],"",0)</f>
        <v/>
      </c>
      <c r="R685" t="str">
        <f>_xlfn.XLOOKUP(Table3[[#This Row],[Cuenta]],Table8[Nombre Cuenta ()],Table8[Nivel 1],"",0)</f>
        <v/>
      </c>
      <c r="S685" t="str">
        <f>_xlfn.XLOOKUP(Table3[[#This Row],[Cuenta]],Table8[Nombre Cuenta ()],Table8[Nivel 2],"",0)</f>
        <v/>
      </c>
      <c r="T685" t="str">
        <f>_xlfn.XLOOKUP(Table3[[#This Row],[Cuenta]],Table8[Nombre Cuenta ()],Table8[Nivel 3],"",0)</f>
        <v/>
      </c>
      <c r="U685">
        <v>1130</v>
      </c>
      <c r="V685" t="str">
        <f>_xlfn.XLOOKUP(Table3[[#This Row],[Cuenta]],Estructura_Balance[Nombre Cuenta ()],Estructura_Balance[Niveles:2],"",0)</f>
        <v/>
      </c>
      <c r="W685" t="str">
        <f>_xlfn.XLOOKUP(Table3[[#This Row],[Cuenta]],Estructura_Balance[Nombre Cuenta ()],Estructura_Balance[Niveles:3],"",0)</f>
        <v/>
      </c>
      <c r="X685" t="str">
        <f>_xlfn.XLOOKUP(Table3[[#This Row],[Cuenta]],Estructura_Balance[Nombre Cuenta ()],Estructura_Balance[Grupos],"Grupo 1",0)</f>
        <v>Grupo 1</v>
      </c>
      <c r="Y685" t="str">
        <f>+Table3[[#This Row],[BS_Nivel_1]]</f>
        <v/>
      </c>
    </row>
    <row r="686" spans="1:25">
      <c r="A686">
        <f>+'Libro Diario'!F900</f>
        <v>0</v>
      </c>
      <c r="B686" s="144">
        <f>VALUE(IF(+'Libro Diario'!G900="","01/01/2025",+'Libro Diario'!G900))</f>
        <v>45658</v>
      </c>
      <c r="C686">
        <f>IF(ISNUMBER(+IF(IFERROR(VALUE(MID('Libro Diario'!C900,1,4)),0)&lt;&gt;0,'Libro Diario'!C900,0))=FALSE,'Libro Diario'!C900,0)</f>
        <v>0</v>
      </c>
      <c r="D686" s="145">
        <f>+'Libro Diario'!B900</f>
        <v>0</v>
      </c>
      <c r="E686" s="139" t="s">
        <v>445</v>
      </c>
      <c r="F686" t="str">
        <f t="shared" si="30"/>
        <v>Sin Mov.</v>
      </c>
      <c r="G686" t="str">
        <f>IF(+'Libro Diario'!H900=0,"",+'Libro Diario'!H900)</f>
        <v/>
      </c>
      <c r="H686" t="str">
        <f>IF(+'Libro Diario'!I900=0,"",+'Libro Diario'!I900)</f>
        <v/>
      </c>
      <c r="I686" t="str">
        <f>+IF(Table3[[#This Row],[Tipo Movimiento]]="Estructura Balance y PyG","Excluir","Incluir")</f>
        <v>Incluir</v>
      </c>
      <c r="J686" s="153">
        <f>+IF(Table3[[#This Row],[Sin cuenta]]="Con Mov.",(IF(Table3[[#This Row],[Movimiento]]="Debe",Table3[[#This Row],[Importe]],IF(Table3[[#This Row],[Movimiento]]="Haber",Table3[[#This Row],[Importe]]*-1,0))),0)</f>
        <v>0</v>
      </c>
      <c r="K686" s="145">
        <f t="shared" si="31"/>
        <v>0</v>
      </c>
      <c r="L686" s="145" t="str">
        <f t="shared" si="32"/>
        <v/>
      </c>
      <c r="M686" t="str">
        <f>_xlfn.XLOOKUP(Table3[[#This Row],[Cuenta]],Estructura_Balance[Nombre Cuenta ()],Estructura_Balance[Grupo],"",0)</f>
        <v/>
      </c>
      <c r="N686" t="str">
        <f>_xlfn.XLOOKUP(Table3[[#This Row],[Cuenta]],Estructura_Balance[Nombre Cuenta ()],Estructura_Balance[Nivel 1],"",0)</f>
        <v/>
      </c>
      <c r="O686" t="str">
        <f>_xlfn.XLOOKUP(Table3[[#This Row],[Cuenta]],Estructura_Balance[Nombre Cuenta ()],Estructura_Balance[Nivel 2],"",0)</f>
        <v/>
      </c>
      <c r="P686" t="str">
        <f>_xlfn.XLOOKUP(Table3[[#This Row],[Cuenta]],Estructura_Balance[Nombre Cuenta ()],Estructura_Balance[Nivel 3],"",0)</f>
        <v/>
      </c>
      <c r="Q686" t="str">
        <f>_xlfn.XLOOKUP(Table3[[#This Row],[Cuenta]],Estructura_Balance[Nombre Cuenta ()],Estructura_Balance[Nivel 4],"",0)</f>
        <v/>
      </c>
      <c r="R686" t="str">
        <f>_xlfn.XLOOKUP(Table3[[#This Row],[Cuenta]],Table8[Nombre Cuenta ()],Table8[Nivel 1],"",0)</f>
        <v/>
      </c>
      <c r="S686" t="str">
        <f>_xlfn.XLOOKUP(Table3[[#This Row],[Cuenta]],Table8[Nombre Cuenta ()],Table8[Nivel 2],"",0)</f>
        <v/>
      </c>
      <c r="T686" t="str">
        <f>_xlfn.XLOOKUP(Table3[[#This Row],[Cuenta]],Table8[Nombre Cuenta ()],Table8[Nivel 3],"",0)</f>
        <v/>
      </c>
      <c r="U686">
        <v>1131</v>
      </c>
      <c r="V686" t="str">
        <f>_xlfn.XLOOKUP(Table3[[#This Row],[Cuenta]],Estructura_Balance[Nombre Cuenta ()],Estructura_Balance[Niveles:2],"",0)</f>
        <v/>
      </c>
      <c r="W686" t="str">
        <f>_xlfn.XLOOKUP(Table3[[#This Row],[Cuenta]],Estructura_Balance[Nombre Cuenta ()],Estructura_Balance[Niveles:3],"",0)</f>
        <v/>
      </c>
      <c r="X686" t="str">
        <f>_xlfn.XLOOKUP(Table3[[#This Row],[Cuenta]],Estructura_Balance[Nombre Cuenta ()],Estructura_Balance[Grupos],"Grupo 1",0)</f>
        <v>Grupo 1</v>
      </c>
      <c r="Y686" t="str">
        <f>+Table3[[#This Row],[BS_Nivel_1]]</f>
        <v/>
      </c>
    </row>
    <row r="687" spans="1:25">
      <c r="A687">
        <f>+'Libro Diario'!F901</f>
        <v>0</v>
      </c>
      <c r="B687" s="144">
        <f>VALUE(IF(+'Libro Diario'!G901="","01/01/2025",+'Libro Diario'!G901))</f>
        <v>45658</v>
      </c>
      <c r="C687">
        <f>IF(ISNUMBER(+IF(IFERROR(VALUE(MID('Libro Diario'!C901,1,4)),0)&lt;&gt;0,'Libro Diario'!C901,0))=FALSE,'Libro Diario'!C901,0)</f>
        <v>0</v>
      </c>
      <c r="D687" s="145">
        <f>+'Libro Diario'!B901</f>
        <v>0</v>
      </c>
      <c r="E687" s="139" t="s">
        <v>445</v>
      </c>
      <c r="F687" t="str">
        <f t="shared" si="30"/>
        <v>Sin Mov.</v>
      </c>
      <c r="G687" t="str">
        <f>IF(+'Libro Diario'!H901=0,"",+'Libro Diario'!H901)</f>
        <v/>
      </c>
      <c r="H687" t="str">
        <f>IF(+'Libro Diario'!I901=0,"",+'Libro Diario'!I901)</f>
        <v/>
      </c>
      <c r="I687" t="str">
        <f>+IF(Table3[[#This Row],[Tipo Movimiento]]="Estructura Balance y PyG","Excluir","Incluir")</f>
        <v>Incluir</v>
      </c>
      <c r="J687" s="153">
        <f>+IF(Table3[[#This Row],[Sin cuenta]]="Con Mov.",(IF(Table3[[#This Row],[Movimiento]]="Debe",Table3[[#This Row],[Importe]],IF(Table3[[#This Row],[Movimiento]]="Haber",Table3[[#This Row],[Importe]]*-1,0))),0)</f>
        <v>0</v>
      </c>
      <c r="K687" s="145">
        <f t="shared" si="31"/>
        <v>0</v>
      </c>
      <c r="L687" s="145" t="str">
        <f t="shared" si="32"/>
        <v/>
      </c>
      <c r="M687" t="str">
        <f>_xlfn.XLOOKUP(Table3[[#This Row],[Cuenta]],Estructura_Balance[Nombre Cuenta ()],Estructura_Balance[Grupo],"",0)</f>
        <v/>
      </c>
      <c r="N687" t="str">
        <f>_xlfn.XLOOKUP(Table3[[#This Row],[Cuenta]],Estructura_Balance[Nombre Cuenta ()],Estructura_Balance[Nivel 1],"",0)</f>
        <v/>
      </c>
      <c r="O687" t="str">
        <f>_xlfn.XLOOKUP(Table3[[#This Row],[Cuenta]],Estructura_Balance[Nombre Cuenta ()],Estructura_Balance[Nivel 2],"",0)</f>
        <v/>
      </c>
      <c r="P687" t="str">
        <f>_xlfn.XLOOKUP(Table3[[#This Row],[Cuenta]],Estructura_Balance[Nombre Cuenta ()],Estructura_Balance[Nivel 3],"",0)</f>
        <v/>
      </c>
      <c r="Q687" t="str">
        <f>_xlfn.XLOOKUP(Table3[[#This Row],[Cuenta]],Estructura_Balance[Nombre Cuenta ()],Estructura_Balance[Nivel 4],"",0)</f>
        <v/>
      </c>
      <c r="R687" t="str">
        <f>_xlfn.XLOOKUP(Table3[[#This Row],[Cuenta]],Table8[Nombre Cuenta ()],Table8[Nivel 1],"",0)</f>
        <v/>
      </c>
      <c r="S687" t="str">
        <f>_xlfn.XLOOKUP(Table3[[#This Row],[Cuenta]],Table8[Nombre Cuenta ()],Table8[Nivel 2],"",0)</f>
        <v/>
      </c>
      <c r="T687" t="str">
        <f>_xlfn.XLOOKUP(Table3[[#This Row],[Cuenta]],Table8[Nombre Cuenta ()],Table8[Nivel 3],"",0)</f>
        <v/>
      </c>
      <c r="U687">
        <v>1132</v>
      </c>
      <c r="V687" t="str">
        <f>_xlfn.XLOOKUP(Table3[[#This Row],[Cuenta]],Estructura_Balance[Nombre Cuenta ()],Estructura_Balance[Niveles:2],"",0)</f>
        <v/>
      </c>
      <c r="W687" t="str">
        <f>_xlfn.XLOOKUP(Table3[[#This Row],[Cuenta]],Estructura_Balance[Nombre Cuenta ()],Estructura_Balance[Niveles:3],"",0)</f>
        <v/>
      </c>
      <c r="X687" t="str">
        <f>_xlfn.XLOOKUP(Table3[[#This Row],[Cuenta]],Estructura_Balance[Nombre Cuenta ()],Estructura_Balance[Grupos],"Grupo 1",0)</f>
        <v>Grupo 1</v>
      </c>
      <c r="Y687" t="str">
        <f>+Table3[[#This Row],[BS_Nivel_1]]</f>
        <v/>
      </c>
    </row>
    <row r="688" spans="1:25">
      <c r="A688">
        <f>+'Libro Diario'!F902</f>
        <v>0</v>
      </c>
      <c r="B688" s="144">
        <f>VALUE(IF(+'Libro Diario'!G902="","01/01/2025",+'Libro Diario'!G902))</f>
        <v>45658</v>
      </c>
      <c r="C688">
        <f>IF(ISNUMBER(+IF(IFERROR(VALUE(MID('Libro Diario'!C902,1,4)),0)&lt;&gt;0,'Libro Diario'!C902,0))=FALSE,'Libro Diario'!C902,0)</f>
        <v>0</v>
      </c>
      <c r="D688" s="145">
        <f>+'Libro Diario'!B902</f>
        <v>0</v>
      </c>
      <c r="E688" s="139" t="s">
        <v>445</v>
      </c>
      <c r="F688" t="str">
        <f t="shared" si="30"/>
        <v>Sin Mov.</v>
      </c>
      <c r="G688" t="str">
        <f>IF(+'Libro Diario'!H902=0,"",+'Libro Diario'!H902)</f>
        <v/>
      </c>
      <c r="H688" t="str">
        <f>IF(+'Libro Diario'!I902=0,"",+'Libro Diario'!I902)</f>
        <v/>
      </c>
      <c r="I688" t="str">
        <f>+IF(Table3[[#This Row],[Tipo Movimiento]]="Estructura Balance y PyG","Excluir","Incluir")</f>
        <v>Incluir</v>
      </c>
      <c r="J688" s="153">
        <f>+IF(Table3[[#This Row],[Sin cuenta]]="Con Mov.",(IF(Table3[[#This Row],[Movimiento]]="Debe",Table3[[#This Row],[Importe]],IF(Table3[[#This Row],[Movimiento]]="Haber",Table3[[#This Row],[Importe]]*-1,0))),0)</f>
        <v>0</v>
      </c>
      <c r="K688" s="145">
        <f t="shared" si="31"/>
        <v>0</v>
      </c>
      <c r="L688" s="145" t="str">
        <f t="shared" si="32"/>
        <v/>
      </c>
      <c r="M688" t="str">
        <f>_xlfn.XLOOKUP(Table3[[#This Row],[Cuenta]],Estructura_Balance[Nombre Cuenta ()],Estructura_Balance[Grupo],"",0)</f>
        <v/>
      </c>
      <c r="N688" t="str">
        <f>_xlfn.XLOOKUP(Table3[[#This Row],[Cuenta]],Estructura_Balance[Nombre Cuenta ()],Estructura_Balance[Nivel 1],"",0)</f>
        <v/>
      </c>
      <c r="O688" t="str">
        <f>_xlfn.XLOOKUP(Table3[[#This Row],[Cuenta]],Estructura_Balance[Nombre Cuenta ()],Estructura_Balance[Nivel 2],"",0)</f>
        <v/>
      </c>
      <c r="P688" t="str">
        <f>_xlfn.XLOOKUP(Table3[[#This Row],[Cuenta]],Estructura_Balance[Nombre Cuenta ()],Estructura_Balance[Nivel 3],"",0)</f>
        <v/>
      </c>
      <c r="Q688" t="str">
        <f>_xlfn.XLOOKUP(Table3[[#This Row],[Cuenta]],Estructura_Balance[Nombre Cuenta ()],Estructura_Balance[Nivel 4],"",0)</f>
        <v/>
      </c>
      <c r="R688" t="str">
        <f>_xlfn.XLOOKUP(Table3[[#This Row],[Cuenta]],Table8[Nombre Cuenta ()],Table8[Nivel 1],"",0)</f>
        <v/>
      </c>
      <c r="S688" t="str">
        <f>_xlfn.XLOOKUP(Table3[[#This Row],[Cuenta]],Table8[Nombre Cuenta ()],Table8[Nivel 2],"",0)</f>
        <v/>
      </c>
      <c r="T688" t="str">
        <f>_xlfn.XLOOKUP(Table3[[#This Row],[Cuenta]],Table8[Nombre Cuenta ()],Table8[Nivel 3],"",0)</f>
        <v/>
      </c>
      <c r="U688">
        <v>1135</v>
      </c>
      <c r="V688" t="str">
        <f>_xlfn.XLOOKUP(Table3[[#This Row],[Cuenta]],Estructura_Balance[Nombre Cuenta ()],Estructura_Balance[Niveles:2],"",0)</f>
        <v/>
      </c>
      <c r="W688" t="str">
        <f>_xlfn.XLOOKUP(Table3[[#This Row],[Cuenta]],Estructura_Balance[Nombre Cuenta ()],Estructura_Balance[Niveles:3],"",0)</f>
        <v/>
      </c>
      <c r="X688" t="str">
        <f>_xlfn.XLOOKUP(Table3[[#This Row],[Cuenta]],Estructura_Balance[Nombre Cuenta ()],Estructura_Balance[Grupos],"Grupo 1",0)</f>
        <v>Grupo 1</v>
      </c>
      <c r="Y688" t="str">
        <f>+Table3[[#This Row],[BS_Nivel_1]]</f>
        <v/>
      </c>
    </row>
    <row r="689" spans="1:25">
      <c r="A689">
        <f>+'Libro Diario'!F903</f>
        <v>0</v>
      </c>
      <c r="B689" s="144">
        <f>VALUE(IF(+'Libro Diario'!G903="","01/01/2025",+'Libro Diario'!G903))</f>
        <v>45658</v>
      </c>
      <c r="C689">
        <f>IF(ISNUMBER(+IF(IFERROR(VALUE(MID('Libro Diario'!C903,1,4)),0)&lt;&gt;0,'Libro Diario'!C903,0))=FALSE,'Libro Diario'!C903,0)</f>
        <v>0</v>
      </c>
      <c r="D689" s="145">
        <f>+'Libro Diario'!B903</f>
        <v>0</v>
      </c>
      <c r="E689" s="139" t="s">
        <v>445</v>
      </c>
      <c r="F689" t="str">
        <f t="shared" si="30"/>
        <v>Sin Mov.</v>
      </c>
      <c r="G689" t="str">
        <f>IF(+'Libro Diario'!H903=0,"",+'Libro Diario'!H903)</f>
        <v/>
      </c>
      <c r="H689" t="str">
        <f>IF(+'Libro Diario'!I903=0,"",+'Libro Diario'!I903)</f>
        <v/>
      </c>
      <c r="I689" t="str">
        <f>+IF(Table3[[#This Row],[Tipo Movimiento]]="Estructura Balance y PyG","Excluir","Incluir")</f>
        <v>Incluir</v>
      </c>
      <c r="J689" s="153">
        <f>+IF(Table3[[#This Row],[Sin cuenta]]="Con Mov.",(IF(Table3[[#This Row],[Movimiento]]="Debe",Table3[[#This Row],[Importe]],IF(Table3[[#This Row],[Movimiento]]="Haber",Table3[[#This Row],[Importe]]*-1,0))),0)</f>
        <v>0</v>
      </c>
      <c r="K689" s="145">
        <f t="shared" si="31"/>
        <v>0</v>
      </c>
      <c r="L689" s="145" t="str">
        <f t="shared" si="32"/>
        <v/>
      </c>
      <c r="M689" t="str">
        <f>_xlfn.XLOOKUP(Table3[[#This Row],[Cuenta]],Estructura_Balance[Nombre Cuenta ()],Estructura_Balance[Grupo],"",0)</f>
        <v/>
      </c>
      <c r="N689" t="str">
        <f>_xlfn.XLOOKUP(Table3[[#This Row],[Cuenta]],Estructura_Balance[Nombre Cuenta ()],Estructura_Balance[Nivel 1],"",0)</f>
        <v/>
      </c>
      <c r="O689" t="str">
        <f>_xlfn.XLOOKUP(Table3[[#This Row],[Cuenta]],Estructura_Balance[Nombre Cuenta ()],Estructura_Balance[Nivel 2],"",0)</f>
        <v/>
      </c>
      <c r="P689" t="str">
        <f>_xlfn.XLOOKUP(Table3[[#This Row],[Cuenta]],Estructura_Balance[Nombre Cuenta ()],Estructura_Balance[Nivel 3],"",0)</f>
        <v/>
      </c>
      <c r="Q689" t="str">
        <f>_xlfn.XLOOKUP(Table3[[#This Row],[Cuenta]],Estructura_Balance[Nombre Cuenta ()],Estructura_Balance[Nivel 4],"",0)</f>
        <v/>
      </c>
      <c r="R689" t="str">
        <f>_xlfn.XLOOKUP(Table3[[#This Row],[Cuenta]],Table8[Nombre Cuenta ()],Table8[Nivel 1],"",0)</f>
        <v/>
      </c>
      <c r="S689" t="str">
        <f>_xlfn.XLOOKUP(Table3[[#This Row],[Cuenta]],Table8[Nombre Cuenta ()],Table8[Nivel 2],"",0)</f>
        <v/>
      </c>
      <c r="T689" t="str">
        <f>_xlfn.XLOOKUP(Table3[[#This Row],[Cuenta]],Table8[Nombre Cuenta ()],Table8[Nivel 3],"",0)</f>
        <v/>
      </c>
      <c r="U689">
        <v>1136</v>
      </c>
      <c r="V689" t="str">
        <f>_xlfn.XLOOKUP(Table3[[#This Row],[Cuenta]],Estructura_Balance[Nombre Cuenta ()],Estructura_Balance[Niveles:2],"",0)</f>
        <v/>
      </c>
      <c r="W689" t="str">
        <f>_xlfn.XLOOKUP(Table3[[#This Row],[Cuenta]],Estructura_Balance[Nombre Cuenta ()],Estructura_Balance[Niveles:3],"",0)</f>
        <v/>
      </c>
      <c r="X689" t="str">
        <f>_xlfn.XLOOKUP(Table3[[#This Row],[Cuenta]],Estructura_Balance[Nombre Cuenta ()],Estructura_Balance[Grupos],"Grupo 1",0)</f>
        <v>Grupo 1</v>
      </c>
      <c r="Y689" t="str">
        <f>+Table3[[#This Row],[BS_Nivel_1]]</f>
        <v/>
      </c>
    </row>
    <row r="690" spans="1:25">
      <c r="A690">
        <f>+'Libro Diario'!F904</f>
        <v>0</v>
      </c>
      <c r="B690" s="144">
        <f>VALUE(IF(+'Libro Diario'!G904="","01/01/2025",+'Libro Diario'!G904))</f>
        <v>45658</v>
      </c>
      <c r="C690">
        <f>IF(ISNUMBER(+IF(IFERROR(VALUE(MID('Libro Diario'!C904,1,4)),0)&lt;&gt;0,'Libro Diario'!C904,0))=FALSE,'Libro Diario'!C904,0)</f>
        <v>0</v>
      </c>
      <c r="D690" s="145">
        <f>+'Libro Diario'!B904</f>
        <v>0</v>
      </c>
      <c r="E690" s="139" t="s">
        <v>445</v>
      </c>
      <c r="F690" t="str">
        <f t="shared" si="30"/>
        <v>Sin Mov.</v>
      </c>
      <c r="G690" t="str">
        <f>IF(+'Libro Diario'!H904=0,"",+'Libro Diario'!H904)</f>
        <v/>
      </c>
      <c r="H690" t="str">
        <f>IF(+'Libro Diario'!I904=0,"",+'Libro Diario'!I904)</f>
        <v/>
      </c>
      <c r="I690" t="str">
        <f>+IF(Table3[[#This Row],[Tipo Movimiento]]="Estructura Balance y PyG","Excluir","Incluir")</f>
        <v>Incluir</v>
      </c>
      <c r="J690" s="153">
        <f>+IF(Table3[[#This Row],[Sin cuenta]]="Con Mov.",(IF(Table3[[#This Row],[Movimiento]]="Debe",Table3[[#This Row],[Importe]],IF(Table3[[#This Row],[Movimiento]]="Haber",Table3[[#This Row],[Importe]]*-1,0))),0)</f>
        <v>0</v>
      </c>
      <c r="K690" s="145">
        <f t="shared" si="31"/>
        <v>0</v>
      </c>
      <c r="L690" s="145" t="str">
        <f t="shared" si="32"/>
        <v/>
      </c>
      <c r="M690" t="str">
        <f>_xlfn.XLOOKUP(Table3[[#This Row],[Cuenta]],Estructura_Balance[Nombre Cuenta ()],Estructura_Balance[Grupo],"",0)</f>
        <v/>
      </c>
      <c r="N690" t="str">
        <f>_xlfn.XLOOKUP(Table3[[#This Row],[Cuenta]],Estructura_Balance[Nombre Cuenta ()],Estructura_Balance[Nivel 1],"",0)</f>
        <v/>
      </c>
      <c r="O690" t="str">
        <f>_xlfn.XLOOKUP(Table3[[#This Row],[Cuenta]],Estructura_Balance[Nombre Cuenta ()],Estructura_Balance[Nivel 2],"",0)</f>
        <v/>
      </c>
      <c r="P690" t="str">
        <f>_xlfn.XLOOKUP(Table3[[#This Row],[Cuenta]],Estructura_Balance[Nombre Cuenta ()],Estructura_Balance[Nivel 3],"",0)</f>
        <v/>
      </c>
      <c r="Q690" t="str">
        <f>_xlfn.XLOOKUP(Table3[[#This Row],[Cuenta]],Estructura_Balance[Nombre Cuenta ()],Estructura_Balance[Nivel 4],"",0)</f>
        <v/>
      </c>
      <c r="R690" t="str">
        <f>_xlfn.XLOOKUP(Table3[[#This Row],[Cuenta]],Table8[Nombre Cuenta ()],Table8[Nivel 1],"",0)</f>
        <v/>
      </c>
      <c r="S690" t="str">
        <f>_xlfn.XLOOKUP(Table3[[#This Row],[Cuenta]],Table8[Nombre Cuenta ()],Table8[Nivel 2],"",0)</f>
        <v/>
      </c>
      <c r="T690" t="str">
        <f>_xlfn.XLOOKUP(Table3[[#This Row],[Cuenta]],Table8[Nombre Cuenta ()],Table8[Nivel 3],"",0)</f>
        <v/>
      </c>
      <c r="U690">
        <v>1137</v>
      </c>
      <c r="V690" t="str">
        <f>_xlfn.XLOOKUP(Table3[[#This Row],[Cuenta]],Estructura_Balance[Nombre Cuenta ()],Estructura_Balance[Niveles:2],"",0)</f>
        <v/>
      </c>
      <c r="W690" t="str">
        <f>_xlfn.XLOOKUP(Table3[[#This Row],[Cuenta]],Estructura_Balance[Nombre Cuenta ()],Estructura_Balance[Niveles:3],"",0)</f>
        <v/>
      </c>
      <c r="X690" t="str">
        <f>_xlfn.XLOOKUP(Table3[[#This Row],[Cuenta]],Estructura_Balance[Nombre Cuenta ()],Estructura_Balance[Grupos],"Grupo 1",0)</f>
        <v>Grupo 1</v>
      </c>
      <c r="Y690" t="str">
        <f>+Table3[[#This Row],[BS_Nivel_1]]</f>
        <v/>
      </c>
    </row>
    <row r="691" spans="1:25">
      <c r="A691">
        <f>+'Libro Diario'!F905</f>
        <v>0</v>
      </c>
      <c r="B691" s="144">
        <f>VALUE(IF(+'Libro Diario'!G905="","01/01/2025",+'Libro Diario'!G905))</f>
        <v>45658</v>
      </c>
      <c r="C691">
        <f>IF(ISNUMBER(+IF(IFERROR(VALUE(MID('Libro Diario'!C905,1,4)),0)&lt;&gt;0,'Libro Diario'!C905,0))=FALSE,'Libro Diario'!C905,0)</f>
        <v>0</v>
      </c>
      <c r="D691" s="145">
        <f>+'Libro Diario'!B905</f>
        <v>0</v>
      </c>
      <c r="E691" s="139" t="s">
        <v>445</v>
      </c>
      <c r="F691" t="str">
        <f t="shared" si="30"/>
        <v>Sin Mov.</v>
      </c>
      <c r="G691" t="str">
        <f>IF(+'Libro Diario'!H905=0,"",+'Libro Diario'!H905)</f>
        <v/>
      </c>
      <c r="H691" t="str">
        <f>IF(+'Libro Diario'!I905=0,"",+'Libro Diario'!I905)</f>
        <v/>
      </c>
      <c r="I691" t="str">
        <f>+IF(Table3[[#This Row],[Tipo Movimiento]]="Estructura Balance y PyG","Excluir","Incluir")</f>
        <v>Incluir</v>
      </c>
      <c r="J691" s="153">
        <f>+IF(Table3[[#This Row],[Sin cuenta]]="Con Mov.",(IF(Table3[[#This Row],[Movimiento]]="Debe",Table3[[#This Row],[Importe]],IF(Table3[[#This Row],[Movimiento]]="Haber",Table3[[#This Row],[Importe]]*-1,0))),0)</f>
        <v>0</v>
      </c>
      <c r="K691" s="145">
        <f t="shared" si="31"/>
        <v>0</v>
      </c>
      <c r="L691" s="145" t="str">
        <f t="shared" si="32"/>
        <v/>
      </c>
      <c r="M691" t="str">
        <f>_xlfn.XLOOKUP(Table3[[#This Row],[Cuenta]],Estructura_Balance[Nombre Cuenta ()],Estructura_Balance[Grupo],"",0)</f>
        <v/>
      </c>
      <c r="N691" t="str">
        <f>_xlfn.XLOOKUP(Table3[[#This Row],[Cuenta]],Estructura_Balance[Nombre Cuenta ()],Estructura_Balance[Nivel 1],"",0)</f>
        <v/>
      </c>
      <c r="O691" t="str">
        <f>_xlfn.XLOOKUP(Table3[[#This Row],[Cuenta]],Estructura_Balance[Nombre Cuenta ()],Estructura_Balance[Nivel 2],"",0)</f>
        <v/>
      </c>
      <c r="P691" t="str">
        <f>_xlfn.XLOOKUP(Table3[[#This Row],[Cuenta]],Estructura_Balance[Nombre Cuenta ()],Estructura_Balance[Nivel 3],"",0)</f>
        <v/>
      </c>
      <c r="Q691" t="str">
        <f>_xlfn.XLOOKUP(Table3[[#This Row],[Cuenta]],Estructura_Balance[Nombre Cuenta ()],Estructura_Balance[Nivel 4],"",0)</f>
        <v/>
      </c>
      <c r="R691" t="str">
        <f>_xlfn.XLOOKUP(Table3[[#This Row],[Cuenta]],Table8[Nombre Cuenta ()],Table8[Nivel 1],"",0)</f>
        <v/>
      </c>
      <c r="S691" t="str">
        <f>_xlfn.XLOOKUP(Table3[[#This Row],[Cuenta]],Table8[Nombre Cuenta ()],Table8[Nivel 2],"",0)</f>
        <v/>
      </c>
      <c r="T691" t="str">
        <f>_xlfn.XLOOKUP(Table3[[#This Row],[Cuenta]],Table8[Nombre Cuenta ()],Table8[Nivel 3],"",0)</f>
        <v/>
      </c>
      <c r="U691">
        <v>1138</v>
      </c>
      <c r="V691" t="str">
        <f>_xlfn.XLOOKUP(Table3[[#This Row],[Cuenta]],Estructura_Balance[Nombre Cuenta ()],Estructura_Balance[Niveles:2],"",0)</f>
        <v/>
      </c>
      <c r="W691" t="str">
        <f>_xlfn.XLOOKUP(Table3[[#This Row],[Cuenta]],Estructura_Balance[Nombre Cuenta ()],Estructura_Balance[Niveles:3],"",0)</f>
        <v/>
      </c>
      <c r="X691" t="str">
        <f>_xlfn.XLOOKUP(Table3[[#This Row],[Cuenta]],Estructura_Balance[Nombre Cuenta ()],Estructura_Balance[Grupos],"Grupo 1",0)</f>
        <v>Grupo 1</v>
      </c>
      <c r="Y691" t="str">
        <f>+Table3[[#This Row],[BS_Nivel_1]]</f>
        <v/>
      </c>
    </row>
    <row r="692" spans="1:25">
      <c r="A692">
        <f>+'Libro Diario'!F906</f>
        <v>0</v>
      </c>
      <c r="B692" s="144">
        <f>VALUE(IF(+'Libro Diario'!G906="","01/01/2025",+'Libro Diario'!G906))</f>
        <v>45658</v>
      </c>
      <c r="C692">
        <f>IF(ISNUMBER(+IF(IFERROR(VALUE(MID('Libro Diario'!C906,1,4)),0)&lt;&gt;0,'Libro Diario'!C906,0))=FALSE,'Libro Diario'!C906,0)</f>
        <v>0</v>
      </c>
      <c r="D692" s="145">
        <f>+'Libro Diario'!B906</f>
        <v>0</v>
      </c>
      <c r="E692" s="139" t="s">
        <v>445</v>
      </c>
      <c r="F692" t="str">
        <f t="shared" si="30"/>
        <v>Sin Mov.</v>
      </c>
      <c r="G692" t="str">
        <f>IF(+'Libro Diario'!H906=0,"",+'Libro Diario'!H906)</f>
        <v/>
      </c>
      <c r="H692" t="str">
        <f>IF(+'Libro Diario'!I906=0,"",+'Libro Diario'!I906)</f>
        <v/>
      </c>
      <c r="I692" t="str">
        <f>+IF(Table3[[#This Row],[Tipo Movimiento]]="Estructura Balance y PyG","Excluir","Incluir")</f>
        <v>Incluir</v>
      </c>
      <c r="J692" s="153">
        <f>+IF(Table3[[#This Row],[Sin cuenta]]="Con Mov.",(IF(Table3[[#This Row],[Movimiento]]="Debe",Table3[[#This Row],[Importe]],IF(Table3[[#This Row],[Movimiento]]="Haber",Table3[[#This Row],[Importe]]*-1,0))),0)</f>
        <v>0</v>
      </c>
      <c r="K692" s="145">
        <f t="shared" si="31"/>
        <v>0</v>
      </c>
      <c r="L692" s="145" t="str">
        <f t="shared" si="32"/>
        <v/>
      </c>
      <c r="M692" t="str">
        <f>_xlfn.XLOOKUP(Table3[[#This Row],[Cuenta]],Estructura_Balance[Nombre Cuenta ()],Estructura_Balance[Grupo],"",0)</f>
        <v/>
      </c>
      <c r="N692" t="str">
        <f>_xlfn.XLOOKUP(Table3[[#This Row],[Cuenta]],Estructura_Balance[Nombre Cuenta ()],Estructura_Balance[Nivel 1],"",0)</f>
        <v/>
      </c>
      <c r="O692" t="str">
        <f>_xlfn.XLOOKUP(Table3[[#This Row],[Cuenta]],Estructura_Balance[Nombre Cuenta ()],Estructura_Balance[Nivel 2],"",0)</f>
        <v/>
      </c>
      <c r="P692" t="str">
        <f>_xlfn.XLOOKUP(Table3[[#This Row],[Cuenta]],Estructura_Balance[Nombre Cuenta ()],Estructura_Balance[Nivel 3],"",0)</f>
        <v/>
      </c>
      <c r="Q692" t="str">
        <f>_xlfn.XLOOKUP(Table3[[#This Row],[Cuenta]],Estructura_Balance[Nombre Cuenta ()],Estructura_Balance[Nivel 4],"",0)</f>
        <v/>
      </c>
      <c r="R692" t="str">
        <f>_xlfn.XLOOKUP(Table3[[#This Row],[Cuenta]],Table8[Nombre Cuenta ()],Table8[Nivel 1],"",0)</f>
        <v/>
      </c>
      <c r="S692" t="str">
        <f>_xlfn.XLOOKUP(Table3[[#This Row],[Cuenta]],Table8[Nombre Cuenta ()],Table8[Nivel 2],"",0)</f>
        <v/>
      </c>
      <c r="T692" t="str">
        <f>_xlfn.XLOOKUP(Table3[[#This Row],[Cuenta]],Table8[Nombre Cuenta ()],Table8[Nivel 3],"",0)</f>
        <v/>
      </c>
      <c r="U692">
        <v>1139</v>
      </c>
      <c r="V692" t="str">
        <f>_xlfn.XLOOKUP(Table3[[#This Row],[Cuenta]],Estructura_Balance[Nombre Cuenta ()],Estructura_Balance[Niveles:2],"",0)</f>
        <v/>
      </c>
      <c r="W692" t="str">
        <f>_xlfn.XLOOKUP(Table3[[#This Row],[Cuenta]],Estructura_Balance[Nombre Cuenta ()],Estructura_Balance[Niveles:3],"",0)</f>
        <v/>
      </c>
      <c r="X692" t="str">
        <f>_xlfn.XLOOKUP(Table3[[#This Row],[Cuenta]],Estructura_Balance[Nombre Cuenta ()],Estructura_Balance[Grupos],"Grupo 1",0)</f>
        <v>Grupo 1</v>
      </c>
      <c r="Y692" t="str">
        <f>+Table3[[#This Row],[BS_Nivel_1]]</f>
        <v/>
      </c>
    </row>
    <row r="693" spans="1:25">
      <c r="A693">
        <f>+'Libro Diario'!F907</f>
        <v>0</v>
      </c>
      <c r="B693" s="144">
        <f>VALUE(IF(+'Libro Diario'!G907="","01/01/2025",+'Libro Diario'!G907))</f>
        <v>45658</v>
      </c>
      <c r="C693">
        <f>IF(ISNUMBER(+IF(IFERROR(VALUE(MID('Libro Diario'!C907,1,4)),0)&lt;&gt;0,'Libro Diario'!C907,0))=FALSE,'Libro Diario'!C907,0)</f>
        <v>0</v>
      </c>
      <c r="D693" s="145">
        <f>+'Libro Diario'!B907</f>
        <v>0</v>
      </c>
      <c r="E693" s="139" t="s">
        <v>445</v>
      </c>
      <c r="F693" t="str">
        <f t="shared" si="30"/>
        <v>Sin Mov.</v>
      </c>
      <c r="G693" t="str">
        <f>IF(+'Libro Diario'!H907=0,"",+'Libro Diario'!H907)</f>
        <v/>
      </c>
      <c r="H693" t="str">
        <f>IF(+'Libro Diario'!I907=0,"",+'Libro Diario'!I907)</f>
        <v/>
      </c>
      <c r="I693" t="str">
        <f>+IF(Table3[[#This Row],[Tipo Movimiento]]="Estructura Balance y PyG","Excluir","Incluir")</f>
        <v>Incluir</v>
      </c>
      <c r="J693" s="153">
        <f>+IF(Table3[[#This Row],[Sin cuenta]]="Con Mov.",(IF(Table3[[#This Row],[Movimiento]]="Debe",Table3[[#This Row],[Importe]],IF(Table3[[#This Row],[Movimiento]]="Haber",Table3[[#This Row],[Importe]]*-1,0))),0)</f>
        <v>0</v>
      </c>
      <c r="K693" s="145">
        <f t="shared" si="31"/>
        <v>0</v>
      </c>
      <c r="L693" s="145" t="str">
        <f t="shared" si="32"/>
        <v/>
      </c>
      <c r="M693" t="str">
        <f>_xlfn.XLOOKUP(Table3[[#This Row],[Cuenta]],Estructura_Balance[Nombre Cuenta ()],Estructura_Balance[Grupo],"",0)</f>
        <v/>
      </c>
      <c r="N693" t="str">
        <f>_xlfn.XLOOKUP(Table3[[#This Row],[Cuenta]],Estructura_Balance[Nombre Cuenta ()],Estructura_Balance[Nivel 1],"",0)</f>
        <v/>
      </c>
      <c r="O693" t="str">
        <f>_xlfn.XLOOKUP(Table3[[#This Row],[Cuenta]],Estructura_Balance[Nombre Cuenta ()],Estructura_Balance[Nivel 2],"",0)</f>
        <v/>
      </c>
      <c r="P693" t="str">
        <f>_xlfn.XLOOKUP(Table3[[#This Row],[Cuenta]],Estructura_Balance[Nombre Cuenta ()],Estructura_Balance[Nivel 3],"",0)</f>
        <v/>
      </c>
      <c r="Q693" t="str">
        <f>_xlfn.XLOOKUP(Table3[[#This Row],[Cuenta]],Estructura_Balance[Nombre Cuenta ()],Estructura_Balance[Nivel 4],"",0)</f>
        <v/>
      </c>
      <c r="R693" t="str">
        <f>_xlfn.XLOOKUP(Table3[[#This Row],[Cuenta]],Table8[Nombre Cuenta ()],Table8[Nivel 1],"",0)</f>
        <v/>
      </c>
      <c r="S693" t="str">
        <f>_xlfn.XLOOKUP(Table3[[#This Row],[Cuenta]],Table8[Nombre Cuenta ()],Table8[Nivel 2],"",0)</f>
        <v/>
      </c>
      <c r="T693" t="str">
        <f>_xlfn.XLOOKUP(Table3[[#This Row],[Cuenta]],Table8[Nombre Cuenta ()],Table8[Nivel 3],"",0)</f>
        <v/>
      </c>
      <c r="U693">
        <v>1142</v>
      </c>
      <c r="V693" t="str">
        <f>_xlfn.XLOOKUP(Table3[[#This Row],[Cuenta]],Estructura_Balance[Nombre Cuenta ()],Estructura_Balance[Niveles:2],"",0)</f>
        <v/>
      </c>
      <c r="W693" t="str">
        <f>_xlfn.XLOOKUP(Table3[[#This Row],[Cuenta]],Estructura_Balance[Nombre Cuenta ()],Estructura_Balance[Niveles:3],"",0)</f>
        <v/>
      </c>
      <c r="X693" t="str">
        <f>_xlfn.XLOOKUP(Table3[[#This Row],[Cuenta]],Estructura_Balance[Nombre Cuenta ()],Estructura_Balance[Grupos],"Grupo 1",0)</f>
        <v>Grupo 1</v>
      </c>
      <c r="Y693" t="str">
        <f>+Table3[[#This Row],[BS_Nivel_1]]</f>
        <v/>
      </c>
    </row>
    <row r="694" spans="1:25">
      <c r="A694">
        <f>+'Libro Diario'!F908</f>
        <v>0</v>
      </c>
      <c r="B694" s="144">
        <f>VALUE(IF(+'Libro Diario'!G908="","01/01/2025",+'Libro Diario'!G908))</f>
        <v>45658</v>
      </c>
      <c r="C694">
        <f>IF(ISNUMBER(+IF(IFERROR(VALUE(MID('Libro Diario'!C908,1,4)),0)&lt;&gt;0,'Libro Diario'!C908,0))=FALSE,'Libro Diario'!C908,0)</f>
        <v>0</v>
      </c>
      <c r="D694" s="145">
        <f>+'Libro Diario'!B908</f>
        <v>0</v>
      </c>
      <c r="E694" s="139" t="s">
        <v>445</v>
      </c>
      <c r="F694" t="str">
        <f t="shared" si="30"/>
        <v>Sin Mov.</v>
      </c>
      <c r="G694" t="str">
        <f>IF(+'Libro Diario'!H908=0,"",+'Libro Diario'!H908)</f>
        <v/>
      </c>
      <c r="H694" t="str">
        <f>IF(+'Libro Diario'!I908=0,"",+'Libro Diario'!I908)</f>
        <v/>
      </c>
      <c r="I694" t="str">
        <f>+IF(Table3[[#This Row],[Tipo Movimiento]]="Estructura Balance y PyG","Excluir","Incluir")</f>
        <v>Incluir</v>
      </c>
      <c r="J694" s="153">
        <f>+IF(Table3[[#This Row],[Sin cuenta]]="Con Mov.",(IF(Table3[[#This Row],[Movimiento]]="Debe",Table3[[#This Row],[Importe]],IF(Table3[[#This Row],[Movimiento]]="Haber",Table3[[#This Row],[Importe]]*-1,0))),0)</f>
        <v>0</v>
      </c>
      <c r="K694" s="145">
        <f t="shared" si="31"/>
        <v>0</v>
      </c>
      <c r="L694" s="145" t="str">
        <f t="shared" si="32"/>
        <v/>
      </c>
      <c r="M694" t="str">
        <f>_xlfn.XLOOKUP(Table3[[#This Row],[Cuenta]],Estructura_Balance[Nombre Cuenta ()],Estructura_Balance[Grupo],"",0)</f>
        <v/>
      </c>
      <c r="N694" t="str">
        <f>_xlfn.XLOOKUP(Table3[[#This Row],[Cuenta]],Estructura_Balance[Nombre Cuenta ()],Estructura_Balance[Nivel 1],"",0)</f>
        <v/>
      </c>
      <c r="O694" t="str">
        <f>_xlfn.XLOOKUP(Table3[[#This Row],[Cuenta]],Estructura_Balance[Nombre Cuenta ()],Estructura_Balance[Nivel 2],"",0)</f>
        <v/>
      </c>
      <c r="P694" t="str">
        <f>_xlfn.XLOOKUP(Table3[[#This Row],[Cuenta]],Estructura_Balance[Nombre Cuenta ()],Estructura_Balance[Nivel 3],"",0)</f>
        <v/>
      </c>
      <c r="Q694" t="str">
        <f>_xlfn.XLOOKUP(Table3[[#This Row],[Cuenta]],Estructura_Balance[Nombre Cuenta ()],Estructura_Balance[Nivel 4],"",0)</f>
        <v/>
      </c>
      <c r="R694" t="str">
        <f>_xlfn.XLOOKUP(Table3[[#This Row],[Cuenta]],Table8[Nombre Cuenta ()],Table8[Nivel 1],"",0)</f>
        <v/>
      </c>
      <c r="S694" t="str">
        <f>_xlfn.XLOOKUP(Table3[[#This Row],[Cuenta]],Table8[Nombre Cuenta ()],Table8[Nivel 2],"",0)</f>
        <v/>
      </c>
      <c r="T694" t="str">
        <f>_xlfn.XLOOKUP(Table3[[#This Row],[Cuenta]],Table8[Nombre Cuenta ()],Table8[Nivel 3],"",0)</f>
        <v/>
      </c>
      <c r="U694">
        <v>1143</v>
      </c>
      <c r="V694" t="str">
        <f>_xlfn.XLOOKUP(Table3[[#This Row],[Cuenta]],Estructura_Balance[Nombre Cuenta ()],Estructura_Balance[Niveles:2],"",0)</f>
        <v/>
      </c>
      <c r="W694" t="str">
        <f>_xlfn.XLOOKUP(Table3[[#This Row],[Cuenta]],Estructura_Balance[Nombre Cuenta ()],Estructura_Balance[Niveles:3],"",0)</f>
        <v/>
      </c>
      <c r="X694" t="str">
        <f>_xlfn.XLOOKUP(Table3[[#This Row],[Cuenta]],Estructura_Balance[Nombre Cuenta ()],Estructura_Balance[Grupos],"Grupo 1",0)</f>
        <v>Grupo 1</v>
      </c>
      <c r="Y694" t="str">
        <f>+Table3[[#This Row],[BS_Nivel_1]]</f>
        <v/>
      </c>
    </row>
    <row r="695" spans="1:25">
      <c r="A695">
        <f>+'Libro Diario'!F909</f>
        <v>0</v>
      </c>
      <c r="B695" s="144">
        <f>VALUE(IF(+'Libro Diario'!G909="","01/01/2025",+'Libro Diario'!G909))</f>
        <v>45658</v>
      </c>
      <c r="C695">
        <f>IF(ISNUMBER(+IF(IFERROR(VALUE(MID('Libro Diario'!C909,1,4)),0)&lt;&gt;0,'Libro Diario'!C909,0))=FALSE,'Libro Diario'!C909,0)</f>
        <v>0</v>
      </c>
      <c r="D695" s="145">
        <f>+'Libro Diario'!B909</f>
        <v>0</v>
      </c>
      <c r="E695" s="139" t="s">
        <v>445</v>
      </c>
      <c r="F695" t="str">
        <f t="shared" si="30"/>
        <v>Sin Mov.</v>
      </c>
      <c r="G695" t="str">
        <f>IF(+'Libro Diario'!H909=0,"",+'Libro Diario'!H909)</f>
        <v/>
      </c>
      <c r="H695" t="str">
        <f>IF(+'Libro Diario'!I909=0,"",+'Libro Diario'!I909)</f>
        <v/>
      </c>
      <c r="I695" t="str">
        <f>+IF(Table3[[#This Row],[Tipo Movimiento]]="Estructura Balance y PyG","Excluir","Incluir")</f>
        <v>Incluir</v>
      </c>
      <c r="J695" s="153">
        <f>+IF(Table3[[#This Row],[Sin cuenta]]="Con Mov.",(IF(Table3[[#This Row],[Movimiento]]="Debe",Table3[[#This Row],[Importe]],IF(Table3[[#This Row],[Movimiento]]="Haber",Table3[[#This Row],[Importe]]*-1,0))),0)</f>
        <v>0</v>
      </c>
      <c r="K695" s="145">
        <f t="shared" si="31"/>
        <v>0</v>
      </c>
      <c r="L695" s="145" t="str">
        <f t="shared" si="32"/>
        <v/>
      </c>
      <c r="M695" t="str">
        <f>_xlfn.XLOOKUP(Table3[[#This Row],[Cuenta]],Estructura_Balance[Nombre Cuenta ()],Estructura_Balance[Grupo],"",0)</f>
        <v/>
      </c>
      <c r="N695" t="str">
        <f>_xlfn.XLOOKUP(Table3[[#This Row],[Cuenta]],Estructura_Balance[Nombre Cuenta ()],Estructura_Balance[Nivel 1],"",0)</f>
        <v/>
      </c>
      <c r="O695" t="str">
        <f>_xlfn.XLOOKUP(Table3[[#This Row],[Cuenta]],Estructura_Balance[Nombre Cuenta ()],Estructura_Balance[Nivel 2],"",0)</f>
        <v/>
      </c>
      <c r="P695" t="str">
        <f>_xlfn.XLOOKUP(Table3[[#This Row],[Cuenta]],Estructura_Balance[Nombre Cuenta ()],Estructura_Balance[Nivel 3],"",0)</f>
        <v/>
      </c>
      <c r="Q695" t="str">
        <f>_xlfn.XLOOKUP(Table3[[#This Row],[Cuenta]],Estructura_Balance[Nombre Cuenta ()],Estructura_Balance[Nivel 4],"",0)</f>
        <v/>
      </c>
      <c r="R695" t="str">
        <f>_xlfn.XLOOKUP(Table3[[#This Row],[Cuenta]],Table8[Nombre Cuenta ()],Table8[Nivel 1],"",0)</f>
        <v/>
      </c>
      <c r="S695" t="str">
        <f>_xlfn.XLOOKUP(Table3[[#This Row],[Cuenta]],Table8[Nombre Cuenta ()],Table8[Nivel 2],"",0)</f>
        <v/>
      </c>
      <c r="T695" t="str">
        <f>_xlfn.XLOOKUP(Table3[[#This Row],[Cuenta]],Table8[Nombre Cuenta ()],Table8[Nivel 3],"",0)</f>
        <v/>
      </c>
      <c r="U695">
        <v>1144</v>
      </c>
      <c r="V695" t="str">
        <f>_xlfn.XLOOKUP(Table3[[#This Row],[Cuenta]],Estructura_Balance[Nombre Cuenta ()],Estructura_Balance[Niveles:2],"",0)</f>
        <v/>
      </c>
      <c r="W695" t="str">
        <f>_xlfn.XLOOKUP(Table3[[#This Row],[Cuenta]],Estructura_Balance[Nombre Cuenta ()],Estructura_Balance[Niveles:3],"",0)</f>
        <v/>
      </c>
      <c r="X695" t="str">
        <f>_xlfn.XLOOKUP(Table3[[#This Row],[Cuenta]],Estructura_Balance[Nombre Cuenta ()],Estructura_Balance[Grupos],"Grupo 1",0)</f>
        <v>Grupo 1</v>
      </c>
      <c r="Y695" t="str">
        <f>+Table3[[#This Row],[BS_Nivel_1]]</f>
        <v/>
      </c>
    </row>
    <row r="696" spans="1:25">
      <c r="A696">
        <f>+'Libro Diario'!F910</f>
        <v>0</v>
      </c>
      <c r="B696" s="144">
        <f>VALUE(IF(+'Libro Diario'!G910="","01/01/2025",+'Libro Diario'!G910))</f>
        <v>45658</v>
      </c>
      <c r="C696">
        <f>IF(ISNUMBER(+IF(IFERROR(VALUE(MID('Libro Diario'!C910,1,4)),0)&lt;&gt;0,'Libro Diario'!C910,0))=FALSE,'Libro Diario'!C910,0)</f>
        <v>0</v>
      </c>
      <c r="D696" s="145">
        <f>+'Libro Diario'!B910</f>
        <v>0</v>
      </c>
      <c r="E696" s="139" t="s">
        <v>445</v>
      </c>
      <c r="F696" t="str">
        <f t="shared" si="30"/>
        <v>Sin Mov.</v>
      </c>
      <c r="G696" t="str">
        <f>IF(+'Libro Diario'!H910=0,"",+'Libro Diario'!H910)</f>
        <v/>
      </c>
      <c r="H696" t="str">
        <f>IF(+'Libro Diario'!I910=0,"",+'Libro Diario'!I910)</f>
        <v/>
      </c>
      <c r="I696" t="str">
        <f>+IF(Table3[[#This Row],[Tipo Movimiento]]="Estructura Balance y PyG","Excluir","Incluir")</f>
        <v>Incluir</v>
      </c>
      <c r="J696" s="153">
        <f>+IF(Table3[[#This Row],[Sin cuenta]]="Con Mov.",(IF(Table3[[#This Row],[Movimiento]]="Debe",Table3[[#This Row],[Importe]],IF(Table3[[#This Row],[Movimiento]]="Haber",Table3[[#This Row],[Importe]]*-1,0))),0)</f>
        <v>0</v>
      </c>
      <c r="K696" s="145">
        <f t="shared" si="31"/>
        <v>0</v>
      </c>
      <c r="L696" s="145" t="str">
        <f t="shared" si="32"/>
        <v/>
      </c>
      <c r="M696" t="str">
        <f>_xlfn.XLOOKUP(Table3[[#This Row],[Cuenta]],Estructura_Balance[Nombre Cuenta ()],Estructura_Balance[Grupo],"",0)</f>
        <v/>
      </c>
      <c r="N696" t="str">
        <f>_xlfn.XLOOKUP(Table3[[#This Row],[Cuenta]],Estructura_Balance[Nombre Cuenta ()],Estructura_Balance[Nivel 1],"",0)</f>
        <v/>
      </c>
      <c r="O696" t="str">
        <f>_xlfn.XLOOKUP(Table3[[#This Row],[Cuenta]],Estructura_Balance[Nombre Cuenta ()],Estructura_Balance[Nivel 2],"",0)</f>
        <v/>
      </c>
      <c r="P696" t="str">
        <f>_xlfn.XLOOKUP(Table3[[#This Row],[Cuenta]],Estructura_Balance[Nombre Cuenta ()],Estructura_Balance[Nivel 3],"",0)</f>
        <v/>
      </c>
      <c r="Q696" t="str">
        <f>_xlfn.XLOOKUP(Table3[[#This Row],[Cuenta]],Estructura_Balance[Nombre Cuenta ()],Estructura_Balance[Nivel 4],"",0)</f>
        <v/>
      </c>
      <c r="R696" t="str">
        <f>_xlfn.XLOOKUP(Table3[[#This Row],[Cuenta]],Table8[Nombre Cuenta ()],Table8[Nivel 1],"",0)</f>
        <v/>
      </c>
      <c r="S696" t="str">
        <f>_xlfn.XLOOKUP(Table3[[#This Row],[Cuenta]],Table8[Nombre Cuenta ()],Table8[Nivel 2],"",0)</f>
        <v/>
      </c>
      <c r="T696" t="str">
        <f>_xlfn.XLOOKUP(Table3[[#This Row],[Cuenta]],Table8[Nombre Cuenta ()],Table8[Nivel 3],"",0)</f>
        <v/>
      </c>
      <c r="U696">
        <v>1145</v>
      </c>
      <c r="V696" t="str">
        <f>_xlfn.XLOOKUP(Table3[[#This Row],[Cuenta]],Estructura_Balance[Nombre Cuenta ()],Estructura_Balance[Niveles:2],"",0)</f>
        <v/>
      </c>
      <c r="W696" t="str">
        <f>_xlfn.XLOOKUP(Table3[[#This Row],[Cuenta]],Estructura_Balance[Nombre Cuenta ()],Estructura_Balance[Niveles:3],"",0)</f>
        <v/>
      </c>
      <c r="X696" t="str">
        <f>_xlfn.XLOOKUP(Table3[[#This Row],[Cuenta]],Estructura_Balance[Nombre Cuenta ()],Estructura_Balance[Grupos],"Grupo 1",0)</f>
        <v>Grupo 1</v>
      </c>
      <c r="Y696" t="str">
        <f>+Table3[[#This Row],[BS_Nivel_1]]</f>
        <v/>
      </c>
    </row>
    <row r="697" spans="1:25">
      <c r="A697">
        <f>+'Libro Diario'!F911</f>
        <v>0</v>
      </c>
      <c r="B697" s="144">
        <f>VALUE(IF(+'Libro Diario'!G911="","01/01/2025",+'Libro Diario'!G911))</f>
        <v>45658</v>
      </c>
      <c r="C697">
        <f>IF(ISNUMBER(+IF(IFERROR(VALUE(MID('Libro Diario'!C911,1,4)),0)&lt;&gt;0,'Libro Diario'!C911,0))=FALSE,'Libro Diario'!C911,0)</f>
        <v>0</v>
      </c>
      <c r="D697" s="145">
        <f>+'Libro Diario'!B911</f>
        <v>0</v>
      </c>
      <c r="E697" s="139" t="s">
        <v>445</v>
      </c>
      <c r="F697" t="str">
        <f t="shared" si="30"/>
        <v>Sin Mov.</v>
      </c>
      <c r="G697" t="str">
        <f>IF(+'Libro Diario'!H911=0,"",+'Libro Diario'!H911)</f>
        <v/>
      </c>
      <c r="H697" t="str">
        <f>IF(+'Libro Diario'!I911=0,"",+'Libro Diario'!I911)</f>
        <v/>
      </c>
      <c r="I697" t="str">
        <f>+IF(Table3[[#This Row],[Tipo Movimiento]]="Estructura Balance y PyG","Excluir","Incluir")</f>
        <v>Incluir</v>
      </c>
      <c r="J697" s="153">
        <f>+IF(Table3[[#This Row],[Sin cuenta]]="Con Mov.",(IF(Table3[[#This Row],[Movimiento]]="Debe",Table3[[#This Row],[Importe]],IF(Table3[[#This Row],[Movimiento]]="Haber",Table3[[#This Row],[Importe]]*-1,0))),0)</f>
        <v>0</v>
      </c>
      <c r="K697" s="145">
        <f t="shared" si="31"/>
        <v>0</v>
      </c>
      <c r="L697" s="145" t="str">
        <f t="shared" si="32"/>
        <v/>
      </c>
      <c r="M697" t="str">
        <f>_xlfn.XLOOKUP(Table3[[#This Row],[Cuenta]],Estructura_Balance[Nombre Cuenta ()],Estructura_Balance[Grupo],"",0)</f>
        <v/>
      </c>
      <c r="N697" t="str">
        <f>_xlfn.XLOOKUP(Table3[[#This Row],[Cuenta]],Estructura_Balance[Nombre Cuenta ()],Estructura_Balance[Nivel 1],"",0)</f>
        <v/>
      </c>
      <c r="O697" t="str">
        <f>_xlfn.XLOOKUP(Table3[[#This Row],[Cuenta]],Estructura_Balance[Nombre Cuenta ()],Estructura_Balance[Nivel 2],"",0)</f>
        <v/>
      </c>
      <c r="P697" t="str">
        <f>_xlfn.XLOOKUP(Table3[[#This Row],[Cuenta]],Estructura_Balance[Nombre Cuenta ()],Estructura_Balance[Nivel 3],"",0)</f>
        <v/>
      </c>
      <c r="Q697" t="str">
        <f>_xlfn.XLOOKUP(Table3[[#This Row],[Cuenta]],Estructura_Balance[Nombre Cuenta ()],Estructura_Balance[Nivel 4],"",0)</f>
        <v/>
      </c>
      <c r="R697" t="str">
        <f>_xlfn.XLOOKUP(Table3[[#This Row],[Cuenta]],Table8[Nombre Cuenta ()],Table8[Nivel 1],"",0)</f>
        <v/>
      </c>
      <c r="S697" t="str">
        <f>_xlfn.XLOOKUP(Table3[[#This Row],[Cuenta]],Table8[Nombre Cuenta ()],Table8[Nivel 2],"",0)</f>
        <v/>
      </c>
      <c r="T697" t="str">
        <f>_xlfn.XLOOKUP(Table3[[#This Row],[Cuenta]],Table8[Nombre Cuenta ()],Table8[Nivel 3],"",0)</f>
        <v/>
      </c>
      <c r="U697">
        <v>1146</v>
      </c>
      <c r="V697" t="str">
        <f>_xlfn.XLOOKUP(Table3[[#This Row],[Cuenta]],Estructura_Balance[Nombre Cuenta ()],Estructura_Balance[Niveles:2],"",0)</f>
        <v/>
      </c>
      <c r="W697" t="str">
        <f>_xlfn.XLOOKUP(Table3[[#This Row],[Cuenta]],Estructura_Balance[Nombre Cuenta ()],Estructura_Balance[Niveles:3],"",0)</f>
        <v/>
      </c>
      <c r="X697" t="str">
        <f>_xlfn.XLOOKUP(Table3[[#This Row],[Cuenta]],Estructura_Balance[Nombre Cuenta ()],Estructura_Balance[Grupos],"Grupo 1",0)</f>
        <v>Grupo 1</v>
      </c>
      <c r="Y697" t="str">
        <f>+Table3[[#This Row],[BS_Nivel_1]]</f>
        <v/>
      </c>
    </row>
    <row r="698" spans="1:25">
      <c r="A698">
        <f>+'Libro Diario'!F912</f>
        <v>0</v>
      </c>
      <c r="B698" s="144">
        <f>VALUE(IF(+'Libro Diario'!G912="","01/01/2025",+'Libro Diario'!G912))</f>
        <v>45658</v>
      </c>
      <c r="C698">
        <f>IF(ISNUMBER(+IF(IFERROR(VALUE(MID('Libro Diario'!C912,1,4)),0)&lt;&gt;0,'Libro Diario'!C912,0))=FALSE,'Libro Diario'!C912,0)</f>
        <v>0</v>
      </c>
      <c r="D698" s="145">
        <f>+'Libro Diario'!B912</f>
        <v>0</v>
      </c>
      <c r="E698" s="139" t="s">
        <v>445</v>
      </c>
      <c r="F698" t="str">
        <f t="shared" si="30"/>
        <v>Sin Mov.</v>
      </c>
      <c r="G698" t="str">
        <f>IF(+'Libro Diario'!H912=0,"",+'Libro Diario'!H912)</f>
        <v/>
      </c>
      <c r="H698" t="str">
        <f>IF(+'Libro Diario'!I912=0,"",+'Libro Diario'!I912)</f>
        <v/>
      </c>
      <c r="I698" t="str">
        <f>+IF(Table3[[#This Row],[Tipo Movimiento]]="Estructura Balance y PyG","Excluir","Incluir")</f>
        <v>Incluir</v>
      </c>
      <c r="J698" s="153">
        <f>+IF(Table3[[#This Row],[Sin cuenta]]="Con Mov.",(IF(Table3[[#This Row],[Movimiento]]="Debe",Table3[[#This Row],[Importe]],IF(Table3[[#This Row],[Movimiento]]="Haber",Table3[[#This Row],[Importe]]*-1,0))),0)</f>
        <v>0</v>
      </c>
      <c r="K698" s="145">
        <f t="shared" si="31"/>
        <v>0</v>
      </c>
      <c r="L698" s="145" t="str">
        <f t="shared" si="32"/>
        <v/>
      </c>
      <c r="M698" t="str">
        <f>_xlfn.XLOOKUP(Table3[[#This Row],[Cuenta]],Estructura_Balance[Nombre Cuenta ()],Estructura_Balance[Grupo],"",0)</f>
        <v/>
      </c>
      <c r="N698" t="str">
        <f>_xlfn.XLOOKUP(Table3[[#This Row],[Cuenta]],Estructura_Balance[Nombre Cuenta ()],Estructura_Balance[Nivel 1],"",0)</f>
        <v/>
      </c>
      <c r="O698" t="str">
        <f>_xlfn.XLOOKUP(Table3[[#This Row],[Cuenta]],Estructura_Balance[Nombre Cuenta ()],Estructura_Balance[Nivel 2],"",0)</f>
        <v/>
      </c>
      <c r="P698" t="str">
        <f>_xlfn.XLOOKUP(Table3[[#This Row],[Cuenta]],Estructura_Balance[Nombre Cuenta ()],Estructura_Balance[Nivel 3],"",0)</f>
        <v/>
      </c>
      <c r="Q698" t="str">
        <f>_xlfn.XLOOKUP(Table3[[#This Row],[Cuenta]],Estructura_Balance[Nombre Cuenta ()],Estructura_Balance[Nivel 4],"",0)</f>
        <v/>
      </c>
      <c r="R698" t="str">
        <f>_xlfn.XLOOKUP(Table3[[#This Row],[Cuenta]],Table8[Nombre Cuenta ()],Table8[Nivel 1],"",0)</f>
        <v/>
      </c>
      <c r="S698" t="str">
        <f>_xlfn.XLOOKUP(Table3[[#This Row],[Cuenta]],Table8[Nombre Cuenta ()],Table8[Nivel 2],"",0)</f>
        <v/>
      </c>
      <c r="T698" t="str">
        <f>_xlfn.XLOOKUP(Table3[[#This Row],[Cuenta]],Table8[Nombre Cuenta ()],Table8[Nivel 3],"",0)</f>
        <v/>
      </c>
      <c r="U698">
        <v>1150</v>
      </c>
      <c r="V698" t="str">
        <f>_xlfn.XLOOKUP(Table3[[#This Row],[Cuenta]],Estructura_Balance[Nombre Cuenta ()],Estructura_Balance[Niveles:2],"",0)</f>
        <v/>
      </c>
      <c r="W698" t="str">
        <f>_xlfn.XLOOKUP(Table3[[#This Row],[Cuenta]],Estructura_Balance[Nombre Cuenta ()],Estructura_Balance[Niveles:3],"",0)</f>
        <v/>
      </c>
      <c r="X698" t="str">
        <f>_xlfn.XLOOKUP(Table3[[#This Row],[Cuenta]],Estructura_Balance[Nombre Cuenta ()],Estructura_Balance[Grupos],"Grupo 1",0)</f>
        <v>Grupo 1</v>
      </c>
      <c r="Y698" t="str">
        <f>+Table3[[#This Row],[BS_Nivel_1]]</f>
        <v/>
      </c>
    </row>
    <row r="699" spans="1:25">
      <c r="A699">
        <f>+'Libro Diario'!F913</f>
        <v>0</v>
      </c>
      <c r="B699" s="144">
        <f>VALUE(IF(+'Libro Diario'!G913="","01/01/2025",+'Libro Diario'!G913))</f>
        <v>45658</v>
      </c>
      <c r="C699">
        <f>IF(ISNUMBER(+IF(IFERROR(VALUE(MID('Libro Diario'!C913,1,4)),0)&lt;&gt;0,'Libro Diario'!C913,0))=FALSE,'Libro Diario'!C913,0)</f>
        <v>0</v>
      </c>
      <c r="D699" s="145">
        <f>+'Libro Diario'!B913</f>
        <v>0</v>
      </c>
      <c r="E699" s="139" t="s">
        <v>445</v>
      </c>
      <c r="F699" t="str">
        <f t="shared" si="30"/>
        <v>Sin Mov.</v>
      </c>
      <c r="G699" t="str">
        <f>IF(+'Libro Diario'!H913=0,"",+'Libro Diario'!H913)</f>
        <v/>
      </c>
      <c r="H699" t="str">
        <f>IF(+'Libro Diario'!I913=0,"",+'Libro Diario'!I913)</f>
        <v/>
      </c>
      <c r="I699" t="str">
        <f>+IF(Table3[[#This Row],[Tipo Movimiento]]="Estructura Balance y PyG","Excluir","Incluir")</f>
        <v>Incluir</v>
      </c>
      <c r="J699" s="153">
        <f>+IF(Table3[[#This Row],[Sin cuenta]]="Con Mov.",(IF(Table3[[#This Row],[Movimiento]]="Debe",Table3[[#This Row],[Importe]],IF(Table3[[#This Row],[Movimiento]]="Haber",Table3[[#This Row],[Importe]]*-1,0))),0)</f>
        <v>0</v>
      </c>
      <c r="K699" s="145">
        <f t="shared" si="31"/>
        <v>0</v>
      </c>
      <c r="L699" s="145" t="str">
        <f t="shared" si="32"/>
        <v/>
      </c>
      <c r="M699" t="str">
        <f>_xlfn.XLOOKUP(Table3[[#This Row],[Cuenta]],Estructura_Balance[Nombre Cuenta ()],Estructura_Balance[Grupo],"",0)</f>
        <v/>
      </c>
      <c r="N699" t="str">
        <f>_xlfn.XLOOKUP(Table3[[#This Row],[Cuenta]],Estructura_Balance[Nombre Cuenta ()],Estructura_Balance[Nivel 1],"",0)</f>
        <v/>
      </c>
      <c r="O699" t="str">
        <f>_xlfn.XLOOKUP(Table3[[#This Row],[Cuenta]],Estructura_Balance[Nombre Cuenta ()],Estructura_Balance[Nivel 2],"",0)</f>
        <v/>
      </c>
      <c r="P699" t="str">
        <f>_xlfn.XLOOKUP(Table3[[#This Row],[Cuenta]],Estructura_Balance[Nombre Cuenta ()],Estructura_Balance[Nivel 3],"",0)</f>
        <v/>
      </c>
      <c r="Q699" t="str">
        <f>_xlfn.XLOOKUP(Table3[[#This Row],[Cuenta]],Estructura_Balance[Nombre Cuenta ()],Estructura_Balance[Nivel 4],"",0)</f>
        <v/>
      </c>
      <c r="R699" t="str">
        <f>_xlfn.XLOOKUP(Table3[[#This Row],[Cuenta]],Table8[Nombre Cuenta ()],Table8[Nivel 1],"",0)</f>
        <v/>
      </c>
      <c r="S699" t="str">
        <f>_xlfn.XLOOKUP(Table3[[#This Row],[Cuenta]],Table8[Nombre Cuenta ()],Table8[Nivel 2],"",0)</f>
        <v/>
      </c>
      <c r="T699" t="str">
        <f>_xlfn.XLOOKUP(Table3[[#This Row],[Cuenta]],Table8[Nombre Cuenta ()],Table8[Nivel 3],"",0)</f>
        <v/>
      </c>
      <c r="U699">
        <v>1151</v>
      </c>
      <c r="V699" t="str">
        <f>_xlfn.XLOOKUP(Table3[[#This Row],[Cuenta]],Estructura_Balance[Nombre Cuenta ()],Estructura_Balance[Niveles:2],"",0)</f>
        <v/>
      </c>
      <c r="W699" t="str">
        <f>_xlfn.XLOOKUP(Table3[[#This Row],[Cuenta]],Estructura_Balance[Nombre Cuenta ()],Estructura_Balance[Niveles:3],"",0)</f>
        <v/>
      </c>
      <c r="X699" t="str">
        <f>_xlfn.XLOOKUP(Table3[[#This Row],[Cuenta]],Estructura_Balance[Nombre Cuenta ()],Estructura_Balance[Grupos],"Grupo 1",0)</f>
        <v>Grupo 1</v>
      </c>
      <c r="Y699" t="str">
        <f>+Table3[[#This Row],[BS_Nivel_1]]</f>
        <v/>
      </c>
    </row>
    <row r="700" spans="1:25">
      <c r="A700">
        <f>+'Libro Diario'!F914</f>
        <v>0</v>
      </c>
      <c r="B700" s="144">
        <f>VALUE(IF(+'Libro Diario'!G914="","01/01/2025",+'Libro Diario'!G914))</f>
        <v>45658</v>
      </c>
      <c r="C700">
        <f>IF(ISNUMBER(+IF(IFERROR(VALUE(MID('Libro Diario'!C914,1,4)),0)&lt;&gt;0,'Libro Diario'!C914,0))=FALSE,'Libro Diario'!C914,0)</f>
        <v>0</v>
      </c>
      <c r="D700" s="145">
        <f>+'Libro Diario'!B914</f>
        <v>0</v>
      </c>
      <c r="E700" s="139" t="s">
        <v>445</v>
      </c>
      <c r="F700" t="str">
        <f t="shared" si="30"/>
        <v>Sin Mov.</v>
      </c>
      <c r="G700" t="str">
        <f>IF(+'Libro Diario'!H914=0,"",+'Libro Diario'!H914)</f>
        <v/>
      </c>
      <c r="H700" t="str">
        <f>IF(+'Libro Diario'!I914=0,"",+'Libro Diario'!I914)</f>
        <v/>
      </c>
      <c r="I700" t="str">
        <f>+IF(Table3[[#This Row],[Tipo Movimiento]]="Estructura Balance y PyG","Excluir","Incluir")</f>
        <v>Incluir</v>
      </c>
      <c r="J700" s="153">
        <f>+IF(Table3[[#This Row],[Sin cuenta]]="Con Mov.",(IF(Table3[[#This Row],[Movimiento]]="Debe",Table3[[#This Row],[Importe]],IF(Table3[[#This Row],[Movimiento]]="Haber",Table3[[#This Row],[Importe]]*-1,0))),0)</f>
        <v>0</v>
      </c>
      <c r="K700" s="145">
        <f t="shared" si="31"/>
        <v>0</v>
      </c>
      <c r="L700" s="145" t="str">
        <f t="shared" si="32"/>
        <v/>
      </c>
      <c r="M700" t="str">
        <f>_xlfn.XLOOKUP(Table3[[#This Row],[Cuenta]],Estructura_Balance[Nombre Cuenta ()],Estructura_Balance[Grupo],"",0)</f>
        <v/>
      </c>
      <c r="N700" t="str">
        <f>_xlfn.XLOOKUP(Table3[[#This Row],[Cuenta]],Estructura_Balance[Nombre Cuenta ()],Estructura_Balance[Nivel 1],"",0)</f>
        <v/>
      </c>
      <c r="O700" t="str">
        <f>_xlfn.XLOOKUP(Table3[[#This Row],[Cuenta]],Estructura_Balance[Nombre Cuenta ()],Estructura_Balance[Nivel 2],"",0)</f>
        <v/>
      </c>
      <c r="P700" t="str">
        <f>_xlfn.XLOOKUP(Table3[[#This Row],[Cuenta]],Estructura_Balance[Nombre Cuenta ()],Estructura_Balance[Nivel 3],"",0)</f>
        <v/>
      </c>
      <c r="Q700" t="str">
        <f>_xlfn.XLOOKUP(Table3[[#This Row],[Cuenta]],Estructura_Balance[Nombre Cuenta ()],Estructura_Balance[Nivel 4],"",0)</f>
        <v/>
      </c>
      <c r="R700" t="str">
        <f>_xlfn.XLOOKUP(Table3[[#This Row],[Cuenta]],Table8[Nombre Cuenta ()],Table8[Nivel 1],"",0)</f>
        <v/>
      </c>
      <c r="S700" t="str">
        <f>_xlfn.XLOOKUP(Table3[[#This Row],[Cuenta]],Table8[Nombre Cuenta ()],Table8[Nivel 2],"",0)</f>
        <v/>
      </c>
      <c r="T700" t="str">
        <f>_xlfn.XLOOKUP(Table3[[#This Row],[Cuenta]],Table8[Nombre Cuenta ()],Table8[Nivel 3],"",0)</f>
        <v/>
      </c>
      <c r="U700">
        <v>1152</v>
      </c>
      <c r="V700" t="str">
        <f>_xlfn.XLOOKUP(Table3[[#This Row],[Cuenta]],Estructura_Balance[Nombre Cuenta ()],Estructura_Balance[Niveles:2],"",0)</f>
        <v/>
      </c>
      <c r="W700" t="str">
        <f>_xlfn.XLOOKUP(Table3[[#This Row],[Cuenta]],Estructura_Balance[Nombre Cuenta ()],Estructura_Balance[Niveles:3],"",0)</f>
        <v/>
      </c>
      <c r="X700" t="str">
        <f>_xlfn.XLOOKUP(Table3[[#This Row],[Cuenta]],Estructura_Balance[Nombre Cuenta ()],Estructura_Balance[Grupos],"Grupo 1",0)</f>
        <v>Grupo 1</v>
      </c>
      <c r="Y700" t="str">
        <f>+Table3[[#This Row],[BS_Nivel_1]]</f>
        <v/>
      </c>
    </row>
    <row r="701" spans="1:25">
      <c r="A701">
        <f>+'Libro Diario'!F915</f>
        <v>0</v>
      </c>
      <c r="B701" s="144">
        <f>VALUE(IF(+'Libro Diario'!G915="","01/01/2025",+'Libro Diario'!G915))</f>
        <v>45658</v>
      </c>
      <c r="C701">
        <f>IF(ISNUMBER(+IF(IFERROR(VALUE(MID('Libro Diario'!C915,1,4)),0)&lt;&gt;0,'Libro Diario'!C915,0))=FALSE,'Libro Diario'!C915,0)</f>
        <v>0</v>
      </c>
      <c r="D701" s="145">
        <f>+'Libro Diario'!B915</f>
        <v>0</v>
      </c>
      <c r="E701" s="139" t="s">
        <v>445</v>
      </c>
      <c r="F701" t="str">
        <f t="shared" si="30"/>
        <v>Sin Mov.</v>
      </c>
      <c r="G701" t="str">
        <f>IF(+'Libro Diario'!H915=0,"",+'Libro Diario'!H915)</f>
        <v/>
      </c>
      <c r="H701" t="str">
        <f>IF(+'Libro Diario'!I915=0,"",+'Libro Diario'!I915)</f>
        <v/>
      </c>
      <c r="I701" t="str">
        <f>+IF(Table3[[#This Row],[Tipo Movimiento]]="Estructura Balance y PyG","Excluir","Incluir")</f>
        <v>Incluir</v>
      </c>
      <c r="J701" s="153">
        <f>+IF(Table3[[#This Row],[Sin cuenta]]="Con Mov.",(IF(Table3[[#This Row],[Movimiento]]="Debe",Table3[[#This Row],[Importe]],IF(Table3[[#This Row],[Movimiento]]="Haber",Table3[[#This Row],[Importe]]*-1,0))),0)</f>
        <v>0</v>
      </c>
      <c r="K701" s="145">
        <f t="shared" si="31"/>
        <v>0</v>
      </c>
      <c r="L701" s="145" t="str">
        <f t="shared" si="32"/>
        <v/>
      </c>
      <c r="M701" t="str">
        <f>_xlfn.XLOOKUP(Table3[[#This Row],[Cuenta]],Estructura_Balance[Nombre Cuenta ()],Estructura_Balance[Grupo],"",0)</f>
        <v/>
      </c>
      <c r="N701" t="str">
        <f>_xlfn.XLOOKUP(Table3[[#This Row],[Cuenta]],Estructura_Balance[Nombre Cuenta ()],Estructura_Balance[Nivel 1],"",0)</f>
        <v/>
      </c>
      <c r="O701" t="str">
        <f>_xlfn.XLOOKUP(Table3[[#This Row],[Cuenta]],Estructura_Balance[Nombre Cuenta ()],Estructura_Balance[Nivel 2],"",0)</f>
        <v/>
      </c>
      <c r="P701" t="str">
        <f>_xlfn.XLOOKUP(Table3[[#This Row],[Cuenta]],Estructura_Balance[Nombre Cuenta ()],Estructura_Balance[Nivel 3],"",0)</f>
        <v/>
      </c>
      <c r="Q701" t="str">
        <f>_xlfn.XLOOKUP(Table3[[#This Row],[Cuenta]],Estructura_Balance[Nombre Cuenta ()],Estructura_Balance[Nivel 4],"",0)</f>
        <v/>
      </c>
      <c r="R701" t="str">
        <f>_xlfn.XLOOKUP(Table3[[#This Row],[Cuenta]],Table8[Nombre Cuenta ()],Table8[Nivel 1],"",0)</f>
        <v/>
      </c>
      <c r="S701" t="str">
        <f>_xlfn.XLOOKUP(Table3[[#This Row],[Cuenta]],Table8[Nombre Cuenta ()],Table8[Nivel 2],"",0)</f>
        <v/>
      </c>
      <c r="T701" t="str">
        <f>_xlfn.XLOOKUP(Table3[[#This Row],[Cuenta]],Table8[Nombre Cuenta ()],Table8[Nivel 3],"",0)</f>
        <v/>
      </c>
      <c r="U701">
        <v>1153</v>
      </c>
      <c r="V701" t="str">
        <f>_xlfn.XLOOKUP(Table3[[#This Row],[Cuenta]],Estructura_Balance[Nombre Cuenta ()],Estructura_Balance[Niveles:2],"",0)</f>
        <v/>
      </c>
      <c r="W701" t="str">
        <f>_xlfn.XLOOKUP(Table3[[#This Row],[Cuenta]],Estructura_Balance[Nombre Cuenta ()],Estructura_Balance[Niveles:3],"",0)</f>
        <v/>
      </c>
      <c r="X701" t="str">
        <f>_xlfn.XLOOKUP(Table3[[#This Row],[Cuenta]],Estructura_Balance[Nombre Cuenta ()],Estructura_Balance[Grupos],"Grupo 1",0)</f>
        <v>Grupo 1</v>
      </c>
      <c r="Y701" t="str">
        <f>+Table3[[#This Row],[BS_Nivel_1]]</f>
        <v/>
      </c>
    </row>
    <row r="702" spans="1:25">
      <c r="A702">
        <f>+'Libro Diario'!F916</f>
        <v>0</v>
      </c>
      <c r="B702" s="144">
        <f>VALUE(IF(+'Libro Diario'!G916="","01/01/2025",+'Libro Diario'!G916))</f>
        <v>45658</v>
      </c>
      <c r="C702">
        <f>IF(ISNUMBER(+IF(IFERROR(VALUE(MID('Libro Diario'!C916,1,4)),0)&lt;&gt;0,'Libro Diario'!C916,0))=FALSE,'Libro Diario'!C916,0)</f>
        <v>0</v>
      </c>
      <c r="D702" s="145">
        <f>+'Libro Diario'!B916</f>
        <v>0</v>
      </c>
      <c r="E702" s="139" t="s">
        <v>445</v>
      </c>
      <c r="F702" t="str">
        <f t="shared" si="30"/>
        <v>Sin Mov.</v>
      </c>
      <c r="G702" t="str">
        <f>IF(+'Libro Diario'!H916=0,"",+'Libro Diario'!H916)</f>
        <v/>
      </c>
      <c r="H702" t="str">
        <f>IF(+'Libro Diario'!I916=0,"",+'Libro Diario'!I916)</f>
        <v/>
      </c>
      <c r="I702" t="str">
        <f>+IF(Table3[[#This Row],[Tipo Movimiento]]="Estructura Balance y PyG","Excluir","Incluir")</f>
        <v>Incluir</v>
      </c>
      <c r="J702" s="153">
        <f>+IF(Table3[[#This Row],[Sin cuenta]]="Con Mov.",(IF(Table3[[#This Row],[Movimiento]]="Debe",Table3[[#This Row],[Importe]],IF(Table3[[#This Row],[Movimiento]]="Haber",Table3[[#This Row],[Importe]]*-1,0))),0)</f>
        <v>0</v>
      </c>
      <c r="K702" s="145">
        <f t="shared" si="31"/>
        <v>0</v>
      </c>
      <c r="L702" s="145" t="str">
        <f t="shared" si="32"/>
        <v/>
      </c>
      <c r="M702" t="str">
        <f>_xlfn.XLOOKUP(Table3[[#This Row],[Cuenta]],Estructura_Balance[Nombre Cuenta ()],Estructura_Balance[Grupo],"",0)</f>
        <v/>
      </c>
      <c r="N702" t="str">
        <f>_xlfn.XLOOKUP(Table3[[#This Row],[Cuenta]],Estructura_Balance[Nombre Cuenta ()],Estructura_Balance[Nivel 1],"",0)</f>
        <v/>
      </c>
      <c r="O702" t="str">
        <f>_xlfn.XLOOKUP(Table3[[#This Row],[Cuenta]],Estructura_Balance[Nombre Cuenta ()],Estructura_Balance[Nivel 2],"",0)</f>
        <v/>
      </c>
      <c r="P702" t="str">
        <f>_xlfn.XLOOKUP(Table3[[#This Row],[Cuenta]],Estructura_Balance[Nombre Cuenta ()],Estructura_Balance[Nivel 3],"",0)</f>
        <v/>
      </c>
      <c r="Q702" t="str">
        <f>_xlfn.XLOOKUP(Table3[[#This Row],[Cuenta]],Estructura_Balance[Nombre Cuenta ()],Estructura_Balance[Nivel 4],"",0)</f>
        <v/>
      </c>
      <c r="R702" t="str">
        <f>_xlfn.XLOOKUP(Table3[[#This Row],[Cuenta]],Table8[Nombre Cuenta ()],Table8[Nivel 1],"",0)</f>
        <v/>
      </c>
      <c r="S702" t="str">
        <f>_xlfn.XLOOKUP(Table3[[#This Row],[Cuenta]],Table8[Nombre Cuenta ()],Table8[Nivel 2],"",0)</f>
        <v/>
      </c>
      <c r="T702" t="str">
        <f>_xlfn.XLOOKUP(Table3[[#This Row],[Cuenta]],Table8[Nombre Cuenta ()],Table8[Nivel 3],"",0)</f>
        <v/>
      </c>
      <c r="U702">
        <v>1154</v>
      </c>
      <c r="V702" t="str">
        <f>_xlfn.XLOOKUP(Table3[[#This Row],[Cuenta]],Estructura_Balance[Nombre Cuenta ()],Estructura_Balance[Niveles:2],"",0)</f>
        <v/>
      </c>
      <c r="W702" t="str">
        <f>_xlfn.XLOOKUP(Table3[[#This Row],[Cuenta]],Estructura_Balance[Nombre Cuenta ()],Estructura_Balance[Niveles:3],"",0)</f>
        <v/>
      </c>
      <c r="X702" t="str">
        <f>_xlfn.XLOOKUP(Table3[[#This Row],[Cuenta]],Estructura_Balance[Nombre Cuenta ()],Estructura_Balance[Grupos],"Grupo 1",0)</f>
        <v>Grupo 1</v>
      </c>
      <c r="Y702" t="str">
        <f>+Table3[[#This Row],[BS_Nivel_1]]</f>
        <v/>
      </c>
    </row>
    <row r="703" spans="1:25">
      <c r="A703">
        <f>+'Libro Diario'!F917</f>
        <v>0</v>
      </c>
      <c r="B703" s="144">
        <f>VALUE(IF(+'Libro Diario'!G917="","01/01/2025",+'Libro Diario'!G917))</f>
        <v>45658</v>
      </c>
      <c r="C703">
        <f>IF(ISNUMBER(+IF(IFERROR(VALUE(MID('Libro Diario'!C917,1,4)),0)&lt;&gt;0,'Libro Diario'!C917,0))=FALSE,'Libro Diario'!C917,0)</f>
        <v>0</v>
      </c>
      <c r="D703" s="145">
        <f>+'Libro Diario'!B917</f>
        <v>0</v>
      </c>
      <c r="E703" s="139" t="s">
        <v>445</v>
      </c>
      <c r="F703" t="str">
        <f t="shared" si="30"/>
        <v>Sin Mov.</v>
      </c>
      <c r="G703" t="str">
        <f>IF(+'Libro Diario'!H917=0,"",+'Libro Diario'!H917)</f>
        <v/>
      </c>
      <c r="H703" t="str">
        <f>IF(+'Libro Diario'!I917=0,"",+'Libro Diario'!I917)</f>
        <v/>
      </c>
      <c r="I703" t="str">
        <f>+IF(Table3[[#This Row],[Tipo Movimiento]]="Estructura Balance y PyG","Excluir","Incluir")</f>
        <v>Incluir</v>
      </c>
      <c r="J703" s="153">
        <f>+IF(Table3[[#This Row],[Sin cuenta]]="Con Mov.",(IF(Table3[[#This Row],[Movimiento]]="Debe",Table3[[#This Row],[Importe]],IF(Table3[[#This Row],[Movimiento]]="Haber",Table3[[#This Row],[Importe]]*-1,0))),0)</f>
        <v>0</v>
      </c>
      <c r="K703" s="145">
        <f t="shared" si="31"/>
        <v>0</v>
      </c>
      <c r="L703" s="145" t="str">
        <f t="shared" si="32"/>
        <v/>
      </c>
      <c r="M703" t="str">
        <f>_xlfn.XLOOKUP(Table3[[#This Row],[Cuenta]],Estructura_Balance[Nombre Cuenta ()],Estructura_Balance[Grupo],"",0)</f>
        <v/>
      </c>
      <c r="N703" t="str">
        <f>_xlfn.XLOOKUP(Table3[[#This Row],[Cuenta]],Estructura_Balance[Nombre Cuenta ()],Estructura_Balance[Nivel 1],"",0)</f>
        <v/>
      </c>
      <c r="O703" t="str">
        <f>_xlfn.XLOOKUP(Table3[[#This Row],[Cuenta]],Estructura_Balance[Nombre Cuenta ()],Estructura_Balance[Nivel 2],"",0)</f>
        <v/>
      </c>
      <c r="P703" t="str">
        <f>_xlfn.XLOOKUP(Table3[[#This Row],[Cuenta]],Estructura_Balance[Nombre Cuenta ()],Estructura_Balance[Nivel 3],"",0)</f>
        <v/>
      </c>
      <c r="Q703" t="str">
        <f>_xlfn.XLOOKUP(Table3[[#This Row],[Cuenta]],Estructura_Balance[Nombre Cuenta ()],Estructura_Balance[Nivel 4],"",0)</f>
        <v/>
      </c>
      <c r="R703" t="str">
        <f>_xlfn.XLOOKUP(Table3[[#This Row],[Cuenta]],Table8[Nombre Cuenta ()],Table8[Nivel 1],"",0)</f>
        <v/>
      </c>
      <c r="S703" t="str">
        <f>_xlfn.XLOOKUP(Table3[[#This Row],[Cuenta]],Table8[Nombre Cuenta ()],Table8[Nivel 2],"",0)</f>
        <v/>
      </c>
      <c r="T703" t="str">
        <f>_xlfn.XLOOKUP(Table3[[#This Row],[Cuenta]],Table8[Nombre Cuenta ()],Table8[Nivel 3],"",0)</f>
        <v/>
      </c>
      <c r="U703">
        <v>1157</v>
      </c>
      <c r="V703" t="str">
        <f>_xlfn.XLOOKUP(Table3[[#This Row],[Cuenta]],Estructura_Balance[Nombre Cuenta ()],Estructura_Balance[Niveles:2],"",0)</f>
        <v/>
      </c>
      <c r="W703" t="str">
        <f>_xlfn.XLOOKUP(Table3[[#This Row],[Cuenta]],Estructura_Balance[Nombre Cuenta ()],Estructura_Balance[Niveles:3],"",0)</f>
        <v/>
      </c>
      <c r="X703" t="str">
        <f>_xlfn.XLOOKUP(Table3[[#This Row],[Cuenta]],Estructura_Balance[Nombre Cuenta ()],Estructura_Balance[Grupos],"Grupo 1",0)</f>
        <v>Grupo 1</v>
      </c>
      <c r="Y703" t="str">
        <f>+Table3[[#This Row],[BS_Nivel_1]]</f>
        <v/>
      </c>
    </row>
    <row r="704" spans="1:25">
      <c r="A704">
        <f>+'Libro Diario'!F918</f>
        <v>0</v>
      </c>
      <c r="B704" s="144">
        <f>VALUE(IF(+'Libro Diario'!G918="","01/01/2025",+'Libro Diario'!G918))</f>
        <v>45658</v>
      </c>
      <c r="C704">
        <f>IF(ISNUMBER(+IF(IFERROR(VALUE(MID('Libro Diario'!C918,1,4)),0)&lt;&gt;0,'Libro Diario'!C918,0))=FALSE,'Libro Diario'!C918,0)</f>
        <v>0</v>
      </c>
      <c r="D704" s="145">
        <f>+'Libro Diario'!B918</f>
        <v>0</v>
      </c>
      <c r="E704" s="139" t="s">
        <v>445</v>
      </c>
      <c r="F704" t="str">
        <f t="shared" si="30"/>
        <v>Sin Mov.</v>
      </c>
      <c r="G704" t="str">
        <f>IF(+'Libro Diario'!H918=0,"",+'Libro Diario'!H918)</f>
        <v/>
      </c>
      <c r="H704" t="str">
        <f>IF(+'Libro Diario'!I918=0,"",+'Libro Diario'!I918)</f>
        <v/>
      </c>
      <c r="I704" t="str">
        <f>+IF(Table3[[#This Row],[Tipo Movimiento]]="Estructura Balance y PyG","Excluir","Incluir")</f>
        <v>Incluir</v>
      </c>
      <c r="J704" s="153">
        <f>+IF(Table3[[#This Row],[Sin cuenta]]="Con Mov.",(IF(Table3[[#This Row],[Movimiento]]="Debe",Table3[[#This Row],[Importe]],IF(Table3[[#This Row],[Movimiento]]="Haber",Table3[[#This Row],[Importe]]*-1,0))),0)</f>
        <v>0</v>
      </c>
      <c r="K704" s="145">
        <f t="shared" si="31"/>
        <v>0</v>
      </c>
      <c r="L704" s="145" t="str">
        <f t="shared" si="32"/>
        <v/>
      </c>
      <c r="M704" t="str">
        <f>_xlfn.XLOOKUP(Table3[[#This Row],[Cuenta]],Estructura_Balance[Nombre Cuenta ()],Estructura_Balance[Grupo],"",0)</f>
        <v/>
      </c>
      <c r="N704" t="str">
        <f>_xlfn.XLOOKUP(Table3[[#This Row],[Cuenta]],Estructura_Balance[Nombre Cuenta ()],Estructura_Balance[Nivel 1],"",0)</f>
        <v/>
      </c>
      <c r="O704" t="str">
        <f>_xlfn.XLOOKUP(Table3[[#This Row],[Cuenta]],Estructura_Balance[Nombre Cuenta ()],Estructura_Balance[Nivel 2],"",0)</f>
        <v/>
      </c>
      <c r="P704" t="str">
        <f>_xlfn.XLOOKUP(Table3[[#This Row],[Cuenta]],Estructura_Balance[Nombre Cuenta ()],Estructura_Balance[Nivel 3],"",0)</f>
        <v/>
      </c>
      <c r="Q704" t="str">
        <f>_xlfn.XLOOKUP(Table3[[#This Row],[Cuenta]],Estructura_Balance[Nombre Cuenta ()],Estructura_Balance[Nivel 4],"",0)</f>
        <v/>
      </c>
      <c r="R704" t="str">
        <f>_xlfn.XLOOKUP(Table3[[#This Row],[Cuenta]],Table8[Nombre Cuenta ()],Table8[Nivel 1],"",0)</f>
        <v/>
      </c>
      <c r="S704" t="str">
        <f>_xlfn.XLOOKUP(Table3[[#This Row],[Cuenta]],Table8[Nombre Cuenta ()],Table8[Nivel 2],"",0)</f>
        <v/>
      </c>
      <c r="T704" t="str">
        <f>_xlfn.XLOOKUP(Table3[[#This Row],[Cuenta]],Table8[Nombre Cuenta ()],Table8[Nivel 3],"",0)</f>
        <v/>
      </c>
      <c r="U704">
        <v>1158</v>
      </c>
      <c r="V704" t="str">
        <f>_xlfn.XLOOKUP(Table3[[#This Row],[Cuenta]],Estructura_Balance[Nombre Cuenta ()],Estructura_Balance[Niveles:2],"",0)</f>
        <v/>
      </c>
      <c r="W704" t="str">
        <f>_xlfn.XLOOKUP(Table3[[#This Row],[Cuenta]],Estructura_Balance[Nombre Cuenta ()],Estructura_Balance[Niveles:3],"",0)</f>
        <v/>
      </c>
      <c r="X704" t="str">
        <f>_xlfn.XLOOKUP(Table3[[#This Row],[Cuenta]],Estructura_Balance[Nombre Cuenta ()],Estructura_Balance[Grupos],"Grupo 1",0)</f>
        <v>Grupo 1</v>
      </c>
      <c r="Y704" t="str">
        <f>+Table3[[#This Row],[BS_Nivel_1]]</f>
        <v/>
      </c>
    </row>
    <row r="705" spans="1:25">
      <c r="A705">
        <f>+'Libro Diario'!F919</f>
        <v>0</v>
      </c>
      <c r="B705" s="144">
        <f>VALUE(IF(+'Libro Diario'!G919="","01/01/2025",+'Libro Diario'!G919))</f>
        <v>45658</v>
      </c>
      <c r="C705">
        <f>IF(ISNUMBER(+IF(IFERROR(VALUE(MID('Libro Diario'!C919,1,4)),0)&lt;&gt;0,'Libro Diario'!C919,0))=FALSE,'Libro Diario'!C919,0)</f>
        <v>0</v>
      </c>
      <c r="D705" s="145">
        <f>+'Libro Diario'!B919</f>
        <v>0</v>
      </c>
      <c r="E705" s="139" t="s">
        <v>445</v>
      </c>
      <c r="F705" t="str">
        <f t="shared" si="30"/>
        <v>Sin Mov.</v>
      </c>
      <c r="G705" t="str">
        <f>IF(+'Libro Diario'!H919=0,"",+'Libro Diario'!H919)</f>
        <v/>
      </c>
      <c r="H705" t="str">
        <f>IF(+'Libro Diario'!I919=0,"",+'Libro Diario'!I919)</f>
        <v/>
      </c>
      <c r="I705" t="str">
        <f>+IF(Table3[[#This Row],[Tipo Movimiento]]="Estructura Balance y PyG","Excluir","Incluir")</f>
        <v>Incluir</v>
      </c>
      <c r="J705" s="153">
        <f>+IF(Table3[[#This Row],[Sin cuenta]]="Con Mov.",(IF(Table3[[#This Row],[Movimiento]]="Debe",Table3[[#This Row],[Importe]],IF(Table3[[#This Row],[Movimiento]]="Haber",Table3[[#This Row],[Importe]]*-1,0))),0)</f>
        <v>0</v>
      </c>
      <c r="K705" s="145">
        <f t="shared" si="31"/>
        <v>0</v>
      </c>
      <c r="L705" s="145" t="str">
        <f t="shared" si="32"/>
        <v/>
      </c>
      <c r="M705" t="str">
        <f>_xlfn.XLOOKUP(Table3[[#This Row],[Cuenta]],Estructura_Balance[Nombre Cuenta ()],Estructura_Balance[Grupo],"",0)</f>
        <v/>
      </c>
      <c r="N705" t="str">
        <f>_xlfn.XLOOKUP(Table3[[#This Row],[Cuenta]],Estructura_Balance[Nombre Cuenta ()],Estructura_Balance[Nivel 1],"",0)</f>
        <v/>
      </c>
      <c r="O705" t="str">
        <f>_xlfn.XLOOKUP(Table3[[#This Row],[Cuenta]],Estructura_Balance[Nombre Cuenta ()],Estructura_Balance[Nivel 2],"",0)</f>
        <v/>
      </c>
      <c r="P705" t="str">
        <f>_xlfn.XLOOKUP(Table3[[#This Row],[Cuenta]],Estructura_Balance[Nombre Cuenta ()],Estructura_Balance[Nivel 3],"",0)</f>
        <v/>
      </c>
      <c r="Q705" t="str">
        <f>_xlfn.XLOOKUP(Table3[[#This Row],[Cuenta]],Estructura_Balance[Nombre Cuenta ()],Estructura_Balance[Nivel 4],"",0)</f>
        <v/>
      </c>
      <c r="R705" t="str">
        <f>_xlfn.XLOOKUP(Table3[[#This Row],[Cuenta]],Table8[Nombre Cuenta ()],Table8[Nivel 1],"",0)</f>
        <v/>
      </c>
      <c r="S705" t="str">
        <f>_xlfn.XLOOKUP(Table3[[#This Row],[Cuenta]],Table8[Nombre Cuenta ()],Table8[Nivel 2],"",0)</f>
        <v/>
      </c>
      <c r="T705" t="str">
        <f>_xlfn.XLOOKUP(Table3[[#This Row],[Cuenta]],Table8[Nombre Cuenta ()],Table8[Nivel 3],"",0)</f>
        <v/>
      </c>
      <c r="U705">
        <v>1159</v>
      </c>
      <c r="V705" t="str">
        <f>_xlfn.XLOOKUP(Table3[[#This Row],[Cuenta]],Estructura_Balance[Nombre Cuenta ()],Estructura_Balance[Niveles:2],"",0)</f>
        <v/>
      </c>
      <c r="W705" t="str">
        <f>_xlfn.XLOOKUP(Table3[[#This Row],[Cuenta]],Estructura_Balance[Nombre Cuenta ()],Estructura_Balance[Niveles:3],"",0)</f>
        <v/>
      </c>
      <c r="X705" t="str">
        <f>_xlfn.XLOOKUP(Table3[[#This Row],[Cuenta]],Estructura_Balance[Nombre Cuenta ()],Estructura_Balance[Grupos],"Grupo 1",0)</f>
        <v>Grupo 1</v>
      </c>
      <c r="Y705" t="str">
        <f>+Table3[[#This Row],[BS_Nivel_1]]</f>
        <v/>
      </c>
    </row>
    <row r="706" spans="1:25">
      <c r="A706">
        <f>+'Libro Diario'!F920</f>
        <v>0</v>
      </c>
      <c r="B706" s="144">
        <f>VALUE(IF(+'Libro Diario'!G920="","01/01/2025",+'Libro Diario'!G920))</f>
        <v>45658</v>
      </c>
      <c r="C706">
        <f>IF(ISNUMBER(+IF(IFERROR(VALUE(MID('Libro Diario'!C920,1,4)),0)&lt;&gt;0,'Libro Diario'!C920,0))=FALSE,'Libro Diario'!C920,0)</f>
        <v>0</v>
      </c>
      <c r="D706" s="145">
        <f>+'Libro Diario'!B920</f>
        <v>0</v>
      </c>
      <c r="E706" s="139" t="s">
        <v>445</v>
      </c>
      <c r="F706" t="str">
        <f t="shared" si="30"/>
        <v>Sin Mov.</v>
      </c>
      <c r="G706" t="str">
        <f>IF(+'Libro Diario'!H920=0,"",+'Libro Diario'!H920)</f>
        <v/>
      </c>
      <c r="H706" t="str">
        <f>IF(+'Libro Diario'!I920=0,"",+'Libro Diario'!I920)</f>
        <v/>
      </c>
      <c r="I706" t="str">
        <f>+IF(Table3[[#This Row],[Tipo Movimiento]]="Estructura Balance y PyG","Excluir","Incluir")</f>
        <v>Incluir</v>
      </c>
      <c r="J706" s="153">
        <f>+IF(Table3[[#This Row],[Sin cuenta]]="Con Mov.",(IF(Table3[[#This Row],[Movimiento]]="Debe",Table3[[#This Row],[Importe]],IF(Table3[[#This Row],[Movimiento]]="Haber",Table3[[#This Row],[Importe]]*-1,0))),0)</f>
        <v>0</v>
      </c>
      <c r="K706" s="145">
        <f t="shared" si="31"/>
        <v>0</v>
      </c>
      <c r="L706" s="145" t="str">
        <f t="shared" si="32"/>
        <v/>
      </c>
      <c r="M706" t="str">
        <f>_xlfn.XLOOKUP(Table3[[#This Row],[Cuenta]],Estructura_Balance[Nombre Cuenta ()],Estructura_Balance[Grupo],"",0)</f>
        <v/>
      </c>
      <c r="N706" t="str">
        <f>_xlfn.XLOOKUP(Table3[[#This Row],[Cuenta]],Estructura_Balance[Nombre Cuenta ()],Estructura_Balance[Nivel 1],"",0)</f>
        <v/>
      </c>
      <c r="O706" t="str">
        <f>_xlfn.XLOOKUP(Table3[[#This Row],[Cuenta]],Estructura_Balance[Nombre Cuenta ()],Estructura_Balance[Nivel 2],"",0)</f>
        <v/>
      </c>
      <c r="P706" t="str">
        <f>_xlfn.XLOOKUP(Table3[[#This Row],[Cuenta]],Estructura_Balance[Nombre Cuenta ()],Estructura_Balance[Nivel 3],"",0)</f>
        <v/>
      </c>
      <c r="Q706" t="str">
        <f>_xlfn.XLOOKUP(Table3[[#This Row],[Cuenta]],Estructura_Balance[Nombre Cuenta ()],Estructura_Balance[Nivel 4],"",0)</f>
        <v/>
      </c>
      <c r="R706" t="str">
        <f>_xlfn.XLOOKUP(Table3[[#This Row],[Cuenta]],Table8[Nombre Cuenta ()],Table8[Nivel 1],"",0)</f>
        <v/>
      </c>
      <c r="S706" t="str">
        <f>_xlfn.XLOOKUP(Table3[[#This Row],[Cuenta]],Table8[Nombre Cuenta ()],Table8[Nivel 2],"",0)</f>
        <v/>
      </c>
      <c r="T706" t="str">
        <f>_xlfn.XLOOKUP(Table3[[#This Row],[Cuenta]],Table8[Nombre Cuenta ()],Table8[Nivel 3],"",0)</f>
        <v/>
      </c>
      <c r="U706">
        <v>1160</v>
      </c>
      <c r="V706" t="str">
        <f>_xlfn.XLOOKUP(Table3[[#This Row],[Cuenta]],Estructura_Balance[Nombre Cuenta ()],Estructura_Balance[Niveles:2],"",0)</f>
        <v/>
      </c>
      <c r="W706" t="str">
        <f>_xlfn.XLOOKUP(Table3[[#This Row],[Cuenta]],Estructura_Balance[Nombre Cuenta ()],Estructura_Balance[Niveles:3],"",0)</f>
        <v/>
      </c>
      <c r="X706" t="str">
        <f>_xlfn.XLOOKUP(Table3[[#This Row],[Cuenta]],Estructura_Balance[Nombre Cuenta ()],Estructura_Balance[Grupos],"Grupo 1",0)</f>
        <v>Grupo 1</v>
      </c>
      <c r="Y706" t="str">
        <f>+Table3[[#This Row],[BS_Nivel_1]]</f>
        <v/>
      </c>
    </row>
    <row r="707" spans="1:25">
      <c r="A707">
        <f>+'Libro Diario'!F921</f>
        <v>0</v>
      </c>
      <c r="B707" s="144">
        <f>VALUE(IF(+'Libro Diario'!G921="","01/01/2025",+'Libro Diario'!G921))</f>
        <v>45658</v>
      </c>
      <c r="C707">
        <f>IF(ISNUMBER(+IF(IFERROR(VALUE(MID('Libro Diario'!C921,1,4)),0)&lt;&gt;0,'Libro Diario'!C921,0))=FALSE,'Libro Diario'!C921,0)</f>
        <v>0</v>
      </c>
      <c r="D707" s="145">
        <f>+'Libro Diario'!B921</f>
        <v>0</v>
      </c>
      <c r="E707" s="139" t="s">
        <v>445</v>
      </c>
      <c r="F707" t="str">
        <f t="shared" ref="F707:F770" si="33">+IF(C707=0,"Sin Mov.","Con Mov.")</f>
        <v>Sin Mov.</v>
      </c>
      <c r="G707" t="str">
        <f>IF(+'Libro Diario'!H921=0,"",+'Libro Diario'!H921)</f>
        <v/>
      </c>
      <c r="H707" t="str">
        <f>IF(+'Libro Diario'!I921=0,"",+'Libro Diario'!I921)</f>
        <v/>
      </c>
      <c r="I707" t="str">
        <f>+IF(Table3[[#This Row],[Tipo Movimiento]]="Estructura Balance y PyG","Excluir","Incluir")</f>
        <v>Incluir</v>
      </c>
      <c r="J707" s="153">
        <f>+IF(Table3[[#This Row],[Sin cuenta]]="Con Mov.",(IF(Table3[[#This Row],[Movimiento]]="Debe",Table3[[#This Row],[Importe]],IF(Table3[[#This Row],[Movimiento]]="Haber",Table3[[#This Row],[Importe]]*-1,0))),0)</f>
        <v>0</v>
      </c>
      <c r="K707" s="145">
        <f t="shared" ref="K707:K770" si="34">+IF(E707="Debe",D707,"")</f>
        <v>0</v>
      </c>
      <c r="L707" s="145" t="str">
        <f t="shared" ref="L707:L770" si="35">+IF(E707="Haber",D707,"")</f>
        <v/>
      </c>
      <c r="M707" t="str">
        <f>_xlfn.XLOOKUP(Table3[[#This Row],[Cuenta]],Estructura_Balance[Nombre Cuenta ()],Estructura_Balance[Grupo],"",0)</f>
        <v/>
      </c>
      <c r="N707" t="str">
        <f>_xlfn.XLOOKUP(Table3[[#This Row],[Cuenta]],Estructura_Balance[Nombre Cuenta ()],Estructura_Balance[Nivel 1],"",0)</f>
        <v/>
      </c>
      <c r="O707" t="str">
        <f>_xlfn.XLOOKUP(Table3[[#This Row],[Cuenta]],Estructura_Balance[Nombre Cuenta ()],Estructura_Balance[Nivel 2],"",0)</f>
        <v/>
      </c>
      <c r="P707" t="str">
        <f>_xlfn.XLOOKUP(Table3[[#This Row],[Cuenta]],Estructura_Balance[Nombre Cuenta ()],Estructura_Balance[Nivel 3],"",0)</f>
        <v/>
      </c>
      <c r="Q707" t="str">
        <f>_xlfn.XLOOKUP(Table3[[#This Row],[Cuenta]],Estructura_Balance[Nombre Cuenta ()],Estructura_Balance[Nivel 4],"",0)</f>
        <v/>
      </c>
      <c r="R707" t="str">
        <f>_xlfn.XLOOKUP(Table3[[#This Row],[Cuenta]],Table8[Nombre Cuenta ()],Table8[Nivel 1],"",0)</f>
        <v/>
      </c>
      <c r="S707" t="str">
        <f>_xlfn.XLOOKUP(Table3[[#This Row],[Cuenta]],Table8[Nombre Cuenta ()],Table8[Nivel 2],"",0)</f>
        <v/>
      </c>
      <c r="T707" t="str">
        <f>_xlfn.XLOOKUP(Table3[[#This Row],[Cuenta]],Table8[Nombre Cuenta ()],Table8[Nivel 3],"",0)</f>
        <v/>
      </c>
      <c r="U707">
        <v>1161</v>
      </c>
      <c r="V707" t="str">
        <f>_xlfn.XLOOKUP(Table3[[#This Row],[Cuenta]],Estructura_Balance[Nombre Cuenta ()],Estructura_Balance[Niveles:2],"",0)</f>
        <v/>
      </c>
      <c r="W707" t="str">
        <f>_xlfn.XLOOKUP(Table3[[#This Row],[Cuenta]],Estructura_Balance[Nombre Cuenta ()],Estructura_Balance[Niveles:3],"",0)</f>
        <v/>
      </c>
      <c r="X707" t="str">
        <f>_xlfn.XLOOKUP(Table3[[#This Row],[Cuenta]],Estructura_Balance[Nombre Cuenta ()],Estructura_Balance[Grupos],"Grupo 1",0)</f>
        <v>Grupo 1</v>
      </c>
      <c r="Y707" t="str">
        <f>+Table3[[#This Row],[BS_Nivel_1]]</f>
        <v/>
      </c>
    </row>
    <row r="708" spans="1:25">
      <c r="A708">
        <f>+'Libro Diario'!F922</f>
        <v>0</v>
      </c>
      <c r="B708" s="144">
        <f>VALUE(IF(+'Libro Diario'!G922="","01/01/2025",+'Libro Diario'!G922))</f>
        <v>45658</v>
      </c>
      <c r="C708">
        <f>IF(ISNUMBER(+IF(IFERROR(VALUE(MID('Libro Diario'!C922,1,4)),0)&lt;&gt;0,'Libro Diario'!C922,0))=FALSE,'Libro Diario'!C922,0)</f>
        <v>0</v>
      </c>
      <c r="D708" s="145">
        <f>+'Libro Diario'!B922</f>
        <v>0</v>
      </c>
      <c r="E708" s="139" t="s">
        <v>445</v>
      </c>
      <c r="F708" t="str">
        <f t="shared" si="33"/>
        <v>Sin Mov.</v>
      </c>
      <c r="G708" t="str">
        <f>IF(+'Libro Diario'!H922=0,"",+'Libro Diario'!H922)</f>
        <v/>
      </c>
      <c r="H708" t="str">
        <f>IF(+'Libro Diario'!I922=0,"",+'Libro Diario'!I922)</f>
        <v/>
      </c>
      <c r="I708" t="str">
        <f>+IF(Table3[[#This Row],[Tipo Movimiento]]="Estructura Balance y PyG","Excluir","Incluir")</f>
        <v>Incluir</v>
      </c>
      <c r="J708" s="153">
        <f>+IF(Table3[[#This Row],[Sin cuenta]]="Con Mov.",(IF(Table3[[#This Row],[Movimiento]]="Debe",Table3[[#This Row],[Importe]],IF(Table3[[#This Row],[Movimiento]]="Haber",Table3[[#This Row],[Importe]]*-1,0))),0)</f>
        <v>0</v>
      </c>
      <c r="K708" s="145">
        <f t="shared" si="34"/>
        <v>0</v>
      </c>
      <c r="L708" s="145" t="str">
        <f t="shared" si="35"/>
        <v/>
      </c>
      <c r="M708" t="str">
        <f>_xlfn.XLOOKUP(Table3[[#This Row],[Cuenta]],Estructura_Balance[Nombre Cuenta ()],Estructura_Balance[Grupo],"",0)</f>
        <v/>
      </c>
      <c r="N708" t="str">
        <f>_xlfn.XLOOKUP(Table3[[#This Row],[Cuenta]],Estructura_Balance[Nombre Cuenta ()],Estructura_Balance[Nivel 1],"",0)</f>
        <v/>
      </c>
      <c r="O708" t="str">
        <f>_xlfn.XLOOKUP(Table3[[#This Row],[Cuenta]],Estructura_Balance[Nombre Cuenta ()],Estructura_Balance[Nivel 2],"",0)</f>
        <v/>
      </c>
      <c r="P708" t="str">
        <f>_xlfn.XLOOKUP(Table3[[#This Row],[Cuenta]],Estructura_Balance[Nombre Cuenta ()],Estructura_Balance[Nivel 3],"",0)</f>
        <v/>
      </c>
      <c r="Q708" t="str">
        <f>_xlfn.XLOOKUP(Table3[[#This Row],[Cuenta]],Estructura_Balance[Nombre Cuenta ()],Estructura_Balance[Nivel 4],"",0)</f>
        <v/>
      </c>
      <c r="R708" t="str">
        <f>_xlfn.XLOOKUP(Table3[[#This Row],[Cuenta]],Table8[Nombre Cuenta ()],Table8[Nivel 1],"",0)</f>
        <v/>
      </c>
      <c r="S708" t="str">
        <f>_xlfn.XLOOKUP(Table3[[#This Row],[Cuenta]],Table8[Nombre Cuenta ()],Table8[Nivel 2],"",0)</f>
        <v/>
      </c>
      <c r="T708" t="str">
        <f>_xlfn.XLOOKUP(Table3[[#This Row],[Cuenta]],Table8[Nombre Cuenta ()],Table8[Nivel 3],"",0)</f>
        <v/>
      </c>
      <c r="U708">
        <v>1164</v>
      </c>
      <c r="V708" t="str">
        <f>_xlfn.XLOOKUP(Table3[[#This Row],[Cuenta]],Estructura_Balance[Nombre Cuenta ()],Estructura_Balance[Niveles:2],"",0)</f>
        <v/>
      </c>
      <c r="W708" t="str">
        <f>_xlfn.XLOOKUP(Table3[[#This Row],[Cuenta]],Estructura_Balance[Nombre Cuenta ()],Estructura_Balance[Niveles:3],"",0)</f>
        <v/>
      </c>
      <c r="X708" t="str">
        <f>_xlfn.XLOOKUP(Table3[[#This Row],[Cuenta]],Estructura_Balance[Nombre Cuenta ()],Estructura_Balance[Grupos],"Grupo 1",0)</f>
        <v>Grupo 1</v>
      </c>
      <c r="Y708" t="str">
        <f>+Table3[[#This Row],[BS_Nivel_1]]</f>
        <v/>
      </c>
    </row>
    <row r="709" spans="1:25">
      <c r="A709">
        <f>+'Libro Diario'!F923</f>
        <v>0</v>
      </c>
      <c r="B709" s="144">
        <f>VALUE(IF(+'Libro Diario'!G923="","01/01/2025",+'Libro Diario'!G923))</f>
        <v>45658</v>
      </c>
      <c r="C709">
        <f>IF(ISNUMBER(+IF(IFERROR(VALUE(MID('Libro Diario'!C923,1,4)),0)&lt;&gt;0,'Libro Diario'!C923,0))=FALSE,'Libro Diario'!C923,0)</f>
        <v>0</v>
      </c>
      <c r="D709" s="145">
        <f>+'Libro Diario'!B923</f>
        <v>0</v>
      </c>
      <c r="E709" s="139" t="s">
        <v>445</v>
      </c>
      <c r="F709" t="str">
        <f t="shared" si="33"/>
        <v>Sin Mov.</v>
      </c>
      <c r="G709" t="str">
        <f>IF(+'Libro Diario'!H923=0,"",+'Libro Diario'!H923)</f>
        <v/>
      </c>
      <c r="H709" t="str">
        <f>IF(+'Libro Diario'!I923=0,"",+'Libro Diario'!I923)</f>
        <v/>
      </c>
      <c r="I709" t="str">
        <f>+IF(Table3[[#This Row],[Tipo Movimiento]]="Estructura Balance y PyG","Excluir","Incluir")</f>
        <v>Incluir</v>
      </c>
      <c r="J709" s="153">
        <f>+IF(Table3[[#This Row],[Sin cuenta]]="Con Mov.",(IF(Table3[[#This Row],[Movimiento]]="Debe",Table3[[#This Row],[Importe]],IF(Table3[[#This Row],[Movimiento]]="Haber",Table3[[#This Row],[Importe]]*-1,0))),0)</f>
        <v>0</v>
      </c>
      <c r="K709" s="145">
        <f t="shared" si="34"/>
        <v>0</v>
      </c>
      <c r="L709" s="145" t="str">
        <f t="shared" si="35"/>
        <v/>
      </c>
      <c r="M709" t="str">
        <f>_xlfn.XLOOKUP(Table3[[#This Row],[Cuenta]],Estructura_Balance[Nombre Cuenta ()],Estructura_Balance[Grupo],"",0)</f>
        <v/>
      </c>
      <c r="N709" t="str">
        <f>_xlfn.XLOOKUP(Table3[[#This Row],[Cuenta]],Estructura_Balance[Nombre Cuenta ()],Estructura_Balance[Nivel 1],"",0)</f>
        <v/>
      </c>
      <c r="O709" t="str">
        <f>_xlfn.XLOOKUP(Table3[[#This Row],[Cuenta]],Estructura_Balance[Nombre Cuenta ()],Estructura_Balance[Nivel 2],"",0)</f>
        <v/>
      </c>
      <c r="P709" t="str">
        <f>_xlfn.XLOOKUP(Table3[[#This Row],[Cuenta]],Estructura_Balance[Nombre Cuenta ()],Estructura_Balance[Nivel 3],"",0)</f>
        <v/>
      </c>
      <c r="Q709" t="str">
        <f>_xlfn.XLOOKUP(Table3[[#This Row],[Cuenta]],Estructura_Balance[Nombre Cuenta ()],Estructura_Balance[Nivel 4],"",0)</f>
        <v/>
      </c>
      <c r="R709" t="str">
        <f>_xlfn.XLOOKUP(Table3[[#This Row],[Cuenta]],Table8[Nombre Cuenta ()],Table8[Nivel 1],"",0)</f>
        <v/>
      </c>
      <c r="S709" t="str">
        <f>_xlfn.XLOOKUP(Table3[[#This Row],[Cuenta]],Table8[Nombre Cuenta ()],Table8[Nivel 2],"",0)</f>
        <v/>
      </c>
      <c r="T709" t="str">
        <f>_xlfn.XLOOKUP(Table3[[#This Row],[Cuenta]],Table8[Nombre Cuenta ()],Table8[Nivel 3],"",0)</f>
        <v/>
      </c>
      <c r="U709">
        <v>1165</v>
      </c>
      <c r="V709" t="str">
        <f>_xlfn.XLOOKUP(Table3[[#This Row],[Cuenta]],Estructura_Balance[Nombre Cuenta ()],Estructura_Balance[Niveles:2],"",0)</f>
        <v/>
      </c>
      <c r="W709" t="str">
        <f>_xlfn.XLOOKUP(Table3[[#This Row],[Cuenta]],Estructura_Balance[Nombre Cuenta ()],Estructura_Balance[Niveles:3],"",0)</f>
        <v/>
      </c>
      <c r="X709" t="str">
        <f>_xlfn.XLOOKUP(Table3[[#This Row],[Cuenta]],Estructura_Balance[Nombre Cuenta ()],Estructura_Balance[Grupos],"Grupo 1",0)</f>
        <v>Grupo 1</v>
      </c>
      <c r="Y709" t="str">
        <f>+Table3[[#This Row],[BS_Nivel_1]]</f>
        <v/>
      </c>
    </row>
    <row r="710" spans="1:25">
      <c r="A710">
        <f>+'Libro Diario'!F924</f>
        <v>0</v>
      </c>
      <c r="B710" s="144">
        <f>VALUE(IF(+'Libro Diario'!G924="","01/01/2025",+'Libro Diario'!G924))</f>
        <v>45658</v>
      </c>
      <c r="C710">
        <f>IF(ISNUMBER(+IF(IFERROR(VALUE(MID('Libro Diario'!C924,1,4)),0)&lt;&gt;0,'Libro Diario'!C924,0))=FALSE,'Libro Diario'!C924,0)</f>
        <v>0</v>
      </c>
      <c r="D710" s="145">
        <f>+'Libro Diario'!B924</f>
        <v>0</v>
      </c>
      <c r="E710" s="139" t="s">
        <v>445</v>
      </c>
      <c r="F710" t="str">
        <f t="shared" si="33"/>
        <v>Sin Mov.</v>
      </c>
      <c r="G710" t="str">
        <f>IF(+'Libro Diario'!H924=0,"",+'Libro Diario'!H924)</f>
        <v/>
      </c>
      <c r="H710" t="str">
        <f>IF(+'Libro Diario'!I924=0,"",+'Libro Diario'!I924)</f>
        <v/>
      </c>
      <c r="I710" t="str">
        <f>+IF(Table3[[#This Row],[Tipo Movimiento]]="Estructura Balance y PyG","Excluir","Incluir")</f>
        <v>Incluir</v>
      </c>
      <c r="J710" s="153">
        <f>+IF(Table3[[#This Row],[Sin cuenta]]="Con Mov.",(IF(Table3[[#This Row],[Movimiento]]="Debe",Table3[[#This Row],[Importe]],IF(Table3[[#This Row],[Movimiento]]="Haber",Table3[[#This Row],[Importe]]*-1,0))),0)</f>
        <v>0</v>
      </c>
      <c r="K710" s="145">
        <f t="shared" si="34"/>
        <v>0</v>
      </c>
      <c r="L710" s="145" t="str">
        <f t="shared" si="35"/>
        <v/>
      </c>
      <c r="M710" t="str">
        <f>_xlfn.XLOOKUP(Table3[[#This Row],[Cuenta]],Estructura_Balance[Nombre Cuenta ()],Estructura_Balance[Grupo],"",0)</f>
        <v/>
      </c>
      <c r="N710" t="str">
        <f>_xlfn.XLOOKUP(Table3[[#This Row],[Cuenta]],Estructura_Balance[Nombre Cuenta ()],Estructura_Balance[Nivel 1],"",0)</f>
        <v/>
      </c>
      <c r="O710" t="str">
        <f>_xlfn.XLOOKUP(Table3[[#This Row],[Cuenta]],Estructura_Balance[Nombre Cuenta ()],Estructura_Balance[Nivel 2],"",0)</f>
        <v/>
      </c>
      <c r="P710" t="str">
        <f>_xlfn.XLOOKUP(Table3[[#This Row],[Cuenta]],Estructura_Balance[Nombre Cuenta ()],Estructura_Balance[Nivel 3],"",0)</f>
        <v/>
      </c>
      <c r="Q710" t="str">
        <f>_xlfn.XLOOKUP(Table3[[#This Row],[Cuenta]],Estructura_Balance[Nombre Cuenta ()],Estructura_Balance[Nivel 4],"",0)</f>
        <v/>
      </c>
      <c r="R710" t="str">
        <f>_xlfn.XLOOKUP(Table3[[#This Row],[Cuenta]],Table8[Nombre Cuenta ()],Table8[Nivel 1],"",0)</f>
        <v/>
      </c>
      <c r="S710" t="str">
        <f>_xlfn.XLOOKUP(Table3[[#This Row],[Cuenta]],Table8[Nombre Cuenta ()],Table8[Nivel 2],"",0)</f>
        <v/>
      </c>
      <c r="T710" t="str">
        <f>_xlfn.XLOOKUP(Table3[[#This Row],[Cuenta]],Table8[Nombre Cuenta ()],Table8[Nivel 3],"",0)</f>
        <v/>
      </c>
      <c r="U710">
        <v>1166</v>
      </c>
      <c r="V710" t="str">
        <f>_xlfn.XLOOKUP(Table3[[#This Row],[Cuenta]],Estructura_Balance[Nombre Cuenta ()],Estructura_Balance[Niveles:2],"",0)</f>
        <v/>
      </c>
      <c r="W710" t="str">
        <f>_xlfn.XLOOKUP(Table3[[#This Row],[Cuenta]],Estructura_Balance[Nombre Cuenta ()],Estructura_Balance[Niveles:3],"",0)</f>
        <v/>
      </c>
      <c r="X710" t="str">
        <f>_xlfn.XLOOKUP(Table3[[#This Row],[Cuenta]],Estructura_Balance[Nombre Cuenta ()],Estructura_Balance[Grupos],"Grupo 1",0)</f>
        <v>Grupo 1</v>
      </c>
      <c r="Y710" t="str">
        <f>+Table3[[#This Row],[BS_Nivel_1]]</f>
        <v/>
      </c>
    </row>
    <row r="711" spans="1:25">
      <c r="A711">
        <f>+'Libro Diario'!F925</f>
        <v>0</v>
      </c>
      <c r="B711" s="144">
        <f>VALUE(IF(+'Libro Diario'!G925="","01/01/2025",+'Libro Diario'!G925))</f>
        <v>45658</v>
      </c>
      <c r="C711">
        <f>IF(ISNUMBER(+IF(IFERROR(VALUE(MID('Libro Diario'!C925,1,4)),0)&lt;&gt;0,'Libro Diario'!C925,0))=FALSE,'Libro Diario'!C925,0)</f>
        <v>0</v>
      </c>
      <c r="D711" s="145">
        <f>+'Libro Diario'!B925</f>
        <v>0</v>
      </c>
      <c r="E711" s="139" t="s">
        <v>445</v>
      </c>
      <c r="F711" t="str">
        <f t="shared" si="33"/>
        <v>Sin Mov.</v>
      </c>
      <c r="G711" t="str">
        <f>IF(+'Libro Diario'!H925=0,"",+'Libro Diario'!H925)</f>
        <v/>
      </c>
      <c r="H711" t="str">
        <f>IF(+'Libro Diario'!I925=0,"",+'Libro Diario'!I925)</f>
        <v/>
      </c>
      <c r="I711" t="str">
        <f>+IF(Table3[[#This Row],[Tipo Movimiento]]="Estructura Balance y PyG","Excluir","Incluir")</f>
        <v>Incluir</v>
      </c>
      <c r="J711" s="153">
        <f>+IF(Table3[[#This Row],[Sin cuenta]]="Con Mov.",(IF(Table3[[#This Row],[Movimiento]]="Debe",Table3[[#This Row],[Importe]],IF(Table3[[#This Row],[Movimiento]]="Haber",Table3[[#This Row],[Importe]]*-1,0))),0)</f>
        <v>0</v>
      </c>
      <c r="K711" s="145">
        <f t="shared" si="34"/>
        <v>0</v>
      </c>
      <c r="L711" s="145" t="str">
        <f t="shared" si="35"/>
        <v/>
      </c>
      <c r="M711" t="str">
        <f>_xlfn.XLOOKUP(Table3[[#This Row],[Cuenta]],Estructura_Balance[Nombre Cuenta ()],Estructura_Balance[Grupo],"",0)</f>
        <v/>
      </c>
      <c r="N711" t="str">
        <f>_xlfn.XLOOKUP(Table3[[#This Row],[Cuenta]],Estructura_Balance[Nombre Cuenta ()],Estructura_Balance[Nivel 1],"",0)</f>
        <v/>
      </c>
      <c r="O711" t="str">
        <f>_xlfn.XLOOKUP(Table3[[#This Row],[Cuenta]],Estructura_Balance[Nombre Cuenta ()],Estructura_Balance[Nivel 2],"",0)</f>
        <v/>
      </c>
      <c r="P711" t="str">
        <f>_xlfn.XLOOKUP(Table3[[#This Row],[Cuenta]],Estructura_Balance[Nombre Cuenta ()],Estructura_Balance[Nivel 3],"",0)</f>
        <v/>
      </c>
      <c r="Q711" t="str">
        <f>_xlfn.XLOOKUP(Table3[[#This Row],[Cuenta]],Estructura_Balance[Nombre Cuenta ()],Estructura_Balance[Nivel 4],"",0)</f>
        <v/>
      </c>
      <c r="R711" t="str">
        <f>_xlfn.XLOOKUP(Table3[[#This Row],[Cuenta]],Table8[Nombre Cuenta ()],Table8[Nivel 1],"",0)</f>
        <v/>
      </c>
      <c r="S711" t="str">
        <f>_xlfn.XLOOKUP(Table3[[#This Row],[Cuenta]],Table8[Nombre Cuenta ()],Table8[Nivel 2],"",0)</f>
        <v/>
      </c>
      <c r="T711" t="str">
        <f>_xlfn.XLOOKUP(Table3[[#This Row],[Cuenta]],Table8[Nombre Cuenta ()],Table8[Nivel 3],"",0)</f>
        <v/>
      </c>
      <c r="U711">
        <v>1167</v>
      </c>
      <c r="V711" t="str">
        <f>_xlfn.XLOOKUP(Table3[[#This Row],[Cuenta]],Estructura_Balance[Nombre Cuenta ()],Estructura_Balance[Niveles:2],"",0)</f>
        <v/>
      </c>
      <c r="W711" t="str">
        <f>_xlfn.XLOOKUP(Table3[[#This Row],[Cuenta]],Estructura_Balance[Nombre Cuenta ()],Estructura_Balance[Niveles:3],"",0)</f>
        <v/>
      </c>
      <c r="X711" t="str">
        <f>_xlfn.XLOOKUP(Table3[[#This Row],[Cuenta]],Estructura_Balance[Nombre Cuenta ()],Estructura_Balance[Grupos],"Grupo 1",0)</f>
        <v>Grupo 1</v>
      </c>
      <c r="Y711" t="str">
        <f>+Table3[[#This Row],[BS_Nivel_1]]</f>
        <v/>
      </c>
    </row>
    <row r="712" spans="1:25">
      <c r="A712">
        <f>+'Libro Diario'!F926</f>
        <v>0</v>
      </c>
      <c r="B712" s="144">
        <f>VALUE(IF(+'Libro Diario'!G926="","01/01/2025",+'Libro Diario'!G926))</f>
        <v>45658</v>
      </c>
      <c r="C712">
        <f>IF(ISNUMBER(+IF(IFERROR(VALUE(MID('Libro Diario'!C926,1,4)),0)&lt;&gt;0,'Libro Diario'!C926,0))=FALSE,'Libro Diario'!C926,0)</f>
        <v>0</v>
      </c>
      <c r="D712" s="145">
        <f>+'Libro Diario'!B926</f>
        <v>0</v>
      </c>
      <c r="E712" s="139" t="s">
        <v>445</v>
      </c>
      <c r="F712" t="str">
        <f t="shared" si="33"/>
        <v>Sin Mov.</v>
      </c>
      <c r="G712" t="str">
        <f>IF(+'Libro Diario'!H926=0,"",+'Libro Diario'!H926)</f>
        <v/>
      </c>
      <c r="H712" t="str">
        <f>IF(+'Libro Diario'!I926=0,"",+'Libro Diario'!I926)</f>
        <v/>
      </c>
      <c r="I712" t="str">
        <f>+IF(Table3[[#This Row],[Tipo Movimiento]]="Estructura Balance y PyG","Excluir","Incluir")</f>
        <v>Incluir</v>
      </c>
      <c r="J712" s="153">
        <f>+IF(Table3[[#This Row],[Sin cuenta]]="Con Mov.",(IF(Table3[[#This Row],[Movimiento]]="Debe",Table3[[#This Row],[Importe]],IF(Table3[[#This Row],[Movimiento]]="Haber",Table3[[#This Row],[Importe]]*-1,0))),0)</f>
        <v>0</v>
      </c>
      <c r="K712" s="145">
        <f t="shared" si="34"/>
        <v>0</v>
      </c>
      <c r="L712" s="145" t="str">
        <f t="shared" si="35"/>
        <v/>
      </c>
      <c r="M712" t="str">
        <f>_xlfn.XLOOKUP(Table3[[#This Row],[Cuenta]],Estructura_Balance[Nombre Cuenta ()],Estructura_Balance[Grupo],"",0)</f>
        <v/>
      </c>
      <c r="N712" t="str">
        <f>_xlfn.XLOOKUP(Table3[[#This Row],[Cuenta]],Estructura_Balance[Nombre Cuenta ()],Estructura_Balance[Nivel 1],"",0)</f>
        <v/>
      </c>
      <c r="O712" t="str">
        <f>_xlfn.XLOOKUP(Table3[[#This Row],[Cuenta]],Estructura_Balance[Nombre Cuenta ()],Estructura_Balance[Nivel 2],"",0)</f>
        <v/>
      </c>
      <c r="P712" t="str">
        <f>_xlfn.XLOOKUP(Table3[[#This Row],[Cuenta]],Estructura_Balance[Nombre Cuenta ()],Estructura_Balance[Nivel 3],"",0)</f>
        <v/>
      </c>
      <c r="Q712" t="str">
        <f>_xlfn.XLOOKUP(Table3[[#This Row],[Cuenta]],Estructura_Balance[Nombre Cuenta ()],Estructura_Balance[Nivel 4],"",0)</f>
        <v/>
      </c>
      <c r="R712" t="str">
        <f>_xlfn.XLOOKUP(Table3[[#This Row],[Cuenta]],Table8[Nombre Cuenta ()],Table8[Nivel 1],"",0)</f>
        <v/>
      </c>
      <c r="S712" t="str">
        <f>_xlfn.XLOOKUP(Table3[[#This Row],[Cuenta]],Table8[Nombre Cuenta ()],Table8[Nivel 2],"",0)</f>
        <v/>
      </c>
      <c r="T712" t="str">
        <f>_xlfn.XLOOKUP(Table3[[#This Row],[Cuenta]],Table8[Nombre Cuenta ()],Table8[Nivel 3],"",0)</f>
        <v/>
      </c>
      <c r="U712">
        <v>1168</v>
      </c>
      <c r="V712" t="str">
        <f>_xlfn.XLOOKUP(Table3[[#This Row],[Cuenta]],Estructura_Balance[Nombre Cuenta ()],Estructura_Balance[Niveles:2],"",0)</f>
        <v/>
      </c>
      <c r="W712" t="str">
        <f>_xlfn.XLOOKUP(Table3[[#This Row],[Cuenta]],Estructura_Balance[Nombre Cuenta ()],Estructura_Balance[Niveles:3],"",0)</f>
        <v/>
      </c>
      <c r="X712" t="str">
        <f>_xlfn.XLOOKUP(Table3[[#This Row],[Cuenta]],Estructura_Balance[Nombre Cuenta ()],Estructura_Balance[Grupos],"Grupo 1",0)</f>
        <v>Grupo 1</v>
      </c>
      <c r="Y712" t="str">
        <f>+Table3[[#This Row],[BS_Nivel_1]]</f>
        <v/>
      </c>
    </row>
    <row r="713" spans="1:25">
      <c r="A713">
        <f>+'Libro Diario'!F927</f>
        <v>0</v>
      </c>
      <c r="B713" s="144">
        <f>VALUE(IF(+'Libro Diario'!G927="","01/01/2025",+'Libro Diario'!G927))</f>
        <v>45658</v>
      </c>
      <c r="C713">
        <f>IF(ISNUMBER(+IF(IFERROR(VALUE(MID('Libro Diario'!C927,1,4)),0)&lt;&gt;0,'Libro Diario'!C927,0))=FALSE,'Libro Diario'!C927,0)</f>
        <v>0</v>
      </c>
      <c r="D713" s="145">
        <f>+'Libro Diario'!B927</f>
        <v>0</v>
      </c>
      <c r="E713" s="139" t="s">
        <v>445</v>
      </c>
      <c r="F713" t="str">
        <f t="shared" si="33"/>
        <v>Sin Mov.</v>
      </c>
      <c r="G713" t="str">
        <f>IF(+'Libro Diario'!H927=0,"",+'Libro Diario'!H927)</f>
        <v/>
      </c>
      <c r="H713" t="str">
        <f>IF(+'Libro Diario'!I927=0,"",+'Libro Diario'!I927)</f>
        <v/>
      </c>
      <c r="I713" t="str">
        <f>+IF(Table3[[#This Row],[Tipo Movimiento]]="Estructura Balance y PyG","Excluir","Incluir")</f>
        <v>Incluir</v>
      </c>
      <c r="J713" s="153">
        <f>+IF(Table3[[#This Row],[Sin cuenta]]="Con Mov.",(IF(Table3[[#This Row],[Movimiento]]="Debe",Table3[[#This Row],[Importe]],IF(Table3[[#This Row],[Movimiento]]="Haber",Table3[[#This Row],[Importe]]*-1,0))),0)</f>
        <v>0</v>
      </c>
      <c r="K713" s="145">
        <f t="shared" si="34"/>
        <v>0</v>
      </c>
      <c r="L713" s="145" t="str">
        <f t="shared" si="35"/>
        <v/>
      </c>
      <c r="M713" t="str">
        <f>_xlfn.XLOOKUP(Table3[[#This Row],[Cuenta]],Estructura_Balance[Nombre Cuenta ()],Estructura_Balance[Grupo],"",0)</f>
        <v/>
      </c>
      <c r="N713" t="str">
        <f>_xlfn.XLOOKUP(Table3[[#This Row],[Cuenta]],Estructura_Balance[Nombre Cuenta ()],Estructura_Balance[Nivel 1],"",0)</f>
        <v/>
      </c>
      <c r="O713" t="str">
        <f>_xlfn.XLOOKUP(Table3[[#This Row],[Cuenta]],Estructura_Balance[Nombre Cuenta ()],Estructura_Balance[Nivel 2],"",0)</f>
        <v/>
      </c>
      <c r="P713" t="str">
        <f>_xlfn.XLOOKUP(Table3[[#This Row],[Cuenta]],Estructura_Balance[Nombre Cuenta ()],Estructura_Balance[Nivel 3],"",0)</f>
        <v/>
      </c>
      <c r="Q713" t="str">
        <f>_xlfn.XLOOKUP(Table3[[#This Row],[Cuenta]],Estructura_Balance[Nombre Cuenta ()],Estructura_Balance[Nivel 4],"",0)</f>
        <v/>
      </c>
      <c r="R713" t="str">
        <f>_xlfn.XLOOKUP(Table3[[#This Row],[Cuenta]],Table8[Nombre Cuenta ()],Table8[Nivel 1],"",0)</f>
        <v/>
      </c>
      <c r="S713" t="str">
        <f>_xlfn.XLOOKUP(Table3[[#This Row],[Cuenta]],Table8[Nombre Cuenta ()],Table8[Nivel 2],"",0)</f>
        <v/>
      </c>
      <c r="T713" t="str">
        <f>_xlfn.XLOOKUP(Table3[[#This Row],[Cuenta]],Table8[Nombre Cuenta ()],Table8[Nivel 3],"",0)</f>
        <v/>
      </c>
      <c r="U713">
        <v>1171</v>
      </c>
      <c r="V713" t="str">
        <f>_xlfn.XLOOKUP(Table3[[#This Row],[Cuenta]],Estructura_Balance[Nombre Cuenta ()],Estructura_Balance[Niveles:2],"",0)</f>
        <v/>
      </c>
      <c r="W713" t="str">
        <f>_xlfn.XLOOKUP(Table3[[#This Row],[Cuenta]],Estructura_Balance[Nombre Cuenta ()],Estructura_Balance[Niveles:3],"",0)</f>
        <v/>
      </c>
      <c r="X713" t="str">
        <f>_xlfn.XLOOKUP(Table3[[#This Row],[Cuenta]],Estructura_Balance[Nombre Cuenta ()],Estructura_Balance[Grupos],"Grupo 1",0)</f>
        <v>Grupo 1</v>
      </c>
      <c r="Y713" t="str">
        <f>+Table3[[#This Row],[BS_Nivel_1]]</f>
        <v/>
      </c>
    </row>
    <row r="714" spans="1:25">
      <c r="A714">
        <f>+'Libro Diario'!F928</f>
        <v>0</v>
      </c>
      <c r="B714" s="144">
        <f>VALUE(IF(+'Libro Diario'!G928="","01/01/2025",+'Libro Diario'!G928))</f>
        <v>45658</v>
      </c>
      <c r="C714">
        <f>IF(ISNUMBER(+IF(IFERROR(VALUE(MID('Libro Diario'!C928,1,4)),0)&lt;&gt;0,'Libro Diario'!C928,0))=FALSE,'Libro Diario'!C928,0)</f>
        <v>0</v>
      </c>
      <c r="D714" s="145">
        <f>+'Libro Diario'!B928</f>
        <v>0</v>
      </c>
      <c r="E714" s="139" t="s">
        <v>445</v>
      </c>
      <c r="F714" t="str">
        <f t="shared" si="33"/>
        <v>Sin Mov.</v>
      </c>
      <c r="G714" t="str">
        <f>IF(+'Libro Diario'!H928=0,"",+'Libro Diario'!H928)</f>
        <v/>
      </c>
      <c r="H714" t="str">
        <f>IF(+'Libro Diario'!I928=0,"",+'Libro Diario'!I928)</f>
        <v/>
      </c>
      <c r="I714" t="str">
        <f>+IF(Table3[[#This Row],[Tipo Movimiento]]="Estructura Balance y PyG","Excluir","Incluir")</f>
        <v>Incluir</v>
      </c>
      <c r="J714" s="153">
        <f>+IF(Table3[[#This Row],[Sin cuenta]]="Con Mov.",(IF(Table3[[#This Row],[Movimiento]]="Debe",Table3[[#This Row],[Importe]],IF(Table3[[#This Row],[Movimiento]]="Haber",Table3[[#This Row],[Importe]]*-1,0))),0)</f>
        <v>0</v>
      </c>
      <c r="K714" s="145">
        <f t="shared" si="34"/>
        <v>0</v>
      </c>
      <c r="L714" s="145" t="str">
        <f t="shared" si="35"/>
        <v/>
      </c>
      <c r="M714" t="str">
        <f>_xlfn.XLOOKUP(Table3[[#This Row],[Cuenta]],Estructura_Balance[Nombre Cuenta ()],Estructura_Balance[Grupo],"",0)</f>
        <v/>
      </c>
      <c r="N714" t="str">
        <f>_xlfn.XLOOKUP(Table3[[#This Row],[Cuenta]],Estructura_Balance[Nombre Cuenta ()],Estructura_Balance[Nivel 1],"",0)</f>
        <v/>
      </c>
      <c r="O714" t="str">
        <f>_xlfn.XLOOKUP(Table3[[#This Row],[Cuenta]],Estructura_Balance[Nombre Cuenta ()],Estructura_Balance[Nivel 2],"",0)</f>
        <v/>
      </c>
      <c r="P714" t="str">
        <f>_xlfn.XLOOKUP(Table3[[#This Row],[Cuenta]],Estructura_Balance[Nombre Cuenta ()],Estructura_Balance[Nivel 3],"",0)</f>
        <v/>
      </c>
      <c r="Q714" t="str">
        <f>_xlfn.XLOOKUP(Table3[[#This Row],[Cuenta]],Estructura_Balance[Nombre Cuenta ()],Estructura_Balance[Nivel 4],"",0)</f>
        <v/>
      </c>
      <c r="R714" t="str">
        <f>_xlfn.XLOOKUP(Table3[[#This Row],[Cuenta]],Table8[Nombre Cuenta ()],Table8[Nivel 1],"",0)</f>
        <v/>
      </c>
      <c r="S714" t="str">
        <f>_xlfn.XLOOKUP(Table3[[#This Row],[Cuenta]],Table8[Nombre Cuenta ()],Table8[Nivel 2],"",0)</f>
        <v/>
      </c>
      <c r="T714" t="str">
        <f>_xlfn.XLOOKUP(Table3[[#This Row],[Cuenta]],Table8[Nombre Cuenta ()],Table8[Nivel 3],"",0)</f>
        <v/>
      </c>
      <c r="U714">
        <v>1172</v>
      </c>
      <c r="V714" t="str">
        <f>_xlfn.XLOOKUP(Table3[[#This Row],[Cuenta]],Estructura_Balance[Nombre Cuenta ()],Estructura_Balance[Niveles:2],"",0)</f>
        <v/>
      </c>
      <c r="W714" t="str">
        <f>_xlfn.XLOOKUP(Table3[[#This Row],[Cuenta]],Estructura_Balance[Nombre Cuenta ()],Estructura_Balance[Niveles:3],"",0)</f>
        <v/>
      </c>
      <c r="X714" t="str">
        <f>_xlfn.XLOOKUP(Table3[[#This Row],[Cuenta]],Estructura_Balance[Nombre Cuenta ()],Estructura_Balance[Grupos],"Grupo 1",0)</f>
        <v>Grupo 1</v>
      </c>
      <c r="Y714" t="str">
        <f>+Table3[[#This Row],[BS_Nivel_1]]</f>
        <v/>
      </c>
    </row>
    <row r="715" spans="1:25">
      <c r="A715">
        <f>+'Libro Diario'!F929</f>
        <v>0</v>
      </c>
      <c r="B715" s="144">
        <f>VALUE(IF(+'Libro Diario'!G929="","01/01/2025",+'Libro Diario'!G929))</f>
        <v>45658</v>
      </c>
      <c r="C715">
        <f>IF(ISNUMBER(+IF(IFERROR(VALUE(MID('Libro Diario'!C929,1,4)),0)&lt;&gt;0,'Libro Diario'!C929,0))=FALSE,'Libro Diario'!C929,0)</f>
        <v>0</v>
      </c>
      <c r="D715" s="145">
        <f>+'Libro Diario'!B929</f>
        <v>0</v>
      </c>
      <c r="E715" s="139" t="s">
        <v>445</v>
      </c>
      <c r="F715" t="str">
        <f t="shared" si="33"/>
        <v>Sin Mov.</v>
      </c>
      <c r="G715" t="str">
        <f>IF(+'Libro Diario'!H929=0,"",+'Libro Diario'!H929)</f>
        <v/>
      </c>
      <c r="H715" t="str">
        <f>IF(+'Libro Diario'!I929=0,"",+'Libro Diario'!I929)</f>
        <v/>
      </c>
      <c r="I715" t="str">
        <f>+IF(Table3[[#This Row],[Tipo Movimiento]]="Estructura Balance y PyG","Excluir","Incluir")</f>
        <v>Incluir</v>
      </c>
      <c r="J715" s="153">
        <f>+IF(Table3[[#This Row],[Sin cuenta]]="Con Mov.",(IF(Table3[[#This Row],[Movimiento]]="Debe",Table3[[#This Row],[Importe]],IF(Table3[[#This Row],[Movimiento]]="Haber",Table3[[#This Row],[Importe]]*-1,0))),0)</f>
        <v>0</v>
      </c>
      <c r="K715" s="145">
        <f t="shared" si="34"/>
        <v>0</v>
      </c>
      <c r="L715" s="145" t="str">
        <f t="shared" si="35"/>
        <v/>
      </c>
      <c r="M715" t="str">
        <f>_xlfn.XLOOKUP(Table3[[#This Row],[Cuenta]],Estructura_Balance[Nombre Cuenta ()],Estructura_Balance[Grupo],"",0)</f>
        <v/>
      </c>
      <c r="N715" t="str">
        <f>_xlfn.XLOOKUP(Table3[[#This Row],[Cuenta]],Estructura_Balance[Nombre Cuenta ()],Estructura_Balance[Nivel 1],"",0)</f>
        <v/>
      </c>
      <c r="O715" t="str">
        <f>_xlfn.XLOOKUP(Table3[[#This Row],[Cuenta]],Estructura_Balance[Nombre Cuenta ()],Estructura_Balance[Nivel 2],"",0)</f>
        <v/>
      </c>
      <c r="P715" t="str">
        <f>_xlfn.XLOOKUP(Table3[[#This Row],[Cuenta]],Estructura_Balance[Nombre Cuenta ()],Estructura_Balance[Nivel 3],"",0)</f>
        <v/>
      </c>
      <c r="Q715" t="str">
        <f>_xlfn.XLOOKUP(Table3[[#This Row],[Cuenta]],Estructura_Balance[Nombre Cuenta ()],Estructura_Balance[Nivel 4],"",0)</f>
        <v/>
      </c>
      <c r="R715" t="str">
        <f>_xlfn.XLOOKUP(Table3[[#This Row],[Cuenta]],Table8[Nombre Cuenta ()],Table8[Nivel 1],"",0)</f>
        <v/>
      </c>
      <c r="S715" t="str">
        <f>_xlfn.XLOOKUP(Table3[[#This Row],[Cuenta]],Table8[Nombre Cuenta ()],Table8[Nivel 2],"",0)</f>
        <v/>
      </c>
      <c r="T715" t="str">
        <f>_xlfn.XLOOKUP(Table3[[#This Row],[Cuenta]],Table8[Nombre Cuenta ()],Table8[Nivel 3],"",0)</f>
        <v/>
      </c>
      <c r="U715">
        <v>1173</v>
      </c>
      <c r="V715" t="str">
        <f>_xlfn.XLOOKUP(Table3[[#This Row],[Cuenta]],Estructura_Balance[Nombre Cuenta ()],Estructura_Balance[Niveles:2],"",0)</f>
        <v/>
      </c>
      <c r="W715" t="str">
        <f>_xlfn.XLOOKUP(Table3[[#This Row],[Cuenta]],Estructura_Balance[Nombre Cuenta ()],Estructura_Balance[Niveles:3],"",0)</f>
        <v/>
      </c>
      <c r="X715" t="str">
        <f>_xlfn.XLOOKUP(Table3[[#This Row],[Cuenta]],Estructura_Balance[Nombre Cuenta ()],Estructura_Balance[Grupos],"Grupo 1",0)</f>
        <v>Grupo 1</v>
      </c>
      <c r="Y715" t="str">
        <f>+Table3[[#This Row],[BS_Nivel_1]]</f>
        <v/>
      </c>
    </row>
    <row r="716" spans="1:25">
      <c r="A716">
        <f>+'Libro Diario'!F930</f>
        <v>0</v>
      </c>
      <c r="B716" s="144">
        <f>VALUE(IF(+'Libro Diario'!G930="","01/01/2025",+'Libro Diario'!G930))</f>
        <v>45658</v>
      </c>
      <c r="C716">
        <f>IF(ISNUMBER(+IF(IFERROR(VALUE(MID('Libro Diario'!C930,1,4)),0)&lt;&gt;0,'Libro Diario'!C930,0))=FALSE,'Libro Diario'!C930,0)</f>
        <v>0</v>
      </c>
      <c r="D716" s="145">
        <f>+'Libro Diario'!B930</f>
        <v>0</v>
      </c>
      <c r="E716" s="139" t="s">
        <v>445</v>
      </c>
      <c r="F716" t="str">
        <f t="shared" si="33"/>
        <v>Sin Mov.</v>
      </c>
      <c r="G716" t="str">
        <f>IF(+'Libro Diario'!H930=0,"",+'Libro Diario'!H930)</f>
        <v/>
      </c>
      <c r="H716" t="str">
        <f>IF(+'Libro Diario'!I930=0,"",+'Libro Diario'!I930)</f>
        <v/>
      </c>
      <c r="I716" t="str">
        <f>+IF(Table3[[#This Row],[Tipo Movimiento]]="Estructura Balance y PyG","Excluir","Incluir")</f>
        <v>Incluir</v>
      </c>
      <c r="J716" s="153">
        <f>+IF(Table3[[#This Row],[Sin cuenta]]="Con Mov.",(IF(Table3[[#This Row],[Movimiento]]="Debe",Table3[[#This Row],[Importe]],IF(Table3[[#This Row],[Movimiento]]="Haber",Table3[[#This Row],[Importe]]*-1,0))),0)</f>
        <v>0</v>
      </c>
      <c r="K716" s="145">
        <f t="shared" si="34"/>
        <v>0</v>
      </c>
      <c r="L716" s="145" t="str">
        <f t="shared" si="35"/>
        <v/>
      </c>
      <c r="M716" t="str">
        <f>_xlfn.XLOOKUP(Table3[[#This Row],[Cuenta]],Estructura_Balance[Nombre Cuenta ()],Estructura_Balance[Grupo],"",0)</f>
        <v/>
      </c>
      <c r="N716" t="str">
        <f>_xlfn.XLOOKUP(Table3[[#This Row],[Cuenta]],Estructura_Balance[Nombre Cuenta ()],Estructura_Balance[Nivel 1],"",0)</f>
        <v/>
      </c>
      <c r="O716" t="str">
        <f>_xlfn.XLOOKUP(Table3[[#This Row],[Cuenta]],Estructura_Balance[Nombre Cuenta ()],Estructura_Balance[Nivel 2],"",0)</f>
        <v/>
      </c>
      <c r="P716" t="str">
        <f>_xlfn.XLOOKUP(Table3[[#This Row],[Cuenta]],Estructura_Balance[Nombre Cuenta ()],Estructura_Balance[Nivel 3],"",0)</f>
        <v/>
      </c>
      <c r="Q716" t="str">
        <f>_xlfn.XLOOKUP(Table3[[#This Row],[Cuenta]],Estructura_Balance[Nombre Cuenta ()],Estructura_Balance[Nivel 4],"",0)</f>
        <v/>
      </c>
      <c r="R716" t="str">
        <f>_xlfn.XLOOKUP(Table3[[#This Row],[Cuenta]],Table8[Nombre Cuenta ()],Table8[Nivel 1],"",0)</f>
        <v/>
      </c>
      <c r="S716" t="str">
        <f>_xlfn.XLOOKUP(Table3[[#This Row],[Cuenta]],Table8[Nombre Cuenta ()],Table8[Nivel 2],"",0)</f>
        <v/>
      </c>
      <c r="T716" t="str">
        <f>_xlfn.XLOOKUP(Table3[[#This Row],[Cuenta]],Table8[Nombre Cuenta ()],Table8[Nivel 3],"",0)</f>
        <v/>
      </c>
      <c r="U716">
        <v>1174</v>
      </c>
      <c r="V716" t="str">
        <f>_xlfn.XLOOKUP(Table3[[#This Row],[Cuenta]],Estructura_Balance[Nombre Cuenta ()],Estructura_Balance[Niveles:2],"",0)</f>
        <v/>
      </c>
      <c r="W716" t="str">
        <f>_xlfn.XLOOKUP(Table3[[#This Row],[Cuenta]],Estructura_Balance[Nombre Cuenta ()],Estructura_Balance[Niveles:3],"",0)</f>
        <v/>
      </c>
      <c r="X716" t="str">
        <f>_xlfn.XLOOKUP(Table3[[#This Row],[Cuenta]],Estructura_Balance[Nombre Cuenta ()],Estructura_Balance[Grupos],"Grupo 1",0)</f>
        <v>Grupo 1</v>
      </c>
      <c r="Y716" t="str">
        <f>+Table3[[#This Row],[BS_Nivel_1]]</f>
        <v/>
      </c>
    </row>
    <row r="717" spans="1:25">
      <c r="A717">
        <f>+'Libro Diario'!F931</f>
        <v>0</v>
      </c>
      <c r="B717" s="144">
        <f>VALUE(IF(+'Libro Diario'!G931="","01/01/2025",+'Libro Diario'!G931))</f>
        <v>45658</v>
      </c>
      <c r="C717">
        <f>IF(ISNUMBER(+IF(IFERROR(VALUE(MID('Libro Diario'!C931,1,4)),0)&lt;&gt;0,'Libro Diario'!C931,0))=FALSE,'Libro Diario'!C931,0)</f>
        <v>0</v>
      </c>
      <c r="D717" s="145">
        <f>+'Libro Diario'!B931</f>
        <v>0</v>
      </c>
      <c r="E717" s="139" t="s">
        <v>445</v>
      </c>
      <c r="F717" t="str">
        <f t="shared" si="33"/>
        <v>Sin Mov.</v>
      </c>
      <c r="G717" t="str">
        <f>IF(+'Libro Diario'!H931=0,"",+'Libro Diario'!H931)</f>
        <v/>
      </c>
      <c r="H717" t="str">
        <f>IF(+'Libro Diario'!I931=0,"",+'Libro Diario'!I931)</f>
        <v/>
      </c>
      <c r="I717" t="str">
        <f>+IF(Table3[[#This Row],[Tipo Movimiento]]="Estructura Balance y PyG","Excluir","Incluir")</f>
        <v>Incluir</v>
      </c>
      <c r="J717" s="153">
        <f>+IF(Table3[[#This Row],[Sin cuenta]]="Con Mov.",(IF(Table3[[#This Row],[Movimiento]]="Debe",Table3[[#This Row],[Importe]],IF(Table3[[#This Row],[Movimiento]]="Haber",Table3[[#This Row],[Importe]]*-1,0))),0)</f>
        <v>0</v>
      </c>
      <c r="K717" s="145">
        <f t="shared" si="34"/>
        <v>0</v>
      </c>
      <c r="L717" s="145" t="str">
        <f t="shared" si="35"/>
        <v/>
      </c>
      <c r="M717" t="str">
        <f>_xlfn.XLOOKUP(Table3[[#This Row],[Cuenta]],Estructura_Balance[Nombre Cuenta ()],Estructura_Balance[Grupo],"",0)</f>
        <v/>
      </c>
      <c r="N717" t="str">
        <f>_xlfn.XLOOKUP(Table3[[#This Row],[Cuenta]],Estructura_Balance[Nombre Cuenta ()],Estructura_Balance[Nivel 1],"",0)</f>
        <v/>
      </c>
      <c r="O717" t="str">
        <f>_xlfn.XLOOKUP(Table3[[#This Row],[Cuenta]],Estructura_Balance[Nombre Cuenta ()],Estructura_Balance[Nivel 2],"",0)</f>
        <v/>
      </c>
      <c r="P717" t="str">
        <f>_xlfn.XLOOKUP(Table3[[#This Row],[Cuenta]],Estructura_Balance[Nombre Cuenta ()],Estructura_Balance[Nivel 3],"",0)</f>
        <v/>
      </c>
      <c r="Q717" t="str">
        <f>_xlfn.XLOOKUP(Table3[[#This Row],[Cuenta]],Estructura_Balance[Nombre Cuenta ()],Estructura_Balance[Nivel 4],"",0)</f>
        <v/>
      </c>
      <c r="R717" t="str">
        <f>_xlfn.XLOOKUP(Table3[[#This Row],[Cuenta]],Table8[Nombre Cuenta ()],Table8[Nivel 1],"",0)</f>
        <v/>
      </c>
      <c r="S717" t="str">
        <f>_xlfn.XLOOKUP(Table3[[#This Row],[Cuenta]],Table8[Nombre Cuenta ()],Table8[Nivel 2],"",0)</f>
        <v/>
      </c>
      <c r="T717" t="str">
        <f>_xlfn.XLOOKUP(Table3[[#This Row],[Cuenta]],Table8[Nombre Cuenta ()],Table8[Nivel 3],"",0)</f>
        <v/>
      </c>
      <c r="U717">
        <v>1175</v>
      </c>
      <c r="V717" t="str">
        <f>_xlfn.XLOOKUP(Table3[[#This Row],[Cuenta]],Estructura_Balance[Nombre Cuenta ()],Estructura_Balance[Niveles:2],"",0)</f>
        <v/>
      </c>
      <c r="W717" t="str">
        <f>_xlfn.XLOOKUP(Table3[[#This Row],[Cuenta]],Estructura_Balance[Nombre Cuenta ()],Estructura_Balance[Niveles:3],"",0)</f>
        <v/>
      </c>
      <c r="X717" t="str">
        <f>_xlfn.XLOOKUP(Table3[[#This Row],[Cuenta]],Estructura_Balance[Nombre Cuenta ()],Estructura_Balance[Grupos],"Grupo 1",0)</f>
        <v>Grupo 1</v>
      </c>
      <c r="Y717" t="str">
        <f>+Table3[[#This Row],[BS_Nivel_1]]</f>
        <v/>
      </c>
    </row>
    <row r="718" spans="1:25">
      <c r="A718">
        <f>+'Libro Diario'!F932</f>
        <v>0</v>
      </c>
      <c r="B718" s="144">
        <f>VALUE(IF(+'Libro Diario'!G932="","01/01/2025",+'Libro Diario'!G932))</f>
        <v>45658</v>
      </c>
      <c r="C718">
        <f>IF(ISNUMBER(+IF(IFERROR(VALUE(MID('Libro Diario'!C932,1,4)),0)&lt;&gt;0,'Libro Diario'!C932,0))=FALSE,'Libro Diario'!C932,0)</f>
        <v>0</v>
      </c>
      <c r="D718" s="145">
        <f>+'Libro Diario'!B932</f>
        <v>0</v>
      </c>
      <c r="E718" s="139" t="s">
        <v>445</v>
      </c>
      <c r="F718" t="str">
        <f t="shared" si="33"/>
        <v>Sin Mov.</v>
      </c>
      <c r="G718" t="str">
        <f>IF(+'Libro Diario'!H932=0,"",+'Libro Diario'!H932)</f>
        <v/>
      </c>
      <c r="H718" t="str">
        <f>IF(+'Libro Diario'!I932=0,"",+'Libro Diario'!I932)</f>
        <v/>
      </c>
      <c r="I718" t="str">
        <f>+IF(Table3[[#This Row],[Tipo Movimiento]]="Estructura Balance y PyG","Excluir","Incluir")</f>
        <v>Incluir</v>
      </c>
      <c r="J718" s="153">
        <f>+IF(Table3[[#This Row],[Sin cuenta]]="Con Mov.",(IF(Table3[[#This Row],[Movimiento]]="Debe",Table3[[#This Row],[Importe]],IF(Table3[[#This Row],[Movimiento]]="Haber",Table3[[#This Row],[Importe]]*-1,0))),0)</f>
        <v>0</v>
      </c>
      <c r="K718" s="145">
        <f t="shared" si="34"/>
        <v>0</v>
      </c>
      <c r="L718" s="145" t="str">
        <f t="shared" si="35"/>
        <v/>
      </c>
      <c r="M718" t="str">
        <f>_xlfn.XLOOKUP(Table3[[#This Row],[Cuenta]],Estructura_Balance[Nombre Cuenta ()],Estructura_Balance[Grupo],"",0)</f>
        <v/>
      </c>
      <c r="N718" t="str">
        <f>_xlfn.XLOOKUP(Table3[[#This Row],[Cuenta]],Estructura_Balance[Nombre Cuenta ()],Estructura_Balance[Nivel 1],"",0)</f>
        <v/>
      </c>
      <c r="O718" t="str">
        <f>_xlfn.XLOOKUP(Table3[[#This Row],[Cuenta]],Estructura_Balance[Nombre Cuenta ()],Estructura_Balance[Nivel 2],"",0)</f>
        <v/>
      </c>
      <c r="P718" t="str">
        <f>_xlfn.XLOOKUP(Table3[[#This Row],[Cuenta]],Estructura_Balance[Nombre Cuenta ()],Estructura_Balance[Nivel 3],"",0)</f>
        <v/>
      </c>
      <c r="Q718" t="str">
        <f>_xlfn.XLOOKUP(Table3[[#This Row],[Cuenta]],Estructura_Balance[Nombre Cuenta ()],Estructura_Balance[Nivel 4],"",0)</f>
        <v/>
      </c>
      <c r="R718" t="str">
        <f>_xlfn.XLOOKUP(Table3[[#This Row],[Cuenta]],Table8[Nombre Cuenta ()],Table8[Nivel 1],"",0)</f>
        <v/>
      </c>
      <c r="S718" t="str">
        <f>_xlfn.XLOOKUP(Table3[[#This Row],[Cuenta]],Table8[Nombre Cuenta ()],Table8[Nivel 2],"",0)</f>
        <v/>
      </c>
      <c r="T718" t="str">
        <f>_xlfn.XLOOKUP(Table3[[#This Row],[Cuenta]],Table8[Nombre Cuenta ()],Table8[Nivel 3],"",0)</f>
        <v/>
      </c>
      <c r="U718">
        <v>1178</v>
      </c>
      <c r="V718" t="str">
        <f>_xlfn.XLOOKUP(Table3[[#This Row],[Cuenta]],Estructura_Balance[Nombre Cuenta ()],Estructura_Balance[Niveles:2],"",0)</f>
        <v/>
      </c>
      <c r="W718" t="str">
        <f>_xlfn.XLOOKUP(Table3[[#This Row],[Cuenta]],Estructura_Balance[Nombre Cuenta ()],Estructura_Balance[Niveles:3],"",0)</f>
        <v/>
      </c>
      <c r="X718" t="str">
        <f>_xlfn.XLOOKUP(Table3[[#This Row],[Cuenta]],Estructura_Balance[Nombre Cuenta ()],Estructura_Balance[Grupos],"Grupo 1",0)</f>
        <v>Grupo 1</v>
      </c>
      <c r="Y718" t="str">
        <f>+Table3[[#This Row],[BS_Nivel_1]]</f>
        <v/>
      </c>
    </row>
    <row r="719" spans="1:25">
      <c r="A719">
        <f>+'Libro Diario'!F933</f>
        <v>0</v>
      </c>
      <c r="B719" s="144">
        <f>VALUE(IF(+'Libro Diario'!G933="","01/01/2025",+'Libro Diario'!G933))</f>
        <v>45658</v>
      </c>
      <c r="C719">
        <f>IF(ISNUMBER(+IF(IFERROR(VALUE(MID('Libro Diario'!C933,1,4)),0)&lt;&gt;0,'Libro Diario'!C933,0))=FALSE,'Libro Diario'!C933,0)</f>
        <v>0</v>
      </c>
      <c r="D719" s="145">
        <f>+'Libro Diario'!B933</f>
        <v>0</v>
      </c>
      <c r="E719" s="139" t="s">
        <v>445</v>
      </c>
      <c r="F719" t="str">
        <f t="shared" si="33"/>
        <v>Sin Mov.</v>
      </c>
      <c r="G719" t="str">
        <f>IF(+'Libro Diario'!H933=0,"",+'Libro Diario'!H933)</f>
        <v/>
      </c>
      <c r="H719" t="str">
        <f>IF(+'Libro Diario'!I933=0,"",+'Libro Diario'!I933)</f>
        <v/>
      </c>
      <c r="I719" t="str">
        <f>+IF(Table3[[#This Row],[Tipo Movimiento]]="Estructura Balance y PyG","Excluir","Incluir")</f>
        <v>Incluir</v>
      </c>
      <c r="J719" s="153">
        <f>+IF(Table3[[#This Row],[Sin cuenta]]="Con Mov.",(IF(Table3[[#This Row],[Movimiento]]="Debe",Table3[[#This Row],[Importe]],IF(Table3[[#This Row],[Movimiento]]="Haber",Table3[[#This Row],[Importe]]*-1,0))),0)</f>
        <v>0</v>
      </c>
      <c r="K719" s="145">
        <f t="shared" si="34"/>
        <v>0</v>
      </c>
      <c r="L719" s="145" t="str">
        <f t="shared" si="35"/>
        <v/>
      </c>
      <c r="M719" t="str">
        <f>_xlfn.XLOOKUP(Table3[[#This Row],[Cuenta]],Estructura_Balance[Nombre Cuenta ()],Estructura_Balance[Grupo],"",0)</f>
        <v/>
      </c>
      <c r="N719" t="str">
        <f>_xlfn.XLOOKUP(Table3[[#This Row],[Cuenta]],Estructura_Balance[Nombre Cuenta ()],Estructura_Balance[Nivel 1],"",0)</f>
        <v/>
      </c>
      <c r="O719" t="str">
        <f>_xlfn.XLOOKUP(Table3[[#This Row],[Cuenta]],Estructura_Balance[Nombre Cuenta ()],Estructura_Balance[Nivel 2],"",0)</f>
        <v/>
      </c>
      <c r="P719" t="str">
        <f>_xlfn.XLOOKUP(Table3[[#This Row],[Cuenta]],Estructura_Balance[Nombre Cuenta ()],Estructura_Balance[Nivel 3],"",0)</f>
        <v/>
      </c>
      <c r="Q719" t="str">
        <f>_xlfn.XLOOKUP(Table3[[#This Row],[Cuenta]],Estructura_Balance[Nombre Cuenta ()],Estructura_Balance[Nivel 4],"",0)</f>
        <v/>
      </c>
      <c r="R719" t="str">
        <f>_xlfn.XLOOKUP(Table3[[#This Row],[Cuenta]],Table8[Nombre Cuenta ()],Table8[Nivel 1],"",0)</f>
        <v/>
      </c>
      <c r="S719" t="str">
        <f>_xlfn.XLOOKUP(Table3[[#This Row],[Cuenta]],Table8[Nombre Cuenta ()],Table8[Nivel 2],"",0)</f>
        <v/>
      </c>
      <c r="T719" t="str">
        <f>_xlfn.XLOOKUP(Table3[[#This Row],[Cuenta]],Table8[Nombre Cuenta ()],Table8[Nivel 3],"",0)</f>
        <v/>
      </c>
      <c r="U719">
        <v>1179</v>
      </c>
      <c r="V719" t="str">
        <f>_xlfn.XLOOKUP(Table3[[#This Row],[Cuenta]],Estructura_Balance[Nombre Cuenta ()],Estructura_Balance[Niveles:2],"",0)</f>
        <v/>
      </c>
      <c r="W719" t="str">
        <f>_xlfn.XLOOKUP(Table3[[#This Row],[Cuenta]],Estructura_Balance[Nombre Cuenta ()],Estructura_Balance[Niveles:3],"",0)</f>
        <v/>
      </c>
      <c r="X719" t="str">
        <f>_xlfn.XLOOKUP(Table3[[#This Row],[Cuenta]],Estructura_Balance[Nombre Cuenta ()],Estructura_Balance[Grupos],"Grupo 1",0)</f>
        <v>Grupo 1</v>
      </c>
      <c r="Y719" t="str">
        <f>+Table3[[#This Row],[BS_Nivel_1]]</f>
        <v/>
      </c>
    </row>
    <row r="720" spans="1:25">
      <c r="A720">
        <f>+'Libro Diario'!F934</f>
        <v>0</v>
      </c>
      <c r="B720" s="144">
        <f>VALUE(IF(+'Libro Diario'!G934="","01/01/2025",+'Libro Diario'!G934))</f>
        <v>45658</v>
      </c>
      <c r="C720">
        <f>IF(ISNUMBER(+IF(IFERROR(VALUE(MID('Libro Diario'!C934,1,4)),0)&lt;&gt;0,'Libro Diario'!C934,0))=FALSE,'Libro Diario'!C934,0)</f>
        <v>0</v>
      </c>
      <c r="D720" s="145">
        <f>+'Libro Diario'!B934</f>
        <v>0</v>
      </c>
      <c r="E720" s="139" t="s">
        <v>445</v>
      </c>
      <c r="F720" t="str">
        <f t="shared" si="33"/>
        <v>Sin Mov.</v>
      </c>
      <c r="G720" t="str">
        <f>IF(+'Libro Diario'!H934=0,"",+'Libro Diario'!H934)</f>
        <v/>
      </c>
      <c r="H720" t="str">
        <f>IF(+'Libro Diario'!I934=0,"",+'Libro Diario'!I934)</f>
        <v/>
      </c>
      <c r="I720" t="str">
        <f>+IF(Table3[[#This Row],[Tipo Movimiento]]="Estructura Balance y PyG","Excluir","Incluir")</f>
        <v>Incluir</v>
      </c>
      <c r="J720" s="153">
        <f>+IF(Table3[[#This Row],[Sin cuenta]]="Con Mov.",(IF(Table3[[#This Row],[Movimiento]]="Debe",Table3[[#This Row],[Importe]],IF(Table3[[#This Row],[Movimiento]]="Haber",Table3[[#This Row],[Importe]]*-1,0))),0)</f>
        <v>0</v>
      </c>
      <c r="K720" s="145">
        <f t="shared" si="34"/>
        <v>0</v>
      </c>
      <c r="L720" s="145" t="str">
        <f t="shared" si="35"/>
        <v/>
      </c>
      <c r="M720" t="str">
        <f>_xlfn.XLOOKUP(Table3[[#This Row],[Cuenta]],Estructura_Balance[Nombre Cuenta ()],Estructura_Balance[Grupo],"",0)</f>
        <v/>
      </c>
      <c r="N720" t="str">
        <f>_xlfn.XLOOKUP(Table3[[#This Row],[Cuenta]],Estructura_Balance[Nombre Cuenta ()],Estructura_Balance[Nivel 1],"",0)</f>
        <v/>
      </c>
      <c r="O720" t="str">
        <f>_xlfn.XLOOKUP(Table3[[#This Row],[Cuenta]],Estructura_Balance[Nombre Cuenta ()],Estructura_Balance[Nivel 2],"",0)</f>
        <v/>
      </c>
      <c r="P720" t="str">
        <f>_xlfn.XLOOKUP(Table3[[#This Row],[Cuenta]],Estructura_Balance[Nombre Cuenta ()],Estructura_Balance[Nivel 3],"",0)</f>
        <v/>
      </c>
      <c r="Q720" t="str">
        <f>_xlfn.XLOOKUP(Table3[[#This Row],[Cuenta]],Estructura_Balance[Nombre Cuenta ()],Estructura_Balance[Nivel 4],"",0)</f>
        <v/>
      </c>
      <c r="R720" t="str">
        <f>_xlfn.XLOOKUP(Table3[[#This Row],[Cuenta]],Table8[Nombre Cuenta ()],Table8[Nivel 1],"",0)</f>
        <v/>
      </c>
      <c r="S720" t="str">
        <f>_xlfn.XLOOKUP(Table3[[#This Row],[Cuenta]],Table8[Nombre Cuenta ()],Table8[Nivel 2],"",0)</f>
        <v/>
      </c>
      <c r="T720" t="str">
        <f>_xlfn.XLOOKUP(Table3[[#This Row],[Cuenta]],Table8[Nombre Cuenta ()],Table8[Nivel 3],"",0)</f>
        <v/>
      </c>
      <c r="U720">
        <v>1180</v>
      </c>
      <c r="V720" t="str">
        <f>_xlfn.XLOOKUP(Table3[[#This Row],[Cuenta]],Estructura_Balance[Nombre Cuenta ()],Estructura_Balance[Niveles:2],"",0)</f>
        <v/>
      </c>
      <c r="W720" t="str">
        <f>_xlfn.XLOOKUP(Table3[[#This Row],[Cuenta]],Estructura_Balance[Nombre Cuenta ()],Estructura_Balance[Niveles:3],"",0)</f>
        <v/>
      </c>
      <c r="X720" t="str">
        <f>_xlfn.XLOOKUP(Table3[[#This Row],[Cuenta]],Estructura_Balance[Nombre Cuenta ()],Estructura_Balance[Grupos],"Grupo 1",0)</f>
        <v>Grupo 1</v>
      </c>
      <c r="Y720" t="str">
        <f>+Table3[[#This Row],[BS_Nivel_1]]</f>
        <v/>
      </c>
    </row>
    <row r="721" spans="1:25">
      <c r="A721">
        <f>+'Libro Diario'!F935</f>
        <v>0</v>
      </c>
      <c r="B721" s="144">
        <f>VALUE(IF(+'Libro Diario'!G935="","01/01/2025",+'Libro Diario'!G935))</f>
        <v>45658</v>
      </c>
      <c r="C721">
        <f>IF(ISNUMBER(+IF(IFERROR(VALUE(MID('Libro Diario'!C935,1,4)),0)&lt;&gt;0,'Libro Diario'!C935,0))=FALSE,'Libro Diario'!C935,0)</f>
        <v>0</v>
      </c>
      <c r="D721" s="145">
        <f>+'Libro Diario'!B935</f>
        <v>0</v>
      </c>
      <c r="E721" s="139" t="s">
        <v>445</v>
      </c>
      <c r="F721" t="str">
        <f t="shared" si="33"/>
        <v>Sin Mov.</v>
      </c>
      <c r="G721" t="str">
        <f>IF(+'Libro Diario'!H935=0,"",+'Libro Diario'!H935)</f>
        <v/>
      </c>
      <c r="H721" t="str">
        <f>IF(+'Libro Diario'!I935=0,"",+'Libro Diario'!I935)</f>
        <v/>
      </c>
      <c r="I721" t="str">
        <f>+IF(Table3[[#This Row],[Tipo Movimiento]]="Estructura Balance y PyG","Excluir","Incluir")</f>
        <v>Incluir</v>
      </c>
      <c r="J721" s="153">
        <f>+IF(Table3[[#This Row],[Sin cuenta]]="Con Mov.",(IF(Table3[[#This Row],[Movimiento]]="Debe",Table3[[#This Row],[Importe]],IF(Table3[[#This Row],[Movimiento]]="Haber",Table3[[#This Row],[Importe]]*-1,0))),0)</f>
        <v>0</v>
      </c>
      <c r="K721" s="145">
        <f t="shared" si="34"/>
        <v>0</v>
      </c>
      <c r="L721" s="145" t="str">
        <f t="shared" si="35"/>
        <v/>
      </c>
      <c r="M721" t="str">
        <f>_xlfn.XLOOKUP(Table3[[#This Row],[Cuenta]],Estructura_Balance[Nombre Cuenta ()],Estructura_Balance[Grupo],"",0)</f>
        <v/>
      </c>
      <c r="N721" t="str">
        <f>_xlfn.XLOOKUP(Table3[[#This Row],[Cuenta]],Estructura_Balance[Nombre Cuenta ()],Estructura_Balance[Nivel 1],"",0)</f>
        <v/>
      </c>
      <c r="O721" t="str">
        <f>_xlfn.XLOOKUP(Table3[[#This Row],[Cuenta]],Estructura_Balance[Nombre Cuenta ()],Estructura_Balance[Nivel 2],"",0)</f>
        <v/>
      </c>
      <c r="P721" t="str">
        <f>_xlfn.XLOOKUP(Table3[[#This Row],[Cuenta]],Estructura_Balance[Nombre Cuenta ()],Estructura_Balance[Nivel 3],"",0)</f>
        <v/>
      </c>
      <c r="Q721" t="str">
        <f>_xlfn.XLOOKUP(Table3[[#This Row],[Cuenta]],Estructura_Balance[Nombre Cuenta ()],Estructura_Balance[Nivel 4],"",0)</f>
        <v/>
      </c>
      <c r="R721" t="str">
        <f>_xlfn.XLOOKUP(Table3[[#This Row],[Cuenta]],Table8[Nombre Cuenta ()],Table8[Nivel 1],"",0)</f>
        <v/>
      </c>
      <c r="S721" t="str">
        <f>_xlfn.XLOOKUP(Table3[[#This Row],[Cuenta]],Table8[Nombre Cuenta ()],Table8[Nivel 2],"",0)</f>
        <v/>
      </c>
      <c r="T721" t="str">
        <f>_xlfn.XLOOKUP(Table3[[#This Row],[Cuenta]],Table8[Nombre Cuenta ()],Table8[Nivel 3],"",0)</f>
        <v/>
      </c>
      <c r="U721">
        <v>1181</v>
      </c>
      <c r="V721" t="str">
        <f>_xlfn.XLOOKUP(Table3[[#This Row],[Cuenta]],Estructura_Balance[Nombre Cuenta ()],Estructura_Balance[Niveles:2],"",0)</f>
        <v/>
      </c>
      <c r="W721" t="str">
        <f>_xlfn.XLOOKUP(Table3[[#This Row],[Cuenta]],Estructura_Balance[Nombre Cuenta ()],Estructura_Balance[Niveles:3],"",0)</f>
        <v/>
      </c>
      <c r="X721" t="str">
        <f>_xlfn.XLOOKUP(Table3[[#This Row],[Cuenta]],Estructura_Balance[Nombre Cuenta ()],Estructura_Balance[Grupos],"Grupo 1",0)</f>
        <v>Grupo 1</v>
      </c>
      <c r="Y721" t="str">
        <f>+Table3[[#This Row],[BS_Nivel_1]]</f>
        <v/>
      </c>
    </row>
    <row r="722" spans="1:25">
      <c r="A722">
        <f>+'Libro Diario'!F936</f>
        <v>0</v>
      </c>
      <c r="B722" s="144">
        <f>VALUE(IF(+'Libro Diario'!G936="","01/01/2025",+'Libro Diario'!G936))</f>
        <v>45658</v>
      </c>
      <c r="C722">
        <f>IF(ISNUMBER(+IF(IFERROR(VALUE(MID('Libro Diario'!C936,1,4)),0)&lt;&gt;0,'Libro Diario'!C936,0))=FALSE,'Libro Diario'!C936,0)</f>
        <v>0</v>
      </c>
      <c r="D722" s="145">
        <f>+'Libro Diario'!B936</f>
        <v>0</v>
      </c>
      <c r="E722" s="139" t="s">
        <v>445</v>
      </c>
      <c r="F722" t="str">
        <f t="shared" si="33"/>
        <v>Sin Mov.</v>
      </c>
      <c r="G722" t="str">
        <f>IF(+'Libro Diario'!H936=0,"",+'Libro Diario'!H936)</f>
        <v/>
      </c>
      <c r="H722" t="str">
        <f>IF(+'Libro Diario'!I936=0,"",+'Libro Diario'!I936)</f>
        <v/>
      </c>
      <c r="I722" t="str">
        <f>+IF(Table3[[#This Row],[Tipo Movimiento]]="Estructura Balance y PyG","Excluir","Incluir")</f>
        <v>Incluir</v>
      </c>
      <c r="J722" s="153">
        <f>+IF(Table3[[#This Row],[Sin cuenta]]="Con Mov.",(IF(Table3[[#This Row],[Movimiento]]="Debe",Table3[[#This Row],[Importe]],IF(Table3[[#This Row],[Movimiento]]="Haber",Table3[[#This Row],[Importe]]*-1,0))),0)</f>
        <v>0</v>
      </c>
      <c r="K722" s="145">
        <f t="shared" si="34"/>
        <v>0</v>
      </c>
      <c r="L722" s="145" t="str">
        <f t="shared" si="35"/>
        <v/>
      </c>
      <c r="M722" t="str">
        <f>_xlfn.XLOOKUP(Table3[[#This Row],[Cuenta]],Estructura_Balance[Nombre Cuenta ()],Estructura_Balance[Grupo],"",0)</f>
        <v/>
      </c>
      <c r="N722" t="str">
        <f>_xlfn.XLOOKUP(Table3[[#This Row],[Cuenta]],Estructura_Balance[Nombre Cuenta ()],Estructura_Balance[Nivel 1],"",0)</f>
        <v/>
      </c>
      <c r="O722" t="str">
        <f>_xlfn.XLOOKUP(Table3[[#This Row],[Cuenta]],Estructura_Balance[Nombre Cuenta ()],Estructura_Balance[Nivel 2],"",0)</f>
        <v/>
      </c>
      <c r="P722" t="str">
        <f>_xlfn.XLOOKUP(Table3[[#This Row],[Cuenta]],Estructura_Balance[Nombre Cuenta ()],Estructura_Balance[Nivel 3],"",0)</f>
        <v/>
      </c>
      <c r="Q722" t="str">
        <f>_xlfn.XLOOKUP(Table3[[#This Row],[Cuenta]],Estructura_Balance[Nombre Cuenta ()],Estructura_Balance[Nivel 4],"",0)</f>
        <v/>
      </c>
      <c r="R722" t="str">
        <f>_xlfn.XLOOKUP(Table3[[#This Row],[Cuenta]],Table8[Nombre Cuenta ()],Table8[Nivel 1],"",0)</f>
        <v/>
      </c>
      <c r="S722" t="str">
        <f>_xlfn.XLOOKUP(Table3[[#This Row],[Cuenta]],Table8[Nombre Cuenta ()],Table8[Nivel 2],"",0)</f>
        <v/>
      </c>
      <c r="T722" t="str">
        <f>_xlfn.XLOOKUP(Table3[[#This Row],[Cuenta]],Table8[Nombre Cuenta ()],Table8[Nivel 3],"",0)</f>
        <v/>
      </c>
      <c r="U722">
        <v>1182</v>
      </c>
      <c r="V722" t="str">
        <f>_xlfn.XLOOKUP(Table3[[#This Row],[Cuenta]],Estructura_Balance[Nombre Cuenta ()],Estructura_Balance[Niveles:2],"",0)</f>
        <v/>
      </c>
      <c r="W722" t="str">
        <f>_xlfn.XLOOKUP(Table3[[#This Row],[Cuenta]],Estructura_Balance[Nombre Cuenta ()],Estructura_Balance[Niveles:3],"",0)</f>
        <v/>
      </c>
      <c r="X722" t="str">
        <f>_xlfn.XLOOKUP(Table3[[#This Row],[Cuenta]],Estructura_Balance[Nombre Cuenta ()],Estructura_Balance[Grupos],"Grupo 1",0)</f>
        <v>Grupo 1</v>
      </c>
      <c r="Y722" t="str">
        <f>+Table3[[#This Row],[BS_Nivel_1]]</f>
        <v/>
      </c>
    </row>
    <row r="723" spans="1:25">
      <c r="A723">
        <f>+'Libro Diario'!F937</f>
        <v>0</v>
      </c>
      <c r="B723" s="144">
        <f>VALUE(IF(+'Libro Diario'!G937="","01/01/2025",+'Libro Diario'!G937))</f>
        <v>45658</v>
      </c>
      <c r="C723">
        <f>IF(ISNUMBER(+IF(IFERROR(VALUE(MID('Libro Diario'!C937,1,4)),0)&lt;&gt;0,'Libro Diario'!C937,0))=FALSE,'Libro Diario'!C937,0)</f>
        <v>0</v>
      </c>
      <c r="D723" s="145">
        <f>+'Libro Diario'!B937</f>
        <v>0</v>
      </c>
      <c r="E723" s="139" t="s">
        <v>445</v>
      </c>
      <c r="F723" t="str">
        <f t="shared" si="33"/>
        <v>Sin Mov.</v>
      </c>
      <c r="G723" t="str">
        <f>IF(+'Libro Diario'!H937=0,"",+'Libro Diario'!H937)</f>
        <v/>
      </c>
      <c r="H723" t="str">
        <f>IF(+'Libro Diario'!I937=0,"",+'Libro Diario'!I937)</f>
        <v/>
      </c>
      <c r="I723" t="str">
        <f>+IF(Table3[[#This Row],[Tipo Movimiento]]="Estructura Balance y PyG","Excluir","Incluir")</f>
        <v>Incluir</v>
      </c>
      <c r="J723" s="153">
        <f>+IF(Table3[[#This Row],[Sin cuenta]]="Con Mov.",(IF(Table3[[#This Row],[Movimiento]]="Debe",Table3[[#This Row],[Importe]],IF(Table3[[#This Row],[Movimiento]]="Haber",Table3[[#This Row],[Importe]]*-1,0))),0)</f>
        <v>0</v>
      </c>
      <c r="K723" s="145">
        <f t="shared" si="34"/>
        <v>0</v>
      </c>
      <c r="L723" s="145" t="str">
        <f t="shared" si="35"/>
        <v/>
      </c>
      <c r="M723" t="str">
        <f>_xlfn.XLOOKUP(Table3[[#This Row],[Cuenta]],Estructura_Balance[Nombre Cuenta ()],Estructura_Balance[Grupo],"",0)</f>
        <v/>
      </c>
      <c r="N723" t="str">
        <f>_xlfn.XLOOKUP(Table3[[#This Row],[Cuenta]],Estructura_Balance[Nombre Cuenta ()],Estructura_Balance[Nivel 1],"",0)</f>
        <v/>
      </c>
      <c r="O723" t="str">
        <f>_xlfn.XLOOKUP(Table3[[#This Row],[Cuenta]],Estructura_Balance[Nombre Cuenta ()],Estructura_Balance[Nivel 2],"",0)</f>
        <v/>
      </c>
      <c r="P723" t="str">
        <f>_xlfn.XLOOKUP(Table3[[#This Row],[Cuenta]],Estructura_Balance[Nombre Cuenta ()],Estructura_Balance[Nivel 3],"",0)</f>
        <v/>
      </c>
      <c r="Q723" t="str">
        <f>_xlfn.XLOOKUP(Table3[[#This Row],[Cuenta]],Estructura_Balance[Nombre Cuenta ()],Estructura_Balance[Nivel 4],"",0)</f>
        <v/>
      </c>
      <c r="R723" t="str">
        <f>_xlfn.XLOOKUP(Table3[[#This Row],[Cuenta]],Table8[Nombre Cuenta ()],Table8[Nivel 1],"",0)</f>
        <v/>
      </c>
      <c r="S723" t="str">
        <f>_xlfn.XLOOKUP(Table3[[#This Row],[Cuenta]],Table8[Nombre Cuenta ()],Table8[Nivel 2],"",0)</f>
        <v/>
      </c>
      <c r="T723" t="str">
        <f>_xlfn.XLOOKUP(Table3[[#This Row],[Cuenta]],Table8[Nombre Cuenta ()],Table8[Nivel 3],"",0)</f>
        <v/>
      </c>
      <c r="U723">
        <v>1187</v>
      </c>
      <c r="V723" t="str">
        <f>_xlfn.XLOOKUP(Table3[[#This Row],[Cuenta]],Estructura_Balance[Nombre Cuenta ()],Estructura_Balance[Niveles:2],"",0)</f>
        <v/>
      </c>
      <c r="W723" t="str">
        <f>_xlfn.XLOOKUP(Table3[[#This Row],[Cuenta]],Estructura_Balance[Nombre Cuenta ()],Estructura_Balance[Niveles:3],"",0)</f>
        <v/>
      </c>
      <c r="X723" t="str">
        <f>_xlfn.XLOOKUP(Table3[[#This Row],[Cuenta]],Estructura_Balance[Nombre Cuenta ()],Estructura_Balance[Grupos],"Grupo 1",0)</f>
        <v>Grupo 1</v>
      </c>
      <c r="Y723" t="str">
        <f>+Table3[[#This Row],[BS_Nivel_1]]</f>
        <v/>
      </c>
    </row>
    <row r="724" spans="1:25">
      <c r="A724">
        <f>+'Libro Diario'!F938</f>
        <v>0</v>
      </c>
      <c r="B724" s="144">
        <f>VALUE(IF(+'Libro Diario'!G938="","01/01/2025",+'Libro Diario'!G938))</f>
        <v>45658</v>
      </c>
      <c r="C724">
        <f>IF(ISNUMBER(+IF(IFERROR(VALUE(MID('Libro Diario'!C938,1,4)),0)&lt;&gt;0,'Libro Diario'!C938,0))=FALSE,'Libro Diario'!C938,0)</f>
        <v>0</v>
      </c>
      <c r="D724" s="145">
        <f>+'Libro Diario'!B938</f>
        <v>0</v>
      </c>
      <c r="E724" s="139" t="s">
        <v>445</v>
      </c>
      <c r="F724" t="str">
        <f t="shared" si="33"/>
        <v>Sin Mov.</v>
      </c>
      <c r="G724" t="str">
        <f>IF(+'Libro Diario'!H938=0,"",+'Libro Diario'!H938)</f>
        <v/>
      </c>
      <c r="H724" t="str">
        <f>IF(+'Libro Diario'!I938=0,"",+'Libro Diario'!I938)</f>
        <v/>
      </c>
      <c r="I724" t="str">
        <f>+IF(Table3[[#This Row],[Tipo Movimiento]]="Estructura Balance y PyG","Excluir","Incluir")</f>
        <v>Incluir</v>
      </c>
      <c r="J724" s="153">
        <f>+IF(Table3[[#This Row],[Sin cuenta]]="Con Mov.",(IF(Table3[[#This Row],[Movimiento]]="Debe",Table3[[#This Row],[Importe]],IF(Table3[[#This Row],[Movimiento]]="Haber",Table3[[#This Row],[Importe]]*-1,0))),0)</f>
        <v>0</v>
      </c>
      <c r="K724" s="145">
        <f t="shared" si="34"/>
        <v>0</v>
      </c>
      <c r="L724" s="145" t="str">
        <f t="shared" si="35"/>
        <v/>
      </c>
      <c r="M724" t="str">
        <f>_xlfn.XLOOKUP(Table3[[#This Row],[Cuenta]],Estructura_Balance[Nombre Cuenta ()],Estructura_Balance[Grupo],"",0)</f>
        <v/>
      </c>
      <c r="N724" t="str">
        <f>_xlfn.XLOOKUP(Table3[[#This Row],[Cuenta]],Estructura_Balance[Nombre Cuenta ()],Estructura_Balance[Nivel 1],"",0)</f>
        <v/>
      </c>
      <c r="O724" t="str">
        <f>_xlfn.XLOOKUP(Table3[[#This Row],[Cuenta]],Estructura_Balance[Nombre Cuenta ()],Estructura_Balance[Nivel 2],"",0)</f>
        <v/>
      </c>
      <c r="P724" t="str">
        <f>_xlfn.XLOOKUP(Table3[[#This Row],[Cuenta]],Estructura_Balance[Nombre Cuenta ()],Estructura_Balance[Nivel 3],"",0)</f>
        <v/>
      </c>
      <c r="Q724" t="str">
        <f>_xlfn.XLOOKUP(Table3[[#This Row],[Cuenta]],Estructura_Balance[Nombre Cuenta ()],Estructura_Balance[Nivel 4],"",0)</f>
        <v/>
      </c>
      <c r="R724" t="str">
        <f>_xlfn.XLOOKUP(Table3[[#This Row],[Cuenta]],Table8[Nombre Cuenta ()],Table8[Nivel 1],"",0)</f>
        <v/>
      </c>
      <c r="S724" t="str">
        <f>_xlfn.XLOOKUP(Table3[[#This Row],[Cuenta]],Table8[Nombre Cuenta ()],Table8[Nivel 2],"",0)</f>
        <v/>
      </c>
      <c r="T724" t="str">
        <f>_xlfn.XLOOKUP(Table3[[#This Row],[Cuenta]],Table8[Nombre Cuenta ()],Table8[Nivel 3],"",0)</f>
        <v/>
      </c>
      <c r="U724">
        <v>1188</v>
      </c>
      <c r="V724" t="str">
        <f>_xlfn.XLOOKUP(Table3[[#This Row],[Cuenta]],Estructura_Balance[Nombre Cuenta ()],Estructura_Balance[Niveles:2],"",0)</f>
        <v/>
      </c>
      <c r="W724" t="str">
        <f>_xlfn.XLOOKUP(Table3[[#This Row],[Cuenta]],Estructura_Balance[Nombre Cuenta ()],Estructura_Balance[Niveles:3],"",0)</f>
        <v/>
      </c>
      <c r="X724" t="str">
        <f>_xlfn.XLOOKUP(Table3[[#This Row],[Cuenta]],Estructura_Balance[Nombre Cuenta ()],Estructura_Balance[Grupos],"Grupo 1",0)</f>
        <v>Grupo 1</v>
      </c>
      <c r="Y724" t="str">
        <f>+Table3[[#This Row],[BS_Nivel_1]]</f>
        <v/>
      </c>
    </row>
    <row r="725" spans="1:25">
      <c r="A725">
        <f>+'Libro Diario'!F939</f>
        <v>0</v>
      </c>
      <c r="B725" s="144">
        <f>VALUE(IF(+'Libro Diario'!G939="","01/01/2025",+'Libro Diario'!G939))</f>
        <v>45658</v>
      </c>
      <c r="C725">
        <f>IF(ISNUMBER(+IF(IFERROR(VALUE(MID('Libro Diario'!C939,1,4)),0)&lt;&gt;0,'Libro Diario'!C939,0))=FALSE,'Libro Diario'!C939,0)</f>
        <v>0</v>
      </c>
      <c r="D725" s="145">
        <f>+'Libro Diario'!B939</f>
        <v>0</v>
      </c>
      <c r="E725" s="139" t="s">
        <v>445</v>
      </c>
      <c r="F725" t="str">
        <f t="shared" si="33"/>
        <v>Sin Mov.</v>
      </c>
      <c r="G725" t="str">
        <f>IF(+'Libro Diario'!H939=0,"",+'Libro Diario'!H939)</f>
        <v/>
      </c>
      <c r="H725" t="str">
        <f>IF(+'Libro Diario'!I939=0,"",+'Libro Diario'!I939)</f>
        <v/>
      </c>
      <c r="I725" t="str">
        <f>+IF(Table3[[#This Row],[Tipo Movimiento]]="Estructura Balance y PyG","Excluir","Incluir")</f>
        <v>Incluir</v>
      </c>
      <c r="J725" s="153">
        <f>+IF(Table3[[#This Row],[Sin cuenta]]="Con Mov.",(IF(Table3[[#This Row],[Movimiento]]="Debe",Table3[[#This Row],[Importe]],IF(Table3[[#This Row],[Movimiento]]="Haber",Table3[[#This Row],[Importe]]*-1,0))),0)</f>
        <v>0</v>
      </c>
      <c r="K725" s="145">
        <f t="shared" si="34"/>
        <v>0</v>
      </c>
      <c r="L725" s="145" t="str">
        <f t="shared" si="35"/>
        <v/>
      </c>
      <c r="M725" t="str">
        <f>_xlfn.XLOOKUP(Table3[[#This Row],[Cuenta]],Estructura_Balance[Nombre Cuenta ()],Estructura_Balance[Grupo],"",0)</f>
        <v/>
      </c>
      <c r="N725" t="str">
        <f>_xlfn.XLOOKUP(Table3[[#This Row],[Cuenta]],Estructura_Balance[Nombre Cuenta ()],Estructura_Balance[Nivel 1],"",0)</f>
        <v/>
      </c>
      <c r="O725" t="str">
        <f>_xlfn.XLOOKUP(Table3[[#This Row],[Cuenta]],Estructura_Balance[Nombre Cuenta ()],Estructura_Balance[Nivel 2],"",0)</f>
        <v/>
      </c>
      <c r="P725" t="str">
        <f>_xlfn.XLOOKUP(Table3[[#This Row],[Cuenta]],Estructura_Balance[Nombre Cuenta ()],Estructura_Balance[Nivel 3],"",0)</f>
        <v/>
      </c>
      <c r="Q725" t="str">
        <f>_xlfn.XLOOKUP(Table3[[#This Row],[Cuenta]],Estructura_Balance[Nombre Cuenta ()],Estructura_Balance[Nivel 4],"",0)</f>
        <v/>
      </c>
      <c r="R725" t="str">
        <f>_xlfn.XLOOKUP(Table3[[#This Row],[Cuenta]],Table8[Nombre Cuenta ()],Table8[Nivel 1],"",0)</f>
        <v/>
      </c>
      <c r="S725" t="str">
        <f>_xlfn.XLOOKUP(Table3[[#This Row],[Cuenta]],Table8[Nombre Cuenta ()],Table8[Nivel 2],"",0)</f>
        <v/>
      </c>
      <c r="T725" t="str">
        <f>_xlfn.XLOOKUP(Table3[[#This Row],[Cuenta]],Table8[Nombre Cuenta ()],Table8[Nivel 3],"",0)</f>
        <v/>
      </c>
      <c r="U725">
        <v>1189</v>
      </c>
      <c r="V725" t="str">
        <f>_xlfn.XLOOKUP(Table3[[#This Row],[Cuenta]],Estructura_Balance[Nombre Cuenta ()],Estructura_Balance[Niveles:2],"",0)</f>
        <v/>
      </c>
      <c r="W725" t="str">
        <f>_xlfn.XLOOKUP(Table3[[#This Row],[Cuenta]],Estructura_Balance[Nombre Cuenta ()],Estructura_Balance[Niveles:3],"",0)</f>
        <v/>
      </c>
      <c r="X725" t="str">
        <f>_xlfn.XLOOKUP(Table3[[#This Row],[Cuenta]],Estructura_Balance[Nombre Cuenta ()],Estructura_Balance[Grupos],"Grupo 1",0)</f>
        <v>Grupo 1</v>
      </c>
      <c r="Y725" t="str">
        <f>+Table3[[#This Row],[BS_Nivel_1]]</f>
        <v/>
      </c>
    </row>
    <row r="726" spans="1:25">
      <c r="A726">
        <f>+'Libro Diario'!F940</f>
        <v>0</v>
      </c>
      <c r="B726" s="144">
        <f>VALUE(IF(+'Libro Diario'!G940="","01/01/2025",+'Libro Diario'!G940))</f>
        <v>45658</v>
      </c>
      <c r="C726">
        <f>IF(ISNUMBER(+IF(IFERROR(VALUE(MID('Libro Diario'!C940,1,4)),0)&lt;&gt;0,'Libro Diario'!C940,0))=FALSE,'Libro Diario'!C940,0)</f>
        <v>0</v>
      </c>
      <c r="D726" s="145">
        <f>+'Libro Diario'!B940</f>
        <v>0</v>
      </c>
      <c r="E726" s="139" t="s">
        <v>445</v>
      </c>
      <c r="F726" t="str">
        <f t="shared" si="33"/>
        <v>Sin Mov.</v>
      </c>
      <c r="G726" t="str">
        <f>IF(+'Libro Diario'!H940=0,"",+'Libro Diario'!H940)</f>
        <v/>
      </c>
      <c r="H726" t="str">
        <f>IF(+'Libro Diario'!I940=0,"",+'Libro Diario'!I940)</f>
        <v/>
      </c>
      <c r="I726" t="str">
        <f>+IF(Table3[[#This Row],[Tipo Movimiento]]="Estructura Balance y PyG","Excluir","Incluir")</f>
        <v>Incluir</v>
      </c>
      <c r="J726" s="153">
        <f>+IF(Table3[[#This Row],[Sin cuenta]]="Con Mov.",(IF(Table3[[#This Row],[Movimiento]]="Debe",Table3[[#This Row],[Importe]],IF(Table3[[#This Row],[Movimiento]]="Haber",Table3[[#This Row],[Importe]]*-1,0))),0)</f>
        <v>0</v>
      </c>
      <c r="K726" s="145">
        <f t="shared" si="34"/>
        <v>0</v>
      </c>
      <c r="L726" s="145" t="str">
        <f t="shared" si="35"/>
        <v/>
      </c>
      <c r="M726" t="str">
        <f>_xlfn.XLOOKUP(Table3[[#This Row],[Cuenta]],Estructura_Balance[Nombre Cuenta ()],Estructura_Balance[Grupo],"",0)</f>
        <v/>
      </c>
      <c r="N726" t="str">
        <f>_xlfn.XLOOKUP(Table3[[#This Row],[Cuenta]],Estructura_Balance[Nombre Cuenta ()],Estructura_Balance[Nivel 1],"",0)</f>
        <v/>
      </c>
      <c r="O726" t="str">
        <f>_xlfn.XLOOKUP(Table3[[#This Row],[Cuenta]],Estructura_Balance[Nombre Cuenta ()],Estructura_Balance[Nivel 2],"",0)</f>
        <v/>
      </c>
      <c r="P726" t="str">
        <f>_xlfn.XLOOKUP(Table3[[#This Row],[Cuenta]],Estructura_Balance[Nombre Cuenta ()],Estructura_Balance[Nivel 3],"",0)</f>
        <v/>
      </c>
      <c r="Q726" t="str">
        <f>_xlfn.XLOOKUP(Table3[[#This Row],[Cuenta]],Estructura_Balance[Nombre Cuenta ()],Estructura_Balance[Nivel 4],"",0)</f>
        <v/>
      </c>
      <c r="R726" t="str">
        <f>_xlfn.XLOOKUP(Table3[[#This Row],[Cuenta]],Table8[Nombre Cuenta ()],Table8[Nivel 1],"",0)</f>
        <v/>
      </c>
      <c r="S726" t="str">
        <f>_xlfn.XLOOKUP(Table3[[#This Row],[Cuenta]],Table8[Nombre Cuenta ()],Table8[Nivel 2],"",0)</f>
        <v/>
      </c>
      <c r="T726" t="str">
        <f>_xlfn.XLOOKUP(Table3[[#This Row],[Cuenta]],Table8[Nombre Cuenta ()],Table8[Nivel 3],"",0)</f>
        <v/>
      </c>
      <c r="U726">
        <v>1190</v>
      </c>
      <c r="V726" t="str">
        <f>_xlfn.XLOOKUP(Table3[[#This Row],[Cuenta]],Estructura_Balance[Nombre Cuenta ()],Estructura_Balance[Niveles:2],"",0)</f>
        <v/>
      </c>
      <c r="W726" t="str">
        <f>_xlfn.XLOOKUP(Table3[[#This Row],[Cuenta]],Estructura_Balance[Nombre Cuenta ()],Estructura_Balance[Niveles:3],"",0)</f>
        <v/>
      </c>
      <c r="X726" t="str">
        <f>_xlfn.XLOOKUP(Table3[[#This Row],[Cuenta]],Estructura_Balance[Nombre Cuenta ()],Estructura_Balance[Grupos],"Grupo 1",0)</f>
        <v>Grupo 1</v>
      </c>
      <c r="Y726" t="str">
        <f>+Table3[[#This Row],[BS_Nivel_1]]</f>
        <v/>
      </c>
    </row>
    <row r="727" spans="1:25">
      <c r="A727">
        <f>+'Libro Diario'!F941</f>
        <v>0</v>
      </c>
      <c r="B727" s="144">
        <f>VALUE(IF(+'Libro Diario'!G941="","01/01/2025",+'Libro Diario'!G941))</f>
        <v>45658</v>
      </c>
      <c r="C727">
        <f>IF(ISNUMBER(+IF(IFERROR(VALUE(MID('Libro Diario'!C941,1,4)),0)&lt;&gt;0,'Libro Diario'!C941,0))=FALSE,'Libro Diario'!C941,0)</f>
        <v>0</v>
      </c>
      <c r="D727" s="145">
        <f>+'Libro Diario'!B941</f>
        <v>0</v>
      </c>
      <c r="E727" s="139" t="s">
        <v>445</v>
      </c>
      <c r="F727" t="str">
        <f t="shared" si="33"/>
        <v>Sin Mov.</v>
      </c>
      <c r="G727" t="str">
        <f>IF(+'Libro Diario'!H941=0,"",+'Libro Diario'!H941)</f>
        <v/>
      </c>
      <c r="H727" t="str">
        <f>IF(+'Libro Diario'!I941=0,"",+'Libro Diario'!I941)</f>
        <v/>
      </c>
      <c r="I727" t="str">
        <f>+IF(Table3[[#This Row],[Tipo Movimiento]]="Estructura Balance y PyG","Excluir","Incluir")</f>
        <v>Incluir</v>
      </c>
      <c r="J727" s="153">
        <f>+IF(Table3[[#This Row],[Sin cuenta]]="Con Mov.",(IF(Table3[[#This Row],[Movimiento]]="Debe",Table3[[#This Row],[Importe]],IF(Table3[[#This Row],[Movimiento]]="Haber",Table3[[#This Row],[Importe]]*-1,0))),0)</f>
        <v>0</v>
      </c>
      <c r="K727" s="145">
        <f t="shared" si="34"/>
        <v>0</v>
      </c>
      <c r="L727" s="145" t="str">
        <f t="shared" si="35"/>
        <v/>
      </c>
      <c r="M727" t="str">
        <f>_xlfn.XLOOKUP(Table3[[#This Row],[Cuenta]],Estructura_Balance[Nombre Cuenta ()],Estructura_Balance[Grupo],"",0)</f>
        <v/>
      </c>
      <c r="N727" t="str">
        <f>_xlfn.XLOOKUP(Table3[[#This Row],[Cuenta]],Estructura_Balance[Nombre Cuenta ()],Estructura_Balance[Nivel 1],"",0)</f>
        <v/>
      </c>
      <c r="O727" t="str">
        <f>_xlfn.XLOOKUP(Table3[[#This Row],[Cuenta]],Estructura_Balance[Nombre Cuenta ()],Estructura_Balance[Nivel 2],"",0)</f>
        <v/>
      </c>
      <c r="P727" t="str">
        <f>_xlfn.XLOOKUP(Table3[[#This Row],[Cuenta]],Estructura_Balance[Nombre Cuenta ()],Estructura_Balance[Nivel 3],"",0)</f>
        <v/>
      </c>
      <c r="Q727" t="str">
        <f>_xlfn.XLOOKUP(Table3[[#This Row],[Cuenta]],Estructura_Balance[Nombre Cuenta ()],Estructura_Balance[Nivel 4],"",0)</f>
        <v/>
      </c>
      <c r="R727" t="str">
        <f>_xlfn.XLOOKUP(Table3[[#This Row],[Cuenta]],Table8[Nombre Cuenta ()],Table8[Nivel 1],"",0)</f>
        <v/>
      </c>
      <c r="S727" t="str">
        <f>_xlfn.XLOOKUP(Table3[[#This Row],[Cuenta]],Table8[Nombre Cuenta ()],Table8[Nivel 2],"",0)</f>
        <v/>
      </c>
      <c r="T727" t="str">
        <f>_xlfn.XLOOKUP(Table3[[#This Row],[Cuenta]],Table8[Nombre Cuenta ()],Table8[Nivel 3],"",0)</f>
        <v/>
      </c>
      <c r="U727">
        <v>1191</v>
      </c>
      <c r="V727" t="str">
        <f>_xlfn.XLOOKUP(Table3[[#This Row],[Cuenta]],Estructura_Balance[Nombre Cuenta ()],Estructura_Balance[Niveles:2],"",0)</f>
        <v/>
      </c>
      <c r="W727" t="str">
        <f>_xlfn.XLOOKUP(Table3[[#This Row],[Cuenta]],Estructura_Balance[Nombre Cuenta ()],Estructura_Balance[Niveles:3],"",0)</f>
        <v/>
      </c>
      <c r="X727" t="str">
        <f>_xlfn.XLOOKUP(Table3[[#This Row],[Cuenta]],Estructura_Balance[Nombre Cuenta ()],Estructura_Balance[Grupos],"Grupo 1",0)</f>
        <v>Grupo 1</v>
      </c>
      <c r="Y727" t="str">
        <f>+Table3[[#This Row],[BS_Nivel_1]]</f>
        <v/>
      </c>
    </row>
    <row r="728" spans="1:25">
      <c r="A728">
        <f>+'Libro Diario'!F942</f>
        <v>0</v>
      </c>
      <c r="B728" s="144">
        <f>VALUE(IF(+'Libro Diario'!G942="","01/01/2025",+'Libro Diario'!G942))</f>
        <v>45658</v>
      </c>
      <c r="C728">
        <f>IF(ISNUMBER(+IF(IFERROR(VALUE(MID('Libro Diario'!C942,1,4)),0)&lt;&gt;0,'Libro Diario'!C942,0))=FALSE,'Libro Diario'!C942,0)</f>
        <v>0</v>
      </c>
      <c r="D728" s="145">
        <f>+'Libro Diario'!B942</f>
        <v>0</v>
      </c>
      <c r="E728" s="139" t="s">
        <v>445</v>
      </c>
      <c r="F728" t="str">
        <f t="shared" si="33"/>
        <v>Sin Mov.</v>
      </c>
      <c r="G728" t="str">
        <f>IF(+'Libro Diario'!H942=0,"",+'Libro Diario'!H942)</f>
        <v/>
      </c>
      <c r="H728" t="str">
        <f>IF(+'Libro Diario'!I942=0,"",+'Libro Diario'!I942)</f>
        <v/>
      </c>
      <c r="I728" t="str">
        <f>+IF(Table3[[#This Row],[Tipo Movimiento]]="Estructura Balance y PyG","Excluir","Incluir")</f>
        <v>Incluir</v>
      </c>
      <c r="J728" s="153">
        <f>+IF(Table3[[#This Row],[Sin cuenta]]="Con Mov.",(IF(Table3[[#This Row],[Movimiento]]="Debe",Table3[[#This Row],[Importe]],IF(Table3[[#This Row],[Movimiento]]="Haber",Table3[[#This Row],[Importe]]*-1,0))),0)</f>
        <v>0</v>
      </c>
      <c r="K728" s="145">
        <f t="shared" si="34"/>
        <v>0</v>
      </c>
      <c r="L728" s="145" t="str">
        <f t="shared" si="35"/>
        <v/>
      </c>
      <c r="M728" t="str">
        <f>_xlfn.XLOOKUP(Table3[[#This Row],[Cuenta]],Estructura_Balance[Nombre Cuenta ()],Estructura_Balance[Grupo],"",0)</f>
        <v/>
      </c>
      <c r="N728" t="str">
        <f>_xlfn.XLOOKUP(Table3[[#This Row],[Cuenta]],Estructura_Balance[Nombre Cuenta ()],Estructura_Balance[Nivel 1],"",0)</f>
        <v/>
      </c>
      <c r="O728" t="str">
        <f>_xlfn.XLOOKUP(Table3[[#This Row],[Cuenta]],Estructura_Balance[Nombre Cuenta ()],Estructura_Balance[Nivel 2],"",0)</f>
        <v/>
      </c>
      <c r="P728" t="str">
        <f>_xlfn.XLOOKUP(Table3[[#This Row],[Cuenta]],Estructura_Balance[Nombre Cuenta ()],Estructura_Balance[Nivel 3],"",0)</f>
        <v/>
      </c>
      <c r="Q728" t="str">
        <f>_xlfn.XLOOKUP(Table3[[#This Row],[Cuenta]],Estructura_Balance[Nombre Cuenta ()],Estructura_Balance[Nivel 4],"",0)</f>
        <v/>
      </c>
      <c r="R728" t="str">
        <f>_xlfn.XLOOKUP(Table3[[#This Row],[Cuenta]],Table8[Nombre Cuenta ()],Table8[Nivel 1],"",0)</f>
        <v/>
      </c>
      <c r="S728" t="str">
        <f>_xlfn.XLOOKUP(Table3[[#This Row],[Cuenta]],Table8[Nombre Cuenta ()],Table8[Nivel 2],"",0)</f>
        <v/>
      </c>
      <c r="T728" t="str">
        <f>_xlfn.XLOOKUP(Table3[[#This Row],[Cuenta]],Table8[Nombre Cuenta ()],Table8[Nivel 3],"",0)</f>
        <v/>
      </c>
      <c r="U728">
        <v>1194</v>
      </c>
      <c r="V728" t="str">
        <f>_xlfn.XLOOKUP(Table3[[#This Row],[Cuenta]],Estructura_Balance[Nombre Cuenta ()],Estructura_Balance[Niveles:2],"",0)</f>
        <v/>
      </c>
      <c r="W728" t="str">
        <f>_xlfn.XLOOKUP(Table3[[#This Row],[Cuenta]],Estructura_Balance[Nombre Cuenta ()],Estructura_Balance[Niveles:3],"",0)</f>
        <v/>
      </c>
      <c r="X728" t="str">
        <f>_xlfn.XLOOKUP(Table3[[#This Row],[Cuenta]],Estructura_Balance[Nombre Cuenta ()],Estructura_Balance[Grupos],"Grupo 1",0)</f>
        <v>Grupo 1</v>
      </c>
      <c r="Y728" t="str">
        <f>+Table3[[#This Row],[BS_Nivel_1]]</f>
        <v/>
      </c>
    </row>
    <row r="729" spans="1:25">
      <c r="A729">
        <f>+'Libro Diario'!F943</f>
        <v>0</v>
      </c>
      <c r="B729" s="144">
        <f>VALUE(IF(+'Libro Diario'!G943="","01/01/2025",+'Libro Diario'!G943))</f>
        <v>45658</v>
      </c>
      <c r="C729">
        <f>IF(ISNUMBER(+IF(IFERROR(VALUE(MID('Libro Diario'!C943,1,4)),0)&lt;&gt;0,'Libro Diario'!C943,0))=FALSE,'Libro Diario'!C943,0)</f>
        <v>0</v>
      </c>
      <c r="D729" s="145">
        <f>+'Libro Diario'!B943</f>
        <v>0</v>
      </c>
      <c r="E729" s="139" t="s">
        <v>445</v>
      </c>
      <c r="F729" t="str">
        <f t="shared" si="33"/>
        <v>Sin Mov.</v>
      </c>
      <c r="G729" t="str">
        <f>IF(+'Libro Diario'!H943=0,"",+'Libro Diario'!H943)</f>
        <v/>
      </c>
      <c r="H729" t="str">
        <f>IF(+'Libro Diario'!I943=0,"",+'Libro Diario'!I943)</f>
        <v/>
      </c>
      <c r="I729" t="str">
        <f>+IF(Table3[[#This Row],[Tipo Movimiento]]="Estructura Balance y PyG","Excluir","Incluir")</f>
        <v>Incluir</v>
      </c>
      <c r="J729" s="153">
        <f>+IF(Table3[[#This Row],[Sin cuenta]]="Con Mov.",(IF(Table3[[#This Row],[Movimiento]]="Debe",Table3[[#This Row],[Importe]],IF(Table3[[#This Row],[Movimiento]]="Haber",Table3[[#This Row],[Importe]]*-1,0))),0)</f>
        <v>0</v>
      </c>
      <c r="K729" s="145">
        <f t="shared" si="34"/>
        <v>0</v>
      </c>
      <c r="L729" s="145" t="str">
        <f t="shared" si="35"/>
        <v/>
      </c>
      <c r="M729" t="str">
        <f>_xlfn.XLOOKUP(Table3[[#This Row],[Cuenta]],Estructura_Balance[Nombre Cuenta ()],Estructura_Balance[Grupo],"",0)</f>
        <v/>
      </c>
      <c r="N729" t="str">
        <f>_xlfn.XLOOKUP(Table3[[#This Row],[Cuenta]],Estructura_Balance[Nombre Cuenta ()],Estructura_Balance[Nivel 1],"",0)</f>
        <v/>
      </c>
      <c r="O729" t="str">
        <f>_xlfn.XLOOKUP(Table3[[#This Row],[Cuenta]],Estructura_Balance[Nombre Cuenta ()],Estructura_Balance[Nivel 2],"",0)</f>
        <v/>
      </c>
      <c r="P729" t="str">
        <f>_xlfn.XLOOKUP(Table3[[#This Row],[Cuenta]],Estructura_Balance[Nombre Cuenta ()],Estructura_Balance[Nivel 3],"",0)</f>
        <v/>
      </c>
      <c r="Q729" t="str">
        <f>_xlfn.XLOOKUP(Table3[[#This Row],[Cuenta]],Estructura_Balance[Nombre Cuenta ()],Estructura_Balance[Nivel 4],"",0)</f>
        <v/>
      </c>
      <c r="R729" t="str">
        <f>_xlfn.XLOOKUP(Table3[[#This Row],[Cuenta]],Table8[Nombre Cuenta ()],Table8[Nivel 1],"",0)</f>
        <v/>
      </c>
      <c r="S729" t="str">
        <f>_xlfn.XLOOKUP(Table3[[#This Row],[Cuenta]],Table8[Nombre Cuenta ()],Table8[Nivel 2],"",0)</f>
        <v/>
      </c>
      <c r="T729" t="str">
        <f>_xlfn.XLOOKUP(Table3[[#This Row],[Cuenta]],Table8[Nombre Cuenta ()],Table8[Nivel 3],"",0)</f>
        <v/>
      </c>
      <c r="U729">
        <v>1195</v>
      </c>
      <c r="V729" t="str">
        <f>_xlfn.XLOOKUP(Table3[[#This Row],[Cuenta]],Estructura_Balance[Nombre Cuenta ()],Estructura_Balance[Niveles:2],"",0)</f>
        <v/>
      </c>
      <c r="W729" t="str">
        <f>_xlfn.XLOOKUP(Table3[[#This Row],[Cuenta]],Estructura_Balance[Nombre Cuenta ()],Estructura_Balance[Niveles:3],"",0)</f>
        <v/>
      </c>
      <c r="X729" t="str">
        <f>_xlfn.XLOOKUP(Table3[[#This Row],[Cuenta]],Estructura_Balance[Nombre Cuenta ()],Estructura_Balance[Grupos],"Grupo 1",0)</f>
        <v>Grupo 1</v>
      </c>
      <c r="Y729" t="str">
        <f>+Table3[[#This Row],[BS_Nivel_1]]</f>
        <v/>
      </c>
    </row>
    <row r="730" spans="1:25">
      <c r="A730">
        <f>+'Libro Diario'!F944</f>
        <v>0</v>
      </c>
      <c r="B730" s="144">
        <f>VALUE(IF(+'Libro Diario'!G944="","01/01/2025",+'Libro Diario'!G944))</f>
        <v>45658</v>
      </c>
      <c r="C730">
        <f>IF(ISNUMBER(+IF(IFERROR(VALUE(MID('Libro Diario'!C944,1,4)),0)&lt;&gt;0,'Libro Diario'!C944,0))=FALSE,'Libro Diario'!C944,0)</f>
        <v>0</v>
      </c>
      <c r="D730" s="145">
        <f>+'Libro Diario'!B944</f>
        <v>0</v>
      </c>
      <c r="E730" s="139" t="s">
        <v>445</v>
      </c>
      <c r="F730" t="str">
        <f t="shared" si="33"/>
        <v>Sin Mov.</v>
      </c>
      <c r="G730" t="str">
        <f>IF(+'Libro Diario'!H944=0,"",+'Libro Diario'!H944)</f>
        <v/>
      </c>
      <c r="H730" t="str">
        <f>IF(+'Libro Diario'!I944=0,"",+'Libro Diario'!I944)</f>
        <v/>
      </c>
      <c r="I730" t="str">
        <f>+IF(Table3[[#This Row],[Tipo Movimiento]]="Estructura Balance y PyG","Excluir","Incluir")</f>
        <v>Incluir</v>
      </c>
      <c r="J730" s="153">
        <f>+IF(Table3[[#This Row],[Sin cuenta]]="Con Mov.",(IF(Table3[[#This Row],[Movimiento]]="Debe",Table3[[#This Row],[Importe]],IF(Table3[[#This Row],[Movimiento]]="Haber",Table3[[#This Row],[Importe]]*-1,0))),0)</f>
        <v>0</v>
      </c>
      <c r="K730" s="145">
        <f t="shared" si="34"/>
        <v>0</v>
      </c>
      <c r="L730" s="145" t="str">
        <f t="shared" si="35"/>
        <v/>
      </c>
      <c r="M730" t="str">
        <f>_xlfn.XLOOKUP(Table3[[#This Row],[Cuenta]],Estructura_Balance[Nombre Cuenta ()],Estructura_Balance[Grupo],"",0)</f>
        <v/>
      </c>
      <c r="N730" t="str">
        <f>_xlfn.XLOOKUP(Table3[[#This Row],[Cuenta]],Estructura_Balance[Nombre Cuenta ()],Estructura_Balance[Nivel 1],"",0)</f>
        <v/>
      </c>
      <c r="O730" t="str">
        <f>_xlfn.XLOOKUP(Table3[[#This Row],[Cuenta]],Estructura_Balance[Nombre Cuenta ()],Estructura_Balance[Nivel 2],"",0)</f>
        <v/>
      </c>
      <c r="P730" t="str">
        <f>_xlfn.XLOOKUP(Table3[[#This Row],[Cuenta]],Estructura_Balance[Nombre Cuenta ()],Estructura_Balance[Nivel 3],"",0)</f>
        <v/>
      </c>
      <c r="Q730" t="str">
        <f>_xlfn.XLOOKUP(Table3[[#This Row],[Cuenta]],Estructura_Balance[Nombre Cuenta ()],Estructura_Balance[Nivel 4],"",0)</f>
        <v/>
      </c>
      <c r="R730" t="str">
        <f>_xlfn.XLOOKUP(Table3[[#This Row],[Cuenta]],Table8[Nombre Cuenta ()],Table8[Nivel 1],"",0)</f>
        <v/>
      </c>
      <c r="S730" t="str">
        <f>_xlfn.XLOOKUP(Table3[[#This Row],[Cuenta]],Table8[Nombre Cuenta ()],Table8[Nivel 2],"",0)</f>
        <v/>
      </c>
      <c r="T730" t="str">
        <f>_xlfn.XLOOKUP(Table3[[#This Row],[Cuenta]],Table8[Nombre Cuenta ()],Table8[Nivel 3],"",0)</f>
        <v/>
      </c>
      <c r="U730">
        <v>1196</v>
      </c>
      <c r="V730" t="str">
        <f>_xlfn.XLOOKUP(Table3[[#This Row],[Cuenta]],Estructura_Balance[Nombre Cuenta ()],Estructura_Balance[Niveles:2],"",0)</f>
        <v/>
      </c>
      <c r="W730" t="str">
        <f>_xlfn.XLOOKUP(Table3[[#This Row],[Cuenta]],Estructura_Balance[Nombre Cuenta ()],Estructura_Balance[Niveles:3],"",0)</f>
        <v/>
      </c>
      <c r="X730" t="str">
        <f>_xlfn.XLOOKUP(Table3[[#This Row],[Cuenta]],Estructura_Balance[Nombre Cuenta ()],Estructura_Balance[Grupos],"Grupo 1",0)</f>
        <v>Grupo 1</v>
      </c>
      <c r="Y730" t="str">
        <f>+Table3[[#This Row],[BS_Nivel_1]]</f>
        <v/>
      </c>
    </row>
    <row r="731" spans="1:25">
      <c r="A731">
        <f>+'Libro Diario'!F945</f>
        <v>0</v>
      </c>
      <c r="B731" s="144">
        <f>VALUE(IF(+'Libro Diario'!G945="","01/01/2025",+'Libro Diario'!G945))</f>
        <v>45658</v>
      </c>
      <c r="C731">
        <f>IF(ISNUMBER(+IF(IFERROR(VALUE(MID('Libro Diario'!C945,1,4)),0)&lt;&gt;0,'Libro Diario'!C945,0))=FALSE,'Libro Diario'!C945,0)</f>
        <v>0</v>
      </c>
      <c r="D731" s="145">
        <f>+'Libro Diario'!B945</f>
        <v>0</v>
      </c>
      <c r="E731" s="139" t="s">
        <v>445</v>
      </c>
      <c r="F731" t="str">
        <f t="shared" si="33"/>
        <v>Sin Mov.</v>
      </c>
      <c r="G731" t="str">
        <f>IF(+'Libro Diario'!H945=0,"",+'Libro Diario'!H945)</f>
        <v/>
      </c>
      <c r="H731" t="str">
        <f>IF(+'Libro Diario'!I945=0,"",+'Libro Diario'!I945)</f>
        <v/>
      </c>
      <c r="I731" t="str">
        <f>+IF(Table3[[#This Row],[Tipo Movimiento]]="Estructura Balance y PyG","Excluir","Incluir")</f>
        <v>Incluir</v>
      </c>
      <c r="J731" s="153">
        <f>+IF(Table3[[#This Row],[Sin cuenta]]="Con Mov.",(IF(Table3[[#This Row],[Movimiento]]="Debe",Table3[[#This Row],[Importe]],IF(Table3[[#This Row],[Movimiento]]="Haber",Table3[[#This Row],[Importe]]*-1,0))),0)</f>
        <v>0</v>
      </c>
      <c r="K731" s="145">
        <f t="shared" si="34"/>
        <v>0</v>
      </c>
      <c r="L731" s="145" t="str">
        <f t="shared" si="35"/>
        <v/>
      </c>
      <c r="M731" t="str">
        <f>_xlfn.XLOOKUP(Table3[[#This Row],[Cuenta]],Estructura_Balance[Nombre Cuenta ()],Estructura_Balance[Grupo],"",0)</f>
        <v/>
      </c>
      <c r="N731" t="str">
        <f>_xlfn.XLOOKUP(Table3[[#This Row],[Cuenta]],Estructura_Balance[Nombre Cuenta ()],Estructura_Balance[Nivel 1],"",0)</f>
        <v/>
      </c>
      <c r="O731" t="str">
        <f>_xlfn.XLOOKUP(Table3[[#This Row],[Cuenta]],Estructura_Balance[Nombre Cuenta ()],Estructura_Balance[Nivel 2],"",0)</f>
        <v/>
      </c>
      <c r="P731" t="str">
        <f>_xlfn.XLOOKUP(Table3[[#This Row],[Cuenta]],Estructura_Balance[Nombre Cuenta ()],Estructura_Balance[Nivel 3],"",0)</f>
        <v/>
      </c>
      <c r="Q731" t="str">
        <f>_xlfn.XLOOKUP(Table3[[#This Row],[Cuenta]],Estructura_Balance[Nombre Cuenta ()],Estructura_Balance[Nivel 4],"",0)</f>
        <v/>
      </c>
      <c r="R731" t="str">
        <f>_xlfn.XLOOKUP(Table3[[#This Row],[Cuenta]],Table8[Nombre Cuenta ()],Table8[Nivel 1],"",0)</f>
        <v/>
      </c>
      <c r="S731" t="str">
        <f>_xlfn.XLOOKUP(Table3[[#This Row],[Cuenta]],Table8[Nombre Cuenta ()],Table8[Nivel 2],"",0)</f>
        <v/>
      </c>
      <c r="T731" t="str">
        <f>_xlfn.XLOOKUP(Table3[[#This Row],[Cuenta]],Table8[Nombre Cuenta ()],Table8[Nivel 3],"",0)</f>
        <v/>
      </c>
      <c r="U731">
        <v>1197</v>
      </c>
      <c r="V731" t="str">
        <f>_xlfn.XLOOKUP(Table3[[#This Row],[Cuenta]],Estructura_Balance[Nombre Cuenta ()],Estructura_Balance[Niveles:2],"",0)</f>
        <v/>
      </c>
      <c r="W731" t="str">
        <f>_xlfn.XLOOKUP(Table3[[#This Row],[Cuenta]],Estructura_Balance[Nombre Cuenta ()],Estructura_Balance[Niveles:3],"",0)</f>
        <v/>
      </c>
      <c r="X731" t="str">
        <f>_xlfn.XLOOKUP(Table3[[#This Row],[Cuenta]],Estructura_Balance[Nombre Cuenta ()],Estructura_Balance[Grupos],"Grupo 1",0)</f>
        <v>Grupo 1</v>
      </c>
      <c r="Y731" t="str">
        <f>+Table3[[#This Row],[BS_Nivel_1]]</f>
        <v/>
      </c>
    </row>
    <row r="732" spans="1:25">
      <c r="A732">
        <f>+'Libro Diario'!F946</f>
        <v>0</v>
      </c>
      <c r="B732" s="144">
        <f>VALUE(IF(+'Libro Diario'!G946="","01/01/2025",+'Libro Diario'!G946))</f>
        <v>45658</v>
      </c>
      <c r="C732">
        <f>IF(ISNUMBER(+IF(IFERROR(VALUE(MID('Libro Diario'!C946,1,4)),0)&lt;&gt;0,'Libro Diario'!C946,0))=FALSE,'Libro Diario'!C946,0)</f>
        <v>0</v>
      </c>
      <c r="D732" s="145">
        <f>+'Libro Diario'!B946</f>
        <v>0</v>
      </c>
      <c r="E732" s="139" t="s">
        <v>445</v>
      </c>
      <c r="F732" t="str">
        <f t="shared" si="33"/>
        <v>Sin Mov.</v>
      </c>
      <c r="G732" t="str">
        <f>IF(+'Libro Diario'!H946=0,"",+'Libro Diario'!H946)</f>
        <v/>
      </c>
      <c r="H732" t="str">
        <f>IF(+'Libro Diario'!I946=0,"",+'Libro Diario'!I946)</f>
        <v/>
      </c>
      <c r="I732" t="str">
        <f>+IF(Table3[[#This Row],[Tipo Movimiento]]="Estructura Balance y PyG","Excluir","Incluir")</f>
        <v>Incluir</v>
      </c>
      <c r="J732" s="153">
        <f>+IF(Table3[[#This Row],[Sin cuenta]]="Con Mov.",(IF(Table3[[#This Row],[Movimiento]]="Debe",Table3[[#This Row],[Importe]],IF(Table3[[#This Row],[Movimiento]]="Haber",Table3[[#This Row],[Importe]]*-1,0))),0)</f>
        <v>0</v>
      </c>
      <c r="K732" s="145">
        <f t="shared" si="34"/>
        <v>0</v>
      </c>
      <c r="L732" s="145" t="str">
        <f t="shared" si="35"/>
        <v/>
      </c>
      <c r="M732" t="str">
        <f>_xlfn.XLOOKUP(Table3[[#This Row],[Cuenta]],Estructura_Balance[Nombre Cuenta ()],Estructura_Balance[Grupo],"",0)</f>
        <v/>
      </c>
      <c r="N732" t="str">
        <f>_xlfn.XLOOKUP(Table3[[#This Row],[Cuenta]],Estructura_Balance[Nombre Cuenta ()],Estructura_Balance[Nivel 1],"",0)</f>
        <v/>
      </c>
      <c r="O732" t="str">
        <f>_xlfn.XLOOKUP(Table3[[#This Row],[Cuenta]],Estructura_Balance[Nombre Cuenta ()],Estructura_Balance[Nivel 2],"",0)</f>
        <v/>
      </c>
      <c r="P732" t="str">
        <f>_xlfn.XLOOKUP(Table3[[#This Row],[Cuenta]],Estructura_Balance[Nombre Cuenta ()],Estructura_Balance[Nivel 3],"",0)</f>
        <v/>
      </c>
      <c r="Q732" t="str">
        <f>_xlfn.XLOOKUP(Table3[[#This Row],[Cuenta]],Estructura_Balance[Nombre Cuenta ()],Estructura_Balance[Nivel 4],"",0)</f>
        <v/>
      </c>
      <c r="R732" t="str">
        <f>_xlfn.XLOOKUP(Table3[[#This Row],[Cuenta]],Table8[Nombre Cuenta ()],Table8[Nivel 1],"",0)</f>
        <v/>
      </c>
      <c r="S732" t="str">
        <f>_xlfn.XLOOKUP(Table3[[#This Row],[Cuenta]],Table8[Nombre Cuenta ()],Table8[Nivel 2],"",0)</f>
        <v/>
      </c>
      <c r="T732" t="str">
        <f>_xlfn.XLOOKUP(Table3[[#This Row],[Cuenta]],Table8[Nombre Cuenta ()],Table8[Nivel 3],"",0)</f>
        <v/>
      </c>
      <c r="U732">
        <v>1198</v>
      </c>
      <c r="V732" t="str">
        <f>_xlfn.XLOOKUP(Table3[[#This Row],[Cuenta]],Estructura_Balance[Nombre Cuenta ()],Estructura_Balance[Niveles:2],"",0)</f>
        <v/>
      </c>
      <c r="W732" t="str">
        <f>_xlfn.XLOOKUP(Table3[[#This Row],[Cuenta]],Estructura_Balance[Nombre Cuenta ()],Estructura_Balance[Niveles:3],"",0)</f>
        <v/>
      </c>
      <c r="X732" t="str">
        <f>_xlfn.XLOOKUP(Table3[[#This Row],[Cuenta]],Estructura_Balance[Nombre Cuenta ()],Estructura_Balance[Grupos],"Grupo 1",0)</f>
        <v>Grupo 1</v>
      </c>
      <c r="Y732" t="str">
        <f>+Table3[[#This Row],[BS_Nivel_1]]</f>
        <v/>
      </c>
    </row>
    <row r="733" spans="1:25">
      <c r="A733">
        <f>+'Libro Diario'!F947</f>
        <v>0</v>
      </c>
      <c r="B733" s="144">
        <f>VALUE(IF(+'Libro Diario'!G947="","01/01/2025",+'Libro Diario'!G947))</f>
        <v>45658</v>
      </c>
      <c r="C733">
        <f>IF(ISNUMBER(+IF(IFERROR(VALUE(MID('Libro Diario'!C947,1,4)),0)&lt;&gt;0,'Libro Diario'!C947,0))=FALSE,'Libro Diario'!C947,0)</f>
        <v>0</v>
      </c>
      <c r="D733" s="145">
        <f>+'Libro Diario'!B947</f>
        <v>0</v>
      </c>
      <c r="E733" s="139" t="s">
        <v>445</v>
      </c>
      <c r="F733" t="str">
        <f t="shared" si="33"/>
        <v>Sin Mov.</v>
      </c>
      <c r="G733" t="str">
        <f>IF(+'Libro Diario'!H947=0,"",+'Libro Diario'!H947)</f>
        <v/>
      </c>
      <c r="H733" t="str">
        <f>IF(+'Libro Diario'!I947=0,"",+'Libro Diario'!I947)</f>
        <v/>
      </c>
      <c r="I733" t="str">
        <f>+IF(Table3[[#This Row],[Tipo Movimiento]]="Estructura Balance y PyG","Excluir","Incluir")</f>
        <v>Incluir</v>
      </c>
      <c r="J733" s="153">
        <f>+IF(Table3[[#This Row],[Sin cuenta]]="Con Mov.",(IF(Table3[[#This Row],[Movimiento]]="Debe",Table3[[#This Row],[Importe]],IF(Table3[[#This Row],[Movimiento]]="Haber",Table3[[#This Row],[Importe]]*-1,0))),0)</f>
        <v>0</v>
      </c>
      <c r="K733" s="145">
        <f t="shared" si="34"/>
        <v>0</v>
      </c>
      <c r="L733" s="145" t="str">
        <f t="shared" si="35"/>
        <v/>
      </c>
      <c r="M733" t="str">
        <f>_xlfn.XLOOKUP(Table3[[#This Row],[Cuenta]],Estructura_Balance[Nombre Cuenta ()],Estructura_Balance[Grupo],"",0)</f>
        <v/>
      </c>
      <c r="N733" t="str">
        <f>_xlfn.XLOOKUP(Table3[[#This Row],[Cuenta]],Estructura_Balance[Nombre Cuenta ()],Estructura_Balance[Nivel 1],"",0)</f>
        <v/>
      </c>
      <c r="O733" t="str">
        <f>_xlfn.XLOOKUP(Table3[[#This Row],[Cuenta]],Estructura_Balance[Nombre Cuenta ()],Estructura_Balance[Nivel 2],"",0)</f>
        <v/>
      </c>
      <c r="P733" t="str">
        <f>_xlfn.XLOOKUP(Table3[[#This Row],[Cuenta]],Estructura_Balance[Nombre Cuenta ()],Estructura_Balance[Nivel 3],"",0)</f>
        <v/>
      </c>
      <c r="Q733" t="str">
        <f>_xlfn.XLOOKUP(Table3[[#This Row],[Cuenta]],Estructura_Balance[Nombre Cuenta ()],Estructura_Balance[Nivel 4],"",0)</f>
        <v/>
      </c>
      <c r="R733" t="str">
        <f>_xlfn.XLOOKUP(Table3[[#This Row],[Cuenta]],Table8[Nombre Cuenta ()],Table8[Nivel 1],"",0)</f>
        <v/>
      </c>
      <c r="S733" t="str">
        <f>_xlfn.XLOOKUP(Table3[[#This Row],[Cuenta]],Table8[Nombre Cuenta ()],Table8[Nivel 2],"",0)</f>
        <v/>
      </c>
      <c r="T733" t="str">
        <f>_xlfn.XLOOKUP(Table3[[#This Row],[Cuenta]],Table8[Nombre Cuenta ()],Table8[Nivel 3],"",0)</f>
        <v/>
      </c>
      <c r="U733">
        <v>1201</v>
      </c>
      <c r="V733" t="str">
        <f>_xlfn.XLOOKUP(Table3[[#This Row],[Cuenta]],Estructura_Balance[Nombre Cuenta ()],Estructura_Balance[Niveles:2],"",0)</f>
        <v/>
      </c>
      <c r="W733" t="str">
        <f>_xlfn.XLOOKUP(Table3[[#This Row],[Cuenta]],Estructura_Balance[Nombre Cuenta ()],Estructura_Balance[Niveles:3],"",0)</f>
        <v/>
      </c>
      <c r="X733" t="str">
        <f>_xlfn.XLOOKUP(Table3[[#This Row],[Cuenta]],Estructura_Balance[Nombre Cuenta ()],Estructura_Balance[Grupos],"Grupo 1",0)</f>
        <v>Grupo 1</v>
      </c>
      <c r="Y733" t="str">
        <f>+Table3[[#This Row],[BS_Nivel_1]]</f>
        <v/>
      </c>
    </row>
    <row r="734" spans="1:25">
      <c r="A734">
        <f>+'Libro Diario'!F948</f>
        <v>0</v>
      </c>
      <c r="B734" s="144">
        <f>VALUE(IF(+'Libro Diario'!G948="","01/01/2025",+'Libro Diario'!G948))</f>
        <v>45658</v>
      </c>
      <c r="C734">
        <f>IF(ISNUMBER(+IF(IFERROR(VALUE(MID('Libro Diario'!C948,1,4)),0)&lt;&gt;0,'Libro Diario'!C948,0))=FALSE,'Libro Diario'!C948,0)</f>
        <v>0</v>
      </c>
      <c r="D734" s="145">
        <f>+'Libro Diario'!B948</f>
        <v>0</v>
      </c>
      <c r="E734" s="139" t="s">
        <v>445</v>
      </c>
      <c r="F734" t="str">
        <f t="shared" si="33"/>
        <v>Sin Mov.</v>
      </c>
      <c r="G734" t="str">
        <f>IF(+'Libro Diario'!H948=0,"",+'Libro Diario'!H948)</f>
        <v/>
      </c>
      <c r="H734" t="str">
        <f>IF(+'Libro Diario'!I948=0,"",+'Libro Diario'!I948)</f>
        <v/>
      </c>
      <c r="I734" t="str">
        <f>+IF(Table3[[#This Row],[Tipo Movimiento]]="Estructura Balance y PyG","Excluir","Incluir")</f>
        <v>Incluir</v>
      </c>
      <c r="J734" s="153">
        <f>+IF(Table3[[#This Row],[Sin cuenta]]="Con Mov.",(IF(Table3[[#This Row],[Movimiento]]="Debe",Table3[[#This Row],[Importe]],IF(Table3[[#This Row],[Movimiento]]="Haber",Table3[[#This Row],[Importe]]*-1,0))),0)</f>
        <v>0</v>
      </c>
      <c r="K734" s="145">
        <f t="shared" si="34"/>
        <v>0</v>
      </c>
      <c r="L734" s="145" t="str">
        <f t="shared" si="35"/>
        <v/>
      </c>
      <c r="M734" t="str">
        <f>_xlfn.XLOOKUP(Table3[[#This Row],[Cuenta]],Estructura_Balance[Nombre Cuenta ()],Estructura_Balance[Grupo],"",0)</f>
        <v/>
      </c>
      <c r="N734" t="str">
        <f>_xlfn.XLOOKUP(Table3[[#This Row],[Cuenta]],Estructura_Balance[Nombre Cuenta ()],Estructura_Balance[Nivel 1],"",0)</f>
        <v/>
      </c>
      <c r="O734" t="str">
        <f>_xlfn.XLOOKUP(Table3[[#This Row],[Cuenta]],Estructura_Balance[Nombre Cuenta ()],Estructura_Balance[Nivel 2],"",0)</f>
        <v/>
      </c>
      <c r="P734" t="str">
        <f>_xlfn.XLOOKUP(Table3[[#This Row],[Cuenta]],Estructura_Balance[Nombre Cuenta ()],Estructura_Balance[Nivel 3],"",0)</f>
        <v/>
      </c>
      <c r="Q734" t="str">
        <f>_xlfn.XLOOKUP(Table3[[#This Row],[Cuenta]],Estructura_Balance[Nombre Cuenta ()],Estructura_Balance[Nivel 4],"",0)</f>
        <v/>
      </c>
      <c r="R734" t="str">
        <f>_xlfn.XLOOKUP(Table3[[#This Row],[Cuenta]],Table8[Nombre Cuenta ()],Table8[Nivel 1],"",0)</f>
        <v/>
      </c>
      <c r="S734" t="str">
        <f>_xlfn.XLOOKUP(Table3[[#This Row],[Cuenta]],Table8[Nombre Cuenta ()],Table8[Nivel 2],"",0)</f>
        <v/>
      </c>
      <c r="T734" t="str">
        <f>_xlfn.XLOOKUP(Table3[[#This Row],[Cuenta]],Table8[Nombre Cuenta ()],Table8[Nivel 3],"",0)</f>
        <v/>
      </c>
      <c r="U734">
        <v>1202</v>
      </c>
      <c r="V734" t="str">
        <f>_xlfn.XLOOKUP(Table3[[#This Row],[Cuenta]],Estructura_Balance[Nombre Cuenta ()],Estructura_Balance[Niveles:2],"",0)</f>
        <v/>
      </c>
      <c r="W734" t="str">
        <f>_xlfn.XLOOKUP(Table3[[#This Row],[Cuenta]],Estructura_Balance[Nombre Cuenta ()],Estructura_Balance[Niveles:3],"",0)</f>
        <v/>
      </c>
      <c r="X734" t="str">
        <f>_xlfn.XLOOKUP(Table3[[#This Row],[Cuenta]],Estructura_Balance[Nombre Cuenta ()],Estructura_Balance[Grupos],"Grupo 1",0)</f>
        <v>Grupo 1</v>
      </c>
      <c r="Y734" t="str">
        <f>+Table3[[#This Row],[BS_Nivel_1]]</f>
        <v/>
      </c>
    </row>
    <row r="735" spans="1:25">
      <c r="A735">
        <f>+'Libro Diario'!F949</f>
        <v>0</v>
      </c>
      <c r="B735" s="144">
        <f>VALUE(IF(+'Libro Diario'!G949="","01/01/2025",+'Libro Diario'!G949))</f>
        <v>45658</v>
      </c>
      <c r="C735">
        <f>IF(ISNUMBER(+IF(IFERROR(VALUE(MID('Libro Diario'!C949,1,4)),0)&lt;&gt;0,'Libro Diario'!C949,0))=FALSE,'Libro Diario'!C949,0)</f>
        <v>0</v>
      </c>
      <c r="D735" s="145">
        <f>+'Libro Diario'!B949</f>
        <v>0</v>
      </c>
      <c r="E735" s="139" t="s">
        <v>445</v>
      </c>
      <c r="F735" t="str">
        <f t="shared" si="33"/>
        <v>Sin Mov.</v>
      </c>
      <c r="G735" t="str">
        <f>IF(+'Libro Diario'!H949=0,"",+'Libro Diario'!H949)</f>
        <v/>
      </c>
      <c r="H735" t="str">
        <f>IF(+'Libro Diario'!I949=0,"",+'Libro Diario'!I949)</f>
        <v/>
      </c>
      <c r="I735" t="str">
        <f>+IF(Table3[[#This Row],[Tipo Movimiento]]="Estructura Balance y PyG","Excluir","Incluir")</f>
        <v>Incluir</v>
      </c>
      <c r="J735" s="153">
        <f>+IF(Table3[[#This Row],[Sin cuenta]]="Con Mov.",(IF(Table3[[#This Row],[Movimiento]]="Debe",Table3[[#This Row],[Importe]],IF(Table3[[#This Row],[Movimiento]]="Haber",Table3[[#This Row],[Importe]]*-1,0))),0)</f>
        <v>0</v>
      </c>
      <c r="K735" s="145">
        <f t="shared" si="34"/>
        <v>0</v>
      </c>
      <c r="L735" s="145" t="str">
        <f t="shared" si="35"/>
        <v/>
      </c>
      <c r="M735" t="str">
        <f>_xlfn.XLOOKUP(Table3[[#This Row],[Cuenta]],Estructura_Balance[Nombre Cuenta ()],Estructura_Balance[Grupo],"",0)</f>
        <v/>
      </c>
      <c r="N735" t="str">
        <f>_xlfn.XLOOKUP(Table3[[#This Row],[Cuenta]],Estructura_Balance[Nombre Cuenta ()],Estructura_Balance[Nivel 1],"",0)</f>
        <v/>
      </c>
      <c r="O735" t="str">
        <f>_xlfn.XLOOKUP(Table3[[#This Row],[Cuenta]],Estructura_Balance[Nombre Cuenta ()],Estructura_Balance[Nivel 2],"",0)</f>
        <v/>
      </c>
      <c r="P735" t="str">
        <f>_xlfn.XLOOKUP(Table3[[#This Row],[Cuenta]],Estructura_Balance[Nombre Cuenta ()],Estructura_Balance[Nivel 3],"",0)</f>
        <v/>
      </c>
      <c r="Q735" t="str">
        <f>_xlfn.XLOOKUP(Table3[[#This Row],[Cuenta]],Estructura_Balance[Nombre Cuenta ()],Estructura_Balance[Nivel 4],"",0)</f>
        <v/>
      </c>
      <c r="R735" t="str">
        <f>_xlfn.XLOOKUP(Table3[[#This Row],[Cuenta]],Table8[Nombre Cuenta ()],Table8[Nivel 1],"",0)</f>
        <v/>
      </c>
      <c r="S735" t="str">
        <f>_xlfn.XLOOKUP(Table3[[#This Row],[Cuenta]],Table8[Nombre Cuenta ()],Table8[Nivel 2],"",0)</f>
        <v/>
      </c>
      <c r="T735" t="str">
        <f>_xlfn.XLOOKUP(Table3[[#This Row],[Cuenta]],Table8[Nombre Cuenta ()],Table8[Nivel 3],"",0)</f>
        <v/>
      </c>
      <c r="U735">
        <v>1203</v>
      </c>
      <c r="V735" t="str">
        <f>_xlfn.XLOOKUP(Table3[[#This Row],[Cuenta]],Estructura_Balance[Nombre Cuenta ()],Estructura_Balance[Niveles:2],"",0)</f>
        <v/>
      </c>
      <c r="W735" t="str">
        <f>_xlfn.XLOOKUP(Table3[[#This Row],[Cuenta]],Estructura_Balance[Nombre Cuenta ()],Estructura_Balance[Niveles:3],"",0)</f>
        <v/>
      </c>
      <c r="X735" t="str">
        <f>_xlfn.XLOOKUP(Table3[[#This Row],[Cuenta]],Estructura_Balance[Nombre Cuenta ()],Estructura_Balance[Grupos],"Grupo 1",0)</f>
        <v>Grupo 1</v>
      </c>
      <c r="Y735" t="str">
        <f>+Table3[[#This Row],[BS_Nivel_1]]</f>
        <v/>
      </c>
    </row>
    <row r="736" spans="1:25">
      <c r="A736">
        <f>+'Libro Diario'!F950</f>
        <v>0</v>
      </c>
      <c r="B736" s="144">
        <f>VALUE(IF(+'Libro Diario'!G950="","01/01/2025",+'Libro Diario'!G950))</f>
        <v>45658</v>
      </c>
      <c r="C736">
        <f>IF(ISNUMBER(+IF(IFERROR(VALUE(MID('Libro Diario'!C950,1,4)),0)&lt;&gt;0,'Libro Diario'!C950,0))=FALSE,'Libro Diario'!C950,0)</f>
        <v>0</v>
      </c>
      <c r="D736" s="145">
        <f>+'Libro Diario'!B950</f>
        <v>0</v>
      </c>
      <c r="E736" s="139" t="s">
        <v>445</v>
      </c>
      <c r="F736" t="str">
        <f t="shared" si="33"/>
        <v>Sin Mov.</v>
      </c>
      <c r="G736" t="str">
        <f>IF(+'Libro Diario'!H950=0,"",+'Libro Diario'!H950)</f>
        <v/>
      </c>
      <c r="H736" t="str">
        <f>IF(+'Libro Diario'!I950=0,"",+'Libro Diario'!I950)</f>
        <v/>
      </c>
      <c r="I736" t="str">
        <f>+IF(Table3[[#This Row],[Tipo Movimiento]]="Estructura Balance y PyG","Excluir","Incluir")</f>
        <v>Incluir</v>
      </c>
      <c r="J736" s="153">
        <f>+IF(Table3[[#This Row],[Sin cuenta]]="Con Mov.",(IF(Table3[[#This Row],[Movimiento]]="Debe",Table3[[#This Row],[Importe]],IF(Table3[[#This Row],[Movimiento]]="Haber",Table3[[#This Row],[Importe]]*-1,0))),0)</f>
        <v>0</v>
      </c>
      <c r="K736" s="145">
        <f t="shared" si="34"/>
        <v>0</v>
      </c>
      <c r="L736" s="145" t="str">
        <f t="shared" si="35"/>
        <v/>
      </c>
      <c r="M736" t="str">
        <f>_xlfn.XLOOKUP(Table3[[#This Row],[Cuenta]],Estructura_Balance[Nombre Cuenta ()],Estructura_Balance[Grupo],"",0)</f>
        <v/>
      </c>
      <c r="N736" t="str">
        <f>_xlfn.XLOOKUP(Table3[[#This Row],[Cuenta]],Estructura_Balance[Nombre Cuenta ()],Estructura_Balance[Nivel 1],"",0)</f>
        <v/>
      </c>
      <c r="O736" t="str">
        <f>_xlfn.XLOOKUP(Table3[[#This Row],[Cuenta]],Estructura_Balance[Nombre Cuenta ()],Estructura_Balance[Nivel 2],"",0)</f>
        <v/>
      </c>
      <c r="P736" t="str">
        <f>_xlfn.XLOOKUP(Table3[[#This Row],[Cuenta]],Estructura_Balance[Nombre Cuenta ()],Estructura_Balance[Nivel 3],"",0)</f>
        <v/>
      </c>
      <c r="Q736" t="str">
        <f>_xlfn.XLOOKUP(Table3[[#This Row],[Cuenta]],Estructura_Balance[Nombre Cuenta ()],Estructura_Balance[Nivel 4],"",0)</f>
        <v/>
      </c>
      <c r="R736" t="str">
        <f>_xlfn.XLOOKUP(Table3[[#This Row],[Cuenta]],Table8[Nombre Cuenta ()],Table8[Nivel 1],"",0)</f>
        <v/>
      </c>
      <c r="S736" t="str">
        <f>_xlfn.XLOOKUP(Table3[[#This Row],[Cuenta]],Table8[Nombre Cuenta ()],Table8[Nivel 2],"",0)</f>
        <v/>
      </c>
      <c r="T736" t="str">
        <f>_xlfn.XLOOKUP(Table3[[#This Row],[Cuenta]],Table8[Nombre Cuenta ()],Table8[Nivel 3],"",0)</f>
        <v/>
      </c>
      <c r="U736">
        <v>1204</v>
      </c>
      <c r="V736" t="str">
        <f>_xlfn.XLOOKUP(Table3[[#This Row],[Cuenta]],Estructura_Balance[Nombre Cuenta ()],Estructura_Balance[Niveles:2],"",0)</f>
        <v/>
      </c>
      <c r="W736" t="str">
        <f>_xlfn.XLOOKUP(Table3[[#This Row],[Cuenta]],Estructura_Balance[Nombre Cuenta ()],Estructura_Balance[Niveles:3],"",0)</f>
        <v/>
      </c>
      <c r="X736" t="str">
        <f>_xlfn.XLOOKUP(Table3[[#This Row],[Cuenta]],Estructura_Balance[Nombre Cuenta ()],Estructura_Balance[Grupos],"Grupo 1",0)</f>
        <v>Grupo 1</v>
      </c>
      <c r="Y736" t="str">
        <f>+Table3[[#This Row],[BS_Nivel_1]]</f>
        <v/>
      </c>
    </row>
    <row r="737" spans="1:25">
      <c r="A737">
        <f>+'Libro Diario'!F951</f>
        <v>0</v>
      </c>
      <c r="B737" s="144">
        <f>VALUE(IF(+'Libro Diario'!G951="","01/01/2025",+'Libro Diario'!G951))</f>
        <v>45658</v>
      </c>
      <c r="C737">
        <f>IF(ISNUMBER(+IF(IFERROR(VALUE(MID('Libro Diario'!C951,1,4)),0)&lt;&gt;0,'Libro Diario'!C951,0))=FALSE,'Libro Diario'!C951,0)</f>
        <v>0</v>
      </c>
      <c r="D737" s="145">
        <f>+'Libro Diario'!B951</f>
        <v>0</v>
      </c>
      <c r="E737" s="139" t="s">
        <v>445</v>
      </c>
      <c r="F737" t="str">
        <f t="shared" si="33"/>
        <v>Sin Mov.</v>
      </c>
      <c r="G737" t="str">
        <f>IF(+'Libro Diario'!H951=0,"",+'Libro Diario'!H951)</f>
        <v/>
      </c>
      <c r="H737" t="str">
        <f>IF(+'Libro Diario'!I951=0,"",+'Libro Diario'!I951)</f>
        <v/>
      </c>
      <c r="I737" t="str">
        <f>+IF(Table3[[#This Row],[Tipo Movimiento]]="Estructura Balance y PyG","Excluir","Incluir")</f>
        <v>Incluir</v>
      </c>
      <c r="J737" s="153">
        <f>+IF(Table3[[#This Row],[Sin cuenta]]="Con Mov.",(IF(Table3[[#This Row],[Movimiento]]="Debe",Table3[[#This Row],[Importe]],IF(Table3[[#This Row],[Movimiento]]="Haber",Table3[[#This Row],[Importe]]*-1,0))),0)</f>
        <v>0</v>
      </c>
      <c r="K737" s="145">
        <f t="shared" si="34"/>
        <v>0</v>
      </c>
      <c r="L737" s="145" t="str">
        <f t="shared" si="35"/>
        <v/>
      </c>
      <c r="M737" t="str">
        <f>_xlfn.XLOOKUP(Table3[[#This Row],[Cuenta]],Estructura_Balance[Nombre Cuenta ()],Estructura_Balance[Grupo],"",0)</f>
        <v/>
      </c>
      <c r="N737" t="str">
        <f>_xlfn.XLOOKUP(Table3[[#This Row],[Cuenta]],Estructura_Balance[Nombre Cuenta ()],Estructura_Balance[Nivel 1],"",0)</f>
        <v/>
      </c>
      <c r="O737" t="str">
        <f>_xlfn.XLOOKUP(Table3[[#This Row],[Cuenta]],Estructura_Balance[Nombre Cuenta ()],Estructura_Balance[Nivel 2],"",0)</f>
        <v/>
      </c>
      <c r="P737" t="str">
        <f>_xlfn.XLOOKUP(Table3[[#This Row],[Cuenta]],Estructura_Balance[Nombre Cuenta ()],Estructura_Balance[Nivel 3],"",0)</f>
        <v/>
      </c>
      <c r="Q737" t="str">
        <f>_xlfn.XLOOKUP(Table3[[#This Row],[Cuenta]],Estructura_Balance[Nombre Cuenta ()],Estructura_Balance[Nivel 4],"",0)</f>
        <v/>
      </c>
      <c r="R737" t="str">
        <f>_xlfn.XLOOKUP(Table3[[#This Row],[Cuenta]],Table8[Nombre Cuenta ()],Table8[Nivel 1],"",0)</f>
        <v/>
      </c>
      <c r="S737" t="str">
        <f>_xlfn.XLOOKUP(Table3[[#This Row],[Cuenta]],Table8[Nombre Cuenta ()],Table8[Nivel 2],"",0)</f>
        <v/>
      </c>
      <c r="T737" t="str">
        <f>_xlfn.XLOOKUP(Table3[[#This Row],[Cuenta]],Table8[Nombre Cuenta ()],Table8[Nivel 3],"",0)</f>
        <v/>
      </c>
      <c r="U737">
        <v>1205</v>
      </c>
      <c r="V737" t="str">
        <f>_xlfn.XLOOKUP(Table3[[#This Row],[Cuenta]],Estructura_Balance[Nombre Cuenta ()],Estructura_Balance[Niveles:2],"",0)</f>
        <v/>
      </c>
      <c r="W737" t="str">
        <f>_xlfn.XLOOKUP(Table3[[#This Row],[Cuenta]],Estructura_Balance[Nombre Cuenta ()],Estructura_Balance[Niveles:3],"",0)</f>
        <v/>
      </c>
      <c r="X737" t="str">
        <f>_xlfn.XLOOKUP(Table3[[#This Row],[Cuenta]],Estructura_Balance[Nombre Cuenta ()],Estructura_Balance[Grupos],"Grupo 1",0)</f>
        <v>Grupo 1</v>
      </c>
      <c r="Y737" t="str">
        <f>+Table3[[#This Row],[BS_Nivel_1]]</f>
        <v/>
      </c>
    </row>
    <row r="738" spans="1:25">
      <c r="A738">
        <f>+'Libro Diario'!F952</f>
        <v>0</v>
      </c>
      <c r="B738" s="144">
        <f>VALUE(IF(+'Libro Diario'!G952="","01/01/2025",+'Libro Diario'!G952))</f>
        <v>45658</v>
      </c>
      <c r="C738">
        <f>IF(ISNUMBER(+IF(IFERROR(VALUE(MID('Libro Diario'!C952,1,4)),0)&lt;&gt;0,'Libro Diario'!C952,0))=FALSE,'Libro Diario'!C952,0)</f>
        <v>0</v>
      </c>
      <c r="D738" s="145">
        <f>+'Libro Diario'!B952</f>
        <v>0</v>
      </c>
      <c r="E738" s="139" t="s">
        <v>445</v>
      </c>
      <c r="F738" t="str">
        <f t="shared" si="33"/>
        <v>Sin Mov.</v>
      </c>
      <c r="G738" t="str">
        <f>IF(+'Libro Diario'!H952=0,"",+'Libro Diario'!H952)</f>
        <v/>
      </c>
      <c r="H738" t="str">
        <f>IF(+'Libro Diario'!I952=0,"",+'Libro Diario'!I952)</f>
        <v/>
      </c>
      <c r="I738" t="str">
        <f>+IF(Table3[[#This Row],[Tipo Movimiento]]="Estructura Balance y PyG","Excluir","Incluir")</f>
        <v>Incluir</v>
      </c>
      <c r="J738" s="153">
        <f>+IF(Table3[[#This Row],[Sin cuenta]]="Con Mov.",(IF(Table3[[#This Row],[Movimiento]]="Debe",Table3[[#This Row],[Importe]],IF(Table3[[#This Row],[Movimiento]]="Haber",Table3[[#This Row],[Importe]]*-1,0))),0)</f>
        <v>0</v>
      </c>
      <c r="K738" s="145">
        <f t="shared" si="34"/>
        <v>0</v>
      </c>
      <c r="L738" s="145" t="str">
        <f t="shared" si="35"/>
        <v/>
      </c>
      <c r="M738" t="str">
        <f>_xlfn.XLOOKUP(Table3[[#This Row],[Cuenta]],Estructura_Balance[Nombre Cuenta ()],Estructura_Balance[Grupo],"",0)</f>
        <v/>
      </c>
      <c r="N738" t="str">
        <f>_xlfn.XLOOKUP(Table3[[#This Row],[Cuenta]],Estructura_Balance[Nombre Cuenta ()],Estructura_Balance[Nivel 1],"",0)</f>
        <v/>
      </c>
      <c r="O738" t="str">
        <f>_xlfn.XLOOKUP(Table3[[#This Row],[Cuenta]],Estructura_Balance[Nombre Cuenta ()],Estructura_Balance[Nivel 2],"",0)</f>
        <v/>
      </c>
      <c r="P738" t="str">
        <f>_xlfn.XLOOKUP(Table3[[#This Row],[Cuenta]],Estructura_Balance[Nombre Cuenta ()],Estructura_Balance[Nivel 3],"",0)</f>
        <v/>
      </c>
      <c r="Q738" t="str">
        <f>_xlfn.XLOOKUP(Table3[[#This Row],[Cuenta]],Estructura_Balance[Nombre Cuenta ()],Estructura_Balance[Nivel 4],"",0)</f>
        <v/>
      </c>
      <c r="R738" t="str">
        <f>_xlfn.XLOOKUP(Table3[[#This Row],[Cuenta]],Table8[Nombre Cuenta ()],Table8[Nivel 1],"",0)</f>
        <v/>
      </c>
      <c r="S738" t="str">
        <f>_xlfn.XLOOKUP(Table3[[#This Row],[Cuenta]],Table8[Nombre Cuenta ()],Table8[Nivel 2],"",0)</f>
        <v/>
      </c>
      <c r="T738" t="str">
        <f>_xlfn.XLOOKUP(Table3[[#This Row],[Cuenta]],Table8[Nombre Cuenta ()],Table8[Nivel 3],"",0)</f>
        <v/>
      </c>
      <c r="U738">
        <v>1208</v>
      </c>
      <c r="V738" t="str">
        <f>_xlfn.XLOOKUP(Table3[[#This Row],[Cuenta]],Estructura_Balance[Nombre Cuenta ()],Estructura_Balance[Niveles:2],"",0)</f>
        <v/>
      </c>
      <c r="W738" t="str">
        <f>_xlfn.XLOOKUP(Table3[[#This Row],[Cuenta]],Estructura_Balance[Nombre Cuenta ()],Estructura_Balance[Niveles:3],"",0)</f>
        <v/>
      </c>
      <c r="X738" t="str">
        <f>_xlfn.XLOOKUP(Table3[[#This Row],[Cuenta]],Estructura_Balance[Nombre Cuenta ()],Estructura_Balance[Grupos],"Grupo 1",0)</f>
        <v>Grupo 1</v>
      </c>
      <c r="Y738" t="str">
        <f>+Table3[[#This Row],[BS_Nivel_1]]</f>
        <v/>
      </c>
    </row>
    <row r="739" spans="1:25">
      <c r="A739">
        <f>+'Libro Diario'!F953</f>
        <v>0</v>
      </c>
      <c r="B739" s="144">
        <f>VALUE(IF(+'Libro Diario'!G953="","01/01/2025",+'Libro Diario'!G953))</f>
        <v>45658</v>
      </c>
      <c r="C739">
        <f>IF(ISNUMBER(+IF(IFERROR(VALUE(MID('Libro Diario'!C953,1,4)),0)&lt;&gt;0,'Libro Diario'!C953,0))=FALSE,'Libro Diario'!C953,0)</f>
        <v>0</v>
      </c>
      <c r="D739" s="145">
        <f>+'Libro Diario'!B953</f>
        <v>0</v>
      </c>
      <c r="E739" s="139" t="s">
        <v>445</v>
      </c>
      <c r="F739" t="str">
        <f t="shared" si="33"/>
        <v>Sin Mov.</v>
      </c>
      <c r="G739" t="str">
        <f>IF(+'Libro Diario'!H953=0,"",+'Libro Diario'!H953)</f>
        <v/>
      </c>
      <c r="H739" t="str">
        <f>IF(+'Libro Diario'!I953=0,"",+'Libro Diario'!I953)</f>
        <v/>
      </c>
      <c r="I739" t="str">
        <f>+IF(Table3[[#This Row],[Tipo Movimiento]]="Estructura Balance y PyG","Excluir","Incluir")</f>
        <v>Incluir</v>
      </c>
      <c r="J739" s="153">
        <f>+IF(Table3[[#This Row],[Sin cuenta]]="Con Mov.",(IF(Table3[[#This Row],[Movimiento]]="Debe",Table3[[#This Row],[Importe]],IF(Table3[[#This Row],[Movimiento]]="Haber",Table3[[#This Row],[Importe]]*-1,0))),0)</f>
        <v>0</v>
      </c>
      <c r="K739" s="145">
        <f t="shared" si="34"/>
        <v>0</v>
      </c>
      <c r="L739" s="145" t="str">
        <f t="shared" si="35"/>
        <v/>
      </c>
      <c r="M739" t="str">
        <f>_xlfn.XLOOKUP(Table3[[#This Row],[Cuenta]],Estructura_Balance[Nombre Cuenta ()],Estructura_Balance[Grupo],"",0)</f>
        <v/>
      </c>
      <c r="N739" t="str">
        <f>_xlfn.XLOOKUP(Table3[[#This Row],[Cuenta]],Estructura_Balance[Nombre Cuenta ()],Estructura_Balance[Nivel 1],"",0)</f>
        <v/>
      </c>
      <c r="O739" t="str">
        <f>_xlfn.XLOOKUP(Table3[[#This Row],[Cuenta]],Estructura_Balance[Nombre Cuenta ()],Estructura_Balance[Nivel 2],"",0)</f>
        <v/>
      </c>
      <c r="P739" t="str">
        <f>_xlfn.XLOOKUP(Table3[[#This Row],[Cuenta]],Estructura_Balance[Nombre Cuenta ()],Estructura_Balance[Nivel 3],"",0)</f>
        <v/>
      </c>
      <c r="Q739" t="str">
        <f>_xlfn.XLOOKUP(Table3[[#This Row],[Cuenta]],Estructura_Balance[Nombre Cuenta ()],Estructura_Balance[Nivel 4],"",0)</f>
        <v/>
      </c>
      <c r="R739" t="str">
        <f>_xlfn.XLOOKUP(Table3[[#This Row],[Cuenta]],Table8[Nombre Cuenta ()],Table8[Nivel 1],"",0)</f>
        <v/>
      </c>
      <c r="S739" t="str">
        <f>_xlfn.XLOOKUP(Table3[[#This Row],[Cuenta]],Table8[Nombre Cuenta ()],Table8[Nivel 2],"",0)</f>
        <v/>
      </c>
      <c r="T739" t="str">
        <f>_xlfn.XLOOKUP(Table3[[#This Row],[Cuenta]],Table8[Nombre Cuenta ()],Table8[Nivel 3],"",0)</f>
        <v/>
      </c>
      <c r="U739">
        <v>1209</v>
      </c>
      <c r="V739" t="str">
        <f>_xlfn.XLOOKUP(Table3[[#This Row],[Cuenta]],Estructura_Balance[Nombre Cuenta ()],Estructura_Balance[Niveles:2],"",0)</f>
        <v/>
      </c>
      <c r="W739" t="str">
        <f>_xlfn.XLOOKUP(Table3[[#This Row],[Cuenta]],Estructura_Balance[Nombre Cuenta ()],Estructura_Balance[Niveles:3],"",0)</f>
        <v/>
      </c>
      <c r="X739" t="str">
        <f>_xlfn.XLOOKUP(Table3[[#This Row],[Cuenta]],Estructura_Balance[Nombre Cuenta ()],Estructura_Balance[Grupos],"Grupo 1",0)</f>
        <v>Grupo 1</v>
      </c>
      <c r="Y739" t="str">
        <f>+Table3[[#This Row],[BS_Nivel_1]]</f>
        <v/>
      </c>
    </row>
    <row r="740" spans="1:25">
      <c r="A740">
        <f>+'Libro Diario'!F954</f>
        <v>0</v>
      </c>
      <c r="B740" s="144">
        <f>VALUE(IF(+'Libro Diario'!G954="","01/01/2025",+'Libro Diario'!G954))</f>
        <v>45658</v>
      </c>
      <c r="C740">
        <f>IF(ISNUMBER(+IF(IFERROR(VALUE(MID('Libro Diario'!C954,1,4)),0)&lt;&gt;0,'Libro Diario'!C954,0))=FALSE,'Libro Diario'!C954,0)</f>
        <v>0</v>
      </c>
      <c r="D740" s="145">
        <f>+'Libro Diario'!B954</f>
        <v>0</v>
      </c>
      <c r="E740" s="139" t="s">
        <v>445</v>
      </c>
      <c r="F740" t="str">
        <f t="shared" si="33"/>
        <v>Sin Mov.</v>
      </c>
      <c r="G740" t="str">
        <f>IF(+'Libro Diario'!H954=0,"",+'Libro Diario'!H954)</f>
        <v/>
      </c>
      <c r="H740" t="str">
        <f>IF(+'Libro Diario'!I954=0,"",+'Libro Diario'!I954)</f>
        <v/>
      </c>
      <c r="I740" t="str">
        <f>+IF(Table3[[#This Row],[Tipo Movimiento]]="Estructura Balance y PyG","Excluir","Incluir")</f>
        <v>Incluir</v>
      </c>
      <c r="J740" s="153">
        <f>+IF(Table3[[#This Row],[Sin cuenta]]="Con Mov.",(IF(Table3[[#This Row],[Movimiento]]="Debe",Table3[[#This Row],[Importe]],IF(Table3[[#This Row],[Movimiento]]="Haber",Table3[[#This Row],[Importe]]*-1,0))),0)</f>
        <v>0</v>
      </c>
      <c r="K740" s="145">
        <f t="shared" si="34"/>
        <v>0</v>
      </c>
      <c r="L740" s="145" t="str">
        <f t="shared" si="35"/>
        <v/>
      </c>
      <c r="M740" t="str">
        <f>_xlfn.XLOOKUP(Table3[[#This Row],[Cuenta]],Estructura_Balance[Nombre Cuenta ()],Estructura_Balance[Grupo],"",0)</f>
        <v/>
      </c>
      <c r="N740" t="str">
        <f>_xlfn.XLOOKUP(Table3[[#This Row],[Cuenta]],Estructura_Balance[Nombre Cuenta ()],Estructura_Balance[Nivel 1],"",0)</f>
        <v/>
      </c>
      <c r="O740" t="str">
        <f>_xlfn.XLOOKUP(Table3[[#This Row],[Cuenta]],Estructura_Balance[Nombre Cuenta ()],Estructura_Balance[Nivel 2],"",0)</f>
        <v/>
      </c>
      <c r="P740" t="str">
        <f>_xlfn.XLOOKUP(Table3[[#This Row],[Cuenta]],Estructura_Balance[Nombre Cuenta ()],Estructura_Balance[Nivel 3],"",0)</f>
        <v/>
      </c>
      <c r="Q740" t="str">
        <f>_xlfn.XLOOKUP(Table3[[#This Row],[Cuenta]],Estructura_Balance[Nombre Cuenta ()],Estructura_Balance[Nivel 4],"",0)</f>
        <v/>
      </c>
      <c r="R740" t="str">
        <f>_xlfn.XLOOKUP(Table3[[#This Row],[Cuenta]],Table8[Nombre Cuenta ()],Table8[Nivel 1],"",0)</f>
        <v/>
      </c>
      <c r="S740" t="str">
        <f>_xlfn.XLOOKUP(Table3[[#This Row],[Cuenta]],Table8[Nombre Cuenta ()],Table8[Nivel 2],"",0)</f>
        <v/>
      </c>
      <c r="T740" t="str">
        <f>_xlfn.XLOOKUP(Table3[[#This Row],[Cuenta]],Table8[Nombre Cuenta ()],Table8[Nivel 3],"",0)</f>
        <v/>
      </c>
      <c r="U740">
        <v>1210</v>
      </c>
      <c r="V740" t="str">
        <f>_xlfn.XLOOKUP(Table3[[#This Row],[Cuenta]],Estructura_Balance[Nombre Cuenta ()],Estructura_Balance[Niveles:2],"",0)</f>
        <v/>
      </c>
      <c r="W740" t="str">
        <f>_xlfn.XLOOKUP(Table3[[#This Row],[Cuenta]],Estructura_Balance[Nombre Cuenta ()],Estructura_Balance[Niveles:3],"",0)</f>
        <v/>
      </c>
      <c r="X740" t="str">
        <f>_xlfn.XLOOKUP(Table3[[#This Row],[Cuenta]],Estructura_Balance[Nombre Cuenta ()],Estructura_Balance[Grupos],"Grupo 1",0)</f>
        <v>Grupo 1</v>
      </c>
      <c r="Y740" t="str">
        <f>+Table3[[#This Row],[BS_Nivel_1]]</f>
        <v/>
      </c>
    </row>
    <row r="741" spans="1:25">
      <c r="A741">
        <f>+'Libro Diario'!F955</f>
        <v>0</v>
      </c>
      <c r="B741" s="144">
        <f>VALUE(IF(+'Libro Diario'!G955="","01/01/2025",+'Libro Diario'!G955))</f>
        <v>45658</v>
      </c>
      <c r="C741">
        <f>IF(ISNUMBER(+IF(IFERROR(VALUE(MID('Libro Diario'!C955,1,4)),0)&lt;&gt;0,'Libro Diario'!C955,0))=FALSE,'Libro Diario'!C955,0)</f>
        <v>0</v>
      </c>
      <c r="D741" s="145">
        <f>+'Libro Diario'!B955</f>
        <v>0</v>
      </c>
      <c r="E741" s="139" t="s">
        <v>445</v>
      </c>
      <c r="F741" t="str">
        <f t="shared" si="33"/>
        <v>Sin Mov.</v>
      </c>
      <c r="G741" t="str">
        <f>IF(+'Libro Diario'!H955=0,"",+'Libro Diario'!H955)</f>
        <v/>
      </c>
      <c r="H741" t="str">
        <f>IF(+'Libro Diario'!I955=0,"",+'Libro Diario'!I955)</f>
        <v/>
      </c>
      <c r="I741" t="str">
        <f>+IF(Table3[[#This Row],[Tipo Movimiento]]="Estructura Balance y PyG","Excluir","Incluir")</f>
        <v>Incluir</v>
      </c>
      <c r="J741" s="153">
        <f>+IF(Table3[[#This Row],[Sin cuenta]]="Con Mov.",(IF(Table3[[#This Row],[Movimiento]]="Debe",Table3[[#This Row],[Importe]],IF(Table3[[#This Row],[Movimiento]]="Haber",Table3[[#This Row],[Importe]]*-1,0))),0)</f>
        <v>0</v>
      </c>
      <c r="K741" s="145">
        <f t="shared" si="34"/>
        <v>0</v>
      </c>
      <c r="L741" s="145" t="str">
        <f t="shared" si="35"/>
        <v/>
      </c>
      <c r="M741" t="str">
        <f>_xlfn.XLOOKUP(Table3[[#This Row],[Cuenta]],Estructura_Balance[Nombre Cuenta ()],Estructura_Balance[Grupo],"",0)</f>
        <v/>
      </c>
      <c r="N741" t="str">
        <f>_xlfn.XLOOKUP(Table3[[#This Row],[Cuenta]],Estructura_Balance[Nombre Cuenta ()],Estructura_Balance[Nivel 1],"",0)</f>
        <v/>
      </c>
      <c r="O741" t="str">
        <f>_xlfn.XLOOKUP(Table3[[#This Row],[Cuenta]],Estructura_Balance[Nombre Cuenta ()],Estructura_Balance[Nivel 2],"",0)</f>
        <v/>
      </c>
      <c r="P741" t="str">
        <f>_xlfn.XLOOKUP(Table3[[#This Row],[Cuenta]],Estructura_Balance[Nombre Cuenta ()],Estructura_Balance[Nivel 3],"",0)</f>
        <v/>
      </c>
      <c r="Q741" t="str">
        <f>_xlfn.XLOOKUP(Table3[[#This Row],[Cuenta]],Estructura_Balance[Nombre Cuenta ()],Estructura_Balance[Nivel 4],"",0)</f>
        <v/>
      </c>
      <c r="R741" t="str">
        <f>_xlfn.XLOOKUP(Table3[[#This Row],[Cuenta]],Table8[Nombre Cuenta ()],Table8[Nivel 1],"",0)</f>
        <v/>
      </c>
      <c r="S741" t="str">
        <f>_xlfn.XLOOKUP(Table3[[#This Row],[Cuenta]],Table8[Nombre Cuenta ()],Table8[Nivel 2],"",0)</f>
        <v/>
      </c>
      <c r="T741" t="str">
        <f>_xlfn.XLOOKUP(Table3[[#This Row],[Cuenta]],Table8[Nombre Cuenta ()],Table8[Nivel 3],"",0)</f>
        <v/>
      </c>
      <c r="U741">
        <v>1211</v>
      </c>
      <c r="V741" t="str">
        <f>_xlfn.XLOOKUP(Table3[[#This Row],[Cuenta]],Estructura_Balance[Nombre Cuenta ()],Estructura_Balance[Niveles:2],"",0)</f>
        <v/>
      </c>
      <c r="W741" t="str">
        <f>_xlfn.XLOOKUP(Table3[[#This Row],[Cuenta]],Estructura_Balance[Nombre Cuenta ()],Estructura_Balance[Niveles:3],"",0)</f>
        <v/>
      </c>
      <c r="X741" t="str">
        <f>_xlfn.XLOOKUP(Table3[[#This Row],[Cuenta]],Estructura_Balance[Nombre Cuenta ()],Estructura_Balance[Grupos],"Grupo 1",0)</f>
        <v>Grupo 1</v>
      </c>
      <c r="Y741" t="str">
        <f>+Table3[[#This Row],[BS_Nivel_1]]</f>
        <v/>
      </c>
    </row>
    <row r="742" spans="1:25">
      <c r="A742">
        <f>+'Libro Diario'!F956</f>
        <v>0</v>
      </c>
      <c r="B742" s="144">
        <f>VALUE(IF(+'Libro Diario'!G956="","01/01/2025",+'Libro Diario'!G956))</f>
        <v>45658</v>
      </c>
      <c r="C742">
        <f>IF(ISNUMBER(+IF(IFERROR(VALUE(MID('Libro Diario'!C956,1,4)),0)&lt;&gt;0,'Libro Diario'!C956,0))=FALSE,'Libro Diario'!C956,0)</f>
        <v>0</v>
      </c>
      <c r="D742" s="145">
        <f>+'Libro Diario'!B956</f>
        <v>0</v>
      </c>
      <c r="E742" s="139" t="s">
        <v>445</v>
      </c>
      <c r="F742" t="str">
        <f t="shared" si="33"/>
        <v>Sin Mov.</v>
      </c>
      <c r="G742" t="str">
        <f>IF(+'Libro Diario'!H956=0,"",+'Libro Diario'!H956)</f>
        <v/>
      </c>
      <c r="H742" t="str">
        <f>IF(+'Libro Diario'!I956=0,"",+'Libro Diario'!I956)</f>
        <v/>
      </c>
      <c r="I742" t="str">
        <f>+IF(Table3[[#This Row],[Tipo Movimiento]]="Estructura Balance y PyG","Excluir","Incluir")</f>
        <v>Incluir</v>
      </c>
      <c r="J742" s="153">
        <f>+IF(Table3[[#This Row],[Sin cuenta]]="Con Mov.",(IF(Table3[[#This Row],[Movimiento]]="Debe",Table3[[#This Row],[Importe]],IF(Table3[[#This Row],[Movimiento]]="Haber",Table3[[#This Row],[Importe]]*-1,0))),0)</f>
        <v>0</v>
      </c>
      <c r="K742" s="145">
        <f t="shared" si="34"/>
        <v>0</v>
      </c>
      <c r="L742" s="145" t="str">
        <f t="shared" si="35"/>
        <v/>
      </c>
      <c r="M742" t="str">
        <f>_xlfn.XLOOKUP(Table3[[#This Row],[Cuenta]],Estructura_Balance[Nombre Cuenta ()],Estructura_Balance[Grupo],"",0)</f>
        <v/>
      </c>
      <c r="N742" t="str">
        <f>_xlfn.XLOOKUP(Table3[[#This Row],[Cuenta]],Estructura_Balance[Nombre Cuenta ()],Estructura_Balance[Nivel 1],"",0)</f>
        <v/>
      </c>
      <c r="O742" t="str">
        <f>_xlfn.XLOOKUP(Table3[[#This Row],[Cuenta]],Estructura_Balance[Nombre Cuenta ()],Estructura_Balance[Nivel 2],"",0)</f>
        <v/>
      </c>
      <c r="P742" t="str">
        <f>_xlfn.XLOOKUP(Table3[[#This Row],[Cuenta]],Estructura_Balance[Nombre Cuenta ()],Estructura_Balance[Nivel 3],"",0)</f>
        <v/>
      </c>
      <c r="Q742" t="str">
        <f>_xlfn.XLOOKUP(Table3[[#This Row],[Cuenta]],Estructura_Balance[Nombre Cuenta ()],Estructura_Balance[Nivel 4],"",0)</f>
        <v/>
      </c>
      <c r="R742" t="str">
        <f>_xlfn.XLOOKUP(Table3[[#This Row],[Cuenta]],Table8[Nombre Cuenta ()],Table8[Nivel 1],"",0)</f>
        <v/>
      </c>
      <c r="S742" t="str">
        <f>_xlfn.XLOOKUP(Table3[[#This Row],[Cuenta]],Table8[Nombre Cuenta ()],Table8[Nivel 2],"",0)</f>
        <v/>
      </c>
      <c r="T742" t="str">
        <f>_xlfn.XLOOKUP(Table3[[#This Row],[Cuenta]],Table8[Nombre Cuenta ()],Table8[Nivel 3],"",0)</f>
        <v/>
      </c>
      <c r="U742">
        <v>1212</v>
      </c>
      <c r="V742" t="str">
        <f>_xlfn.XLOOKUP(Table3[[#This Row],[Cuenta]],Estructura_Balance[Nombre Cuenta ()],Estructura_Balance[Niveles:2],"",0)</f>
        <v/>
      </c>
      <c r="W742" t="str">
        <f>_xlfn.XLOOKUP(Table3[[#This Row],[Cuenta]],Estructura_Balance[Nombre Cuenta ()],Estructura_Balance[Niveles:3],"",0)</f>
        <v/>
      </c>
      <c r="X742" t="str">
        <f>_xlfn.XLOOKUP(Table3[[#This Row],[Cuenta]],Estructura_Balance[Nombre Cuenta ()],Estructura_Balance[Grupos],"Grupo 1",0)</f>
        <v>Grupo 1</v>
      </c>
      <c r="Y742" t="str">
        <f>+Table3[[#This Row],[BS_Nivel_1]]</f>
        <v/>
      </c>
    </row>
    <row r="743" spans="1:25">
      <c r="A743">
        <f>+'Libro Diario'!F957</f>
        <v>0</v>
      </c>
      <c r="B743" s="144">
        <f>VALUE(IF(+'Libro Diario'!G957="","01/01/2025",+'Libro Diario'!G957))</f>
        <v>45658</v>
      </c>
      <c r="C743">
        <f>IF(ISNUMBER(+IF(IFERROR(VALUE(MID('Libro Diario'!C957,1,4)),0)&lt;&gt;0,'Libro Diario'!C957,0))=FALSE,'Libro Diario'!C957,0)</f>
        <v>0</v>
      </c>
      <c r="D743" s="145">
        <f>+'Libro Diario'!B957</f>
        <v>0</v>
      </c>
      <c r="E743" s="139" t="s">
        <v>445</v>
      </c>
      <c r="F743" t="str">
        <f t="shared" si="33"/>
        <v>Sin Mov.</v>
      </c>
      <c r="G743" t="str">
        <f>IF(+'Libro Diario'!H957=0,"",+'Libro Diario'!H957)</f>
        <v/>
      </c>
      <c r="H743" t="str">
        <f>IF(+'Libro Diario'!I957=0,"",+'Libro Diario'!I957)</f>
        <v/>
      </c>
      <c r="I743" t="str">
        <f>+IF(Table3[[#This Row],[Tipo Movimiento]]="Estructura Balance y PyG","Excluir","Incluir")</f>
        <v>Incluir</v>
      </c>
      <c r="J743" s="153">
        <f>+IF(Table3[[#This Row],[Sin cuenta]]="Con Mov.",(IF(Table3[[#This Row],[Movimiento]]="Debe",Table3[[#This Row],[Importe]],IF(Table3[[#This Row],[Movimiento]]="Haber",Table3[[#This Row],[Importe]]*-1,0))),0)</f>
        <v>0</v>
      </c>
      <c r="K743" s="145">
        <f t="shared" si="34"/>
        <v>0</v>
      </c>
      <c r="L743" s="145" t="str">
        <f t="shared" si="35"/>
        <v/>
      </c>
      <c r="M743" t="str">
        <f>_xlfn.XLOOKUP(Table3[[#This Row],[Cuenta]],Estructura_Balance[Nombre Cuenta ()],Estructura_Balance[Grupo],"",0)</f>
        <v/>
      </c>
      <c r="N743" t="str">
        <f>_xlfn.XLOOKUP(Table3[[#This Row],[Cuenta]],Estructura_Balance[Nombre Cuenta ()],Estructura_Balance[Nivel 1],"",0)</f>
        <v/>
      </c>
      <c r="O743" t="str">
        <f>_xlfn.XLOOKUP(Table3[[#This Row],[Cuenta]],Estructura_Balance[Nombre Cuenta ()],Estructura_Balance[Nivel 2],"",0)</f>
        <v/>
      </c>
      <c r="P743" t="str">
        <f>_xlfn.XLOOKUP(Table3[[#This Row],[Cuenta]],Estructura_Balance[Nombre Cuenta ()],Estructura_Balance[Nivel 3],"",0)</f>
        <v/>
      </c>
      <c r="Q743" t="str">
        <f>_xlfn.XLOOKUP(Table3[[#This Row],[Cuenta]],Estructura_Balance[Nombre Cuenta ()],Estructura_Balance[Nivel 4],"",0)</f>
        <v/>
      </c>
      <c r="R743" t="str">
        <f>_xlfn.XLOOKUP(Table3[[#This Row],[Cuenta]],Table8[Nombre Cuenta ()],Table8[Nivel 1],"",0)</f>
        <v/>
      </c>
      <c r="S743" t="str">
        <f>_xlfn.XLOOKUP(Table3[[#This Row],[Cuenta]],Table8[Nombre Cuenta ()],Table8[Nivel 2],"",0)</f>
        <v/>
      </c>
      <c r="T743" t="str">
        <f>_xlfn.XLOOKUP(Table3[[#This Row],[Cuenta]],Table8[Nombre Cuenta ()],Table8[Nivel 3],"",0)</f>
        <v/>
      </c>
      <c r="U743">
        <v>1215</v>
      </c>
      <c r="V743" t="str">
        <f>_xlfn.XLOOKUP(Table3[[#This Row],[Cuenta]],Estructura_Balance[Nombre Cuenta ()],Estructura_Balance[Niveles:2],"",0)</f>
        <v/>
      </c>
      <c r="W743" t="str">
        <f>_xlfn.XLOOKUP(Table3[[#This Row],[Cuenta]],Estructura_Balance[Nombre Cuenta ()],Estructura_Balance[Niveles:3],"",0)</f>
        <v/>
      </c>
      <c r="X743" t="str">
        <f>_xlfn.XLOOKUP(Table3[[#This Row],[Cuenta]],Estructura_Balance[Nombre Cuenta ()],Estructura_Balance[Grupos],"Grupo 1",0)</f>
        <v>Grupo 1</v>
      </c>
      <c r="Y743" t="str">
        <f>+Table3[[#This Row],[BS_Nivel_1]]</f>
        <v/>
      </c>
    </row>
    <row r="744" spans="1:25">
      <c r="A744">
        <f>+'Libro Diario'!F958</f>
        <v>0</v>
      </c>
      <c r="B744" s="144">
        <f>VALUE(IF(+'Libro Diario'!G958="","01/01/2025",+'Libro Diario'!G958))</f>
        <v>45658</v>
      </c>
      <c r="C744">
        <f>IF(ISNUMBER(+IF(IFERROR(VALUE(MID('Libro Diario'!C958,1,4)),0)&lt;&gt;0,'Libro Diario'!C958,0))=FALSE,'Libro Diario'!C958,0)</f>
        <v>0</v>
      </c>
      <c r="D744" s="145">
        <f>+'Libro Diario'!B958</f>
        <v>0</v>
      </c>
      <c r="E744" s="139" t="s">
        <v>445</v>
      </c>
      <c r="F744" t="str">
        <f t="shared" si="33"/>
        <v>Sin Mov.</v>
      </c>
      <c r="G744" t="str">
        <f>IF(+'Libro Diario'!H958=0,"",+'Libro Diario'!H958)</f>
        <v/>
      </c>
      <c r="H744" t="str">
        <f>IF(+'Libro Diario'!I958=0,"",+'Libro Diario'!I958)</f>
        <v/>
      </c>
      <c r="I744" t="str">
        <f>+IF(Table3[[#This Row],[Tipo Movimiento]]="Estructura Balance y PyG","Excluir","Incluir")</f>
        <v>Incluir</v>
      </c>
      <c r="J744" s="153">
        <f>+IF(Table3[[#This Row],[Sin cuenta]]="Con Mov.",(IF(Table3[[#This Row],[Movimiento]]="Debe",Table3[[#This Row],[Importe]],IF(Table3[[#This Row],[Movimiento]]="Haber",Table3[[#This Row],[Importe]]*-1,0))),0)</f>
        <v>0</v>
      </c>
      <c r="K744" s="145">
        <f t="shared" si="34"/>
        <v>0</v>
      </c>
      <c r="L744" s="145" t="str">
        <f t="shared" si="35"/>
        <v/>
      </c>
      <c r="M744" t="str">
        <f>_xlfn.XLOOKUP(Table3[[#This Row],[Cuenta]],Estructura_Balance[Nombre Cuenta ()],Estructura_Balance[Grupo],"",0)</f>
        <v/>
      </c>
      <c r="N744" t="str">
        <f>_xlfn.XLOOKUP(Table3[[#This Row],[Cuenta]],Estructura_Balance[Nombre Cuenta ()],Estructura_Balance[Nivel 1],"",0)</f>
        <v/>
      </c>
      <c r="O744" t="str">
        <f>_xlfn.XLOOKUP(Table3[[#This Row],[Cuenta]],Estructura_Balance[Nombre Cuenta ()],Estructura_Balance[Nivel 2],"",0)</f>
        <v/>
      </c>
      <c r="P744" t="str">
        <f>_xlfn.XLOOKUP(Table3[[#This Row],[Cuenta]],Estructura_Balance[Nombre Cuenta ()],Estructura_Balance[Nivel 3],"",0)</f>
        <v/>
      </c>
      <c r="Q744" t="str">
        <f>_xlfn.XLOOKUP(Table3[[#This Row],[Cuenta]],Estructura_Balance[Nombre Cuenta ()],Estructura_Balance[Nivel 4],"",0)</f>
        <v/>
      </c>
      <c r="R744" t="str">
        <f>_xlfn.XLOOKUP(Table3[[#This Row],[Cuenta]],Table8[Nombre Cuenta ()],Table8[Nivel 1],"",0)</f>
        <v/>
      </c>
      <c r="S744" t="str">
        <f>_xlfn.XLOOKUP(Table3[[#This Row],[Cuenta]],Table8[Nombre Cuenta ()],Table8[Nivel 2],"",0)</f>
        <v/>
      </c>
      <c r="T744" t="str">
        <f>_xlfn.XLOOKUP(Table3[[#This Row],[Cuenta]],Table8[Nombre Cuenta ()],Table8[Nivel 3],"",0)</f>
        <v/>
      </c>
      <c r="U744">
        <v>1216</v>
      </c>
      <c r="V744" t="str">
        <f>_xlfn.XLOOKUP(Table3[[#This Row],[Cuenta]],Estructura_Balance[Nombre Cuenta ()],Estructura_Balance[Niveles:2],"",0)</f>
        <v/>
      </c>
      <c r="W744" t="str">
        <f>_xlfn.XLOOKUP(Table3[[#This Row],[Cuenta]],Estructura_Balance[Nombre Cuenta ()],Estructura_Balance[Niveles:3],"",0)</f>
        <v/>
      </c>
      <c r="X744" t="str">
        <f>_xlfn.XLOOKUP(Table3[[#This Row],[Cuenta]],Estructura_Balance[Nombre Cuenta ()],Estructura_Balance[Grupos],"Grupo 1",0)</f>
        <v>Grupo 1</v>
      </c>
      <c r="Y744" t="str">
        <f>+Table3[[#This Row],[BS_Nivel_1]]</f>
        <v/>
      </c>
    </row>
    <row r="745" spans="1:25">
      <c r="A745">
        <f>+'Libro Diario'!F959</f>
        <v>0</v>
      </c>
      <c r="B745" s="144">
        <f>VALUE(IF(+'Libro Diario'!G959="","01/01/2025",+'Libro Diario'!G959))</f>
        <v>45658</v>
      </c>
      <c r="C745">
        <f>IF(ISNUMBER(+IF(IFERROR(VALUE(MID('Libro Diario'!C959,1,4)),0)&lt;&gt;0,'Libro Diario'!C959,0))=FALSE,'Libro Diario'!C959,0)</f>
        <v>0</v>
      </c>
      <c r="D745" s="145">
        <f>+'Libro Diario'!B959</f>
        <v>0</v>
      </c>
      <c r="E745" s="139" t="s">
        <v>445</v>
      </c>
      <c r="F745" t="str">
        <f t="shared" si="33"/>
        <v>Sin Mov.</v>
      </c>
      <c r="G745" t="str">
        <f>IF(+'Libro Diario'!H959=0,"",+'Libro Diario'!H959)</f>
        <v/>
      </c>
      <c r="H745" t="str">
        <f>IF(+'Libro Diario'!I959=0,"",+'Libro Diario'!I959)</f>
        <v/>
      </c>
      <c r="I745" t="str">
        <f>+IF(Table3[[#This Row],[Tipo Movimiento]]="Estructura Balance y PyG","Excluir","Incluir")</f>
        <v>Incluir</v>
      </c>
      <c r="J745" s="153">
        <f>+IF(Table3[[#This Row],[Sin cuenta]]="Con Mov.",(IF(Table3[[#This Row],[Movimiento]]="Debe",Table3[[#This Row],[Importe]],IF(Table3[[#This Row],[Movimiento]]="Haber",Table3[[#This Row],[Importe]]*-1,0))),0)</f>
        <v>0</v>
      </c>
      <c r="K745" s="145">
        <f t="shared" si="34"/>
        <v>0</v>
      </c>
      <c r="L745" s="145" t="str">
        <f t="shared" si="35"/>
        <v/>
      </c>
      <c r="M745" t="str">
        <f>_xlfn.XLOOKUP(Table3[[#This Row],[Cuenta]],Estructura_Balance[Nombre Cuenta ()],Estructura_Balance[Grupo],"",0)</f>
        <v/>
      </c>
      <c r="N745" t="str">
        <f>_xlfn.XLOOKUP(Table3[[#This Row],[Cuenta]],Estructura_Balance[Nombre Cuenta ()],Estructura_Balance[Nivel 1],"",0)</f>
        <v/>
      </c>
      <c r="O745" t="str">
        <f>_xlfn.XLOOKUP(Table3[[#This Row],[Cuenta]],Estructura_Balance[Nombre Cuenta ()],Estructura_Balance[Nivel 2],"",0)</f>
        <v/>
      </c>
      <c r="P745" t="str">
        <f>_xlfn.XLOOKUP(Table3[[#This Row],[Cuenta]],Estructura_Balance[Nombre Cuenta ()],Estructura_Balance[Nivel 3],"",0)</f>
        <v/>
      </c>
      <c r="Q745" t="str">
        <f>_xlfn.XLOOKUP(Table3[[#This Row],[Cuenta]],Estructura_Balance[Nombre Cuenta ()],Estructura_Balance[Nivel 4],"",0)</f>
        <v/>
      </c>
      <c r="R745" t="str">
        <f>_xlfn.XLOOKUP(Table3[[#This Row],[Cuenta]],Table8[Nombre Cuenta ()],Table8[Nivel 1],"",0)</f>
        <v/>
      </c>
      <c r="S745" t="str">
        <f>_xlfn.XLOOKUP(Table3[[#This Row],[Cuenta]],Table8[Nombre Cuenta ()],Table8[Nivel 2],"",0)</f>
        <v/>
      </c>
      <c r="T745" t="str">
        <f>_xlfn.XLOOKUP(Table3[[#This Row],[Cuenta]],Table8[Nombre Cuenta ()],Table8[Nivel 3],"",0)</f>
        <v/>
      </c>
      <c r="U745">
        <v>1217</v>
      </c>
      <c r="V745" t="str">
        <f>_xlfn.XLOOKUP(Table3[[#This Row],[Cuenta]],Estructura_Balance[Nombre Cuenta ()],Estructura_Balance[Niveles:2],"",0)</f>
        <v/>
      </c>
      <c r="W745" t="str">
        <f>_xlfn.XLOOKUP(Table3[[#This Row],[Cuenta]],Estructura_Balance[Nombre Cuenta ()],Estructura_Balance[Niveles:3],"",0)</f>
        <v/>
      </c>
      <c r="X745" t="str">
        <f>_xlfn.XLOOKUP(Table3[[#This Row],[Cuenta]],Estructura_Balance[Nombre Cuenta ()],Estructura_Balance[Grupos],"Grupo 1",0)</f>
        <v>Grupo 1</v>
      </c>
      <c r="Y745" t="str">
        <f>+Table3[[#This Row],[BS_Nivel_1]]</f>
        <v/>
      </c>
    </row>
    <row r="746" spans="1:25">
      <c r="A746">
        <f>+'Libro Diario'!F960</f>
        <v>0</v>
      </c>
      <c r="B746" s="144">
        <f>VALUE(IF(+'Libro Diario'!G960="","01/01/2025",+'Libro Diario'!G960))</f>
        <v>45658</v>
      </c>
      <c r="C746">
        <f>IF(ISNUMBER(+IF(IFERROR(VALUE(MID('Libro Diario'!C960,1,4)),0)&lt;&gt;0,'Libro Diario'!C960,0))=FALSE,'Libro Diario'!C960,0)</f>
        <v>0</v>
      </c>
      <c r="D746" s="145">
        <f>+'Libro Diario'!B960</f>
        <v>0</v>
      </c>
      <c r="E746" s="139" t="s">
        <v>445</v>
      </c>
      <c r="F746" t="str">
        <f t="shared" si="33"/>
        <v>Sin Mov.</v>
      </c>
      <c r="G746" t="str">
        <f>IF(+'Libro Diario'!H960=0,"",+'Libro Diario'!H960)</f>
        <v/>
      </c>
      <c r="H746" t="str">
        <f>IF(+'Libro Diario'!I960=0,"",+'Libro Diario'!I960)</f>
        <v/>
      </c>
      <c r="I746" t="str">
        <f>+IF(Table3[[#This Row],[Tipo Movimiento]]="Estructura Balance y PyG","Excluir","Incluir")</f>
        <v>Incluir</v>
      </c>
      <c r="J746" s="153">
        <f>+IF(Table3[[#This Row],[Sin cuenta]]="Con Mov.",(IF(Table3[[#This Row],[Movimiento]]="Debe",Table3[[#This Row],[Importe]],IF(Table3[[#This Row],[Movimiento]]="Haber",Table3[[#This Row],[Importe]]*-1,0))),0)</f>
        <v>0</v>
      </c>
      <c r="K746" s="145">
        <f t="shared" si="34"/>
        <v>0</v>
      </c>
      <c r="L746" s="145" t="str">
        <f t="shared" si="35"/>
        <v/>
      </c>
      <c r="M746" t="str">
        <f>_xlfn.XLOOKUP(Table3[[#This Row],[Cuenta]],Estructura_Balance[Nombre Cuenta ()],Estructura_Balance[Grupo],"",0)</f>
        <v/>
      </c>
      <c r="N746" t="str">
        <f>_xlfn.XLOOKUP(Table3[[#This Row],[Cuenta]],Estructura_Balance[Nombre Cuenta ()],Estructura_Balance[Nivel 1],"",0)</f>
        <v/>
      </c>
      <c r="O746" t="str">
        <f>_xlfn.XLOOKUP(Table3[[#This Row],[Cuenta]],Estructura_Balance[Nombre Cuenta ()],Estructura_Balance[Nivel 2],"",0)</f>
        <v/>
      </c>
      <c r="P746" t="str">
        <f>_xlfn.XLOOKUP(Table3[[#This Row],[Cuenta]],Estructura_Balance[Nombre Cuenta ()],Estructura_Balance[Nivel 3],"",0)</f>
        <v/>
      </c>
      <c r="Q746" t="str">
        <f>_xlfn.XLOOKUP(Table3[[#This Row],[Cuenta]],Estructura_Balance[Nombre Cuenta ()],Estructura_Balance[Nivel 4],"",0)</f>
        <v/>
      </c>
      <c r="R746" t="str">
        <f>_xlfn.XLOOKUP(Table3[[#This Row],[Cuenta]],Table8[Nombre Cuenta ()],Table8[Nivel 1],"",0)</f>
        <v/>
      </c>
      <c r="S746" t="str">
        <f>_xlfn.XLOOKUP(Table3[[#This Row],[Cuenta]],Table8[Nombre Cuenta ()],Table8[Nivel 2],"",0)</f>
        <v/>
      </c>
      <c r="T746" t="str">
        <f>_xlfn.XLOOKUP(Table3[[#This Row],[Cuenta]],Table8[Nombre Cuenta ()],Table8[Nivel 3],"",0)</f>
        <v/>
      </c>
      <c r="U746">
        <v>1218</v>
      </c>
      <c r="V746" t="str">
        <f>_xlfn.XLOOKUP(Table3[[#This Row],[Cuenta]],Estructura_Balance[Nombre Cuenta ()],Estructura_Balance[Niveles:2],"",0)</f>
        <v/>
      </c>
      <c r="W746" t="str">
        <f>_xlfn.XLOOKUP(Table3[[#This Row],[Cuenta]],Estructura_Balance[Nombre Cuenta ()],Estructura_Balance[Niveles:3],"",0)</f>
        <v/>
      </c>
      <c r="X746" t="str">
        <f>_xlfn.XLOOKUP(Table3[[#This Row],[Cuenta]],Estructura_Balance[Nombre Cuenta ()],Estructura_Balance[Grupos],"Grupo 1",0)</f>
        <v>Grupo 1</v>
      </c>
      <c r="Y746" t="str">
        <f>+Table3[[#This Row],[BS_Nivel_1]]</f>
        <v/>
      </c>
    </row>
    <row r="747" spans="1:25">
      <c r="A747">
        <f>+'Libro Diario'!F961</f>
        <v>0</v>
      </c>
      <c r="B747" s="144">
        <f>VALUE(IF(+'Libro Diario'!G961="","01/01/2025",+'Libro Diario'!G961))</f>
        <v>45658</v>
      </c>
      <c r="C747">
        <f>IF(ISNUMBER(+IF(IFERROR(VALUE(MID('Libro Diario'!C961,1,4)),0)&lt;&gt;0,'Libro Diario'!C961,0))=FALSE,'Libro Diario'!C961,0)</f>
        <v>0</v>
      </c>
      <c r="D747" s="145">
        <f>+'Libro Diario'!B961</f>
        <v>0</v>
      </c>
      <c r="E747" s="139" t="s">
        <v>445</v>
      </c>
      <c r="F747" t="str">
        <f t="shared" si="33"/>
        <v>Sin Mov.</v>
      </c>
      <c r="G747" t="str">
        <f>IF(+'Libro Diario'!H961=0,"",+'Libro Diario'!H961)</f>
        <v/>
      </c>
      <c r="H747" t="str">
        <f>IF(+'Libro Diario'!I961=0,"",+'Libro Diario'!I961)</f>
        <v/>
      </c>
      <c r="I747" t="str">
        <f>+IF(Table3[[#This Row],[Tipo Movimiento]]="Estructura Balance y PyG","Excluir","Incluir")</f>
        <v>Incluir</v>
      </c>
      <c r="J747" s="153">
        <f>+IF(Table3[[#This Row],[Sin cuenta]]="Con Mov.",(IF(Table3[[#This Row],[Movimiento]]="Debe",Table3[[#This Row],[Importe]],IF(Table3[[#This Row],[Movimiento]]="Haber",Table3[[#This Row],[Importe]]*-1,0))),0)</f>
        <v>0</v>
      </c>
      <c r="K747" s="145">
        <f t="shared" si="34"/>
        <v>0</v>
      </c>
      <c r="L747" s="145" t="str">
        <f t="shared" si="35"/>
        <v/>
      </c>
      <c r="M747" t="str">
        <f>_xlfn.XLOOKUP(Table3[[#This Row],[Cuenta]],Estructura_Balance[Nombre Cuenta ()],Estructura_Balance[Grupo],"",0)</f>
        <v/>
      </c>
      <c r="N747" t="str">
        <f>_xlfn.XLOOKUP(Table3[[#This Row],[Cuenta]],Estructura_Balance[Nombre Cuenta ()],Estructura_Balance[Nivel 1],"",0)</f>
        <v/>
      </c>
      <c r="O747" t="str">
        <f>_xlfn.XLOOKUP(Table3[[#This Row],[Cuenta]],Estructura_Balance[Nombre Cuenta ()],Estructura_Balance[Nivel 2],"",0)</f>
        <v/>
      </c>
      <c r="P747" t="str">
        <f>_xlfn.XLOOKUP(Table3[[#This Row],[Cuenta]],Estructura_Balance[Nombre Cuenta ()],Estructura_Balance[Nivel 3],"",0)</f>
        <v/>
      </c>
      <c r="Q747" t="str">
        <f>_xlfn.XLOOKUP(Table3[[#This Row],[Cuenta]],Estructura_Balance[Nombre Cuenta ()],Estructura_Balance[Nivel 4],"",0)</f>
        <v/>
      </c>
      <c r="R747" t="str">
        <f>_xlfn.XLOOKUP(Table3[[#This Row],[Cuenta]],Table8[Nombre Cuenta ()],Table8[Nivel 1],"",0)</f>
        <v/>
      </c>
      <c r="S747" t="str">
        <f>_xlfn.XLOOKUP(Table3[[#This Row],[Cuenta]],Table8[Nombre Cuenta ()],Table8[Nivel 2],"",0)</f>
        <v/>
      </c>
      <c r="T747" t="str">
        <f>_xlfn.XLOOKUP(Table3[[#This Row],[Cuenta]],Table8[Nombre Cuenta ()],Table8[Nivel 3],"",0)</f>
        <v/>
      </c>
      <c r="U747">
        <v>1219</v>
      </c>
      <c r="V747" t="str">
        <f>_xlfn.XLOOKUP(Table3[[#This Row],[Cuenta]],Estructura_Balance[Nombre Cuenta ()],Estructura_Balance[Niveles:2],"",0)</f>
        <v/>
      </c>
      <c r="W747" t="str">
        <f>_xlfn.XLOOKUP(Table3[[#This Row],[Cuenta]],Estructura_Balance[Nombre Cuenta ()],Estructura_Balance[Niveles:3],"",0)</f>
        <v/>
      </c>
      <c r="X747" t="str">
        <f>_xlfn.XLOOKUP(Table3[[#This Row],[Cuenta]],Estructura_Balance[Nombre Cuenta ()],Estructura_Balance[Grupos],"Grupo 1",0)</f>
        <v>Grupo 1</v>
      </c>
      <c r="Y747" t="str">
        <f>+Table3[[#This Row],[BS_Nivel_1]]</f>
        <v/>
      </c>
    </row>
    <row r="748" spans="1:25">
      <c r="A748">
        <f>+'Libro Diario'!F962</f>
        <v>0</v>
      </c>
      <c r="B748" s="144">
        <f>VALUE(IF(+'Libro Diario'!G962="","01/01/2025",+'Libro Diario'!G962))</f>
        <v>45658</v>
      </c>
      <c r="C748">
        <f>IF(ISNUMBER(+IF(IFERROR(VALUE(MID('Libro Diario'!C962,1,4)),0)&lt;&gt;0,'Libro Diario'!C962,0))=FALSE,'Libro Diario'!C962,0)</f>
        <v>0</v>
      </c>
      <c r="D748" s="145">
        <f>+'Libro Diario'!B962</f>
        <v>0</v>
      </c>
      <c r="E748" s="139" t="s">
        <v>445</v>
      </c>
      <c r="F748" t="str">
        <f t="shared" si="33"/>
        <v>Sin Mov.</v>
      </c>
      <c r="G748" t="str">
        <f>IF(+'Libro Diario'!H962=0,"",+'Libro Diario'!H962)</f>
        <v/>
      </c>
      <c r="H748" t="str">
        <f>IF(+'Libro Diario'!I962=0,"",+'Libro Diario'!I962)</f>
        <v/>
      </c>
      <c r="I748" t="str">
        <f>+IF(Table3[[#This Row],[Tipo Movimiento]]="Estructura Balance y PyG","Excluir","Incluir")</f>
        <v>Incluir</v>
      </c>
      <c r="J748" s="153">
        <f>+IF(Table3[[#This Row],[Sin cuenta]]="Con Mov.",(IF(Table3[[#This Row],[Movimiento]]="Debe",Table3[[#This Row],[Importe]],IF(Table3[[#This Row],[Movimiento]]="Haber",Table3[[#This Row],[Importe]]*-1,0))),0)</f>
        <v>0</v>
      </c>
      <c r="K748" s="145">
        <f t="shared" si="34"/>
        <v>0</v>
      </c>
      <c r="L748" s="145" t="str">
        <f t="shared" si="35"/>
        <v/>
      </c>
      <c r="M748" t="str">
        <f>_xlfn.XLOOKUP(Table3[[#This Row],[Cuenta]],Estructura_Balance[Nombre Cuenta ()],Estructura_Balance[Grupo],"",0)</f>
        <v/>
      </c>
      <c r="N748" t="str">
        <f>_xlfn.XLOOKUP(Table3[[#This Row],[Cuenta]],Estructura_Balance[Nombre Cuenta ()],Estructura_Balance[Nivel 1],"",0)</f>
        <v/>
      </c>
      <c r="O748" t="str">
        <f>_xlfn.XLOOKUP(Table3[[#This Row],[Cuenta]],Estructura_Balance[Nombre Cuenta ()],Estructura_Balance[Nivel 2],"",0)</f>
        <v/>
      </c>
      <c r="P748" t="str">
        <f>_xlfn.XLOOKUP(Table3[[#This Row],[Cuenta]],Estructura_Balance[Nombre Cuenta ()],Estructura_Balance[Nivel 3],"",0)</f>
        <v/>
      </c>
      <c r="Q748" t="str">
        <f>_xlfn.XLOOKUP(Table3[[#This Row],[Cuenta]],Estructura_Balance[Nombre Cuenta ()],Estructura_Balance[Nivel 4],"",0)</f>
        <v/>
      </c>
      <c r="R748" t="str">
        <f>_xlfn.XLOOKUP(Table3[[#This Row],[Cuenta]],Table8[Nombre Cuenta ()],Table8[Nivel 1],"",0)</f>
        <v/>
      </c>
      <c r="S748" t="str">
        <f>_xlfn.XLOOKUP(Table3[[#This Row],[Cuenta]],Table8[Nombre Cuenta ()],Table8[Nivel 2],"",0)</f>
        <v/>
      </c>
      <c r="T748" t="str">
        <f>_xlfn.XLOOKUP(Table3[[#This Row],[Cuenta]],Table8[Nombre Cuenta ()],Table8[Nivel 3],"",0)</f>
        <v/>
      </c>
      <c r="U748">
        <v>1222</v>
      </c>
      <c r="V748" t="str">
        <f>_xlfn.XLOOKUP(Table3[[#This Row],[Cuenta]],Estructura_Balance[Nombre Cuenta ()],Estructura_Balance[Niveles:2],"",0)</f>
        <v/>
      </c>
      <c r="W748" t="str">
        <f>_xlfn.XLOOKUP(Table3[[#This Row],[Cuenta]],Estructura_Balance[Nombre Cuenta ()],Estructura_Balance[Niveles:3],"",0)</f>
        <v/>
      </c>
      <c r="X748" t="str">
        <f>_xlfn.XLOOKUP(Table3[[#This Row],[Cuenta]],Estructura_Balance[Nombre Cuenta ()],Estructura_Balance[Grupos],"Grupo 1",0)</f>
        <v>Grupo 1</v>
      </c>
      <c r="Y748" t="str">
        <f>+Table3[[#This Row],[BS_Nivel_1]]</f>
        <v/>
      </c>
    </row>
    <row r="749" spans="1:25">
      <c r="A749">
        <f>+'Libro Diario'!F963</f>
        <v>0</v>
      </c>
      <c r="B749" s="144">
        <f>VALUE(IF(+'Libro Diario'!G963="","01/01/2025",+'Libro Diario'!G963))</f>
        <v>45658</v>
      </c>
      <c r="C749">
        <f>IF(ISNUMBER(+IF(IFERROR(VALUE(MID('Libro Diario'!C963,1,4)),0)&lt;&gt;0,'Libro Diario'!C963,0))=FALSE,'Libro Diario'!C963,0)</f>
        <v>0</v>
      </c>
      <c r="D749" s="145">
        <f>+'Libro Diario'!B963</f>
        <v>0</v>
      </c>
      <c r="E749" s="139" t="s">
        <v>445</v>
      </c>
      <c r="F749" t="str">
        <f t="shared" si="33"/>
        <v>Sin Mov.</v>
      </c>
      <c r="G749" t="str">
        <f>IF(+'Libro Diario'!H963=0,"",+'Libro Diario'!H963)</f>
        <v/>
      </c>
      <c r="H749" t="str">
        <f>IF(+'Libro Diario'!I963=0,"",+'Libro Diario'!I963)</f>
        <v/>
      </c>
      <c r="I749" t="str">
        <f>+IF(Table3[[#This Row],[Tipo Movimiento]]="Estructura Balance y PyG","Excluir","Incluir")</f>
        <v>Incluir</v>
      </c>
      <c r="J749" s="153">
        <f>+IF(Table3[[#This Row],[Sin cuenta]]="Con Mov.",(IF(Table3[[#This Row],[Movimiento]]="Debe",Table3[[#This Row],[Importe]],IF(Table3[[#This Row],[Movimiento]]="Haber",Table3[[#This Row],[Importe]]*-1,0))),0)</f>
        <v>0</v>
      </c>
      <c r="K749" s="145">
        <f t="shared" si="34"/>
        <v>0</v>
      </c>
      <c r="L749" s="145" t="str">
        <f t="shared" si="35"/>
        <v/>
      </c>
      <c r="M749" t="str">
        <f>_xlfn.XLOOKUP(Table3[[#This Row],[Cuenta]],Estructura_Balance[Nombre Cuenta ()],Estructura_Balance[Grupo],"",0)</f>
        <v/>
      </c>
      <c r="N749" t="str">
        <f>_xlfn.XLOOKUP(Table3[[#This Row],[Cuenta]],Estructura_Balance[Nombre Cuenta ()],Estructura_Balance[Nivel 1],"",0)</f>
        <v/>
      </c>
      <c r="O749" t="str">
        <f>_xlfn.XLOOKUP(Table3[[#This Row],[Cuenta]],Estructura_Balance[Nombre Cuenta ()],Estructura_Balance[Nivel 2],"",0)</f>
        <v/>
      </c>
      <c r="P749" t="str">
        <f>_xlfn.XLOOKUP(Table3[[#This Row],[Cuenta]],Estructura_Balance[Nombre Cuenta ()],Estructura_Balance[Nivel 3],"",0)</f>
        <v/>
      </c>
      <c r="Q749" t="str">
        <f>_xlfn.XLOOKUP(Table3[[#This Row],[Cuenta]],Estructura_Balance[Nombre Cuenta ()],Estructura_Balance[Nivel 4],"",0)</f>
        <v/>
      </c>
      <c r="R749" t="str">
        <f>_xlfn.XLOOKUP(Table3[[#This Row],[Cuenta]],Table8[Nombre Cuenta ()],Table8[Nivel 1],"",0)</f>
        <v/>
      </c>
      <c r="S749" t="str">
        <f>_xlfn.XLOOKUP(Table3[[#This Row],[Cuenta]],Table8[Nombre Cuenta ()],Table8[Nivel 2],"",0)</f>
        <v/>
      </c>
      <c r="T749" t="str">
        <f>_xlfn.XLOOKUP(Table3[[#This Row],[Cuenta]],Table8[Nombre Cuenta ()],Table8[Nivel 3],"",0)</f>
        <v/>
      </c>
      <c r="U749">
        <v>1223</v>
      </c>
      <c r="V749" t="str">
        <f>_xlfn.XLOOKUP(Table3[[#This Row],[Cuenta]],Estructura_Balance[Nombre Cuenta ()],Estructura_Balance[Niveles:2],"",0)</f>
        <v/>
      </c>
      <c r="W749" t="str">
        <f>_xlfn.XLOOKUP(Table3[[#This Row],[Cuenta]],Estructura_Balance[Nombre Cuenta ()],Estructura_Balance[Niveles:3],"",0)</f>
        <v/>
      </c>
      <c r="X749" t="str">
        <f>_xlfn.XLOOKUP(Table3[[#This Row],[Cuenta]],Estructura_Balance[Nombre Cuenta ()],Estructura_Balance[Grupos],"Grupo 1",0)</f>
        <v>Grupo 1</v>
      </c>
      <c r="Y749" t="str">
        <f>+Table3[[#This Row],[BS_Nivel_1]]</f>
        <v/>
      </c>
    </row>
    <row r="750" spans="1:25">
      <c r="A750">
        <f>+'Libro Diario'!F964</f>
        <v>0</v>
      </c>
      <c r="B750" s="144">
        <f>VALUE(IF(+'Libro Diario'!G964="","01/01/2025",+'Libro Diario'!G964))</f>
        <v>45658</v>
      </c>
      <c r="C750">
        <f>IF(ISNUMBER(+IF(IFERROR(VALUE(MID('Libro Diario'!C964,1,4)),0)&lt;&gt;0,'Libro Diario'!C964,0))=FALSE,'Libro Diario'!C964,0)</f>
        <v>0</v>
      </c>
      <c r="D750" s="145">
        <f>+'Libro Diario'!B964</f>
        <v>0</v>
      </c>
      <c r="E750" s="139" t="s">
        <v>445</v>
      </c>
      <c r="F750" t="str">
        <f t="shared" si="33"/>
        <v>Sin Mov.</v>
      </c>
      <c r="G750" t="str">
        <f>IF(+'Libro Diario'!H964=0,"",+'Libro Diario'!H964)</f>
        <v/>
      </c>
      <c r="H750" t="str">
        <f>IF(+'Libro Diario'!I964=0,"",+'Libro Diario'!I964)</f>
        <v/>
      </c>
      <c r="I750" t="str">
        <f>+IF(Table3[[#This Row],[Tipo Movimiento]]="Estructura Balance y PyG","Excluir","Incluir")</f>
        <v>Incluir</v>
      </c>
      <c r="J750" s="153">
        <f>+IF(Table3[[#This Row],[Sin cuenta]]="Con Mov.",(IF(Table3[[#This Row],[Movimiento]]="Debe",Table3[[#This Row],[Importe]],IF(Table3[[#This Row],[Movimiento]]="Haber",Table3[[#This Row],[Importe]]*-1,0))),0)</f>
        <v>0</v>
      </c>
      <c r="K750" s="145">
        <f t="shared" si="34"/>
        <v>0</v>
      </c>
      <c r="L750" s="145" t="str">
        <f t="shared" si="35"/>
        <v/>
      </c>
      <c r="M750" t="str">
        <f>_xlfn.XLOOKUP(Table3[[#This Row],[Cuenta]],Estructura_Balance[Nombre Cuenta ()],Estructura_Balance[Grupo],"",0)</f>
        <v/>
      </c>
      <c r="N750" t="str">
        <f>_xlfn.XLOOKUP(Table3[[#This Row],[Cuenta]],Estructura_Balance[Nombre Cuenta ()],Estructura_Balance[Nivel 1],"",0)</f>
        <v/>
      </c>
      <c r="O750" t="str">
        <f>_xlfn.XLOOKUP(Table3[[#This Row],[Cuenta]],Estructura_Balance[Nombre Cuenta ()],Estructura_Balance[Nivel 2],"",0)</f>
        <v/>
      </c>
      <c r="P750" t="str">
        <f>_xlfn.XLOOKUP(Table3[[#This Row],[Cuenta]],Estructura_Balance[Nombre Cuenta ()],Estructura_Balance[Nivel 3],"",0)</f>
        <v/>
      </c>
      <c r="Q750" t="str">
        <f>_xlfn.XLOOKUP(Table3[[#This Row],[Cuenta]],Estructura_Balance[Nombre Cuenta ()],Estructura_Balance[Nivel 4],"",0)</f>
        <v/>
      </c>
      <c r="R750" t="str">
        <f>_xlfn.XLOOKUP(Table3[[#This Row],[Cuenta]],Table8[Nombre Cuenta ()],Table8[Nivel 1],"",0)</f>
        <v/>
      </c>
      <c r="S750" t="str">
        <f>_xlfn.XLOOKUP(Table3[[#This Row],[Cuenta]],Table8[Nombre Cuenta ()],Table8[Nivel 2],"",0)</f>
        <v/>
      </c>
      <c r="T750" t="str">
        <f>_xlfn.XLOOKUP(Table3[[#This Row],[Cuenta]],Table8[Nombre Cuenta ()],Table8[Nivel 3],"",0)</f>
        <v/>
      </c>
      <c r="U750">
        <v>1224</v>
      </c>
      <c r="V750" t="str">
        <f>_xlfn.XLOOKUP(Table3[[#This Row],[Cuenta]],Estructura_Balance[Nombre Cuenta ()],Estructura_Balance[Niveles:2],"",0)</f>
        <v/>
      </c>
      <c r="W750" t="str">
        <f>_xlfn.XLOOKUP(Table3[[#This Row],[Cuenta]],Estructura_Balance[Nombre Cuenta ()],Estructura_Balance[Niveles:3],"",0)</f>
        <v/>
      </c>
      <c r="X750" t="str">
        <f>_xlfn.XLOOKUP(Table3[[#This Row],[Cuenta]],Estructura_Balance[Nombre Cuenta ()],Estructura_Balance[Grupos],"Grupo 1",0)</f>
        <v>Grupo 1</v>
      </c>
      <c r="Y750" t="str">
        <f>+Table3[[#This Row],[BS_Nivel_1]]</f>
        <v/>
      </c>
    </row>
    <row r="751" spans="1:25">
      <c r="A751">
        <f>+'Libro Diario'!F965</f>
        <v>0</v>
      </c>
      <c r="B751" s="144">
        <f>VALUE(IF(+'Libro Diario'!G965="","01/01/2025",+'Libro Diario'!G965))</f>
        <v>45658</v>
      </c>
      <c r="C751">
        <f>IF(ISNUMBER(+IF(IFERROR(VALUE(MID('Libro Diario'!C965,1,4)),0)&lt;&gt;0,'Libro Diario'!C965,0))=FALSE,'Libro Diario'!C965,0)</f>
        <v>0</v>
      </c>
      <c r="D751" s="145">
        <f>+'Libro Diario'!B965</f>
        <v>0</v>
      </c>
      <c r="E751" s="139" t="s">
        <v>445</v>
      </c>
      <c r="F751" t="str">
        <f t="shared" si="33"/>
        <v>Sin Mov.</v>
      </c>
      <c r="G751" t="str">
        <f>IF(+'Libro Diario'!H965=0,"",+'Libro Diario'!H965)</f>
        <v/>
      </c>
      <c r="H751" t="str">
        <f>IF(+'Libro Diario'!I965=0,"",+'Libro Diario'!I965)</f>
        <v/>
      </c>
      <c r="I751" t="str">
        <f>+IF(Table3[[#This Row],[Tipo Movimiento]]="Estructura Balance y PyG","Excluir","Incluir")</f>
        <v>Incluir</v>
      </c>
      <c r="J751" s="153">
        <f>+IF(Table3[[#This Row],[Sin cuenta]]="Con Mov.",(IF(Table3[[#This Row],[Movimiento]]="Debe",Table3[[#This Row],[Importe]],IF(Table3[[#This Row],[Movimiento]]="Haber",Table3[[#This Row],[Importe]]*-1,0))),0)</f>
        <v>0</v>
      </c>
      <c r="K751" s="145">
        <f t="shared" si="34"/>
        <v>0</v>
      </c>
      <c r="L751" s="145" t="str">
        <f t="shared" si="35"/>
        <v/>
      </c>
      <c r="M751" t="str">
        <f>_xlfn.XLOOKUP(Table3[[#This Row],[Cuenta]],Estructura_Balance[Nombre Cuenta ()],Estructura_Balance[Grupo],"",0)</f>
        <v/>
      </c>
      <c r="N751" t="str">
        <f>_xlfn.XLOOKUP(Table3[[#This Row],[Cuenta]],Estructura_Balance[Nombre Cuenta ()],Estructura_Balance[Nivel 1],"",0)</f>
        <v/>
      </c>
      <c r="O751" t="str">
        <f>_xlfn.XLOOKUP(Table3[[#This Row],[Cuenta]],Estructura_Balance[Nombre Cuenta ()],Estructura_Balance[Nivel 2],"",0)</f>
        <v/>
      </c>
      <c r="P751" t="str">
        <f>_xlfn.XLOOKUP(Table3[[#This Row],[Cuenta]],Estructura_Balance[Nombre Cuenta ()],Estructura_Balance[Nivel 3],"",0)</f>
        <v/>
      </c>
      <c r="Q751" t="str">
        <f>_xlfn.XLOOKUP(Table3[[#This Row],[Cuenta]],Estructura_Balance[Nombre Cuenta ()],Estructura_Balance[Nivel 4],"",0)</f>
        <v/>
      </c>
      <c r="R751" t="str">
        <f>_xlfn.XLOOKUP(Table3[[#This Row],[Cuenta]],Table8[Nombre Cuenta ()],Table8[Nivel 1],"",0)</f>
        <v/>
      </c>
      <c r="S751" t="str">
        <f>_xlfn.XLOOKUP(Table3[[#This Row],[Cuenta]],Table8[Nombre Cuenta ()],Table8[Nivel 2],"",0)</f>
        <v/>
      </c>
      <c r="T751" t="str">
        <f>_xlfn.XLOOKUP(Table3[[#This Row],[Cuenta]],Table8[Nombre Cuenta ()],Table8[Nivel 3],"",0)</f>
        <v/>
      </c>
      <c r="U751">
        <v>1225</v>
      </c>
      <c r="V751" t="str">
        <f>_xlfn.XLOOKUP(Table3[[#This Row],[Cuenta]],Estructura_Balance[Nombre Cuenta ()],Estructura_Balance[Niveles:2],"",0)</f>
        <v/>
      </c>
      <c r="W751" t="str">
        <f>_xlfn.XLOOKUP(Table3[[#This Row],[Cuenta]],Estructura_Balance[Nombre Cuenta ()],Estructura_Balance[Niveles:3],"",0)</f>
        <v/>
      </c>
      <c r="X751" t="str">
        <f>_xlfn.XLOOKUP(Table3[[#This Row],[Cuenta]],Estructura_Balance[Nombre Cuenta ()],Estructura_Balance[Grupos],"Grupo 1",0)</f>
        <v>Grupo 1</v>
      </c>
      <c r="Y751" t="str">
        <f>+Table3[[#This Row],[BS_Nivel_1]]</f>
        <v/>
      </c>
    </row>
    <row r="752" spans="1:25">
      <c r="A752">
        <f>+'Libro Diario'!F966</f>
        <v>0</v>
      </c>
      <c r="B752" s="144">
        <f>VALUE(IF(+'Libro Diario'!G966="","01/01/2025",+'Libro Diario'!G966))</f>
        <v>45658</v>
      </c>
      <c r="C752">
        <f>IF(ISNUMBER(+IF(IFERROR(VALUE(MID('Libro Diario'!C966,1,4)),0)&lt;&gt;0,'Libro Diario'!C966,0))=FALSE,'Libro Diario'!C966,0)</f>
        <v>0</v>
      </c>
      <c r="D752" s="145">
        <f>+'Libro Diario'!B966</f>
        <v>0</v>
      </c>
      <c r="E752" s="139" t="s">
        <v>445</v>
      </c>
      <c r="F752" t="str">
        <f t="shared" si="33"/>
        <v>Sin Mov.</v>
      </c>
      <c r="G752" t="str">
        <f>IF(+'Libro Diario'!H966=0,"",+'Libro Diario'!H966)</f>
        <v/>
      </c>
      <c r="H752" t="str">
        <f>IF(+'Libro Diario'!I966=0,"",+'Libro Diario'!I966)</f>
        <v/>
      </c>
      <c r="I752" t="str">
        <f>+IF(Table3[[#This Row],[Tipo Movimiento]]="Estructura Balance y PyG","Excluir","Incluir")</f>
        <v>Incluir</v>
      </c>
      <c r="J752" s="153">
        <f>+IF(Table3[[#This Row],[Sin cuenta]]="Con Mov.",(IF(Table3[[#This Row],[Movimiento]]="Debe",Table3[[#This Row],[Importe]],IF(Table3[[#This Row],[Movimiento]]="Haber",Table3[[#This Row],[Importe]]*-1,0))),0)</f>
        <v>0</v>
      </c>
      <c r="K752" s="145">
        <f t="shared" si="34"/>
        <v>0</v>
      </c>
      <c r="L752" s="145" t="str">
        <f t="shared" si="35"/>
        <v/>
      </c>
      <c r="M752" t="str">
        <f>_xlfn.XLOOKUP(Table3[[#This Row],[Cuenta]],Estructura_Balance[Nombre Cuenta ()],Estructura_Balance[Grupo],"",0)</f>
        <v/>
      </c>
      <c r="N752" t="str">
        <f>_xlfn.XLOOKUP(Table3[[#This Row],[Cuenta]],Estructura_Balance[Nombre Cuenta ()],Estructura_Balance[Nivel 1],"",0)</f>
        <v/>
      </c>
      <c r="O752" t="str">
        <f>_xlfn.XLOOKUP(Table3[[#This Row],[Cuenta]],Estructura_Balance[Nombre Cuenta ()],Estructura_Balance[Nivel 2],"",0)</f>
        <v/>
      </c>
      <c r="P752" t="str">
        <f>_xlfn.XLOOKUP(Table3[[#This Row],[Cuenta]],Estructura_Balance[Nombre Cuenta ()],Estructura_Balance[Nivel 3],"",0)</f>
        <v/>
      </c>
      <c r="Q752" t="str">
        <f>_xlfn.XLOOKUP(Table3[[#This Row],[Cuenta]],Estructura_Balance[Nombre Cuenta ()],Estructura_Balance[Nivel 4],"",0)</f>
        <v/>
      </c>
      <c r="R752" t="str">
        <f>_xlfn.XLOOKUP(Table3[[#This Row],[Cuenta]],Table8[Nombre Cuenta ()],Table8[Nivel 1],"",0)</f>
        <v/>
      </c>
      <c r="S752" t="str">
        <f>_xlfn.XLOOKUP(Table3[[#This Row],[Cuenta]],Table8[Nombre Cuenta ()],Table8[Nivel 2],"",0)</f>
        <v/>
      </c>
      <c r="T752" t="str">
        <f>_xlfn.XLOOKUP(Table3[[#This Row],[Cuenta]],Table8[Nombre Cuenta ()],Table8[Nivel 3],"",0)</f>
        <v/>
      </c>
      <c r="U752">
        <v>1226</v>
      </c>
      <c r="V752" t="str">
        <f>_xlfn.XLOOKUP(Table3[[#This Row],[Cuenta]],Estructura_Balance[Nombre Cuenta ()],Estructura_Balance[Niveles:2],"",0)</f>
        <v/>
      </c>
      <c r="W752" t="str">
        <f>_xlfn.XLOOKUP(Table3[[#This Row],[Cuenta]],Estructura_Balance[Nombre Cuenta ()],Estructura_Balance[Niveles:3],"",0)</f>
        <v/>
      </c>
      <c r="X752" t="str">
        <f>_xlfn.XLOOKUP(Table3[[#This Row],[Cuenta]],Estructura_Balance[Nombre Cuenta ()],Estructura_Balance[Grupos],"Grupo 1",0)</f>
        <v>Grupo 1</v>
      </c>
      <c r="Y752" t="str">
        <f>+Table3[[#This Row],[BS_Nivel_1]]</f>
        <v/>
      </c>
    </row>
    <row r="753" spans="1:25">
      <c r="A753">
        <f>+'Libro Diario'!F967</f>
        <v>0</v>
      </c>
      <c r="B753" s="144">
        <f>VALUE(IF(+'Libro Diario'!G967="","01/01/2025",+'Libro Diario'!G967))</f>
        <v>45658</v>
      </c>
      <c r="C753">
        <f>IF(ISNUMBER(+IF(IFERROR(VALUE(MID('Libro Diario'!C967,1,4)),0)&lt;&gt;0,'Libro Diario'!C967,0))=FALSE,'Libro Diario'!C967,0)</f>
        <v>0</v>
      </c>
      <c r="D753" s="145">
        <f>+'Libro Diario'!B967</f>
        <v>0</v>
      </c>
      <c r="E753" s="139" t="s">
        <v>445</v>
      </c>
      <c r="F753" t="str">
        <f t="shared" si="33"/>
        <v>Sin Mov.</v>
      </c>
      <c r="G753" t="str">
        <f>IF(+'Libro Diario'!H967=0,"",+'Libro Diario'!H967)</f>
        <v/>
      </c>
      <c r="H753" t="str">
        <f>IF(+'Libro Diario'!I967=0,"",+'Libro Diario'!I967)</f>
        <v/>
      </c>
      <c r="I753" t="str">
        <f>+IF(Table3[[#This Row],[Tipo Movimiento]]="Estructura Balance y PyG","Excluir","Incluir")</f>
        <v>Incluir</v>
      </c>
      <c r="J753" s="153">
        <f>+IF(Table3[[#This Row],[Sin cuenta]]="Con Mov.",(IF(Table3[[#This Row],[Movimiento]]="Debe",Table3[[#This Row],[Importe]],IF(Table3[[#This Row],[Movimiento]]="Haber",Table3[[#This Row],[Importe]]*-1,0))),0)</f>
        <v>0</v>
      </c>
      <c r="K753" s="145">
        <f t="shared" si="34"/>
        <v>0</v>
      </c>
      <c r="L753" s="145" t="str">
        <f t="shared" si="35"/>
        <v/>
      </c>
      <c r="M753" t="str">
        <f>_xlfn.XLOOKUP(Table3[[#This Row],[Cuenta]],Estructura_Balance[Nombre Cuenta ()],Estructura_Balance[Grupo],"",0)</f>
        <v/>
      </c>
      <c r="N753" t="str">
        <f>_xlfn.XLOOKUP(Table3[[#This Row],[Cuenta]],Estructura_Balance[Nombre Cuenta ()],Estructura_Balance[Nivel 1],"",0)</f>
        <v/>
      </c>
      <c r="O753" t="str">
        <f>_xlfn.XLOOKUP(Table3[[#This Row],[Cuenta]],Estructura_Balance[Nombre Cuenta ()],Estructura_Balance[Nivel 2],"",0)</f>
        <v/>
      </c>
      <c r="P753" t="str">
        <f>_xlfn.XLOOKUP(Table3[[#This Row],[Cuenta]],Estructura_Balance[Nombre Cuenta ()],Estructura_Balance[Nivel 3],"",0)</f>
        <v/>
      </c>
      <c r="Q753" t="str">
        <f>_xlfn.XLOOKUP(Table3[[#This Row],[Cuenta]],Estructura_Balance[Nombre Cuenta ()],Estructura_Balance[Nivel 4],"",0)</f>
        <v/>
      </c>
      <c r="R753" t="str">
        <f>_xlfn.XLOOKUP(Table3[[#This Row],[Cuenta]],Table8[Nombre Cuenta ()],Table8[Nivel 1],"",0)</f>
        <v/>
      </c>
      <c r="S753" t="str">
        <f>_xlfn.XLOOKUP(Table3[[#This Row],[Cuenta]],Table8[Nombre Cuenta ()],Table8[Nivel 2],"",0)</f>
        <v/>
      </c>
      <c r="T753" t="str">
        <f>_xlfn.XLOOKUP(Table3[[#This Row],[Cuenta]],Table8[Nombre Cuenta ()],Table8[Nivel 3],"",0)</f>
        <v/>
      </c>
      <c r="U753">
        <v>1229</v>
      </c>
      <c r="V753" t="str">
        <f>_xlfn.XLOOKUP(Table3[[#This Row],[Cuenta]],Estructura_Balance[Nombre Cuenta ()],Estructura_Balance[Niveles:2],"",0)</f>
        <v/>
      </c>
      <c r="W753" t="str">
        <f>_xlfn.XLOOKUP(Table3[[#This Row],[Cuenta]],Estructura_Balance[Nombre Cuenta ()],Estructura_Balance[Niveles:3],"",0)</f>
        <v/>
      </c>
      <c r="X753" t="str">
        <f>_xlfn.XLOOKUP(Table3[[#This Row],[Cuenta]],Estructura_Balance[Nombre Cuenta ()],Estructura_Balance[Grupos],"Grupo 1",0)</f>
        <v>Grupo 1</v>
      </c>
      <c r="Y753" t="str">
        <f>+Table3[[#This Row],[BS_Nivel_1]]</f>
        <v/>
      </c>
    </row>
    <row r="754" spans="1:25">
      <c r="A754">
        <f>+'Libro Diario'!F968</f>
        <v>0</v>
      </c>
      <c r="B754" s="144">
        <f>VALUE(IF(+'Libro Diario'!G968="","01/01/2025",+'Libro Diario'!G968))</f>
        <v>45658</v>
      </c>
      <c r="C754">
        <f>IF(ISNUMBER(+IF(IFERROR(VALUE(MID('Libro Diario'!C968,1,4)),0)&lt;&gt;0,'Libro Diario'!C968,0))=FALSE,'Libro Diario'!C968,0)</f>
        <v>0</v>
      </c>
      <c r="D754" s="145">
        <f>+'Libro Diario'!B968</f>
        <v>0</v>
      </c>
      <c r="E754" s="139" t="s">
        <v>445</v>
      </c>
      <c r="F754" t="str">
        <f t="shared" si="33"/>
        <v>Sin Mov.</v>
      </c>
      <c r="G754" t="str">
        <f>IF(+'Libro Diario'!H968=0,"",+'Libro Diario'!H968)</f>
        <v/>
      </c>
      <c r="H754" t="str">
        <f>IF(+'Libro Diario'!I968=0,"",+'Libro Diario'!I968)</f>
        <v/>
      </c>
      <c r="I754" t="str">
        <f>+IF(Table3[[#This Row],[Tipo Movimiento]]="Estructura Balance y PyG","Excluir","Incluir")</f>
        <v>Incluir</v>
      </c>
      <c r="J754" s="153">
        <f>+IF(Table3[[#This Row],[Sin cuenta]]="Con Mov.",(IF(Table3[[#This Row],[Movimiento]]="Debe",Table3[[#This Row],[Importe]],IF(Table3[[#This Row],[Movimiento]]="Haber",Table3[[#This Row],[Importe]]*-1,0))),0)</f>
        <v>0</v>
      </c>
      <c r="K754" s="145">
        <f t="shared" si="34"/>
        <v>0</v>
      </c>
      <c r="L754" s="145" t="str">
        <f t="shared" si="35"/>
        <v/>
      </c>
      <c r="M754" t="str">
        <f>_xlfn.XLOOKUP(Table3[[#This Row],[Cuenta]],Estructura_Balance[Nombre Cuenta ()],Estructura_Balance[Grupo],"",0)</f>
        <v/>
      </c>
      <c r="N754" t="str">
        <f>_xlfn.XLOOKUP(Table3[[#This Row],[Cuenta]],Estructura_Balance[Nombre Cuenta ()],Estructura_Balance[Nivel 1],"",0)</f>
        <v/>
      </c>
      <c r="O754" t="str">
        <f>_xlfn.XLOOKUP(Table3[[#This Row],[Cuenta]],Estructura_Balance[Nombre Cuenta ()],Estructura_Balance[Nivel 2],"",0)</f>
        <v/>
      </c>
      <c r="P754" t="str">
        <f>_xlfn.XLOOKUP(Table3[[#This Row],[Cuenta]],Estructura_Balance[Nombre Cuenta ()],Estructura_Balance[Nivel 3],"",0)</f>
        <v/>
      </c>
      <c r="Q754" t="str">
        <f>_xlfn.XLOOKUP(Table3[[#This Row],[Cuenta]],Estructura_Balance[Nombre Cuenta ()],Estructura_Balance[Nivel 4],"",0)</f>
        <v/>
      </c>
      <c r="R754" t="str">
        <f>_xlfn.XLOOKUP(Table3[[#This Row],[Cuenta]],Table8[Nombre Cuenta ()],Table8[Nivel 1],"",0)</f>
        <v/>
      </c>
      <c r="S754" t="str">
        <f>_xlfn.XLOOKUP(Table3[[#This Row],[Cuenta]],Table8[Nombre Cuenta ()],Table8[Nivel 2],"",0)</f>
        <v/>
      </c>
      <c r="T754" t="str">
        <f>_xlfn.XLOOKUP(Table3[[#This Row],[Cuenta]],Table8[Nombre Cuenta ()],Table8[Nivel 3],"",0)</f>
        <v/>
      </c>
      <c r="U754">
        <v>1230</v>
      </c>
      <c r="V754" t="str">
        <f>_xlfn.XLOOKUP(Table3[[#This Row],[Cuenta]],Estructura_Balance[Nombre Cuenta ()],Estructura_Balance[Niveles:2],"",0)</f>
        <v/>
      </c>
      <c r="W754" t="str">
        <f>_xlfn.XLOOKUP(Table3[[#This Row],[Cuenta]],Estructura_Balance[Nombre Cuenta ()],Estructura_Balance[Niveles:3],"",0)</f>
        <v/>
      </c>
      <c r="X754" t="str">
        <f>_xlfn.XLOOKUP(Table3[[#This Row],[Cuenta]],Estructura_Balance[Nombre Cuenta ()],Estructura_Balance[Grupos],"Grupo 1",0)</f>
        <v>Grupo 1</v>
      </c>
      <c r="Y754" t="str">
        <f>+Table3[[#This Row],[BS_Nivel_1]]</f>
        <v/>
      </c>
    </row>
    <row r="755" spans="1:25">
      <c r="A755">
        <f>+'Libro Diario'!F969</f>
        <v>0</v>
      </c>
      <c r="B755" s="144">
        <f>VALUE(IF(+'Libro Diario'!G969="","01/01/2025",+'Libro Diario'!G969))</f>
        <v>45658</v>
      </c>
      <c r="C755">
        <f>IF(ISNUMBER(+IF(IFERROR(VALUE(MID('Libro Diario'!C969,1,4)),0)&lt;&gt;0,'Libro Diario'!C969,0))=FALSE,'Libro Diario'!C969,0)</f>
        <v>0</v>
      </c>
      <c r="D755" s="145">
        <f>+'Libro Diario'!B969</f>
        <v>0</v>
      </c>
      <c r="E755" s="139" t="s">
        <v>445</v>
      </c>
      <c r="F755" t="str">
        <f t="shared" si="33"/>
        <v>Sin Mov.</v>
      </c>
      <c r="G755" t="str">
        <f>IF(+'Libro Diario'!H969=0,"",+'Libro Diario'!H969)</f>
        <v/>
      </c>
      <c r="H755" t="str">
        <f>IF(+'Libro Diario'!I969=0,"",+'Libro Diario'!I969)</f>
        <v/>
      </c>
      <c r="I755" t="str">
        <f>+IF(Table3[[#This Row],[Tipo Movimiento]]="Estructura Balance y PyG","Excluir","Incluir")</f>
        <v>Incluir</v>
      </c>
      <c r="J755" s="153">
        <f>+IF(Table3[[#This Row],[Sin cuenta]]="Con Mov.",(IF(Table3[[#This Row],[Movimiento]]="Debe",Table3[[#This Row],[Importe]],IF(Table3[[#This Row],[Movimiento]]="Haber",Table3[[#This Row],[Importe]]*-1,0))),0)</f>
        <v>0</v>
      </c>
      <c r="K755" s="145">
        <f t="shared" si="34"/>
        <v>0</v>
      </c>
      <c r="L755" s="145" t="str">
        <f t="shared" si="35"/>
        <v/>
      </c>
      <c r="M755" t="str">
        <f>_xlfn.XLOOKUP(Table3[[#This Row],[Cuenta]],Estructura_Balance[Nombre Cuenta ()],Estructura_Balance[Grupo],"",0)</f>
        <v/>
      </c>
      <c r="N755" t="str">
        <f>_xlfn.XLOOKUP(Table3[[#This Row],[Cuenta]],Estructura_Balance[Nombre Cuenta ()],Estructura_Balance[Nivel 1],"",0)</f>
        <v/>
      </c>
      <c r="O755" t="str">
        <f>_xlfn.XLOOKUP(Table3[[#This Row],[Cuenta]],Estructura_Balance[Nombre Cuenta ()],Estructura_Balance[Nivel 2],"",0)</f>
        <v/>
      </c>
      <c r="P755" t="str">
        <f>_xlfn.XLOOKUP(Table3[[#This Row],[Cuenta]],Estructura_Balance[Nombre Cuenta ()],Estructura_Balance[Nivel 3],"",0)</f>
        <v/>
      </c>
      <c r="Q755" t="str">
        <f>_xlfn.XLOOKUP(Table3[[#This Row],[Cuenta]],Estructura_Balance[Nombre Cuenta ()],Estructura_Balance[Nivel 4],"",0)</f>
        <v/>
      </c>
      <c r="R755" t="str">
        <f>_xlfn.XLOOKUP(Table3[[#This Row],[Cuenta]],Table8[Nombre Cuenta ()],Table8[Nivel 1],"",0)</f>
        <v/>
      </c>
      <c r="S755" t="str">
        <f>_xlfn.XLOOKUP(Table3[[#This Row],[Cuenta]],Table8[Nombre Cuenta ()],Table8[Nivel 2],"",0)</f>
        <v/>
      </c>
      <c r="T755" t="str">
        <f>_xlfn.XLOOKUP(Table3[[#This Row],[Cuenta]],Table8[Nombre Cuenta ()],Table8[Nivel 3],"",0)</f>
        <v/>
      </c>
      <c r="U755">
        <v>1231</v>
      </c>
      <c r="V755" t="str">
        <f>_xlfn.XLOOKUP(Table3[[#This Row],[Cuenta]],Estructura_Balance[Nombre Cuenta ()],Estructura_Balance[Niveles:2],"",0)</f>
        <v/>
      </c>
      <c r="W755" t="str">
        <f>_xlfn.XLOOKUP(Table3[[#This Row],[Cuenta]],Estructura_Balance[Nombre Cuenta ()],Estructura_Balance[Niveles:3],"",0)</f>
        <v/>
      </c>
      <c r="X755" t="str">
        <f>_xlfn.XLOOKUP(Table3[[#This Row],[Cuenta]],Estructura_Balance[Nombre Cuenta ()],Estructura_Balance[Grupos],"Grupo 1",0)</f>
        <v>Grupo 1</v>
      </c>
      <c r="Y755" t="str">
        <f>+Table3[[#This Row],[BS_Nivel_1]]</f>
        <v/>
      </c>
    </row>
    <row r="756" spans="1:25">
      <c r="A756">
        <f>+'Libro Diario'!F970</f>
        <v>0</v>
      </c>
      <c r="B756" s="144">
        <f>VALUE(IF(+'Libro Diario'!G970="","01/01/2025",+'Libro Diario'!G970))</f>
        <v>45658</v>
      </c>
      <c r="C756">
        <f>IF(ISNUMBER(+IF(IFERROR(VALUE(MID('Libro Diario'!C970,1,4)),0)&lt;&gt;0,'Libro Diario'!C970,0))=FALSE,'Libro Diario'!C970,0)</f>
        <v>0</v>
      </c>
      <c r="D756" s="145">
        <f>+'Libro Diario'!B970</f>
        <v>0</v>
      </c>
      <c r="E756" s="139" t="s">
        <v>445</v>
      </c>
      <c r="F756" t="str">
        <f t="shared" si="33"/>
        <v>Sin Mov.</v>
      </c>
      <c r="G756" t="str">
        <f>IF(+'Libro Diario'!H970=0,"",+'Libro Diario'!H970)</f>
        <v/>
      </c>
      <c r="H756" t="str">
        <f>IF(+'Libro Diario'!I970=0,"",+'Libro Diario'!I970)</f>
        <v/>
      </c>
      <c r="I756" t="str">
        <f>+IF(Table3[[#This Row],[Tipo Movimiento]]="Estructura Balance y PyG","Excluir","Incluir")</f>
        <v>Incluir</v>
      </c>
      <c r="J756" s="153">
        <f>+IF(Table3[[#This Row],[Sin cuenta]]="Con Mov.",(IF(Table3[[#This Row],[Movimiento]]="Debe",Table3[[#This Row],[Importe]],IF(Table3[[#This Row],[Movimiento]]="Haber",Table3[[#This Row],[Importe]]*-1,0))),0)</f>
        <v>0</v>
      </c>
      <c r="K756" s="145">
        <f t="shared" si="34"/>
        <v>0</v>
      </c>
      <c r="L756" s="145" t="str">
        <f t="shared" si="35"/>
        <v/>
      </c>
      <c r="M756" t="str">
        <f>_xlfn.XLOOKUP(Table3[[#This Row],[Cuenta]],Estructura_Balance[Nombre Cuenta ()],Estructura_Balance[Grupo],"",0)</f>
        <v/>
      </c>
      <c r="N756" t="str">
        <f>_xlfn.XLOOKUP(Table3[[#This Row],[Cuenta]],Estructura_Balance[Nombre Cuenta ()],Estructura_Balance[Nivel 1],"",0)</f>
        <v/>
      </c>
      <c r="O756" t="str">
        <f>_xlfn.XLOOKUP(Table3[[#This Row],[Cuenta]],Estructura_Balance[Nombre Cuenta ()],Estructura_Balance[Nivel 2],"",0)</f>
        <v/>
      </c>
      <c r="P756" t="str">
        <f>_xlfn.XLOOKUP(Table3[[#This Row],[Cuenta]],Estructura_Balance[Nombre Cuenta ()],Estructura_Balance[Nivel 3],"",0)</f>
        <v/>
      </c>
      <c r="Q756" t="str">
        <f>_xlfn.XLOOKUP(Table3[[#This Row],[Cuenta]],Estructura_Balance[Nombre Cuenta ()],Estructura_Balance[Nivel 4],"",0)</f>
        <v/>
      </c>
      <c r="R756" t="str">
        <f>_xlfn.XLOOKUP(Table3[[#This Row],[Cuenta]],Table8[Nombre Cuenta ()],Table8[Nivel 1],"",0)</f>
        <v/>
      </c>
      <c r="S756" t="str">
        <f>_xlfn.XLOOKUP(Table3[[#This Row],[Cuenta]],Table8[Nombre Cuenta ()],Table8[Nivel 2],"",0)</f>
        <v/>
      </c>
      <c r="T756" t="str">
        <f>_xlfn.XLOOKUP(Table3[[#This Row],[Cuenta]],Table8[Nombre Cuenta ()],Table8[Nivel 3],"",0)</f>
        <v/>
      </c>
      <c r="U756">
        <v>1232</v>
      </c>
      <c r="V756" t="str">
        <f>_xlfn.XLOOKUP(Table3[[#This Row],[Cuenta]],Estructura_Balance[Nombre Cuenta ()],Estructura_Balance[Niveles:2],"",0)</f>
        <v/>
      </c>
      <c r="W756" t="str">
        <f>_xlfn.XLOOKUP(Table3[[#This Row],[Cuenta]],Estructura_Balance[Nombre Cuenta ()],Estructura_Balance[Niveles:3],"",0)</f>
        <v/>
      </c>
      <c r="X756" t="str">
        <f>_xlfn.XLOOKUP(Table3[[#This Row],[Cuenta]],Estructura_Balance[Nombre Cuenta ()],Estructura_Balance[Grupos],"Grupo 1",0)</f>
        <v>Grupo 1</v>
      </c>
      <c r="Y756" t="str">
        <f>+Table3[[#This Row],[BS_Nivel_1]]</f>
        <v/>
      </c>
    </row>
    <row r="757" spans="1:25">
      <c r="A757">
        <f>+'Libro Diario'!F971</f>
        <v>0</v>
      </c>
      <c r="B757" s="144">
        <f>VALUE(IF(+'Libro Diario'!G971="","01/01/2025",+'Libro Diario'!G971))</f>
        <v>45658</v>
      </c>
      <c r="C757">
        <f>IF(ISNUMBER(+IF(IFERROR(VALUE(MID('Libro Diario'!C971,1,4)),0)&lt;&gt;0,'Libro Diario'!C971,0))=FALSE,'Libro Diario'!C971,0)</f>
        <v>0</v>
      </c>
      <c r="D757" s="145">
        <f>+'Libro Diario'!B971</f>
        <v>0</v>
      </c>
      <c r="E757" s="139" t="s">
        <v>445</v>
      </c>
      <c r="F757" t="str">
        <f t="shared" si="33"/>
        <v>Sin Mov.</v>
      </c>
      <c r="G757" t="str">
        <f>IF(+'Libro Diario'!H971=0,"",+'Libro Diario'!H971)</f>
        <v/>
      </c>
      <c r="H757" t="str">
        <f>IF(+'Libro Diario'!I971=0,"",+'Libro Diario'!I971)</f>
        <v/>
      </c>
      <c r="I757" t="str">
        <f>+IF(Table3[[#This Row],[Tipo Movimiento]]="Estructura Balance y PyG","Excluir","Incluir")</f>
        <v>Incluir</v>
      </c>
      <c r="J757" s="153">
        <f>+IF(Table3[[#This Row],[Sin cuenta]]="Con Mov.",(IF(Table3[[#This Row],[Movimiento]]="Debe",Table3[[#This Row],[Importe]],IF(Table3[[#This Row],[Movimiento]]="Haber",Table3[[#This Row],[Importe]]*-1,0))),0)</f>
        <v>0</v>
      </c>
      <c r="K757" s="145">
        <f t="shared" si="34"/>
        <v>0</v>
      </c>
      <c r="L757" s="145" t="str">
        <f t="shared" si="35"/>
        <v/>
      </c>
      <c r="M757" t="str">
        <f>_xlfn.XLOOKUP(Table3[[#This Row],[Cuenta]],Estructura_Balance[Nombre Cuenta ()],Estructura_Balance[Grupo],"",0)</f>
        <v/>
      </c>
      <c r="N757" t="str">
        <f>_xlfn.XLOOKUP(Table3[[#This Row],[Cuenta]],Estructura_Balance[Nombre Cuenta ()],Estructura_Balance[Nivel 1],"",0)</f>
        <v/>
      </c>
      <c r="O757" t="str">
        <f>_xlfn.XLOOKUP(Table3[[#This Row],[Cuenta]],Estructura_Balance[Nombre Cuenta ()],Estructura_Balance[Nivel 2],"",0)</f>
        <v/>
      </c>
      <c r="P757" t="str">
        <f>_xlfn.XLOOKUP(Table3[[#This Row],[Cuenta]],Estructura_Balance[Nombre Cuenta ()],Estructura_Balance[Nivel 3],"",0)</f>
        <v/>
      </c>
      <c r="Q757" t="str">
        <f>_xlfn.XLOOKUP(Table3[[#This Row],[Cuenta]],Estructura_Balance[Nombre Cuenta ()],Estructura_Balance[Nivel 4],"",0)</f>
        <v/>
      </c>
      <c r="R757" t="str">
        <f>_xlfn.XLOOKUP(Table3[[#This Row],[Cuenta]],Table8[Nombre Cuenta ()],Table8[Nivel 1],"",0)</f>
        <v/>
      </c>
      <c r="S757" t="str">
        <f>_xlfn.XLOOKUP(Table3[[#This Row],[Cuenta]],Table8[Nombre Cuenta ()],Table8[Nivel 2],"",0)</f>
        <v/>
      </c>
      <c r="T757" t="str">
        <f>_xlfn.XLOOKUP(Table3[[#This Row],[Cuenta]],Table8[Nombre Cuenta ()],Table8[Nivel 3],"",0)</f>
        <v/>
      </c>
      <c r="U757">
        <v>1233</v>
      </c>
      <c r="V757" t="str">
        <f>_xlfn.XLOOKUP(Table3[[#This Row],[Cuenta]],Estructura_Balance[Nombre Cuenta ()],Estructura_Balance[Niveles:2],"",0)</f>
        <v/>
      </c>
      <c r="W757" t="str">
        <f>_xlfn.XLOOKUP(Table3[[#This Row],[Cuenta]],Estructura_Balance[Nombre Cuenta ()],Estructura_Balance[Niveles:3],"",0)</f>
        <v/>
      </c>
      <c r="X757" t="str">
        <f>_xlfn.XLOOKUP(Table3[[#This Row],[Cuenta]],Estructura_Balance[Nombre Cuenta ()],Estructura_Balance[Grupos],"Grupo 1",0)</f>
        <v>Grupo 1</v>
      </c>
      <c r="Y757" t="str">
        <f>+Table3[[#This Row],[BS_Nivel_1]]</f>
        <v/>
      </c>
    </row>
    <row r="758" spans="1:25">
      <c r="A758">
        <f>+'Libro Diario'!F972</f>
        <v>0</v>
      </c>
      <c r="B758" s="144">
        <f>VALUE(IF(+'Libro Diario'!G972="","01/01/2025",+'Libro Diario'!G972))</f>
        <v>45658</v>
      </c>
      <c r="C758">
        <f>IF(ISNUMBER(+IF(IFERROR(VALUE(MID('Libro Diario'!C972,1,4)),0)&lt;&gt;0,'Libro Diario'!C972,0))=FALSE,'Libro Diario'!C972,0)</f>
        <v>0</v>
      </c>
      <c r="D758" s="145">
        <f>+'Libro Diario'!B972</f>
        <v>0</v>
      </c>
      <c r="E758" s="139" t="s">
        <v>445</v>
      </c>
      <c r="F758" t="str">
        <f t="shared" si="33"/>
        <v>Sin Mov.</v>
      </c>
      <c r="G758" t="str">
        <f>IF(+'Libro Diario'!H972=0,"",+'Libro Diario'!H972)</f>
        <v/>
      </c>
      <c r="H758" t="str">
        <f>IF(+'Libro Diario'!I972=0,"",+'Libro Diario'!I972)</f>
        <v/>
      </c>
      <c r="I758" t="str">
        <f>+IF(Table3[[#This Row],[Tipo Movimiento]]="Estructura Balance y PyG","Excluir","Incluir")</f>
        <v>Incluir</v>
      </c>
      <c r="J758" s="153">
        <f>+IF(Table3[[#This Row],[Sin cuenta]]="Con Mov.",(IF(Table3[[#This Row],[Movimiento]]="Debe",Table3[[#This Row],[Importe]],IF(Table3[[#This Row],[Movimiento]]="Haber",Table3[[#This Row],[Importe]]*-1,0))),0)</f>
        <v>0</v>
      </c>
      <c r="K758" s="145">
        <f t="shared" si="34"/>
        <v>0</v>
      </c>
      <c r="L758" s="145" t="str">
        <f t="shared" si="35"/>
        <v/>
      </c>
      <c r="M758" t="str">
        <f>_xlfn.XLOOKUP(Table3[[#This Row],[Cuenta]],Estructura_Balance[Nombre Cuenta ()],Estructura_Balance[Grupo],"",0)</f>
        <v/>
      </c>
      <c r="N758" t="str">
        <f>_xlfn.XLOOKUP(Table3[[#This Row],[Cuenta]],Estructura_Balance[Nombre Cuenta ()],Estructura_Balance[Nivel 1],"",0)</f>
        <v/>
      </c>
      <c r="O758" t="str">
        <f>_xlfn.XLOOKUP(Table3[[#This Row],[Cuenta]],Estructura_Balance[Nombre Cuenta ()],Estructura_Balance[Nivel 2],"",0)</f>
        <v/>
      </c>
      <c r="P758" t="str">
        <f>_xlfn.XLOOKUP(Table3[[#This Row],[Cuenta]],Estructura_Balance[Nombre Cuenta ()],Estructura_Balance[Nivel 3],"",0)</f>
        <v/>
      </c>
      <c r="Q758" t="str">
        <f>_xlfn.XLOOKUP(Table3[[#This Row],[Cuenta]],Estructura_Balance[Nombre Cuenta ()],Estructura_Balance[Nivel 4],"",0)</f>
        <v/>
      </c>
      <c r="R758" t="str">
        <f>_xlfn.XLOOKUP(Table3[[#This Row],[Cuenta]],Table8[Nombre Cuenta ()],Table8[Nivel 1],"",0)</f>
        <v/>
      </c>
      <c r="S758" t="str">
        <f>_xlfn.XLOOKUP(Table3[[#This Row],[Cuenta]],Table8[Nombre Cuenta ()],Table8[Nivel 2],"",0)</f>
        <v/>
      </c>
      <c r="T758" t="str">
        <f>_xlfn.XLOOKUP(Table3[[#This Row],[Cuenta]],Table8[Nombre Cuenta ()],Table8[Nivel 3],"",0)</f>
        <v/>
      </c>
      <c r="U758">
        <v>1236</v>
      </c>
      <c r="V758" t="str">
        <f>_xlfn.XLOOKUP(Table3[[#This Row],[Cuenta]],Estructura_Balance[Nombre Cuenta ()],Estructura_Balance[Niveles:2],"",0)</f>
        <v/>
      </c>
      <c r="W758" t="str">
        <f>_xlfn.XLOOKUP(Table3[[#This Row],[Cuenta]],Estructura_Balance[Nombre Cuenta ()],Estructura_Balance[Niveles:3],"",0)</f>
        <v/>
      </c>
      <c r="X758" t="str">
        <f>_xlfn.XLOOKUP(Table3[[#This Row],[Cuenta]],Estructura_Balance[Nombre Cuenta ()],Estructura_Balance[Grupos],"Grupo 1",0)</f>
        <v>Grupo 1</v>
      </c>
      <c r="Y758" t="str">
        <f>+Table3[[#This Row],[BS_Nivel_1]]</f>
        <v/>
      </c>
    </row>
    <row r="759" spans="1:25">
      <c r="A759">
        <f>+'Libro Diario'!F973</f>
        <v>0</v>
      </c>
      <c r="B759" s="144">
        <f>VALUE(IF(+'Libro Diario'!G973="","01/01/2025",+'Libro Diario'!G973))</f>
        <v>45658</v>
      </c>
      <c r="C759">
        <f>IF(ISNUMBER(+IF(IFERROR(VALUE(MID('Libro Diario'!C973,1,4)),0)&lt;&gt;0,'Libro Diario'!C973,0))=FALSE,'Libro Diario'!C973,0)</f>
        <v>0</v>
      </c>
      <c r="D759" s="145">
        <f>+'Libro Diario'!B973</f>
        <v>0</v>
      </c>
      <c r="E759" s="139" t="s">
        <v>445</v>
      </c>
      <c r="F759" t="str">
        <f t="shared" si="33"/>
        <v>Sin Mov.</v>
      </c>
      <c r="G759" t="str">
        <f>IF(+'Libro Diario'!H973=0,"",+'Libro Diario'!H973)</f>
        <v/>
      </c>
      <c r="H759" t="str">
        <f>IF(+'Libro Diario'!I973=0,"",+'Libro Diario'!I973)</f>
        <v/>
      </c>
      <c r="I759" t="str">
        <f>+IF(Table3[[#This Row],[Tipo Movimiento]]="Estructura Balance y PyG","Excluir","Incluir")</f>
        <v>Incluir</v>
      </c>
      <c r="J759" s="153">
        <f>+IF(Table3[[#This Row],[Sin cuenta]]="Con Mov.",(IF(Table3[[#This Row],[Movimiento]]="Debe",Table3[[#This Row],[Importe]],IF(Table3[[#This Row],[Movimiento]]="Haber",Table3[[#This Row],[Importe]]*-1,0))),0)</f>
        <v>0</v>
      </c>
      <c r="K759" s="145">
        <f t="shared" si="34"/>
        <v>0</v>
      </c>
      <c r="L759" s="145" t="str">
        <f t="shared" si="35"/>
        <v/>
      </c>
      <c r="M759" t="str">
        <f>_xlfn.XLOOKUP(Table3[[#This Row],[Cuenta]],Estructura_Balance[Nombre Cuenta ()],Estructura_Balance[Grupo],"",0)</f>
        <v/>
      </c>
      <c r="N759" t="str">
        <f>_xlfn.XLOOKUP(Table3[[#This Row],[Cuenta]],Estructura_Balance[Nombre Cuenta ()],Estructura_Balance[Nivel 1],"",0)</f>
        <v/>
      </c>
      <c r="O759" t="str">
        <f>_xlfn.XLOOKUP(Table3[[#This Row],[Cuenta]],Estructura_Balance[Nombre Cuenta ()],Estructura_Balance[Nivel 2],"",0)</f>
        <v/>
      </c>
      <c r="P759" t="str">
        <f>_xlfn.XLOOKUP(Table3[[#This Row],[Cuenta]],Estructura_Balance[Nombre Cuenta ()],Estructura_Balance[Nivel 3],"",0)</f>
        <v/>
      </c>
      <c r="Q759" t="str">
        <f>_xlfn.XLOOKUP(Table3[[#This Row],[Cuenta]],Estructura_Balance[Nombre Cuenta ()],Estructura_Balance[Nivel 4],"",0)</f>
        <v/>
      </c>
      <c r="R759" t="str">
        <f>_xlfn.XLOOKUP(Table3[[#This Row],[Cuenta]],Table8[Nombre Cuenta ()],Table8[Nivel 1],"",0)</f>
        <v/>
      </c>
      <c r="S759" t="str">
        <f>_xlfn.XLOOKUP(Table3[[#This Row],[Cuenta]],Table8[Nombre Cuenta ()],Table8[Nivel 2],"",0)</f>
        <v/>
      </c>
      <c r="T759" t="str">
        <f>_xlfn.XLOOKUP(Table3[[#This Row],[Cuenta]],Table8[Nombre Cuenta ()],Table8[Nivel 3],"",0)</f>
        <v/>
      </c>
      <c r="U759">
        <v>1237</v>
      </c>
      <c r="V759" t="str">
        <f>_xlfn.XLOOKUP(Table3[[#This Row],[Cuenta]],Estructura_Balance[Nombre Cuenta ()],Estructura_Balance[Niveles:2],"",0)</f>
        <v/>
      </c>
      <c r="W759" t="str">
        <f>_xlfn.XLOOKUP(Table3[[#This Row],[Cuenta]],Estructura_Balance[Nombre Cuenta ()],Estructura_Balance[Niveles:3],"",0)</f>
        <v/>
      </c>
      <c r="X759" t="str">
        <f>_xlfn.XLOOKUP(Table3[[#This Row],[Cuenta]],Estructura_Balance[Nombre Cuenta ()],Estructura_Balance[Grupos],"Grupo 1",0)</f>
        <v>Grupo 1</v>
      </c>
      <c r="Y759" t="str">
        <f>+Table3[[#This Row],[BS_Nivel_1]]</f>
        <v/>
      </c>
    </row>
    <row r="760" spans="1:25">
      <c r="A760">
        <f>+'Libro Diario'!F974</f>
        <v>0</v>
      </c>
      <c r="B760" s="144">
        <f>VALUE(IF(+'Libro Diario'!G974="","01/01/2025",+'Libro Diario'!G974))</f>
        <v>45658</v>
      </c>
      <c r="C760">
        <f>IF(ISNUMBER(+IF(IFERROR(VALUE(MID('Libro Diario'!C974,1,4)),0)&lt;&gt;0,'Libro Diario'!C974,0))=FALSE,'Libro Diario'!C974,0)</f>
        <v>0</v>
      </c>
      <c r="D760" s="145">
        <f>+'Libro Diario'!B974</f>
        <v>0</v>
      </c>
      <c r="E760" s="139" t="s">
        <v>445</v>
      </c>
      <c r="F760" t="str">
        <f t="shared" si="33"/>
        <v>Sin Mov.</v>
      </c>
      <c r="G760" t="str">
        <f>IF(+'Libro Diario'!H974=0,"",+'Libro Diario'!H974)</f>
        <v/>
      </c>
      <c r="H760" t="str">
        <f>IF(+'Libro Diario'!I974=0,"",+'Libro Diario'!I974)</f>
        <v/>
      </c>
      <c r="I760" t="str">
        <f>+IF(Table3[[#This Row],[Tipo Movimiento]]="Estructura Balance y PyG","Excluir","Incluir")</f>
        <v>Incluir</v>
      </c>
      <c r="J760" s="153">
        <f>+IF(Table3[[#This Row],[Sin cuenta]]="Con Mov.",(IF(Table3[[#This Row],[Movimiento]]="Debe",Table3[[#This Row],[Importe]],IF(Table3[[#This Row],[Movimiento]]="Haber",Table3[[#This Row],[Importe]]*-1,0))),0)</f>
        <v>0</v>
      </c>
      <c r="K760" s="145">
        <f t="shared" si="34"/>
        <v>0</v>
      </c>
      <c r="L760" s="145" t="str">
        <f t="shared" si="35"/>
        <v/>
      </c>
      <c r="M760" t="str">
        <f>_xlfn.XLOOKUP(Table3[[#This Row],[Cuenta]],Estructura_Balance[Nombre Cuenta ()],Estructura_Balance[Grupo],"",0)</f>
        <v/>
      </c>
      <c r="N760" t="str">
        <f>_xlfn.XLOOKUP(Table3[[#This Row],[Cuenta]],Estructura_Balance[Nombre Cuenta ()],Estructura_Balance[Nivel 1],"",0)</f>
        <v/>
      </c>
      <c r="O760" t="str">
        <f>_xlfn.XLOOKUP(Table3[[#This Row],[Cuenta]],Estructura_Balance[Nombre Cuenta ()],Estructura_Balance[Nivel 2],"",0)</f>
        <v/>
      </c>
      <c r="P760" t="str">
        <f>_xlfn.XLOOKUP(Table3[[#This Row],[Cuenta]],Estructura_Balance[Nombre Cuenta ()],Estructura_Balance[Nivel 3],"",0)</f>
        <v/>
      </c>
      <c r="Q760" t="str">
        <f>_xlfn.XLOOKUP(Table3[[#This Row],[Cuenta]],Estructura_Balance[Nombre Cuenta ()],Estructura_Balance[Nivel 4],"",0)</f>
        <v/>
      </c>
      <c r="R760" t="str">
        <f>_xlfn.XLOOKUP(Table3[[#This Row],[Cuenta]],Table8[Nombre Cuenta ()],Table8[Nivel 1],"",0)</f>
        <v/>
      </c>
      <c r="S760" t="str">
        <f>_xlfn.XLOOKUP(Table3[[#This Row],[Cuenta]],Table8[Nombre Cuenta ()],Table8[Nivel 2],"",0)</f>
        <v/>
      </c>
      <c r="T760" t="str">
        <f>_xlfn.XLOOKUP(Table3[[#This Row],[Cuenta]],Table8[Nombre Cuenta ()],Table8[Nivel 3],"",0)</f>
        <v/>
      </c>
      <c r="U760">
        <v>1238</v>
      </c>
      <c r="V760" t="str">
        <f>_xlfn.XLOOKUP(Table3[[#This Row],[Cuenta]],Estructura_Balance[Nombre Cuenta ()],Estructura_Balance[Niveles:2],"",0)</f>
        <v/>
      </c>
      <c r="W760" t="str">
        <f>_xlfn.XLOOKUP(Table3[[#This Row],[Cuenta]],Estructura_Balance[Nombre Cuenta ()],Estructura_Balance[Niveles:3],"",0)</f>
        <v/>
      </c>
      <c r="X760" t="str">
        <f>_xlfn.XLOOKUP(Table3[[#This Row],[Cuenta]],Estructura_Balance[Nombre Cuenta ()],Estructura_Balance[Grupos],"Grupo 1",0)</f>
        <v>Grupo 1</v>
      </c>
      <c r="Y760" t="str">
        <f>+Table3[[#This Row],[BS_Nivel_1]]</f>
        <v/>
      </c>
    </row>
    <row r="761" spans="1:25">
      <c r="A761">
        <f>+'Libro Diario'!F975</f>
        <v>0</v>
      </c>
      <c r="B761" s="144">
        <f>VALUE(IF(+'Libro Diario'!G975="","01/01/2025",+'Libro Diario'!G975))</f>
        <v>45658</v>
      </c>
      <c r="C761">
        <f>IF(ISNUMBER(+IF(IFERROR(VALUE(MID('Libro Diario'!C975,1,4)),0)&lt;&gt;0,'Libro Diario'!C975,0))=FALSE,'Libro Diario'!C975,0)</f>
        <v>0</v>
      </c>
      <c r="D761" s="145">
        <f>+'Libro Diario'!B975</f>
        <v>0</v>
      </c>
      <c r="E761" s="139" t="s">
        <v>445</v>
      </c>
      <c r="F761" t="str">
        <f t="shared" si="33"/>
        <v>Sin Mov.</v>
      </c>
      <c r="G761" t="str">
        <f>IF(+'Libro Diario'!H975=0,"",+'Libro Diario'!H975)</f>
        <v/>
      </c>
      <c r="H761" t="str">
        <f>IF(+'Libro Diario'!I975=0,"",+'Libro Diario'!I975)</f>
        <v/>
      </c>
      <c r="I761" t="str">
        <f>+IF(Table3[[#This Row],[Tipo Movimiento]]="Estructura Balance y PyG","Excluir","Incluir")</f>
        <v>Incluir</v>
      </c>
      <c r="J761" s="153">
        <f>+IF(Table3[[#This Row],[Sin cuenta]]="Con Mov.",(IF(Table3[[#This Row],[Movimiento]]="Debe",Table3[[#This Row],[Importe]],IF(Table3[[#This Row],[Movimiento]]="Haber",Table3[[#This Row],[Importe]]*-1,0))),0)</f>
        <v>0</v>
      </c>
      <c r="K761" s="145">
        <f t="shared" si="34"/>
        <v>0</v>
      </c>
      <c r="L761" s="145" t="str">
        <f t="shared" si="35"/>
        <v/>
      </c>
      <c r="M761" t="str">
        <f>_xlfn.XLOOKUP(Table3[[#This Row],[Cuenta]],Estructura_Balance[Nombre Cuenta ()],Estructura_Balance[Grupo],"",0)</f>
        <v/>
      </c>
      <c r="N761" t="str">
        <f>_xlfn.XLOOKUP(Table3[[#This Row],[Cuenta]],Estructura_Balance[Nombre Cuenta ()],Estructura_Balance[Nivel 1],"",0)</f>
        <v/>
      </c>
      <c r="O761" t="str">
        <f>_xlfn.XLOOKUP(Table3[[#This Row],[Cuenta]],Estructura_Balance[Nombre Cuenta ()],Estructura_Balance[Nivel 2],"",0)</f>
        <v/>
      </c>
      <c r="P761" t="str">
        <f>_xlfn.XLOOKUP(Table3[[#This Row],[Cuenta]],Estructura_Balance[Nombre Cuenta ()],Estructura_Balance[Nivel 3],"",0)</f>
        <v/>
      </c>
      <c r="Q761" t="str">
        <f>_xlfn.XLOOKUP(Table3[[#This Row],[Cuenta]],Estructura_Balance[Nombre Cuenta ()],Estructura_Balance[Nivel 4],"",0)</f>
        <v/>
      </c>
      <c r="R761" t="str">
        <f>_xlfn.XLOOKUP(Table3[[#This Row],[Cuenta]],Table8[Nombre Cuenta ()],Table8[Nivel 1],"",0)</f>
        <v/>
      </c>
      <c r="S761" t="str">
        <f>_xlfn.XLOOKUP(Table3[[#This Row],[Cuenta]],Table8[Nombre Cuenta ()],Table8[Nivel 2],"",0)</f>
        <v/>
      </c>
      <c r="T761" t="str">
        <f>_xlfn.XLOOKUP(Table3[[#This Row],[Cuenta]],Table8[Nombre Cuenta ()],Table8[Nivel 3],"",0)</f>
        <v/>
      </c>
      <c r="U761">
        <v>1239</v>
      </c>
      <c r="V761" t="str">
        <f>_xlfn.XLOOKUP(Table3[[#This Row],[Cuenta]],Estructura_Balance[Nombre Cuenta ()],Estructura_Balance[Niveles:2],"",0)</f>
        <v/>
      </c>
      <c r="W761" t="str">
        <f>_xlfn.XLOOKUP(Table3[[#This Row],[Cuenta]],Estructura_Balance[Nombre Cuenta ()],Estructura_Balance[Niveles:3],"",0)</f>
        <v/>
      </c>
      <c r="X761" t="str">
        <f>_xlfn.XLOOKUP(Table3[[#This Row],[Cuenta]],Estructura_Balance[Nombre Cuenta ()],Estructura_Balance[Grupos],"Grupo 1",0)</f>
        <v>Grupo 1</v>
      </c>
      <c r="Y761" t="str">
        <f>+Table3[[#This Row],[BS_Nivel_1]]</f>
        <v/>
      </c>
    </row>
    <row r="762" spans="1:25">
      <c r="A762">
        <f>+'Libro Diario'!F976</f>
        <v>0</v>
      </c>
      <c r="B762" s="144">
        <f>VALUE(IF(+'Libro Diario'!G976="","01/01/2025",+'Libro Diario'!G976))</f>
        <v>45658</v>
      </c>
      <c r="C762">
        <f>IF(ISNUMBER(+IF(IFERROR(VALUE(MID('Libro Diario'!C976,1,4)),0)&lt;&gt;0,'Libro Diario'!C976,0))=FALSE,'Libro Diario'!C976,0)</f>
        <v>0</v>
      </c>
      <c r="D762" s="145">
        <f>+'Libro Diario'!B976</f>
        <v>0</v>
      </c>
      <c r="E762" s="139" t="s">
        <v>445</v>
      </c>
      <c r="F762" t="str">
        <f t="shared" si="33"/>
        <v>Sin Mov.</v>
      </c>
      <c r="G762" t="str">
        <f>IF(+'Libro Diario'!H976=0,"",+'Libro Diario'!H976)</f>
        <v/>
      </c>
      <c r="H762" t="str">
        <f>IF(+'Libro Diario'!I976=0,"",+'Libro Diario'!I976)</f>
        <v/>
      </c>
      <c r="I762" t="str">
        <f>+IF(Table3[[#This Row],[Tipo Movimiento]]="Estructura Balance y PyG","Excluir","Incluir")</f>
        <v>Incluir</v>
      </c>
      <c r="J762" s="153">
        <f>+IF(Table3[[#This Row],[Sin cuenta]]="Con Mov.",(IF(Table3[[#This Row],[Movimiento]]="Debe",Table3[[#This Row],[Importe]],IF(Table3[[#This Row],[Movimiento]]="Haber",Table3[[#This Row],[Importe]]*-1,0))),0)</f>
        <v>0</v>
      </c>
      <c r="K762" s="145">
        <f t="shared" si="34"/>
        <v>0</v>
      </c>
      <c r="L762" s="145" t="str">
        <f t="shared" si="35"/>
        <v/>
      </c>
      <c r="M762" t="str">
        <f>_xlfn.XLOOKUP(Table3[[#This Row],[Cuenta]],Estructura_Balance[Nombre Cuenta ()],Estructura_Balance[Grupo],"",0)</f>
        <v/>
      </c>
      <c r="N762" t="str">
        <f>_xlfn.XLOOKUP(Table3[[#This Row],[Cuenta]],Estructura_Balance[Nombre Cuenta ()],Estructura_Balance[Nivel 1],"",0)</f>
        <v/>
      </c>
      <c r="O762" t="str">
        <f>_xlfn.XLOOKUP(Table3[[#This Row],[Cuenta]],Estructura_Balance[Nombre Cuenta ()],Estructura_Balance[Nivel 2],"",0)</f>
        <v/>
      </c>
      <c r="P762" t="str">
        <f>_xlfn.XLOOKUP(Table3[[#This Row],[Cuenta]],Estructura_Balance[Nombre Cuenta ()],Estructura_Balance[Nivel 3],"",0)</f>
        <v/>
      </c>
      <c r="Q762" t="str">
        <f>_xlfn.XLOOKUP(Table3[[#This Row],[Cuenta]],Estructura_Balance[Nombre Cuenta ()],Estructura_Balance[Nivel 4],"",0)</f>
        <v/>
      </c>
      <c r="R762" t="str">
        <f>_xlfn.XLOOKUP(Table3[[#This Row],[Cuenta]],Table8[Nombre Cuenta ()],Table8[Nivel 1],"",0)</f>
        <v/>
      </c>
      <c r="S762" t="str">
        <f>_xlfn.XLOOKUP(Table3[[#This Row],[Cuenta]],Table8[Nombre Cuenta ()],Table8[Nivel 2],"",0)</f>
        <v/>
      </c>
      <c r="T762" t="str">
        <f>_xlfn.XLOOKUP(Table3[[#This Row],[Cuenta]],Table8[Nombre Cuenta ()],Table8[Nivel 3],"",0)</f>
        <v/>
      </c>
      <c r="U762">
        <v>1240</v>
      </c>
      <c r="V762" t="str">
        <f>_xlfn.XLOOKUP(Table3[[#This Row],[Cuenta]],Estructura_Balance[Nombre Cuenta ()],Estructura_Balance[Niveles:2],"",0)</f>
        <v/>
      </c>
      <c r="W762" t="str">
        <f>_xlfn.XLOOKUP(Table3[[#This Row],[Cuenta]],Estructura_Balance[Nombre Cuenta ()],Estructura_Balance[Niveles:3],"",0)</f>
        <v/>
      </c>
      <c r="X762" t="str">
        <f>_xlfn.XLOOKUP(Table3[[#This Row],[Cuenta]],Estructura_Balance[Nombre Cuenta ()],Estructura_Balance[Grupos],"Grupo 1",0)</f>
        <v>Grupo 1</v>
      </c>
      <c r="Y762" t="str">
        <f>+Table3[[#This Row],[BS_Nivel_1]]</f>
        <v/>
      </c>
    </row>
    <row r="763" spans="1:25">
      <c r="A763">
        <f>+'Libro Diario'!F977</f>
        <v>0</v>
      </c>
      <c r="B763" s="144">
        <f>VALUE(IF(+'Libro Diario'!G977="","01/01/2025",+'Libro Diario'!G977))</f>
        <v>45658</v>
      </c>
      <c r="C763">
        <f>IF(ISNUMBER(+IF(IFERROR(VALUE(MID('Libro Diario'!C977,1,4)),0)&lt;&gt;0,'Libro Diario'!C977,0))=FALSE,'Libro Diario'!C977,0)</f>
        <v>0</v>
      </c>
      <c r="D763" s="145">
        <f>+'Libro Diario'!B977</f>
        <v>0</v>
      </c>
      <c r="E763" s="139" t="s">
        <v>445</v>
      </c>
      <c r="F763" t="str">
        <f t="shared" si="33"/>
        <v>Sin Mov.</v>
      </c>
      <c r="G763" t="str">
        <f>IF(+'Libro Diario'!H977=0,"",+'Libro Diario'!H977)</f>
        <v/>
      </c>
      <c r="H763" t="str">
        <f>IF(+'Libro Diario'!I977=0,"",+'Libro Diario'!I977)</f>
        <v/>
      </c>
      <c r="I763" t="str">
        <f>+IF(Table3[[#This Row],[Tipo Movimiento]]="Estructura Balance y PyG","Excluir","Incluir")</f>
        <v>Incluir</v>
      </c>
      <c r="J763" s="153">
        <f>+IF(Table3[[#This Row],[Sin cuenta]]="Con Mov.",(IF(Table3[[#This Row],[Movimiento]]="Debe",Table3[[#This Row],[Importe]],IF(Table3[[#This Row],[Movimiento]]="Haber",Table3[[#This Row],[Importe]]*-1,0))),0)</f>
        <v>0</v>
      </c>
      <c r="K763" s="145">
        <f t="shared" si="34"/>
        <v>0</v>
      </c>
      <c r="L763" s="145" t="str">
        <f t="shared" si="35"/>
        <v/>
      </c>
      <c r="M763" t="str">
        <f>_xlfn.XLOOKUP(Table3[[#This Row],[Cuenta]],Estructura_Balance[Nombre Cuenta ()],Estructura_Balance[Grupo],"",0)</f>
        <v/>
      </c>
      <c r="N763" t="str">
        <f>_xlfn.XLOOKUP(Table3[[#This Row],[Cuenta]],Estructura_Balance[Nombre Cuenta ()],Estructura_Balance[Nivel 1],"",0)</f>
        <v/>
      </c>
      <c r="O763" t="str">
        <f>_xlfn.XLOOKUP(Table3[[#This Row],[Cuenta]],Estructura_Balance[Nombre Cuenta ()],Estructura_Balance[Nivel 2],"",0)</f>
        <v/>
      </c>
      <c r="P763" t="str">
        <f>_xlfn.XLOOKUP(Table3[[#This Row],[Cuenta]],Estructura_Balance[Nombre Cuenta ()],Estructura_Balance[Nivel 3],"",0)</f>
        <v/>
      </c>
      <c r="Q763" t="str">
        <f>_xlfn.XLOOKUP(Table3[[#This Row],[Cuenta]],Estructura_Balance[Nombre Cuenta ()],Estructura_Balance[Nivel 4],"",0)</f>
        <v/>
      </c>
      <c r="R763" t="str">
        <f>_xlfn.XLOOKUP(Table3[[#This Row],[Cuenta]],Table8[Nombre Cuenta ()],Table8[Nivel 1],"",0)</f>
        <v/>
      </c>
      <c r="S763" t="str">
        <f>_xlfn.XLOOKUP(Table3[[#This Row],[Cuenta]],Table8[Nombre Cuenta ()],Table8[Nivel 2],"",0)</f>
        <v/>
      </c>
      <c r="T763" t="str">
        <f>_xlfn.XLOOKUP(Table3[[#This Row],[Cuenta]],Table8[Nombre Cuenta ()],Table8[Nivel 3],"",0)</f>
        <v/>
      </c>
      <c r="U763">
        <v>1243</v>
      </c>
      <c r="V763" t="str">
        <f>_xlfn.XLOOKUP(Table3[[#This Row],[Cuenta]],Estructura_Balance[Nombre Cuenta ()],Estructura_Balance[Niveles:2],"",0)</f>
        <v/>
      </c>
      <c r="W763" t="str">
        <f>_xlfn.XLOOKUP(Table3[[#This Row],[Cuenta]],Estructura_Balance[Nombre Cuenta ()],Estructura_Balance[Niveles:3],"",0)</f>
        <v/>
      </c>
      <c r="X763" t="str">
        <f>_xlfn.XLOOKUP(Table3[[#This Row],[Cuenta]],Estructura_Balance[Nombre Cuenta ()],Estructura_Balance[Grupos],"Grupo 1",0)</f>
        <v>Grupo 1</v>
      </c>
      <c r="Y763" t="str">
        <f>+Table3[[#This Row],[BS_Nivel_1]]</f>
        <v/>
      </c>
    </row>
    <row r="764" spans="1:25">
      <c r="A764">
        <f>+'Libro Diario'!F978</f>
        <v>0</v>
      </c>
      <c r="B764" s="144">
        <f>VALUE(IF(+'Libro Diario'!G978="","01/01/2025",+'Libro Diario'!G978))</f>
        <v>45658</v>
      </c>
      <c r="C764">
        <f>IF(ISNUMBER(+IF(IFERROR(VALUE(MID('Libro Diario'!C978,1,4)),0)&lt;&gt;0,'Libro Diario'!C978,0))=FALSE,'Libro Diario'!C978,0)</f>
        <v>0</v>
      </c>
      <c r="D764" s="145">
        <f>+'Libro Diario'!B978</f>
        <v>0</v>
      </c>
      <c r="E764" s="139" t="s">
        <v>445</v>
      </c>
      <c r="F764" t="str">
        <f t="shared" si="33"/>
        <v>Sin Mov.</v>
      </c>
      <c r="G764" t="str">
        <f>IF(+'Libro Diario'!H978=0,"",+'Libro Diario'!H978)</f>
        <v/>
      </c>
      <c r="H764" t="str">
        <f>IF(+'Libro Diario'!I978=0,"",+'Libro Diario'!I978)</f>
        <v/>
      </c>
      <c r="I764" t="str">
        <f>+IF(Table3[[#This Row],[Tipo Movimiento]]="Estructura Balance y PyG","Excluir","Incluir")</f>
        <v>Incluir</v>
      </c>
      <c r="J764" s="153">
        <f>+IF(Table3[[#This Row],[Sin cuenta]]="Con Mov.",(IF(Table3[[#This Row],[Movimiento]]="Debe",Table3[[#This Row],[Importe]],IF(Table3[[#This Row],[Movimiento]]="Haber",Table3[[#This Row],[Importe]]*-1,0))),0)</f>
        <v>0</v>
      </c>
      <c r="K764" s="145">
        <f t="shared" si="34"/>
        <v>0</v>
      </c>
      <c r="L764" s="145" t="str">
        <f t="shared" si="35"/>
        <v/>
      </c>
      <c r="M764" t="str">
        <f>_xlfn.XLOOKUP(Table3[[#This Row],[Cuenta]],Estructura_Balance[Nombre Cuenta ()],Estructura_Balance[Grupo],"",0)</f>
        <v/>
      </c>
      <c r="N764" t="str">
        <f>_xlfn.XLOOKUP(Table3[[#This Row],[Cuenta]],Estructura_Balance[Nombre Cuenta ()],Estructura_Balance[Nivel 1],"",0)</f>
        <v/>
      </c>
      <c r="O764" t="str">
        <f>_xlfn.XLOOKUP(Table3[[#This Row],[Cuenta]],Estructura_Balance[Nombre Cuenta ()],Estructura_Balance[Nivel 2],"",0)</f>
        <v/>
      </c>
      <c r="P764" t="str">
        <f>_xlfn.XLOOKUP(Table3[[#This Row],[Cuenta]],Estructura_Balance[Nombre Cuenta ()],Estructura_Balance[Nivel 3],"",0)</f>
        <v/>
      </c>
      <c r="Q764" t="str">
        <f>_xlfn.XLOOKUP(Table3[[#This Row],[Cuenta]],Estructura_Balance[Nombre Cuenta ()],Estructura_Balance[Nivel 4],"",0)</f>
        <v/>
      </c>
      <c r="R764" t="str">
        <f>_xlfn.XLOOKUP(Table3[[#This Row],[Cuenta]],Table8[Nombre Cuenta ()],Table8[Nivel 1],"",0)</f>
        <v/>
      </c>
      <c r="S764" t="str">
        <f>_xlfn.XLOOKUP(Table3[[#This Row],[Cuenta]],Table8[Nombre Cuenta ()],Table8[Nivel 2],"",0)</f>
        <v/>
      </c>
      <c r="T764" t="str">
        <f>_xlfn.XLOOKUP(Table3[[#This Row],[Cuenta]],Table8[Nombre Cuenta ()],Table8[Nivel 3],"",0)</f>
        <v/>
      </c>
      <c r="U764">
        <v>1244</v>
      </c>
      <c r="V764" t="str">
        <f>_xlfn.XLOOKUP(Table3[[#This Row],[Cuenta]],Estructura_Balance[Nombre Cuenta ()],Estructura_Balance[Niveles:2],"",0)</f>
        <v/>
      </c>
      <c r="W764" t="str">
        <f>_xlfn.XLOOKUP(Table3[[#This Row],[Cuenta]],Estructura_Balance[Nombre Cuenta ()],Estructura_Balance[Niveles:3],"",0)</f>
        <v/>
      </c>
      <c r="X764" t="str">
        <f>_xlfn.XLOOKUP(Table3[[#This Row],[Cuenta]],Estructura_Balance[Nombre Cuenta ()],Estructura_Balance[Grupos],"Grupo 1",0)</f>
        <v>Grupo 1</v>
      </c>
      <c r="Y764" t="str">
        <f>+Table3[[#This Row],[BS_Nivel_1]]</f>
        <v/>
      </c>
    </row>
    <row r="765" spans="1:25">
      <c r="A765">
        <f>+'Libro Diario'!F979</f>
        <v>0</v>
      </c>
      <c r="B765" s="144">
        <f>VALUE(IF(+'Libro Diario'!G979="","01/01/2025",+'Libro Diario'!G979))</f>
        <v>45658</v>
      </c>
      <c r="C765">
        <f>IF(ISNUMBER(+IF(IFERROR(VALUE(MID('Libro Diario'!C979,1,4)),0)&lt;&gt;0,'Libro Diario'!C979,0))=FALSE,'Libro Diario'!C979,0)</f>
        <v>0</v>
      </c>
      <c r="D765" s="145">
        <f>+'Libro Diario'!B979</f>
        <v>0</v>
      </c>
      <c r="E765" s="139" t="s">
        <v>445</v>
      </c>
      <c r="F765" t="str">
        <f t="shared" si="33"/>
        <v>Sin Mov.</v>
      </c>
      <c r="G765" t="str">
        <f>IF(+'Libro Diario'!H979=0,"",+'Libro Diario'!H979)</f>
        <v/>
      </c>
      <c r="H765" t="str">
        <f>IF(+'Libro Diario'!I979=0,"",+'Libro Diario'!I979)</f>
        <v/>
      </c>
      <c r="I765" t="str">
        <f>+IF(Table3[[#This Row],[Tipo Movimiento]]="Estructura Balance y PyG","Excluir","Incluir")</f>
        <v>Incluir</v>
      </c>
      <c r="J765" s="153">
        <f>+IF(Table3[[#This Row],[Sin cuenta]]="Con Mov.",(IF(Table3[[#This Row],[Movimiento]]="Debe",Table3[[#This Row],[Importe]],IF(Table3[[#This Row],[Movimiento]]="Haber",Table3[[#This Row],[Importe]]*-1,0))),0)</f>
        <v>0</v>
      </c>
      <c r="K765" s="145">
        <f t="shared" si="34"/>
        <v>0</v>
      </c>
      <c r="L765" s="145" t="str">
        <f t="shared" si="35"/>
        <v/>
      </c>
      <c r="M765" t="str">
        <f>_xlfn.XLOOKUP(Table3[[#This Row],[Cuenta]],Estructura_Balance[Nombre Cuenta ()],Estructura_Balance[Grupo],"",0)</f>
        <v/>
      </c>
      <c r="N765" t="str">
        <f>_xlfn.XLOOKUP(Table3[[#This Row],[Cuenta]],Estructura_Balance[Nombre Cuenta ()],Estructura_Balance[Nivel 1],"",0)</f>
        <v/>
      </c>
      <c r="O765" t="str">
        <f>_xlfn.XLOOKUP(Table3[[#This Row],[Cuenta]],Estructura_Balance[Nombre Cuenta ()],Estructura_Balance[Nivel 2],"",0)</f>
        <v/>
      </c>
      <c r="P765" t="str">
        <f>_xlfn.XLOOKUP(Table3[[#This Row],[Cuenta]],Estructura_Balance[Nombre Cuenta ()],Estructura_Balance[Nivel 3],"",0)</f>
        <v/>
      </c>
      <c r="Q765" t="str">
        <f>_xlfn.XLOOKUP(Table3[[#This Row],[Cuenta]],Estructura_Balance[Nombre Cuenta ()],Estructura_Balance[Nivel 4],"",0)</f>
        <v/>
      </c>
      <c r="R765" t="str">
        <f>_xlfn.XLOOKUP(Table3[[#This Row],[Cuenta]],Table8[Nombre Cuenta ()],Table8[Nivel 1],"",0)</f>
        <v/>
      </c>
      <c r="S765" t="str">
        <f>_xlfn.XLOOKUP(Table3[[#This Row],[Cuenta]],Table8[Nombre Cuenta ()],Table8[Nivel 2],"",0)</f>
        <v/>
      </c>
      <c r="T765" t="str">
        <f>_xlfn.XLOOKUP(Table3[[#This Row],[Cuenta]],Table8[Nombre Cuenta ()],Table8[Nivel 3],"",0)</f>
        <v/>
      </c>
      <c r="U765">
        <v>1245</v>
      </c>
      <c r="V765" t="str">
        <f>_xlfn.XLOOKUP(Table3[[#This Row],[Cuenta]],Estructura_Balance[Nombre Cuenta ()],Estructura_Balance[Niveles:2],"",0)</f>
        <v/>
      </c>
      <c r="W765" t="str">
        <f>_xlfn.XLOOKUP(Table3[[#This Row],[Cuenta]],Estructura_Balance[Nombre Cuenta ()],Estructura_Balance[Niveles:3],"",0)</f>
        <v/>
      </c>
      <c r="X765" t="str">
        <f>_xlfn.XLOOKUP(Table3[[#This Row],[Cuenta]],Estructura_Balance[Nombre Cuenta ()],Estructura_Balance[Grupos],"Grupo 1",0)</f>
        <v>Grupo 1</v>
      </c>
      <c r="Y765" t="str">
        <f>+Table3[[#This Row],[BS_Nivel_1]]</f>
        <v/>
      </c>
    </row>
    <row r="766" spans="1:25">
      <c r="A766">
        <f>+'Libro Diario'!F980</f>
        <v>0</v>
      </c>
      <c r="B766" s="144">
        <f>VALUE(IF(+'Libro Diario'!G980="","01/01/2025",+'Libro Diario'!G980))</f>
        <v>45658</v>
      </c>
      <c r="C766">
        <f>IF(ISNUMBER(+IF(IFERROR(VALUE(MID('Libro Diario'!C980,1,4)),0)&lt;&gt;0,'Libro Diario'!C980,0))=FALSE,'Libro Diario'!C980,0)</f>
        <v>0</v>
      </c>
      <c r="D766" s="145">
        <f>+'Libro Diario'!B980</f>
        <v>0</v>
      </c>
      <c r="E766" s="139" t="s">
        <v>445</v>
      </c>
      <c r="F766" t="str">
        <f t="shared" si="33"/>
        <v>Sin Mov.</v>
      </c>
      <c r="G766" t="str">
        <f>IF(+'Libro Diario'!H980=0,"",+'Libro Diario'!H980)</f>
        <v/>
      </c>
      <c r="H766" t="str">
        <f>IF(+'Libro Diario'!I980=0,"",+'Libro Diario'!I980)</f>
        <v/>
      </c>
      <c r="I766" t="str">
        <f>+IF(Table3[[#This Row],[Tipo Movimiento]]="Estructura Balance y PyG","Excluir","Incluir")</f>
        <v>Incluir</v>
      </c>
      <c r="J766" s="153">
        <f>+IF(Table3[[#This Row],[Sin cuenta]]="Con Mov.",(IF(Table3[[#This Row],[Movimiento]]="Debe",Table3[[#This Row],[Importe]],IF(Table3[[#This Row],[Movimiento]]="Haber",Table3[[#This Row],[Importe]]*-1,0))),0)</f>
        <v>0</v>
      </c>
      <c r="K766" s="145">
        <f t="shared" si="34"/>
        <v>0</v>
      </c>
      <c r="L766" s="145" t="str">
        <f t="shared" si="35"/>
        <v/>
      </c>
      <c r="M766" t="str">
        <f>_xlfn.XLOOKUP(Table3[[#This Row],[Cuenta]],Estructura_Balance[Nombre Cuenta ()],Estructura_Balance[Grupo],"",0)</f>
        <v/>
      </c>
      <c r="N766" t="str">
        <f>_xlfn.XLOOKUP(Table3[[#This Row],[Cuenta]],Estructura_Balance[Nombre Cuenta ()],Estructura_Balance[Nivel 1],"",0)</f>
        <v/>
      </c>
      <c r="O766" t="str">
        <f>_xlfn.XLOOKUP(Table3[[#This Row],[Cuenta]],Estructura_Balance[Nombre Cuenta ()],Estructura_Balance[Nivel 2],"",0)</f>
        <v/>
      </c>
      <c r="P766" t="str">
        <f>_xlfn.XLOOKUP(Table3[[#This Row],[Cuenta]],Estructura_Balance[Nombre Cuenta ()],Estructura_Balance[Nivel 3],"",0)</f>
        <v/>
      </c>
      <c r="Q766" t="str">
        <f>_xlfn.XLOOKUP(Table3[[#This Row],[Cuenta]],Estructura_Balance[Nombre Cuenta ()],Estructura_Balance[Nivel 4],"",0)</f>
        <v/>
      </c>
      <c r="R766" t="str">
        <f>_xlfn.XLOOKUP(Table3[[#This Row],[Cuenta]],Table8[Nombre Cuenta ()],Table8[Nivel 1],"",0)</f>
        <v/>
      </c>
      <c r="S766" t="str">
        <f>_xlfn.XLOOKUP(Table3[[#This Row],[Cuenta]],Table8[Nombre Cuenta ()],Table8[Nivel 2],"",0)</f>
        <v/>
      </c>
      <c r="T766" t="str">
        <f>_xlfn.XLOOKUP(Table3[[#This Row],[Cuenta]],Table8[Nombre Cuenta ()],Table8[Nivel 3],"",0)</f>
        <v/>
      </c>
      <c r="U766">
        <v>1246</v>
      </c>
      <c r="V766" t="str">
        <f>_xlfn.XLOOKUP(Table3[[#This Row],[Cuenta]],Estructura_Balance[Nombre Cuenta ()],Estructura_Balance[Niveles:2],"",0)</f>
        <v/>
      </c>
      <c r="W766" t="str">
        <f>_xlfn.XLOOKUP(Table3[[#This Row],[Cuenta]],Estructura_Balance[Nombre Cuenta ()],Estructura_Balance[Niveles:3],"",0)</f>
        <v/>
      </c>
      <c r="X766" t="str">
        <f>_xlfn.XLOOKUP(Table3[[#This Row],[Cuenta]],Estructura_Balance[Nombre Cuenta ()],Estructura_Balance[Grupos],"Grupo 1",0)</f>
        <v>Grupo 1</v>
      </c>
      <c r="Y766" t="str">
        <f>+Table3[[#This Row],[BS_Nivel_1]]</f>
        <v/>
      </c>
    </row>
    <row r="767" spans="1:25">
      <c r="A767">
        <f>+'Libro Diario'!F981</f>
        <v>0</v>
      </c>
      <c r="B767" s="144">
        <f>VALUE(IF(+'Libro Diario'!G981="","01/01/2025",+'Libro Diario'!G981))</f>
        <v>45658</v>
      </c>
      <c r="C767">
        <f>IF(ISNUMBER(+IF(IFERROR(VALUE(MID('Libro Diario'!C981,1,4)),0)&lt;&gt;0,'Libro Diario'!C981,0))=FALSE,'Libro Diario'!C981,0)</f>
        <v>0</v>
      </c>
      <c r="D767" s="145">
        <f>+'Libro Diario'!B981</f>
        <v>0</v>
      </c>
      <c r="E767" s="139" t="s">
        <v>445</v>
      </c>
      <c r="F767" t="str">
        <f t="shared" si="33"/>
        <v>Sin Mov.</v>
      </c>
      <c r="G767" t="str">
        <f>IF(+'Libro Diario'!H981=0,"",+'Libro Diario'!H981)</f>
        <v/>
      </c>
      <c r="H767" t="str">
        <f>IF(+'Libro Diario'!I981=0,"",+'Libro Diario'!I981)</f>
        <v/>
      </c>
      <c r="I767" t="str">
        <f>+IF(Table3[[#This Row],[Tipo Movimiento]]="Estructura Balance y PyG","Excluir","Incluir")</f>
        <v>Incluir</v>
      </c>
      <c r="J767" s="153">
        <f>+IF(Table3[[#This Row],[Sin cuenta]]="Con Mov.",(IF(Table3[[#This Row],[Movimiento]]="Debe",Table3[[#This Row],[Importe]],IF(Table3[[#This Row],[Movimiento]]="Haber",Table3[[#This Row],[Importe]]*-1,0))),0)</f>
        <v>0</v>
      </c>
      <c r="K767" s="145">
        <f t="shared" si="34"/>
        <v>0</v>
      </c>
      <c r="L767" s="145" t="str">
        <f t="shared" si="35"/>
        <v/>
      </c>
      <c r="M767" t="str">
        <f>_xlfn.XLOOKUP(Table3[[#This Row],[Cuenta]],Estructura_Balance[Nombre Cuenta ()],Estructura_Balance[Grupo],"",0)</f>
        <v/>
      </c>
      <c r="N767" t="str">
        <f>_xlfn.XLOOKUP(Table3[[#This Row],[Cuenta]],Estructura_Balance[Nombre Cuenta ()],Estructura_Balance[Nivel 1],"",0)</f>
        <v/>
      </c>
      <c r="O767" t="str">
        <f>_xlfn.XLOOKUP(Table3[[#This Row],[Cuenta]],Estructura_Balance[Nombre Cuenta ()],Estructura_Balance[Nivel 2],"",0)</f>
        <v/>
      </c>
      <c r="P767" t="str">
        <f>_xlfn.XLOOKUP(Table3[[#This Row],[Cuenta]],Estructura_Balance[Nombre Cuenta ()],Estructura_Balance[Nivel 3],"",0)</f>
        <v/>
      </c>
      <c r="Q767" t="str">
        <f>_xlfn.XLOOKUP(Table3[[#This Row],[Cuenta]],Estructura_Balance[Nombre Cuenta ()],Estructura_Balance[Nivel 4],"",0)</f>
        <v/>
      </c>
      <c r="R767" t="str">
        <f>_xlfn.XLOOKUP(Table3[[#This Row],[Cuenta]],Table8[Nombre Cuenta ()],Table8[Nivel 1],"",0)</f>
        <v/>
      </c>
      <c r="S767" t="str">
        <f>_xlfn.XLOOKUP(Table3[[#This Row],[Cuenta]],Table8[Nombre Cuenta ()],Table8[Nivel 2],"",0)</f>
        <v/>
      </c>
      <c r="T767" t="str">
        <f>_xlfn.XLOOKUP(Table3[[#This Row],[Cuenta]],Table8[Nombre Cuenta ()],Table8[Nivel 3],"",0)</f>
        <v/>
      </c>
      <c r="U767">
        <v>1247</v>
      </c>
      <c r="V767" t="str">
        <f>_xlfn.XLOOKUP(Table3[[#This Row],[Cuenta]],Estructura_Balance[Nombre Cuenta ()],Estructura_Balance[Niveles:2],"",0)</f>
        <v/>
      </c>
      <c r="W767" t="str">
        <f>_xlfn.XLOOKUP(Table3[[#This Row],[Cuenta]],Estructura_Balance[Nombre Cuenta ()],Estructura_Balance[Niveles:3],"",0)</f>
        <v/>
      </c>
      <c r="X767" t="str">
        <f>_xlfn.XLOOKUP(Table3[[#This Row],[Cuenta]],Estructura_Balance[Nombre Cuenta ()],Estructura_Balance[Grupos],"Grupo 1",0)</f>
        <v>Grupo 1</v>
      </c>
      <c r="Y767" t="str">
        <f>+Table3[[#This Row],[BS_Nivel_1]]</f>
        <v/>
      </c>
    </row>
    <row r="768" spans="1:25">
      <c r="A768">
        <f>+'Libro Diario'!F982</f>
        <v>0</v>
      </c>
      <c r="B768" s="144">
        <f>VALUE(IF(+'Libro Diario'!G982="","01/01/2025",+'Libro Diario'!G982))</f>
        <v>45658</v>
      </c>
      <c r="C768">
        <f>IF(ISNUMBER(+IF(IFERROR(VALUE(MID('Libro Diario'!C982,1,4)),0)&lt;&gt;0,'Libro Diario'!C982,0))=FALSE,'Libro Diario'!C982,0)</f>
        <v>0</v>
      </c>
      <c r="D768" s="145">
        <f>+'Libro Diario'!B982</f>
        <v>0</v>
      </c>
      <c r="E768" s="139" t="s">
        <v>445</v>
      </c>
      <c r="F768" t="str">
        <f t="shared" si="33"/>
        <v>Sin Mov.</v>
      </c>
      <c r="G768" t="str">
        <f>IF(+'Libro Diario'!H982=0,"",+'Libro Diario'!H982)</f>
        <v/>
      </c>
      <c r="H768" t="str">
        <f>IF(+'Libro Diario'!I982=0,"",+'Libro Diario'!I982)</f>
        <v/>
      </c>
      <c r="I768" t="str">
        <f>+IF(Table3[[#This Row],[Tipo Movimiento]]="Estructura Balance y PyG","Excluir","Incluir")</f>
        <v>Incluir</v>
      </c>
      <c r="J768" s="153">
        <f>+IF(Table3[[#This Row],[Sin cuenta]]="Con Mov.",(IF(Table3[[#This Row],[Movimiento]]="Debe",Table3[[#This Row],[Importe]],IF(Table3[[#This Row],[Movimiento]]="Haber",Table3[[#This Row],[Importe]]*-1,0))),0)</f>
        <v>0</v>
      </c>
      <c r="K768" s="145">
        <f t="shared" si="34"/>
        <v>0</v>
      </c>
      <c r="L768" s="145" t="str">
        <f t="shared" si="35"/>
        <v/>
      </c>
      <c r="M768" t="str">
        <f>_xlfn.XLOOKUP(Table3[[#This Row],[Cuenta]],Estructura_Balance[Nombre Cuenta ()],Estructura_Balance[Grupo],"",0)</f>
        <v/>
      </c>
      <c r="N768" t="str">
        <f>_xlfn.XLOOKUP(Table3[[#This Row],[Cuenta]],Estructura_Balance[Nombre Cuenta ()],Estructura_Balance[Nivel 1],"",0)</f>
        <v/>
      </c>
      <c r="O768" t="str">
        <f>_xlfn.XLOOKUP(Table3[[#This Row],[Cuenta]],Estructura_Balance[Nombre Cuenta ()],Estructura_Balance[Nivel 2],"",0)</f>
        <v/>
      </c>
      <c r="P768" t="str">
        <f>_xlfn.XLOOKUP(Table3[[#This Row],[Cuenta]],Estructura_Balance[Nombre Cuenta ()],Estructura_Balance[Nivel 3],"",0)</f>
        <v/>
      </c>
      <c r="Q768" t="str">
        <f>_xlfn.XLOOKUP(Table3[[#This Row],[Cuenta]],Estructura_Balance[Nombre Cuenta ()],Estructura_Balance[Nivel 4],"",0)</f>
        <v/>
      </c>
      <c r="R768" t="str">
        <f>_xlfn.XLOOKUP(Table3[[#This Row],[Cuenta]],Table8[Nombre Cuenta ()],Table8[Nivel 1],"",0)</f>
        <v/>
      </c>
      <c r="S768" t="str">
        <f>_xlfn.XLOOKUP(Table3[[#This Row],[Cuenta]],Table8[Nombre Cuenta ()],Table8[Nivel 2],"",0)</f>
        <v/>
      </c>
      <c r="T768" t="str">
        <f>_xlfn.XLOOKUP(Table3[[#This Row],[Cuenta]],Table8[Nombre Cuenta ()],Table8[Nivel 3],"",0)</f>
        <v/>
      </c>
      <c r="U768">
        <v>1250</v>
      </c>
      <c r="V768" t="str">
        <f>_xlfn.XLOOKUP(Table3[[#This Row],[Cuenta]],Estructura_Balance[Nombre Cuenta ()],Estructura_Balance[Niveles:2],"",0)</f>
        <v/>
      </c>
      <c r="W768" t="str">
        <f>_xlfn.XLOOKUP(Table3[[#This Row],[Cuenta]],Estructura_Balance[Nombre Cuenta ()],Estructura_Balance[Niveles:3],"",0)</f>
        <v/>
      </c>
      <c r="X768" t="str">
        <f>_xlfn.XLOOKUP(Table3[[#This Row],[Cuenta]],Estructura_Balance[Nombre Cuenta ()],Estructura_Balance[Grupos],"Grupo 1",0)</f>
        <v>Grupo 1</v>
      </c>
      <c r="Y768" t="str">
        <f>+Table3[[#This Row],[BS_Nivel_1]]</f>
        <v/>
      </c>
    </row>
    <row r="769" spans="1:25">
      <c r="A769">
        <f>+'Libro Diario'!F983</f>
        <v>0</v>
      </c>
      <c r="B769" s="144">
        <f>VALUE(IF(+'Libro Diario'!G983="","01/01/2025",+'Libro Diario'!G983))</f>
        <v>45658</v>
      </c>
      <c r="C769">
        <f>IF(ISNUMBER(+IF(IFERROR(VALUE(MID('Libro Diario'!C983,1,4)),0)&lt;&gt;0,'Libro Diario'!C983,0))=FALSE,'Libro Diario'!C983,0)</f>
        <v>0</v>
      </c>
      <c r="D769" s="145">
        <f>+'Libro Diario'!B983</f>
        <v>0</v>
      </c>
      <c r="E769" s="139" t="s">
        <v>445</v>
      </c>
      <c r="F769" t="str">
        <f t="shared" si="33"/>
        <v>Sin Mov.</v>
      </c>
      <c r="G769" t="str">
        <f>IF(+'Libro Diario'!H983=0,"",+'Libro Diario'!H983)</f>
        <v/>
      </c>
      <c r="H769" t="str">
        <f>IF(+'Libro Diario'!I983=0,"",+'Libro Diario'!I983)</f>
        <v/>
      </c>
      <c r="I769" t="str">
        <f>+IF(Table3[[#This Row],[Tipo Movimiento]]="Estructura Balance y PyG","Excluir","Incluir")</f>
        <v>Incluir</v>
      </c>
      <c r="J769" s="153">
        <f>+IF(Table3[[#This Row],[Sin cuenta]]="Con Mov.",(IF(Table3[[#This Row],[Movimiento]]="Debe",Table3[[#This Row],[Importe]],IF(Table3[[#This Row],[Movimiento]]="Haber",Table3[[#This Row],[Importe]]*-1,0))),0)</f>
        <v>0</v>
      </c>
      <c r="K769" s="145">
        <f t="shared" si="34"/>
        <v>0</v>
      </c>
      <c r="L769" s="145" t="str">
        <f t="shared" si="35"/>
        <v/>
      </c>
      <c r="M769" t="str">
        <f>_xlfn.XLOOKUP(Table3[[#This Row],[Cuenta]],Estructura_Balance[Nombre Cuenta ()],Estructura_Balance[Grupo],"",0)</f>
        <v/>
      </c>
      <c r="N769" t="str">
        <f>_xlfn.XLOOKUP(Table3[[#This Row],[Cuenta]],Estructura_Balance[Nombre Cuenta ()],Estructura_Balance[Nivel 1],"",0)</f>
        <v/>
      </c>
      <c r="O769" t="str">
        <f>_xlfn.XLOOKUP(Table3[[#This Row],[Cuenta]],Estructura_Balance[Nombre Cuenta ()],Estructura_Balance[Nivel 2],"",0)</f>
        <v/>
      </c>
      <c r="P769" t="str">
        <f>_xlfn.XLOOKUP(Table3[[#This Row],[Cuenta]],Estructura_Balance[Nombre Cuenta ()],Estructura_Balance[Nivel 3],"",0)</f>
        <v/>
      </c>
      <c r="Q769" t="str">
        <f>_xlfn.XLOOKUP(Table3[[#This Row],[Cuenta]],Estructura_Balance[Nombre Cuenta ()],Estructura_Balance[Nivel 4],"",0)</f>
        <v/>
      </c>
      <c r="R769" t="str">
        <f>_xlfn.XLOOKUP(Table3[[#This Row],[Cuenta]],Table8[Nombre Cuenta ()],Table8[Nivel 1],"",0)</f>
        <v/>
      </c>
      <c r="S769" t="str">
        <f>_xlfn.XLOOKUP(Table3[[#This Row],[Cuenta]],Table8[Nombre Cuenta ()],Table8[Nivel 2],"",0)</f>
        <v/>
      </c>
      <c r="T769" t="str">
        <f>_xlfn.XLOOKUP(Table3[[#This Row],[Cuenta]],Table8[Nombre Cuenta ()],Table8[Nivel 3],"",0)</f>
        <v/>
      </c>
      <c r="U769">
        <v>1251</v>
      </c>
      <c r="V769" t="str">
        <f>_xlfn.XLOOKUP(Table3[[#This Row],[Cuenta]],Estructura_Balance[Nombre Cuenta ()],Estructura_Balance[Niveles:2],"",0)</f>
        <v/>
      </c>
      <c r="W769" t="str">
        <f>_xlfn.XLOOKUP(Table3[[#This Row],[Cuenta]],Estructura_Balance[Nombre Cuenta ()],Estructura_Balance[Niveles:3],"",0)</f>
        <v/>
      </c>
      <c r="X769" t="str">
        <f>_xlfn.XLOOKUP(Table3[[#This Row],[Cuenta]],Estructura_Balance[Nombre Cuenta ()],Estructura_Balance[Grupos],"Grupo 1",0)</f>
        <v>Grupo 1</v>
      </c>
      <c r="Y769" t="str">
        <f>+Table3[[#This Row],[BS_Nivel_1]]</f>
        <v/>
      </c>
    </row>
    <row r="770" spans="1:25">
      <c r="A770">
        <f>+'Libro Diario'!F984</f>
        <v>0</v>
      </c>
      <c r="B770" s="144">
        <f>VALUE(IF(+'Libro Diario'!G984="","01/01/2025",+'Libro Diario'!G984))</f>
        <v>45658</v>
      </c>
      <c r="C770">
        <f>IF(ISNUMBER(+IF(IFERROR(VALUE(MID('Libro Diario'!C984,1,4)),0)&lt;&gt;0,'Libro Diario'!C984,0))=FALSE,'Libro Diario'!C984,0)</f>
        <v>0</v>
      </c>
      <c r="D770" s="145">
        <f>+'Libro Diario'!B984</f>
        <v>0</v>
      </c>
      <c r="E770" s="139" t="s">
        <v>445</v>
      </c>
      <c r="F770" t="str">
        <f t="shared" si="33"/>
        <v>Sin Mov.</v>
      </c>
      <c r="G770" t="str">
        <f>IF(+'Libro Diario'!H984=0,"",+'Libro Diario'!H984)</f>
        <v/>
      </c>
      <c r="H770" t="str">
        <f>IF(+'Libro Diario'!I984=0,"",+'Libro Diario'!I984)</f>
        <v/>
      </c>
      <c r="I770" t="str">
        <f>+IF(Table3[[#This Row],[Tipo Movimiento]]="Estructura Balance y PyG","Excluir","Incluir")</f>
        <v>Incluir</v>
      </c>
      <c r="J770" s="153">
        <f>+IF(Table3[[#This Row],[Sin cuenta]]="Con Mov.",(IF(Table3[[#This Row],[Movimiento]]="Debe",Table3[[#This Row],[Importe]],IF(Table3[[#This Row],[Movimiento]]="Haber",Table3[[#This Row],[Importe]]*-1,0))),0)</f>
        <v>0</v>
      </c>
      <c r="K770" s="145">
        <f t="shared" si="34"/>
        <v>0</v>
      </c>
      <c r="L770" s="145" t="str">
        <f t="shared" si="35"/>
        <v/>
      </c>
      <c r="M770" t="str">
        <f>_xlfn.XLOOKUP(Table3[[#This Row],[Cuenta]],Estructura_Balance[Nombre Cuenta ()],Estructura_Balance[Grupo],"",0)</f>
        <v/>
      </c>
      <c r="N770" t="str">
        <f>_xlfn.XLOOKUP(Table3[[#This Row],[Cuenta]],Estructura_Balance[Nombre Cuenta ()],Estructura_Balance[Nivel 1],"",0)</f>
        <v/>
      </c>
      <c r="O770" t="str">
        <f>_xlfn.XLOOKUP(Table3[[#This Row],[Cuenta]],Estructura_Balance[Nombre Cuenta ()],Estructura_Balance[Nivel 2],"",0)</f>
        <v/>
      </c>
      <c r="P770" t="str">
        <f>_xlfn.XLOOKUP(Table3[[#This Row],[Cuenta]],Estructura_Balance[Nombre Cuenta ()],Estructura_Balance[Nivel 3],"",0)</f>
        <v/>
      </c>
      <c r="Q770" t="str">
        <f>_xlfn.XLOOKUP(Table3[[#This Row],[Cuenta]],Estructura_Balance[Nombre Cuenta ()],Estructura_Balance[Nivel 4],"",0)</f>
        <v/>
      </c>
      <c r="R770" t="str">
        <f>_xlfn.XLOOKUP(Table3[[#This Row],[Cuenta]],Table8[Nombre Cuenta ()],Table8[Nivel 1],"",0)</f>
        <v/>
      </c>
      <c r="S770" t="str">
        <f>_xlfn.XLOOKUP(Table3[[#This Row],[Cuenta]],Table8[Nombre Cuenta ()],Table8[Nivel 2],"",0)</f>
        <v/>
      </c>
      <c r="T770" t="str">
        <f>_xlfn.XLOOKUP(Table3[[#This Row],[Cuenta]],Table8[Nombre Cuenta ()],Table8[Nivel 3],"",0)</f>
        <v/>
      </c>
      <c r="U770">
        <v>1252</v>
      </c>
      <c r="V770" t="str">
        <f>_xlfn.XLOOKUP(Table3[[#This Row],[Cuenta]],Estructura_Balance[Nombre Cuenta ()],Estructura_Balance[Niveles:2],"",0)</f>
        <v/>
      </c>
      <c r="W770" t="str">
        <f>_xlfn.XLOOKUP(Table3[[#This Row],[Cuenta]],Estructura_Balance[Nombre Cuenta ()],Estructura_Balance[Niveles:3],"",0)</f>
        <v/>
      </c>
      <c r="X770" t="str">
        <f>_xlfn.XLOOKUP(Table3[[#This Row],[Cuenta]],Estructura_Balance[Nombre Cuenta ()],Estructura_Balance[Grupos],"Grupo 1",0)</f>
        <v>Grupo 1</v>
      </c>
      <c r="Y770" t="str">
        <f>+Table3[[#This Row],[BS_Nivel_1]]</f>
        <v/>
      </c>
    </row>
    <row r="771" spans="1:25">
      <c r="A771">
        <f>+'Libro Diario'!F985</f>
        <v>0</v>
      </c>
      <c r="B771" s="144">
        <f>VALUE(IF(+'Libro Diario'!G985="","01/01/2025",+'Libro Diario'!G985))</f>
        <v>45658</v>
      </c>
      <c r="C771">
        <f>IF(ISNUMBER(+IF(IFERROR(VALUE(MID('Libro Diario'!C985,1,4)),0)&lt;&gt;0,'Libro Diario'!C985,0))=FALSE,'Libro Diario'!C985,0)</f>
        <v>0</v>
      </c>
      <c r="D771" s="145">
        <f>+'Libro Diario'!B985</f>
        <v>0</v>
      </c>
      <c r="E771" s="139" t="s">
        <v>445</v>
      </c>
      <c r="F771" t="str">
        <f t="shared" ref="F771:F834" si="36">+IF(C771=0,"Sin Mov.","Con Mov.")</f>
        <v>Sin Mov.</v>
      </c>
      <c r="G771" t="str">
        <f>IF(+'Libro Diario'!H985=0,"",+'Libro Diario'!H985)</f>
        <v/>
      </c>
      <c r="H771" t="str">
        <f>IF(+'Libro Diario'!I985=0,"",+'Libro Diario'!I985)</f>
        <v/>
      </c>
      <c r="I771" t="str">
        <f>+IF(Table3[[#This Row],[Tipo Movimiento]]="Estructura Balance y PyG","Excluir","Incluir")</f>
        <v>Incluir</v>
      </c>
      <c r="J771" s="153">
        <f>+IF(Table3[[#This Row],[Sin cuenta]]="Con Mov.",(IF(Table3[[#This Row],[Movimiento]]="Debe",Table3[[#This Row],[Importe]],IF(Table3[[#This Row],[Movimiento]]="Haber",Table3[[#This Row],[Importe]]*-1,0))),0)</f>
        <v>0</v>
      </c>
      <c r="K771" s="145">
        <f t="shared" ref="K771:K834" si="37">+IF(E771="Debe",D771,"")</f>
        <v>0</v>
      </c>
      <c r="L771" s="145" t="str">
        <f t="shared" ref="L771:L834" si="38">+IF(E771="Haber",D771,"")</f>
        <v/>
      </c>
      <c r="M771" t="str">
        <f>_xlfn.XLOOKUP(Table3[[#This Row],[Cuenta]],Estructura_Balance[Nombre Cuenta ()],Estructura_Balance[Grupo],"",0)</f>
        <v/>
      </c>
      <c r="N771" t="str">
        <f>_xlfn.XLOOKUP(Table3[[#This Row],[Cuenta]],Estructura_Balance[Nombre Cuenta ()],Estructura_Balance[Nivel 1],"",0)</f>
        <v/>
      </c>
      <c r="O771" t="str">
        <f>_xlfn.XLOOKUP(Table3[[#This Row],[Cuenta]],Estructura_Balance[Nombre Cuenta ()],Estructura_Balance[Nivel 2],"",0)</f>
        <v/>
      </c>
      <c r="P771" t="str">
        <f>_xlfn.XLOOKUP(Table3[[#This Row],[Cuenta]],Estructura_Balance[Nombre Cuenta ()],Estructura_Balance[Nivel 3],"",0)</f>
        <v/>
      </c>
      <c r="Q771" t="str">
        <f>_xlfn.XLOOKUP(Table3[[#This Row],[Cuenta]],Estructura_Balance[Nombre Cuenta ()],Estructura_Balance[Nivel 4],"",0)</f>
        <v/>
      </c>
      <c r="R771" t="str">
        <f>_xlfn.XLOOKUP(Table3[[#This Row],[Cuenta]],Table8[Nombre Cuenta ()],Table8[Nivel 1],"",0)</f>
        <v/>
      </c>
      <c r="S771" t="str">
        <f>_xlfn.XLOOKUP(Table3[[#This Row],[Cuenta]],Table8[Nombre Cuenta ()],Table8[Nivel 2],"",0)</f>
        <v/>
      </c>
      <c r="T771" t="str">
        <f>_xlfn.XLOOKUP(Table3[[#This Row],[Cuenta]],Table8[Nombre Cuenta ()],Table8[Nivel 3],"",0)</f>
        <v/>
      </c>
      <c r="U771">
        <v>1253</v>
      </c>
      <c r="V771" t="str">
        <f>_xlfn.XLOOKUP(Table3[[#This Row],[Cuenta]],Estructura_Balance[Nombre Cuenta ()],Estructura_Balance[Niveles:2],"",0)</f>
        <v/>
      </c>
      <c r="W771" t="str">
        <f>_xlfn.XLOOKUP(Table3[[#This Row],[Cuenta]],Estructura_Balance[Nombre Cuenta ()],Estructura_Balance[Niveles:3],"",0)</f>
        <v/>
      </c>
      <c r="X771" t="str">
        <f>_xlfn.XLOOKUP(Table3[[#This Row],[Cuenta]],Estructura_Balance[Nombre Cuenta ()],Estructura_Balance[Grupos],"Grupo 1",0)</f>
        <v>Grupo 1</v>
      </c>
      <c r="Y771" t="str">
        <f>+Table3[[#This Row],[BS_Nivel_1]]</f>
        <v/>
      </c>
    </row>
    <row r="772" spans="1:25">
      <c r="A772">
        <f>+'Libro Diario'!F986</f>
        <v>0</v>
      </c>
      <c r="B772" s="144">
        <f>VALUE(IF(+'Libro Diario'!G986="","01/01/2025",+'Libro Diario'!G986))</f>
        <v>45658</v>
      </c>
      <c r="C772">
        <f>IF(ISNUMBER(+IF(IFERROR(VALUE(MID('Libro Diario'!C986,1,4)),0)&lt;&gt;0,'Libro Diario'!C986,0))=FALSE,'Libro Diario'!C986,0)</f>
        <v>0</v>
      </c>
      <c r="D772" s="145">
        <f>+'Libro Diario'!B986</f>
        <v>0</v>
      </c>
      <c r="E772" s="139" t="s">
        <v>445</v>
      </c>
      <c r="F772" t="str">
        <f t="shared" si="36"/>
        <v>Sin Mov.</v>
      </c>
      <c r="G772" t="str">
        <f>IF(+'Libro Diario'!H986=0,"",+'Libro Diario'!H986)</f>
        <v/>
      </c>
      <c r="H772" t="str">
        <f>IF(+'Libro Diario'!I986=0,"",+'Libro Diario'!I986)</f>
        <v/>
      </c>
      <c r="I772" t="str">
        <f>+IF(Table3[[#This Row],[Tipo Movimiento]]="Estructura Balance y PyG","Excluir","Incluir")</f>
        <v>Incluir</v>
      </c>
      <c r="J772" s="153">
        <f>+IF(Table3[[#This Row],[Sin cuenta]]="Con Mov.",(IF(Table3[[#This Row],[Movimiento]]="Debe",Table3[[#This Row],[Importe]],IF(Table3[[#This Row],[Movimiento]]="Haber",Table3[[#This Row],[Importe]]*-1,0))),0)</f>
        <v>0</v>
      </c>
      <c r="K772" s="145">
        <f t="shared" si="37"/>
        <v>0</v>
      </c>
      <c r="L772" s="145" t="str">
        <f t="shared" si="38"/>
        <v/>
      </c>
      <c r="M772" t="str">
        <f>_xlfn.XLOOKUP(Table3[[#This Row],[Cuenta]],Estructura_Balance[Nombre Cuenta ()],Estructura_Balance[Grupo],"",0)</f>
        <v/>
      </c>
      <c r="N772" t="str">
        <f>_xlfn.XLOOKUP(Table3[[#This Row],[Cuenta]],Estructura_Balance[Nombre Cuenta ()],Estructura_Balance[Nivel 1],"",0)</f>
        <v/>
      </c>
      <c r="O772" t="str">
        <f>_xlfn.XLOOKUP(Table3[[#This Row],[Cuenta]],Estructura_Balance[Nombre Cuenta ()],Estructura_Balance[Nivel 2],"",0)</f>
        <v/>
      </c>
      <c r="P772" t="str">
        <f>_xlfn.XLOOKUP(Table3[[#This Row],[Cuenta]],Estructura_Balance[Nombre Cuenta ()],Estructura_Balance[Nivel 3],"",0)</f>
        <v/>
      </c>
      <c r="Q772" t="str">
        <f>_xlfn.XLOOKUP(Table3[[#This Row],[Cuenta]],Estructura_Balance[Nombre Cuenta ()],Estructura_Balance[Nivel 4],"",0)</f>
        <v/>
      </c>
      <c r="R772" t="str">
        <f>_xlfn.XLOOKUP(Table3[[#This Row],[Cuenta]],Table8[Nombre Cuenta ()],Table8[Nivel 1],"",0)</f>
        <v/>
      </c>
      <c r="S772" t="str">
        <f>_xlfn.XLOOKUP(Table3[[#This Row],[Cuenta]],Table8[Nombre Cuenta ()],Table8[Nivel 2],"",0)</f>
        <v/>
      </c>
      <c r="T772" t="str">
        <f>_xlfn.XLOOKUP(Table3[[#This Row],[Cuenta]],Table8[Nombre Cuenta ()],Table8[Nivel 3],"",0)</f>
        <v/>
      </c>
      <c r="U772">
        <v>1254</v>
      </c>
      <c r="V772" t="str">
        <f>_xlfn.XLOOKUP(Table3[[#This Row],[Cuenta]],Estructura_Balance[Nombre Cuenta ()],Estructura_Balance[Niveles:2],"",0)</f>
        <v/>
      </c>
      <c r="W772" t="str">
        <f>_xlfn.XLOOKUP(Table3[[#This Row],[Cuenta]],Estructura_Balance[Nombre Cuenta ()],Estructura_Balance[Niveles:3],"",0)</f>
        <v/>
      </c>
      <c r="X772" t="str">
        <f>_xlfn.XLOOKUP(Table3[[#This Row],[Cuenta]],Estructura_Balance[Nombre Cuenta ()],Estructura_Balance[Grupos],"Grupo 1",0)</f>
        <v>Grupo 1</v>
      </c>
      <c r="Y772" t="str">
        <f>+Table3[[#This Row],[BS_Nivel_1]]</f>
        <v/>
      </c>
    </row>
    <row r="773" spans="1:25">
      <c r="A773">
        <f>+'Libro Diario'!F987</f>
        <v>0</v>
      </c>
      <c r="B773" s="144">
        <f>VALUE(IF(+'Libro Diario'!G987="","01/01/2025",+'Libro Diario'!G987))</f>
        <v>45658</v>
      </c>
      <c r="C773">
        <f>IF(ISNUMBER(+IF(IFERROR(VALUE(MID('Libro Diario'!C987,1,4)),0)&lt;&gt;0,'Libro Diario'!C987,0))=FALSE,'Libro Diario'!C987,0)</f>
        <v>0</v>
      </c>
      <c r="D773" s="145">
        <f>+'Libro Diario'!B987</f>
        <v>0</v>
      </c>
      <c r="E773" s="139" t="s">
        <v>445</v>
      </c>
      <c r="F773" t="str">
        <f t="shared" si="36"/>
        <v>Sin Mov.</v>
      </c>
      <c r="G773" t="str">
        <f>IF(+'Libro Diario'!H987=0,"",+'Libro Diario'!H987)</f>
        <v/>
      </c>
      <c r="H773" t="str">
        <f>IF(+'Libro Diario'!I987=0,"",+'Libro Diario'!I987)</f>
        <v/>
      </c>
      <c r="I773" t="str">
        <f>+IF(Table3[[#This Row],[Tipo Movimiento]]="Estructura Balance y PyG","Excluir","Incluir")</f>
        <v>Incluir</v>
      </c>
      <c r="J773" s="153">
        <f>+IF(Table3[[#This Row],[Sin cuenta]]="Con Mov.",(IF(Table3[[#This Row],[Movimiento]]="Debe",Table3[[#This Row],[Importe]],IF(Table3[[#This Row],[Movimiento]]="Haber",Table3[[#This Row],[Importe]]*-1,0))),0)</f>
        <v>0</v>
      </c>
      <c r="K773" s="145">
        <f t="shared" si="37"/>
        <v>0</v>
      </c>
      <c r="L773" s="145" t="str">
        <f t="shared" si="38"/>
        <v/>
      </c>
      <c r="M773" t="str">
        <f>_xlfn.XLOOKUP(Table3[[#This Row],[Cuenta]],Estructura_Balance[Nombre Cuenta ()],Estructura_Balance[Grupo],"",0)</f>
        <v/>
      </c>
      <c r="N773" t="str">
        <f>_xlfn.XLOOKUP(Table3[[#This Row],[Cuenta]],Estructura_Balance[Nombre Cuenta ()],Estructura_Balance[Nivel 1],"",0)</f>
        <v/>
      </c>
      <c r="O773" t="str">
        <f>_xlfn.XLOOKUP(Table3[[#This Row],[Cuenta]],Estructura_Balance[Nombre Cuenta ()],Estructura_Balance[Nivel 2],"",0)</f>
        <v/>
      </c>
      <c r="P773" t="str">
        <f>_xlfn.XLOOKUP(Table3[[#This Row],[Cuenta]],Estructura_Balance[Nombre Cuenta ()],Estructura_Balance[Nivel 3],"",0)</f>
        <v/>
      </c>
      <c r="Q773" t="str">
        <f>_xlfn.XLOOKUP(Table3[[#This Row],[Cuenta]],Estructura_Balance[Nombre Cuenta ()],Estructura_Balance[Nivel 4],"",0)</f>
        <v/>
      </c>
      <c r="R773" t="str">
        <f>_xlfn.XLOOKUP(Table3[[#This Row],[Cuenta]],Table8[Nombre Cuenta ()],Table8[Nivel 1],"",0)</f>
        <v/>
      </c>
      <c r="S773" t="str">
        <f>_xlfn.XLOOKUP(Table3[[#This Row],[Cuenta]],Table8[Nombre Cuenta ()],Table8[Nivel 2],"",0)</f>
        <v/>
      </c>
      <c r="T773" t="str">
        <f>_xlfn.XLOOKUP(Table3[[#This Row],[Cuenta]],Table8[Nombre Cuenta ()],Table8[Nivel 3],"",0)</f>
        <v/>
      </c>
      <c r="U773">
        <v>1257</v>
      </c>
      <c r="V773" t="str">
        <f>_xlfn.XLOOKUP(Table3[[#This Row],[Cuenta]],Estructura_Balance[Nombre Cuenta ()],Estructura_Balance[Niveles:2],"",0)</f>
        <v/>
      </c>
      <c r="W773" t="str">
        <f>_xlfn.XLOOKUP(Table3[[#This Row],[Cuenta]],Estructura_Balance[Nombre Cuenta ()],Estructura_Balance[Niveles:3],"",0)</f>
        <v/>
      </c>
      <c r="X773" t="str">
        <f>_xlfn.XLOOKUP(Table3[[#This Row],[Cuenta]],Estructura_Balance[Nombre Cuenta ()],Estructura_Balance[Grupos],"Grupo 1",0)</f>
        <v>Grupo 1</v>
      </c>
      <c r="Y773" t="str">
        <f>+Table3[[#This Row],[BS_Nivel_1]]</f>
        <v/>
      </c>
    </row>
    <row r="774" spans="1:25">
      <c r="A774">
        <f>+'Libro Diario'!F988</f>
        <v>0</v>
      </c>
      <c r="B774" s="144">
        <f>VALUE(IF(+'Libro Diario'!G988="","01/01/2025",+'Libro Diario'!G988))</f>
        <v>45658</v>
      </c>
      <c r="C774">
        <f>IF(ISNUMBER(+IF(IFERROR(VALUE(MID('Libro Diario'!C988,1,4)),0)&lt;&gt;0,'Libro Diario'!C988,0))=FALSE,'Libro Diario'!C988,0)</f>
        <v>0</v>
      </c>
      <c r="D774" s="145">
        <f>+'Libro Diario'!B988</f>
        <v>0</v>
      </c>
      <c r="E774" s="139" t="s">
        <v>445</v>
      </c>
      <c r="F774" t="str">
        <f t="shared" si="36"/>
        <v>Sin Mov.</v>
      </c>
      <c r="G774" t="str">
        <f>IF(+'Libro Diario'!H988=0,"",+'Libro Diario'!H988)</f>
        <v/>
      </c>
      <c r="H774" t="str">
        <f>IF(+'Libro Diario'!I988=0,"",+'Libro Diario'!I988)</f>
        <v/>
      </c>
      <c r="I774" t="str">
        <f>+IF(Table3[[#This Row],[Tipo Movimiento]]="Estructura Balance y PyG","Excluir","Incluir")</f>
        <v>Incluir</v>
      </c>
      <c r="J774" s="153">
        <f>+IF(Table3[[#This Row],[Sin cuenta]]="Con Mov.",(IF(Table3[[#This Row],[Movimiento]]="Debe",Table3[[#This Row],[Importe]],IF(Table3[[#This Row],[Movimiento]]="Haber",Table3[[#This Row],[Importe]]*-1,0))),0)</f>
        <v>0</v>
      </c>
      <c r="K774" s="145">
        <f t="shared" si="37"/>
        <v>0</v>
      </c>
      <c r="L774" s="145" t="str">
        <f t="shared" si="38"/>
        <v/>
      </c>
      <c r="M774" t="str">
        <f>_xlfn.XLOOKUP(Table3[[#This Row],[Cuenta]],Estructura_Balance[Nombre Cuenta ()],Estructura_Balance[Grupo],"",0)</f>
        <v/>
      </c>
      <c r="N774" t="str">
        <f>_xlfn.XLOOKUP(Table3[[#This Row],[Cuenta]],Estructura_Balance[Nombre Cuenta ()],Estructura_Balance[Nivel 1],"",0)</f>
        <v/>
      </c>
      <c r="O774" t="str">
        <f>_xlfn.XLOOKUP(Table3[[#This Row],[Cuenta]],Estructura_Balance[Nombre Cuenta ()],Estructura_Balance[Nivel 2],"",0)</f>
        <v/>
      </c>
      <c r="P774" t="str">
        <f>_xlfn.XLOOKUP(Table3[[#This Row],[Cuenta]],Estructura_Balance[Nombre Cuenta ()],Estructura_Balance[Nivel 3],"",0)</f>
        <v/>
      </c>
      <c r="Q774" t="str">
        <f>_xlfn.XLOOKUP(Table3[[#This Row],[Cuenta]],Estructura_Balance[Nombre Cuenta ()],Estructura_Balance[Nivel 4],"",0)</f>
        <v/>
      </c>
      <c r="R774" t="str">
        <f>_xlfn.XLOOKUP(Table3[[#This Row],[Cuenta]],Table8[Nombre Cuenta ()],Table8[Nivel 1],"",0)</f>
        <v/>
      </c>
      <c r="S774" t="str">
        <f>_xlfn.XLOOKUP(Table3[[#This Row],[Cuenta]],Table8[Nombre Cuenta ()],Table8[Nivel 2],"",0)</f>
        <v/>
      </c>
      <c r="T774" t="str">
        <f>_xlfn.XLOOKUP(Table3[[#This Row],[Cuenta]],Table8[Nombre Cuenta ()],Table8[Nivel 3],"",0)</f>
        <v/>
      </c>
      <c r="U774">
        <v>1258</v>
      </c>
      <c r="V774" t="str">
        <f>_xlfn.XLOOKUP(Table3[[#This Row],[Cuenta]],Estructura_Balance[Nombre Cuenta ()],Estructura_Balance[Niveles:2],"",0)</f>
        <v/>
      </c>
      <c r="W774" t="str">
        <f>_xlfn.XLOOKUP(Table3[[#This Row],[Cuenta]],Estructura_Balance[Nombre Cuenta ()],Estructura_Balance[Niveles:3],"",0)</f>
        <v/>
      </c>
      <c r="X774" t="str">
        <f>_xlfn.XLOOKUP(Table3[[#This Row],[Cuenta]],Estructura_Balance[Nombre Cuenta ()],Estructura_Balance[Grupos],"Grupo 1",0)</f>
        <v>Grupo 1</v>
      </c>
      <c r="Y774" t="str">
        <f>+Table3[[#This Row],[BS_Nivel_1]]</f>
        <v/>
      </c>
    </row>
    <row r="775" spans="1:25">
      <c r="A775">
        <f>+'Libro Diario'!F989</f>
        <v>0</v>
      </c>
      <c r="B775" s="144">
        <f>VALUE(IF(+'Libro Diario'!G989="","01/01/2025",+'Libro Diario'!G989))</f>
        <v>45658</v>
      </c>
      <c r="C775">
        <f>IF(ISNUMBER(+IF(IFERROR(VALUE(MID('Libro Diario'!C989,1,4)),0)&lt;&gt;0,'Libro Diario'!C989,0))=FALSE,'Libro Diario'!C989,0)</f>
        <v>0</v>
      </c>
      <c r="D775" s="145">
        <f>+'Libro Diario'!B989</f>
        <v>0</v>
      </c>
      <c r="E775" s="139" t="s">
        <v>445</v>
      </c>
      <c r="F775" t="str">
        <f t="shared" si="36"/>
        <v>Sin Mov.</v>
      </c>
      <c r="G775" t="str">
        <f>IF(+'Libro Diario'!H989=0,"",+'Libro Diario'!H989)</f>
        <v/>
      </c>
      <c r="H775" t="str">
        <f>IF(+'Libro Diario'!I989=0,"",+'Libro Diario'!I989)</f>
        <v/>
      </c>
      <c r="I775" t="str">
        <f>+IF(Table3[[#This Row],[Tipo Movimiento]]="Estructura Balance y PyG","Excluir","Incluir")</f>
        <v>Incluir</v>
      </c>
      <c r="J775" s="153">
        <f>+IF(Table3[[#This Row],[Sin cuenta]]="Con Mov.",(IF(Table3[[#This Row],[Movimiento]]="Debe",Table3[[#This Row],[Importe]],IF(Table3[[#This Row],[Movimiento]]="Haber",Table3[[#This Row],[Importe]]*-1,0))),0)</f>
        <v>0</v>
      </c>
      <c r="K775" s="145">
        <f t="shared" si="37"/>
        <v>0</v>
      </c>
      <c r="L775" s="145" t="str">
        <f t="shared" si="38"/>
        <v/>
      </c>
      <c r="M775" t="str">
        <f>_xlfn.XLOOKUP(Table3[[#This Row],[Cuenta]],Estructura_Balance[Nombre Cuenta ()],Estructura_Balance[Grupo],"",0)</f>
        <v/>
      </c>
      <c r="N775" t="str">
        <f>_xlfn.XLOOKUP(Table3[[#This Row],[Cuenta]],Estructura_Balance[Nombre Cuenta ()],Estructura_Balance[Nivel 1],"",0)</f>
        <v/>
      </c>
      <c r="O775" t="str">
        <f>_xlfn.XLOOKUP(Table3[[#This Row],[Cuenta]],Estructura_Balance[Nombre Cuenta ()],Estructura_Balance[Nivel 2],"",0)</f>
        <v/>
      </c>
      <c r="P775" t="str">
        <f>_xlfn.XLOOKUP(Table3[[#This Row],[Cuenta]],Estructura_Balance[Nombre Cuenta ()],Estructura_Balance[Nivel 3],"",0)</f>
        <v/>
      </c>
      <c r="Q775" t="str">
        <f>_xlfn.XLOOKUP(Table3[[#This Row],[Cuenta]],Estructura_Balance[Nombre Cuenta ()],Estructura_Balance[Nivel 4],"",0)</f>
        <v/>
      </c>
      <c r="R775" t="str">
        <f>_xlfn.XLOOKUP(Table3[[#This Row],[Cuenta]],Table8[Nombre Cuenta ()],Table8[Nivel 1],"",0)</f>
        <v/>
      </c>
      <c r="S775" t="str">
        <f>_xlfn.XLOOKUP(Table3[[#This Row],[Cuenta]],Table8[Nombre Cuenta ()],Table8[Nivel 2],"",0)</f>
        <v/>
      </c>
      <c r="T775" t="str">
        <f>_xlfn.XLOOKUP(Table3[[#This Row],[Cuenta]],Table8[Nombre Cuenta ()],Table8[Nivel 3],"",0)</f>
        <v/>
      </c>
      <c r="U775">
        <v>1259</v>
      </c>
      <c r="V775" t="str">
        <f>_xlfn.XLOOKUP(Table3[[#This Row],[Cuenta]],Estructura_Balance[Nombre Cuenta ()],Estructura_Balance[Niveles:2],"",0)</f>
        <v/>
      </c>
      <c r="W775" t="str">
        <f>_xlfn.XLOOKUP(Table3[[#This Row],[Cuenta]],Estructura_Balance[Nombre Cuenta ()],Estructura_Balance[Niveles:3],"",0)</f>
        <v/>
      </c>
      <c r="X775" t="str">
        <f>_xlfn.XLOOKUP(Table3[[#This Row],[Cuenta]],Estructura_Balance[Nombre Cuenta ()],Estructura_Balance[Grupos],"Grupo 1",0)</f>
        <v>Grupo 1</v>
      </c>
      <c r="Y775" t="str">
        <f>+Table3[[#This Row],[BS_Nivel_1]]</f>
        <v/>
      </c>
    </row>
    <row r="776" spans="1:25">
      <c r="A776">
        <f>+'Libro Diario'!F990</f>
        <v>0</v>
      </c>
      <c r="B776" s="144">
        <f>VALUE(IF(+'Libro Diario'!G990="","01/01/2025",+'Libro Diario'!G990))</f>
        <v>45658</v>
      </c>
      <c r="C776">
        <f>IF(ISNUMBER(+IF(IFERROR(VALUE(MID('Libro Diario'!C990,1,4)),0)&lt;&gt;0,'Libro Diario'!C990,0))=FALSE,'Libro Diario'!C990,0)</f>
        <v>0</v>
      </c>
      <c r="D776" s="145">
        <f>+'Libro Diario'!B990</f>
        <v>0</v>
      </c>
      <c r="E776" s="139" t="s">
        <v>445</v>
      </c>
      <c r="F776" t="str">
        <f t="shared" si="36"/>
        <v>Sin Mov.</v>
      </c>
      <c r="G776" t="str">
        <f>IF(+'Libro Diario'!H990=0,"",+'Libro Diario'!H990)</f>
        <v/>
      </c>
      <c r="H776" t="str">
        <f>IF(+'Libro Diario'!I990=0,"",+'Libro Diario'!I990)</f>
        <v/>
      </c>
      <c r="I776" t="str">
        <f>+IF(Table3[[#This Row],[Tipo Movimiento]]="Estructura Balance y PyG","Excluir","Incluir")</f>
        <v>Incluir</v>
      </c>
      <c r="J776" s="153">
        <f>+IF(Table3[[#This Row],[Sin cuenta]]="Con Mov.",(IF(Table3[[#This Row],[Movimiento]]="Debe",Table3[[#This Row],[Importe]],IF(Table3[[#This Row],[Movimiento]]="Haber",Table3[[#This Row],[Importe]]*-1,0))),0)</f>
        <v>0</v>
      </c>
      <c r="K776" s="145">
        <f t="shared" si="37"/>
        <v>0</v>
      </c>
      <c r="L776" s="145" t="str">
        <f t="shared" si="38"/>
        <v/>
      </c>
      <c r="M776" t="str">
        <f>_xlfn.XLOOKUP(Table3[[#This Row],[Cuenta]],Estructura_Balance[Nombre Cuenta ()],Estructura_Balance[Grupo],"",0)</f>
        <v/>
      </c>
      <c r="N776" t="str">
        <f>_xlfn.XLOOKUP(Table3[[#This Row],[Cuenta]],Estructura_Balance[Nombre Cuenta ()],Estructura_Balance[Nivel 1],"",0)</f>
        <v/>
      </c>
      <c r="O776" t="str">
        <f>_xlfn.XLOOKUP(Table3[[#This Row],[Cuenta]],Estructura_Balance[Nombre Cuenta ()],Estructura_Balance[Nivel 2],"",0)</f>
        <v/>
      </c>
      <c r="P776" t="str">
        <f>_xlfn.XLOOKUP(Table3[[#This Row],[Cuenta]],Estructura_Balance[Nombre Cuenta ()],Estructura_Balance[Nivel 3],"",0)</f>
        <v/>
      </c>
      <c r="Q776" t="str">
        <f>_xlfn.XLOOKUP(Table3[[#This Row],[Cuenta]],Estructura_Balance[Nombre Cuenta ()],Estructura_Balance[Nivel 4],"",0)</f>
        <v/>
      </c>
      <c r="R776" t="str">
        <f>_xlfn.XLOOKUP(Table3[[#This Row],[Cuenta]],Table8[Nombre Cuenta ()],Table8[Nivel 1],"",0)</f>
        <v/>
      </c>
      <c r="S776" t="str">
        <f>_xlfn.XLOOKUP(Table3[[#This Row],[Cuenta]],Table8[Nombre Cuenta ()],Table8[Nivel 2],"",0)</f>
        <v/>
      </c>
      <c r="T776" t="str">
        <f>_xlfn.XLOOKUP(Table3[[#This Row],[Cuenta]],Table8[Nombre Cuenta ()],Table8[Nivel 3],"",0)</f>
        <v/>
      </c>
      <c r="U776">
        <v>1260</v>
      </c>
      <c r="V776" t="str">
        <f>_xlfn.XLOOKUP(Table3[[#This Row],[Cuenta]],Estructura_Balance[Nombre Cuenta ()],Estructura_Balance[Niveles:2],"",0)</f>
        <v/>
      </c>
      <c r="W776" t="str">
        <f>_xlfn.XLOOKUP(Table3[[#This Row],[Cuenta]],Estructura_Balance[Nombre Cuenta ()],Estructura_Balance[Niveles:3],"",0)</f>
        <v/>
      </c>
      <c r="X776" t="str">
        <f>_xlfn.XLOOKUP(Table3[[#This Row],[Cuenta]],Estructura_Balance[Nombre Cuenta ()],Estructura_Balance[Grupos],"Grupo 1",0)</f>
        <v>Grupo 1</v>
      </c>
      <c r="Y776" t="str">
        <f>+Table3[[#This Row],[BS_Nivel_1]]</f>
        <v/>
      </c>
    </row>
    <row r="777" spans="1:25">
      <c r="A777">
        <f>+'Libro Diario'!F991</f>
        <v>0</v>
      </c>
      <c r="B777" s="144">
        <f>VALUE(IF(+'Libro Diario'!G991="","01/01/2025",+'Libro Diario'!G991))</f>
        <v>45658</v>
      </c>
      <c r="C777">
        <f>IF(ISNUMBER(+IF(IFERROR(VALUE(MID('Libro Diario'!C991,1,4)),0)&lt;&gt;0,'Libro Diario'!C991,0))=FALSE,'Libro Diario'!C991,0)</f>
        <v>0</v>
      </c>
      <c r="D777" s="145">
        <f>+'Libro Diario'!B991</f>
        <v>0</v>
      </c>
      <c r="E777" s="139" t="s">
        <v>445</v>
      </c>
      <c r="F777" t="str">
        <f t="shared" si="36"/>
        <v>Sin Mov.</v>
      </c>
      <c r="G777" t="str">
        <f>IF(+'Libro Diario'!H991=0,"",+'Libro Diario'!H991)</f>
        <v/>
      </c>
      <c r="H777" t="str">
        <f>IF(+'Libro Diario'!I991=0,"",+'Libro Diario'!I991)</f>
        <v/>
      </c>
      <c r="I777" t="str">
        <f>+IF(Table3[[#This Row],[Tipo Movimiento]]="Estructura Balance y PyG","Excluir","Incluir")</f>
        <v>Incluir</v>
      </c>
      <c r="J777" s="153">
        <f>+IF(Table3[[#This Row],[Sin cuenta]]="Con Mov.",(IF(Table3[[#This Row],[Movimiento]]="Debe",Table3[[#This Row],[Importe]],IF(Table3[[#This Row],[Movimiento]]="Haber",Table3[[#This Row],[Importe]]*-1,0))),0)</f>
        <v>0</v>
      </c>
      <c r="K777" s="145">
        <f t="shared" si="37"/>
        <v>0</v>
      </c>
      <c r="L777" s="145" t="str">
        <f t="shared" si="38"/>
        <v/>
      </c>
      <c r="M777" t="str">
        <f>_xlfn.XLOOKUP(Table3[[#This Row],[Cuenta]],Estructura_Balance[Nombre Cuenta ()],Estructura_Balance[Grupo],"",0)</f>
        <v/>
      </c>
      <c r="N777" t="str">
        <f>_xlfn.XLOOKUP(Table3[[#This Row],[Cuenta]],Estructura_Balance[Nombre Cuenta ()],Estructura_Balance[Nivel 1],"",0)</f>
        <v/>
      </c>
      <c r="O777" t="str">
        <f>_xlfn.XLOOKUP(Table3[[#This Row],[Cuenta]],Estructura_Balance[Nombre Cuenta ()],Estructura_Balance[Nivel 2],"",0)</f>
        <v/>
      </c>
      <c r="P777" t="str">
        <f>_xlfn.XLOOKUP(Table3[[#This Row],[Cuenta]],Estructura_Balance[Nombre Cuenta ()],Estructura_Balance[Nivel 3],"",0)</f>
        <v/>
      </c>
      <c r="Q777" t="str">
        <f>_xlfn.XLOOKUP(Table3[[#This Row],[Cuenta]],Estructura_Balance[Nombre Cuenta ()],Estructura_Balance[Nivel 4],"",0)</f>
        <v/>
      </c>
      <c r="R777" t="str">
        <f>_xlfn.XLOOKUP(Table3[[#This Row],[Cuenta]],Table8[Nombre Cuenta ()],Table8[Nivel 1],"",0)</f>
        <v/>
      </c>
      <c r="S777" t="str">
        <f>_xlfn.XLOOKUP(Table3[[#This Row],[Cuenta]],Table8[Nombre Cuenta ()],Table8[Nivel 2],"",0)</f>
        <v/>
      </c>
      <c r="T777" t="str">
        <f>_xlfn.XLOOKUP(Table3[[#This Row],[Cuenta]],Table8[Nombre Cuenta ()],Table8[Nivel 3],"",0)</f>
        <v/>
      </c>
      <c r="U777">
        <v>1261</v>
      </c>
      <c r="V777" t="str">
        <f>_xlfn.XLOOKUP(Table3[[#This Row],[Cuenta]],Estructura_Balance[Nombre Cuenta ()],Estructura_Balance[Niveles:2],"",0)</f>
        <v/>
      </c>
      <c r="W777" t="str">
        <f>_xlfn.XLOOKUP(Table3[[#This Row],[Cuenta]],Estructura_Balance[Nombre Cuenta ()],Estructura_Balance[Niveles:3],"",0)</f>
        <v/>
      </c>
      <c r="X777" t="str">
        <f>_xlfn.XLOOKUP(Table3[[#This Row],[Cuenta]],Estructura_Balance[Nombre Cuenta ()],Estructura_Balance[Grupos],"Grupo 1",0)</f>
        <v>Grupo 1</v>
      </c>
      <c r="Y777" t="str">
        <f>+Table3[[#This Row],[BS_Nivel_1]]</f>
        <v/>
      </c>
    </row>
    <row r="778" spans="1:25">
      <c r="A778">
        <f>+'Libro Diario'!F992</f>
        <v>0</v>
      </c>
      <c r="B778" s="144">
        <f>VALUE(IF(+'Libro Diario'!G992="","01/01/2025",+'Libro Diario'!G992))</f>
        <v>45658</v>
      </c>
      <c r="C778">
        <f>IF(ISNUMBER(+IF(IFERROR(VALUE(MID('Libro Diario'!C992,1,4)),0)&lt;&gt;0,'Libro Diario'!C992,0))=FALSE,'Libro Diario'!C992,0)</f>
        <v>0</v>
      </c>
      <c r="D778" s="145">
        <f>+'Libro Diario'!B992</f>
        <v>0</v>
      </c>
      <c r="E778" s="139" t="s">
        <v>445</v>
      </c>
      <c r="F778" t="str">
        <f t="shared" si="36"/>
        <v>Sin Mov.</v>
      </c>
      <c r="G778" t="str">
        <f>IF(+'Libro Diario'!H992=0,"",+'Libro Diario'!H992)</f>
        <v/>
      </c>
      <c r="H778" t="str">
        <f>IF(+'Libro Diario'!I992=0,"",+'Libro Diario'!I992)</f>
        <v/>
      </c>
      <c r="I778" t="str">
        <f>+IF(Table3[[#This Row],[Tipo Movimiento]]="Estructura Balance y PyG","Excluir","Incluir")</f>
        <v>Incluir</v>
      </c>
      <c r="J778" s="153">
        <f>+IF(Table3[[#This Row],[Sin cuenta]]="Con Mov.",(IF(Table3[[#This Row],[Movimiento]]="Debe",Table3[[#This Row],[Importe]],IF(Table3[[#This Row],[Movimiento]]="Haber",Table3[[#This Row],[Importe]]*-1,0))),0)</f>
        <v>0</v>
      </c>
      <c r="K778" s="145">
        <f t="shared" si="37"/>
        <v>0</v>
      </c>
      <c r="L778" s="145" t="str">
        <f t="shared" si="38"/>
        <v/>
      </c>
      <c r="M778" t="str">
        <f>_xlfn.XLOOKUP(Table3[[#This Row],[Cuenta]],Estructura_Balance[Nombre Cuenta ()],Estructura_Balance[Grupo],"",0)</f>
        <v/>
      </c>
      <c r="N778" t="str">
        <f>_xlfn.XLOOKUP(Table3[[#This Row],[Cuenta]],Estructura_Balance[Nombre Cuenta ()],Estructura_Balance[Nivel 1],"",0)</f>
        <v/>
      </c>
      <c r="O778" t="str">
        <f>_xlfn.XLOOKUP(Table3[[#This Row],[Cuenta]],Estructura_Balance[Nombre Cuenta ()],Estructura_Balance[Nivel 2],"",0)</f>
        <v/>
      </c>
      <c r="P778" t="str">
        <f>_xlfn.XLOOKUP(Table3[[#This Row],[Cuenta]],Estructura_Balance[Nombre Cuenta ()],Estructura_Balance[Nivel 3],"",0)</f>
        <v/>
      </c>
      <c r="Q778" t="str">
        <f>_xlfn.XLOOKUP(Table3[[#This Row],[Cuenta]],Estructura_Balance[Nombre Cuenta ()],Estructura_Balance[Nivel 4],"",0)</f>
        <v/>
      </c>
      <c r="R778" t="str">
        <f>_xlfn.XLOOKUP(Table3[[#This Row],[Cuenta]],Table8[Nombre Cuenta ()],Table8[Nivel 1],"",0)</f>
        <v/>
      </c>
      <c r="S778" t="str">
        <f>_xlfn.XLOOKUP(Table3[[#This Row],[Cuenta]],Table8[Nombre Cuenta ()],Table8[Nivel 2],"",0)</f>
        <v/>
      </c>
      <c r="T778" t="str">
        <f>_xlfn.XLOOKUP(Table3[[#This Row],[Cuenta]],Table8[Nombre Cuenta ()],Table8[Nivel 3],"",0)</f>
        <v/>
      </c>
      <c r="U778">
        <v>1264</v>
      </c>
      <c r="V778" t="str">
        <f>_xlfn.XLOOKUP(Table3[[#This Row],[Cuenta]],Estructura_Balance[Nombre Cuenta ()],Estructura_Balance[Niveles:2],"",0)</f>
        <v/>
      </c>
      <c r="W778" t="str">
        <f>_xlfn.XLOOKUP(Table3[[#This Row],[Cuenta]],Estructura_Balance[Nombre Cuenta ()],Estructura_Balance[Niveles:3],"",0)</f>
        <v/>
      </c>
      <c r="X778" t="str">
        <f>_xlfn.XLOOKUP(Table3[[#This Row],[Cuenta]],Estructura_Balance[Nombre Cuenta ()],Estructura_Balance[Grupos],"Grupo 1",0)</f>
        <v>Grupo 1</v>
      </c>
      <c r="Y778" t="str">
        <f>+Table3[[#This Row],[BS_Nivel_1]]</f>
        <v/>
      </c>
    </row>
    <row r="779" spans="1:25">
      <c r="A779">
        <f>+'Libro Diario'!F993</f>
        <v>0</v>
      </c>
      <c r="B779" s="144">
        <f>VALUE(IF(+'Libro Diario'!G993="","01/01/2025",+'Libro Diario'!G993))</f>
        <v>45658</v>
      </c>
      <c r="C779">
        <f>IF(ISNUMBER(+IF(IFERROR(VALUE(MID('Libro Diario'!C993,1,4)),0)&lt;&gt;0,'Libro Diario'!C993,0))=FALSE,'Libro Diario'!C993,0)</f>
        <v>0</v>
      </c>
      <c r="D779" s="145">
        <f>+'Libro Diario'!B993</f>
        <v>0</v>
      </c>
      <c r="E779" s="139" t="s">
        <v>445</v>
      </c>
      <c r="F779" t="str">
        <f t="shared" si="36"/>
        <v>Sin Mov.</v>
      </c>
      <c r="G779" t="str">
        <f>IF(+'Libro Diario'!H993=0,"",+'Libro Diario'!H993)</f>
        <v/>
      </c>
      <c r="H779" t="str">
        <f>IF(+'Libro Diario'!I993=0,"",+'Libro Diario'!I993)</f>
        <v/>
      </c>
      <c r="I779" t="str">
        <f>+IF(Table3[[#This Row],[Tipo Movimiento]]="Estructura Balance y PyG","Excluir","Incluir")</f>
        <v>Incluir</v>
      </c>
      <c r="J779" s="153">
        <f>+IF(Table3[[#This Row],[Sin cuenta]]="Con Mov.",(IF(Table3[[#This Row],[Movimiento]]="Debe",Table3[[#This Row],[Importe]],IF(Table3[[#This Row],[Movimiento]]="Haber",Table3[[#This Row],[Importe]]*-1,0))),0)</f>
        <v>0</v>
      </c>
      <c r="K779" s="145">
        <f t="shared" si="37"/>
        <v>0</v>
      </c>
      <c r="L779" s="145" t="str">
        <f t="shared" si="38"/>
        <v/>
      </c>
      <c r="M779" t="str">
        <f>_xlfn.XLOOKUP(Table3[[#This Row],[Cuenta]],Estructura_Balance[Nombre Cuenta ()],Estructura_Balance[Grupo],"",0)</f>
        <v/>
      </c>
      <c r="N779" t="str">
        <f>_xlfn.XLOOKUP(Table3[[#This Row],[Cuenta]],Estructura_Balance[Nombre Cuenta ()],Estructura_Balance[Nivel 1],"",0)</f>
        <v/>
      </c>
      <c r="O779" t="str">
        <f>_xlfn.XLOOKUP(Table3[[#This Row],[Cuenta]],Estructura_Balance[Nombre Cuenta ()],Estructura_Balance[Nivel 2],"",0)</f>
        <v/>
      </c>
      <c r="P779" t="str">
        <f>_xlfn.XLOOKUP(Table3[[#This Row],[Cuenta]],Estructura_Balance[Nombre Cuenta ()],Estructura_Balance[Nivel 3],"",0)</f>
        <v/>
      </c>
      <c r="Q779" t="str">
        <f>_xlfn.XLOOKUP(Table3[[#This Row],[Cuenta]],Estructura_Balance[Nombre Cuenta ()],Estructura_Balance[Nivel 4],"",0)</f>
        <v/>
      </c>
      <c r="R779" t="str">
        <f>_xlfn.XLOOKUP(Table3[[#This Row],[Cuenta]],Table8[Nombre Cuenta ()],Table8[Nivel 1],"",0)</f>
        <v/>
      </c>
      <c r="S779" t="str">
        <f>_xlfn.XLOOKUP(Table3[[#This Row],[Cuenta]],Table8[Nombre Cuenta ()],Table8[Nivel 2],"",0)</f>
        <v/>
      </c>
      <c r="T779" t="str">
        <f>_xlfn.XLOOKUP(Table3[[#This Row],[Cuenta]],Table8[Nombre Cuenta ()],Table8[Nivel 3],"",0)</f>
        <v/>
      </c>
      <c r="U779">
        <v>1265</v>
      </c>
      <c r="V779" t="str">
        <f>_xlfn.XLOOKUP(Table3[[#This Row],[Cuenta]],Estructura_Balance[Nombre Cuenta ()],Estructura_Balance[Niveles:2],"",0)</f>
        <v/>
      </c>
      <c r="W779" t="str">
        <f>_xlfn.XLOOKUP(Table3[[#This Row],[Cuenta]],Estructura_Balance[Nombre Cuenta ()],Estructura_Balance[Niveles:3],"",0)</f>
        <v/>
      </c>
      <c r="X779" t="str">
        <f>_xlfn.XLOOKUP(Table3[[#This Row],[Cuenta]],Estructura_Balance[Nombre Cuenta ()],Estructura_Balance[Grupos],"Grupo 1",0)</f>
        <v>Grupo 1</v>
      </c>
      <c r="Y779" t="str">
        <f>+Table3[[#This Row],[BS_Nivel_1]]</f>
        <v/>
      </c>
    </row>
    <row r="780" spans="1:25">
      <c r="A780">
        <f>+'Libro Diario'!F994</f>
        <v>0</v>
      </c>
      <c r="B780" s="144">
        <f>VALUE(IF(+'Libro Diario'!G994="","01/01/2025",+'Libro Diario'!G994))</f>
        <v>45658</v>
      </c>
      <c r="C780">
        <f>IF(ISNUMBER(+IF(IFERROR(VALUE(MID('Libro Diario'!C994,1,4)),0)&lt;&gt;0,'Libro Diario'!C994,0))=FALSE,'Libro Diario'!C994,0)</f>
        <v>0</v>
      </c>
      <c r="D780" s="145">
        <f>+'Libro Diario'!B994</f>
        <v>0</v>
      </c>
      <c r="E780" s="139" t="s">
        <v>445</v>
      </c>
      <c r="F780" t="str">
        <f t="shared" si="36"/>
        <v>Sin Mov.</v>
      </c>
      <c r="G780" t="str">
        <f>IF(+'Libro Diario'!H994=0,"",+'Libro Diario'!H994)</f>
        <v/>
      </c>
      <c r="H780" t="str">
        <f>IF(+'Libro Diario'!I994=0,"",+'Libro Diario'!I994)</f>
        <v/>
      </c>
      <c r="I780" t="str">
        <f>+IF(Table3[[#This Row],[Tipo Movimiento]]="Estructura Balance y PyG","Excluir","Incluir")</f>
        <v>Incluir</v>
      </c>
      <c r="J780" s="153">
        <f>+IF(Table3[[#This Row],[Sin cuenta]]="Con Mov.",(IF(Table3[[#This Row],[Movimiento]]="Debe",Table3[[#This Row],[Importe]],IF(Table3[[#This Row],[Movimiento]]="Haber",Table3[[#This Row],[Importe]]*-1,0))),0)</f>
        <v>0</v>
      </c>
      <c r="K780" s="145">
        <f t="shared" si="37"/>
        <v>0</v>
      </c>
      <c r="L780" s="145" t="str">
        <f t="shared" si="38"/>
        <v/>
      </c>
      <c r="M780" t="str">
        <f>_xlfn.XLOOKUP(Table3[[#This Row],[Cuenta]],Estructura_Balance[Nombre Cuenta ()],Estructura_Balance[Grupo],"",0)</f>
        <v/>
      </c>
      <c r="N780" t="str">
        <f>_xlfn.XLOOKUP(Table3[[#This Row],[Cuenta]],Estructura_Balance[Nombre Cuenta ()],Estructura_Balance[Nivel 1],"",0)</f>
        <v/>
      </c>
      <c r="O780" t="str">
        <f>_xlfn.XLOOKUP(Table3[[#This Row],[Cuenta]],Estructura_Balance[Nombre Cuenta ()],Estructura_Balance[Nivel 2],"",0)</f>
        <v/>
      </c>
      <c r="P780" t="str">
        <f>_xlfn.XLOOKUP(Table3[[#This Row],[Cuenta]],Estructura_Balance[Nombre Cuenta ()],Estructura_Balance[Nivel 3],"",0)</f>
        <v/>
      </c>
      <c r="Q780" t="str">
        <f>_xlfn.XLOOKUP(Table3[[#This Row],[Cuenta]],Estructura_Balance[Nombre Cuenta ()],Estructura_Balance[Nivel 4],"",0)</f>
        <v/>
      </c>
      <c r="R780" t="str">
        <f>_xlfn.XLOOKUP(Table3[[#This Row],[Cuenta]],Table8[Nombre Cuenta ()],Table8[Nivel 1],"",0)</f>
        <v/>
      </c>
      <c r="S780" t="str">
        <f>_xlfn.XLOOKUP(Table3[[#This Row],[Cuenta]],Table8[Nombre Cuenta ()],Table8[Nivel 2],"",0)</f>
        <v/>
      </c>
      <c r="T780" t="str">
        <f>_xlfn.XLOOKUP(Table3[[#This Row],[Cuenta]],Table8[Nombre Cuenta ()],Table8[Nivel 3],"",0)</f>
        <v/>
      </c>
      <c r="U780">
        <v>1266</v>
      </c>
      <c r="V780" t="str">
        <f>_xlfn.XLOOKUP(Table3[[#This Row],[Cuenta]],Estructura_Balance[Nombre Cuenta ()],Estructura_Balance[Niveles:2],"",0)</f>
        <v/>
      </c>
      <c r="W780" t="str">
        <f>_xlfn.XLOOKUP(Table3[[#This Row],[Cuenta]],Estructura_Balance[Nombre Cuenta ()],Estructura_Balance[Niveles:3],"",0)</f>
        <v/>
      </c>
      <c r="X780" t="str">
        <f>_xlfn.XLOOKUP(Table3[[#This Row],[Cuenta]],Estructura_Balance[Nombre Cuenta ()],Estructura_Balance[Grupos],"Grupo 1",0)</f>
        <v>Grupo 1</v>
      </c>
      <c r="Y780" t="str">
        <f>+Table3[[#This Row],[BS_Nivel_1]]</f>
        <v/>
      </c>
    </row>
    <row r="781" spans="1:25">
      <c r="A781">
        <f>+'Libro Diario'!F995</f>
        <v>0</v>
      </c>
      <c r="B781" s="144">
        <f>VALUE(IF(+'Libro Diario'!G995="","01/01/2025",+'Libro Diario'!G995))</f>
        <v>45658</v>
      </c>
      <c r="C781">
        <f>IF(ISNUMBER(+IF(IFERROR(VALUE(MID('Libro Diario'!C995,1,4)),0)&lt;&gt;0,'Libro Diario'!C995,0))=FALSE,'Libro Diario'!C995,0)</f>
        <v>0</v>
      </c>
      <c r="D781" s="145">
        <f>+'Libro Diario'!B995</f>
        <v>0</v>
      </c>
      <c r="E781" s="139" t="s">
        <v>445</v>
      </c>
      <c r="F781" t="str">
        <f t="shared" si="36"/>
        <v>Sin Mov.</v>
      </c>
      <c r="G781" t="str">
        <f>IF(+'Libro Diario'!H995=0,"",+'Libro Diario'!H995)</f>
        <v/>
      </c>
      <c r="H781" t="str">
        <f>IF(+'Libro Diario'!I995=0,"",+'Libro Diario'!I995)</f>
        <v/>
      </c>
      <c r="I781" t="str">
        <f>+IF(Table3[[#This Row],[Tipo Movimiento]]="Estructura Balance y PyG","Excluir","Incluir")</f>
        <v>Incluir</v>
      </c>
      <c r="J781" s="153">
        <f>+IF(Table3[[#This Row],[Sin cuenta]]="Con Mov.",(IF(Table3[[#This Row],[Movimiento]]="Debe",Table3[[#This Row],[Importe]],IF(Table3[[#This Row],[Movimiento]]="Haber",Table3[[#This Row],[Importe]]*-1,0))),0)</f>
        <v>0</v>
      </c>
      <c r="K781" s="145">
        <f t="shared" si="37"/>
        <v>0</v>
      </c>
      <c r="L781" s="145" t="str">
        <f t="shared" si="38"/>
        <v/>
      </c>
      <c r="M781" t="str">
        <f>_xlfn.XLOOKUP(Table3[[#This Row],[Cuenta]],Estructura_Balance[Nombre Cuenta ()],Estructura_Balance[Grupo],"",0)</f>
        <v/>
      </c>
      <c r="N781" t="str">
        <f>_xlfn.XLOOKUP(Table3[[#This Row],[Cuenta]],Estructura_Balance[Nombre Cuenta ()],Estructura_Balance[Nivel 1],"",0)</f>
        <v/>
      </c>
      <c r="O781" t="str">
        <f>_xlfn.XLOOKUP(Table3[[#This Row],[Cuenta]],Estructura_Balance[Nombre Cuenta ()],Estructura_Balance[Nivel 2],"",0)</f>
        <v/>
      </c>
      <c r="P781" t="str">
        <f>_xlfn.XLOOKUP(Table3[[#This Row],[Cuenta]],Estructura_Balance[Nombre Cuenta ()],Estructura_Balance[Nivel 3],"",0)</f>
        <v/>
      </c>
      <c r="Q781" t="str">
        <f>_xlfn.XLOOKUP(Table3[[#This Row],[Cuenta]],Estructura_Balance[Nombre Cuenta ()],Estructura_Balance[Nivel 4],"",0)</f>
        <v/>
      </c>
      <c r="R781" t="str">
        <f>_xlfn.XLOOKUP(Table3[[#This Row],[Cuenta]],Table8[Nombre Cuenta ()],Table8[Nivel 1],"",0)</f>
        <v/>
      </c>
      <c r="S781" t="str">
        <f>_xlfn.XLOOKUP(Table3[[#This Row],[Cuenta]],Table8[Nombre Cuenta ()],Table8[Nivel 2],"",0)</f>
        <v/>
      </c>
      <c r="T781" t="str">
        <f>_xlfn.XLOOKUP(Table3[[#This Row],[Cuenta]],Table8[Nombre Cuenta ()],Table8[Nivel 3],"",0)</f>
        <v/>
      </c>
      <c r="U781">
        <v>1267</v>
      </c>
      <c r="V781" t="str">
        <f>_xlfn.XLOOKUP(Table3[[#This Row],[Cuenta]],Estructura_Balance[Nombre Cuenta ()],Estructura_Balance[Niveles:2],"",0)</f>
        <v/>
      </c>
      <c r="W781" t="str">
        <f>_xlfn.XLOOKUP(Table3[[#This Row],[Cuenta]],Estructura_Balance[Nombre Cuenta ()],Estructura_Balance[Niveles:3],"",0)</f>
        <v/>
      </c>
      <c r="X781" t="str">
        <f>_xlfn.XLOOKUP(Table3[[#This Row],[Cuenta]],Estructura_Balance[Nombre Cuenta ()],Estructura_Balance[Grupos],"Grupo 1",0)</f>
        <v>Grupo 1</v>
      </c>
      <c r="Y781" t="str">
        <f>+Table3[[#This Row],[BS_Nivel_1]]</f>
        <v/>
      </c>
    </row>
    <row r="782" spans="1:25">
      <c r="A782">
        <f>+'Libro Diario'!F996</f>
        <v>0</v>
      </c>
      <c r="B782" s="144">
        <f>VALUE(IF(+'Libro Diario'!G996="","01/01/2025",+'Libro Diario'!G996))</f>
        <v>45658</v>
      </c>
      <c r="C782">
        <f>IF(ISNUMBER(+IF(IFERROR(VALUE(MID('Libro Diario'!C996,1,4)),0)&lt;&gt;0,'Libro Diario'!C996,0))=FALSE,'Libro Diario'!C996,0)</f>
        <v>0</v>
      </c>
      <c r="D782" s="145">
        <f>+'Libro Diario'!B996</f>
        <v>0</v>
      </c>
      <c r="E782" s="139" t="s">
        <v>445</v>
      </c>
      <c r="F782" t="str">
        <f t="shared" si="36"/>
        <v>Sin Mov.</v>
      </c>
      <c r="G782" t="str">
        <f>IF(+'Libro Diario'!H996=0,"",+'Libro Diario'!H996)</f>
        <v/>
      </c>
      <c r="H782" t="str">
        <f>IF(+'Libro Diario'!I996=0,"",+'Libro Diario'!I996)</f>
        <v/>
      </c>
      <c r="I782" t="str">
        <f>+IF(Table3[[#This Row],[Tipo Movimiento]]="Estructura Balance y PyG","Excluir","Incluir")</f>
        <v>Incluir</v>
      </c>
      <c r="J782" s="153">
        <f>+IF(Table3[[#This Row],[Sin cuenta]]="Con Mov.",(IF(Table3[[#This Row],[Movimiento]]="Debe",Table3[[#This Row],[Importe]],IF(Table3[[#This Row],[Movimiento]]="Haber",Table3[[#This Row],[Importe]]*-1,0))),0)</f>
        <v>0</v>
      </c>
      <c r="K782" s="145">
        <f t="shared" si="37"/>
        <v>0</v>
      </c>
      <c r="L782" s="145" t="str">
        <f t="shared" si="38"/>
        <v/>
      </c>
      <c r="M782" t="str">
        <f>_xlfn.XLOOKUP(Table3[[#This Row],[Cuenta]],Estructura_Balance[Nombre Cuenta ()],Estructura_Balance[Grupo],"",0)</f>
        <v/>
      </c>
      <c r="N782" t="str">
        <f>_xlfn.XLOOKUP(Table3[[#This Row],[Cuenta]],Estructura_Balance[Nombre Cuenta ()],Estructura_Balance[Nivel 1],"",0)</f>
        <v/>
      </c>
      <c r="O782" t="str">
        <f>_xlfn.XLOOKUP(Table3[[#This Row],[Cuenta]],Estructura_Balance[Nombre Cuenta ()],Estructura_Balance[Nivel 2],"",0)</f>
        <v/>
      </c>
      <c r="P782" t="str">
        <f>_xlfn.XLOOKUP(Table3[[#This Row],[Cuenta]],Estructura_Balance[Nombre Cuenta ()],Estructura_Balance[Nivel 3],"",0)</f>
        <v/>
      </c>
      <c r="Q782" t="str">
        <f>_xlfn.XLOOKUP(Table3[[#This Row],[Cuenta]],Estructura_Balance[Nombre Cuenta ()],Estructura_Balance[Nivel 4],"",0)</f>
        <v/>
      </c>
      <c r="R782" t="str">
        <f>_xlfn.XLOOKUP(Table3[[#This Row],[Cuenta]],Table8[Nombre Cuenta ()],Table8[Nivel 1],"",0)</f>
        <v/>
      </c>
      <c r="S782" t="str">
        <f>_xlfn.XLOOKUP(Table3[[#This Row],[Cuenta]],Table8[Nombre Cuenta ()],Table8[Nivel 2],"",0)</f>
        <v/>
      </c>
      <c r="T782" t="str">
        <f>_xlfn.XLOOKUP(Table3[[#This Row],[Cuenta]],Table8[Nombre Cuenta ()],Table8[Nivel 3],"",0)</f>
        <v/>
      </c>
      <c r="U782">
        <v>1268</v>
      </c>
      <c r="V782" t="str">
        <f>_xlfn.XLOOKUP(Table3[[#This Row],[Cuenta]],Estructura_Balance[Nombre Cuenta ()],Estructura_Balance[Niveles:2],"",0)</f>
        <v/>
      </c>
      <c r="W782" t="str">
        <f>_xlfn.XLOOKUP(Table3[[#This Row],[Cuenta]],Estructura_Balance[Nombre Cuenta ()],Estructura_Balance[Niveles:3],"",0)</f>
        <v/>
      </c>
      <c r="X782" t="str">
        <f>_xlfn.XLOOKUP(Table3[[#This Row],[Cuenta]],Estructura_Balance[Nombre Cuenta ()],Estructura_Balance[Grupos],"Grupo 1",0)</f>
        <v>Grupo 1</v>
      </c>
      <c r="Y782" t="str">
        <f>+Table3[[#This Row],[BS_Nivel_1]]</f>
        <v/>
      </c>
    </row>
    <row r="783" spans="1:25">
      <c r="A783">
        <f>+'Libro Diario'!F997</f>
        <v>0</v>
      </c>
      <c r="B783" s="144">
        <f>VALUE(IF(+'Libro Diario'!G997="","01/01/2025",+'Libro Diario'!G997))</f>
        <v>45658</v>
      </c>
      <c r="C783">
        <f>IF(ISNUMBER(+IF(IFERROR(VALUE(MID('Libro Diario'!C997,1,4)),0)&lt;&gt;0,'Libro Diario'!C997,0))=FALSE,'Libro Diario'!C997,0)</f>
        <v>0</v>
      </c>
      <c r="D783" s="145">
        <f>+'Libro Diario'!B997</f>
        <v>0</v>
      </c>
      <c r="E783" s="139" t="s">
        <v>445</v>
      </c>
      <c r="F783" t="str">
        <f t="shared" si="36"/>
        <v>Sin Mov.</v>
      </c>
      <c r="G783" t="str">
        <f>IF(+'Libro Diario'!H997=0,"",+'Libro Diario'!H997)</f>
        <v/>
      </c>
      <c r="H783" t="str">
        <f>IF(+'Libro Diario'!I997=0,"",+'Libro Diario'!I997)</f>
        <v/>
      </c>
      <c r="I783" t="str">
        <f>+IF(Table3[[#This Row],[Tipo Movimiento]]="Estructura Balance y PyG","Excluir","Incluir")</f>
        <v>Incluir</v>
      </c>
      <c r="J783" s="153">
        <f>+IF(Table3[[#This Row],[Sin cuenta]]="Con Mov.",(IF(Table3[[#This Row],[Movimiento]]="Debe",Table3[[#This Row],[Importe]],IF(Table3[[#This Row],[Movimiento]]="Haber",Table3[[#This Row],[Importe]]*-1,0))),0)</f>
        <v>0</v>
      </c>
      <c r="K783" s="145">
        <f t="shared" si="37"/>
        <v>0</v>
      </c>
      <c r="L783" s="145" t="str">
        <f t="shared" si="38"/>
        <v/>
      </c>
      <c r="M783" t="str">
        <f>_xlfn.XLOOKUP(Table3[[#This Row],[Cuenta]],Estructura_Balance[Nombre Cuenta ()],Estructura_Balance[Grupo],"",0)</f>
        <v/>
      </c>
      <c r="N783" t="str">
        <f>_xlfn.XLOOKUP(Table3[[#This Row],[Cuenta]],Estructura_Balance[Nombre Cuenta ()],Estructura_Balance[Nivel 1],"",0)</f>
        <v/>
      </c>
      <c r="O783" t="str">
        <f>_xlfn.XLOOKUP(Table3[[#This Row],[Cuenta]],Estructura_Balance[Nombre Cuenta ()],Estructura_Balance[Nivel 2],"",0)</f>
        <v/>
      </c>
      <c r="P783" t="str">
        <f>_xlfn.XLOOKUP(Table3[[#This Row],[Cuenta]],Estructura_Balance[Nombre Cuenta ()],Estructura_Balance[Nivel 3],"",0)</f>
        <v/>
      </c>
      <c r="Q783" t="str">
        <f>_xlfn.XLOOKUP(Table3[[#This Row],[Cuenta]],Estructura_Balance[Nombre Cuenta ()],Estructura_Balance[Nivel 4],"",0)</f>
        <v/>
      </c>
      <c r="R783" t="str">
        <f>_xlfn.XLOOKUP(Table3[[#This Row],[Cuenta]],Table8[Nombre Cuenta ()],Table8[Nivel 1],"",0)</f>
        <v/>
      </c>
      <c r="S783" t="str">
        <f>_xlfn.XLOOKUP(Table3[[#This Row],[Cuenta]],Table8[Nombre Cuenta ()],Table8[Nivel 2],"",0)</f>
        <v/>
      </c>
      <c r="T783" t="str">
        <f>_xlfn.XLOOKUP(Table3[[#This Row],[Cuenta]],Table8[Nombre Cuenta ()],Table8[Nivel 3],"",0)</f>
        <v/>
      </c>
      <c r="U783">
        <v>1271</v>
      </c>
      <c r="V783" t="str">
        <f>_xlfn.XLOOKUP(Table3[[#This Row],[Cuenta]],Estructura_Balance[Nombre Cuenta ()],Estructura_Balance[Niveles:2],"",0)</f>
        <v/>
      </c>
      <c r="W783" t="str">
        <f>_xlfn.XLOOKUP(Table3[[#This Row],[Cuenta]],Estructura_Balance[Nombre Cuenta ()],Estructura_Balance[Niveles:3],"",0)</f>
        <v/>
      </c>
      <c r="X783" t="str">
        <f>_xlfn.XLOOKUP(Table3[[#This Row],[Cuenta]],Estructura_Balance[Nombre Cuenta ()],Estructura_Balance[Grupos],"Grupo 1",0)</f>
        <v>Grupo 1</v>
      </c>
      <c r="Y783" t="str">
        <f>+Table3[[#This Row],[BS_Nivel_1]]</f>
        <v/>
      </c>
    </row>
    <row r="784" spans="1:25">
      <c r="A784">
        <f>+'Libro Diario'!F998</f>
        <v>0</v>
      </c>
      <c r="B784" s="144">
        <f>VALUE(IF(+'Libro Diario'!G998="","01/01/2025",+'Libro Diario'!G998))</f>
        <v>45658</v>
      </c>
      <c r="C784">
        <f>IF(ISNUMBER(+IF(IFERROR(VALUE(MID('Libro Diario'!C998,1,4)),0)&lt;&gt;0,'Libro Diario'!C998,0))=FALSE,'Libro Diario'!C998,0)</f>
        <v>0</v>
      </c>
      <c r="D784" s="145">
        <f>+'Libro Diario'!B998</f>
        <v>0</v>
      </c>
      <c r="E784" s="139" t="s">
        <v>445</v>
      </c>
      <c r="F784" t="str">
        <f t="shared" si="36"/>
        <v>Sin Mov.</v>
      </c>
      <c r="G784" t="str">
        <f>IF(+'Libro Diario'!H998=0,"",+'Libro Diario'!H998)</f>
        <v/>
      </c>
      <c r="H784" t="str">
        <f>IF(+'Libro Diario'!I998=0,"",+'Libro Diario'!I998)</f>
        <v/>
      </c>
      <c r="I784" t="str">
        <f>+IF(Table3[[#This Row],[Tipo Movimiento]]="Estructura Balance y PyG","Excluir","Incluir")</f>
        <v>Incluir</v>
      </c>
      <c r="J784" s="153">
        <f>+IF(Table3[[#This Row],[Sin cuenta]]="Con Mov.",(IF(Table3[[#This Row],[Movimiento]]="Debe",Table3[[#This Row],[Importe]],IF(Table3[[#This Row],[Movimiento]]="Haber",Table3[[#This Row],[Importe]]*-1,0))),0)</f>
        <v>0</v>
      </c>
      <c r="K784" s="145">
        <f t="shared" si="37"/>
        <v>0</v>
      </c>
      <c r="L784" s="145" t="str">
        <f t="shared" si="38"/>
        <v/>
      </c>
      <c r="M784" t="str">
        <f>_xlfn.XLOOKUP(Table3[[#This Row],[Cuenta]],Estructura_Balance[Nombre Cuenta ()],Estructura_Balance[Grupo],"",0)</f>
        <v/>
      </c>
      <c r="N784" t="str">
        <f>_xlfn.XLOOKUP(Table3[[#This Row],[Cuenta]],Estructura_Balance[Nombre Cuenta ()],Estructura_Balance[Nivel 1],"",0)</f>
        <v/>
      </c>
      <c r="O784" t="str">
        <f>_xlfn.XLOOKUP(Table3[[#This Row],[Cuenta]],Estructura_Balance[Nombre Cuenta ()],Estructura_Balance[Nivel 2],"",0)</f>
        <v/>
      </c>
      <c r="P784" t="str">
        <f>_xlfn.XLOOKUP(Table3[[#This Row],[Cuenta]],Estructura_Balance[Nombre Cuenta ()],Estructura_Balance[Nivel 3],"",0)</f>
        <v/>
      </c>
      <c r="Q784" t="str">
        <f>_xlfn.XLOOKUP(Table3[[#This Row],[Cuenta]],Estructura_Balance[Nombre Cuenta ()],Estructura_Balance[Nivel 4],"",0)</f>
        <v/>
      </c>
      <c r="R784" t="str">
        <f>_xlfn.XLOOKUP(Table3[[#This Row],[Cuenta]],Table8[Nombre Cuenta ()],Table8[Nivel 1],"",0)</f>
        <v/>
      </c>
      <c r="S784" t="str">
        <f>_xlfn.XLOOKUP(Table3[[#This Row],[Cuenta]],Table8[Nombre Cuenta ()],Table8[Nivel 2],"",0)</f>
        <v/>
      </c>
      <c r="T784" t="str">
        <f>_xlfn.XLOOKUP(Table3[[#This Row],[Cuenta]],Table8[Nombre Cuenta ()],Table8[Nivel 3],"",0)</f>
        <v/>
      </c>
      <c r="U784">
        <v>1272</v>
      </c>
      <c r="V784" t="str">
        <f>_xlfn.XLOOKUP(Table3[[#This Row],[Cuenta]],Estructura_Balance[Nombre Cuenta ()],Estructura_Balance[Niveles:2],"",0)</f>
        <v/>
      </c>
      <c r="W784" t="str">
        <f>_xlfn.XLOOKUP(Table3[[#This Row],[Cuenta]],Estructura_Balance[Nombre Cuenta ()],Estructura_Balance[Niveles:3],"",0)</f>
        <v/>
      </c>
      <c r="X784" t="str">
        <f>_xlfn.XLOOKUP(Table3[[#This Row],[Cuenta]],Estructura_Balance[Nombre Cuenta ()],Estructura_Balance[Grupos],"Grupo 1",0)</f>
        <v>Grupo 1</v>
      </c>
      <c r="Y784" t="str">
        <f>+Table3[[#This Row],[BS_Nivel_1]]</f>
        <v/>
      </c>
    </row>
    <row r="785" spans="1:25">
      <c r="A785">
        <f>+'Libro Diario'!F999</f>
        <v>0</v>
      </c>
      <c r="B785" s="144">
        <f>VALUE(IF(+'Libro Diario'!G999="","01/01/2025",+'Libro Diario'!G999))</f>
        <v>45658</v>
      </c>
      <c r="C785">
        <f>IF(ISNUMBER(+IF(IFERROR(VALUE(MID('Libro Diario'!C999,1,4)),0)&lt;&gt;0,'Libro Diario'!C999,0))=FALSE,'Libro Diario'!C999,0)</f>
        <v>0</v>
      </c>
      <c r="D785" s="145">
        <f>+'Libro Diario'!B999</f>
        <v>0</v>
      </c>
      <c r="E785" s="139" t="s">
        <v>445</v>
      </c>
      <c r="F785" t="str">
        <f t="shared" si="36"/>
        <v>Sin Mov.</v>
      </c>
      <c r="G785" t="str">
        <f>IF(+'Libro Diario'!H999=0,"",+'Libro Diario'!H999)</f>
        <v/>
      </c>
      <c r="H785" t="str">
        <f>IF(+'Libro Diario'!I999=0,"",+'Libro Diario'!I999)</f>
        <v/>
      </c>
      <c r="I785" t="str">
        <f>+IF(Table3[[#This Row],[Tipo Movimiento]]="Estructura Balance y PyG","Excluir","Incluir")</f>
        <v>Incluir</v>
      </c>
      <c r="J785" s="153">
        <f>+IF(Table3[[#This Row],[Sin cuenta]]="Con Mov.",(IF(Table3[[#This Row],[Movimiento]]="Debe",Table3[[#This Row],[Importe]],IF(Table3[[#This Row],[Movimiento]]="Haber",Table3[[#This Row],[Importe]]*-1,0))),0)</f>
        <v>0</v>
      </c>
      <c r="K785" s="145">
        <f t="shared" si="37"/>
        <v>0</v>
      </c>
      <c r="L785" s="145" t="str">
        <f t="shared" si="38"/>
        <v/>
      </c>
      <c r="M785" t="str">
        <f>_xlfn.XLOOKUP(Table3[[#This Row],[Cuenta]],Estructura_Balance[Nombre Cuenta ()],Estructura_Balance[Grupo],"",0)</f>
        <v/>
      </c>
      <c r="N785" t="str">
        <f>_xlfn.XLOOKUP(Table3[[#This Row],[Cuenta]],Estructura_Balance[Nombre Cuenta ()],Estructura_Balance[Nivel 1],"",0)</f>
        <v/>
      </c>
      <c r="O785" t="str">
        <f>_xlfn.XLOOKUP(Table3[[#This Row],[Cuenta]],Estructura_Balance[Nombre Cuenta ()],Estructura_Balance[Nivel 2],"",0)</f>
        <v/>
      </c>
      <c r="P785" t="str">
        <f>_xlfn.XLOOKUP(Table3[[#This Row],[Cuenta]],Estructura_Balance[Nombre Cuenta ()],Estructura_Balance[Nivel 3],"",0)</f>
        <v/>
      </c>
      <c r="Q785" t="str">
        <f>_xlfn.XLOOKUP(Table3[[#This Row],[Cuenta]],Estructura_Balance[Nombre Cuenta ()],Estructura_Balance[Nivel 4],"",0)</f>
        <v/>
      </c>
      <c r="R785" t="str">
        <f>_xlfn.XLOOKUP(Table3[[#This Row],[Cuenta]],Table8[Nombre Cuenta ()],Table8[Nivel 1],"",0)</f>
        <v/>
      </c>
      <c r="S785" t="str">
        <f>_xlfn.XLOOKUP(Table3[[#This Row],[Cuenta]],Table8[Nombre Cuenta ()],Table8[Nivel 2],"",0)</f>
        <v/>
      </c>
      <c r="T785" t="str">
        <f>_xlfn.XLOOKUP(Table3[[#This Row],[Cuenta]],Table8[Nombre Cuenta ()],Table8[Nivel 3],"",0)</f>
        <v/>
      </c>
      <c r="U785">
        <v>1273</v>
      </c>
      <c r="V785" t="str">
        <f>_xlfn.XLOOKUP(Table3[[#This Row],[Cuenta]],Estructura_Balance[Nombre Cuenta ()],Estructura_Balance[Niveles:2],"",0)</f>
        <v/>
      </c>
      <c r="W785" t="str">
        <f>_xlfn.XLOOKUP(Table3[[#This Row],[Cuenta]],Estructura_Balance[Nombre Cuenta ()],Estructura_Balance[Niveles:3],"",0)</f>
        <v/>
      </c>
      <c r="X785" t="str">
        <f>_xlfn.XLOOKUP(Table3[[#This Row],[Cuenta]],Estructura_Balance[Nombre Cuenta ()],Estructura_Balance[Grupos],"Grupo 1",0)</f>
        <v>Grupo 1</v>
      </c>
      <c r="Y785" t="str">
        <f>+Table3[[#This Row],[BS_Nivel_1]]</f>
        <v/>
      </c>
    </row>
    <row r="786" spans="1:25">
      <c r="A786">
        <f>+'Libro Diario'!F1000</f>
        <v>0</v>
      </c>
      <c r="B786" s="144">
        <f>VALUE(IF(+'Libro Diario'!G1000="","01/01/2025",+'Libro Diario'!G1000))</f>
        <v>45658</v>
      </c>
      <c r="C786">
        <f>IF(ISNUMBER(+IF(IFERROR(VALUE(MID('Libro Diario'!C1000,1,4)),0)&lt;&gt;0,'Libro Diario'!C1000,0))=FALSE,'Libro Diario'!C1000,0)</f>
        <v>0</v>
      </c>
      <c r="D786" s="145">
        <f>+'Libro Diario'!B1000</f>
        <v>0</v>
      </c>
      <c r="E786" s="139" t="s">
        <v>445</v>
      </c>
      <c r="F786" t="str">
        <f t="shared" si="36"/>
        <v>Sin Mov.</v>
      </c>
      <c r="G786" t="str">
        <f>IF(+'Libro Diario'!H1000=0,"",+'Libro Diario'!H1000)</f>
        <v/>
      </c>
      <c r="H786" t="str">
        <f>IF(+'Libro Diario'!I1000=0,"",+'Libro Diario'!I1000)</f>
        <v/>
      </c>
      <c r="I786" t="str">
        <f>+IF(Table3[[#This Row],[Tipo Movimiento]]="Estructura Balance y PyG","Excluir","Incluir")</f>
        <v>Incluir</v>
      </c>
      <c r="J786" s="153">
        <f>+IF(Table3[[#This Row],[Sin cuenta]]="Con Mov.",(IF(Table3[[#This Row],[Movimiento]]="Debe",Table3[[#This Row],[Importe]],IF(Table3[[#This Row],[Movimiento]]="Haber",Table3[[#This Row],[Importe]]*-1,0))),0)</f>
        <v>0</v>
      </c>
      <c r="K786" s="145">
        <f t="shared" si="37"/>
        <v>0</v>
      </c>
      <c r="L786" s="145" t="str">
        <f t="shared" si="38"/>
        <v/>
      </c>
      <c r="M786" t="str">
        <f>_xlfn.XLOOKUP(Table3[[#This Row],[Cuenta]],Estructura_Balance[Nombre Cuenta ()],Estructura_Balance[Grupo],"",0)</f>
        <v/>
      </c>
      <c r="N786" t="str">
        <f>_xlfn.XLOOKUP(Table3[[#This Row],[Cuenta]],Estructura_Balance[Nombre Cuenta ()],Estructura_Balance[Nivel 1],"",0)</f>
        <v/>
      </c>
      <c r="O786" t="str">
        <f>_xlfn.XLOOKUP(Table3[[#This Row],[Cuenta]],Estructura_Balance[Nombre Cuenta ()],Estructura_Balance[Nivel 2],"",0)</f>
        <v/>
      </c>
      <c r="P786" t="str">
        <f>_xlfn.XLOOKUP(Table3[[#This Row],[Cuenta]],Estructura_Balance[Nombre Cuenta ()],Estructura_Balance[Nivel 3],"",0)</f>
        <v/>
      </c>
      <c r="Q786" t="str">
        <f>_xlfn.XLOOKUP(Table3[[#This Row],[Cuenta]],Estructura_Balance[Nombre Cuenta ()],Estructura_Balance[Nivel 4],"",0)</f>
        <v/>
      </c>
      <c r="R786" t="str">
        <f>_xlfn.XLOOKUP(Table3[[#This Row],[Cuenta]],Table8[Nombre Cuenta ()],Table8[Nivel 1],"",0)</f>
        <v/>
      </c>
      <c r="S786" t="str">
        <f>_xlfn.XLOOKUP(Table3[[#This Row],[Cuenta]],Table8[Nombre Cuenta ()],Table8[Nivel 2],"",0)</f>
        <v/>
      </c>
      <c r="T786" t="str">
        <f>_xlfn.XLOOKUP(Table3[[#This Row],[Cuenta]],Table8[Nombre Cuenta ()],Table8[Nivel 3],"",0)</f>
        <v/>
      </c>
      <c r="U786">
        <v>1274</v>
      </c>
      <c r="V786" t="str">
        <f>_xlfn.XLOOKUP(Table3[[#This Row],[Cuenta]],Estructura_Balance[Nombre Cuenta ()],Estructura_Balance[Niveles:2],"",0)</f>
        <v/>
      </c>
      <c r="W786" t="str">
        <f>_xlfn.XLOOKUP(Table3[[#This Row],[Cuenta]],Estructura_Balance[Nombre Cuenta ()],Estructura_Balance[Niveles:3],"",0)</f>
        <v/>
      </c>
      <c r="X786" t="str">
        <f>_xlfn.XLOOKUP(Table3[[#This Row],[Cuenta]],Estructura_Balance[Nombre Cuenta ()],Estructura_Balance[Grupos],"Grupo 1",0)</f>
        <v>Grupo 1</v>
      </c>
      <c r="Y786" t="str">
        <f>+Table3[[#This Row],[BS_Nivel_1]]</f>
        <v/>
      </c>
    </row>
    <row r="787" spans="1:25">
      <c r="A787">
        <f>+'Libro Diario'!F1001</f>
        <v>0</v>
      </c>
      <c r="B787" s="144">
        <f>VALUE(IF(+'Libro Diario'!G1001="","01/01/2025",+'Libro Diario'!G1001))</f>
        <v>45658</v>
      </c>
      <c r="C787">
        <f>IF(ISNUMBER(+IF(IFERROR(VALUE(MID('Libro Diario'!C1001,1,4)),0)&lt;&gt;0,'Libro Diario'!C1001,0))=FALSE,'Libro Diario'!C1001,0)</f>
        <v>0</v>
      </c>
      <c r="D787" s="145">
        <f>+'Libro Diario'!B1001</f>
        <v>0</v>
      </c>
      <c r="E787" s="139" t="s">
        <v>445</v>
      </c>
      <c r="F787" t="str">
        <f t="shared" si="36"/>
        <v>Sin Mov.</v>
      </c>
      <c r="G787" t="str">
        <f>IF(+'Libro Diario'!H1001=0,"",+'Libro Diario'!H1001)</f>
        <v/>
      </c>
      <c r="H787" t="str">
        <f>IF(+'Libro Diario'!I1001=0,"",+'Libro Diario'!I1001)</f>
        <v/>
      </c>
      <c r="I787" t="str">
        <f>+IF(Table3[[#This Row],[Tipo Movimiento]]="Estructura Balance y PyG","Excluir","Incluir")</f>
        <v>Incluir</v>
      </c>
      <c r="J787" s="153">
        <f>+IF(Table3[[#This Row],[Sin cuenta]]="Con Mov.",(IF(Table3[[#This Row],[Movimiento]]="Debe",Table3[[#This Row],[Importe]],IF(Table3[[#This Row],[Movimiento]]="Haber",Table3[[#This Row],[Importe]]*-1,0))),0)</f>
        <v>0</v>
      </c>
      <c r="K787" s="145">
        <f t="shared" si="37"/>
        <v>0</v>
      </c>
      <c r="L787" s="145" t="str">
        <f t="shared" si="38"/>
        <v/>
      </c>
      <c r="M787" t="str">
        <f>_xlfn.XLOOKUP(Table3[[#This Row],[Cuenta]],Estructura_Balance[Nombre Cuenta ()],Estructura_Balance[Grupo],"",0)</f>
        <v/>
      </c>
      <c r="N787" t="str">
        <f>_xlfn.XLOOKUP(Table3[[#This Row],[Cuenta]],Estructura_Balance[Nombre Cuenta ()],Estructura_Balance[Nivel 1],"",0)</f>
        <v/>
      </c>
      <c r="O787" t="str">
        <f>_xlfn.XLOOKUP(Table3[[#This Row],[Cuenta]],Estructura_Balance[Nombre Cuenta ()],Estructura_Balance[Nivel 2],"",0)</f>
        <v/>
      </c>
      <c r="P787" t="str">
        <f>_xlfn.XLOOKUP(Table3[[#This Row],[Cuenta]],Estructura_Balance[Nombre Cuenta ()],Estructura_Balance[Nivel 3],"",0)</f>
        <v/>
      </c>
      <c r="Q787" t="str">
        <f>_xlfn.XLOOKUP(Table3[[#This Row],[Cuenta]],Estructura_Balance[Nombre Cuenta ()],Estructura_Balance[Nivel 4],"",0)</f>
        <v/>
      </c>
      <c r="R787" t="str">
        <f>_xlfn.XLOOKUP(Table3[[#This Row],[Cuenta]],Table8[Nombre Cuenta ()],Table8[Nivel 1],"",0)</f>
        <v/>
      </c>
      <c r="S787" t="str">
        <f>_xlfn.XLOOKUP(Table3[[#This Row],[Cuenta]],Table8[Nombre Cuenta ()],Table8[Nivel 2],"",0)</f>
        <v/>
      </c>
      <c r="T787" t="str">
        <f>_xlfn.XLOOKUP(Table3[[#This Row],[Cuenta]],Table8[Nombre Cuenta ()],Table8[Nivel 3],"",0)</f>
        <v/>
      </c>
      <c r="U787">
        <v>1275</v>
      </c>
      <c r="V787" t="str">
        <f>_xlfn.XLOOKUP(Table3[[#This Row],[Cuenta]],Estructura_Balance[Nombre Cuenta ()],Estructura_Balance[Niveles:2],"",0)</f>
        <v/>
      </c>
      <c r="W787" t="str">
        <f>_xlfn.XLOOKUP(Table3[[#This Row],[Cuenta]],Estructura_Balance[Nombre Cuenta ()],Estructura_Balance[Niveles:3],"",0)</f>
        <v/>
      </c>
      <c r="X787" t="str">
        <f>_xlfn.XLOOKUP(Table3[[#This Row],[Cuenta]],Estructura_Balance[Nombre Cuenta ()],Estructura_Balance[Grupos],"Grupo 1",0)</f>
        <v>Grupo 1</v>
      </c>
      <c r="Y787" t="str">
        <f>+Table3[[#This Row],[BS_Nivel_1]]</f>
        <v/>
      </c>
    </row>
    <row r="788" spans="1:25">
      <c r="A788">
        <f>+'Libro Diario'!F1002</f>
        <v>0</v>
      </c>
      <c r="B788" s="144">
        <f>VALUE(IF(+'Libro Diario'!G1002="","01/01/2025",+'Libro Diario'!G1002))</f>
        <v>45658</v>
      </c>
      <c r="C788">
        <f>IF(ISNUMBER(+IF(IFERROR(VALUE(MID('Libro Diario'!C1002,1,4)),0)&lt;&gt;0,'Libro Diario'!C1002,0))=FALSE,'Libro Diario'!C1002,0)</f>
        <v>0</v>
      </c>
      <c r="D788" s="145">
        <f>+'Libro Diario'!B1002</f>
        <v>0</v>
      </c>
      <c r="E788" s="139" t="s">
        <v>445</v>
      </c>
      <c r="F788" t="str">
        <f t="shared" si="36"/>
        <v>Sin Mov.</v>
      </c>
      <c r="G788" t="str">
        <f>IF(+'Libro Diario'!H1002=0,"",+'Libro Diario'!H1002)</f>
        <v/>
      </c>
      <c r="H788" t="str">
        <f>IF(+'Libro Diario'!I1002=0,"",+'Libro Diario'!I1002)</f>
        <v/>
      </c>
      <c r="I788" t="str">
        <f>+IF(Table3[[#This Row],[Tipo Movimiento]]="Estructura Balance y PyG","Excluir","Incluir")</f>
        <v>Incluir</v>
      </c>
      <c r="J788" s="153">
        <f>+IF(Table3[[#This Row],[Sin cuenta]]="Con Mov.",(IF(Table3[[#This Row],[Movimiento]]="Debe",Table3[[#This Row],[Importe]],IF(Table3[[#This Row],[Movimiento]]="Haber",Table3[[#This Row],[Importe]]*-1,0))),0)</f>
        <v>0</v>
      </c>
      <c r="K788" s="145">
        <f t="shared" si="37"/>
        <v>0</v>
      </c>
      <c r="L788" s="145" t="str">
        <f t="shared" si="38"/>
        <v/>
      </c>
      <c r="M788" t="str">
        <f>_xlfn.XLOOKUP(Table3[[#This Row],[Cuenta]],Estructura_Balance[Nombre Cuenta ()],Estructura_Balance[Grupo],"",0)</f>
        <v/>
      </c>
      <c r="N788" t="str">
        <f>_xlfn.XLOOKUP(Table3[[#This Row],[Cuenta]],Estructura_Balance[Nombre Cuenta ()],Estructura_Balance[Nivel 1],"",0)</f>
        <v/>
      </c>
      <c r="O788" t="str">
        <f>_xlfn.XLOOKUP(Table3[[#This Row],[Cuenta]],Estructura_Balance[Nombre Cuenta ()],Estructura_Balance[Nivel 2],"",0)</f>
        <v/>
      </c>
      <c r="P788" t="str">
        <f>_xlfn.XLOOKUP(Table3[[#This Row],[Cuenta]],Estructura_Balance[Nombre Cuenta ()],Estructura_Balance[Nivel 3],"",0)</f>
        <v/>
      </c>
      <c r="Q788" t="str">
        <f>_xlfn.XLOOKUP(Table3[[#This Row],[Cuenta]],Estructura_Balance[Nombre Cuenta ()],Estructura_Balance[Nivel 4],"",0)</f>
        <v/>
      </c>
      <c r="R788" t="str">
        <f>_xlfn.XLOOKUP(Table3[[#This Row],[Cuenta]],Table8[Nombre Cuenta ()],Table8[Nivel 1],"",0)</f>
        <v/>
      </c>
      <c r="S788" t="str">
        <f>_xlfn.XLOOKUP(Table3[[#This Row],[Cuenta]],Table8[Nombre Cuenta ()],Table8[Nivel 2],"",0)</f>
        <v/>
      </c>
      <c r="T788" t="str">
        <f>_xlfn.XLOOKUP(Table3[[#This Row],[Cuenta]],Table8[Nombre Cuenta ()],Table8[Nivel 3],"",0)</f>
        <v/>
      </c>
      <c r="U788">
        <v>1278</v>
      </c>
      <c r="V788" t="str">
        <f>_xlfn.XLOOKUP(Table3[[#This Row],[Cuenta]],Estructura_Balance[Nombre Cuenta ()],Estructura_Balance[Niveles:2],"",0)</f>
        <v/>
      </c>
      <c r="W788" t="str">
        <f>_xlfn.XLOOKUP(Table3[[#This Row],[Cuenta]],Estructura_Balance[Nombre Cuenta ()],Estructura_Balance[Niveles:3],"",0)</f>
        <v/>
      </c>
      <c r="X788" t="str">
        <f>_xlfn.XLOOKUP(Table3[[#This Row],[Cuenta]],Estructura_Balance[Nombre Cuenta ()],Estructura_Balance[Grupos],"Grupo 1",0)</f>
        <v>Grupo 1</v>
      </c>
      <c r="Y788" t="str">
        <f>+Table3[[#This Row],[BS_Nivel_1]]</f>
        <v/>
      </c>
    </row>
    <row r="789" spans="1:25">
      <c r="A789">
        <f>+'Libro Diario'!F1003</f>
        <v>0</v>
      </c>
      <c r="B789" s="144">
        <f>VALUE(IF(+'Libro Diario'!G1003="","01/01/2025",+'Libro Diario'!G1003))</f>
        <v>45658</v>
      </c>
      <c r="C789">
        <f>IF(ISNUMBER(+IF(IFERROR(VALUE(MID('Libro Diario'!C1003,1,4)),0)&lt;&gt;0,'Libro Diario'!C1003,0))=FALSE,'Libro Diario'!C1003,0)</f>
        <v>0</v>
      </c>
      <c r="D789" s="145">
        <f>+'Libro Diario'!B1003</f>
        <v>0</v>
      </c>
      <c r="E789" s="139" t="s">
        <v>445</v>
      </c>
      <c r="F789" t="str">
        <f t="shared" si="36"/>
        <v>Sin Mov.</v>
      </c>
      <c r="G789" t="str">
        <f>IF(+'Libro Diario'!H1003=0,"",+'Libro Diario'!H1003)</f>
        <v/>
      </c>
      <c r="H789" t="str">
        <f>IF(+'Libro Diario'!I1003=0,"",+'Libro Diario'!I1003)</f>
        <v/>
      </c>
      <c r="I789" t="str">
        <f>+IF(Table3[[#This Row],[Tipo Movimiento]]="Estructura Balance y PyG","Excluir","Incluir")</f>
        <v>Incluir</v>
      </c>
      <c r="J789" s="153">
        <f>+IF(Table3[[#This Row],[Sin cuenta]]="Con Mov.",(IF(Table3[[#This Row],[Movimiento]]="Debe",Table3[[#This Row],[Importe]],IF(Table3[[#This Row],[Movimiento]]="Haber",Table3[[#This Row],[Importe]]*-1,0))),0)</f>
        <v>0</v>
      </c>
      <c r="K789" s="145">
        <f t="shared" si="37"/>
        <v>0</v>
      </c>
      <c r="L789" s="145" t="str">
        <f t="shared" si="38"/>
        <v/>
      </c>
      <c r="M789" t="str">
        <f>_xlfn.XLOOKUP(Table3[[#This Row],[Cuenta]],Estructura_Balance[Nombre Cuenta ()],Estructura_Balance[Grupo],"",0)</f>
        <v/>
      </c>
      <c r="N789" t="str">
        <f>_xlfn.XLOOKUP(Table3[[#This Row],[Cuenta]],Estructura_Balance[Nombre Cuenta ()],Estructura_Balance[Nivel 1],"",0)</f>
        <v/>
      </c>
      <c r="O789" t="str">
        <f>_xlfn.XLOOKUP(Table3[[#This Row],[Cuenta]],Estructura_Balance[Nombre Cuenta ()],Estructura_Balance[Nivel 2],"",0)</f>
        <v/>
      </c>
      <c r="P789" t="str">
        <f>_xlfn.XLOOKUP(Table3[[#This Row],[Cuenta]],Estructura_Balance[Nombre Cuenta ()],Estructura_Balance[Nivel 3],"",0)</f>
        <v/>
      </c>
      <c r="Q789" t="str">
        <f>_xlfn.XLOOKUP(Table3[[#This Row],[Cuenta]],Estructura_Balance[Nombre Cuenta ()],Estructura_Balance[Nivel 4],"",0)</f>
        <v/>
      </c>
      <c r="R789" t="str">
        <f>_xlfn.XLOOKUP(Table3[[#This Row],[Cuenta]],Table8[Nombre Cuenta ()],Table8[Nivel 1],"",0)</f>
        <v/>
      </c>
      <c r="S789" t="str">
        <f>_xlfn.XLOOKUP(Table3[[#This Row],[Cuenta]],Table8[Nombre Cuenta ()],Table8[Nivel 2],"",0)</f>
        <v/>
      </c>
      <c r="T789" t="str">
        <f>_xlfn.XLOOKUP(Table3[[#This Row],[Cuenta]],Table8[Nombre Cuenta ()],Table8[Nivel 3],"",0)</f>
        <v/>
      </c>
      <c r="U789">
        <v>1279</v>
      </c>
      <c r="V789" t="str">
        <f>_xlfn.XLOOKUP(Table3[[#This Row],[Cuenta]],Estructura_Balance[Nombre Cuenta ()],Estructura_Balance[Niveles:2],"",0)</f>
        <v/>
      </c>
      <c r="W789" t="str">
        <f>_xlfn.XLOOKUP(Table3[[#This Row],[Cuenta]],Estructura_Balance[Nombre Cuenta ()],Estructura_Balance[Niveles:3],"",0)</f>
        <v/>
      </c>
      <c r="X789" t="str">
        <f>_xlfn.XLOOKUP(Table3[[#This Row],[Cuenta]],Estructura_Balance[Nombre Cuenta ()],Estructura_Balance[Grupos],"Grupo 1",0)</f>
        <v>Grupo 1</v>
      </c>
      <c r="Y789" t="str">
        <f>+Table3[[#This Row],[BS_Nivel_1]]</f>
        <v/>
      </c>
    </row>
    <row r="790" spans="1:25">
      <c r="A790">
        <f>+'Libro Diario'!F1004</f>
        <v>0</v>
      </c>
      <c r="B790" s="144">
        <f>VALUE(IF(+'Libro Diario'!G1004="","01/01/2025",+'Libro Diario'!G1004))</f>
        <v>45658</v>
      </c>
      <c r="C790">
        <f>IF(ISNUMBER(+IF(IFERROR(VALUE(MID('Libro Diario'!C1004,1,4)),0)&lt;&gt;0,'Libro Diario'!C1004,0))=FALSE,'Libro Diario'!C1004,0)</f>
        <v>0</v>
      </c>
      <c r="D790" s="145">
        <f>+'Libro Diario'!B1004</f>
        <v>0</v>
      </c>
      <c r="E790" s="139" t="s">
        <v>445</v>
      </c>
      <c r="F790" t="str">
        <f t="shared" si="36"/>
        <v>Sin Mov.</v>
      </c>
      <c r="G790" t="str">
        <f>IF(+'Libro Diario'!H1004=0,"",+'Libro Diario'!H1004)</f>
        <v/>
      </c>
      <c r="H790" t="str">
        <f>IF(+'Libro Diario'!I1004=0,"",+'Libro Diario'!I1004)</f>
        <v/>
      </c>
      <c r="I790" t="str">
        <f>+IF(Table3[[#This Row],[Tipo Movimiento]]="Estructura Balance y PyG","Excluir","Incluir")</f>
        <v>Incluir</v>
      </c>
      <c r="J790" s="153">
        <f>+IF(Table3[[#This Row],[Sin cuenta]]="Con Mov.",(IF(Table3[[#This Row],[Movimiento]]="Debe",Table3[[#This Row],[Importe]],IF(Table3[[#This Row],[Movimiento]]="Haber",Table3[[#This Row],[Importe]]*-1,0))),0)</f>
        <v>0</v>
      </c>
      <c r="K790" s="145">
        <f t="shared" si="37"/>
        <v>0</v>
      </c>
      <c r="L790" s="145" t="str">
        <f t="shared" si="38"/>
        <v/>
      </c>
      <c r="M790" t="str">
        <f>_xlfn.XLOOKUP(Table3[[#This Row],[Cuenta]],Estructura_Balance[Nombre Cuenta ()],Estructura_Balance[Grupo],"",0)</f>
        <v/>
      </c>
      <c r="N790" t="str">
        <f>_xlfn.XLOOKUP(Table3[[#This Row],[Cuenta]],Estructura_Balance[Nombre Cuenta ()],Estructura_Balance[Nivel 1],"",0)</f>
        <v/>
      </c>
      <c r="O790" t="str">
        <f>_xlfn.XLOOKUP(Table3[[#This Row],[Cuenta]],Estructura_Balance[Nombre Cuenta ()],Estructura_Balance[Nivel 2],"",0)</f>
        <v/>
      </c>
      <c r="P790" t="str">
        <f>_xlfn.XLOOKUP(Table3[[#This Row],[Cuenta]],Estructura_Balance[Nombre Cuenta ()],Estructura_Balance[Nivel 3],"",0)</f>
        <v/>
      </c>
      <c r="Q790" t="str">
        <f>_xlfn.XLOOKUP(Table3[[#This Row],[Cuenta]],Estructura_Balance[Nombre Cuenta ()],Estructura_Balance[Nivel 4],"",0)</f>
        <v/>
      </c>
      <c r="R790" t="str">
        <f>_xlfn.XLOOKUP(Table3[[#This Row],[Cuenta]],Table8[Nombre Cuenta ()],Table8[Nivel 1],"",0)</f>
        <v/>
      </c>
      <c r="S790" t="str">
        <f>_xlfn.XLOOKUP(Table3[[#This Row],[Cuenta]],Table8[Nombre Cuenta ()],Table8[Nivel 2],"",0)</f>
        <v/>
      </c>
      <c r="T790" t="str">
        <f>_xlfn.XLOOKUP(Table3[[#This Row],[Cuenta]],Table8[Nombre Cuenta ()],Table8[Nivel 3],"",0)</f>
        <v/>
      </c>
      <c r="U790">
        <v>1280</v>
      </c>
      <c r="V790" t="str">
        <f>_xlfn.XLOOKUP(Table3[[#This Row],[Cuenta]],Estructura_Balance[Nombre Cuenta ()],Estructura_Balance[Niveles:2],"",0)</f>
        <v/>
      </c>
      <c r="W790" t="str">
        <f>_xlfn.XLOOKUP(Table3[[#This Row],[Cuenta]],Estructura_Balance[Nombre Cuenta ()],Estructura_Balance[Niveles:3],"",0)</f>
        <v/>
      </c>
      <c r="X790" t="str">
        <f>_xlfn.XLOOKUP(Table3[[#This Row],[Cuenta]],Estructura_Balance[Nombre Cuenta ()],Estructura_Balance[Grupos],"Grupo 1",0)</f>
        <v>Grupo 1</v>
      </c>
      <c r="Y790" t="str">
        <f>+Table3[[#This Row],[BS_Nivel_1]]</f>
        <v/>
      </c>
    </row>
    <row r="791" spans="1:25">
      <c r="A791">
        <f>+'Libro Diario'!F1005</f>
        <v>0</v>
      </c>
      <c r="B791" s="144">
        <f>VALUE(IF(+'Libro Diario'!G1005="","01/01/2025",+'Libro Diario'!G1005))</f>
        <v>45658</v>
      </c>
      <c r="C791">
        <f>IF(ISNUMBER(+IF(IFERROR(VALUE(MID('Libro Diario'!C1005,1,4)),0)&lt;&gt;0,'Libro Diario'!C1005,0))=FALSE,'Libro Diario'!C1005,0)</f>
        <v>0</v>
      </c>
      <c r="D791" s="145">
        <f>+'Libro Diario'!B1005</f>
        <v>0</v>
      </c>
      <c r="E791" s="139" t="s">
        <v>445</v>
      </c>
      <c r="F791" t="str">
        <f t="shared" si="36"/>
        <v>Sin Mov.</v>
      </c>
      <c r="G791" t="str">
        <f>IF(+'Libro Diario'!H1005=0,"",+'Libro Diario'!H1005)</f>
        <v/>
      </c>
      <c r="H791" t="str">
        <f>IF(+'Libro Diario'!I1005=0,"",+'Libro Diario'!I1005)</f>
        <v/>
      </c>
      <c r="I791" t="str">
        <f>+IF(Table3[[#This Row],[Tipo Movimiento]]="Estructura Balance y PyG","Excluir","Incluir")</f>
        <v>Incluir</v>
      </c>
      <c r="J791" s="153">
        <f>+IF(Table3[[#This Row],[Sin cuenta]]="Con Mov.",(IF(Table3[[#This Row],[Movimiento]]="Debe",Table3[[#This Row],[Importe]],IF(Table3[[#This Row],[Movimiento]]="Haber",Table3[[#This Row],[Importe]]*-1,0))),0)</f>
        <v>0</v>
      </c>
      <c r="K791" s="145">
        <f t="shared" si="37"/>
        <v>0</v>
      </c>
      <c r="L791" s="145" t="str">
        <f t="shared" si="38"/>
        <v/>
      </c>
      <c r="M791" t="str">
        <f>_xlfn.XLOOKUP(Table3[[#This Row],[Cuenta]],Estructura_Balance[Nombre Cuenta ()],Estructura_Balance[Grupo],"",0)</f>
        <v/>
      </c>
      <c r="N791" t="str">
        <f>_xlfn.XLOOKUP(Table3[[#This Row],[Cuenta]],Estructura_Balance[Nombre Cuenta ()],Estructura_Balance[Nivel 1],"",0)</f>
        <v/>
      </c>
      <c r="O791" t="str">
        <f>_xlfn.XLOOKUP(Table3[[#This Row],[Cuenta]],Estructura_Balance[Nombre Cuenta ()],Estructura_Balance[Nivel 2],"",0)</f>
        <v/>
      </c>
      <c r="P791" t="str">
        <f>_xlfn.XLOOKUP(Table3[[#This Row],[Cuenta]],Estructura_Balance[Nombre Cuenta ()],Estructura_Balance[Nivel 3],"",0)</f>
        <v/>
      </c>
      <c r="Q791" t="str">
        <f>_xlfn.XLOOKUP(Table3[[#This Row],[Cuenta]],Estructura_Balance[Nombre Cuenta ()],Estructura_Balance[Nivel 4],"",0)</f>
        <v/>
      </c>
      <c r="R791" t="str">
        <f>_xlfn.XLOOKUP(Table3[[#This Row],[Cuenta]],Table8[Nombre Cuenta ()],Table8[Nivel 1],"",0)</f>
        <v/>
      </c>
      <c r="S791" t="str">
        <f>_xlfn.XLOOKUP(Table3[[#This Row],[Cuenta]],Table8[Nombre Cuenta ()],Table8[Nivel 2],"",0)</f>
        <v/>
      </c>
      <c r="T791" t="str">
        <f>_xlfn.XLOOKUP(Table3[[#This Row],[Cuenta]],Table8[Nombre Cuenta ()],Table8[Nivel 3],"",0)</f>
        <v/>
      </c>
      <c r="U791">
        <v>1281</v>
      </c>
      <c r="V791" t="str">
        <f>_xlfn.XLOOKUP(Table3[[#This Row],[Cuenta]],Estructura_Balance[Nombre Cuenta ()],Estructura_Balance[Niveles:2],"",0)</f>
        <v/>
      </c>
      <c r="W791" t="str">
        <f>_xlfn.XLOOKUP(Table3[[#This Row],[Cuenta]],Estructura_Balance[Nombre Cuenta ()],Estructura_Balance[Niveles:3],"",0)</f>
        <v/>
      </c>
      <c r="X791" t="str">
        <f>_xlfn.XLOOKUP(Table3[[#This Row],[Cuenta]],Estructura_Balance[Nombre Cuenta ()],Estructura_Balance[Grupos],"Grupo 1",0)</f>
        <v>Grupo 1</v>
      </c>
      <c r="Y791" t="str">
        <f>+Table3[[#This Row],[BS_Nivel_1]]</f>
        <v/>
      </c>
    </row>
    <row r="792" spans="1:25">
      <c r="A792">
        <f>+'Libro Diario'!F1006</f>
        <v>0</v>
      </c>
      <c r="B792" s="144">
        <f>VALUE(IF(+'Libro Diario'!G1006="","01/01/2025",+'Libro Diario'!G1006))</f>
        <v>45658</v>
      </c>
      <c r="C792">
        <f>IF(ISNUMBER(+IF(IFERROR(VALUE(MID('Libro Diario'!C1006,1,4)),0)&lt;&gt;0,'Libro Diario'!C1006,0))=FALSE,'Libro Diario'!C1006,0)</f>
        <v>0</v>
      </c>
      <c r="D792" s="145">
        <f>+'Libro Diario'!B1006</f>
        <v>0</v>
      </c>
      <c r="E792" s="139" t="s">
        <v>445</v>
      </c>
      <c r="F792" t="str">
        <f t="shared" si="36"/>
        <v>Sin Mov.</v>
      </c>
      <c r="G792" t="str">
        <f>IF(+'Libro Diario'!H1006=0,"",+'Libro Diario'!H1006)</f>
        <v/>
      </c>
      <c r="H792" t="str">
        <f>IF(+'Libro Diario'!I1006=0,"",+'Libro Diario'!I1006)</f>
        <v/>
      </c>
      <c r="I792" t="str">
        <f>+IF(Table3[[#This Row],[Tipo Movimiento]]="Estructura Balance y PyG","Excluir","Incluir")</f>
        <v>Incluir</v>
      </c>
      <c r="J792" s="153">
        <f>+IF(Table3[[#This Row],[Sin cuenta]]="Con Mov.",(IF(Table3[[#This Row],[Movimiento]]="Debe",Table3[[#This Row],[Importe]],IF(Table3[[#This Row],[Movimiento]]="Haber",Table3[[#This Row],[Importe]]*-1,0))),0)</f>
        <v>0</v>
      </c>
      <c r="K792" s="145">
        <f t="shared" si="37"/>
        <v>0</v>
      </c>
      <c r="L792" s="145" t="str">
        <f t="shared" si="38"/>
        <v/>
      </c>
      <c r="M792" t="str">
        <f>_xlfn.XLOOKUP(Table3[[#This Row],[Cuenta]],Estructura_Balance[Nombre Cuenta ()],Estructura_Balance[Grupo],"",0)</f>
        <v/>
      </c>
      <c r="N792" t="str">
        <f>_xlfn.XLOOKUP(Table3[[#This Row],[Cuenta]],Estructura_Balance[Nombre Cuenta ()],Estructura_Balance[Nivel 1],"",0)</f>
        <v/>
      </c>
      <c r="O792" t="str">
        <f>_xlfn.XLOOKUP(Table3[[#This Row],[Cuenta]],Estructura_Balance[Nombre Cuenta ()],Estructura_Balance[Nivel 2],"",0)</f>
        <v/>
      </c>
      <c r="P792" t="str">
        <f>_xlfn.XLOOKUP(Table3[[#This Row],[Cuenta]],Estructura_Balance[Nombre Cuenta ()],Estructura_Balance[Nivel 3],"",0)</f>
        <v/>
      </c>
      <c r="Q792" t="str">
        <f>_xlfn.XLOOKUP(Table3[[#This Row],[Cuenta]],Estructura_Balance[Nombre Cuenta ()],Estructura_Balance[Nivel 4],"",0)</f>
        <v/>
      </c>
      <c r="R792" t="str">
        <f>_xlfn.XLOOKUP(Table3[[#This Row],[Cuenta]],Table8[Nombre Cuenta ()],Table8[Nivel 1],"",0)</f>
        <v/>
      </c>
      <c r="S792" t="str">
        <f>_xlfn.XLOOKUP(Table3[[#This Row],[Cuenta]],Table8[Nombre Cuenta ()],Table8[Nivel 2],"",0)</f>
        <v/>
      </c>
      <c r="T792" t="str">
        <f>_xlfn.XLOOKUP(Table3[[#This Row],[Cuenta]],Table8[Nombre Cuenta ()],Table8[Nivel 3],"",0)</f>
        <v/>
      </c>
      <c r="U792">
        <v>1282</v>
      </c>
      <c r="V792" t="str">
        <f>_xlfn.XLOOKUP(Table3[[#This Row],[Cuenta]],Estructura_Balance[Nombre Cuenta ()],Estructura_Balance[Niveles:2],"",0)</f>
        <v/>
      </c>
      <c r="W792" t="str">
        <f>_xlfn.XLOOKUP(Table3[[#This Row],[Cuenta]],Estructura_Balance[Nombre Cuenta ()],Estructura_Balance[Niveles:3],"",0)</f>
        <v/>
      </c>
      <c r="X792" t="str">
        <f>_xlfn.XLOOKUP(Table3[[#This Row],[Cuenta]],Estructura_Balance[Nombre Cuenta ()],Estructura_Balance[Grupos],"Grupo 1",0)</f>
        <v>Grupo 1</v>
      </c>
      <c r="Y792" t="str">
        <f>+Table3[[#This Row],[BS_Nivel_1]]</f>
        <v/>
      </c>
    </row>
    <row r="793" spans="1:25">
      <c r="A793">
        <f>+'Libro Diario'!F1007</f>
        <v>0</v>
      </c>
      <c r="B793" s="144">
        <f>VALUE(IF(+'Libro Diario'!G1007="","01/01/2025",+'Libro Diario'!G1007))</f>
        <v>45658</v>
      </c>
      <c r="C793">
        <f>IF(ISNUMBER(+IF(IFERROR(VALUE(MID('Libro Diario'!C1007,1,4)),0)&lt;&gt;0,'Libro Diario'!C1007,0))=FALSE,'Libro Diario'!C1007,0)</f>
        <v>0</v>
      </c>
      <c r="D793" s="145">
        <f>+'Libro Diario'!B1007</f>
        <v>0</v>
      </c>
      <c r="E793" s="139" t="s">
        <v>445</v>
      </c>
      <c r="F793" t="str">
        <f t="shared" si="36"/>
        <v>Sin Mov.</v>
      </c>
      <c r="G793" t="str">
        <f>IF(+'Libro Diario'!H1007=0,"",+'Libro Diario'!H1007)</f>
        <v/>
      </c>
      <c r="H793" t="str">
        <f>IF(+'Libro Diario'!I1007=0,"",+'Libro Diario'!I1007)</f>
        <v/>
      </c>
      <c r="I793" t="str">
        <f>+IF(Table3[[#This Row],[Tipo Movimiento]]="Estructura Balance y PyG","Excluir","Incluir")</f>
        <v>Incluir</v>
      </c>
      <c r="J793" s="153">
        <f>+IF(Table3[[#This Row],[Sin cuenta]]="Con Mov.",(IF(Table3[[#This Row],[Movimiento]]="Debe",Table3[[#This Row],[Importe]],IF(Table3[[#This Row],[Movimiento]]="Haber",Table3[[#This Row],[Importe]]*-1,0))),0)</f>
        <v>0</v>
      </c>
      <c r="K793" s="145">
        <f t="shared" si="37"/>
        <v>0</v>
      </c>
      <c r="L793" s="145" t="str">
        <f t="shared" si="38"/>
        <v/>
      </c>
      <c r="M793" t="str">
        <f>_xlfn.XLOOKUP(Table3[[#This Row],[Cuenta]],Estructura_Balance[Nombre Cuenta ()],Estructura_Balance[Grupo],"",0)</f>
        <v/>
      </c>
      <c r="N793" t="str">
        <f>_xlfn.XLOOKUP(Table3[[#This Row],[Cuenta]],Estructura_Balance[Nombre Cuenta ()],Estructura_Balance[Nivel 1],"",0)</f>
        <v/>
      </c>
      <c r="O793" t="str">
        <f>_xlfn.XLOOKUP(Table3[[#This Row],[Cuenta]],Estructura_Balance[Nombre Cuenta ()],Estructura_Balance[Nivel 2],"",0)</f>
        <v/>
      </c>
      <c r="P793" t="str">
        <f>_xlfn.XLOOKUP(Table3[[#This Row],[Cuenta]],Estructura_Balance[Nombre Cuenta ()],Estructura_Balance[Nivel 3],"",0)</f>
        <v/>
      </c>
      <c r="Q793" t="str">
        <f>_xlfn.XLOOKUP(Table3[[#This Row],[Cuenta]],Estructura_Balance[Nombre Cuenta ()],Estructura_Balance[Nivel 4],"",0)</f>
        <v/>
      </c>
      <c r="R793" t="str">
        <f>_xlfn.XLOOKUP(Table3[[#This Row],[Cuenta]],Table8[Nombre Cuenta ()],Table8[Nivel 1],"",0)</f>
        <v/>
      </c>
      <c r="S793" t="str">
        <f>_xlfn.XLOOKUP(Table3[[#This Row],[Cuenta]],Table8[Nombre Cuenta ()],Table8[Nivel 2],"",0)</f>
        <v/>
      </c>
      <c r="T793" t="str">
        <f>_xlfn.XLOOKUP(Table3[[#This Row],[Cuenta]],Table8[Nombre Cuenta ()],Table8[Nivel 3],"",0)</f>
        <v/>
      </c>
      <c r="U793">
        <v>1285</v>
      </c>
      <c r="V793" t="str">
        <f>_xlfn.XLOOKUP(Table3[[#This Row],[Cuenta]],Estructura_Balance[Nombre Cuenta ()],Estructura_Balance[Niveles:2],"",0)</f>
        <v/>
      </c>
      <c r="W793" t="str">
        <f>_xlfn.XLOOKUP(Table3[[#This Row],[Cuenta]],Estructura_Balance[Nombre Cuenta ()],Estructura_Balance[Niveles:3],"",0)</f>
        <v/>
      </c>
      <c r="X793" t="str">
        <f>_xlfn.XLOOKUP(Table3[[#This Row],[Cuenta]],Estructura_Balance[Nombre Cuenta ()],Estructura_Balance[Grupos],"Grupo 1",0)</f>
        <v>Grupo 1</v>
      </c>
      <c r="Y793" t="str">
        <f>+Table3[[#This Row],[BS_Nivel_1]]</f>
        <v/>
      </c>
    </row>
    <row r="794" spans="1:25">
      <c r="A794">
        <f>+'Libro Diario'!F1008</f>
        <v>0</v>
      </c>
      <c r="B794" s="144">
        <f>VALUE(IF(+'Libro Diario'!G1008="","01/01/2025",+'Libro Diario'!G1008))</f>
        <v>45658</v>
      </c>
      <c r="C794">
        <f>IF(ISNUMBER(+IF(IFERROR(VALUE(MID('Libro Diario'!C1008,1,4)),0)&lt;&gt;0,'Libro Diario'!C1008,0))=FALSE,'Libro Diario'!C1008,0)</f>
        <v>0</v>
      </c>
      <c r="D794" s="145">
        <f>+'Libro Diario'!B1008</f>
        <v>0</v>
      </c>
      <c r="E794" s="139" t="s">
        <v>445</v>
      </c>
      <c r="F794" t="str">
        <f t="shared" si="36"/>
        <v>Sin Mov.</v>
      </c>
      <c r="G794" t="str">
        <f>IF(+'Libro Diario'!H1008=0,"",+'Libro Diario'!H1008)</f>
        <v/>
      </c>
      <c r="H794" t="str">
        <f>IF(+'Libro Diario'!I1008=0,"",+'Libro Diario'!I1008)</f>
        <v/>
      </c>
      <c r="I794" t="str">
        <f>+IF(Table3[[#This Row],[Tipo Movimiento]]="Estructura Balance y PyG","Excluir","Incluir")</f>
        <v>Incluir</v>
      </c>
      <c r="J794" s="153">
        <f>+IF(Table3[[#This Row],[Sin cuenta]]="Con Mov.",(IF(Table3[[#This Row],[Movimiento]]="Debe",Table3[[#This Row],[Importe]],IF(Table3[[#This Row],[Movimiento]]="Haber",Table3[[#This Row],[Importe]]*-1,0))),0)</f>
        <v>0</v>
      </c>
      <c r="K794" s="145">
        <f t="shared" si="37"/>
        <v>0</v>
      </c>
      <c r="L794" s="145" t="str">
        <f t="shared" si="38"/>
        <v/>
      </c>
      <c r="M794" t="str">
        <f>_xlfn.XLOOKUP(Table3[[#This Row],[Cuenta]],Estructura_Balance[Nombre Cuenta ()],Estructura_Balance[Grupo],"",0)</f>
        <v/>
      </c>
      <c r="N794" t="str">
        <f>_xlfn.XLOOKUP(Table3[[#This Row],[Cuenta]],Estructura_Balance[Nombre Cuenta ()],Estructura_Balance[Nivel 1],"",0)</f>
        <v/>
      </c>
      <c r="O794" t="str">
        <f>_xlfn.XLOOKUP(Table3[[#This Row],[Cuenta]],Estructura_Balance[Nombre Cuenta ()],Estructura_Balance[Nivel 2],"",0)</f>
        <v/>
      </c>
      <c r="P794" t="str">
        <f>_xlfn.XLOOKUP(Table3[[#This Row],[Cuenta]],Estructura_Balance[Nombre Cuenta ()],Estructura_Balance[Nivel 3],"",0)</f>
        <v/>
      </c>
      <c r="Q794" t="str">
        <f>_xlfn.XLOOKUP(Table3[[#This Row],[Cuenta]],Estructura_Balance[Nombre Cuenta ()],Estructura_Balance[Nivel 4],"",0)</f>
        <v/>
      </c>
      <c r="R794" t="str">
        <f>_xlfn.XLOOKUP(Table3[[#This Row],[Cuenta]],Table8[Nombre Cuenta ()],Table8[Nivel 1],"",0)</f>
        <v/>
      </c>
      <c r="S794" t="str">
        <f>_xlfn.XLOOKUP(Table3[[#This Row],[Cuenta]],Table8[Nombre Cuenta ()],Table8[Nivel 2],"",0)</f>
        <v/>
      </c>
      <c r="T794" t="str">
        <f>_xlfn.XLOOKUP(Table3[[#This Row],[Cuenta]],Table8[Nombre Cuenta ()],Table8[Nivel 3],"",0)</f>
        <v/>
      </c>
      <c r="U794">
        <v>1286</v>
      </c>
      <c r="V794" t="str">
        <f>_xlfn.XLOOKUP(Table3[[#This Row],[Cuenta]],Estructura_Balance[Nombre Cuenta ()],Estructura_Balance[Niveles:2],"",0)</f>
        <v/>
      </c>
      <c r="W794" t="str">
        <f>_xlfn.XLOOKUP(Table3[[#This Row],[Cuenta]],Estructura_Balance[Nombre Cuenta ()],Estructura_Balance[Niveles:3],"",0)</f>
        <v/>
      </c>
      <c r="X794" t="str">
        <f>_xlfn.XLOOKUP(Table3[[#This Row],[Cuenta]],Estructura_Balance[Nombre Cuenta ()],Estructura_Balance[Grupos],"Grupo 1",0)</f>
        <v>Grupo 1</v>
      </c>
      <c r="Y794" t="str">
        <f>+Table3[[#This Row],[BS_Nivel_1]]</f>
        <v/>
      </c>
    </row>
    <row r="795" spans="1:25">
      <c r="A795">
        <f>+'Libro Diario'!F1009</f>
        <v>0</v>
      </c>
      <c r="B795" s="144">
        <f>VALUE(IF(+'Libro Diario'!G1009="","01/01/2025",+'Libro Diario'!G1009))</f>
        <v>45658</v>
      </c>
      <c r="C795">
        <f>IF(ISNUMBER(+IF(IFERROR(VALUE(MID('Libro Diario'!C1009,1,4)),0)&lt;&gt;0,'Libro Diario'!C1009,0))=FALSE,'Libro Diario'!C1009,0)</f>
        <v>0</v>
      </c>
      <c r="D795" s="145">
        <f>+'Libro Diario'!B1009</f>
        <v>0</v>
      </c>
      <c r="E795" s="139" t="s">
        <v>445</v>
      </c>
      <c r="F795" t="str">
        <f t="shared" si="36"/>
        <v>Sin Mov.</v>
      </c>
      <c r="G795" t="str">
        <f>IF(+'Libro Diario'!H1009=0,"",+'Libro Diario'!H1009)</f>
        <v/>
      </c>
      <c r="H795" t="str">
        <f>IF(+'Libro Diario'!I1009=0,"",+'Libro Diario'!I1009)</f>
        <v/>
      </c>
      <c r="I795" t="str">
        <f>+IF(Table3[[#This Row],[Tipo Movimiento]]="Estructura Balance y PyG","Excluir","Incluir")</f>
        <v>Incluir</v>
      </c>
      <c r="J795" s="153">
        <f>+IF(Table3[[#This Row],[Sin cuenta]]="Con Mov.",(IF(Table3[[#This Row],[Movimiento]]="Debe",Table3[[#This Row],[Importe]],IF(Table3[[#This Row],[Movimiento]]="Haber",Table3[[#This Row],[Importe]]*-1,0))),0)</f>
        <v>0</v>
      </c>
      <c r="K795" s="145">
        <f t="shared" si="37"/>
        <v>0</v>
      </c>
      <c r="L795" s="145" t="str">
        <f t="shared" si="38"/>
        <v/>
      </c>
      <c r="M795" t="str">
        <f>_xlfn.XLOOKUP(Table3[[#This Row],[Cuenta]],Estructura_Balance[Nombre Cuenta ()],Estructura_Balance[Grupo],"",0)</f>
        <v/>
      </c>
      <c r="N795" t="str">
        <f>_xlfn.XLOOKUP(Table3[[#This Row],[Cuenta]],Estructura_Balance[Nombre Cuenta ()],Estructura_Balance[Nivel 1],"",0)</f>
        <v/>
      </c>
      <c r="O795" t="str">
        <f>_xlfn.XLOOKUP(Table3[[#This Row],[Cuenta]],Estructura_Balance[Nombre Cuenta ()],Estructura_Balance[Nivel 2],"",0)</f>
        <v/>
      </c>
      <c r="P795" t="str">
        <f>_xlfn.XLOOKUP(Table3[[#This Row],[Cuenta]],Estructura_Balance[Nombre Cuenta ()],Estructura_Balance[Nivel 3],"",0)</f>
        <v/>
      </c>
      <c r="Q795" t="str">
        <f>_xlfn.XLOOKUP(Table3[[#This Row],[Cuenta]],Estructura_Balance[Nombre Cuenta ()],Estructura_Balance[Nivel 4],"",0)</f>
        <v/>
      </c>
      <c r="R795" t="str">
        <f>_xlfn.XLOOKUP(Table3[[#This Row],[Cuenta]],Table8[Nombre Cuenta ()],Table8[Nivel 1],"",0)</f>
        <v/>
      </c>
      <c r="S795" t="str">
        <f>_xlfn.XLOOKUP(Table3[[#This Row],[Cuenta]],Table8[Nombre Cuenta ()],Table8[Nivel 2],"",0)</f>
        <v/>
      </c>
      <c r="T795" t="str">
        <f>_xlfn.XLOOKUP(Table3[[#This Row],[Cuenta]],Table8[Nombre Cuenta ()],Table8[Nivel 3],"",0)</f>
        <v/>
      </c>
      <c r="U795">
        <v>1287</v>
      </c>
      <c r="V795" t="str">
        <f>_xlfn.XLOOKUP(Table3[[#This Row],[Cuenta]],Estructura_Balance[Nombre Cuenta ()],Estructura_Balance[Niveles:2],"",0)</f>
        <v/>
      </c>
      <c r="W795" t="str">
        <f>_xlfn.XLOOKUP(Table3[[#This Row],[Cuenta]],Estructura_Balance[Nombre Cuenta ()],Estructura_Balance[Niveles:3],"",0)</f>
        <v/>
      </c>
      <c r="X795" t="str">
        <f>_xlfn.XLOOKUP(Table3[[#This Row],[Cuenta]],Estructura_Balance[Nombre Cuenta ()],Estructura_Balance[Grupos],"Grupo 1",0)</f>
        <v>Grupo 1</v>
      </c>
      <c r="Y795" t="str">
        <f>+Table3[[#This Row],[BS_Nivel_1]]</f>
        <v/>
      </c>
    </row>
    <row r="796" spans="1:25">
      <c r="A796">
        <f>+'Libro Diario'!F1010</f>
        <v>0</v>
      </c>
      <c r="B796" s="144">
        <f>VALUE(IF(+'Libro Diario'!G1010="","01/01/2025",+'Libro Diario'!G1010))</f>
        <v>45658</v>
      </c>
      <c r="C796">
        <f>IF(ISNUMBER(+IF(IFERROR(VALUE(MID('Libro Diario'!C1010,1,4)),0)&lt;&gt;0,'Libro Diario'!C1010,0))=FALSE,'Libro Diario'!C1010,0)</f>
        <v>0</v>
      </c>
      <c r="D796" s="145">
        <f>+'Libro Diario'!B1010</f>
        <v>0</v>
      </c>
      <c r="E796" s="139" t="s">
        <v>445</v>
      </c>
      <c r="F796" t="str">
        <f t="shared" si="36"/>
        <v>Sin Mov.</v>
      </c>
      <c r="G796" t="str">
        <f>IF(+'Libro Diario'!H1010=0,"",+'Libro Diario'!H1010)</f>
        <v/>
      </c>
      <c r="H796" t="str">
        <f>IF(+'Libro Diario'!I1010=0,"",+'Libro Diario'!I1010)</f>
        <v/>
      </c>
      <c r="I796" t="str">
        <f>+IF(Table3[[#This Row],[Tipo Movimiento]]="Estructura Balance y PyG","Excluir","Incluir")</f>
        <v>Incluir</v>
      </c>
      <c r="J796" s="153">
        <f>+IF(Table3[[#This Row],[Sin cuenta]]="Con Mov.",(IF(Table3[[#This Row],[Movimiento]]="Debe",Table3[[#This Row],[Importe]],IF(Table3[[#This Row],[Movimiento]]="Haber",Table3[[#This Row],[Importe]]*-1,0))),0)</f>
        <v>0</v>
      </c>
      <c r="K796" s="145">
        <f t="shared" si="37"/>
        <v>0</v>
      </c>
      <c r="L796" s="145" t="str">
        <f t="shared" si="38"/>
        <v/>
      </c>
      <c r="M796" t="str">
        <f>_xlfn.XLOOKUP(Table3[[#This Row],[Cuenta]],Estructura_Balance[Nombre Cuenta ()],Estructura_Balance[Grupo],"",0)</f>
        <v/>
      </c>
      <c r="N796" t="str">
        <f>_xlfn.XLOOKUP(Table3[[#This Row],[Cuenta]],Estructura_Balance[Nombre Cuenta ()],Estructura_Balance[Nivel 1],"",0)</f>
        <v/>
      </c>
      <c r="O796" t="str">
        <f>_xlfn.XLOOKUP(Table3[[#This Row],[Cuenta]],Estructura_Balance[Nombre Cuenta ()],Estructura_Balance[Nivel 2],"",0)</f>
        <v/>
      </c>
      <c r="P796" t="str">
        <f>_xlfn.XLOOKUP(Table3[[#This Row],[Cuenta]],Estructura_Balance[Nombre Cuenta ()],Estructura_Balance[Nivel 3],"",0)</f>
        <v/>
      </c>
      <c r="Q796" t="str">
        <f>_xlfn.XLOOKUP(Table3[[#This Row],[Cuenta]],Estructura_Balance[Nombre Cuenta ()],Estructura_Balance[Nivel 4],"",0)</f>
        <v/>
      </c>
      <c r="R796" t="str">
        <f>_xlfn.XLOOKUP(Table3[[#This Row],[Cuenta]],Table8[Nombre Cuenta ()],Table8[Nivel 1],"",0)</f>
        <v/>
      </c>
      <c r="S796" t="str">
        <f>_xlfn.XLOOKUP(Table3[[#This Row],[Cuenta]],Table8[Nombre Cuenta ()],Table8[Nivel 2],"",0)</f>
        <v/>
      </c>
      <c r="T796" t="str">
        <f>_xlfn.XLOOKUP(Table3[[#This Row],[Cuenta]],Table8[Nombre Cuenta ()],Table8[Nivel 3],"",0)</f>
        <v/>
      </c>
      <c r="U796">
        <v>1288</v>
      </c>
      <c r="V796" t="str">
        <f>_xlfn.XLOOKUP(Table3[[#This Row],[Cuenta]],Estructura_Balance[Nombre Cuenta ()],Estructura_Balance[Niveles:2],"",0)</f>
        <v/>
      </c>
      <c r="W796" t="str">
        <f>_xlfn.XLOOKUP(Table3[[#This Row],[Cuenta]],Estructura_Balance[Nombre Cuenta ()],Estructura_Balance[Niveles:3],"",0)</f>
        <v/>
      </c>
      <c r="X796" t="str">
        <f>_xlfn.XLOOKUP(Table3[[#This Row],[Cuenta]],Estructura_Balance[Nombre Cuenta ()],Estructura_Balance[Grupos],"Grupo 1",0)</f>
        <v>Grupo 1</v>
      </c>
      <c r="Y796" t="str">
        <f>+Table3[[#This Row],[BS_Nivel_1]]</f>
        <v/>
      </c>
    </row>
    <row r="797" spans="1:25">
      <c r="A797">
        <f>+'Libro Diario'!F14</f>
        <v>0</v>
      </c>
      <c r="B797" s="144">
        <f>VALUE(IF(+'Libro Diario'!G14="","01/01/2025",+'Libro Diario'!G14))</f>
        <v>45658</v>
      </c>
      <c r="C797" t="str">
        <f>IF(ISNUMBER(+IF(IFERROR(VALUE(MID('Libro Diario'!D14,1,4)),0)&lt;&gt;0,'Libro Diario'!D14,0))=FALSE,'Libro Diario'!D14,0)</f>
        <v>100 -  Capital social</v>
      </c>
      <c r="D797" s="145">
        <f>+'Libro Diario'!E14</f>
        <v>0</v>
      </c>
      <c r="E797" s="139" t="s">
        <v>446</v>
      </c>
      <c r="F797" t="str">
        <f t="shared" si="36"/>
        <v>Con Mov.</v>
      </c>
      <c r="G797" t="str">
        <f>IF(+'Libro Diario'!H14=0,"",+'Libro Diario'!H14)</f>
        <v>Estructura Balance y PyG</v>
      </c>
      <c r="H797" t="str">
        <f>IF(+'Libro Diario'!I14=0,"",+'Libro Diario'!I14)</f>
        <v>Saldo Inicial</v>
      </c>
      <c r="I797" t="str">
        <f>+IF(Table3[[#This Row],[Tipo Movimiento]]="Estructura Balance y PyG","Excluir","Incluir")</f>
        <v>Excluir</v>
      </c>
      <c r="J797" s="153">
        <f>+IF(Table3[[#This Row],[Sin cuenta]]="Con Mov.",(IF(Table3[[#This Row],[Movimiento]]="Debe",Table3[[#This Row],[Importe]],IF(Table3[[#This Row],[Movimiento]]="Haber",Table3[[#This Row],[Importe]]*-1,0))),0)</f>
        <v>0</v>
      </c>
      <c r="K797" s="145" t="str">
        <f t="shared" si="37"/>
        <v/>
      </c>
      <c r="L797" s="145">
        <f t="shared" si="38"/>
        <v>0</v>
      </c>
      <c r="M797" t="str">
        <f>_xlfn.XLOOKUP(Table3[[#This Row],[Cuenta]],Estructura_Balance[Nombre Cuenta ()],Estructura_Balance[Grupo],"",0)</f>
        <v>Grupo 1 - 
Financiación básica
PN y PNC (L/P)</v>
      </c>
      <c r="N797" t="str">
        <f>_xlfn.XLOOKUP(Table3[[#This Row],[Cuenta]],Estructura_Balance[Nombre Cuenta ()],Estructura_Balance[Nivel 1],"",0)</f>
        <v>PATRIMONIO NETO Y PASIVO</v>
      </c>
      <c r="O797" t="str">
        <f>_xlfn.XLOOKUP(Table3[[#This Row],[Cuenta]],Estructura_Balance[Nombre Cuenta ()],Estructura_Balance[Nivel 2],"",0)</f>
        <v>A) PATRIMONIO NETO</v>
      </c>
      <c r="P797" t="str">
        <f>_xlfn.XLOOKUP(Table3[[#This Row],[Cuenta]],Estructura_Balance[Nombre Cuenta ()],Estructura_Balance[Nivel 3],"",0)</f>
        <v>I. Capital</v>
      </c>
      <c r="Q797" t="str">
        <f>_xlfn.XLOOKUP(Table3[[#This Row],[Cuenta]],Estructura_Balance[Nombre Cuenta ()],Estructura_Balance[Nivel 4],"",0)</f>
        <v>1. Capital Social</v>
      </c>
      <c r="R797" t="str">
        <f>_xlfn.XLOOKUP(Table3[[#This Row],[Cuenta]],Table8[Nombre Cuenta ()],Table8[Nivel 1],"",0)</f>
        <v/>
      </c>
      <c r="S797" t="str">
        <f>_xlfn.XLOOKUP(Table3[[#This Row],[Cuenta]],Table8[Nombre Cuenta ()],Table8[Nivel 2],"",0)</f>
        <v/>
      </c>
      <c r="T797" t="str">
        <f>_xlfn.XLOOKUP(Table3[[#This Row],[Cuenta]],Table8[Nombre Cuenta ()],Table8[Nivel 3],"",0)</f>
        <v/>
      </c>
      <c r="U797">
        <v>1289</v>
      </c>
      <c r="V797" t="str">
        <f>_xlfn.XLOOKUP(Table3[[#This Row],[Cuenta]],Estructura_Balance[Nombre Cuenta ()],Estructura_Balance[Niveles:2],"",0)</f>
        <v>10</v>
      </c>
      <c r="W797" t="str">
        <f>_xlfn.XLOOKUP(Table3[[#This Row],[Cuenta]],Estructura_Balance[Nombre Cuenta ()],Estructura_Balance[Niveles:3],"",0)</f>
        <v>100</v>
      </c>
      <c r="X797" t="str">
        <f>_xlfn.XLOOKUP(Table3[[#This Row],[Cuenta]],Estructura_Balance[Nombre Cuenta ()],Estructura_Balance[Grupos],"Grupo 1",0)</f>
        <v>Grupo 1</v>
      </c>
      <c r="Y797" t="str">
        <f>+Table3[[#This Row],[BS_Nivel_1]]</f>
        <v>PATRIMONIO NETO Y PASIVO</v>
      </c>
    </row>
    <row r="798" spans="1:25">
      <c r="A798">
        <f>+'Libro Diario'!F15</f>
        <v>0</v>
      </c>
      <c r="B798" s="144">
        <f>VALUE(IF(+'Libro Diario'!G15="","01/01/2025",+'Libro Diario'!G15))</f>
        <v>45658</v>
      </c>
      <c r="C798" t="str">
        <f>IF(ISNUMBER(+IF(IFERROR(VALUE(MID('Libro Diario'!D15,1,4)),0)&lt;&gt;0,'Libro Diario'!D15,0))=FALSE,'Libro Diario'!D15,0)</f>
        <v>110 -  Prima de emisión o asunción</v>
      </c>
      <c r="D798" s="145">
        <f>+'Libro Diario'!E15</f>
        <v>0</v>
      </c>
      <c r="E798" s="139" t="s">
        <v>446</v>
      </c>
      <c r="F798" t="str">
        <f t="shared" si="36"/>
        <v>Con Mov.</v>
      </c>
      <c r="G798" t="str">
        <f>IF(+'Libro Diario'!H15=0,"",+'Libro Diario'!H15)</f>
        <v>Estructura Balance y PyG</v>
      </c>
      <c r="H798" t="str">
        <f>IF(+'Libro Diario'!I15=0,"",+'Libro Diario'!I15)</f>
        <v>Saldo Inicial</v>
      </c>
      <c r="I798" t="str">
        <f>+IF(Table3[[#This Row],[Tipo Movimiento]]="Estructura Balance y PyG","Excluir","Incluir")</f>
        <v>Excluir</v>
      </c>
      <c r="J798" s="153">
        <f>+IF(Table3[[#This Row],[Sin cuenta]]="Con Mov.",(IF(Table3[[#This Row],[Movimiento]]="Debe",Table3[[#This Row],[Importe]],IF(Table3[[#This Row],[Movimiento]]="Haber",Table3[[#This Row],[Importe]]*-1,0))),0)</f>
        <v>0</v>
      </c>
      <c r="K798" s="145" t="str">
        <f t="shared" si="37"/>
        <v/>
      </c>
      <c r="L798" s="145">
        <f t="shared" si="38"/>
        <v>0</v>
      </c>
      <c r="M798" t="str">
        <f>_xlfn.XLOOKUP(Table3[[#This Row],[Cuenta]],Estructura_Balance[Nombre Cuenta ()],Estructura_Balance[Grupo],"",0)</f>
        <v>Grupo 1 - 
Financiación básica
PN y PNC (L/P)</v>
      </c>
      <c r="N798" t="str">
        <f>_xlfn.XLOOKUP(Table3[[#This Row],[Cuenta]],Estructura_Balance[Nombre Cuenta ()],Estructura_Balance[Nivel 1],"",0)</f>
        <v>PATRIMONIO NETO Y PASIVO</v>
      </c>
      <c r="O798" t="str">
        <f>_xlfn.XLOOKUP(Table3[[#This Row],[Cuenta]],Estructura_Balance[Nombre Cuenta ()],Estructura_Balance[Nivel 2],"",0)</f>
        <v>A) PATRIMONIO NETO</v>
      </c>
      <c r="P798" t="str">
        <f>_xlfn.XLOOKUP(Table3[[#This Row],[Cuenta]],Estructura_Balance[Nombre Cuenta ()],Estructura_Balance[Nivel 3],"",0)</f>
        <v>II. Prima de emisión</v>
      </c>
      <c r="Q798" t="str">
        <f>_xlfn.XLOOKUP(Table3[[#This Row],[Cuenta]],Estructura_Balance[Nombre Cuenta ()],Estructura_Balance[Nivel 4],"",0)</f>
        <v>1. Prima de emisión</v>
      </c>
      <c r="R798" t="str">
        <f>_xlfn.XLOOKUP(Table3[[#This Row],[Cuenta]],Table8[Nombre Cuenta ()],Table8[Nivel 1],"",0)</f>
        <v/>
      </c>
      <c r="S798" t="str">
        <f>_xlfn.XLOOKUP(Table3[[#This Row],[Cuenta]],Table8[Nombre Cuenta ()],Table8[Nivel 2],"",0)</f>
        <v/>
      </c>
      <c r="T798" t="str">
        <f>_xlfn.XLOOKUP(Table3[[#This Row],[Cuenta]],Table8[Nombre Cuenta ()],Table8[Nivel 3],"",0)</f>
        <v/>
      </c>
      <c r="U798">
        <v>1292</v>
      </c>
      <c r="V798">
        <f>_xlfn.XLOOKUP(Table3[[#This Row],[Cuenta]],Estructura_Balance[Nombre Cuenta ()],Estructura_Balance[Niveles:2],"",0)</f>
        <v>11</v>
      </c>
      <c r="W798" t="str">
        <f>_xlfn.XLOOKUP(Table3[[#This Row],[Cuenta]],Estructura_Balance[Nombre Cuenta ()],Estructura_Balance[Niveles:3],"",0)</f>
        <v>110</v>
      </c>
      <c r="X798" t="str">
        <f>_xlfn.XLOOKUP(Table3[[#This Row],[Cuenta]],Estructura_Balance[Nombre Cuenta ()],Estructura_Balance[Grupos],"Grupo 1",0)</f>
        <v>Grupo 1</v>
      </c>
      <c r="Y798" t="str">
        <f>+Table3[[#This Row],[BS_Nivel_1]]</f>
        <v>PATRIMONIO NETO Y PASIVO</v>
      </c>
    </row>
    <row r="799" spans="1:25">
      <c r="A799">
        <f>+'Libro Diario'!F16</f>
        <v>0</v>
      </c>
      <c r="B799" s="144">
        <f>VALUE(IF(+'Libro Diario'!G16="","01/01/2025",+'Libro Diario'!G16))</f>
        <v>45658</v>
      </c>
      <c r="C799" t="str">
        <f>IF(ISNUMBER(+IF(IFERROR(VALUE(MID('Libro Diario'!D16,1,4)),0)&lt;&gt;0,'Libro Diario'!D16,0))=FALSE,'Libro Diario'!D16,0)</f>
        <v>113 -  Reservas voluntarias</v>
      </c>
      <c r="D799" s="145">
        <f>+'Libro Diario'!E16</f>
        <v>0</v>
      </c>
      <c r="E799" s="139" t="s">
        <v>446</v>
      </c>
      <c r="F799" t="str">
        <f t="shared" si="36"/>
        <v>Con Mov.</v>
      </c>
      <c r="G799" t="str">
        <f>IF(+'Libro Diario'!H16=0,"",+'Libro Diario'!H16)</f>
        <v>Estructura Balance y PyG</v>
      </c>
      <c r="H799" t="str">
        <f>IF(+'Libro Diario'!I16=0,"",+'Libro Diario'!I16)</f>
        <v>Saldo Inicial</v>
      </c>
      <c r="I799" t="str">
        <f>+IF(Table3[[#This Row],[Tipo Movimiento]]="Estructura Balance y PyG","Excluir","Incluir")</f>
        <v>Excluir</v>
      </c>
      <c r="J799" s="153">
        <f>+IF(Table3[[#This Row],[Sin cuenta]]="Con Mov.",(IF(Table3[[#This Row],[Movimiento]]="Debe",Table3[[#This Row],[Importe]],IF(Table3[[#This Row],[Movimiento]]="Haber",Table3[[#This Row],[Importe]]*-1,0))),0)</f>
        <v>0</v>
      </c>
      <c r="K799" s="145" t="str">
        <f t="shared" si="37"/>
        <v/>
      </c>
      <c r="L799" s="145">
        <f t="shared" si="38"/>
        <v>0</v>
      </c>
      <c r="M799" t="str">
        <f>_xlfn.XLOOKUP(Table3[[#This Row],[Cuenta]],Estructura_Balance[Nombre Cuenta ()],Estructura_Balance[Grupo],"",0)</f>
        <v>Grupo 1 - 
Financiación básica
PN y PNC (L/P)</v>
      </c>
      <c r="N799" t="str">
        <f>_xlfn.XLOOKUP(Table3[[#This Row],[Cuenta]],Estructura_Balance[Nombre Cuenta ()],Estructura_Balance[Nivel 1],"",0)</f>
        <v>PATRIMONIO NETO Y PASIVO</v>
      </c>
      <c r="O799" t="str">
        <f>_xlfn.XLOOKUP(Table3[[#This Row],[Cuenta]],Estructura_Balance[Nombre Cuenta ()],Estructura_Balance[Nivel 2],"",0)</f>
        <v>A) PATRIMONIO NETO</v>
      </c>
      <c r="P799" t="str">
        <f>_xlfn.XLOOKUP(Table3[[#This Row],[Cuenta]],Estructura_Balance[Nombre Cuenta ()],Estructura_Balance[Nivel 3],"",0)</f>
        <v>III. Reservas</v>
      </c>
      <c r="Q799" t="str">
        <f>_xlfn.XLOOKUP(Table3[[#This Row],[Cuenta]],Estructura_Balance[Nombre Cuenta ()],Estructura_Balance[Nivel 4],"",0)</f>
        <v>1. Reservas</v>
      </c>
      <c r="R799" t="str">
        <f>_xlfn.XLOOKUP(Table3[[#This Row],[Cuenta]],Table8[Nombre Cuenta ()],Table8[Nivel 1],"",0)</f>
        <v/>
      </c>
      <c r="S799" t="str">
        <f>_xlfn.XLOOKUP(Table3[[#This Row],[Cuenta]],Table8[Nombre Cuenta ()],Table8[Nivel 2],"",0)</f>
        <v/>
      </c>
      <c r="T799" t="str">
        <f>_xlfn.XLOOKUP(Table3[[#This Row],[Cuenta]],Table8[Nombre Cuenta ()],Table8[Nivel 3],"",0)</f>
        <v/>
      </c>
      <c r="U799">
        <v>1293</v>
      </c>
      <c r="V799" t="str">
        <f>_xlfn.XLOOKUP(Table3[[#This Row],[Cuenta]],Estructura_Balance[Nombre Cuenta ()],Estructura_Balance[Niveles:2],"",0)</f>
        <v>11</v>
      </c>
      <c r="W799" t="str">
        <f>_xlfn.XLOOKUP(Table3[[#This Row],[Cuenta]],Estructura_Balance[Nombre Cuenta ()],Estructura_Balance[Niveles:3],"",0)</f>
        <v>113</v>
      </c>
      <c r="X799" t="str">
        <f>_xlfn.XLOOKUP(Table3[[#This Row],[Cuenta]],Estructura_Balance[Nombre Cuenta ()],Estructura_Balance[Grupos],"Grupo 1",0)</f>
        <v>Grupo 1</v>
      </c>
      <c r="Y799" t="str">
        <f>+Table3[[#This Row],[BS_Nivel_1]]</f>
        <v>PATRIMONIO NETO Y PASIVO</v>
      </c>
    </row>
    <row r="800" spans="1:25">
      <c r="A800">
        <f>+'Libro Diario'!F17</f>
        <v>0</v>
      </c>
      <c r="B800" s="144">
        <f>VALUE(IF(+'Libro Diario'!G17="","01/01/2025",+'Libro Diario'!G17))</f>
        <v>45658</v>
      </c>
      <c r="C800" t="str">
        <f>IF(ISNUMBER(+IF(IFERROR(VALUE(MID('Libro Diario'!D17,1,4)),0)&lt;&gt;0,'Libro Diario'!D17,0))=FALSE,'Libro Diario'!D17,0)</f>
        <v>108 -  Acciones o participaciones propias en situaciones especiales</v>
      </c>
      <c r="D800" s="145">
        <f>+'Libro Diario'!E17</f>
        <v>0</v>
      </c>
      <c r="E800" s="139" t="s">
        <v>446</v>
      </c>
      <c r="F800" t="str">
        <f t="shared" si="36"/>
        <v>Con Mov.</v>
      </c>
      <c r="G800" t="str">
        <f>IF(+'Libro Diario'!H17=0,"",+'Libro Diario'!H17)</f>
        <v>Estructura Balance y PyG</v>
      </c>
      <c r="H800" t="str">
        <f>IF(+'Libro Diario'!I17=0,"",+'Libro Diario'!I17)</f>
        <v>Saldo Inicial</v>
      </c>
      <c r="I800" t="str">
        <f>+IF(Table3[[#This Row],[Tipo Movimiento]]="Estructura Balance y PyG","Excluir","Incluir")</f>
        <v>Excluir</v>
      </c>
      <c r="J800" s="153">
        <f>+IF(Table3[[#This Row],[Sin cuenta]]="Con Mov.",(IF(Table3[[#This Row],[Movimiento]]="Debe",Table3[[#This Row],[Importe]],IF(Table3[[#This Row],[Movimiento]]="Haber",Table3[[#This Row],[Importe]]*-1,0))),0)</f>
        <v>0</v>
      </c>
      <c r="K800" s="145" t="str">
        <f t="shared" si="37"/>
        <v/>
      </c>
      <c r="L800" s="145">
        <f t="shared" si="38"/>
        <v>0</v>
      </c>
      <c r="M800" t="str">
        <f>_xlfn.XLOOKUP(Table3[[#This Row],[Cuenta]],Estructura_Balance[Nombre Cuenta ()],Estructura_Balance[Grupo],"",0)</f>
        <v>Grupo 1 - 
Financiación básica
PN y PNC (L/P)</v>
      </c>
      <c r="N800" t="str">
        <f>_xlfn.XLOOKUP(Table3[[#This Row],[Cuenta]],Estructura_Balance[Nombre Cuenta ()],Estructura_Balance[Nivel 1],"",0)</f>
        <v>PATRIMONIO NETO Y PASIVO</v>
      </c>
      <c r="O800" t="str">
        <f>_xlfn.XLOOKUP(Table3[[#This Row],[Cuenta]],Estructura_Balance[Nombre Cuenta ()],Estructura_Balance[Nivel 2],"",0)</f>
        <v>A) PATRIMONIO NETO</v>
      </c>
      <c r="P800" t="str">
        <f>_xlfn.XLOOKUP(Table3[[#This Row],[Cuenta]],Estructura_Balance[Nombre Cuenta ()],Estructura_Balance[Nivel 3],"",0)</f>
        <v>IV. Acciones y participaciones en patrimonio propias</v>
      </c>
      <c r="Q800" t="str">
        <f>_xlfn.XLOOKUP(Table3[[#This Row],[Cuenta]],Estructura_Balance[Nombre Cuenta ()],Estructura_Balance[Nivel 4],"",0)</f>
        <v>1. Acciones y participaciones en patrimonio propias</v>
      </c>
      <c r="R800" t="str">
        <f>_xlfn.XLOOKUP(Table3[[#This Row],[Cuenta]],Table8[Nombre Cuenta ()],Table8[Nivel 1],"",0)</f>
        <v/>
      </c>
      <c r="S800" t="str">
        <f>_xlfn.XLOOKUP(Table3[[#This Row],[Cuenta]],Table8[Nombre Cuenta ()],Table8[Nivel 2],"",0)</f>
        <v/>
      </c>
      <c r="T800" t="str">
        <f>_xlfn.XLOOKUP(Table3[[#This Row],[Cuenta]],Table8[Nombre Cuenta ()],Table8[Nivel 3],"",0)</f>
        <v/>
      </c>
      <c r="U800">
        <v>1294</v>
      </c>
      <c r="V800">
        <f>_xlfn.XLOOKUP(Table3[[#This Row],[Cuenta]],Estructura_Balance[Nombre Cuenta ()],Estructura_Balance[Niveles:2],"",0)</f>
        <v>10</v>
      </c>
      <c r="W800" t="str">
        <f>_xlfn.XLOOKUP(Table3[[#This Row],[Cuenta]],Estructura_Balance[Nombre Cuenta ()],Estructura_Balance[Niveles:3],"",0)</f>
        <v>108</v>
      </c>
      <c r="X800" t="str">
        <f>_xlfn.XLOOKUP(Table3[[#This Row],[Cuenta]],Estructura_Balance[Nombre Cuenta ()],Estructura_Balance[Grupos],"Grupo 1",0)</f>
        <v>Grupo 1</v>
      </c>
      <c r="Y800" t="str">
        <f>+Table3[[#This Row],[BS_Nivel_1]]</f>
        <v>PATRIMONIO NETO Y PASIVO</v>
      </c>
    </row>
    <row r="801" spans="1:25">
      <c r="A801">
        <f>+'Libro Diario'!F18</f>
        <v>0</v>
      </c>
      <c r="B801" s="144">
        <f>VALUE(IF(+'Libro Diario'!G18="","01/01/2025",+'Libro Diario'!G18))</f>
        <v>45658</v>
      </c>
      <c r="C801" t="str">
        <f>IF(ISNUMBER(+IF(IFERROR(VALUE(MID('Libro Diario'!D18,1,4)),0)&lt;&gt;0,'Libro Diario'!D18,0))=FALSE,'Libro Diario'!D18,0)</f>
        <v>120 -  Remanente</v>
      </c>
      <c r="D801" s="145">
        <f>+'Libro Diario'!E18</f>
        <v>0</v>
      </c>
      <c r="E801" s="139" t="s">
        <v>446</v>
      </c>
      <c r="F801" t="str">
        <f t="shared" si="36"/>
        <v>Con Mov.</v>
      </c>
      <c r="G801" t="str">
        <f>IF(+'Libro Diario'!H18=0,"",+'Libro Diario'!H18)</f>
        <v>Estructura Balance y PyG</v>
      </c>
      <c r="H801" t="str">
        <f>IF(+'Libro Diario'!I18=0,"",+'Libro Diario'!I18)</f>
        <v>Saldo Inicial</v>
      </c>
      <c r="I801" t="str">
        <f>+IF(Table3[[#This Row],[Tipo Movimiento]]="Estructura Balance y PyG","Excluir","Incluir")</f>
        <v>Excluir</v>
      </c>
      <c r="J801" s="153">
        <f>+IF(Table3[[#This Row],[Sin cuenta]]="Con Mov.",(IF(Table3[[#This Row],[Movimiento]]="Debe",Table3[[#This Row],[Importe]],IF(Table3[[#This Row],[Movimiento]]="Haber",Table3[[#This Row],[Importe]]*-1,0))),0)</f>
        <v>0</v>
      </c>
      <c r="K801" s="145" t="str">
        <f t="shared" si="37"/>
        <v/>
      </c>
      <c r="L801" s="145">
        <f t="shared" si="38"/>
        <v>0</v>
      </c>
      <c r="M801" t="str">
        <f>_xlfn.XLOOKUP(Table3[[#This Row],[Cuenta]],Estructura_Balance[Nombre Cuenta ()],Estructura_Balance[Grupo],"",0)</f>
        <v>Grupo 1 - 
Financiación básica
PN y PNC (L/P)</v>
      </c>
      <c r="N801" t="str">
        <f>_xlfn.XLOOKUP(Table3[[#This Row],[Cuenta]],Estructura_Balance[Nombre Cuenta ()],Estructura_Balance[Nivel 1],"",0)</f>
        <v>PATRIMONIO NETO Y PASIVO</v>
      </c>
      <c r="O801" t="str">
        <f>_xlfn.XLOOKUP(Table3[[#This Row],[Cuenta]],Estructura_Balance[Nombre Cuenta ()],Estructura_Balance[Nivel 2],"",0)</f>
        <v>A) PATRIMONIO NETO</v>
      </c>
      <c r="P801" t="str">
        <f>_xlfn.XLOOKUP(Table3[[#This Row],[Cuenta]],Estructura_Balance[Nombre Cuenta ()],Estructura_Balance[Nivel 3],"",0)</f>
        <v>V. Resultados de ejercicios anteriores</v>
      </c>
      <c r="Q801" t="str">
        <f>_xlfn.XLOOKUP(Table3[[#This Row],[Cuenta]],Estructura_Balance[Nombre Cuenta ()],Estructura_Balance[Nivel 4],"",0)</f>
        <v>1. Resultados de ejercicios anteriores</v>
      </c>
      <c r="R801" t="str">
        <f>_xlfn.XLOOKUP(Table3[[#This Row],[Cuenta]],Table8[Nombre Cuenta ()],Table8[Nivel 1],"",0)</f>
        <v/>
      </c>
      <c r="S801" t="str">
        <f>_xlfn.XLOOKUP(Table3[[#This Row],[Cuenta]],Table8[Nombre Cuenta ()],Table8[Nivel 2],"",0)</f>
        <v/>
      </c>
      <c r="T801" t="str">
        <f>_xlfn.XLOOKUP(Table3[[#This Row],[Cuenta]],Table8[Nombre Cuenta ()],Table8[Nivel 3],"",0)</f>
        <v/>
      </c>
      <c r="U801">
        <v>1295</v>
      </c>
      <c r="V801" t="str">
        <f>_xlfn.XLOOKUP(Table3[[#This Row],[Cuenta]],Estructura_Balance[Nombre Cuenta ()],Estructura_Balance[Niveles:2],"",0)</f>
        <v>12</v>
      </c>
      <c r="W801" t="str">
        <f>_xlfn.XLOOKUP(Table3[[#This Row],[Cuenta]],Estructura_Balance[Nombre Cuenta ()],Estructura_Balance[Niveles:3],"",0)</f>
        <v>120</v>
      </c>
      <c r="X801" t="str">
        <f>_xlfn.XLOOKUP(Table3[[#This Row],[Cuenta]],Estructura_Balance[Nombre Cuenta ()],Estructura_Balance[Grupos],"Grupo 1",0)</f>
        <v>Grupo 1</v>
      </c>
      <c r="Y801" t="str">
        <f>+Table3[[#This Row],[BS_Nivel_1]]</f>
        <v>PATRIMONIO NETO Y PASIVO</v>
      </c>
    </row>
    <row r="802" spans="1:25">
      <c r="A802">
        <f>+'Libro Diario'!F19</f>
        <v>0</v>
      </c>
      <c r="B802" s="144">
        <f>VALUE(IF(+'Libro Diario'!G19="","01/01/2025",+'Libro Diario'!G19))</f>
        <v>45658</v>
      </c>
      <c r="C802" t="str">
        <f>IF(ISNUMBER(+IF(IFERROR(VALUE(MID('Libro Diario'!D19,1,4)),0)&lt;&gt;0,'Libro Diario'!D19,0))=FALSE,'Libro Diario'!D19,0)</f>
        <v>118 -  Aportaciones de socios o propietarios</v>
      </c>
      <c r="D802" s="145">
        <f>+'Libro Diario'!E19</f>
        <v>0</v>
      </c>
      <c r="E802" s="139" t="s">
        <v>446</v>
      </c>
      <c r="F802" t="str">
        <f t="shared" si="36"/>
        <v>Con Mov.</v>
      </c>
      <c r="G802" t="str">
        <f>IF(+'Libro Diario'!H19=0,"",+'Libro Diario'!H19)</f>
        <v>Estructura Balance y PyG</v>
      </c>
      <c r="H802" t="str">
        <f>IF(+'Libro Diario'!I19=0,"",+'Libro Diario'!I19)</f>
        <v>Saldo Inicial</v>
      </c>
      <c r="I802" t="str">
        <f>+IF(Table3[[#This Row],[Tipo Movimiento]]="Estructura Balance y PyG","Excluir","Incluir")</f>
        <v>Excluir</v>
      </c>
      <c r="J802" s="153">
        <f>+IF(Table3[[#This Row],[Sin cuenta]]="Con Mov.",(IF(Table3[[#This Row],[Movimiento]]="Debe",Table3[[#This Row],[Importe]],IF(Table3[[#This Row],[Movimiento]]="Haber",Table3[[#This Row],[Importe]]*-1,0))),0)</f>
        <v>0</v>
      </c>
      <c r="K802" s="145" t="str">
        <f t="shared" si="37"/>
        <v/>
      </c>
      <c r="L802" s="145">
        <f t="shared" si="38"/>
        <v>0</v>
      </c>
      <c r="M802" t="str">
        <f>_xlfn.XLOOKUP(Table3[[#This Row],[Cuenta]],Estructura_Balance[Nombre Cuenta ()],Estructura_Balance[Grupo],"",0)</f>
        <v>Grupo 1 - 
Financiación básica
PN y PNC (L/P)</v>
      </c>
      <c r="N802" t="str">
        <f>_xlfn.XLOOKUP(Table3[[#This Row],[Cuenta]],Estructura_Balance[Nombre Cuenta ()],Estructura_Balance[Nivel 1],"",0)</f>
        <v>PATRIMONIO NETO Y PASIVO</v>
      </c>
      <c r="O802" t="str">
        <f>_xlfn.XLOOKUP(Table3[[#This Row],[Cuenta]],Estructura_Balance[Nombre Cuenta ()],Estructura_Balance[Nivel 2],"",0)</f>
        <v>A) PATRIMONIO NETO</v>
      </c>
      <c r="P802" t="str">
        <f>_xlfn.XLOOKUP(Table3[[#This Row],[Cuenta]],Estructura_Balance[Nombre Cuenta ()],Estructura_Balance[Nivel 3],"",0)</f>
        <v>VI. Otras aportaciones de socios</v>
      </c>
      <c r="Q802" t="str">
        <f>_xlfn.XLOOKUP(Table3[[#This Row],[Cuenta]],Estructura_Balance[Nombre Cuenta ()],Estructura_Balance[Nivel 4],"",0)</f>
        <v>1. Otras aportaciones de socios</v>
      </c>
      <c r="R802" t="str">
        <f>_xlfn.XLOOKUP(Table3[[#This Row],[Cuenta]],Table8[Nombre Cuenta ()],Table8[Nivel 1],"",0)</f>
        <v/>
      </c>
      <c r="S802" t="str">
        <f>_xlfn.XLOOKUP(Table3[[#This Row],[Cuenta]],Table8[Nombre Cuenta ()],Table8[Nivel 2],"",0)</f>
        <v/>
      </c>
      <c r="T802" t="str">
        <f>_xlfn.XLOOKUP(Table3[[#This Row],[Cuenta]],Table8[Nombre Cuenta ()],Table8[Nivel 3],"",0)</f>
        <v/>
      </c>
      <c r="U802">
        <v>1296</v>
      </c>
      <c r="V802">
        <f>_xlfn.XLOOKUP(Table3[[#This Row],[Cuenta]],Estructura_Balance[Nombre Cuenta ()],Estructura_Balance[Niveles:2],"",0)</f>
        <v>11</v>
      </c>
      <c r="W802" t="str">
        <f>_xlfn.XLOOKUP(Table3[[#This Row],[Cuenta]],Estructura_Balance[Nombre Cuenta ()],Estructura_Balance[Niveles:3],"",0)</f>
        <v>118</v>
      </c>
      <c r="X802" t="str">
        <f>_xlfn.XLOOKUP(Table3[[#This Row],[Cuenta]],Estructura_Balance[Nombre Cuenta ()],Estructura_Balance[Grupos],"Grupo 1",0)</f>
        <v>Grupo 1</v>
      </c>
      <c r="Y802" t="str">
        <f>+Table3[[#This Row],[BS_Nivel_1]]</f>
        <v>PATRIMONIO NETO Y PASIVO</v>
      </c>
    </row>
    <row r="803" spans="1:25">
      <c r="A803">
        <f>+'Libro Diario'!F20</f>
        <v>0</v>
      </c>
      <c r="B803" s="144">
        <f>VALUE(IF(+'Libro Diario'!G20="","01/01/2025",+'Libro Diario'!G20))</f>
        <v>45658</v>
      </c>
      <c r="C803" t="str">
        <f>IF(ISNUMBER(+IF(IFERROR(VALUE(MID('Libro Diario'!D20,1,4)),0)&lt;&gt;0,'Libro Diario'!D20,0))=FALSE,'Libro Diario'!D20,0)</f>
        <v>129 -  Resultado del ejercicio</v>
      </c>
      <c r="D803" s="145">
        <f>+'Libro Diario'!E20</f>
        <v>0</v>
      </c>
      <c r="E803" s="139" t="s">
        <v>446</v>
      </c>
      <c r="F803" t="str">
        <f t="shared" si="36"/>
        <v>Con Mov.</v>
      </c>
      <c r="G803" t="str">
        <f>IF(+'Libro Diario'!H20=0,"",+'Libro Diario'!H20)</f>
        <v>Estructura Balance y PyG</v>
      </c>
      <c r="H803" t="str">
        <f>IF(+'Libro Diario'!I20=0,"",+'Libro Diario'!I20)</f>
        <v>Saldo Inicial</v>
      </c>
      <c r="I803" t="str">
        <f>+IF(Table3[[#This Row],[Tipo Movimiento]]="Estructura Balance y PyG","Excluir","Incluir")</f>
        <v>Excluir</v>
      </c>
      <c r="J803" s="153">
        <f>+IF(Table3[[#This Row],[Sin cuenta]]="Con Mov.",(IF(Table3[[#This Row],[Movimiento]]="Debe",Table3[[#This Row],[Importe]],IF(Table3[[#This Row],[Movimiento]]="Haber",Table3[[#This Row],[Importe]]*-1,0))),0)</f>
        <v>0</v>
      </c>
      <c r="K803" s="145" t="str">
        <f t="shared" si="37"/>
        <v/>
      </c>
      <c r="L803" s="145">
        <f t="shared" si="38"/>
        <v>0</v>
      </c>
      <c r="M803" t="str">
        <f>_xlfn.XLOOKUP(Table3[[#This Row],[Cuenta]],Estructura_Balance[Nombre Cuenta ()],Estructura_Balance[Grupo],"",0)</f>
        <v>Grupo 1 - 
Financiación básica
PN y PNC (L/P)</v>
      </c>
      <c r="N803" t="str">
        <f>_xlfn.XLOOKUP(Table3[[#This Row],[Cuenta]],Estructura_Balance[Nombre Cuenta ()],Estructura_Balance[Nivel 1],"",0)</f>
        <v>PATRIMONIO NETO Y PASIVO</v>
      </c>
      <c r="O803" t="str">
        <f>_xlfn.XLOOKUP(Table3[[#This Row],[Cuenta]],Estructura_Balance[Nombre Cuenta ()],Estructura_Balance[Nivel 2],"",0)</f>
        <v>A) PATRIMONIO NETO</v>
      </c>
      <c r="P803" t="str">
        <f>_xlfn.XLOOKUP(Table3[[#This Row],[Cuenta]],Estructura_Balance[Nombre Cuenta ()],Estructura_Balance[Nivel 3],"",0)</f>
        <v>VII. Resultado del Ejercicio</v>
      </c>
      <c r="Q803" t="str">
        <f>_xlfn.XLOOKUP(Table3[[#This Row],[Cuenta]],Estructura_Balance[Nombre Cuenta ()],Estructura_Balance[Nivel 4],"",0)</f>
        <v>1. Resultado del ejercicio</v>
      </c>
      <c r="R803" t="str">
        <f>_xlfn.XLOOKUP(Table3[[#This Row],[Cuenta]],Table8[Nombre Cuenta ()],Table8[Nivel 1],"",0)</f>
        <v/>
      </c>
      <c r="S803" t="str">
        <f>_xlfn.XLOOKUP(Table3[[#This Row],[Cuenta]],Table8[Nombre Cuenta ()],Table8[Nivel 2],"",0)</f>
        <v/>
      </c>
      <c r="T803" t="str">
        <f>_xlfn.XLOOKUP(Table3[[#This Row],[Cuenta]],Table8[Nombre Cuenta ()],Table8[Nivel 3],"",0)</f>
        <v/>
      </c>
      <c r="U803">
        <v>1299</v>
      </c>
      <c r="V803" t="str">
        <f>_xlfn.XLOOKUP(Table3[[#This Row],[Cuenta]],Estructura_Balance[Nombre Cuenta ()],Estructura_Balance[Niveles:2],"",0)</f>
        <v>12</v>
      </c>
      <c r="W803" t="str">
        <f>_xlfn.XLOOKUP(Table3[[#This Row],[Cuenta]],Estructura_Balance[Nombre Cuenta ()],Estructura_Balance[Niveles:3],"",0)</f>
        <v>129</v>
      </c>
      <c r="X803" t="str">
        <f>_xlfn.XLOOKUP(Table3[[#This Row],[Cuenta]],Estructura_Balance[Nombre Cuenta ()],Estructura_Balance[Grupos],"Grupo 1",0)</f>
        <v>Grupo 1</v>
      </c>
      <c r="Y803" t="str">
        <f>+Table3[[#This Row],[BS_Nivel_1]]</f>
        <v>PATRIMONIO NETO Y PASIVO</v>
      </c>
    </row>
    <row r="804" spans="1:25">
      <c r="A804">
        <f>+'Libro Diario'!F21</f>
        <v>0</v>
      </c>
      <c r="B804" s="144">
        <f>VALUE(IF(+'Libro Diario'!G21="","01/01/2025",+'Libro Diario'!G21))</f>
        <v>45658</v>
      </c>
      <c r="C804" t="str">
        <f>IF(ISNUMBER(+IF(IFERROR(VALUE(MID('Libro Diario'!D21,1,4)),0)&lt;&gt;0,'Libro Diario'!D21,0))=FALSE,'Libro Diario'!D21,0)</f>
        <v>557 -  Dividendo activo a cuenta</v>
      </c>
      <c r="D804" s="145">
        <f>+'Libro Diario'!E21</f>
        <v>0</v>
      </c>
      <c r="E804" s="139" t="s">
        <v>446</v>
      </c>
      <c r="F804" t="str">
        <f t="shared" si="36"/>
        <v>Con Mov.</v>
      </c>
      <c r="G804" t="str">
        <f>IF(+'Libro Diario'!H21=0,"",+'Libro Diario'!H21)</f>
        <v>Estructura Balance y PyG</v>
      </c>
      <c r="H804" t="str">
        <f>IF(+'Libro Diario'!I21=0,"",+'Libro Diario'!I21)</f>
        <v>Saldo Inicial</v>
      </c>
      <c r="I804" t="str">
        <f>+IF(Table3[[#This Row],[Tipo Movimiento]]="Estructura Balance y PyG","Excluir","Incluir")</f>
        <v>Excluir</v>
      </c>
      <c r="J804" s="153">
        <f>+IF(Table3[[#This Row],[Sin cuenta]]="Con Mov.",(IF(Table3[[#This Row],[Movimiento]]="Debe",Table3[[#This Row],[Importe]],IF(Table3[[#This Row],[Movimiento]]="Haber",Table3[[#This Row],[Importe]]*-1,0))),0)</f>
        <v>0</v>
      </c>
      <c r="K804" s="145" t="str">
        <f t="shared" si="37"/>
        <v/>
      </c>
      <c r="L804" s="145">
        <f t="shared" si="38"/>
        <v>0</v>
      </c>
      <c r="M804" t="str">
        <f>_xlfn.XLOOKUP(Table3[[#This Row],[Cuenta]],Estructura_Balance[Nombre Cuenta ()],Estructura_Balance[Grupo],"",0)</f>
        <v>Grupo 5 - Cuentas financieras
AC (C/P) y PC (L/P)</v>
      </c>
      <c r="N804" t="str">
        <f>_xlfn.XLOOKUP(Table3[[#This Row],[Cuenta]],Estructura_Balance[Nombre Cuenta ()],Estructura_Balance[Nivel 1],"",0)</f>
        <v>PATRIMONIO NETO Y PASIVO</v>
      </c>
      <c r="O804" t="str">
        <f>_xlfn.XLOOKUP(Table3[[#This Row],[Cuenta]],Estructura_Balance[Nombre Cuenta ()],Estructura_Balance[Nivel 2],"",0)</f>
        <v>A) PATRIMONIO NETO</v>
      </c>
      <c r="P804" t="str">
        <f>_xlfn.XLOOKUP(Table3[[#This Row],[Cuenta]],Estructura_Balance[Nombre Cuenta ()],Estructura_Balance[Nivel 3],"",0)</f>
        <v>VIII. Dividendo a cuenta</v>
      </c>
      <c r="Q804" t="str">
        <f>_xlfn.XLOOKUP(Table3[[#This Row],[Cuenta]],Estructura_Balance[Nombre Cuenta ()],Estructura_Balance[Nivel 4],"",0)</f>
        <v>1. Dividendo a cuenta</v>
      </c>
      <c r="R804" t="str">
        <f>_xlfn.XLOOKUP(Table3[[#This Row],[Cuenta]],Table8[Nombre Cuenta ()],Table8[Nivel 1],"",0)</f>
        <v/>
      </c>
      <c r="S804" t="str">
        <f>_xlfn.XLOOKUP(Table3[[#This Row],[Cuenta]],Table8[Nombre Cuenta ()],Table8[Nivel 2],"",0)</f>
        <v/>
      </c>
      <c r="T804" t="str">
        <f>_xlfn.XLOOKUP(Table3[[#This Row],[Cuenta]],Table8[Nombre Cuenta ()],Table8[Nivel 3],"",0)</f>
        <v/>
      </c>
      <c r="U804">
        <v>1300</v>
      </c>
      <c r="V804" t="str">
        <f>_xlfn.XLOOKUP(Table3[[#This Row],[Cuenta]],Estructura_Balance[Nombre Cuenta ()],Estructura_Balance[Niveles:2],"",0)</f>
        <v>55</v>
      </c>
      <c r="W804" t="str">
        <f>_xlfn.XLOOKUP(Table3[[#This Row],[Cuenta]],Estructura_Balance[Nombre Cuenta ()],Estructura_Balance[Niveles:3],"",0)</f>
        <v>557</v>
      </c>
      <c r="X804" t="str">
        <f>_xlfn.XLOOKUP(Table3[[#This Row],[Cuenta]],Estructura_Balance[Nombre Cuenta ()],Estructura_Balance[Grupos],"Grupo 1",0)</f>
        <v>Grupo 5</v>
      </c>
      <c r="Y804" t="str">
        <f>+Table3[[#This Row],[BS_Nivel_1]]</f>
        <v>PATRIMONIO NETO Y PASIVO</v>
      </c>
    </row>
    <row r="805" spans="1:25">
      <c r="A805">
        <f>+'Libro Diario'!F22</f>
        <v>0</v>
      </c>
      <c r="B805" s="144">
        <f>VALUE(IF(+'Libro Diario'!G22="","01/01/2025",+'Libro Diario'!G22))</f>
        <v>45658</v>
      </c>
      <c r="C805" t="str">
        <f>IF(ISNUMBER(+IF(IFERROR(VALUE(MID('Libro Diario'!D22,1,4)),0)&lt;&gt;0,'Libro Diario'!D22,0))=FALSE,'Libro Diario'!D22,0)</f>
        <v>111 -  Otros instrumentos de patrimonio neto</v>
      </c>
      <c r="D805" s="145">
        <f>+'Libro Diario'!E22</f>
        <v>0</v>
      </c>
      <c r="E805" s="139" t="s">
        <v>446</v>
      </c>
      <c r="F805" t="str">
        <f t="shared" si="36"/>
        <v>Con Mov.</v>
      </c>
      <c r="G805" t="str">
        <f>IF(+'Libro Diario'!H22=0,"",+'Libro Diario'!H22)</f>
        <v>Estructura Balance y PyG</v>
      </c>
      <c r="H805" t="str">
        <f>IF(+'Libro Diario'!I22=0,"",+'Libro Diario'!I22)</f>
        <v>Saldo Inicial</v>
      </c>
      <c r="I805" t="str">
        <f>+IF(Table3[[#This Row],[Tipo Movimiento]]="Estructura Balance y PyG","Excluir","Incluir")</f>
        <v>Excluir</v>
      </c>
      <c r="J805" s="153">
        <f>+IF(Table3[[#This Row],[Sin cuenta]]="Con Mov.",(IF(Table3[[#This Row],[Movimiento]]="Debe",Table3[[#This Row],[Importe]],IF(Table3[[#This Row],[Movimiento]]="Haber",Table3[[#This Row],[Importe]]*-1,0))),0)</f>
        <v>0</v>
      </c>
      <c r="K805" s="145" t="str">
        <f t="shared" si="37"/>
        <v/>
      </c>
      <c r="L805" s="145">
        <f t="shared" si="38"/>
        <v>0</v>
      </c>
      <c r="M805" t="str">
        <f>_xlfn.XLOOKUP(Table3[[#This Row],[Cuenta]],Estructura_Balance[Nombre Cuenta ()],Estructura_Balance[Grupo],"",0)</f>
        <v>Grupo 1 - 
Financiación básica
PN y PNC (L/P)</v>
      </c>
      <c r="N805" t="str">
        <f>_xlfn.XLOOKUP(Table3[[#This Row],[Cuenta]],Estructura_Balance[Nombre Cuenta ()],Estructura_Balance[Nivel 1],"",0)</f>
        <v>PATRIMONIO NETO Y PASIVO</v>
      </c>
      <c r="O805" t="str">
        <f>_xlfn.XLOOKUP(Table3[[#This Row],[Cuenta]],Estructura_Balance[Nombre Cuenta ()],Estructura_Balance[Nivel 2],"",0)</f>
        <v>A) PATRIMONIO NETO</v>
      </c>
      <c r="P805" t="str">
        <f>_xlfn.XLOOKUP(Table3[[#This Row],[Cuenta]],Estructura_Balance[Nombre Cuenta ()],Estructura_Balance[Nivel 3],"",0)</f>
        <v>IX. Otros instrumentos de patrimonio neto</v>
      </c>
      <c r="Q805" t="str">
        <f>_xlfn.XLOOKUP(Table3[[#This Row],[Cuenta]],Estructura_Balance[Nombre Cuenta ()],Estructura_Balance[Nivel 4],"",0)</f>
        <v>1. Otros instrumentos de patrimonio neto</v>
      </c>
      <c r="R805" t="str">
        <f>_xlfn.XLOOKUP(Table3[[#This Row],[Cuenta]],Table8[Nombre Cuenta ()],Table8[Nivel 1],"",0)</f>
        <v/>
      </c>
      <c r="S805" t="str">
        <f>_xlfn.XLOOKUP(Table3[[#This Row],[Cuenta]],Table8[Nombre Cuenta ()],Table8[Nivel 2],"",0)</f>
        <v/>
      </c>
      <c r="T805" t="str">
        <f>_xlfn.XLOOKUP(Table3[[#This Row],[Cuenta]],Table8[Nombre Cuenta ()],Table8[Nivel 3],"",0)</f>
        <v/>
      </c>
      <c r="U805">
        <v>1301</v>
      </c>
      <c r="V805">
        <f>_xlfn.XLOOKUP(Table3[[#This Row],[Cuenta]],Estructura_Balance[Nombre Cuenta ()],Estructura_Balance[Niveles:2],"",0)</f>
        <v>11</v>
      </c>
      <c r="W805" t="str">
        <f>_xlfn.XLOOKUP(Table3[[#This Row],[Cuenta]],Estructura_Balance[Nombre Cuenta ()],Estructura_Balance[Niveles:3],"",0)</f>
        <v>111</v>
      </c>
      <c r="X805" t="str">
        <f>_xlfn.XLOOKUP(Table3[[#This Row],[Cuenta]],Estructura_Balance[Nombre Cuenta ()],Estructura_Balance[Grupos],"Grupo 1",0)</f>
        <v>Grupo 1</v>
      </c>
      <c r="Y805" t="str">
        <f>+Table3[[#This Row],[BS_Nivel_1]]</f>
        <v>PATRIMONIO NETO Y PASIVO</v>
      </c>
    </row>
    <row r="806" spans="1:25">
      <c r="A806">
        <f>+'Libro Diario'!F23</f>
        <v>0</v>
      </c>
      <c r="B806" s="144">
        <f>VALUE(IF(+'Libro Diario'!G23="","01/01/2025",+'Libro Diario'!G23))</f>
        <v>45658</v>
      </c>
      <c r="C806" t="str">
        <f>IF(ISNUMBER(+IF(IFERROR(VALUE(MID('Libro Diario'!D23,1,4)),0)&lt;&gt;0,'Libro Diario'!D23,0))=FALSE,'Libro Diario'!D23,0)</f>
        <v>140 -  Provisión por retribuciones a largo plazo al personal</v>
      </c>
      <c r="D806" s="145">
        <f>+'Libro Diario'!E23</f>
        <v>0</v>
      </c>
      <c r="E806" s="139" t="s">
        <v>446</v>
      </c>
      <c r="F806" t="str">
        <f t="shared" si="36"/>
        <v>Con Mov.</v>
      </c>
      <c r="G806" t="str">
        <f>IF(+'Libro Diario'!H23=0,"",+'Libro Diario'!H23)</f>
        <v>Estructura Balance y PyG</v>
      </c>
      <c r="H806" t="str">
        <f>IF(+'Libro Diario'!I23=0,"",+'Libro Diario'!I23)</f>
        <v>Saldo Inicial</v>
      </c>
      <c r="I806" t="str">
        <f>+IF(Table3[[#This Row],[Tipo Movimiento]]="Estructura Balance y PyG","Excluir","Incluir")</f>
        <v>Excluir</v>
      </c>
      <c r="J806" s="153">
        <f>+IF(Table3[[#This Row],[Sin cuenta]]="Con Mov.",(IF(Table3[[#This Row],[Movimiento]]="Debe",Table3[[#This Row],[Importe]],IF(Table3[[#This Row],[Movimiento]]="Haber",Table3[[#This Row],[Importe]]*-1,0))),0)</f>
        <v>0</v>
      </c>
      <c r="K806" s="145" t="str">
        <f t="shared" si="37"/>
        <v/>
      </c>
      <c r="L806" s="145">
        <f t="shared" si="38"/>
        <v>0</v>
      </c>
      <c r="M806" t="str">
        <f>_xlfn.XLOOKUP(Table3[[#This Row],[Cuenta]],Estructura_Balance[Nombre Cuenta ()],Estructura_Balance[Grupo],"",0)</f>
        <v>Grupo 1 - 
Financiación básica
PN y PNC (L/P)</v>
      </c>
      <c r="N806" t="str">
        <f>_xlfn.XLOOKUP(Table3[[#This Row],[Cuenta]],Estructura_Balance[Nombre Cuenta ()],Estructura_Balance[Nivel 1],"",0)</f>
        <v>PATRIMONIO NETO Y PASIVO</v>
      </c>
      <c r="O806" t="str">
        <f>_xlfn.XLOOKUP(Table3[[#This Row],[Cuenta]],Estructura_Balance[Nombre Cuenta ()],Estructura_Balance[Nivel 2],"",0)</f>
        <v>B) PASIVO NO CORRIENTE</v>
      </c>
      <c r="P806" t="str">
        <f>_xlfn.XLOOKUP(Table3[[#This Row],[Cuenta]],Estructura_Balance[Nombre Cuenta ()],Estructura_Balance[Nivel 3],"",0)</f>
        <v>I. Provisiones a largo plazo</v>
      </c>
      <c r="Q806" t="str">
        <f>_xlfn.XLOOKUP(Table3[[#This Row],[Cuenta]],Estructura_Balance[Nombre Cuenta ()],Estructura_Balance[Nivel 4],"",0)</f>
        <v>1. Provisiones a largo plazo</v>
      </c>
      <c r="R806" t="str">
        <f>_xlfn.XLOOKUP(Table3[[#This Row],[Cuenta]],Table8[Nombre Cuenta ()],Table8[Nivel 1],"",0)</f>
        <v/>
      </c>
      <c r="S806" t="str">
        <f>_xlfn.XLOOKUP(Table3[[#This Row],[Cuenta]],Table8[Nombre Cuenta ()],Table8[Nivel 2],"",0)</f>
        <v/>
      </c>
      <c r="T806" t="str">
        <f>_xlfn.XLOOKUP(Table3[[#This Row],[Cuenta]],Table8[Nombre Cuenta ()],Table8[Nivel 3],"",0)</f>
        <v/>
      </c>
      <c r="U806">
        <v>1302</v>
      </c>
      <c r="V806" t="e">
        <f>_xlfn.XLOOKUP(Table3[[#This Row],[Cuenta]],Estructura_Balance[Nombre Cuenta ()],Estructura_Balance[Niveles:2],"",0)</f>
        <v>#REF!</v>
      </c>
      <c r="W806" t="e">
        <f>_xlfn.XLOOKUP(Table3[[#This Row],[Cuenta]],Estructura_Balance[Nombre Cuenta ()],Estructura_Balance[Niveles:3],"",0)</f>
        <v>#REF!</v>
      </c>
      <c r="X806" t="e">
        <f>_xlfn.XLOOKUP(Table3[[#This Row],[Cuenta]],Estructura_Balance[Nombre Cuenta ()],Estructura_Balance[Grupos],"Grupo 1",0)</f>
        <v>#REF!</v>
      </c>
      <c r="Y806" t="str">
        <f>+Table3[[#This Row],[BS_Nivel_1]]</f>
        <v>PATRIMONIO NETO Y PASIVO</v>
      </c>
    </row>
    <row r="807" spans="1:25">
      <c r="A807">
        <f>+'Libro Diario'!F24</f>
        <v>0</v>
      </c>
      <c r="B807" s="144">
        <f>VALUE(IF(+'Libro Diario'!G24="","01/01/2025",+'Libro Diario'!G24))</f>
        <v>45658</v>
      </c>
      <c r="C807" t="str">
        <f>IF(ISNUMBER(+IF(IFERROR(VALUE(MID('Libro Diario'!D24,1,4)),0)&lt;&gt;0,'Libro Diario'!D24,0))=FALSE,'Libro Diario'!D24,0)</f>
        <v>150 -  Acciones o participaciones a largo plazo contabilizadas como pasivos financieros</v>
      </c>
      <c r="D807" s="145">
        <f>+'Libro Diario'!E24</f>
        <v>0</v>
      </c>
      <c r="E807" s="139" t="s">
        <v>446</v>
      </c>
      <c r="F807" t="str">
        <f t="shared" si="36"/>
        <v>Con Mov.</v>
      </c>
      <c r="G807" t="str">
        <f>IF(+'Libro Diario'!H24=0,"",+'Libro Diario'!H24)</f>
        <v>Estructura Balance y PyG</v>
      </c>
      <c r="H807" t="str">
        <f>IF(+'Libro Diario'!I24=0,"",+'Libro Diario'!I24)</f>
        <v>Saldo Inicial</v>
      </c>
      <c r="I807" t="str">
        <f>+IF(Table3[[#This Row],[Tipo Movimiento]]="Estructura Balance y PyG","Excluir","Incluir")</f>
        <v>Excluir</v>
      </c>
      <c r="J807" s="153">
        <f>+IF(Table3[[#This Row],[Sin cuenta]]="Con Mov.",(IF(Table3[[#This Row],[Movimiento]]="Debe",Table3[[#This Row],[Importe]],IF(Table3[[#This Row],[Movimiento]]="Haber",Table3[[#This Row],[Importe]]*-1,0))),0)</f>
        <v>0</v>
      </c>
      <c r="K807" s="145" t="str">
        <f t="shared" si="37"/>
        <v/>
      </c>
      <c r="L807" s="145">
        <f t="shared" si="38"/>
        <v>0</v>
      </c>
      <c r="M807" t="str">
        <f>_xlfn.XLOOKUP(Table3[[#This Row],[Cuenta]],Estructura_Balance[Nombre Cuenta ()],Estructura_Balance[Grupo],"",0)</f>
        <v>Grupo 1 - 
Financiación básica
PN y PNC (L/P)</v>
      </c>
      <c r="N807" t="str">
        <f>_xlfn.XLOOKUP(Table3[[#This Row],[Cuenta]],Estructura_Balance[Nombre Cuenta ()],Estructura_Balance[Nivel 1],"",0)</f>
        <v>PATRIMONIO NETO Y PASIVO</v>
      </c>
      <c r="O807" t="str">
        <f>_xlfn.XLOOKUP(Table3[[#This Row],[Cuenta]],Estructura_Balance[Nombre Cuenta ()],Estructura_Balance[Nivel 2],"",0)</f>
        <v>B) PASIVO NO CORRIENTE</v>
      </c>
      <c r="P807" t="str">
        <f>_xlfn.XLOOKUP(Table3[[#This Row],[Cuenta]],Estructura_Balance[Nombre Cuenta ()],Estructura_Balance[Nivel 3],"",0)</f>
        <v>II. Deudas a largo plazo</v>
      </c>
      <c r="Q807" t="str">
        <f>_xlfn.XLOOKUP(Table3[[#This Row],[Cuenta]],Estructura_Balance[Nombre Cuenta ()],Estructura_Balance[Nivel 4],"",0)</f>
        <v>3. Otras deudas a largo plazo</v>
      </c>
      <c r="R807" t="str">
        <f>_xlfn.XLOOKUP(Table3[[#This Row],[Cuenta]],Table8[Nombre Cuenta ()],Table8[Nivel 1],"",0)</f>
        <v/>
      </c>
      <c r="S807" t="str">
        <f>_xlfn.XLOOKUP(Table3[[#This Row],[Cuenta]],Table8[Nombre Cuenta ()],Table8[Nivel 2],"",0)</f>
        <v/>
      </c>
      <c r="T807" t="str">
        <f>_xlfn.XLOOKUP(Table3[[#This Row],[Cuenta]],Table8[Nombre Cuenta ()],Table8[Nivel 3],"",0)</f>
        <v/>
      </c>
      <c r="U807">
        <v>1303</v>
      </c>
      <c r="V807">
        <f>_xlfn.XLOOKUP(Table3[[#This Row],[Cuenta]],Estructura_Balance[Nombre Cuenta ()],Estructura_Balance[Niveles:2],"",0)</f>
        <v>15</v>
      </c>
      <c r="W807">
        <f>_xlfn.XLOOKUP(Table3[[#This Row],[Cuenta]],Estructura_Balance[Nombre Cuenta ()],Estructura_Balance[Niveles:3],"",0)</f>
        <v>150</v>
      </c>
      <c r="X807" t="str">
        <f>_xlfn.XLOOKUP(Table3[[#This Row],[Cuenta]],Estructura_Balance[Nombre Cuenta ()],Estructura_Balance[Grupos],"Grupo 1",0)</f>
        <v>Grupo 1</v>
      </c>
      <c r="Y807" t="str">
        <f>+Table3[[#This Row],[BS_Nivel_1]]</f>
        <v>PATRIMONIO NETO Y PASIVO</v>
      </c>
    </row>
    <row r="808" spans="1:25">
      <c r="A808">
        <f>+'Libro Diario'!F25</f>
        <v>0</v>
      </c>
      <c r="B808" s="144">
        <f>VALUE(IF(+'Libro Diario'!G25="","01/01/2025",+'Libro Diario'!G25))</f>
        <v>45658</v>
      </c>
      <c r="C808" t="str">
        <f>IF(ISNUMBER(+IF(IFERROR(VALUE(MID('Libro Diario'!D25,1,4)),0)&lt;&gt;0,'Libro Diario'!D25,0))=FALSE,'Libro Diario'!D25,0)</f>
        <v>160 -  Deudas a largo plazo con entidades de crédito vinculadas</v>
      </c>
      <c r="D808" s="145">
        <f>+'Libro Diario'!E25</f>
        <v>0</v>
      </c>
      <c r="E808" s="139" t="s">
        <v>446</v>
      </c>
      <c r="F808" t="str">
        <f t="shared" si="36"/>
        <v>Con Mov.</v>
      </c>
      <c r="G808" t="str">
        <f>IF(+'Libro Diario'!H25=0,"",+'Libro Diario'!H25)</f>
        <v>Estructura Balance y PyG</v>
      </c>
      <c r="H808" t="str">
        <f>IF(+'Libro Diario'!I25=0,"",+'Libro Diario'!I25)</f>
        <v>Saldo Inicial</v>
      </c>
      <c r="I808" t="str">
        <f>+IF(Table3[[#This Row],[Tipo Movimiento]]="Estructura Balance y PyG","Excluir","Incluir")</f>
        <v>Excluir</v>
      </c>
      <c r="J808" s="153">
        <f>+IF(Table3[[#This Row],[Sin cuenta]]="Con Mov.",(IF(Table3[[#This Row],[Movimiento]]="Debe",Table3[[#This Row],[Importe]],IF(Table3[[#This Row],[Movimiento]]="Haber",Table3[[#This Row],[Importe]]*-1,0))),0)</f>
        <v>0</v>
      </c>
      <c r="K808" s="145" t="str">
        <f t="shared" si="37"/>
        <v/>
      </c>
      <c r="L808" s="145">
        <f t="shared" si="38"/>
        <v>0</v>
      </c>
      <c r="M808" t="str">
        <f>_xlfn.XLOOKUP(Table3[[#This Row],[Cuenta]],Estructura_Balance[Nombre Cuenta ()],Estructura_Balance[Grupo],"",0)</f>
        <v>Grupo 1 - 
Financiación básica
PN y PNC (L/P)</v>
      </c>
      <c r="N808" t="str">
        <f>_xlfn.XLOOKUP(Table3[[#This Row],[Cuenta]],Estructura_Balance[Nombre Cuenta ()],Estructura_Balance[Nivel 1],"",0)</f>
        <v>PATRIMONIO NETO Y PASIVO</v>
      </c>
      <c r="O808" t="str">
        <f>_xlfn.XLOOKUP(Table3[[#This Row],[Cuenta]],Estructura_Balance[Nombre Cuenta ()],Estructura_Balance[Nivel 2],"",0)</f>
        <v>B) PASIVO NO CORRIENTE</v>
      </c>
      <c r="P808" t="str">
        <f>_xlfn.XLOOKUP(Table3[[#This Row],[Cuenta]],Estructura_Balance[Nombre Cuenta ()],Estructura_Balance[Nivel 3],"",0)</f>
        <v>III. Deudas con empresas del grupo y asociadas a largo plazo</v>
      </c>
      <c r="Q808" t="str">
        <f>_xlfn.XLOOKUP(Table3[[#This Row],[Cuenta]],Estructura_Balance[Nombre Cuenta ()],Estructura_Balance[Nivel 4],"",0)</f>
        <v>1. Deudas con empresas del grupo y asociadas a largo plazo</v>
      </c>
      <c r="R808" t="str">
        <f>_xlfn.XLOOKUP(Table3[[#This Row],[Cuenta]],Table8[Nombre Cuenta ()],Table8[Nivel 1],"",0)</f>
        <v/>
      </c>
      <c r="S808" t="str">
        <f>_xlfn.XLOOKUP(Table3[[#This Row],[Cuenta]],Table8[Nombre Cuenta ()],Table8[Nivel 2],"",0)</f>
        <v/>
      </c>
      <c r="T808" t="str">
        <f>_xlfn.XLOOKUP(Table3[[#This Row],[Cuenta]],Table8[Nombre Cuenta ()],Table8[Nivel 3],"",0)</f>
        <v/>
      </c>
      <c r="U808">
        <v>1306</v>
      </c>
      <c r="V808">
        <f>_xlfn.XLOOKUP(Table3[[#This Row],[Cuenta]],Estructura_Balance[Nombre Cuenta ()],Estructura_Balance[Niveles:2],"",0)</f>
        <v>16</v>
      </c>
      <c r="W808">
        <f>_xlfn.XLOOKUP(Table3[[#This Row],[Cuenta]],Estructura_Balance[Nombre Cuenta ()],Estructura_Balance[Niveles:3],"",0)</f>
        <v>160</v>
      </c>
      <c r="X808" t="str">
        <f>_xlfn.XLOOKUP(Table3[[#This Row],[Cuenta]],Estructura_Balance[Nombre Cuenta ()],Estructura_Balance[Grupos],"Grupo 1",0)</f>
        <v>Grupo 1</v>
      </c>
      <c r="Y808" t="str">
        <f>+Table3[[#This Row],[BS_Nivel_1]]</f>
        <v>PATRIMONIO NETO Y PASIVO</v>
      </c>
    </row>
    <row r="809" spans="1:25">
      <c r="A809">
        <f>+'Libro Diario'!F26</f>
        <v>0</v>
      </c>
      <c r="B809" s="144">
        <f>VALUE(IF(+'Libro Diario'!G26="","01/01/2025",+'Libro Diario'!G26))</f>
        <v>45658</v>
      </c>
      <c r="C809" t="str">
        <f>IF(ISNUMBER(+IF(IFERROR(VALUE(MID('Libro Diario'!D26,1,4)),0)&lt;&gt;0,'Libro Diario'!D26,0))=FALSE,'Libro Diario'!D26,0)</f>
        <v>479 -  Pasivos por diferencias temporarias imponibles</v>
      </c>
      <c r="D809" s="145">
        <f>+'Libro Diario'!E26</f>
        <v>0</v>
      </c>
      <c r="E809" s="139" t="s">
        <v>446</v>
      </c>
      <c r="F809" t="str">
        <f t="shared" si="36"/>
        <v>Con Mov.</v>
      </c>
      <c r="G809" t="str">
        <f>IF(+'Libro Diario'!H26=0,"",+'Libro Diario'!H26)</f>
        <v>Estructura Balance y PyG</v>
      </c>
      <c r="H809" t="str">
        <f>IF(+'Libro Diario'!I26=0,"",+'Libro Diario'!I26)</f>
        <v>Saldo Inicial</v>
      </c>
      <c r="I809" t="str">
        <f>+IF(Table3[[#This Row],[Tipo Movimiento]]="Estructura Balance y PyG","Excluir","Incluir")</f>
        <v>Excluir</v>
      </c>
      <c r="J809" s="153">
        <f>+IF(Table3[[#This Row],[Sin cuenta]]="Con Mov.",(IF(Table3[[#This Row],[Movimiento]]="Debe",Table3[[#This Row],[Importe]],IF(Table3[[#This Row],[Movimiento]]="Haber",Table3[[#This Row],[Importe]]*-1,0))),0)</f>
        <v>0</v>
      </c>
      <c r="K809" s="145" t="str">
        <f t="shared" si="37"/>
        <v/>
      </c>
      <c r="L809" s="145">
        <f t="shared" si="38"/>
        <v>0</v>
      </c>
      <c r="M809" t="str">
        <f>_xlfn.XLOOKUP(Table3[[#This Row],[Cuenta]],Estructura_Balance[Nombre Cuenta ()],Estructura_Balance[Grupo],"",0)</f>
        <v>Grupo 4 - Acreedores y deudores por operaciones comerciales
AC (C/P) y PC (C/P)</v>
      </c>
      <c r="N809" t="str">
        <f>_xlfn.XLOOKUP(Table3[[#This Row],[Cuenta]],Estructura_Balance[Nombre Cuenta ()],Estructura_Balance[Nivel 1],"",0)</f>
        <v>PATRIMONIO NETO Y PASIVO</v>
      </c>
      <c r="O809" t="str">
        <f>_xlfn.XLOOKUP(Table3[[#This Row],[Cuenta]],Estructura_Balance[Nombre Cuenta ()],Estructura_Balance[Nivel 2],"",0)</f>
        <v>B) PASIVO NO CORRIENTE</v>
      </c>
      <c r="P809" t="str">
        <f>_xlfn.XLOOKUP(Table3[[#This Row],[Cuenta]],Estructura_Balance[Nombre Cuenta ()],Estructura_Balance[Nivel 3],"",0)</f>
        <v>IV. Pasivos por impuesto diferido</v>
      </c>
      <c r="Q809" t="str">
        <f>_xlfn.XLOOKUP(Table3[[#This Row],[Cuenta]],Estructura_Balance[Nombre Cuenta ()],Estructura_Balance[Nivel 4],"",0)</f>
        <v>1. Pasivos por impuesto diferido</v>
      </c>
      <c r="R809" t="str">
        <f>_xlfn.XLOOKUP(Table3[[#This Row],[Cuenta]],Table8[Nombre Cuenta ()],Table8[Nivel 1],"",0)</f>
        <v/>
      </c>
      <c r="S809" t="str">
        <f>_xlfn.XLOOKUP(Table3[[#This Row],[Cuenta]],Table8[Nombre Cuenta ()],Table8[Nivel 2],"",0)</f>
        <v/>
      </c>
      <c r="T809" t="str">
        <f>_xlfn.XLOOKUP(Table3[[#This Row],[Cuenta]],Table8[Nombre Cuenta ()],Table8[Nivel 3],"",0)</f>
        <v/>
      </c>
      <c r="U809">
        <v>1307</v>
      </c>
      <c r="V809">
        <f>_xlfn.XLOOKUP(Table3[[#This Row],[Cuenta]],Estructura_Balance[Nombre Cuenta ()],Estructura_Balance[Niveles:2],"",0)</f>
        <v>47</v>
      </c>
      <c r="W809">
        <f>_xlfn.XLOOKUP(Table3[[#This Row],[Cuenta]],Estructura_Balance[Nombre Cuenta ()],Estructura_Balance[Niveles:3],"",0)</f>
        <v>479</v>
      </c>
      <c r="X809" t="str">
        <f>_xlfn.XLOOKUP(Table3[[#This Row],[Cuenta]],Estructura_Balance[Nombre Cuenta ()],Estructura_Balance[Grupos],"Grupo 1",0)</f>
        <v>Grupo 4</v>
      </c>
      <c r="Y809" t="str">
        <f>+Table3[[#This Row],[BS_Nivel_1]]</f>
        <v>PATRIMONIO NETO Y PASIVO</v>
      </c>
    </row>
    <row r="810" spans="1:25">
      <c r="A810">
        <f>+'Libro Diario'!F27</f>
        <v>0</v>
      </c>
      <c r="B810" s="144">
        <f>VALUE(IF(+'Libro Diario'!G27="","01/01/2025",+'Libro Diario'!G27))</f>
        <v>45658</v>
      </c>
      <c r="C810" t="str">
        <f>IF(ISNUMBER(+IF(IFERROR(VALUE(MID('Libro Diario'!D27,1,4)),0)&lt;&gt;0,'Libro Diario'!D27,0))=FALSE,'Libro Diario'!D27,0)</f>
        <v>181 -  Anticipos recibidos por ventas o prestaciones de servicios a largo plazo</v>
      </c>
      <c r="D810" s="145">
        <f>+'Libro Diario'!E27</f>
        <v>0</v>
      </c>
      <c r="E810" s="139" t="s">
        <v>446</v>
      </c>
      <c r="F810" t="str">
        <f t="shared" si="36"/>
        <v>Con Mov.</v>
      </c>
      <c r="G810" t="str">
        <f>IF(+'Libro Diario'!H27=0,"",+'Libro Diario'!H27)</f>
        <v>Estructura Balance y PyG</v>
      </c>
      <c r="H810" t="str">
        <f>IF(+'Libro Diario'!I27=0,"",+'Libro Diario'!I27)</f>
        <v>Saldo Inicial</v>
      </c>
      <c r="I810" t="str">
        <f>+IF(Table3[[#This Row],[Tipo Movimiento]]="Estructura Balance y PyG","Excluir","Incluir")</f>
        <v>Excluir</v>
      </c>
      <c r="J810" s="153">
        <f>+IF(Table3[[#This Row],[Sin cuenta]]="Con Mov.",(IF(Table3[[#This Row],[Movimiento]]="Debe",Table3[[#This Row],[Importe]],IF(Table3[[#This Row],[Movimiento]]="Haber",Table3[[#This Row],[Importe]]*-1,0))),0)</f>
        <v>0</v>
      </c>
      <c r="K810" s="145" t="str">
        <f t="shared" si="37"/>
        <v/>
      </c>
      <c r="L810" s="145">
        <f t="shared" si="38"/>
        <v>0</v>
      </c>
      <c r="M810" t="str">
        <f>_xlfn.XLOOKUP(Table3[[#This Row],[Cuenta]],Estructura_Balance[Nombre Cuenta ()],Estructura_Balance[Grupo],"",0)</f>
        <v>Grupo 1 - 
Financiación básica
PN y PNC (L/P)</v>
      </c>
      <c r="N810" t="str">
        <f>_xlfn.XLOOKUP(Table3[[#This Row],[Cuenta]],Estructura_Balance[Nombre Cuenta ()],Estructura_Balance[Nivel 1],"",0)</f>
        <v>PATRIMONIO NETO Y PASIVO</v>
      </c>
      <c r="O810" t="str">
        <f>_xlfn.XLOOKUP(Table3[[#This Row],[Cuenta]],Estructura_Balance[Nombre Cuenta ()],Estructura_Balance[Nivel 2],"",0)</f>
        <v>B) PASIVO NO CORRIENTE</v>
      </c>
      <c r="P810" t="str">
        <f>_xlfn.XLOOKUP(Table3[[#This Row],[Cuenta]],Estructura_Balance[Nombre Cuenta ()],Estructura_Balance[Nivel 3],"",0)</f>
        <v>V. Periodificaciones a largo plazo</v>
      </c>
      <c r="Q810" t="str">
        <f>_xlfn.XLOOKUP(Table3[[#This Row],[Cuenta]],Estructura_Balance[Nombre Cuenta ()],Estructura_Balance[Nivel 4],"",0)</f>
        <v>1. Periodificaciones a largo plazo</v>
      </c>
      <c r="R810" t="str">
        <f>_xlfn.XLOOKUP(Table3[[#This Row],[Cuenta]],Table8[Nombre Cuenta ()],Table8[Nivel 1],"",0)</f>
        <v/>
      </c>
      <c r="S810" t="str">
        <f>_xlfn.XLOOKUP(Table3[[#This Row],[Cuenta]],Table8[Nombre Cuenta ()],Table8[Nivel 2],"",0)</f>
        <v/>
      </c>
      <c r="T810" t="str">
        <f>_xlfn.XLOOKUP(Table3[[#This Row],[Cuenta]],Table8[Nombre Cuenta ()],Table8[Nivel 3],"",0)</f>
        <v/>
      </c>
      <c r="U810">
        <v>1308</v>
      </c>
      <c r="V810">
        <f>_xlfn.XLOOKUP(Table3[[#This Row],[Cuenta]],Estructura_Balance[Nombre Cuenta ()],Estructura_Balance[Niveles:2],"",0)</f>
        <v>18</v>
      </c>
      <c r="W810">
        <f>_xlfn.XLOOKUP(Table3[[#This Row],[Cuenta]],Estructura_Balance[Nombre Cuenta ()],Estructura_Balance[Niveles:3],"",0)</f>
        <v>181</v>
      </c>
      <c r="X810" t="str">
        <f>_xlfn.XLOOKUP(Table3[[#This Row],[Cuenta]],Estructura_Balance[Nombre Cuenta ()],Estructura_Balance[Grupos],"Grupo 1",0)</f>
        <v>Grupo 1</v>
      </c>
      <c r="Y810" t="str">
        <f>+Table3[[#This Row],[BS_Nivel_1]]</f>
        <v>PATRIMONIO NETO Y PASIVO</v>
      </c>
    </row>
    <row r="811" spans="1:25">
      <c r="A811">
        <f>+'Libro Diario'!F28</f>
        <v>0</v>
      </c>
      <c r="B811" s="144">
        <f>VALUE(IF(+'Libro Diario'!G28="","01/01/2025",+'Libro Diario'!G28))</f>
        <v>45658</v>
      </c>
      <c r="C811" t="str">
        <f>IF(ISNUMBER(+IF(IFERROR(VALUE(MID('Libro Diario'!D28,1,4)),0)&lt;&gt;0,'Libro Diario'!D28,0))=FALSE,'Libro Diario'!D28,0)</f>
        <v>585 -  Provisiones</v>
      </c>
      <c r="D811" s="145">
        <f>+'Libro Diario'!E28</f>
        <v>0</v>
      </c>
      <c r="E811" s="139" t="s">
        <v>446</v>
      </c>
      <c r="F811" t="str">
        <f t="shared" si="36"/>
        <v>Con Mov.</v>
      </c>
      <c r="G811" t="str">
        <f>IF(+'Libro Diario'!H28=0,"",+'Libro Diario'!H28)</f>
        <v>Estructura Balance y PyG</v>
      </c>
      <c r="H811" t="str">
        <f>IF(+'Libro Diario'!I28=0,"",+'Libro Diario'!I28)</f>
        <v>Saldo Inicial</v>
      </c>
      <c r="I811" t="str">
        <f>+IF(Table3[[#This Row],[Tipo Movimiento]]="Estructura Balance y PyG","Excluir","Incluir")</f>
        <v>Excluir</v>
      </c>
      <c r="J811" s="153">
        <f>+IF(Table3[[#This Row],[Sin cuenta]]="Con Mov.",(IF(Table3[[#This Row],[Movimiento]]="Debe",Table3[[#This Row],[Importe]],IF(Table3[[#This Row],[Movimiento]]="Haber",Table3[[#This Row],[Importe]]*-1,0))),0)</f>
        <v>0</v>
      </c>
      <c r="K811" s="145" t="str">
        <f t="shared" si="37"/>
        <v/>
      </c>
      <c r="L811" s="145">
        <f t="shared" si="38"/>
        <v>0</v>
      </c>
      <c r="M811" t="str">
        <f>_xlfn.XLOOKUP(Table3[[#This Row],[Cuenta]],Estructura_Balance[Nombre Cuenta ()],Estructura_Balance[Grupo],"",0)</f>
        <v>Grupo 5 - Cuentas financieras
AC (C/P) y PC (L/P)</v>
      </c>
      <c r="N811" t="str">
        <f>_xlfn.XLOOKUP(Table3[[#This Row],[Cuenta]],Estructura_Balance[Nombre Cuenta ()],Estructura_Balance[Nivel 1],"",0)</f>
        <v>PATRIMONIO NETO Y PASIVO</v>
      </c>
      <c r="O811" t="str">
        <f>_xlfn.XLOOKUP(Table3[[#This Row],[Cuenta]],Estructura_Balance[Nombre Cuenta ()],Estructura_Balance[Nivel 2],"",0)</f>
        <v>C) PASIVO CORRIENTE</v>
      </c>
      <c r="P811" t="str">
        <f>_xlfn.XLOOKUP(Table3[[#This Row],[Cuenta]],Estructura_Balance[Nombre Cuenta ()],Estructura_Balance[Nivel 3],"",0)</f>
        <v>I. Pasivos vinculados con activos no corrientes mantenidos para la venta</v>
      </c>
      <c r="Q811" t="str">
        <f>_xlfn.XLOOKUP(Table3[[#This Row],[Cuenta]],Estructura_Balance[Nombre Cuenta ()],Estructura_Balance[Nivel 4],"",0)</f>
        <v>1. Pasivos vinculados con activos no corrientes mantenidos para la venta</v>
      </c>
      <c r="R811" t="str">
        <f>_xlfn.XLOOKUP(Table3[[#This Row],[Cuenta]],Table8[Nombre Cuenta ()],Table8[Nivel 1],"",0)</f>
        <v/>
      </c>
      <c r="S811" t="str">
        <f>_xlfn.XLOOKUP(Table3[[#This Row],[Cuenta]],Table8[Nombre Cuenta ()],Table8[Nivel 2],"",0)</f>
        <v/>
      </c>
      <c r="T811" t="str">
        <f>_xlfn.XLOOKUP(Table3[[#This Row],[Cuenta]],Table8[Nombre Cuenta ()],Table8[Nivel 3],"",0)</f>
        <v/>
      </c>
      <c r="U811">
        <v>1309</v>
      </c>
      <c r="V811" t="str">
        <f>_xlfn.XLOOKUP(Table3[[#This Row],[Cuenta]],Estructura_Balance[Nombre Cuenta ()],Estructura_Balance[Niveles:2],"",0)</f>
        <v>58</v>
      </c>
      <c r="W811" t="str">
        <f>_xlfn.XLOOKUP(Table3[[#This Row],[Cuenta]],Estructura_Balance[Nombre Cuenta ()],Estructura_Balance[Niveles:3],"",0)</f>
        <v>585</v>
      </c>
      <c r="X811" t="str">
        <f>_xlfn.XLOOKUP(Table3[[#This Row],[Cuenta]],Estructura_Balance[Nombre Cuenta ()],Estructura_Balance[Grupos],"Grupo 1",0)</f>
        <v>Grupo 5</v>
      </c>
      <c r="Y811" t="str">
        <f>+Table3[[#This Row],[BS_Nivel_1]]</f>
        <v>PATRIMONIO NETO Y PASIVO</v>
      </c>
    </row>
    <row r="812" spans="1:25">
      <c r="A812">
        <f>+'Libro Diario'!F29</f>
        <v>0</v>
      </c>
      <c r="B812" s="144">
        <f>VALUE(IF(+'Libro Diario'!G29="","01/01/2025",+'Libro Diario'!G29))</f>
        <v>45658</v>
      </c>
      <c r="C812" t="str">
        <f>IF(ISNUMBER(+IF(IFERROR(VALUE(MID('Libro Diario'!D29,1,4)),0)&lt;&gt;0,'Libro Diario'!D29,0))=FALSE,'Libro Diario'!D29,0)</f>
        <v>499 -  Provisión por operaciones comerciales</v>
      </c>
      <c r="D812" s="145">
        <f>+'Libro Diario'!E29</f>
        <v>0</v>
      </c>
      <c r="E812" s="139" t="s">
        <v>446</v>
      </c>
      <c r="F812" t="str">
        <f t="shared" si="36"/>
        <v>Con Mov.</v>
      </c>
      <c r="G812" t="str">
        <f>IF(+'Libro Diario'!H29=0,"",+'Libro Diario'!H29)</f>
        <v>Estructura Balance y PyG</v>
      </c>
      <c r="H812" t="str">
        <f>IF(+'Libro Diario'!I29=0,"",+'Libro Diario'!I29)</f>
        <v>Saldo Inicial</v>
      </c>
      <c r="I812" t="str">
        <f>+IF(Table3[[#This Row],[Tipo Movimiento]]="Estructura Balance y PyG","Excluir","Incluir")</f>
        <v>Excluir</v>
      </c>
      <c r="J812" s="153">
        <f>+IF(Table3[[#This Row],[Sin cuenta]]="Con Mov.",(IF(Table3[[#This Row],[Movimiento]]="Debe",Table3[[#This Row],[Importe]],IF(Table3[[#This Row],[Movimiento]]="Haber",Table3[[#This Row],[Importe]]*-1,0))),0)</f>
        <v>0</v>
      </c>
      <c r="K812" s="145" t="str">
        <f t="shared" si="37"/>
        <v/>
      </c>
      <c r="L812" s="145">
        <f t="shared" si="38"/>
        <v>0</v>
      </c>
      <c r="M812" t="str">
        <f>_xlfn.XLOOKUP(Table3[[#This Row],[Cuenta]],Estructura_Balance[Nombre Cuenta ()],Estructura_Balance[Grupo],"",0)</f>
        <v>Grupo 4 - Acreedores y deudores por operaciones comerciales
AC (C/P) y PC (C/P)</v>
      </c>
      <c r="N812" t="str">
        <f>_xlfn.XLOOKUP(Table3[[#This Row],[Cuenta]],Estructura_Balance[Nombre Cuenta ()],Estructura_Balance[Nivel 1],"",0)</f>
        <v>PATRIMONIO NETO Y PASIVO</v>
      </c>
      <c r="O812" t="str">
        <f>_xlfn.XLOOKUP(Table3[[#This Row],[Cuenta]],Estructura_Balance[Nombre Cuenta ()],Estructura_Balance[Nivel 2],"",0)</f>
        <v>C) PASIVO CORRIENTE</v>
      </c>
      <c r="P812" t="str">
        <f>_xlfn.XLOOKUP(Table3[[#This Row],[Cuenta]],Estructura_Balance[Nombre Cuenta ()],Estructura_Balance[Nivel 3],"",0)</f>
        <v>II. Provisiones a corto plazo</v>
      </c>
      <c r="Q812" t="str">
        <f>_xlfn.XLOOKUP(Table3[[#This Row],[Cuenta]],Estructura_Balance[Nombre Cuenta ()],Estructura_Balance[Nivel 4],"",0)</f>
        <v>1. Provisiones a corto plazo</v>
      </c>
      <c r="R812" t="str">
        <f>_xlfn.XLOOKUP(Table3[[#This Row],[Cuenta]],Table8[Nombre Cuenta ()],Table8[Nivel 1],"",0)</f>
        <v/>
      </c>
      <c r="S812" t="str">
        <f>_xlfn.XLOOKUP(Table3[[#This Row],[Cuenta]],Table8[Nombre Cuenta ()],Table8[Nivel 2],"",0)</f>
        <v/>
      </c>
      <c r="T812" t="str">
        <f>_xlfn.XLOOKUP(Table3[[#This Row],[Cuenta]],Table8[Nombre Cuenta ()],Table8[Nivel 3],"",0)</f>
        <v/>
      </c>
      <c r="U812">
        <v>1310</v>
      </c>
      <c r="V812">
        <f>_xlfn.XLOOKUP(Table3[[#This Row],[Cuenta]],Estructura_Balance[Nombre Cuenta ()],Estructura_Balance[Niveles:2],"",0)</f>
        <v>49</v>
      </c>
      <c r="W812">
        <f>_xlfn.XLOOKUP(Table3[[#This Row],[Cuenta]],Estructura_Balance[Nombre Cuenta ()],Estructura_Balance[Niveles:3],"",0)</f>
        <v>499</v>
      </c>
      <c r="X812" t="str">
        <f>_xlfn.XLOOKUP(Table3[[#This Row],[Cuenta]],Estructura_Balance[Nombre Cuenta ()],Estructura_Balance[Grupos],"Grupo 1",0)</f>
        <v>Grupo 4</v>
      </c>
      <c r="Y812" t="str">
        <f>+Table3[[#This Row],[BS_Nivel_1]]</f>
        <v>PATRIMONIO NETO Y PASIVO</v>
      </c>
    </row>
    <row r="813" spans="1:25">
      <c r="A813">
        <f>+'Libro Diario'!F30</f>
        <v>0</v>
      </c>
      <c r="B813" s="144">
        <f>VALUE(IF(+'Libro Diario'!G30="","01/01/2025",+'Libro Diario'!G30))</f>
        <v>45658</v>
      </c>
      <c r="C813" t="str">
        <f>IF(ISNUMBER(+IF(IFERROR(VALUE(MID('Libro Diario'!D30,1,4)),0)&lt;&gt;0,'Libro Diario'!D30,0))=FALSE,'Libro Diario'!D30,0)</f>
        <v>103  - Socios por desembolsos no exigidos</v>
      </c>
      <c r="D813" s="145">
        <f>+'Libro Diario'!E30</f>
        <v>0</v>
      </c>
      <c r="E813" s="139" t="s">
        <v>446</v>
      </c>
      <c r="F813" t="str">
        <f t="shared" si="36"/>
        <v>Con Mov.</v>
      </c>
      <c r="G813" t="str">
        <f>IF(+'Libro Diario'!H30=0,"",+'Libro Diario'!H30)</f>
        <v>Estructura Balance y PyG</v>
      </c>
      <c r="H813" t="str">
        <f>IF(+'Libro Diario'!I30=0,"",+'Libro Diario'!I30)</f>
        <v>Saldo Inicial</v>
      </c>
      <c r="I813" t="str">
        <f>+IF(Table3[[#This Row],[Tipo Movimiento]]="Estructura Balance y PyG","Excluir","Incluir")</f>
        <v>Excluir</v>
      </c>
      <c r="J813" s="153">
        <f>+IF(Table3[[#This Row],[Sin cuenta]]="Con Mov.",(IF(Table3[[#This Row],[Movimiento]]="Debe",Table3[[#This Row],[Importe]],IF(Table3[[#This Row],[Movimiento]]="Haber",Table3[[#This Row],[Importe]]*-1,0))),0)</f>
        <v>0</v>
      </c>
      <c r="K813" s="145" t="str">
        <f t="shared" si="37"/>
        <v/>
      </c>
      <c r="L813" s="145">
        <f t="shared" si="38"/>
        <v>0</v>
      </c>
      <c r="M813" t="str">
        <f>_xlfn.XLOOKUP(Table3[[#This Row],[Cuenta]],Estructura_Balance[Nombre Cuenta ()],Estructura_Balance[Grupo],"",0)</f>
        <v>Grupo 1 - 
Financiación básica
PN y PNC (L/P)</v>
      </c>
      <c r="N813" t="str">
        <f>_xlfn.XLOOKUP(Table3[[#This Row],[Cuenta]],Estructura_Balance[Nombre Cuenta ()],Estructura_Balance[Nivel 1],"",0)</f>
        <v>PATRIMONIO NETO Y PASIVO</v>
      </c>
      <c r="O813" t="str">
        <f>_xlfn.XLOOKUP(Table3[[#This Row],[Cuenta]],Estructura_Balance[Nombre Cuenta ()],Estructura_Balance[Nivel 2],"",0)</f>
        <v>C) PASIVO CORRIENTE</v>
      </c>
      <c r="P813" t="str">
        <f>_xlfn.XLOOKUP(Table3[[#This Row],[Cuenta]],Estructura_Balance[Nombre Cuenta ()],Estructura_Balance[Nivel 3],"",0)</f>
        <v>III. Deudas a corto plazo</v>
      </c>
      <c r="Q813" t="str">
        <f>_xlfn.XLOOKUP(Table3[[#This Row],[Cuenta]],Estructura_Balance[Nombre Cuenta ()],Estructura_Balance[Nivel 4],"",0)</f>
        <v>3. Otras deudas a corto plazo</v>
      </c>
      <c r="R813" t="str">
        <f>_xlfn.XLOOKUP(Table3[[#This Row],[Cuenta]],Table8[Nombre Cuenta ()],Table8[Nivel 1],"",0)</f>
        <v/>
      </c>
      <c r="S813" t="str">
        <f>_xlfn.XLOOKUP(Table3[[#This Row],[Cuenta]],Table8[Nombre Cuenta ()],Table8[Nivel 2],"",0)</f>
        <v/>
      </c>
      <c r="T813" t="str">
        <f>_xlfn.XLOOKUP(Table3[[#This Row],[Cuenta]],Table8[Nombre Cuenta ()],Table8[Nivel 3],"",0)</f>
        <v/>
      </c>
      <c r="U813">
        <v>1313</v>
      </c>
      <c r="V813">
        <f>_xlfn.XLOOKUP(Table3[[#This Row],[Cuenta]],Estructura_Balance[Nombre Cuenta ()],Estructura_Balance[Niveles:2],"",0)</f>
        <v>10</v>
      </c>
      <c r="W813" t="str">
        <f>_xlfn.XLOOKUP(Table3[[#This Row],[Cuenta]],Estructura_Balance[Nombre Cuenta ()],Estructura_Balance[Niveles:3],"",0)</f>
        <v>103</v>
      </c>
      <c r="X813" t="str">
        <f>_xlfn.XLOOKUP(Table3[[#This Row],[Cuenta]],Estructura_Balance[Nombre Cuenta ()],Estructura_Balance[Grupos],"Grupo 1",0)</f>
        <v>Grupo 1</v>
      </c>
      <c r="Y813" t="str">
        <f>+Table3[[#This Row],[BS_Nivel_1]]</f>
        <v>PATRIMONIO NETO Y PASIVO</v>
      </c>
    </row>
    <row r="814" spans="1:25">
      <c r="A814">
        <f>+'Libro Diario'!F31</f>
        <v>0</v>
      </c>
      <c r="B814" s="144">
        <f>VALUE(IF(+'Libro Diario'!G31="","01/01/2025",+'Libro Diario'!G31))</f>
        <v>45658</v>
      </c>
      <c r="C814" t="str">
        <f>IF(ISNUMBER(+IF(IFERROR(VALUE(MID('Libro Diario'!D31,1,4)),0)&lt;&gt;0,'Libro Diario'!D31,0))=FALSE,'Libro Diario'!D31,0)</f>
        <v>510 -  Deudas a corto plazo con entidades de crédito vinculadas</v>
      </c>
      <c r="D814" s="145">
        <f>+'Libro Diario'!E31</f>
        <v>0</v>
      </c>
      <c r="E814" s="139" t="s">
        <v>446</v>
      </c>
      <c r="F814" t="str">
        <f t="shared" si="36"/>
        <v>Con Mov.</v>
      </c>
      <c r="G814" t="str">
        <f>IF(+'Libro Diario'!H31=0,"",+'Libro Diario'!H31)</f>
        <v>Estructura Balance y PyG</v>
      </c>
      <c r="H814" t="str">
        <f>IF(+'Libro Diario'!I31=0,"",+'Libro Diario'!I31)</f>
        <v>Saldo Inicial</v>
      </c>
      <c r="I814" t="str">
        <f>+IF(Table3[[#This Row],[Tipo Movimiento]]="Estructura Balance y PyG","Excluir","Incluir")</f>
        <v>Excluir</v>
      </c>
      <c r="J814" s="153">
        <f>+IF(Table3[[#This Row],[Sin cuenta]]="Con Mov.",(IF(Table3[[#This Row],[Movimiento]]="Debe",Table3[[#This Row],[Importe]],IF(Table3[[#This Row],[Movimiento]]="Haber",Table3[[#This Row],[Importe]]*-1,0))),0)</f>
        <v>0</v>
      </c>
      <c r="K814" s="145" t="str">
        <f t="shared" si="37"/>
        <v/>
      </c>
      <c r="L814" s="145">
        <f t="shared" si="38"/>
        <v>0</v>
      </c>
      <c r="M814" t="str">
        <f>_xlfn.XLOOKUP(Table3[[#This Row],[Cuenta]],Estructura_Balance[Nombre Cuenta ()],Estructura_Balance[Grupo],"",0)</f>
        <v>Grupo 5 - Cuentas financieras
AC (C/P) y PC (L/P)</v>
      </c>
      <c r="N814" t="str">
        <f>_xlfn.XLOOKUP(Table3[[#This Row],[Cuenta]],Estructura_Balance[Nombre Cuenta ()],Estructura_Balance[Nivel 1],"",0)</f>
        <v>PATRIMONIO NETO Y PASIVO</v>
      </c>
      <c r="O814" t="str">
        <f>_xlfn.XLOOKUP(Table3[[#This Row],[Cuenta]],Estructura_Balance[Nombre Cuenta ()],Estructura_Balance[Nivel 2],"",0)</f>
        <v>C) PASIVO CORRIENTE</v>
      </c>
      <c r="P814" t="str">
        <f>_xlfn.XLOOKUP(Table3[[#This Row],[Cuenta]],Estructura_Balance[Nombre Cuenta ()],Estructura_Balance[Nivel 3],"",0)</f>
        <v>IV. Deudas con empresas del grupo y asociados a corto plazo</v>
      </c>
      <c r="Q814" t="str">
        <f>_xlfn.XLOOKUP(Table3[[#This Row],[Cuenta]],Estructura_Balance[Nombre Cuenta ()],Estructura_Balance[Nivel 4],"",0)</f>
        <v>1. Deudas con empresas del grupo y asociados a corto plazo</v>
      </c>
      <c r="R814" t="str">
        <f>_xlfn.XLOOKUP(Table3[[#This Row],[Cuenta]],Table8[Nombre Cuenta ()],Table8[Nivel 1],"",0)</f>
        <v/>
      </c>
      <c r="S814" t="str">
        <f>_xlfn.XLOOKUP(Table3[[#This Row],[Cuenta]],Table8[Nombre Cuenta ()],Table8[Nivel 2],"",0)</f>
        <v/>
      </c>
      <c r="T814" t="str">
        <f>_xlfn.XLOOKUP(Table3[[#This Row],[Cuenta]],Table8[Nombre Cuenta ()],Table8[Nivel 3],"",0)</f>
        <v/>
      </c>
      <c r="U814">
        <v>1314</v>
      </c>
      <c r="V814">
        <f>_xlfn.XLOOKUP(Table3[[#This Row],[Cuenta]],Estructura_Balance[Nombre Cuenta ()],Estructura_Balance[Niveles:2],"",0)</f>
        <v>51</v>
      </c>
      <c r="W814">
        <f>_xlfn.XLOOKUP(Table3[[#This Row],[Cuenta]],Estructura_Balance[Nombre Cuenta ()],Estructura_Balance[Niveles:3],"",0)</f>
        <v>510</v>
      </c>
      <c r="X814" t="str">
        <f>_xlfn.XLOOKUP(Table3[[#This Row],[Cuenta]],Estructura_Balance[Nombre Cuenta ()],Estructura_Balance[Grupos],"Grupo 1",0)</f>
        <v>Grupo 5</v>
      </c>
      <c r="Y814" t="str">
        <f>+Table3[[#This Row],[BS_Nivel_1]]</f>
        <v>PATRIMONIO NETO Y PASIVO</v>
      </c>
    </row>
    <row r="815" spans="1:25">
      <c r="A815">
        <f>+'Libro Diario'!F32</f>
        <v>0</v>
      </c>
      <c r="B815" s="144">
        <f>VALUE(IF(+'Libro Diario'!G32="","01/01/2025",+'Libro Diario'!G32))</f>
        <v>45658</v>
      </c>
      <c r="C815" t="str">
        <f>IF(ISNUMBER(+IF(IFERROR(VALUE(MID('Libro Diario'!D32,1,4)),0)&lt;&gt;0,'Libro Diario'!D32,0))=FALSE,'Libro Diario'!D32,0)</f>
        <v>400 -  Proveedores</v>
      </c>
      <c r="D815" s="145">
        <f>+'Libro Diario'!E32</f>
        <v>0</v>
      </c>
      <c r="E815" s="139" t="s">
        <v>446</v>
      </c>
      <c r="F815" t="str">
        <f t="shared" si="36"/>
        <v>Con Mov.</v>
      </c>
      <c r="G815" t="str">
        <f>IF(+'Libro Diario'!H32=0,"",+'Libro Diario'!H32)</f>
        <v>Estructura Balance y PyG</v>
      </c>
      <c r="H815" t="str">
        <f>IF(+'Libro Diario'!I32=0,"",+'Libro Diario'!I32)</f>
        <v>Saldo Inicial</v>
      </c>
      <c r="I815" t="str">
        <f>+IF(Table3[[#This Row],[Tipo Movimiento]]="Estructura Balance y PyG","Excluir","Incluir")</f>
        <v>Excluir</v>
      </c>
      <c r="J815" s="153">
        <f>+IF(Table3[[#This Row],[Sin cuenta]]="Con Mov.",(IF(Table3[[#This Row],[Movimiento]]="Debe",Table3[[#This Row],[Importe]],IF(Table3[[#This Row],[Movimiento]]="Haber",Table3[[#This Row],[Importe]]*-1,0))),0)</f>
        <v>0</v>
      </c>
      <c r="K815" s="145" t="str">
        <f t="shared" si="37"/>
        <v/>
      </c>
      <c r="L815" s="145">
        <f t="shared" si="38"/>
        <v>0</v>
      </c>
      <c r="M815" t="str">
        <f>_xlfn.XLOOKUP(Table3[[#This Row],[Cuenta]],Estructura_Balance[Nombre Cuenta ()],Estructura_Balance[Grupo],"",0)</f>
        <v>Grupo 4 - Acreedores y deudores por operaciones comerciales
AC (C/P) y PC (C/P)</v>
      </c>
      <c r="N815" t="str">
        <f>_xlfn.XLOOKUP(Table3[[#This Row],[Cuenta]],Estructura_Balance[Nombre Cuenta ()],Estructura_Balance[Nivel 1],"",0)</f>
        <v>PATRIMONIO NETO Y PASIVO</v>
      </c>
      <c r="O815" t="str">
        <f>_xlfn.XLOOKUP(Table3[[#This Row],[Cuenta]],Estructura_Balance[Nombre Cuenta ()],Estructura_Balance[Nivel 2],"",0)</f>
        <v>C) PASIVO CORRIENTE</v>
      </c>
      <c r="P815" t="str">
        <f>_xlfn.XLOOKUP(Table3[[#This Row],[Cuenta]],Estructura_Balance[Nombre Cuenta ()],Estructura_Balance[Nivel 3],"",0)</f>
        <v>V. Acreedores comerciales y otras cuentas a pagar</v>
      </c>
      <c r="Q815" t="str">
        <f>_xlfn.XLOOKUP(Table3[[#This Row],[Cuenta]],Estructura_Balance[Nombre Cuenta ()],Estructura_Balance[Nivel 4],"",0)</f>
        <v>1. Proveedores</v>
      </c>
      <c r="R815" t="str">
        <f>_xlfn.XLOOKUP(Table3[[#This Row],[Cuenta]],Table8[Nombre Cuenta ()],Table8[Nivel 1],"",0)</f>
        <v/>
      </c>
      <c r="S815" t="str">
        <f>_xlfn.XLOOKUP(Table3[[#This Row],[Cuenta]],Table8[Nombre Cuenta ()],Table8[Nivel 2],"",0)</f>
        <v/>
      </c>
      <c r="T815" t="str">
        <f>_xlfn.XLOOKUP(Table3[[#This Row],[Cuenta]],Table8[Nombre Cuenta ()],Table8[Nivel 3],"",0)</f>
        <v/>
      </c>
      <c r="U815">
        <v>1315</v>
      </c>
      <c r="V815" t="str">
        <f>_xlfn.XLOOKUP(Table3[[#This Row],[Cuenta]],Estructura_Balance[Nombre Cuenta ()],Estructura_Balance[Niveles:2],"",0)</f>
        <v>40</v>
      </c>
      <c r="W815" t="str">
        <f>_xlfn.XLOOKUP(Table3[[#This Row],[Cuenta]],Estructura_Balance[Nombre Cuenta ()],Estructura_Balance[Niveles:3],"",0)</f>
        <v>400</v>
      </c>
      <c r="X815" t="str">
        <f>_xlfn.XLOOKUP(Table3[[#This Row],[Cuenta]],Estructura_Balance[Nombre Cuenta ()],Estructura_Balance[Grupos],"Grupo 1",0)</f>
        <v>Grupo 4</v>
      </c>
      <c r="Y815" t="str">
        <f>+Table3[[#This Row],[BS_Nivel_1]]</f>
        <v>PATRIMONIO NETO Y PASIVO</v>
      </c>
    </row>
    <row r="816" spans="1:25">
      <c r="A816">
        <f>+'Libro Diario'!F33</f>
        <v>0</v>
      </c>
      <c r="B816" s="144">
        <f>VALUE(IF(+'Libro Diario'!G33="","01/01/2025",+'Libro Diario'!G33))</f>
        <v>45658</v>
      </c>
      <c r="C816">
        <f>IF(ISNUMBER(+IF(IFERROR(VALUE(MID('Libro Diario'!D33,1,4)),0)&lt;&gt;0,'Libro Diario'!D33,0))=FALSE,'Libro Diario'!D33,0)</f>
        <v>0</v>
      </c>
      <c r="D816" s="145">
        <f>+'Libro Diario'!E33</f>
        <v>0</v>
      </c>
      <c r="E816" s="139" t="s">
        <v>446</v>
      </c>
      <c r="F816" t="str">
        <f t="shared" si="36"/>
        <v>Sin Mov.</v>
      </c>
      <c r="G816" t="str">
        <f>IF(+'Libro Diario'!H33=0,"",+'Libro Diario'!H33)</f>
        <v>Estructura Balance y PyG</v>
      </c>
      <c r="H816" t="str">
        <f>IF(+'Libro Diario'!I33=0,"",+'Libro Diario'!I33)</f>
        <v>Saldo Inicial</v>
      </c>
      <c r="I816" t="str">
        <f>+IF(Table3[[#This Row],[Tipo Movimiento]]="Estructura Balance y PyG","Excluir","Incluir")</f>
        <v>Excluir</v>
      </c>
      <c r="J816" s="153">
        <f>+IF(Table3[[#This Row],[Sin cuenta]]="Con Mov.",(IF(Table3[[#This Row],[Movimiento]]="Debe",Table3[[#This Row],[Importe]],IF(Table3[[#This Row],[Movimiento]]="Haber",Table3[[#This Row],[Importe]]*-1,0))),0)</f>
        <v>0</v>
      </c>
      <c r="K816" s="145" t="str">
        <f t="shared" si="37"/>
        <v/>
      </c>
      <c r="L816" s="145">
        <f t="shared" si="38"/>
        <v>0</v>
      </c>
      <c r="M816" t="str">
        <f>_xlfn.XLOOKUP(Table3[[#This Row],[Cuenta]],Estructura_Balance[Nombre Cuenta ()],Estructura_Balance[Grupo],"",0)</f>
        <v/>
      </c>
      <c r="N816" t="str">
        <f>_xlfn.XLOOKUP(Table3[[#This Row],[Cuenta]],Estructura_Balance[Nombre Cuenta ()],Estructura_Balance[Nivel 1],"",0)</f>
        <v/>
      </c>
      <c r="O816" t="str">
        <f>_xlfn.XLOOKUP(Table3[[#This Row],[Cuenta]],Estructura_Balance[Nombre Cuenta ()],Estructura_Balance[Nivel 2],"",0)</f>
        <v/>
      </c>
      <c r="P816" t="str">
        <f>_xlfn.XLOOKUP(Table3[[#This Row],[Cuenta]],Estructura_Balance[Nombre Cuenta ()],Estructura_Balance[Nivel 3],"",0)</f>
        <v/>
      </c>
      <c r="Q816" t="str">
        <f>_xlfn.XLOOKUP(Table3[[#This Row],[Cuenta]],Estructura_Balance[Nombre Cuenta ()],Estructura_Balance[Nivel 4],"",0)</f>
        <v/>
      </c>
      <c r="R816" t="str">
        <f>_xlfn.XLOOKUP(Table3[[#This Row],[Cuenta]],Table8[Nombre Cuenta ()],Table8[Nivel 1],"",0)</f>
        <v/>
      </c>
      <c r="S816" t="str">
        <f>_xlfn.XLOOKUP(Table3[[#This Row],[Cuenta]],Table8[Nombre Cuenta ()],Table8[Nivel 2],"",0)</f>
        <v/>
      </c>
      <c r="T816" t="str">
        <f>_xlfn.XLOOKUP(Table3[[#This Row],[Cuenta]],Table8[Nombre Cuenta ()],Table8[Nivel 3],"",0)</f>
        <v/>
      </c>
      <c r="U816">
        <v>1316</v>
      </c>
      <c r="V816" t="str">
        <f>_xlfn.XLOOKUP(Table3[[#This Row],[Cuenta]],Estructura_Balance[Nombre Cuenta ()],Estructura_Balance[Niveles:2],"",0)</f>
        <v/>
      </c>
      <c r="W816" t="str">
        <f>_xlfn.XLOOKUP(Table3[[#This Row],[Cuenta]],Estructura_Balance[Nombre Cuenta ()],Estructura_Balance[Niveles:3],"",0)</f>
        <v/>
      </c>
      <c r="X816" t="str">
        <f>_xlfn.XLOOKUP(Table3[[#This Row],[Cuenta]],Estructura_Balance[Nombre Cuenta ()],Estructura_Balance[Grupos],"Grupo 1",0)</f>
        <v>Grupo 1</v>
      </c>
      <c r="Y816" t="str">
        <f>+Table3[[#This Row],[BS_Nivel_1]]</f>
        <v/>
      </c>
    </row>
    <row r="817" spans="1:25">
      <c r="A817">
        <f>+'Libro Diario'!F34</f>
        <v>0</v>
      </c>
      <c r="B817" s="144">
        <f>VALUE(IF(+'Libro Diario'!G34="","01/01/2025",+'Libro Diario'!G34))</f>
        <v>45658</v>
      </c>
      <c r="C817" t="str">
        <f>IF(ISNUMBER(+IF(IFERROR(VALUE(MID('Libro Diario'!D34,1,4)),0)&lt;&gt;0,'Libro Diario'!D34,0))=FALSE,'Libro Diario'!D34,0)</f>
        <v>485 -  Ingresos anticipados</v>
      </c>
      <c r="D817" s="145">
        <f>+'Libro Diario'!E34</f>
        <v>0</v>
      </c>
      <c r="E817" s="139" t="s">
        <v>446</v>
      </c>
      <c r="F817" t="str">
        <f t="shared" si="36"/>
        <v>Con Mov.</v>
      </c>
      <c r="G817" t="str">
        <f>IF(+'Libro Diario'!H34=0,"",+'Libro Diario'!H34)</f>
        <v>Estructura Balance y PyG</v>
      </c>
      <c r="H817" t="str">
        <f>IF(+'Libro Diario'!I34=0,"",+'Libro Diario'!I34)</f>
        <v>Saldo Inicial</v>
      </c>
      <c r="I817" t="str">
        <f>+IF(Table3[[#This Row],[Tipo Movimiento]]="Estructura Balance y PyG","Excluir","Incluir")</f>
        <v>Excluir</v>
      </c>
      <c r="J817" s="153">
        <f>+IF(Table3[[#This Row],[Sin cuenta]]="Con Mov.",(IF(Table3[[#This Row],[Movimiento]]="Debe",Table3[[#This Row],[Importe]],IF(Table3[[#This Row],[Movimiento]]="Haber",Table3[[#This Row],[Importe]]*-1,0))),0)</f>
        <v>0</v>
      </c>
      <c r="K817" s="145" t="str">
        <f t="shared" si="37"/>
        <v/>
      </c>
      <c r="L817" s="145">
        <f t="shared" si="38"/>
        <v>0</v>
      </c>
      <c r="M817" t="str">
        <f>_xlfn.XLOOKUP(Table3[[#This Row],[Cuenta]],Estructura_Balance[Nombre Cuenta ()],Estructura_Balance[Grupo],"",0)</f>
        <v>Grupo 4 - Acreedores y deudores por operaciones comerciales
AC (C/P) y PC (C/P)</v>
      </c>
      <c r="N817" t="str">
        <f>_xlfn.XLOOKUP(Table3[[#This Row],[Cuenta]],Estructura_Balance[Nombre Cuenta ()],Estructura_Balance[Nivel 1],"",0)</f>
        <v>PATRIMONIO NETO Y PASIVO</v>
      </c>
      <c r="O817" t="str">
        <f>_xlfn.XLOOKUP(Table3[[#This Row],[Cuenta]],Estructura_Balance[Nombre Cuenta ()],Estructura_Balance[Nivel 2],"",0)</f>
        <v>C) PASIVO CORRIENTE</v>
      </c>
      <c r="P817" t="str">
        <f>_xlfn.XLOOKUP(Table3[[#This Row],[Cuenta]],Estructura_Balance[Nombre Cuenta ()],Estructura_Balance[Nivel 3],"",0)</f>
        <v>VI. Periodificaciones a corto plazo</v>
      </c>
      <c r="Q817" t="str">
        <f>_xlfn.XLOOKUP(Table3[[#This Row],[Cuenta]],Estructura_Balance[Nombre Cuenta ()],Estructura_Balance[Nivel 4],"",0)</f>
        <v>1. Periodificaciones a corto plazo</v>
      </c>
      <c r="R817" t="str">
        <f>_xlfn.XLOOKUP(Table3[[#This Row],[Cuenta]],Table8[Nombre Cuenta ()],Table8[Nivel 1],"",0)</f>
        <v/>
      </c>
      <c r="S817" t="str">
        <f>_xlfn.XLOOKUP(Table3[[#This Row],[Cuenta]],Table8[Nombre Cuenta ()],Table8[Nivel 2],"",0)</f>
        <v/>
      </c>
      <c r="T817" t="str">
        <f>_xlfn.XLOOKUP(Table3[[#This Row],[Cuenta]],Table8[Nombre Cuenta ()],Table8[Nivel 3],"",0)</f>
        <v/>
      </c>
      <c r="U817">
        <v>1317</v>
      </c>
      <c r="V817" t="str">
        <f>_xlfn.XLOOKUP(Table3[[#This Row],[Cuenta]],Estructura_Balance[Nombre Cuenta ()],Estructura_Balance[Niveles:2],"",0)</f>
        <v>48</v>
      </c>
      <c r="W817" t="str">
        <f>_xlfn.XLOOKUP(Table3[[#This Row],[Cuenta]],Estructura_Balance[Nombre Cuenta ()],Estructura_Balance[Niveles:3],"",0)</f>
        <v>485</v>
      </c>
      <c r="X817" t="str">
        <f>_xlfn.XLOOKUP(Table3[[#This Row],[Cuenta]],Estructura_Balance[Nombre Cuenta ()],Estructura_Balance[Grupos],"Grupo 1",0)</f>
        <v>Grupo 4</v>
      </c>
      <c r="Y817" t="str">
        <f>+Table3[[#This Row],[BS_Nivel_1]]</f>
        <v>PATRIMONIO NETO Y PASIVO</v>
      </c>
    </row>
    <row r="818" spans="1:25">
      <c r="A818">
        <f>+'Libro Diario'!F35</f>
        <v>0</v>
      </c>
      <c r="B818" s="144">
        <f>VALUE(IF(+'Libro Diario'!G35="","01/01/2025",+'Libro Diario'!G35))</f>
        <v>45658</v>
      </c>
      <c r="C818" t="str">
        <f>IF(ISNUMBER(+IF(IFERROR(VALUE(MID('Libro Diario'!D35,1,4)),0)&lt;&gt;0,'Libro Diario'!D35,0))=FALSE,'Libro Diario'!D35,0)</f>
        <v>700 -  Ventas de mercaderías</v>
      </c>
      <c r="D818" s="145">
        <f>+'Libro Diario'!E35</f>
        <v>0</v>
      </c>
      <c r="E818" s="139" t="s">
        <v>446</v>
      </c>
      <c r="F818" t="str">
        <f t="shared" si="36"/>
        <v>Con Mov.</v>
      </c>
      <c r="G818" t="str">
        <f>IF(+'Libro Diario'!H35=0,"",+'Libro Diario'!H35)</f>
        <v>Estructura Balance y PyG</v>
      </c>
      <c r="H818" t="str">
        <f>IF(+'Libro Diario'!I35=0,"",+'Libro Diario'!I35)</f>
        <v>Saldo Inicial</v>
      </c>
      <c r="I818" t="str">
        <f>+IF(Table3[[#This Row],[Tipo Movimiento]]="Estructura Balance y PyG","Excluir","Incluir")</f>
        <v>Excluir</v>
      </c>
      <c r="J818" s="153">
        <f>+IF(Table3[[#This Row],[Sin cuenta]]="Con Mov.",(IF(Table3[[#This Row],[Movimiento]]="Debe",Table3[[#This Row],[Importe]],IF(Table3[[#This Row],[Movimiento]]="Haber",Table3[[#This Row],[Importe]]*-1,0))),0)</f>
        <v>0</v>
      </c>
      <c r="K818" s="145" t="str">
        <f t="shared" si="37"/>
        <v/>
      </c>
      <c r="L818" s="145">
        <f t="shared" si="38"/>
        <v>0</v>
      </c>
      <c r="M818" t="str">
        <f>_xlfn.XLOOKUP(Table3[[#This Row],[Cuenta]],Estructura_Balance[Nombre Cuenta ()],Estructura_Balance[Grupo],"",0)</f>
        <v>Grupo 7 - Ventas e Ingresos</v>
      </c>
      <c r="N818" t="str">
        <f>_xlfn.XLOOKUP(Table3[[#This Row],[Cuenta]],Estructura_Balance[Nombre Cuenta ()],Estructura_Balance[Nivel 1],"",0)</f>
        <v>PATRIMONIO NETO Y PASIVO</v>
      </c>
      <c r="O818" t="str">
        <f>_xlfn.XLOOKUP(Table3[[#This Row],[Cuenta]],Estructura_Balance[Nombre Cuenta ()],Estructura_Balance[Nivel 2],"",0)</f>
        <v>A) PATRIMONIO NETO</v>
      </c>
      <c r="P818" t="str">
        <f>_xlfn.XLOOKUP(Table3[[#This Row],[Cuenta]],Estructura_Balance[Nombre Cuenta ()],Estructura_Balance[Nivel 3],"",0)</f>
        <v>VII. Resultado del Ejercicio</v>
      </c>
      <c r="Q818" t="str">
        <f>_xlfn.XLOOKUP(Table3[[#This Row],[Cuenta]],Estructura_Balance[Nombre Cuenta ()],Estructura_Balance[Nivel 4],"",0)</f>
        <v>1. Resultado del ejercicio</v>
      </c>
      <c r="R818" t="str">
        <f>_xlfn.XLOOKUP(Table3[[#This Row],[Cuenta]],Table8[Nombre Cuenta ()],Table8[Nivel 1],"",0)</f>
        <v>C) RESULTADO ANTES DE IMPUESTOS</v>
      </c>
      <c r="S818" t="str">
        <f>_xlfn.XLOOKUP(Table3[[#This Row],[Cuenta]],Table8[Nombre Cuenta ()],Table8[Nivel 2],"",0)</f>
        <v>A) RESULTADO DE EXPLOTACIÓN</v>
      </c>
      <c r="T818" t="str">
        <f>_xlfn.XLOOKUP(Table3[[#This Row],[Cuenta]],Table8[Nombre Cuenta ()],Table8[Nivel 3],"",0)</f>
        <v>01. Importe Neto de la cifra de negocios</v>
      </c>
      <c r="U818">
        <v>1321</v>
      </c>
      <c r="V818" t="str">
        <f>_xlfn.XLOOKUP(Table3[[#This Row],[Cuenta]],Estructura_Balance[Nombre Cuenta ()],Estructura_Balance[Niveles:2],"",0)</f>
        <v>70</v>
      </c>
      <c r="W818" t="str">
        <f>_xlfn.XLOOKUP(Table3[[#This Row],[Cuenta]],Estructura_Balance[Nombre Cuenta ()],Estructura_Balance[Niveles:3],"",0)</f>
        <v>700</v>
      </c>
      <c r="X818" t="str">
        <f>_xlfn.XLOOKUP(Table3[[#This Row],[Cuenta]],Estructura_Balance[Nombre Cuenta ()],Estructura_Balance[Grupos],"Grupo 1",0)</f>
        <v>Grupo 7</v>
      </c>
      <c r="Y818" t="str">
        <f>+Table3[[#This Row],[BS_Nivel_1]]</f>
        <v>PATRIMONIO NETO Y PASIVO</v>
      </c>
    </row>
    <row r="819" spans="1:25">
      <c r="A819">
        <f>+'Libro Diario'!F36</f>
        <v>0</v>
      </c>
      <c r="B819" s="144">
        <f>VALUE(IF(+'Libro Diario'!G36="","01/01/2025",+'Libro Diario'!G36))</f>
        <v>45658</v>
      </c>
      <c r="C819" t="str">
        <f>IF(ISNUMBER(+IF(IFERROR(VALUE(MID('Libro Diario'!D36,1,4)),0)&lt;&gt;0,'Libro Diario'!D36,0))=FALSE,'Libro Diario'!D36,0)</f>
        <v>710 -  Variación de existencias de productos en curso</v>
      </c>
      <c r="D819" s="145">
        <f>+'Libro Diario'!E36</f>
        <v>0</v>
      </c>
      <c r="E819" s="139" t="s">
        <v>446</v>
      </c>
      <c r="F819" t="str">
        <f t="shared" si="36"/>
        <v>Con Mov.</v>
      </c>
      <c r="G819" t="str">
        <f>IF(+'Libro Diario'!H36=0,"",+'Libro Diario'!H36)</f>
        <v>Estructura Balance y PyG</v>
      </c>
      <c r="H819" t="str">
        <f>IF(+'Libro Diario'!I36=0,"",+'Libro Diario'!I36)</f>
        <v>Saldo Inicial</v>
      </c>
      <c r="I819" t="str">
        <f>+IF(Table3[[#This Row],[Tipo Movimiento]]="Estructura Balance y PyG","Excluir","Incluir")</f>
        <v>Excluir</v>
      </c>
      <c r="J819" s="153">
        <f>+IF(Table3[[#This Row],[Sin cuenta]]="Con Mov.",(IF(Table3[[#This Row],[Movimiento]]="Debe",Table3[[#This Row],[Importe]],IF(Table3[[#This Row],[Movimiento]]="Haber",Table3[[#This Row],[Importe]]*-1,0))),0)</f>
        <v>0</v>
      </c>
      <c r="K819" s="145" t="str">
        <f t="shared" si="37"/>
        <v/>
      </c>
      <c r="L819" s="145">
        <f t="shared" si="38"/>
        <v>0</v>
      </c>
      <c r="M819" t="str">
        <f>_xlfn.XLOOKUP(Table3[[#This Row],[Cuenta]],Estructura_Balance[Nombre Cuenta ()],Estructura_Balance[Grupo],"",0)</f>
        <v>Grupo 7 - Ventas e Ingresos</v>
      </c>
      <c r="N819" t="str">
        <f>_xlfn.XLOOKUP(Table3[[#This Row],[Cuenta]],Estructura_Balance[Nombre Cuenta ()],Estructura_Balance[Nivel 1],"",0)</f>
        <v>PATRIMONIO NETO Y PASIVO</v>
      </c>
      <c r="O819" t="str">
        <f>_xlfn.XLOOKUP(Table3[[#This Row],[Cuenta]],Estructura_Balance[Nombre Cuenta ()],Estructura_Balance[Nivel 2],"",0)</f>
        <v>A) PATRIMONIO NETO</v>
      </c>
      <c r="P819" t="str">
        <f>_xlfn.XLOOKUP(Table3[[#This Row],[Cuenta]],Estructura_Balance[Nombre Cuenta ()],Estructura_Balance[Nivel 3],"",0)</f>
        <v>VII. Resultado del Ejercicio</v>
      </c>
      <c r="Q819" t="str">
        <f>_xlfn.XLOOKUP(Table3[[#This Row],[Cuenta]],Estructura_Balance[Nombre Cuenta ()],Estructura_Balance[Nivel 4],"",0)</f>
        <v>1. Resultado del ejercicio</v>
      </c>
      <c r="R819" t="str">
        <f>_xlfn.XLOOKUP(Table3[[#This Row],[Cuenta]],Table8[Nombre Cuenta ()],Table8[Nivel 1],"",0)</f>
        <v>C) RESULTADO ANTES DE IMPUESTOS</v>
      </c>
      <c r="S819" t="str">
        <f>_xlfn.XLOOKUP(Table3[[#This Row],[Cuenta]],Table8[Nombre Cuenta ()],Table8[Nivel 2],"",0)</f>
        <v>A) RESULTADO DE EXPLOTACIÓN</v>
      </c>
      <c r="T819" t="str">
        <f>_xlfn.XLOOKUP(Table3[[#This Row],[Cuenta]],Table8[Nombre Cuenta ()],Table8[Nivel 3],"",0)</f>
        <v>02. Variación de existencias de productos terminados y en curso de fabricación</v>
      </c>
      <c r="U819">
        <v>1322</v>
      </c>
      <c r="V819">
        <f>_xlfn.XLOOKUP(Table3[[#This Row],[Cuenta]],Estructura_Balance[Nombre Cuenta ()],Estructura_Balance[Niveles:2],"",0)</f>
        <v>71</v>
      </c>
      <c r="W819">
        <f>_xlfn.XLOOKUP(Table3[[#This Row],[Cuenta]],Estructura_Balance[Nombre Cuenta ()],Estructura_Balance[Niveles:3],"",0)</f>
        <v>710</v>
      </c>
      <c r="X819" t="str">
        <f>_xlfn.XLOOKUP(Table3[[#This Row],[Cuenta]],Estructura_Balance[Nombre Cuenta ()],Estructura_Balance[Grupos],"Grupo 1",0)</f>
        <v>Grupo 7</v>
      </c>
      <c r="Y819" t="str">
        <f>+Table3[[#This Row],[BS_Nivel_1]]</f>
        <v>PATRIMONIO NETO Y PASIVO</v>
      </c>
    </row>
    <row r="820" spans="1:25">
      <c r="A820">
        <f>+'Libro Diario'!F37</f>
        <v>0</v>
      </c>
      <c r="B820" s="144">
        <f>VALUE(IF(+'Libro Diario'!G37="","01/01/2025",+'Libro Diario'!G37))</f>
        <v>45658</v>
      </c>
      <c r="C820" t="str">
        <f>IF(ISNUMBER(+IF(IFERROR(VALUE(MID('Libro Diario'!D37,1,4)),0)&lt;&gt;0,'Libro Diario'!D37,0))=FALSE,'Libro Diario'!D37,0)</f>
        <v>730 -  Trabajos realizados para el inmovilizado intangible</v>
      </c>
      <c r="D820" s="145">
        <f>+'Libro Diario'!E37</f>
        <v>0</v>
      </c>
      <c r="E820" s="139" t="s">
        <v>446</v>
      </c>
      <c r="F820" t="str">
        <f t="shared" si="36"/>
        <v>Con Mov.</v>
      </c>
      <c r="G820" t="str">
        <f>IF(+'Libro Diario'!H37=0,"",+'Libro Diario'!H37)</f>
        <v>Estructura Balance y PyG</v>
      </c>
      <c r="H820" t="str">
        <f>IF(+'Libro Diario'!I37=0,"",+'Libro Diario'!I37)</f>
        <v>Saldo Inicial</v>
      </c>
      <c r="I820" t="str">
        <f>+IF(Table3[[#This Row],[Tipo Movimiento]]="Estructura Balance y PyG","Excluir","Incluir")</f>
        <v>Excluir</v>
      </c>
      <c r="J820" s="153">
        <f>+IF(Table3[[#This Row],[Sin cuenta]]="Con Mov.",(IF(Table3[[#This Row],[Movimiento]]="Debe",Table3[[#This Row],[Importe]],IF(Table3[[#This Row],[Movimiento]]="Haber",Table3[[#This Row],[Importe]]*-1,0))),0)</f>
        <v>0</v>
      </c>
      <c r="K820" s="145" t="str">
        <f t="shared" si="37"/>
        <v/>
      </c>
      <c r="L820" s="145">
        <f t="shared" si="38"/>
        <v>0</v>
      </c>
      <c r="M820" t="str">
        <f>_xlfn.XLOOKUP(Table3[[#This Row],[Cuenta]],Estructura_Balance[Nombre Cuenta ()],Estructura_Balance[Grupo],"",0)</f>
        <v>Grupo 7 - Ventas e Ingresos</v>
      </c>
      <c r="N820" t="str">
        <f>_xlfn.XLOOKUP(Table3[[#This Row],[Cuenta]],Estructura_Balance[Nombre Cuenta ()],Estructura_Balance[Nivel 1],"",0)</f>
        <v>PATRIMONIO NETO Y PASIVO</v>
      </c>
      <c r="O820" t="str">
        <f>_xlfn.XLOOKUP(Table3[[#This Row],[Cuenta]],Estructura_Balance[Nombre Cuenta ()],Estructura_Balance[Nivel 2],"",0)</f>
        <v>A) PATRIMONIO NETO</v>
      </c>
      <c r="P820" t="str">
        <f>_xlfn.XLOOKUP(Table3[[#This Row],[Cuenta]],Estructura_Balance[Nombre Cuenta ()],Estructura_Balance[Nivel 3],"",0)</f>
        <v>VII. Resultado del Ejercicio</v>
      </c>
      <c r="Q820" t="str">
        <f>_xlfn.XLOOKUP(Table3[[#This Row],[Cuenta]],Estructura_Balance[Nombre Cuenta ()],Estructura_Balance[Nivel 4],"",0)</f>
        <v>1. Resultado del ejercicio</v>
      </c>
      <c r="R820" t="str">
        <f>_xlfn.XLOOKUP(Table3[[#This Row],[Cuenta]],Table8[Nombre Cuenta ()],Table8[Nivel 1],"",0)</f>
        <v>C) RESULTADO ANTES DE IMPUESTOS</v>
      </c>
      <c r="S820" t="str">
        <f>_xlfn.XLOOKUP(Table3[[#This Row],[Cuenta]],Table8[Nombre Cuenta ()],Table8[Nivel 2],"",0)</f>
        <v>A) RESULTADO DE EXPLOTACIÓN</v>
      </c>
      <c r="T820" t="str">
        <f>_xlfn.XLOOKUP(Table3[[#This Row],[Cuenta]],Table8[Nombre Cuenta ()],Table8[Nivel 3],"",0)</f>
        <v>03. Trabajos realizados por la empresa para su activo</v>
      </c>
      <c r="U820">
        <v>1323</v>
      </c>
      <c r="V820">
        <f>_xlfn.XLOOKUP(Table3[[#This Row],[Cuenta]],Estructura_Balance[Nombre Cuenta ()],Estructura_Balance[Niveles:2],"",0)</f>
        <v>73</v>
      </c>
      <c r="W820">
        <f>_xlfn.XLOOKUP(Table3[[#This Row],[Cuenta]],Estructura_Balance[Nombre Cuenta ()],Estructura_Balance[Niveles:3],"",0)</f>
        <v>730</v>
      </c>
      <c r="X820" t="str">
        <f>_xlfn.XLOOKUP(Table3[[#This Row],[Cuenta]],Estructura_Balance[Nombre Cuenta ()],Estructura_Balance[Grupos],"Grupo 1",0)</f>
        <v>Grupo 7</v>
      </c>
      <c r="Y820" t="str">
        <f>+Table3[[#This Row],[BS_Nivel_1]]</f>
        <v>PATRIMONIO NETO Y PASIVO</v>
      </c>
    </row>
    <row r="821" spans="1:25">
      <c r="A821">
        <f>+'Libro Diario'!F38</f>
        <v>0</v>
      </c>
      <c r="B821" s="144">
        <f>VALUE(IF(+'Libro Diario'!G38="","01/01/2025",+'Libro Diario'!G38))</f>
        <v>45658</v>
      </c>
      <c r="C821" t="str">
        <f>IF(ISNUMBER(+IF(IFERROR(VALUE(MID('Libro Diario'!D38,1,4)),0)&lt;&gt;0,'Libro Diario'!D38,0))=FALSE,'Libro Diario'!D38,0)</f>
        <v>600 -  Compras de mercaderías</v>
      </c>
      <c r="D821" s="145">
        <f>+'Libro Diario'!E38</f>
        <v>0</v>
      </c>
      <c r="E821" s="139" t="s">
        <v>446</v>
      </c>
      <c r="F821" t="str">
        <f t="shared" si="36"/>
        <v>Con Mov.</v>
      </c>
      <c r="G821" t="str">
        <f>IF(+'Libro Diario'!H38=0,"",+'Libro Diario'!H38)</f>
        <v>Estructura Balance y PyG</v>
      </c>
      <c r="H821" t="str">
        <f>IF(+'Libro Diario'!I38=0,"",+'Libro Diario'!I38)</f>
        <v>Saldo Inicial</v>
      </c>
      <c r="I821" t="str">
        <f>+IF(Table3[[#This Row],[Tipo Movimiento]]="Estructura Balance y PyG","Excluir","Incluir")</f>
        <v>Excluir</v>
      </c>
      <c r="J821" s="153">
        <f>+IF(Table3[[#This Row],[Sin cuenta]]="Con Mov.",(IF(Table3[[#This Row],[Movimiento]]="Debe",Table3[[#This Row],[Importe]],IF(Table3[[#This Row],[Movimiento]]="Haber",Table3[[#This Row],[Importe]]*-1,0))),0)</f>
        <v>0</v>
      </c>
      <c r="K821" s="145" t="str">
        <f t="shared" si="37"/>
        <v/>
      </c>
      <c r="L821" s="145">
        <f t="shared" si="38"/>
        <v>0</v>
      </c>
      <c r="M821" t="str">
        <f>_xlfn.XLOOKUP(Table3[[#This Row],[Cuenta]],Estructura_Balance[Nombre Cuenta ()],Estructura_Balance[Grupo],"",0)</f>
        <v>Grupo 6 - Compras y Gastos</v>
      </c>
      <c r="N821" t="str">
        <f>_xlfn.XLOOKUP(Table3[[#This Row],[Cuenta]],Estructura_Balance[Nombre Cuenta ()],Estructura_Balance[Nivel 1],"",0)</f>
        <v>PATRIMONIO NETO Y PASIVO</v>
      </c>
      <c r="O821" t="str">
        <f>_xlfn.XLOOKUP(Table3[[#This Row],[Cuenta]],Estructura_Balance[Nombre Cuenta ()],Estructura_Balance[Nivel 2],"",0)</f>
        <v>A) PATRIMONIO NETO</v>
      </c>
      <c r="P821" t="str">
        <f>_xlfn.XLOOKUP(Table3[[#This Row],[Cuenta]],Estructura_Balance[Nombre Cuenta ()],Estructura_Balance[Nivel 3],"",0)</f>
        <v>VII. Resultado del Ejercicio</v>
      </c>
      <c r="Q821" t="str">
        <f>_xlfn.XLOOKUP(Table3[[#This Row],[Cuenta]],Estructura_Balance[Nombre Cuenta ()],Estructura_Balance[Nivel 4],"",0)</f>
        <v>1. Resultado del ejercicio</v>
      </c>
      <c r="R821" t="str">
        <f>_xlfn.XLOOKUP(Table3[[#This Row],[Cuenta]],Table8[Nombre Cuenta ()],Table8[Nivel 1],"",0)</f>
        <v>C) RESULTADO ANTES DE IMPUESTOS</v>
      </c>
      <c r="S821" t="str">
        <f>_xlfn.XLOOKUP(Table3[[#This Row],[Cuenta]],Table8[Nombre Cuenta ()],Table8[Nivel 2],"",0)</f>
        <v>A) RESULTADO DE EXPLOTACIÓN</v>
      </c>
      <c r="T821" t="str">
        <f>_xlfn.XLOOKUP(Table3[[#This Row],[Cuenta]],Table8[Nombre Cuenta ()],Table8[Nivel 3],"",0)</f>
        <v>04. Aprovisionamientos</v>
      </c>
      <c r="U821">
        <v>1324</v>
      </c>
      <c r="V821" t="str">
        <f>_xlfn.XLOOKUP(Table3[[#This Row],[Cuenta]],Estructura_Balance[Nombre Cuenta ()],Estructura_Balance[Niveles:2],"",0)</f>
        <v>60</v>
      </c>
      <c r="W821" t="str">
        <f>_xlfn.XLOOKUP(Table3[[#This Row],[Cuenta]],Estructura_Balance[Nombre Cuenta ()],Estructura_Balance[Niveles:3],"",0)</f>
        <v>600</v>
      </c>
      <c r="X821" t="str">
        <f>_xlfn.XLOOKUP(Table3[[#This Row],[Cuenta]],Estructura_Balance[Nombre Cuenta ()],Estructura_Balance[Grupos],"Grupo 1",0)</f>
        <v>Grupo 6</v>
      </c>
      <c r="Y821" t="str">
        <f>+Table3[[#This Row],[BS_Nivel_1]]</f>
        <v>PATRIMONIO NETO Y PASIVO</v>
      </c>
    </row>
    <row r="822" spans="1:25">
      <c r="A822">
        <f>+'Libro Diario'!F39</f>
        <v>0</v>
      </c>
      <c r="B822" s="144">
        <f>VALUE(IF(+'Libro Diario'!G39="","01/01/2025",+'Libro Diario'!G39))</f>
        <v>45658</v>
      </c>
      <c r="C822" t="str">
        <f>IF(ISNUMBER(+IF(IFERROR(VALUE(MID('Libro Diario'!D39,1,4)),0)&lt;&gt;0,'Libro Diario'!D39,0))=FALSE,'Libro Diario'!D39,0)</f>
        <v>740 -  Subvenciones, donaciones y legados a la explotación</v>
      </c>
      <c r="D822" s="145">
        <f>+'Libro Diario'!E39</f>
        <v>0</v>
      </c>
      <c r="E822" s="139" t="s">
        <v>446</v>
      </c>
      <c r="F822" t="str">
        <f t="shared" si="36"/>
        <v>Con Mov.</v>
      </c>
      <c r="G822" t="str">
        <f>IF(+'Libro Diario'!H39=0,"",+'Libro Diario'!H39)</f>
        <v>Estructura Balance y PyG</v>
      </c>
      <c r="H822" t="str">
        <f>IF(+'Libro Diario'!I39=0,"",+'Libro Diario'!I39)</f>
        <v>Saldo Inicial</v>
      </c>
      <c r="I822" t="str">
        <f>+IF(Table3[[#This Row],[Tipo Movimiento]]="Estructura Balance y PyG","Excluir","Incluir")</f>
        <v>Excluir</v>
      </c>
      <c r="J822" s="153">
        <f>+IF(Table3[[#This Row],[Sin cuenta]]="Con Mov.",(IF(Table3[[#This Row],[Movimiento]]="Debe",Table3[[#This Row],[Importe]],IF(Table3[[#This Row],[Movimiento]]="Haber",Table3[[#This Row],[Importe]]*-1,0))),0)</f>
        <v>0</v>
      </c>
      <c r="K822" s="145" t="str">
        <f t="shared" si="37"/>
        <v/>
      </c>
      <c r="L822" s="145">
        <f t="shared" si="38"/>
        <v>0</v>
      </c>
      <c r="M822" t="str">
        <f>_xlfn.XLOOKUP(Table3[[#This Row],[Cuenta]],Estructura_Balance[Nombre Cuenta ()],Estructura_Balance[Grupo],"",0)</f>
        <v>Grupo 7 - Ventas e Ingresos</v>
      </c>
      <c r="N822" t="str">
        <f>_xlfn.XLOOKUP(Table3[[#This Row],[Cuenta]],Estructura_Balance[Nombre Cuenta ()],Estructura_Balance[Nivel 1],"",0)</f>
        <v>PATRIMONIO NETO Y PASIVO</v>
      </c>
      <c r="O822" t="str">
        <f>_xlfn.XLOOKUP(Table3[[#This Row],[Cuenta]],Estructura_Balance[Nombre Cuenta ()],Estructura_Balance[Nivel 2],"",0)</f>
        <v>A) PATRIMONIO NETO</v>
      </c>
      <c r="P822" t="str">
        <f>_xlfn.XLOOKUP(Table3[[#This Row],[Cuenta]],Estructura_Balance[Nombre Cuenta ()],Estructura_Balance[Nivel 3],"",0)</f>
        <v>VII. Resultado del Ejercicio</v>
      </c>
      <c r="Q822" t="str">
        <f>_xlfn.XLOOKUP(Table3[[#This Row],[Cuenta]],Estructura_Balance[Nombre Cuenta ()],Estructura_Balance[Nivel 4],"",0)</f>
        <v>1. Resultado del ejercicio</v>
      </c>
      <c r="R822" t="str">
        <f>_xlfn.XLOOKUP(Table3[[#This Row],[Cuenta]],Table8[Nombre Cuenta ()],Table8[Nivel 1],"",0)</f>
        <v>C) RESULTADO ANTES DE IMPUESTOS</v>
      </c>
      <c r="S822" t="str">
        <f>_xlfn.XLOOKUP(Table3[[#This Row],[Cuenta]],Table8[Nombre Cuenta ()],Table8[Nivel 2],"",0)</f>
        <v>A) RESULTADO DE EXPLOTACIÓN</v>
      </c>
      <c r="T822" t="str">
        <f>_xlfn.XLOOKUP(Table3[[#This Row],[Cuenta]],Table8[Nombre Cuenta ()],Table8[Nivel 3],"",0)</f>
        <v>05. Otros Ingresos de Explotación</v>
      </c>
      <c r="U822">
        <v>1325</v>
      </c>
      <c r="V822">
        <f>_xlfn.XLOOKUP(Table3[[#This Row],[Cuenta]],Estructura_Balance[Nombre Cuenta ()],Estructura_Balance[Niveles:2],"",0)</f>
        <v>74</v>
      </c>
      <c r="W822">
        <f>_xlfn.XLOOKUP(Table3[[#This Row],[Cuenta]],Estructura_Balance[Nombre Cuenta ()],Estructura_Balance[Niveles:3],"",0)</f>
        <v>740</v>
      </c>
      <c r="X822" t="str">
        <f>_xlfn.XLOOKUP(Table3[[#This Row],[Cuenta]],Estructura_Balance[Nombre Cuenta ()],Estructura_Balance[Grupos],"Grupo 1",0)</f>
        <v>Grupo 7</v>
      </c>
      <c r="Y822" t="str">
        <f>+Table3[[#This Row],[BS_Nivel_1]]</f>
        <v>PATRIMONIO NETO Y PASIVO</v>
      </c>
    </row>
    <row r="823" spans="1:25">
      <c r="A823">
        <f>+'Libro Diario'!F40</f>
        <v>0</v>
      </c>
      <c r="B823" s="144">
        <f>VALUE(IF(+'Libro Diario'!G40="","01/01/2025",+'Libro Diario'!G40))</f>
        <v>45658</v>
      </c>
      <c r="C823" t="str">
        <f>IF(ISNUMBER(+IF(IFERROR(VALUE(MID('Libro Diario'!D40,1,4)),0)&lt;&gt;0,'Libro Diario'!D40,0))=FALSE,'Libro Diario'!D40,0)</f>
        <v>640 -  Sueldos y salarios</v>
      </c>
      <c r="D823" s="145">
        <f>+'Libro Diario'!E40</f>
        <v>0</v>
      </c>
      <c r="E823" s="139" t="s">
        <v>446</v>
      </c>
      <c r="F823" t="str">
        <f t="shared" si="36"/>
        <v>Con Mov.</v>
      </c>
      <c r="G823" t="str">
        <f>IF(+'Libro Diario'!H40=0,"",+'Libro Diario'!H40)</f>
        <v>Estructura Balance y PyG</v>
      </c>
      <c r="H823" t="str">
        <f>IF(+'Libro Diario'!I40=0,"",+'Libro Diario'!I40)</f>
        <v>Saldo Inicial</v>
      </c>
      <c r="I823" t="str">
        <f>+IF(Table3[[#This Row],[Tipo Movimiento]]="Estructura Balance y PyG","Excluir","Incluir")</f>
        <v>Excluir</v>
      </c>
      <c r="J823" s="153">
        <f>+IF(Table3[[#This Row],[Sin cuenta]]="Con Mov.",(IF(Table3[[#This Row],[Movimiento]]="Debe",Table3[[#This Row],[Importe]],IF(Table3[[#This Row],[Movimiento]]="Haber",Table3[[#This Row],[Importe]]*-1,0))),0)</f>
        <v>0</v>
      </c>
      <c r="K823" s="145" t="str">
        <f t="shared" si="37"/>
        <v/>
      </c>
      <c r="L823" s="145">
        <f t="shared" si="38"/>
        <v>0</v>
      </c>
      <c r="M823" t="str">
        <f>_xlfn.XLOOKUP(Table3[[#This Row],[Cuenta]],Estructura_Balance[Nombre Cuenta ()],Estructura_Balance[Grupo],"",0)</f>
        <v>Grupo 6 - Compras y Gastos</v>
      </c>
      <c r="N823" t="str">
        <f>_xlfn.XLOOKUP(Table3[[#This Row],[Cuenta]],Estructura_Balance[Nombre Cuenta ()],Estructura_Balance[Nivel 1],"",0)</f>
        <v>PATRIMONIO NETO Y PASIVO</v>
      </c>
      <c r="O823" t="str">
        <f>_xlfn.XLOOKUP(Table3[[#This Row],[Cuenta]],Estructura_Balance[Nombre Cuenta ()],Estructura_Balance[Nivel 2],"",0)</f>
        <v>A) PATRIMONIO NETO</v>
      </c>
      <c r="P823" t="str">
        <f>_xlfn.XLOOKUP(Table3[[#This Row],[Cuenta]],Estructura_Balance[Nombre Cuenta ()],Estructura_Balance[Nivel 3],"",0)</f>
        <v>VII. Resultado del Ejercicio</v>
      </c>
      <c r="Q823" t="str">
        <f>_xlfn.XLOOKUP(Table3[[#This Row],[Cuenta]],Estructura_Balance[Nombre Cuenta ()],Estructura_Balance[Nivel 4],"",0)</f>
        <v>1. Resultado del ejercicio</v>
      </c>
      <c r="R823" t="str">
        <f>_xlfn.XLOOKUP(Table3[[#This Row],[Cuenta]],Table8[Nombre Cuenta ()],Table8[Nivel 1],"",0)</f>
        <v>C) RESULTADO ANTES DE IMPUESTOS</v>
      </c>
      <c r="S823" t="str">
        <f>_xlfn.XLOOKUP(Table3[[#This Row],[Cuenta]],Table8[Nombre Cuenta ()],Table8[Nivel 2],"",0)</f>
        <v>A) RESULTADO DE EXPLOTACIÓN</v>
      </c>
      <c r="T823" t="str">
        <f>_xlfn.XLOOKUP(Table3[[#This Row],[Cuenta]],Table8[Nombre Cuenta ()],Table8[Nivel 3],"",0)</f>
        <v>06. Gastos de Personal</v>
      </c>
      <c r="U823">
        <v>1328</v>
      </c>
      <c r="V823" t="str">
        <f>_xlfn.XLOOKUP(Table3[[#This Row],[Cuenta]],Estructura_Balance[Nombre Cuenta ()],Estructura_Balance[Niveles:2],"",0)</f>
        <v>64</v>
      </c>
      <c r="W823" t="str">
        <f>_xlfn.XLOOKUP(Table3[[#This Row],[Cuenta]],Estructura_Balance[Nombre Cuenta ()],Estructura_Balance[Niveles:3],"",0)</f>
        <v>640</v>
      </c>
      <c r="X823" t="str">
        <f>_xlfn.XLOOKUP(Table3[[#This Row],[Cuenta]],Estructura_Balance[Nombre Cuenta ()],Estructura_Balance[Grupos],"Grupo 1",0)</f>
        <v>Grupo 6</v>
      </c>
      <c r="Y823" t="str">
        <f>+Table3[[#This Row],[BS_Nivel_1]]</f>
        <v>PATRIMONIO NETO Y PASIVO</v>
      </c>
    </row>
    <row r="824" spans="1:25">
      <c r="A824">
        <f>+'Libro Diario'!F41</f>
        <v>0</v>
      </c>
      <c r="B824" s="144">
        <f>VALUE(IF(+'Libro Diario'!G41="","01/01/2025",+'Libro Diario'!G41))</f>
        <v>45658</v>
      </c>
      <c r="C824" t="str">
        <f>IF(ISNUMBER(+IF(IFERROR(VALUE(MID('Libro Diario'!D41,1,4)),0)&lt;&gt;0,'Libro Diario'!D41,0))=FALSE,'Libro Diario'!D41,0)</f>
        <v>620 -  Gastos en investigación y desarrollo del ejercicio</v>
      </c>
      <c r="D824" s="145">
        <f>+'Libro Diario'!E41</f>
        <v>0</v>
      </c>
      <c r="E824" s="139" t="s">
        <v>446</v>
      </c>
      <c r="F824" t="str">
        <f t="shared" si="36"/>
        <v>Con Mov.</v>
      </c>
      <c r="G824" t="str">
        <f>IF(+'Libro Diario'!H41=0,"",+'Libro Diario'!H41)</f>
        <v>Estructura Balance y PyG</v>
      </c>
      <c r="H824" t="str">
        <f>IF(+'Libro Diario'!I41=0,"",+'Libro Diario'!I41)</f>
        <v>Saldo Inicial</v>
      </c>
      <c r="I824" t="str">
        <f>+IF(Table3[[#This Row],[Tipo Movimiento]]="Estructura Balance y PyG","Excluir","Incluir")</f>
        <v>Excluir</v>
      </c>
      <c r="J824" s="153">
        <f>+IF(Table3[[#This Row],[Sin cuenta]]="Con Mov.",(IF(Table3[[#This Row],[Movimiento]]="Debe",Table3[[#This Row],[Importe]],IF(Table3[[#This Row],[Movimiento]]="Haber",Table3[[#This Row],[Importe]]*-1,0))),0)</f>
        <v>0</v>
      </c>
      <c r="K824" s="145" t="str">
        <f t="shared" si="37"/>
        <v/>
      </c>
      <c r="L824" s="145">
        <f t="shared" si="38"/>
        <v>0</v>
      </c>
      <c r="M824" t="str">
        <f>_xlfn.XLOOKUP(Table3[[#This Row],[Cuenta]],Estructura_Balance[Nombre Cuenta ()],Estructura_Balance[Grupo],"",0)</f>
        <v>Grupo 6 - Compras y Gastos</v>
      </c>
      <c r="N824" t="str">
        <f>_xlfn.XLOOKUP(Table3[[#This Row],[Cuenta]],Estructura_Balance[Nombre Cuenta ()],Estructura_Balance[Nivel 1],"",0)</f>
        <v>PATRIMONIO NETO Y PASIVO</v>
      </c>
      <c r="O824" t="str">
        <f>_xlfn.XLOOKUP(Table3[[#This Row],[Cuenta]],Estructura_Balance[Nombre Cuenta ()],Estructura_Balance[Nivel 2],"",0)</f>
        <v>A) PATRIMONIO NETO</v>
      </c>
      <c r="P824" t="str">
        <f>_xlfn.XLOOKUP(Table3[[#This Row],[Cuenta]],Estructura_Balance[Nombre Cuenta ()],Estructura_Balance[Nivel 3],"",0)</f>
        <v>VII. Resultado del Ejercicio</v>
      </c>
      <c r="Q824" t="str">
        <f>_xlfn.XLOOKUP(Table3[[#This Row],[Cuenta]],Estructura_Balance[Nombre Cuenta ()],Estructura_Balance[Nivel 4],"",0)</f>
        <v>1. Resultado del ejercicio</v>
      </c>
      <c r="R824" t="str">
        <f>_xlfn.XLOOKUP(Table3[[#This Row],[Cuenta]],Table8[Nombre Cuenta ()],Table8[Nivel 1],"",0)</f>
        <v>C) RESULTADO ANTES DE IMPUESTOS</v>
      </c>
      <c r="S824" t="str">
        <f>_xlfn.XLOOKUP(Table3[[#This Row],[Cuenta]],Table8[Nombre Cuenta ()],Table8[Nivel 2],"",0)</f>
        <v>A) RESULTADO DE EXPLOTACIÓN</v>
      </c>
      <c r="T824" t="str">
        <f>_xlfn.XLOOKUP(Table3[[#This Row],[Cuenta]],Table8[Nombre Cuenta ()],Table8[Nivel 3],"",0)</f>
        <v>07. Otros Gastos de Explotación</v>
      </c>
      <c r="U824">
        <v>1329</v>
      </c>
      <c r="V824">
        <f>_xlfn.XLOOKUP(Table3[[#This Row],[Cuenta]],Estructura_Balance[Nombre Cuenta ()],Estructura_Balance[Niveles:2],"",0)</f>
        <v>62</v>
      </c>
      <c r="W824">
        <f>_xlfn.XLOOKUP(Table3[[#This Row],[Cuenta]],Estructura_Balance[Nombre Cuenta ()],Estructura_Balance[Niveles:3],"",0)</f>
        <v>620</v>
      </c>
      <c r="X824" t="str">
        <f>_xlfn.XLOOKUP(Table3[[#This Row],[Cuenta]],Estructura_Balance[Nombre Cuenta ()],Estructura_Balance[Grupos],"Grupo 1",0)</f>
        <v>Grupo 6</v>
      </c>
      <c r="Y824" t="str">
        <f>+Table3[[#This Row],[BS_Nivel_1]]</f>
        <v>PATRIMONIO NETO Y PASIVO</v>
      </c>
    </row>
    <row r="825" spans="1:25">
      <c r="A825">
        <f>+'Libro Diario'!F42</f>
        <v>0</v>
      </c>
      <c r="B825" s="144">
        <f>VALUE(IF(+'Libro Diario'!G42="","01/01/2025",+'Libro Diario'!G42))</f>
        <v>45658</v>
      </c>
      <c r="C825" t="str">
        <f>IF(ISNUMBER(+IF(IFERROR(VALUE(MID('Libro Diario'!D42,1,4)),0)&lt;&gt;0,'Libro Diario'!D42,0))=FALSE,'Libro Diario'!D42,0)</f>
        <v>680 -  Amortización del inmovilizado intangible</v>
      </c>
      <c r="D825" s="145">
        <f>+'Libro Diario'!E42</f>
        <v>0</v>
      </c>
      <c r="E825" s="139" t="s">
        <v>446</v>
      </c>
      <c r="F825" t="str">
        <f t="shared" si="36"/>
        <v>Con Mov.</v>
      </c>
      <c r="G825" t="str">
        <f>IF(+'Libro Diario'!H42=0,"",+'Libro Diario'!H42)</f>
        <v>Estructura Balance y PyG</v>
      </c>
      <c r="H825" t="str">
        <f>IF(+'Libro Diario'!I42=0,"",+'Libro Diario'!I42)</f>
        <v>Saldo Inicial</v>
      </c>
      <c r="I825" t="str">
        <f>+IF(Table3[[#This Row],[Tipo Movimiento]]="Estructura Balance y PyG","Excluir","Incluir")</f>
        <v>Excluir</v>
      </c>
      <c r="J825" s="153">
        <f>+IF(Table3[[#This Row],[Sin cuenta]]="Con Mov.",(IF(Table3[[#This Row],[Movimiento]]="Debe",Table3[[#This Row],[Importe]],IF(Table3[[#This Row],[Movimiento]]="Haber",Table3[[#This Row],[Importe]]*-1,0))),0)</f>
        <v>0</v>
      </c>
      <c r="K825" s="145" t="str">
        <f t="shared" si="37"/>
        <v/>
      </c>
      <c r="L825" s="145">
        <f t="shared" si="38"/>
        <v>0</v>
      </c>
      <c r="M825" t="str">
        <f>_xlfn.XLOOKUP(Table3[[#This Row],[Cuenta]],Estructura_Balance[Nombre Cuenta ()],Estructura_Balance[Grupo],"",0)</f>
        <v>Grupo 6 - Compras y Gastos</v>
      </c>
      <c r="N825" t="str">
        <f>_xlfn.XLOOKUP(Table3[[#This Row],[Cuenta]],Estructura_Balance[Nombre Cuenta ()],Estructura_Balance[Nivel 1],"",0)</f>
        <v>PATRIMONIO NETO Y PASIVO</v>
      </c>
      <c r="O825" t="str">
        <f>_xlfn.XLOOKUP(Table3[[#This Row],[Cuenta]],Estructura_Balance[Nombre Cuenta ()],Estructura_Balance[Nivel 2],"",0)</f>
        <v>A) PATRIMONIO NETO</v>
      </c>
      <c r="P825" t="str">
        <f>_xlfn.XLOOKUP(Table3[[#This Row],[Cuenta]],Estructura_Balance[Nombre Cuenta ()],Estructura_Balance[Nivel 3],"",0)</f>
        <v>VII. Resultado del Ejercicio</v>
      </c>
      <c r="Q825" t="str">
        <f>_xlfn.XLOOKUP(Table3[[#This Row],[Cuenta]],Estructura_Balance[Nombre Cuenta ()],Estructura_Balance[Nivel 4],"",0)</f>
        <v>1. Resultado del ejercicio</v>
      </c>
      <c r="R825" t="str">
        <f>_xlfn.XLOOKUP(Table3[[#This Row],[Cuenta]],Table8[Nombre Cuenta ()],Table8[Nivel 1],"",0)</f>
        <v>C) RESULTADO ANTES DE IMPUESTOS</v>
      </c>
      <c r="S825" t="str">
        <f>_xlfn.XLOOKUP(Table3[[#This Row],[Cuenta]],Table8[Nombre Cuenta ()],Table8[Nivel 2],"",0)</f>
        <v>A) RESULTADO DE EXPLOTACIÓN</v>
      </c>
      <c r="T825" t="str">
        <f>_xlfn.XLOOKUP(Table3[[#This Row],[Cuenta]],Table8[Nombre Cuenta ()],Table8[Nivel 3],"",0)</f>
        <v>08. Amortización del Inmovilizado</v>
      </c>
      <c r="U825">
        <v>1330</v>
      </c>
      <c r="V825" t="str">
        <f>_xlfn.XLOOKUP(Table3[[#This Row],[Cuenta]],Estructura_Balance[Nombre Cuenta ()],Estructura_Balance[Niveles:2],"",0)</f>
        <v>68</v>
      </c>
      <c r="W825" t="str">
        <f>_xlfn.XLOOKUP(Table3[[#This Row],[Cuenta]],Estructura_Balance[Nombre Cuenta ()],Estructura_Balance[Niveles:3],"",0)</f>
        <v>680</v>
      </c>
      <c r="X825" t="str">
        <f>_xlfn.XLOOKUP(Table3[[#This Row],[Cuenta]],Estructura_Balance[Nombre Cuenta ()],Estructura_Balance[Grupos],"Grupo 1",0)</f>
        <v>Grupo 6</v>
      </c>
      <c r="Y825" t="str">
        <f>+Table3[[#This Row],[BS_Nivel_1]]</f>
        <v>PATRIMONIO NETO Y PASIVO</v>
      </c>
    </row>
    <row r="826" spans="1:25">
      <c r="A826">
        <f>+'Libro Diario'!F43</f>
        <v>0</v>
      </c>
      <c r="B826" s="144">
        <f>VALUE(IF(+'Libro Diario'!G43="","01/01/2025",+'Libro Diario'!G43))</f>
        <v>45658</v>
      </c>
      <c r="C826" t="str">
        <f>IF(ISNUMBER(+IF(IFERROR(VALUE(MID('Libro Diario'!D43,1,4)),0)&lt;&gt;0,'Libro Diario'!D43,0))=FALSE,'Libro Diario'!D43,0)</f>
        <v>746 -  Subvenciones, donaciones y legados de capital transferidas al resultado del ejercicio</v>
      </c>
      <c r="D826" s="145">
        <f>+'Libro Diario'!E43</f>
        <v>0</v>
      </c>
      <c r="E826" s="139" t="s">
        <v>446</v>
      </c>
      <c r="F826" t="str">
        <f t="shared" si="36"/>
        <v>Con Mov.</v>
      </c>
      <c r="G826" t="str">
        <f>IF(+'Libro Diario'!H43=0,"",+'Libro Diario'!H43)</f>
        <v>Estructura Balance y PyG</v>
      </c>
      <c r="H826" t="str">
        <f>IF(+'Libro Diario'!I43=0,"",+'Libro Diario'!I43)</f>
        <v>Saldo Inicial</v>
      </c>
      <c r="I826" t="str">
        <f>+IF(Table3[[#This Row],[Tipo Movimiento]]="Estructura Balance y PyG","Excluir","Incluir")</f>
        <v>Excluir</v>
      </c>
      <c r="J826" s="153">
        <f>+IF(Table3[[#This Row],[Sin cuenta]]="Con Mov.",(IF(Table3[[#This Row],[Movimiento]]="Debe",Table3[[#This Row],[Importe]],IF(Table3[[#This Row],[Movimiento]]="Haber",Table3[[#This Row],[Importe]]*-1,0))),0)</f>
        <v>0</v>
      </c>
      <c r="K826" s="145" t="str">
        <f t="shared" si="37"/>
        <v/>
      </c>
      <c r="L826" s="145">
        <f t="shared" si="38"/>
        <v>0</v>
      </c>
      <c r="M826" t="str">
        <f>_xlfn.XLOOKUP(Table3[[#This Row],[Cuenta]],Estructura_Balance[Nombre Cuenta ()],Estructura_Balance[Grupo],"",0)</f>
        <v>Grupo 7 - Ventas e Ingresos</v>
      </c>
      <c r="N826" t="str">
        <f>_xlfn.XLOOKUP(Table3[[#This Row],[Cuenta]],Estructura_Balance[Nombre Cuenta ()],Estructura_Balance[Nivel 1],"",0)</f>
        <v>PATRIMONIO NETO Y PASIVO</v>
      </c>
      <c r="O826" t="str">
        <f>_xlfn.XLOOKUP(Table3[[#This Row],[Cuenta]],Estructura_Balance[Nombre Cuenta ()],Estructura_Balance[Nivel 2],"",0)</f>
        <v>A) PATRIMONIO NETO</v>
      </c>
      <c r="P826" t="str">
        <f>_xlfn.XLOOKUP(Table3[[#This Row],[Cuenta]],Estructura_Balance[Nombre Cuenta ()],Estructura_Balance[Nivel 3],"",0)</f>
        <v>VII. Resultado del Ejercicio</v>
      </c>
      <c r="Q826" t="str">
        <f>_xlfn.XLOOKUP(Table3[[#This Row],[Cuenta]],Estructura_Balance[Nombre Cuenta ()],Estructura_Balance[Nivel 4],"",0)</f>
        <v>1. Resultado del ejercicio</v>
      </c>
      <c r="R826" t="str">
        <f>_xlfn.XLOOKUP(Table3[[#This Row],[Cuenta]],Table8[Nombre Cuenta ()],Table8[Nivel 1],"",0)</f>
        <v>C) RESULTADO ANTES DE IMPUESTOS</v>
      </c>
      <c r="S826" t="str">
        <f>_xlfn.XLOOKUP(Table3[[#This Row],[Cuenta]],Table8[Nombre Cuenta ()],Table8[Nivel 2],"",0)</f>
        <v>A) RESULTADO DE EXPLOTACIÓN</v>
      </c>
      <c r="T826" t="str">
        <f>_xlfn.XLOOKUP(Table3[[#This Row],[Cuenta]],Table8[Nombre Cuenta ()],Table8[Nivel 3],"",0)</f>
        <v>09. Imputación de subvenciones de inmovilizado no financiero y otras</v>
      </c>
      <c r="U826">
        <v>1331</v>
      </c>
      <c r="V826">
        <f>_xlfn.XLOOKUP(Table3[[#This Row],[Cuenta]],Estructura_Balance[Nombre Cuenta ()],Estructura_Balance[Niveles:2],"",0)</f>
        <v>74</v>
      </c>
      <c r="W826">
        <f>_xlfn.XLOOKUP(Table3[[#This Row],[Cuenta]],Estructura_Balance[Nombre Cuenta ()],Estructura_Balance[Niveles:3],"",0)</f>
        <v>746</v>
      </c>
      <c r="X826" t="str">
        <f>_xlfn.XLOOKUP(Table3[[#This Row],[Cuenta]],Estructura_Balance[Nombre Cuenta ()],Estructura_Balance[Grupos],"Grupo 1",0)</f>
        <v>Grupo 7</v>
      </c>
      <c r="Y826" t="str">
        <f>+Table3[[#This Row],[BS_Nivel_1]]</f>
        <v>PATRIMONIO NETO Y PASIVO</v>
      </c>
    </row>
    <row r="827" spans="1:25">
      <c r="A827">
        <f>+'Libro Diario'!F44</f>
        <v>0</v>
      </c>
      <c r="B827" s="144">
        <f>VALUE(IF(+'Libro Diario'!G44="","01/01/2025",+'Libro Diario'!G44))</f>
        <v>45658</v>
      </c>
      <c r="C827" t="str">
        <f>IF(ISNUMBER(+IF(IFERROR(VALUE(MID('Libro Diario'!D44,1,4)),0)&lt;&gt;0,'Libro Diario'!D44,0))=FALSE,'Libro Diario'!D44,0)</f>
        <v>795 -  Exceso de provisiones</v>
      </c>
      <c r="D827" s="145">
        <f>+'Libro Diario'!E44</f>
        <v>0</v>
      </c>
      <c r="E827" s="139" t="s">
        <v>446</v>
      </c>
      <c r="F827" t="str">
        <f t="shared" si="36"/>
        <v>Con Mov.</v>
      </c>
      <c r="G827" t="str">
        <f>IF(+'Libro Diario'!H44=0,"",+'Libro Diario'!H44)</f>
        <v>Estructura Balance y PyG</v>
      </c>
      <c r="H827" t="str">
        <f>IF(+'Libro Diario'!I44=0,"",+'Libro Diario'!I44)</f>
        <v>Saldo Inicial</v>
      </c>
      <c r="I827" t="str">
        <f>+IF(Table3[[#This Row],[Tipo Movimiento]]="Estructura Balance y PyG","Excluir","Incluir")</f>
        <v>Excluir</v>
      </c>
      <c r="J827" s="153">
        <f>+IF(Table3[[#This Row],[Sin cuenta]]="Con Mov.",(IF(Table3[[#This Row],[Movimiento]]="Debe",Table3[[#This Row],[Importe]],IF(Table3[[#This Row],[Movimiento]]="Haber",Table3[[#This Row],[Importe]]*-1,0))),0)</f>
        <v>0</v>
      </c>
      <c r="K827" s="145" t="str">
        <f t="shared" si="37"/>
        <v/>
      </c>
      <c r="L827" s="145">
        <f t="shared" si="38"/>
        <v>0</v>
      </c>
      <c r="M827" t="str">
        <f>_xlfn.XLOOKUP(Table3[[#This Row],[Cuenta]],Estructura_Balance[Nombre Cuenta ()],Estructura_Balance[Grupo],"",0)</f>
        <v>Grupo 7 - Ventas e Ingresos</v>
      </c>
      <c r="N827" t="str">
        <f>_xlfn.XLOOKUP(Table3[[#This Row],[Cuenta]],Estructura_Balance[Nombre Cuenta ()],Estructura_Balance[Nivel 1],"",0)</f>
        <v>PATRIMONIO NETO Y PASIVO</v>
      </c>
      <c r="O827" t="str">
        <f>_xlfn.XLOOKUP(Table3[[#This Row],[Cuenta]],Estructura_Balance[Nombre Cuenta ()],Estructura_Balance[Nivel 2],"",0)</f>
        <v>A) PATRIMONIO NETO</v>
      </c>
      <c r="P827" t="str">
        <f>_xlfn.XLOOKUP(Table3[[#This Row],[Cuenta]],Estructura_Balance[Nombre Cuenta ()],Estructura_Balance[Nivel 3],"",0)</f>
        <v>VII. Resultado del Ejercicio</v>
      </c>
      <c r="Q827" t="str">
        <f>_xlfn.XLOOKUP(Table3[[#This Row],[Cuenta]],Estructura_Balance[Nombre Cuenta ()],Estructura_Balance[Nivel 4],"",0)</f>
        <v>1. Resultado del ejercicio</v>
      </c>
      <c r="R827" t="str">
        <f>_xlfn.XLOOKUP(Table3[[#This Row],[Cuenta]],Table8[Nombre Cuenta ()],Table8[Nivel 1],"",0)</f>
        <v>C) RESULTADO ANTES DE IMPUESTOS</v>
      </c>
      <c r="S827" t="str">
        <f>_xlfn.XLOOKUP(Table3[[#This Row],[Cuenta]],Table8[Nombre Cuenta ()],Table8[Nivel 2],"",0)</f>
        <v>A) RESULTADO DE EXPLOTACIÓN</v>
      </c>
      <c r="T827" t="str">
        <f>_xlfn.XLOOKUP(Table3[[#This Row],[Cuenta]],Table8[Nombre Cuenta ()],Table8[Nivel 3],"",0)</f>
        <v>10. Exceso de Provisiones</v>
      </c>
      <c r="U827">
        <v>1332</v>
      </c>
      <c r="V827" t="str">
        <f>_xlfn.XLOOKUP(Table3[[#This Row],[Cuenta]],Estructura_Balance[Nombre Cuenta ()],Estructura_Balance[Niveles:2],"",0)</f>
        <v>79</v>
      </c>
      <c r="W827" t="str">
        <f>_xlfn.XLOOKUP(Table3[[#This Row],[Cuenta]],Estructura_Balance[Nombre Cuenta ()],Estructura_Balance[Niveles:3],"",0)</f>
        <v>795</v>
      </c>
      <c r="X827" t="str">
        <f>_xlfn.XLOOKUP(Table3[[#This Row],[Cuenta]],Estructura_Balance[Nombre Cuenta ()],Estructura_Balance[Grupos],"Grupo 1",0)</f>
        <v>Grupo 7</v>
      </c>
      <c r="Y827" t="str">
        <f>+Table3[[#This Row],[BS_Nivel_1]]</f>
        <v>PATRIMONIO NETO Y PASIVO</v>
      </c>
    </row>
    <row r="828" spans="1:25">
      <c r="A828">
        <f>+'Libro Diario'!F45</f>
        <v>0</v>
      </c>
      <c r="B828" s="144">
        <f>VALUE(IF(+'Libro Diario'!G45="","01/01/2025",+'Libro Diario'!G45))</f>
        <v>45658</v>
      </c>
      <c r="C828" t="str">
        <f>IF(ISNUMBER(+IF(IFERROR(VALUE(MID('Libro Diario'!D45,1,4)),0)&lt;&gt;0,'Libro Diario'!D45,0))=FALSE,'Libro Diario'!D45,0)</f>
        <v>670 -  Pérdidas procedentes del inmovilizado intangible</v>
      </c>
      <c r="D828" s="145">
        <f>+'Libro Diario'!E45</f>
        <v>0</v>
      </c>
      <c r="E828" s="139" t="s">
        <v>446</v>
      </c>
      <c r="F828" t="str">
        <f t="shared" si="36"/>
        <v>Con Mov.</v>
      </c>
      <c r="G828" t="str">
        <f>IF(+'Libro Diario'!H45=0,"",+'Libro Diario'!H45)</f>
        <v>Estructura Balance y PyG</v>
      </c>
      <c r="H828" t="str">
        <f>IF(+'Libro Diario'!I45=0,"",+'Libro Diario'!I45)</f>
        <v>Saldo Inicial</v>
      </c>
      <c r="I828" t="str">
        <f>+IF(Table3[[#This Row],[Tipo Movimiento]]="Estructura Balance y PyG","Excluir","Incluir")</f>
        <v>Excluir</v>
      </c>
      <c r="J828" s="153">
        <f>+IF(Table3[[#This Row],[Sin cuenta]]="Con Mov.",(IF(Table3[[#This Row],[Movimiento]]="Debe",Table3[[#This Row],[Importe]],IF(Table3[[#This Row],[Movimiento]]="Haber",Table3[[#This Row],[Importe]]*-1,0))),0)</f>
        <v>0</v>
      </c>
      <c r="K828" s="145" t="str">
        <f t="shared" si="37"/>
        <v/>
      </c>
      <c r="L828" s="145">
        <f t="shared" si="38"/>
        <v>0</v>
      </c>
      <c r="M828" t="str">
        <f>_xlfn.XLOOKUP(Table3[[#This Row],[Cuenta]],Estructura_Balance[Nombre Cuenta ()],Estructura_Balance[Grupo],"",0)</f>
        <v>Grupo 6 - Compras y Gastos</v>
      </c>
      <c r="N828" t="str">
        <f>_xlfn.XLOOKUP(Table3[[#This Row],[Cuenta]],Estructura_Balance[Nombre Cuenta ()],Estructura_Balance[Nivel 1],"",0)</f>
        <v>PATRIMONIO NETO Y PASIVO</v>
      </c>
      <c r="O828" t="str">
        <f>_xlfn.XLOOKUP(Table3[[#This Row],[Cuenta]],Estructura_Balance[Nombre Cuenta ()],Estructura_Balance[Nivel 2],"",0)</f>
        <v>A) PATRIMONIO NETO</v>
      </c>
      <c r="P828" t="str">
        <f>_xlfn.XLOOKUP(Table3[[#This Row],[Cuenta]],Estructura_Balance[Nombre Cuenta ()],Estructura_Balance[Nivel 3],"",0)</f>
        <v>VII. Resultado del Ejercicio</v>
      </c>
      <c r="Q828" t="str">
        <f>_xlfn.XLOOKUP(Table3[[#This Row],[Cuenta]],Estructura_Balance[Nombre Cuenta ()],Estructura_Balance[Nivel 4],"",0)</f>
        <v>1. Resultado del ejercicio</v>
      </c>
      <c r="R828" t="str">
        <f>_xlfn.XLOOKUP(Table3[[#This Row],[Cuenta]],Table8[Nombre Cuenta ()],Table8[Nivel 1],"",0)</f>
        <v>C) RESULTADO ANTES DE IMPUESTOS</v>
      </c>
      <c r="S828" t="str">
        <f>_xlfn.XLOOKUP(Table3[[#This Row],[Cuenta]],Table8[Nombre Cuenta ()],Table8[Nivel 2],"",0)</f>
        <v>A) RESULTADO DE EXPLOTACIÓN</v>
      </c>
      <c r="T828" t="str">
        <f>_xlfn.XLOOKUP(Table3[[#This Row],[Cuenta]],Table8[Nombre Cuenta ()],Table8[Nivel 3],"",0)</f>
        <v>11. Deterioro y Resultado por enajenaciones de inmovilizado</v>
      </c>
      <c r="U828">
        <v>1335</v>
      </c>
      <c r="V828">
        <f>_xlfn.XLOOKUP(Table3[[#This Row],[Cuenta]],Estructura_Balance[Nombre Cuenta ()],Estructura_Balance[Niveles:2],"",0)</f>
        <v>67</v>
      </c>
      <c r="W828">
        <f>_xlfn.XLOOKUP(Table3[[#This Row],[Cuenta]],Estructura_Balance[Nombre Cuenta ()],Estructura_Balance[Niveles:3],"",0)</f>
        <v>670</v>
      </c>
      <c r="X828" t="str">
        <f>_xlfn.XLOOKUP(Table3[[#This Row],[Cuenta]],Estructura_Balance[Nombre Cuenta ()],Estructura_Balance[Grupos],"Grupo 1",0)</f>
        <v>Grupo 6</v>
      </c>
      <c r="Y828" t="str">
        <f>+Table3[[#This Row],[BS_Nivel_1]]</f>
        <v>PATRIMONIO NETO Y PASIVO</v>
      </c>
    </row>
    <row r="829" spans="1:25">
      <c r="A829">
        <f>+'Libro Diario'!F46</f>
        <v>0</v>
      </c>
      <c r="B829" s="144">
        <f>VALUE(IF(+'Libro Diario'!G46="","01/01/2025",+'Libro Diario'!G46))</f>
        <v>45658</v>
      </c>
      <c r="C829" t="str">
        <f>IF(ISNUMBER(+IF(IFERROR(VALUE(MID('Libro Diario'!D46,1,4)),0)&lt;&gt;0,'Libro Diario'!D46,0))=FALSE,'Libro Diario'!D46,0)</f>
        <v>678 -  Gastos excepcionales</v>
      </c>
      <c r="D829" s="145">
        <f>+'Libro Diario'!E46</f>
        <v>0</v>
      </c>
      <c r="E829" s="139" t="s">
        <v>446</v>
      </c>
      <c r="F829" t="str">
        <f t="shared" si="36"/>
        <v>Con Mov.</v>
      </c>
      <c r="G829" t="str">
        <f>IF(+'Libro Diario'!H46=0,"",+'Libro Diario'!H46)</f>
        <v>Estructura Balance y PyG</v>
      </c>
      <c r="H829" t="str">
        <f>IF(+'Libro Diario'!I46=0,"",+'Libro Diario'!I46)</f>
        <v>Saldo Inicial</v>
      </c>
      <c r="I829" t="str">
        <f>+IF(Table3[[#This Row],[Tipo Movimiento]]="Estructura Balance y PyG","Excluir","Incluir")</f>
        <v>Excluir</v>
      </c>
      <c r="J829" s="153">
        <f>+IF(Table3[[#This Row],[Sin cuenta]]="Con Mov.",(IF(Table3[[#This Row],[Movimiento]]="Debe",Table3[[#This Row],[Importe]],IF(Table3[[#This Row],[Movimiento]]="Haber",Table3[[#This Row],[Importe]]*-1,0))),0)</f>
        <v>0</v>
      </c>
      <c r="K829" s="145" t="str">
        <f t="shared" si="37"/>
        <v/>
      </c>
      <c r="L829" s="145">
        <f t="shared" si="38"/>
        <v>0</v>
      </c>
      <c r="M829" t="str">
        <f>_xlfn.XLOOKUP(Table3[[#This Row],[Cuenta]],Estructura_Balance[Nombre Cuenta ()],Estructura_Balance[Grupo],"",0)</f>
        <v>Grupo 6 - Compras y Gastos</v>
      </c>
      <c r="N829" t="str">
        <f>_xlfn.XLOOKUP(Table3[[#This Row],[Cuenta]],Estructura_Balance[Nombre Cuenta ()],Estructura_Balance[Nivel 1],"",0)</f>
        <v>PATRIMONIO NETO Y PASIVO</v>
      </c>
      <c r="O829" t="str">
        <f>_xlfn.XLOOKUP(Table3[[#This Row],[Cuenta]],Estructura_Balance[Nombre Cuenta ()],Estructura_Balance[Nivel 2],"",0)</f>
        <v>A) PATRIMONIO NETO</v>
      </c>
      <c r="P829" t="str">
        <f>_xlfn.XLOOKUP(Table3[[#This Row],[Cuenta]],Estructura_Balance[Nombre Cuenta ()],Estructura_Balance[Nivel 3],"",0)</f>
        <v>VII. Resultado del Ejercicio</v>
      </c>
      <c r="Q829" t="str">
        <f>_xlfn.XLOOKUP(Table3[[#This Row],[Cuenta]],Estructura_Balance[Nombre Cuenta ()],Estructura_Balance[Nivel 4],"",0)</f>
        <v>1. Resultado del ejercicio</v>
      </c>
      <c r="R829" t="str">
        <f>_xlfn.XLOOKUP(Table3[[#This Row],[Cuenta]],Table8[Nombre Cuenta ()],Table8[Nivel 1],"",0)</f>
        <v>C) RESULTADO ANTES DE IMPUESTOS</v>
      </c>
      <c r="S829" t="str">
        <f>_xlfn.XLOOKUP(Table3[[#This Row],[Cuenta]],Table8[Nombre Cuenta ()],Table8[Nivel 2],"",0)</f>
        <v>A) RESULTADO DE EXPLOTACIÓN</v>
      </c>
      <c r="T829" t="str">
        <f>_xlfn.XLOOKUP(Table3[[#This Row],[Cuenta]],Table8[Nombre Cuenta ()],Table8[Nivel 3],"",0)</f>
        <v>12 Otros resultados</v>
      </c>
      <c r="U829">
        <v>1336</v>
      </c>
      <c r="V829" t="str">
        <f>_xlfn.XLOOKUP(Table3[[#This Row],[Cuenta]],Estructura_Balance[Nombre Cuenta ()],Estructura_Balance[Niveles:2],"",0)</f>
        <v>67</v>
      </c>
      <c r="W829" t="str">
        <f>_xlfn.XLOOKUP(Table3[[#This Row],[Cuenta]],Estructura_Balance[Nombre Cuenta ()],Estructura_Balance[Niveles:3],"",0)</f>
        <v>678</v>
      </c>
      <c r="X829" t="str">
        <f>_xlfn.XLOOKUP(Table3[[#This Row],[Cuenta]],Estructura_Balance[Nombre Cuenta ()],Estructura_Balance[Grupos],"Grupo 1",0)</f>
        <v>Grupo 6</v>
      </c>
      <c r="Y829" t="str">
        <f>+Table3[[#This Row],[BS_Nivel_1]]</f>
        <v>PATRIMONIO NETO Y PASIVO</v>
      </c>
    </row>
    <row r="830" spans="1:25">
      <c r="A830">
        <f>+'Libro Diario'!F47</f>
        <v>0</v>
      </c>
      <c r="B830" s="144">
        <f>VALUE(IF(+'Libro Diario'!G47="","01/01/2025",+'Libro Diario'!G47))</f>
        <v>45658</v>
      </c>
      <c r="C830" t="str">
        <f>IF(ISNUMBER(+IF(IFERROR(VALUE(MID('Libro Diario'!D47,1,4)),0)&lt;&gt;0,'Libro Diario'!D47,0))=FALSE,'Libro Diario'!D47,0)</f>
        <v>760 -  Ingresos de participaciones en instrumentos de patrimonio, empresas del grupo</v>
      </c>
      <c r="D830" s="145">
        <f>+'Libro Diario'!E47</f>
        <v>0</v>
      </c>
      <c r="E830" s="139" t="s">
        <v>446</v>
      </c>
      <c r="F830" t="str">
        <f t="shared" si="36"/>
        <v>Con Mov.</v>
      </c>
      <c r="G830" t="str">
        <f>IF(+'Libro Diario'!H47=0,"",+'Libro Diario'!H47)</f>
        <v>Estructura Balance y PyG</v>
      </c>
      <c r="H830" t="str">
        <f>IF(+'Libro Diario'!I47=0,"",+'Libro Diario'!I47)</f>
        <v>Saldo Inicial</v>
      </c>
      <c r="I830" t="str">
        <f>+IF(Table3[[#This Row],[Tipo Movimiento]]="Estructura Balance y PyG","Excluir","Incluir")</f>
        <v>Excluir</v>
      </c>
      <c r="J830" s="153">
        <f>+IF(Table3[[#This Row],[Sin cuenta]]="Con Mov.",(IF(Table3[[#This Row],[Movimiento]]="Debe",Table3[[#This Row],[Importe]],IF(Table3[[#This Row],[Movimiento]]="Haber",Table3[[#This Row],[Importe]]*-1,0))),0)</f>
        <v>0</v>
      </c>
      <c r="K830" s="145" t="str">
        <f t="shared" si="37"/>
        <v/>
      </c>
      <c r="L830" s="145">
        <f t="shared" si="38"/>
        <v>0</v>
      </c>
      <c r="M830" t="str">
        <f>_xlfn.XLOOKUP(Table3[[#This Row],[Cuenta]],Estructura_Balance[Nombre Cuenta ()],Estructura_Balance[Grupo],"",0)</f>
        <v>Grupo 7 - Ventas e Ingresos</v>
      </c>
      <c r="N830" t="str">
        <f>_xlfn.XLOOKUP(Table3[[#This Row],[Cuenta]],Estructura_Balance[Nombre Cuenta ()],Estructura_Balance[Nivel 1],"",0)</f>
        <v>PATRIMONIO NETO Y PASIVO</v>
      </c>
      <c r="O830" t="str">
        <f>_xlfn.XLOOKUP(Table3[[#This Row],[Cuenta]],Estructura_Balance[Nombre Cuenta ()],Estructura_Balance[Nivel 2],"",0)</f>
        <v>A) PATRIMONIO NETO</v>
      </c>
      <c r="P830" t="str">
        <f>_xlfn.XLOOKUP(Table3[[#This Row],[Cuenta]],Estructura_Balance[Nombre Cuenta ()],Estructura_Balance[Nivel 3],"",0)</f>
        <v>VII. Resultado del Ejercicio</v>
      </c>
      <c r="Q830" t="str">
        <f>_xlfn.XLOOKUP(Table3[[#This Row],[Cuenta]],Estructura_Balance[Nombre Cuenta ()],Estructura_Balance[Nivel 4],"",0)</f>
        <v>1. Resultado del ejercicio</v>
      </c>
      <c r="R830" t="str">
        <f>_xlfn.XLOOKUP(Table3[[#This Row],[Cuenta]],Table8[Nombre Cuenta ()],Table8[Nivel 1],"",0)</f>
        <v>C) RESULTADO ANTES DE IMPUESTOS</v>
      </c>
      <c r="S830" t="str">
        <f>_xlfn.XLOOKUP(Table3[[#This Row],[Cuenta]],Table8[Nombre Cuenta ()],Table8[Nivel 2],"",0)</f>
        <v>B) RESULTADO FINANCIERO</v>
      </c>
      <c r="T830" t="str">
        <f>_xlfn.XLOOKUP(Table3[[#This Row],[Cuenta]],Table8[Nombre Cuenta ()],Table8[Nivel 3],"",0)</f>
        <v>13. Ingresos Financieros</v>
      </c>
      <c r="U830">
        <v>1337</v>
      </c>
      <c r="V830">
        <f>_xlfn.XLOOKUP(Table3[[#This Row],[Cuenta]],Estructura_Balance[Nombre Cuenta ()],Estructura_Balance[Niveles:2],"",0)</f>
        <v>76</v>
      </c>
      <c r="W830">
        <f>_xlfn.XLOOKUP(Table3[[#This Row],[Cuenta]],Estructura_Balance[Nombre Cuenta ()],Estructura_Balance[Niveles:3],"",0)</f>
        <v>760</v>
      </c>
      <c r="X830" t="str">
        <f>_xlfn.XLOOKUP(Table3[[#This Row],[Cuenta]],Estructura_Balance[Nombre Cuenta ()],Estructura_Balance[Grupos],"Grupo 1",0)</f>
        <v>Grupo 7</v>
      </c>
      <c r="Y830" t="str">
        <f>+Table3[[#This Row],[BS_Nivel_1]]</f>
        <v>PATRIMONIO NETO Y PASIVO</v>
      </c>
    </row>
    <row r="831" spans="1:25">
      <c r="A831">
        <f>+'Libro Diario'!F48</f>
        <v>0</v>
      </c>
      <c r="B831" s="144">
        <f>VALUE(IF(+'Libro Diario'!G48="","01/01/2025",+'Libro Diario'!G48))</f>
        <v>45658</v>
      </c>
      <c r="C831" t="str">
        <f>IF(ISNUMBER(+IF(IFERROR(VALUE(MID('Libro Diario'!D48,1,4)),0)&lt;&gt;0,'Libro Diario'!D48,0))=FALSE,'Libro Diario'!D48,0)</f>
        <v>660 -  Gastos financieros por actualización de provisiones</v>
      </c>
      <c r="D831" s="145">
        <f>+'Libro Diario'!E48</f>
        <v>0</v>
      </c>
      <c r="E831" s="139" t="s">
        <v>446</v>
      </c>
      <c r="F831" t="str">
        <f t="shared" si="36"/>
        <v>Con Mov.</v>
      </c>
      <c r="G831" t="str">
        <f>IF(+'Libro Diario'!H48=0,"",+'Libro Diario'!H48)</f>
        <v>Estructura Balance y PyG</v>
      </c>
      <c r="H831" t="str">
        <f>IF(+'Libro Diario'!I48=0,"",+'Libro Diario'!I48)</f>
        <v>Saldo Inicial</v>
      </c>
      <c r="I831" t="str">
        <f>+IF(Table3[[#This Row],[Tipo Movimiento]]="Estructura Balance y PyG","Excluir","Incluir")</f>
        <v>Excluir</v>
      </c>
      <c r="J831" s="153">
        <f>+IF(Table3[[#This Row],[Sin cuenta]]="Con Mov.",(IF(Table3[[#This Row],[Movimiento]]="Debe",Table3[[#This Row],[Importe]],IF(Table3[[#This Row],[Movimiento]]="Haber",Table3[[#This Row],[Importe]]*-1,0))),0)</f>
        <v>0</v>
      </c>
      <c r="K831" s="145" t="str">
        <f t="shared" si="37"/>
        <v/>
      </c>
      <c r="L831" s="145">
        <f t="shared" si="38"/>
        <v>0</v>
      </c>
      <c r="M831" t="str">
        <f>_xlfn.XLOOKUP(Table3[[#This Row],[Cuenta]],Estructura_Balance[Nombre Cuenta ()],Estructura_Balance[Grupo],"",0)</f>
        <v>Grupo 6 - Compras y Gastos</v>
      </c>
      <c r="N831" t="str">
        <f>_xlfn.XLOOKUP(Table3[[#This Row],[Cuenta]],Estructura_Balance[Nombre Cuenta ()],Estructura_Balance[Nivel 1],"",0)</f>
        <v>PATRIMONIO NETO Y PASIVO</v>
      </c>
      <c r="O831" t="str">
        <f>_xlfn.XLOOKUP(Table3[[#This Row],[Cuenta]],Estructura_Balance[Nombre Cuenta ()],Estructura_Balance[Nivel 2],"",0)</f>
        <v>A) PATRIMONIO NETO</v>
      </c>
      <c r="P831" t="str">
        <f>_xlfn.XLOOKUP(Table3[[#This Row],[Cuenta]],Estructura_Balance[Nombre Cuenta ()],Estructura_Balance[Nivel 3],"",0)</f>
        <v>VII. Resultado del Ejercicio</v>
      </c>
      <c r="Q831" t="str">
        <f>_xlfn.XLOOKUP(Table3[[#This Row],[Cuenta]],Estructura_Balance[Nombre Cuenta ()],Estructura_Balance[Nivel 4],"",0)</f>
        <v>1. Resultado del ejercicio</v>
      </c>
      <c r="R831" t="str">
        <f>_xlfn.XLOOKUP(Table3[[#This Row],[Cuenta]],Table8[Nombre Cuenta ()],Table8[Nivel 1],"",0)</f>
        <v>C) RESULTADO ANTES DE IMPUESTOS</v>
      </c>
      <c r="S831" t="str">
        <f>_xlfn.XLOOKUP(Table3[[#This Row],[Cuenta]],Table8[Nombre Cuenta ()],Table8[Nivel 2],"",0)</f>
        <v>B) RESULTADO FINANCIERO</v>
      </c>
      <c r="T831" t="str">
        <f>_xlfn.XLOOKUP(Table3[[#This Row],[Cuenta]],Table8[Nombre Cuenta ()],Table8[Nivel 3],"",0)</f>
        <v>14. Gastos Financieros</v>
      </c>
      <c r="U831">
        <v>1338</v>
      </c>
      <c r="V831">
        <f>_xlfn.XLOOKUP(Table3[[#This Row],[Cuenta]],Estructura_Balance[Nombre Cuenta ()],Estructura_Balance[Niveles:2],"",0)</f>
        <v>66</v>
      </c>
      <c r="W831">
        <f>_xlfn.XLOOKUP(Table3[[#This Row],[Cuenta]],Estructura_Balance[Nombre Cuenta ()],Estructura_Balance[Niveles:3],"",0)</f>
        <v>660</v>
      </c>
      <c r="X831" t="str">
        <f>_xlfn.XLOOKUP(Table3[[#This Row],[Cuenta]],Estructura_Balance[Nombre Cuenta ()],Estructura_Balance[Grupos],"Grupo 1",0)</f>
        <v>Grupo 6</v>
      </c>
      <c r="Y831" t="str">
        <f>+Table3[[#This Row],[BS_Nivel_1]]</f>
        <v>PATRIMONIO NETO Y PASIVO</v>
      </c>
    </row>
    <row r="832" spans="1:25">
      <c r="A832">
        <f>+'Libro Diario'!F49</f>
        <v>0</v>
      </c>
      <c r="B832" s="144">
        <f>VALUE(IF(+'Libro Diario'!G49="","01/01/2025",+'Libro Diario'!G49))</f>
        <v>45658</v>
      </c>
      <c r="C832" t="str">
        <f>IF(ISNUMBER(+IF(IFERROR(VALUE(MID('Libro Diario'!D49,1,4)),0)&lt;&gt;0,'Libro Diario'!D49,0))=FALSE,'Libro Diario'!D49,0)</f>
        <v>663 -  Pérdidas por valoración de instrumentos financieros por su valor razonable</v>
      </c>
      <c r="D832" s="145">
        <f>+'Libro Diario'!E49</f>
        <v>0</v>
      </c>
      <c r="E832" s="139" t="s">
        <v>446</v>
      </c>
      <c r="F832" t="str">
        <f t="shared" si="36"/>
        <v>Con Mov.</v>
      </c>
      <c r="G832" t="str">
        <f>IF(+'Libro Diario'!H49=0,"",+'Libro Diario'!H49)</f>
        <v>Estructura Balance y PyG</v>
      </c>
      <c r="H832" t="str">
        <f>IF(+'Libro Diario'!I49=0,"",+'Libro Diario'!I49)</f>
        <v>Saldo Inicial</v>
      </c>
      <c r="I832" t="str">
        <f>+IF(Table3[[#This Row],[Tipo Movimiento]]="Estructura Balance y PyG","Excluir","Incluir")</f>
        <v>Excluir</v>
      </c>
      <c r="J832" s="153">
        <f>+IF(Table3[[#This Row],[Sin cuenta]]="Con Mov.",(IF(Table3[[#This Row],[Movimiento]]="Debe",Table3[[#This Row],[Importe]],IF(Table3[[#This Row],[Movimiento]]="Haber",Table3[[#This Row],[Importe]]*-1,0))),0)</f>
        <v>0</v>
      </c>
      <c r="K832" s="145" t="str">
        <f t="shared" si="37"/>
        <v/>
      </c>
      <c r="L832" s="145">
        <f t="shared" si="38"/>
        <v>0</v>
      </c>
      <c r="M832" t="str">
        <f>_xlfn.XLOOKUP(Table3[[#This Row],[Cuenta]],Estructura_Balance[Nombre Cuenta ()],Estructura_Balance[Grupo],"",0)</f>
        <v>Grupo 6 - Compras y Gastos</v>
      </c>
      <c r="N832" t="str">
        <f>_xlfn.XLOOKUP(Table3[[#This Row],[Cuenta]],Estructura_Balance[Nombre Cuenta ()],Estructura_Balance[Nivel 1],"",0)</f>
        <v>PATRIMONIO NETO Y PASIVO</v>
      </c>
      <c r="O832" t="str">
        <f>_xlfn.XLOOKUP(Table3[[#This Row],[Cuenta]],Estructura_Balance[Nombre Cuenta ()],Estructura_Balance[Nivel 2],"",0)</f>
        <v>A) PATRIMONIO NETO</v>
      </c>
      <c r="P832" t="str">
        <f>_xlfn.XLOOKUP(Table3[[#This Row],[Cuenta]],Estructura_Balance[Nombre Cuenta ()],Estructura_Balance[Nivel 3],"",0)</f>
        <v>VII. Resultado del Ejercicio</v>
      </c>
      <c r="Q832" t="str">
        <f>_xlfn.XLOOKUP(Table3[[#This Row],[Cuenta]],Estructura_Balance[Nombre Cuenta ()],Estructura_Balance[Nivel 4],"",0)</f>
        <v>1. Resultado del ejercicio</v>
      </c>
      <c r="R832" t="str">
        <f>_xlfn.XLOOKUP(Table3[[#This Row],[Cuenta]],Table8[Nombre Cuenta ()],Table8[Nivel 1],"",0)</f>
        <v>C) RESULTADO ANTES DE IMPUESTOS</v>
      </c>
      <c r="S832" t="str">
        <f>_xlfn.XLOOKUP(Table3[[#This Row],[Cuenta]],Table8[Nombre Cuenta ()],Table8[Nivel 2],"",0)</f>
        <v>B) RESULTADO FINANCIERO</v>
      </c>
      <c r="T832" t="str">
        <f>_xlfn.XLOOKUP(Table3[[#This Row],[Cuenta]],Table8[Nombre Cuenta ()],Table8[Nivel 3],"",0)</f>
        <v>15. Variación de Valor Razonable en Instrumentos financieros</v>
      </c>
      <c r="U832">
        <v>1339</v>
      </c>
      <c r="V832">
        <f>_xlfn.XLOOKUP(Table3[[#This Row],[Cuenta]],Estructura_Balance[Nombre Cuenta ()],Estructura_Balance[Niveles:2],"",0)</f>
        <v>66</v>
      </c>
      <c r="W832">
        <f>_xlfn.XLOOKUP(Table3[[#This Row],[Cuenta]],Estructura_Balance[Nombre Cuenta ()],Estructura_Balance[Niveles:3],"",0)</f>
        <v>663</v>
      </c>
      <c r="X832" t="str">
        <f>_xlfn.XLOOKUP(Table3[[#This Row],[Cuenta]],Estructura_Balance[Nombre Cuenta ()],Estructura_Balance[Grupos],"Grupo 1",0)</f>
        <v>Grupo 6</v>
      </c>
      <c r="Y832" t="str">
        <f>+Table3[[#This Row],[BS_Nivel_1]]</f>
        <v>PATRIMONIO NETO Y PASIVO</v>
      </c>
    </row>
    <row r="833" spans="1:25">
      <c r="A833">
        <f>+'Libro Diario'!F50</f>
        <v>0</v>
      </c>
      <c r="B833" s="144">
        <f>VALUE(IF(+'Libro Diario'!G50="","01/01/2025",+'Libro Diario'!G50))</f>
        <v>45658</v>
      </c>
      <c r="C833" t="str">
        <f>IF(ISNUMBER(+IF(IFERROR(VALUE(MID('Libro Diario'!D50,1,4)),0)&lt;&gt;0,'Libro Diario'!D50,0))=FALSE,'Libro Diario'!D50,0)</f>
        <v>668 -  Diferencias negativas de cambio</v>
      </c>
      <c r="D833" s="145">
        <f>+'Libro Diario'!E50</f>
        <v>0</v>
      </c>
      <c r="E833" s="139" t="s">
        <v>446</v>
      </c>
      <c r="F833" t="str">
        <f t="shared" si="36"/>
        <v>Con Mov.</v>
      </c>
      <c r="G833" t="str">
        <f>IF(+'Libro Diario'!H50=0,"",+'Libro Diario'!H50)</f>
        <v>Estructura Balance y PyG</v>
      </c>
      <c r="H833" t="str">
        <f>IF(+'Libro Diario'!I50=0,"",+'Libro Diario'!I50)</f>
        <v>Saldo Inicial</v>
      </c>
      <c r="I833" t="str">
        <f>+IF(Table3[[#This Row],[Tipo Movimiento]]="Estructura Balance y PyG","Excluir","Incluir")</f>
        <v>Excluir</v>
      </c>
      <c r="J833" s="153">
        <f>+IF(Table3[[#This Row],[Sin cuenta]]="Con Mov.",(IF(Table3[[#This Row],[Movimiento]]="Debe",Table3[[#This Row],[Importe]],IF(Table3[[#This Row],[Movimiento]]="Haber",Table3[[#This Row],[Importe]]*-1,0))),0)</f>
        <v>0</v>
      </c>
      <c r="K833" s="145" t="str">
        <f t="shared" si="37"/>
        <v/>
      </c>
      <c r="L833" s="145">
        <f t="shared" si="38"/>
        <v>0</v>
      </c>
      <c r="M833" t="str">
        <f>_xlfn.XLOOKUP(Table3[[#This Row],[Cuenta]],Estructura_Balance[Nombre Cuenta ()],Estructura_Balance[Grupo],"",0)</f>
        <v>Grupo 6 - Compras y Gastos</v>
      </c>
      <c r="N833" t="str">
        <f>_xlfn.XLOOKUP(Table3[[#This Row],[Cuenta]],Estructura_Balance[Nombre Cuenta ()],Estructura_Balance[Nivel 1],"",0)</f>
        <v>PATRIMONIO NETO Y PASIVO</v>
      </c>
      <c r="O833" t="str">
        <f>_xlfn.XLOOKUP(Table3[[#This Row],[Cuenta]],Estructura_Balance[Nombre Cuenta ()],Estructura_Balance[Nivel 2],"",0)</f>
        <v>A) PATRIMONIO NETO</v>
      </c>
      <c r="P833" t="str">
        <f>_xlfn.XLOOKUP(Table3[[#This Row],[Cuenta]],Estructura_Balance[Nombre Cuenta ()],Estructura_Balance[Nivel 3],"",0)</f>
        <v>VII. Resultado del Ejercicio</v>
      </c>
      <c r="Q833" t="str">
        <f>_xlfn.XLOOKUP(Table3[[#This Row],[Cuenta]],Estructura_Balance[Nombre Cuenta ()],Estructura_Balance[Nivel 4],"",0)</f>
        <v>1. Resultado del ejercicio</v>
      </c>
      <c r="R833" t="str">
        <f>_xlfn.XLOOKUP(Table3[[#This Row],[Cuenta]],Table8[Nombre Cuenta ()],Table8[Nivel 1],"",0)</f>
        <v>C) RESULTADO ANTES DE IMPUESTOS</v>
      </c>
      <c r="S833" t="str">
        <f>_xlfn.XLOOKUP(Table3[[#This Row],[Cuenta]],Table8[Nombre Cuenta ()],Table8[Nivel 2],"",0)</f>
        <v>B) RESULTADO FINANCIERO</v>
      </c>
      <c r="T833" t="str">
        <f>_xlfn.XLOOKUP(Table3[[#This Row],[Cuenta]],Table8[Nombre Cuenta ()],Table8[Nivel 3],"",0)</f>
        <v>16. Diferencias de Cambio</v>
      </c>
      <c r="U833">
        <v>1343</v>
      </c>
      <c r="V833">
        <f>_xlfn.XLOOKUP(Table3[[#This Row],[Cuenta]],Estructura_Balance[Nombre Cuenta ()],Estructura_Balance[Niveles:2],"",0)</f>
        <v>66</v>
      </c>
      <c r="W833">
        <f>_xlfn.XLOOKUP(Table3[[#This Row],[Cuenta]],Estructura_Balance[Nombre Cuenta ()],Estructura_Balance[Niveles:3],"",0)</f>
        <v>668</v>
      </c>
      <c r="X833" t="str">
        <f>_xlfn.XLOOKUP(Table3[[#This Row],[Cuenta]],Estructura_Balance[Nombre Cuenta ()],Estructura_Balance[Grupos],"Grupo 1",0)</f>
        <v>Grupo 6</v>
      </c>
      <c r="Y833" t="str">
        <f>+Table3[[#This Row],[BS_Nivel_1]]</f>
        <v>PATRIMONIO NETO Y PASIVO</v>
      </c>
    </row>
    <row r="834" spans="1:25">
      <c r="A834">
        <f>+'Libro Diario'!F51</f>
        <v>0</v>
      </c>
      <c r="B834" s="144">
        <f>VALUE(IF(+'Libro Diario'!G51="","01/01/2025",+'Libro Diario'!G51))</f>
        <v>45658</v>
      </c>
      <c r="C834" t="str">
        <f>IF(ISNUMBER(+IF(IFERROR(VALUE(MID('Libro Diario'!D51,1,4)),0)&lt;&gt;0,'Libro Diario'!D51,0))=FALSE,'Libro Diario'!D51,0)</f>
        <v>666 -  Pérdidas en participaciones y valores representativos de deuda</v>
      </c>
      <c r="D834" s="145">
        <f>+'Libro Diario'!E51</f>
        <v>0</v>
      </c>
      <c r="E834" s="139" t="s">
        <v>446</v>
      </c>
      <c r="F834" t="str">
        <f t="shared" si="36"/>
        <v>Con Mov.</v>
      </c>
      <c r="G834" t="str">
        <f>IF(+'Libro Diario'!H51=0,"",+'Libro Diario'!H51)</f>
        <v>Estructura Balance y PyG</v>
      </c>
      <c r="H834" t="str">
        <f>IF(+'Libro Diario'!I51=0,"",+'Libro Diario'!I51)</f>
        <v>Saldo Inicial</v>
      </c>
      <c r="I834" t="str">
        <f>+IF(Table3[[#This Row],[Tipo Movimiento]]="Estructura Balance y PyG","Excluir","Incluir")</f>
        <v>Excluir</v>
      </c>
      <c r="J834" s="153">
        <f>+IF(Table3[[#This Row],[Sin cuenta]]="Con Mov.",(IF(Table3[[#This Row],[Movimiento]]="Debe",Table3[[#This Row],[Importe]],IF(Table3[[#This Row],[Movimiento]]="Haber",Table3[[#This Row],[Importe]]*-1,0))),0)</f>
        <v>0</v>
      </c>
      <c r="K834" s="145" t="str">
        <f t="shared" si="37"/>
        <v/>
      </c>
      <c r="L834" s="145">
        <f t="shared" si="38"/>
        <v>0</v>
      </c>
      <c r="M834" t="str">
        <f>_xlfn.XLOOKUP(Table3[[#This Row],[Cuenta]],Estructura_Balance[Nombre Cuenta ()],Estructura_Balance[Grupo],"",0)</f>
        <v>Grupo 6 - Compras y Gastos</v>
      </c>
      <c r="N834" t="str">
        <f>_xlfn.XLOOKUP(Table3[[#This Row],[Cuenta]],Estructura_Balance[Nombre Cuenta ()],Estructura_Balance[Nivel 1],"",0)</f>
        <v>PATRIMONIO NETO Y PASIVO</v>
      </c>
      <c r="O834" t="str">
        <f>_xlfn.XLOOKUP(Table3[[#This Row],[Cuenta]],Estructura_Balance[Nombre Cuenta ()],Estructura_Balance[Nivel 2],"",0)</f>
        <v>A) PATRIMONIO NETO</v>
      </c>
      <c r="P834" t="str">
        <f>_xlfn.XLOOKUP(Table3[[#This Row],[Cuenta]],Estructura_Balance[Nombre Cuenta ()],Estructura_Balance[Nivel 3],"",0)</f>
        <v>VII. Resultado del Ejercicio</v>
      </c>
      <c r="Q834" t="str">
        <f>_xlfn.XLOOKUP(Table3[[#This Row],[Cuenta]],Estructura_Balance[Nombre Cuenta ()],Estructura_Balance[Nivel 4],"",0)</f>
        <v>1. Resultado del ejercicio</v>
      </c>
      <c r="R834" t="str">
        <f>_xlfn.XLOOKUP(Table3[[#This Row],[Cuenta]],Table8[Nombre Cuenta ()],Table8[Nivel 1],"",0)</f>
        <v>C) RESULTADO ANTES DE IMPUESTOS</v>
      </c>
      <c r="S834" t="str">
        <f>_xlfn.XLOOKUP(Table3[[#This Row],[Cuenta]],Table8[Nombre Cuenta ()],Table8[Nivel 2],"",0)</f>
        <v>B) RESULTADO FINANCIERO</v>
      </c>
      <c r="T834" t="str">
        <f>_xlfn.XLOOKUP(Table3[[#This Row],[Cuenta]],Table8[Nombre Cuenta ()],Table8[Nivel 3],"",0)</f>
        <v>17. Deterioro y Rdo por enajenaciones de instrumentos financieros</v>
      </c>
      <c r="U834">
        <v>1344</v>
      </c>
      <c r="V834">
        <f>_xlfn.XLOOKUP(Table3[[#This Row],[Cuenta]],Estructura_Balance[Nombre Cuenta ()],Estructura_Balance[Niveles:2],"",0)</f>
        <v>66</v>
      </c>
      <c r="W834">
        <f>_xlfn.XLOOKUP(Table3[[#This Row],[Cuenta]],Estructura_Balance[Nombre Cuenta ()],Estructura_Balance[Niveles:3],"",0)</f>
        <v>666</v>
      </c>
      <c r="X834" t="str">
        <f>_xlfn.XLOOKUP(Table3[[#This Row],[Cuenta]],Estructura_Balance[Nombre Cuenta ()],Estructura_Balance[Grupos],"Grupo 1",0)</f>
        <v>Grupo 6</v>
      </c>
      <c r="Y834" t="str">
        <f>+Table3[[#This Row],[BS_Nivel_1]]</f>
        <v>PATRIMONIO NETO Y PASIVO</v>
      </c>
    </row>
    <row r="835" spans="1:25">
      <c r="A835">
        <f>+'Libro Diario'!F52</f>
        <v>0</v>
      </c>
      <c r="B835" s="144">
        <f>VALUE(IF(+'Libro Diario'!G52="","01/01/2025",+'Libro Diario'!G52))</f>
        <v>45658</v>
      </c>
      <c r="C835" t="str">
        <f>IF(ISNUMBER(+IF(IFERROR(VALUE(MID('Libro Diario'!D52,1,4)),0)&lt;&gt;0,'Libro Diario'!D52,0))=FALSE,'Libro Diario'!D52,0)</f>
        <v>630 -  Impuesto sobre beneficios</v>
      </c>
      <c r="D835" s="145">
        <f>+'Libro Diario'!E52</f>
        <v>0</v>
      </c>
      <c r="E835" s="139" t="s">
        <v>446</v>
      </c>
      <c r="F835" t="str">
        <f t="shared" ref="F835:F898" si="39">+IF(C835=0,"Sin Mov.","Con Mov.")</f>
        <v>Con Mov.</v>
      </c>
      <c r="G835" t="str">
        <f>IF(+'Libro Diario'!H52=0,"",+'Libro Diario'!H52)</f>
        <v>Estructura Balance y PyG</v>
      </c>
      <c r="H835" t="str">
        <f>IF(+'Libro Diario'!I52=0,"",+'Libro Diario'!I52)</f>
        <v>Saldo Inicial</v>
      </c>
      <c r="I835" t="str">
        <f>+IF(Table3[[#This Row],[Tipo Movimiento]]="Estructura Balance y PyG","Excluir","Incluir")</f>
        <v>Excluir</v>
      </c>
      <c r="J835" s="153">
        <f>+IF(Table3[[#This Row],[Sin cuenta]]="Con Mov.",(IF(Table3[[#This Row],[Movimiento]]="Debe",Table3[[#This Row],[Importe]],IF(Table3[[#This Row],[Movimiento]]="Haber",Table3[[#This Row],[Importe]]*-1,0))),0)</f>
        <v>0</v>
      </c>
      <c r="K835" s="145" t="str">
        <f t="shared" ref="K835:K898" si="40">+IF(E835="Debe",D835,"")</f>
        <v/>
      </c>
      <c r="L835" s="145">
        <f t="shared" ref="L835:L898" si="41">+IF(E835="Haber",D835,"")</f>
        <v>0</v>
      </c>
      <c r="M835" t="str">
        <f>_xlfn.XLOOKUP(Table3[[#This Row],[Cuenta]],Estructura_Balance[Nombre Cuenta ()],Estructura_Balance[Grupo],"",0)</f>
        <v>Grupo 6 - Compras y Gastos</v>
      </c>
      <c r="N835" t="str">
        <f>_xlfn.XLOOKUP(Table3[[#This Row],[Cuenta]],Estructura_Balance[Nombre Cuenta ()],Estructura_Balance[Nivel 1],"",0)</f>
        <v>PATRIMONIO NETO Y PASIVO</v>
      </c>
      <c r="O835" t="str">
        <f>_xlfn.XLOOKUP(Table3[[#This Row],[Cuenta]],Estructura_Balance[Nombre Cuenta ()],Estructura_Balance[Nivel 2],"",0)</f>
        <v>A) PATRIMONIO NETO</v>
      </c>
      <c r="P835" t="str">
        <f>_xlfn.XLOOKUP(Table3[[#This Row],[Cuenta]],Estructura_Balance[Nombre Cuenta ()],Estructura_Balance[Nivel 3],"",0)</f>
        <v>VII. Resultado del Ejercicio</v>
      </c>
      <c r="Q835" t="str">
        <f>_xlfn.XLOOKUP(Table3[[#This Row],[Cuenta]],Estructura_Balance[Nombre Cuenta ()],Estructura_Balance[Nivel 4],"",0)</f>
        <v>1. Resultado del ejercicio</v>
      </c>
      <c r="R835" t="str">
        <f>_xlfn.XLOOKUP(Table3[[#This Row],[Cuenta]],Table8[Nombre Cuenta ()],Table8[Nivel 1],"",0)</f>
        <v>C1_) IMPUESTOS SOBRE BENEFICIOS</v>
      </c>
      <c r="S835" t="str">
        <f>_xlfn.XLOOKUP(Table3[[#This Row],[Cuenta]],Table8[Nombre Cuenta ()],Table8[Nivel 2],"",0)</f>
        <v>C1) IMPUESTOS SOBRE BENEFICIOS</v>
      </c>
      <c r="T835" t="str">
        <f>_xlfn.XLOOKUP(Table3[[#This Row],[Cuenta]],Table8[Nombre Cuenta ()],Table8[Nivel 3],"",0)</f>
        <v>18. Impuesto sobre Beneficio</v>
      </c>
      <c r="U835">
        <v>1345</v>
      </c>
      <c r="V835" t="str">
        <f>_xlfn.XLOOKUP(Table3[[#This Row],[Cuenta]],Estructura_Balance[Nombre Cuenta ()],Estructura_Balance[Niveles:2],"",0)</f>
        <v>63</v>
      </c>
      <c r="W835" t="str">
        <f>_xlfn.XLOOKUP(Table3[[#This Row],[Cuenta]],Estructura_Balance[Nombre Cuenta ()],Estructura_Balance[Niveles:3],"",0)</f>
        <v>630</v>
      </c>
      <c r="X835" t="str">
        <f>_xlfn.XLOOKUP(Table3[[#This Row],[Cuenta]],Estructura_Balance[Nombre Cuenta ()],Estructura_Balance[Grupos],"Grupo 1",0)</f>
        <v>Grupo 6</v>
      </c>
      <c r="Y835" t="str">
        <f>+Table3[[#This Row],[BS_Nivel_1]]</f>
        <v>PATRIMONIO NETO Y PASIVO</v>
      </c>
    </row>
    <row r="836" spans="1:25">
      <c r="A836">
        <f>+'Libro Diario'!F53</f>
        <v>0</v>
      </c>
      <c r="B836" s="144">
        <f>VALUE(IF(+'Libro Diario'!G53="","01/01/2025",+'Libro Diario'!G53))</f>
        <v>45658</v>
      </c>
      <c r="C836">
        <f>IF(ISNUMBER(+IF(IFERROR(VALUE(MID('Libro Diario'!D53,1,4)),0)&lt;&gt;0,'Libro Diario'!D53,0))=FALSE,'Libro Diario'!D53,0)</f>
        <v>0</v>
      </c>
      <c r="D836" s="145">
        <f>+'Libro Diario'!E53</f>
        <v>0</v>
      </c>
      <c r="E836" s="139" t="s">
        <v>446</v>
      </c>
      <c r="F836" t="str">
        <f t="shared" si="39"/>
        <v>Sin Mov.</v>
      </c>
      <c r="G836" t="str">
        <f>IF(+'Libro Diario'!H53=0,"",+'Libro Diario'!H53)</f>
        <v/>
      </c>
      <c r="H836" t="str">
        <f>IF(+'Libro Diario'!I53=0,"",+'Libro Diario'!I53)</f>
        <v/>
      </c>
      <c r="I836" t="str">
        <f>+IF(Table3[[#This Row],[Tipo Movimiento]]="Estructura Balance y PyG","Excluir","Incluir")</f>
        <v>Incluir</v>
      </c>
      <c r="J836" s="153">
        <f>+IF(Table3[[#This Row],[Sin cuenta]]="Con Mov.",(IF(Table3[[#This Row],[Movimiento]]="Debe",Table3[[#This Row],[Importe]],IF(Table3[[#This Row],[Movimiento]]="Haber",Table3[[#This Row],[Importe]]*-1,0))),0)</f>
        <v>0</v>
      </c>
      <c r="K836" s="145" t="str">
        <f t="shared" si="40"/>
        <v/>
      </c>
      <c r="L836" s="145">
        <f t="shared" si="41"/>
        <v>0</v>
      </c>
      <c r="M836" t="str">
        <f>_xlfn.XLOOKUP(Table3[[#This Row],[Cuenta]],Estructura_Balance[Nombre Cuenta ()],Estructura_Balance[Grupo],"",0)</f>
        <v/>
      </c>
      <c r="N836" t="str">
        <f>_xlfn.XLOOKUP(Table3[[#This Row],[Cuenta]],Estructura_Balance[Nombre Cuenta ()],Estructura_Balance[Nivel 1],"",0)</f>
        <v/>
      </c>
      <c r="O836" t="str">
        <f>_xlfn.XLOOKUP(Table3[[#This Row],[Cuenta]],Estructura_Balance[Nombre Cuenta ()],Estructura_Balance[Nivel 2],"",0)</f>
        <v/>
      </c>
      <c r="P836" t="str">
        <f>_xlfn.XLOOKUP(Table3[[#This Row],[Cuenta]],Estructura_Balance[Nombre Cuenta ()],Estructura_Balance[Nivel 3],"",0)</f>
        <v/>
      </c>
      <c r="Q836" t="str">
        <f>_xlfn.XLOOKUP(Table3[[#This Row],[Cuenta]],Estructura_Balance[Nombre Cuenta ()],Estructura_Balance[Nivel 4],"",0)</f>
        <v/>
      </c>
      <c r="R836" t="str">
        <f>_xlfn.XLOOKUP(Table3[[#This Row],[Cuenta]],Table8[Nombre Cuenta ()],Table8[Nivel 1],"",0)</f>
        <v/>
      </c>
      <c r="S836" t="str">
        <f>_xlfn.XLOOKUP(Table3[[#This Row],[Cuenta]],Table8[Nombre Cuenta ()],Table8[Nivel 2],"",0)</f>
        <v/>
      </c>
      <c r="T836" t="str">
        <f>_xlfn.XLOOKUP(Table3[[#This Row],[Cuenta]],Table8[Nombre Cuenta ()],Table8[Nivel 3],"",0)</f>
        <v/>
      </c>
      <c r="U836">
        <v>1346</v>
      </c>
      <c r="V836" t="str">
        <f>_xlfn.XLOOKUP(Table3[[#This Row],[Cuenta]],Estructura_Balance[Nombre Cuenta ()],Estructura_Balance[Niveles:2],"",0)</f>
        <v/>
      </c>
      <c r="W836" t="str">
        <f>_xlfn.XLOOKUP(Table3[[#This Row],[Cuenta]],Estructura_Balance[Nombre Cuenta ()],Estructura_Balance[Niveles:3],"",0)</f>
        <v/>
      </c>
      <c r="X836" t="str">
        <f>_xlfn.XLOOKUP(Table3[[#This Row],[Cuenta]],Estructura_Balance[Nombre Cuenta ()],Estructura_Balance[Grupos],"Grupo 1",0)</f>
        <v>Grupo 1</v>
      </c>
      <c r="Y836" t="str">
        <f>+Table3[[#This Row],[BS_Nivel_1]]</f>
        <v/>
      </c>
    </row>
    <row r="837" spans="1:25">
      <c r="A837">
        <f>+'Libro Diario'!F54</f>
        <v>0</v>
      </c>
      <c r="B837" s="144">
        <f>VALUE(IF(+'Libro Diario'!G54="","01/01/2025",+'Libro Diario'!G54))</f>
        <v>45658</v>
      </c>
      <c r="C837">
        <f>IF(ISNUMBER(+IF(IFERROR(VALUE(MID('Libro Diario'!D54,1,4)),0)&lt;&gt;0,'Libro Diario'!D54,0))=FALSE,'Libro Diario'!D54,0)</f>
        <v>0</v>
      </c>
      <c r="D837" s="145">
        <f>+'Libro Diario'!E54</f>
        <v>0</v>
      </c>
      <c r="E837" s="139" t="s">
        <v>446</v>
      </c>
      <c r="F837" t="str">
        <f t="shared" si="39"/>
        <v>Sin Mov.</v>
      </c>
      <c r="G837" t="str">
        <f>IF(+'Libro Diario'!H54=0,"",+'Libro Diario'!H54)</f>
        <v/>
      </c>
      <c r="H837" t="str">
        <f>IF(+'Libro Diario'!I54=0,"",+'Libro Diario'!I54)</f>
        <v/>
      </c>
      <c r="I837" t="str">
        <f>+IF(Table3[[#This Row],[Tipo Movimiento]]="Estructura Balance y PyG","Excluir","Incluir")</f>
        <v>Incluir</v>
      </c>
      <c r="J837" s="153">
        <f>+IF(Table3[[#This Row],[Sin cuenta]]="Con Mov.",(IF(Table3[[#This Row],[Movimiento]]="Debe",Table3[[#This Row],[Importe]],IF(Table3[[#This Row],[Movimiento]]="Haber",Table3[[#This Row],[Importe]]*-1,0))),0)</f>
        <v>0</v>
      </c>
      <c r="K837" s="145" t="str">
        <f t="shared" si="40"/>
        <v/>
      </c>
      <c r="L837" s="145">
        <f t="shared" si="41"/>
        <v>0</v>
      </c>
      <c r="M837" t="str">
        <f>_xlfn.XLOOKUP(Table3[[#This Row],[Cuenta]],Estructura_Balance[Nombre Cuenta ()],Estructura_Balance[Grupo],"",0)</f>
        <v/>
      </c>
      <c r="N837" t="str">
        <f>_xlfn.XLOOKUP(Table3[[#This Row],[Cuenta]],Estructura_Balance[Nombre Cuenta ()],Estructura_Balance[Nivel 1],"",0)</f>
        <v/>
      </c>
      <c r="O837" t="str">
        <f>_xlfn.XLOOKUP(Table3[[#This Row],[Cuenta]],Estructura_Balance[Nombre Cuenta ()],Estructura_Balance[Nivel 2],"",0)</f>
        <v/>
      </c>
      <c r="P837" t="str">
        <f>_xlfn.XLOOKUP(Table3[[#This Row],[Cuenta]],Estructura_Balance[Nombre Cuenta ()],Estructura_Balance[Nivel 3],"",0)</f>
        <v/>
      </c>
      <c r="Q837" t="str">
        <f>_xlfn.XLOOKUP(Table3[[#This Row],[Cuenta]],Estructura_Balance[Nombre Cuenta ()],Estructura_Balance[Nivel 4],"",0)</f>
        <v/>
      </c>
      <c r="R837" t="str">
        <f>_xlfn.XLOOKUP(Table3[[#This Row],[Cuenta]],Table8[Nombre Cuenta ()],Table8[Nivel 1],"",0)</f>
        <v/>
      </c>
      <c r="S837" t="str">
        <f>_xlfn.XLOOKUP(Table3[[#This Row],[Cuenta]],Table8[Nombre Cuenta ()],Table8[Nivel 2],"",0)</f>
        <v/>
      </c>
      <c r="T837" t="str">
        <f>_xlfn.XLOOKUP(Table3[[#This Row],[Cuenta]],Table8[Nombre Cuenta ()],Table8[Nivel 3],"",0)</f>
        <v/>
      </c>
      <c r="U837">
        <v>1347</v>
      </c>
      <c r="V837" t="str">
        <f>_xlfn.XLOOKUP(Table3[[#This Row],[Cuenta]],Estructura_Balance[Nombre Cuenta ()],Estructura_Balance[Niveles:2],"",0)</f>
        <v/>
      </c>
      <c r="W837" t="str">
        <f>_xlfn.XLOOKUP(Table3[[#This Row],[Cuenta]],Estructura_Balance[Nombre Cuenta ()],Estructura_Balance[Niveles:3],"",0)</f>
        <v/>
      </c>
      <c r="X837" t="str">
        <f>_xlfn.XLOOKUP(Table3[[#This Row],[Cuenta]],Estructura_Balance[Nombre Cuenta ()],Estructura_Balance[Grupos],"Grupo 1",0)</f>
        <v>Grupo 1</v>
      </c>
      <c r="Y837" t="str">
        <f>+Table3[[#This Row],[BS_Nivel_1]]</f>
        <v/>
      </c>
    </row>
    <row r="838" spans="1:25">
      <c r="A838">
        <f>+'Libro Diario'!F55</f>
        <v>0</v>
      </c>
      <c r="B838" s="144">
        <f>VALUE(IF(+'Libro Diario'!G55="","01/01/2025",+'Libro Diario'!G55))</f>
        <v>45658</v>
      </c>
      <c r="C838">
        <f>IF(ISNUMBER(+IF(IFERROR(VALUE(MID('Libro Diario'!D55,1,4)),0)&lt;&gt;0,'Libro Diario'!D55,0))=FALSE,'Libro Diario'!D55,0)</f>
        <v>0</v>
      </c>
      <c r="D838" s="145">
        <f>+'Libro Diario'!E55</f>
        <v>0</v>
      </c>
      <c r="E838" s="139" t="s">
        <v>446</v>
      </c>
      <c r="F838" t="str">
        <f t="shared" si="39"/>
        <v>Sin Mov.</v>
      </c>
      <c r="G838" t="str">
        <f>IF(+'Libro Diario'!H55=0,"",+'Libro Diario'!H55)</f>
        <v/>
      </c>
      <c r="H838" t="str">
        <f>IF(+'Libro Diario'!I55=0,"",+'Libro Diario'!I55)</f>
        <v/>
      </c>
      <c r="I838" t="str">
        <f>+IF(Table3[[#This Row],[Tipo Movimiento]]="Estructura Balance y PyG","Excluir","Incluir")</f>
        <v>Incluir</v>
      </c>
      <c r="J838" s="153">
        <f>+IF(Table3[[#This Row],[Sin cuenta]]="Con Mov.",(IF(Table3[[#This Row],[Movimiento]]="Debe",Table3[[#This Row],[Importe]],IF(Table3[[#This Row],[Movimiento]]="Haber",Table3[[#This Row],[Importe]]*-1,0))),0)</f>
        <v>0</v>
      </c>
      <c r="K838" s="145" t="str">
        <f t="shared" si="40"/>
        <v/>
      </c>
      <c r="L838" s="145">
        <f t="shared" si="41"/>
        <v>0</v>
      </c>
      <c r="M838" t="str">
        <f>_xlfn.XLOOKUP(Table3[[#This Row],[Cuenta]],Estructura_Balance[Nombre Cuenta ()],Estructura_Balance[Grupo],"",0)</f>
        <v/>
      </c>
      <c r="N838" t="str">
        <f>_xlfn.XLOOKUP(Table3[[#This Row],[Cuenta]],Estructura_Balance[Nombre Cuenta ()],Estructura_Balance[Nivel 1],"",0)</f>
        <v/>
      </c>
      <c r="O838" t="str">
        <f>_xlfn.XLOOKUP(Table3[[#This Row],[Cuenta]],Estructura_Balance[Nombre Cuenta ()],Estructura_Balance[Nivel 2],"",0)</f>
        <v/>
      </c>
      <c r="P838" t="str">
        <f>_xlfn.XLOOKUP(Table3[[#This Row],[Cuenta]],Estructura_Balance[Nombre Cuenta ()],Estructura_Balance[Nivel 3],"",0)</f>
        <v/>
      </c>
      <c r="Q838" t="str">
        <f>_xlfn.XLOOKUP(Table3[[#This Row],[Cuenta]],Estructura_Balance[Nombre Cuenta ()],Estructura_Balance[Nivel 4],"",0)</f>
        <v/>
      </c>
      <c r="R838" t="str">
        <f>_xlfn.XLOOKUP(Table3[[#This Row],[Cuenta]],Table8[Nombre Cuenta ()],Table8[Nivel 1],"",0)</f>
        <v/>
      </c>
      <c r="S838" t="str">
        <f>_xlfn.XLOOKUP(Table3[[#This Row],[Cuenta]],Table8[Nombre Cuenta ()],Table8[Nivel 2],"",0)</f>
        <v/>
      </c>
      <c r="T838" t="str">
        <f>_xlfn.XLOOKUP(Table3[[#This Row],[Cuenta]],Table8[Nombre Cuenta ()],Table8[Nivel 3],"",0)</f>
        <v/>
      </c>
      <c r="U838">
        <v>1350</v>
      </c>
      <c r="V838" t="str">
        <f>_xlfn.XLOOKUP(Table3[[#This Row],[Cuenta]],Estructura_Balance[Nombre Cuenta ()],Estructura_Balance[Niveles:2],"",0)</f>
        <v/>
      </c>
      <c r="W838" t="str">
        <f>_xlfn.XLOOKUP(Table3[[#This Row],[Cuenta]],Estructura_Balance[Nombre Cuenta ()],Estructura_Balance[Niveles:3],"",0)</f>
        <v/>
      </c>
      <c r="X838" t="str">
        <f>_xlfn.XLOOKUP(Table3[[#This Row],[Cuenta]],Estructura_Balance[Nombre Cuenta ()],Estructura_Balance[Grupos],"Grupo 1",0)</f>
        <v>Grupo 1</v>
      </c>
      <c r="Y838" t="str">
        <f>+Table3[[#This Row],[BS_Nivel_1]]</f>
        <v/>
      </c>
    </row>
    <row r="839" spans="1:25">
      <c r="A839">
        <f>+'Libro Diario'!F56</f>
        <v>0</v>
      </c>
      <c r="B839" s="144">
        <f>VALUE(IF(+'Libro Diario'!G56="","01/01/2025",+'Libro Diario'!G56))</f>
        <v>45658</v>
      </c>
      <c r="C839">
        <f>IF(ISNUMBER(+IF(IFERROR(VALUE(MID('Libro Diario'!D56,1,4)),0)&lt;&gt;0,'Libro Diario'!D56,0))=FALSE,'Libro Diario'!D56,0)</f>
        <v>0</v>
      </c>
      <c r="D839" s="145">
        <f>+'Libro Diario'!E56</f>
        <v>0</v>
      </c>
      <c r="E839" s="139" t="s">
        <v>446</v>
      </c>
      <c r="F839" t="str">
        <f t="shared" si="39"/>
        <v>Sin Mov.</v>
      </c>
      <c r="G839" t="str">
        <f>IF(+'Libro Diario'!H56=0,"",+'Libro Diario'!H56)</f>
        <v/>
      </c>
      <c r="H839" t="str">
        <f>IF(+'Libro Diario'!I56=0,"",+'Libro Diario'!I56)</f>
        <v/>
      </c>
      <c r="I839" t="str">
        <f>+IF(Table3[[#This Row],[Tipo Movimiento]]="Estructura Balance y PyG","Excluir","Incluir")</f>
        <v>Incluir</v>
      </c>
      <c r="J839" s="153">
        <f>+IF(Table3[[#This Row],[Sin cuenta]]="Con Mov.",(IF(Table3[[#This Row],[Movimiento]]="Debe",Table3[[#This Row],[Importe]],IF(Table3[[#This Row],[Movimiento]]="Haber",Table3[[#This Row],[Importe]]*-1,0))),0)</f>
        <v>0</v>
      </c>
      <c r="K839" s="145" t="str">
        <f t="shared" si="40"/>
        <v/>
      </c>
      <c r="L839" s="145">
        <f t="shared" si="41"/>
        <v>0</v>
      </c>
      <c r="M839" t="str">
        <f>_xlfn.XLOOKUP(Table3[[#This Row],[Cuenta]],Estructura_Balance[Nombre Cuenta ()],Estructura_Balance[Grupo],"",0)</f>
        <v/>
      </c>
      <c r="N839" t="str">
        <f>_xlfn.XLOOKUP(Table3[[#This Row],[Cuenta]],Estructura_Balance[Nombre Cuenta ()],Estructura_Balance[Nivel 1],"",0)</f>
        <v/>
      </c>
      <c r="O839" t="str">
        <f>_xlfn.XLOOKUP(Table3[[#This Row],[Cuenta]],Estructura_Balance[Nombre Cuenta ()],Estructura_Balance[Nivel 2],"",0)</f>
        <v/>
      </c>
      <c r="P839" t="str">
        <f>_xlfn.XLOOKUP(Table3[[#This Row],[Cuenta]],Estructura_Balance[Nombre Cuenta ()],Estructura_Balance[Nivel 3],"",0)</f>
        <v/>
      </c>
      <c r="Q839" t="str">
        <f>_xlfn.XLOOKUP(Table3[[#This Row],[Cuenta]],Estructura_Balance[Nombre Cuenta ()],Estructura_Balance[Nivel 4],"",0)</f>
        <v/>
      </c>
      <c r="R839" t="str">
        <f>_xlfn.XLOOKUP(Table3[[#This Row],[Cuenta]],Table8[Nombre Cuenta ()],Table8[Nivel 1],"",0)</f>
        <v/>
      </c>
      <c r="S839" t="str">
        <f>_xlfn.XLOOKUP(Table3[[#This Row],[Cuenta]],Table8[Nombre Cuenta ()],Table8[Nivel 2],"",0)</f>
        <v/>
      </c>
      <c r="T839" t="str">
        <f>_xlfn.XLOOKUP(Table3[[#This Row],[Cuenta]],Table8[Nombre Cuenta ()],Table8[Nivel 3],"",0)</f>
        <v/>
      </c>
      <c r="U839">
        <v>1351</v>
      </c>
      <c r="V839" t="str">
        <f>_xlfn.XLOOKUP(Table3[[#This Row],[Cuenta]],Estructura_Balance[Nombre Cuenta ()],Estructura_Balance[Niveles:2],"",0)</f>
        <v/>
      </c>
      <c r="W839" t="str">
        <f>_xlfn.XLOOKUP(Table3[[#This Row],[Cuenta]],Estructura_Balance[Nombre Cuenta ()],Estructura_Balance[Niveles:3],"",0)</f>
        <v/>
      </c>
      <c r="X839" t="str">
        <f>_xlfn.XLOOKUP(Table3[[#This Row],[Cuenta]],Estructura_Balance[Nombre Cuenta ()],Estructura_Balance[Grupos],"Grupo 1",0)</f>
        <v>Grupo 1</v>
      </c>
      <c r="Y839" t="str">
        <f>+Table3[[#This Row],[BS_Nivel_1]]</f>
        <v/>
      </c>
    </row>
    <row r="840" spans="1:25">
      <c r="A840">
        <f>+'Libro Diario'!F57</f>
        <v>0</v>
      </c>
      <c r="B840" s="144">
        <f>VALUE(IF(+'Libro Diario'!G57="","01/01/2025",+'Libro Diario'!G57))</f>
        <v>45658</v>
      </c>
      <c r="C840">
        <f>IF(ISNUMBER(+IF(IFERROR(VALUE(MID('Libro Diario'!D57,1,4)),0)&lt;&gt;0,'Libro Diario'!D57,0))=FALSE,'Libro Diario'!D57,0)</f>
        <v>0</v>
      </c>
      <c r="D840" s="145" t="str">
        <f>+'Libro Diario'!E57</f>
        <v>HABER</v>
      </c>
      <c r="E840" s="139" t="s">
        <v>446</v>
      </c>
      <c r="F840" t="str">
        <f t="shared" si="39"/>
        <v>Sin Mov.</v>
      </c>
      <c r="G840" t="str">
        <f>IF(+'Libro Diario'!H57=0,"",+'Libro Diario'!H57)</f>
        <v/>
      </c>
      <c r="H840" t="str">
        <f>IF(+'Libro Diario'!I57=0,"",+'Libro Diario'!I57)</f>
        <v/>
      </c>
      <c r="I840" t="str">
        <f>+IF(Table3[[#This Row],[Tipo Movimiento]]="Estructura Balance y PyG","Excluir","Incluir")</f>
        <v>Incluir</v>
      </c>
      <c r="J840" s="153">
        <f>+IF(Table3[[#This Row],[Sin cuenta]]="Con Mov.",(IF(Table3[[#This Row],[Movimiento]]="Debe",Table3[[#This Row],[Importe]],IF(Table3[[#This Row],[Movimiento]]="Haber",Table3[[#This Row],[Importe]]*-1,0))),0)</f>
        <v>0</v>
      </c>
      <c r="K840" s="145" t="str">
        <f t="shared" si="40"/>
        <v/>
      </c>
      <c r="L840" s="145" t="str">
        <f t="shared" si="41"/>
        <v>HABER</v>
      </c>
      <c r="M840" t="str">
        <f>_xlfn.XLOOKUP(Table3[[#This Row],[Cuenta]],Estructura_Balance[Nombre Cuenta ()],Estructura_Balance[Grupo],"",0)</f>
        <v/>
      </c>
      <c r="N840" t="str">
        <f>_xlfn.XLOOKUP(Table3[[#This Row],[Cuenta]],Estructura_Balance[Nombre Cuenta ()],Estructura_Balance[Nivel 1],"",0)</f>
        <v/>
      </c>
      <c r="O840" t="str">
        <f>_xlfn.XLOOKUP(Table3[[#This Row],[Cuenta]],Estructura_Balance[Nombre Cuenta ()],Estructura_Balance[Nivel 2],"",0)</f>
        <v/>
      </c>
      <c r="P840" t="str">
        <f>_xlfn.XLOOKUP(Table3[[#This Row],[Cuenta]],Estructura_Balance[Nombre Cuenta ()],Estructura_Balance[Nivel 3],"",0)</f>
        <v/>
      </c>
      <c r="Q840" t="str">
        <f>_xlfn.XLOOKUP(Table3[[#This Row],[Cuenta]],Estructura_Balance[Nombre Cuenta ()],Estructura_Balance[Nivel 4],"",0)</f>
        <v/>
      </c>
      <c r="R840" t="str">
        <f>_xlfn.XLOOKUP(Table3[[#This Row],[Cuenta]],Table8[Nombre Cuenta ()],Table8[Nivel 1],"",0)</f>
        <v/>
      </c>
      <c r="S840" t="str">
        <f>_xlfn.XLOOKUP(Table3[[#This Row],[Cuenta]],Table8[Nombre Cuenta ()],Table8[Nivel 2],"",0)</f>
        <v/>
      </c>
      <c r="T840" t="str">
        <f>_xlfn.XLOOKUP(Table3[[#This Row],[Cuenta]],Table8[Nombre Cuenta ()],Table8[Nivel 3],"",0)</f>
        <v/>
      </c>
      <c r="U840">
        <v>1352</v>
      </c>
      <c r="V840" t="str">
        <f>_xlfn.XLOOKUP(Table3[[#This Row],[Cuenta]],Estructura_Balance[Nombre Cuenta ()],Estructura_Balance[Niveles:2],"",0)</f>
        <v/>
      </c>
      <c r="W840" t="str">
        <f>_xlfn.XLOOKUP(Table3[[#This Row],[Cuenta]],Estructura_Balance[Nombre Cuenta ()],Estructura_Balance[Niveles:3],"",0)</f>
        <v/>
      </c>
      <c r="X840" t="str">
        <f>_xlfn.XLOOKUP(Table3[[#This Row],[Cuenta]],Estructura_Balance[Nombre Cuenta ()],Estructura_Balance[Grupos],"Grupo 1",0)</f>
        <v>Grupo 1</v>
      </c>
      <c r="Y840" t="str">
        <f>+Table3[[#This Row],[BS_Nivel_1]]</f>
        <v/>
      </c>
    </row>
    <row r="841" spans="1:25">
      <c r="A841">
        <f>+'Libro Diario'!F58</f>
        <v>0</v>
      </c>
      <c r="B841" s="144">
        <f>VALUE(IF(+'Libro Diario'!G58="","01/01/2025",+'Libro Diario'!G58))</f>
        <v>45658</v>
      </c>
      <c r="C841">
        <f>IF(ISNUMBER(+IF(IFERROR(VALUE(MID('Libro Diario'!D58,1,4)),0)&lt;&gt;0,'Libro Diario'!D58,0))=FALSE,'Libro Diario'!D58,0)</f>
        <v>0</v>
      </c>
      <c r="D841" s="145">
        <f>+'Libro Diario'!E58</f>
        <v>0</v>
      </c>
      <c r="E841" s="139" t="s">
        <v>446</v>
      </c>
      <c r="F841" t="str">
        <f t="shared" si="39"/>
        <v>Sin Mov.</v>
      </c>
      <c r="G841" t="str">
        <f>IF(+'Libro Diario'!H58=0,"",+'Libro Diario'!H58)</f>
        <v/>
      </c>
      <c r="H841" t="str">
        <f>IF(+'Libro Diario'!I58=0,"",+'Libro Diario'!I58)</f>
        <v/>
      </c>
      <c r="I841" t="str">
        <f>+IF(Table3[[#This Row],[Tipo Movimiento]]="Estructura Balance y PyG","Excluir","Incluir")</f>
        <v>Incluir</v>
      </c>
      <c r="J841" s="153">
        <f>+IF(Table3[[#This Row],[Sin cuenta]]="Con Mov.",(IF(Table3[[#This Row],[Movimiento]]="Debe",Table3[[#This Row],[Importe]],IF(Table3[[#This Row],[Movimiento]]="Haber",Table3[[#This Row],[Importe]]*-1,0))),0)</f>
        <v>0</v>
      </c>
      <c r="K841" s="145" t="str">
        <f t="shared" si="40"/>
        <v/>
      </c>
      <c r="L841" s="145">
        <f t="shared" si="41"/>
        <v>0</v>
      </c>
      <c r="M841" t="str">
        <f>_xlfn.XLOOKUP(Table3[[#This Row],[Cuenta]],Estructura_Balance[Nombre Cuenta ()],Estructura_Balance[Grupo],"",0)</f>
        <v/>
      </c>
      <c r="N841" t="str">
        <f>_xlfn.XLOOKUP(Table3[[#This Row],[Cuenta]],Estructura_Balance[Nombre Cuenta ()],Estructura_Balance[Nivel 1],"",0)</f>
        <v/>
      </c>
      <c r="O841" t="str">
        <f>_xlfn.XLOOKUP(Table3[[#This Row],[Cuenta]],Estructura_Balance[Nombre Cuenta ()],Estructura_Balance[Nivel 2],"",0)</f>
        <v/>
      </c>
      <c r="P841" t="str">
        <f>_xlfn.XLOOKUP(Table3[[#This Row],[Cuenta]],Estructura_Balance[Nombre Cuenta ()],Estructura_Balance[Nivel 3],"",0)</f>
        <v/>
      </c>
      <c r="Q841" t="str">
        <f>_xlfn.XLOOKUP(Table3[[#This Row],[Cuenta]],Estructura_Balance[Nombre Cuenta ()],Estructura_Balance[Nivel 4],"",0)</f>
        <v/>
      </c>
      <c r="R841" t="str">
        <f>_xlfn.XLOOKUP(Table3[[#This Row],[Cuenta]],Table8[Nombre Cuenta ()],Table8[Nivel 1],"",0)</f>
        <v/>
      </c>
      <c r="S841" t="str">
        <f>_xlfn.XLOOKUP(Table3[[#This Row],[Cuenta]],Table8[Nombre Cuenta ()],Table8[Nivel 2],"",0)</f>
        <v/>
      </c>
      <c r="T841" t="str">
        <f>_xlfn.XLOOKUP(Table3[[#This Row],[Cuenta]],Table8[Nombre Cuenta ()],Table8[Nivel 3],"",0)</f>
        <v/>
      </c>
      <c r="U841">
        <v>1353</v>
      </c>
      <c r="V841" t="str">
        <f>_xlfn.XLOOKUP(Table3[[#This Row],[Cuenta]],Estructura_Balance[Nombre Cuenta ()],Estructura_Balance[Niveles:2],"",0)</f>
        <v/>
      </c>
      <c r="W841" t="str">
        <f>_xlfn.XLOOKUP(Table3[[#This Row],[Cuenta]],Estructura_Balance[Nombre Cuenta ()],Estructura_Balance[Niveles:3],"",0)</f>
        <v/>
      </c>
      <c r="X841" t="str">
        <f>_xlfn.XLOOKUP(Table3[[#This Row],[Cuenta]],Estructura_Balance[Nombre Cuenta ()],Estructura_Balance[Grupos],"Grupo 1",0)</f>
        <v>Grupo 1</v>
      </c>
      <c r="Y841" t="str">
        <f>+Table3[[#This Row],[BS_Nivel_1]]</f>
        <v/>
      </c>
    </row>
    <row r="842" spans="1:25">
      <c r="A842">
        <f>+'Libro Diario'!F78</f>
        <v>0</v>
      </c>
      <c r="B842" s="144">
        <f>VALUE(IF(+'Libro Diario'!G78="","01/01/2025",+'Libro Diario'!G78))</f>
        <v>45658</v>
      </c>
      <c r="C842">
        <f>IF(ISNUMBER(+IF(IFERROR(VALUE(MID('Libro Diario'!D78,1,4)),0)&lt;&gt;0,'Libro Diario'!D78,0))=FALSE,'Libro Diario'!D78,0)</f>
        <v>0</v>
      </c>
      <c r="D842" s="145">
        <f>+'Libro Diario'!E78</f>
        <v>0</v>
      </c>
      <c r="E842" s="139" t="s">
        <v>446</v>
      </c>
      <c r="F842" t="str">
        <f t="shared" si="39"/>
        <v>Sin Mov.</v>
      </c>
      <c r="G842" t="str">
        <f>IF(+'Libro Diario'!H78=0,"",+'Libro Diario'!H78)</f>
        <v/>
      </c>
      <c r="H842" t="str">
        <f>IF(+'Libro Diario'!I78=0,"",+'Libro Diario'!I78)</f>
        <v/>
      </c>
      <c r="I842" t="str">
        <f>+IF(Table3[[#This Row],[Tipo Movimiento]]="Estructura Balance y PyG","Excluir","Incluir")</f>
        <v>Incluir</v>
      </c>
      <c r="J842" s="153">
        <f>+IF(Table3[[#This Row],[Sin cuenta]]="Con Mov.",(IF(Table3[[#This Row],[Movimiento]]="Debe",Table3[[#This Row],[Importe]],IF(Table3[[#This Row],[Movimiento]]="Haber",Table3[[#This Row],[Importe]]*-1,0))),0)</f>
        <v>0</v>
      </c>
      <c r="K842" s="145" t="str">
        <f t="shared" si="40"/>
        <v/>
      </c>
      <c r="L842" s="145">
        <f t="shared" si="41"/>
        <v>0</v>
      </c>
      <c r="M842" t="str">
        <f>_xlfn.XLOOKUP(Table3[[#This Row],[Cuenta]],Estructura_Balance[Nombre Cuenta ()],Estructura_Balance[Grupo],"",0)</f>
        <v/>
      </c>
      <c r="N842" t="str">
        <f>_xlfn.XLOOKUP(Table3[[#This Row],[Cuenta]],Estructura_Balance[Nombre Cuenta ()],Estructura_Balance[Nivel 1],"",0)</f>
        <v/>
      </c>
      <c r="O842" t="str">
        <f>_xlfn.XLOOKUP(Table3[[#This Row],[Cuenta]],Estructura_Balance[Nombre Cuenta ()],Estructura_Balance[Nivel 2],"",0)</f>
        <v/>
      </c>
      <c r="P842" t="str">
        <f>_xlfn.XLOOKUP(Table3[[#This Row],[Cuenta]],Estructura_Balance[Nombre Cuenta ()],Estructura_Balance[Nivel 3],"",0)</f>
        <v/>
      </c>
      <c r="Q842" t="str">
        <f>_xlfn.XLOOKUP(Table3[[#This Row],[Cuenta]],Estructura_Balance[Nombre Cuenta ()],Estructura_Balance[Nivel 4],"",0)</f>
        <v/>
      </c>
      <c r="R842" t="str">
        <f>_xlfn.XLOOKUP(Table3[[#This Row],[Cuenta]],Table8[Nombre Cuenta ()],Table8[Nivel 1],"",0)</f>
        <v/>
      </c>
      <c r="S842" t="str">
        <f>_xlfn.XLOOKUP(Table3[[#This Row],[Cuenta]],Table8[Nombre Cuenta ()],Table8[Nivel 2],"",0)</f>
        <v/>
      </c>
      <c r="T842" t="str">
        <f>_xlfn.XLOOKUP(Table3[[#This Row],[Cuenta]],Table8[Nombre Cuenta ()],Table8[Nivel 3],"",0)</f>
        <v/>
      </c>
      <c r="U842">
        <v>1384</v>
      </c>
      <c r="V842" t="str">
        <f>_xlfn.XLOOKUP(Table3[[#This Row],[Cuenta]],Estructura_Balance[Nombre Cuenta ()],Estructura_Balance[Niveles:2],"",0)</f>
        <v/>
      </c>
      <c r="W842" t="str">
        <f>_xlfn.XLOOKUP(Table3[[#This Row],[Cuenta]],Estructura_Balance[Nombre Cuenta ()],Estructura_Balance[Niveles:3],"",0)</f>
        <v/>
      </c>
      <c r="X842" t="str">
        <f>_xlfn.XLOOKUP(Table3[[#This Row],[Cuenta]],Estructura_Balance[Nombre Cuenta ()],Estructura_Balance[Grupos],"Grupo 1",0)</f>
        <v>Grupo 1</v>
      </c>
      <c r="Y842" t="str">
        <f>+Table3[[#This Row],[BS_Nivel_1]]</f>
        <v/>
      </c>
    </row>
    <row r="843" spans="1:25">
      <c r="A843">
        <f>+'Libro Diario'!F79</f>
        <v>0</v>
      </c>
      <c r="B843" s="144">
        <f>VALUE(IF(+'Libro Diario'!G79="","01/01/2025",+'Libro Diario'!G79))</f>
        <v>45658</v>
      </c>
      <c r="C843">
        <f>IF(ISNUMBER(+IF(IFERROR(VALUE(MID('Libro Diario'!D79,1,4)),0)&lt;&gt;0,'Libro Diario'!D79,0))=FALSE,'Libro Diario'!D79,0)</f>
        <v>0</v>
      </c>
      <c r="D843" s="145">
        <f>+'Libro Diario'!E79</f>
        <v>0</v>
      </c>
      <c r="E843" s="139" t="s">
        <v>446</v>
      </c>
      <c r="F843" t="str">
        <f t="shared" si="39"/>
        <v>Sin Mov.</v>
      </c>
      <c r="G843" t="str">
        <f>IF(+'Libro Diario'!H79=0,"",+'Libro Diario'!H79)</f>
        <v/>
      </c>
      <c r="H843" t="str">
        <f>IF(+'Libro Diario'!I79=0,"",+'Libro Diario'!I79)</f>
        <v/>
      </c>
      <c r="I843" t="str">
        <f>+IF(Table3[[#This Row],[Tipo Movimiento]]="Estructura Balance y PyG","Excluir","Incluir")</f>
        <v>Incluir</v>
      </c>
      <c r="J843" s="153">
        <f>+IF(Table3[[#This Row],[Sin cuenta]]="Con Mov.",(IF(Table3[[#This Row],[Movimiento]]="Debe",Table3[[#This Row],[Importe]],IF(Table3[[#This Row],[Movimiento]]="Haber",Table3[[#This Row],[Importe]]*-1,0))),0)</f>
        <v>0</v>
      </c>
      <c r="K843" s="145" t="str">
        <f t="shared" si="40"/>
        <v/>
      </c>
      <c r="L843" s="145">
        <f t="shared" si="41"/>
        <v>0</v>
      </c>
      <c r="M843" t="str">
        <f>_xlfn.XLOOKUP(Table3[[#This Row],[Cuenta]],Estructura_Balance[Nombre Cuenta ()],Estructura_Balance[Grupo],"",0)</f>
        <v/>
      </c>
      <c r="N843" t="str">
        <f>_xlfn.XLOOKUP(Table3[[#This Row],[Cuenta]],Estructura_Balance[Nombre Cuenta ()],Estructura_Balance[Nivel 1],"",0)</f>
        <v/>
      </c>
      <c r="O843" t="str">
        <f>_xlfn.XLOOKUP(Table3[[#This Row],[Cuenta]],Estructura_Balance[Nombre Cuenta ()],Estructura_Balance[Nivel 2],"",0)</f>
        <v/>
      </c>
      <c r="P843" t="str">
        <f>_xlfn.XLOOKUP(Table3[[#This Row],[Cuenta]],Estructura_Balance[Nombre Cuenta ()],Estructura_Balance[Nivel 3],"",0)</f>
        <v/>
      </c>
      <c r="Q843" t="str">
        <f>_xlfn.XLOOKUP(Table3[[#This Row],[Cuenta]],Estructura_Balance[Nombre Cuenta ()],Estructura_Balance[Nivel 4],"",0)</f>
        <v/>
      </c>
      <c r="R843" t="str">
        <f>_xlfn.XLOOKUP(Table3[[#This Row],[Cuenta]],Table8[Nombre Cuenta ()],Table8[Nivel 1],"",0)</f>
        <v/>
      </c>
      <c r="S843" t="str">
        <f>_xlfn.XLOOKUP(Table3[[#This Row],[Cuenta]],Table8[Nombre Cuenta ()],Table8[Nivel 2],"",0)</f>
        <v/>
      </c>
      <c r="T843" t="str">
        <f>_xlfn.XLOOKUP(Table3[[#This Row],[Cuenta]],Table8[Nombre Cuenta ()],Table8[Nivel 3],"",0)</f>
        <v/>
      </c>
      <c r="U843">
        <v>1385</v>
      </c>
      <c r="V843" t="str">
        <f>_xlfn.XLOOKUP(Table3[[#This Row],[Cuenta]],Estructura_Balance[Nombre Cuenta ()],Estructura_Balance[Niveles:2],"",0)</f>
        <v/>
      </c>
      <c r="W843" t="str">
        <f>_xlfn.XLOOKUP(Table3[[#This Row],[Cuenta]],Estructura_Balance[Nombre Cuenta ()],Estructura_Balance[Niveles:3],"",0)</f>
        <v/>
      </c>
      <c r="X843" t="str">
        <f>_xlfn.XLOOKUP(Table3[[#This Row],[Cuenta]],Estructura_Balance[Nombre Cuenta ()],Estructura_Balance[Grupos],"Grupo 1",0)</f>
        <v>Grupo 1</v>
      </c>
      <c r="Y843" t="str">
        <f>+Table3[[#This Row],[BS_Nivel_1]]</f>
        <v/>
      </c>
    </row>
    <row r="844" spans="1:25">
      <c r="A844">
        <f>+'Libro Diario'!F80</f>
        <v>0</v>
      </c>
      <c r="B844" s="144">
        <f>VALUE(IF(+'Libro Diario'!G80="","01/01/2025",+'Libro Diario'!G80))</f>
        <v>45658</v>
      </c>
      <c r="C844">
        <f>IF(ISNUMBER(+IF(IFERROR(VALUE(MID('Libro Diario'!D80,1,4)),0)&lt;&gt;0,'Libro Diario'!D80,0))=FALSE,'Libro Diario'!D80,0)</f>
        <v>0</v>
      </c>
      <c r="D844" s="145">
        <f>+'Libro Diario'!E80</f>
        <v>0</v>
      </c>
      <c r="E844" s="139" t="s">
        <v>446</v>
      </c>
      <c r="F844" t="str">
        <f t="shared" si="39"/>
        <v>Sin Mov.</v>
      </c>
      <c r="G844" t="str">
        <f>IF(+'Libro Diario'!H80=0,"",+'Libro Diario'!H80)</f>
        <v/>
      </c>
      <c r="H844" t="str">
        <f>IF(+'Libro Diario'!I80=0,"",+'Libro Diario'!I80)</f>
        <v/>
      </c>
      <c r="I844" t="str">
        <f>+IF(Table3[[#This Row],[Tipo Movimiento]]="Estructura Balance y PyG","Excluir","Incluir")</f>
        <v>Incluir</v>
      </c>
      <c r="J844" s="153">
        <f>+IF(Table3[[#This Row],[Sin cuenta]]="Con Mov.",(IF(Table3[[#This Row],[Movimiento]]="Debe",Table3[[#This Row],[Importe]],IF(Table3[[#This Row],[Movimiento]]="Haber",Table3[[#This Row],[Importe]]*-1,0))),0)</f>
        <v>0</v>
      </c>
      <c r="K844" s="145" t="str">
        <f t="shared" si="40"/>
        <v/>
      </c>
      <c r="L844" s="145">
        <f t="shared" si="41"/>
        <v>0</v>
      </c>
      <c r="M844" t="str">
        <f>_xlfn.XLOOKUP(Table3[[#This Row],[Cuenta]],Estructura_Balance[Nombre Cuenta ()],Estructura_Balance[Grupo],"",0)</f>
        <v/>
      </c>
      <c r="N844" t="str">
        <f>_xlfn.XLOOKUP(Table3[[#This Row],[Cuenta]],Estructura_Balance[Nombre Cuenta ()],Estructura_Balance[Nivel 1],"",0)</f>
        <v/>
      </c>
      <c r="O844" t="str">
        <f>_xlfn.XLOOKUP(Table3[[#This Row],[Cuenta]],Estructura_Balance[Nombre Cuenta ()],Estructura_Balance[Nivel 2],"",0)</f>
        <v/>
      </c>
      <c r="P844" t="str">
        <f>_xlfn.XLOOKUP(Table3[[#This Row],[Cuenta]],Estructura_Balance[Nombre Cuenta ()],Estructura_Balance[Nivel 3],"",0)</f>
        <v/>
      </c>
      <c r="Q844" t="str">
        <f>_xlfn.XLOOKUP(Table3[[#This Row],[Cuenta]],Estructura_Balance[Nombre Cuenta ()],Estructura_Balance[Nivel 4],"",0)</f>
        <v/>
      </c>
      <c r="R844" t="str">
        <f>_xlfn.XLOOKUP(Table3[[#This Row],[Cuenta]],Table8[Nombre Cuenta ()],Table8[Nivel 1],"",0)</f>
        <v/>
      </c>
      <c r="S844" t="str">
        <f>_xlfn.XLOOKUP(Table3[[#This Row],[Cuenta]],Table8[Nombre Cuenta ()],Table8[Nivel 2],"",0)</f>
        <v/>
      </c>
      <c r="T844" t="str">
        <f>_xlfn.XLOOKUP(Table3[[#This Row],[Cuenta]],Table8[Nombre Cuenta ()],Table8[Nivel 3],"",0)</f>
        <v/>
      </c>
      <c r="U844">
        <v>1388</v>
      </c>
      <c r="V844" t="str">
        <f>_xlfn.XLOOKUP(Table3[[#This Row],[Cuenta]],Estructura_Balance[Nombre Cuenta ()],Estructura_Balance[Niveles:2],"",0)</f>
        <v/>
      </c>
      <c r="W844" t="str">
        <f>_xlfn.XLOOKUP(Table3[[#This Row],[Cuenta]],Estructura_Balance[Nombre Cuenta ()],Estructura_Balance[Niveles:3],"",0)</f>
        <v/>
      </c>
      <c r="X844" t="str">
        <f>_xlfn.XLOOKUP(Table3[[#This Row],[Cuenta]],Estructura_Balance[Nombre Cuenta ()],Estructura_Balance[Grupos],"Grupo 1",0)</f>
        <v>Grupo 1</v>
      </c>
      <c r="Y844" t="str">
        <f>+Table3[[#This Row],[BS_Nivel_1]]</f>
        <v/>
      </c>
    </row>
    <row r="845" spans="1:25">
      <c r="A845">
        <f>+'Libro Diario'!F81</f>
        <v>0</v>
      </c>
      <c r="B845" s="144">
        <f>VALUE(IF(+'Libro Diario'!G81="","01/01/2025",+'Libro Diario'!G81))</f>
        <v>45658</v>
      </c>
      <c r="C845">
        <f>IF(ISNUMBER(+IF(IFERROR(VALUE(MID('Libro Diario'!D81,1,4)),0)&lt;&gt;0,'Libro Diario'!D81,0))=FALSE,'Libro Diario'!D81,0)</f>
        <v>0</v>
      </c>
      <c r="D845" s="145" t="str">
        <f>+'Libro Diario'!E81</f>
        <v>HABER</v>
      </c>
      <c r="E845" s="139" t="s">
        <v>446</v>
      </c>
      <c r="F845" t="str">
        <f t="shared" si="39"/>
        <v>Sin Mov.</v>
      </c>
      <c r="G845" t="str">
        <f>IF(+'Libro Diario'!H81=0,"",+'Libro Diario'!H81)</f>
        <v/>
      </c>
      <c r="H845" t="str">
        <f>IF(+'Libro Diario'!I81=0,"",+'Libro Diario'!I81)</f>
        <v/>
      </c>
      <c r="I845" t="str">
        <f>+IF(Table3[[#This Row],[Tipo Movimiento]]="Estructura Balance y PyG","Excluir","Incluir")</f>
        <v>Incluir</v>
      </c>
      <c r="J845" s="153">
        <f>+IF(Table3[[#This Row],[Sin cuenta]]="Con Mov.",(IF(Table3[[#This Row],[Movimiento]]="Debe",Table3[[#This Row],[Importe]],IF(Table3[[#This Row],[Movimiento]]="Haber",Table3[[#This Row],[Importe]]*-1,0))),0)</f>
        <v>0</v>
      </c>
      <c r="K845" s="145" t="str">
        <f t="shared" si="40"/>
        <v/>
      </c>
      <c r="L845" s="145" t="str">
        <f t="shared" si="41"/>
        <v>HABER</v>
      </c>
      <c r="M845" t="str">
        <f>_xlfn.XLOOKUP(Table3[[#This Row],[Cuenta]],Estructura_Balance[Nombre Cuenta ()],Estructura_Balance[Grupo],"",0)</f>
        <v/>
      </c>
      <c r="N845" t="str">
        <f>_xlfn.XLOOKUP(Table3[[#This Row],[Cuenta]],Estructura_Balance[Nombre Cuenta ()],Estructura_Balance[Nivel 1],"",0)</f>
        <v/>
      </c>
      <c r="O845" t="str">
        <f>_xlfn.XLOOKUP(Table3[[#This Row],[Cuenta]],Estructura_Balance[Nombre Cuenta ()],Estructura_Balance[Nivel 2],"",0)</f>
        <v/>
      </c>
      <c r="P845" t="str">
        <f>_xlfn.XLOOKUP(Table3[[#This Row],[Cuenta]],Estructura_Balance[Nombre Cuenta ()],Estructura_Balance[Nivel 3],"",0)</f>
        <v/>
      </c>
      <c r="Q845" t="str">
        <f>_xlfn.XLOOKUP(Table3[[#This Row],[Cuenta]],Estructura_Balance[Nombre Cuenta ()],Estructura_Balance[Nivel 4],"",0)</f>
        <v/>
      </c>
      <c r="R845" t="str">
        <f>_xlfn.XLOOKUP(Table3[[#This Row],[Cuenta]],Table8[Nombre Cuenta ()],Table8[Nivel 1],"",0)</f>
        <v/>
      </c>
      <c r="S845" t="str">
        <f>_xlfn.XLOOKUP(Table3[[#This Row],[Cuenta]],Table8[Nombre Cuenta ()],Table8[Nivel 2],"",0)</f>
        <v/>
      </c>
      <c r="T845" t="str">
        <f>_xlfn.XLOOKUP(Table3[[#This Row],[Cuenta]],Table8[Nombre Cuenta ()],Table8[Nivel 3],"",0)</f>
        <v/>
      </c>
      <c r="U845">
        <v>1389</v>
      </c>
      <c r="V845" t="str">
        <f>_xlfn.XLOOKUP(Table3[[#This Row],[Cuenta]],Estructura_Balance[Nombre Cuenta ()],Estructura_Balance[Niveles:2],"",0)</f>
        <v/>
      </c>
      <c r="W845" t="str">
        <f>_xlfn.XLOOKUP(Table3[[#This Row],[Cuenta]],Estructura_Balance[Nombre Cuenta ()],Estructura_Balance[Niveles:3],"",0)</f>
        <v/>
      </c>
      <c r="X845" t="str">
        <f>_xlfn.XLOOKUP(Table3[[#This Row],[Cuenta]],Estructura_Balance[Nombre Cuenta ()],Estructura_Balance[Grupos],"Grupo 1",0)</f>
        <v>Grupo 1</v>
      </c>
      <c r="Y845" t="str">
        <f>+Table3[[#This Row],[BS_Nivel_1]]</f>
        <v/>
      </c>
    </row>
    <row r="846" spans="1:25">
      <c r="A846">
        <f>+'Libro Diario'!F82</f>
        <v>0</v>
      </c>
      <c r="B846" s="144">
        <f>VALUE(IF(+'Libro Diario'!G82="","01/01/2025",+'Libro Diario'!G82))</f>
        <v>45658</v>
      </c>
      <c r="C846">
        <f>IF(ISNUMBER(+IF(IFERROR(VALUE(MID('Libro Diario'!D82,1,4)),0)&lt;&gt;0,'Libro Diario'!D82,0))=FALSE,'Libro Diario'!D82,0)</f>
        <v>0</v>
      </c>
      <c r="D846" s="145">
        <f>+'Libro Diario'!E82</f>
        <v>0</v>
      </c>
      <c r="E846" s="139" t="s">
        <v>446</v>
      </c>
      <c r="F846" t="str">
        <f t="shared" si="39"/>
        <v>Sin Mov.</v>
      </c>
      <c r="G846" t="str">
        <f>IF(+'Libro Diario'!H82=0,"",+'Libro Diario'!H82)</f>
        <v/>
      </c>
      <c r="H846" t="str">
        <f>IF(+'Libro Diario'!I82=0,"",+'Libro Diario'!I82)</f>
        <v/>
      </c>
      <c r="I846" t="str">
        <f>+IF(Table3[[#This Row],[Tipo Movimiento]]="Estructura Balance y PyG","Excluir","Incluir")</f>
        <v>Incluir</v>
      </c>
      <c r="J846" s="153">
        <f>+IF(Table3[[#This Row],[Sin cuenta]]="Con Mov.",(IF(Table3[[#This Row],[Movimiento]]="Debe",Table3[[#This Row],[Importe]],IF(Table3[[#This Row],[Movimiento]]="Haber",Table3[[#This Row],[Importe]]*-1,0))),0)</f>
        <v>0</v>
      </c>
      <c r="K846" s="145" t="str">
        <f t="shared" si="40"/>
        <v/>
      </c>
      <c r="L846" s="145">
        <f t="shared" si="41"/>
        <v>0</v>
      </c>
      <c r="M846" t="str">
        <f>_xlfn.XLOOKUP(Table3[[#This Row],[Cuenta]],Estructura_Balance[Nombre Cuenta ()],Estructura_Balance[Grupo],"",0)</f>
        <v/>
      </c>
      <c r="N846" t="str">
        <f>_xlfn.XLOOKUP(Table3[[#This Row],[Cuenta]],Estructura_Balance[Nombre Cuenta ()],Estructura_Balance[Nivel 1],"",0)</f>
        <v/>
      </c>
      <c r="O846" t="str">
        <f>_xlfn.XLOOKUP(Table3[[#This Row],[Cuenta]],Estructura_Balance[Nombre Cuenta ()],Estructura_Balance[Nivel 2],"",0)</f>
        <v/>
      </c>
      <c r="P846" t="str">
        <f>_xlfn.XLOOKUP(Table3[[#This Row],[Cuenta]],Estructura_Balance[Nombre Cuenta ()],Estructura_Balance[Nivel 3],"",0)</f>
        <v/>
      </c>
      <c r="Q846" t="str">
        <f>_xlfn.XLOOKUP(Table3[[#This Row],[Cuenta]],Estructura_Balance[Nombre Cuenta ()],Estructura_Balance[Nivel 4],"",0)</f>
        <v/>
      </c>
      <c r="R846" t="str">
        <f>_xlfn.XLOOKUP(Table3[[#This Row],[Cuenta]],Table8[Nombre Cuenta ()],Table8[Nivel 1],"",0)</f>
        <v/>
      </c>
      <c r="S846" t="str">
        <f>_xlfn.XLOOKUP(Table3[[#This Row],[Cuenta]],Table8[Nombre Cuenta ()],Table8[Nivel 2],"",0)</f>
        <v/>
      </c>
      <c r="T846" t="str">
        <f>_xlfn.XLOOKUP(Table3[[#This Row],[Cuenta]],Table8[Nombre Cuenta ()],Table8[Nivel 3],"",0)</f>
        <v/>
      </c>
      <c r="U846">
        <v>1390</v>
      </c>
      <c r="V846" t="str">
        <f>_xlfn.XLOOKUP(Table3[[#This Row],[Cuenta]],Estructura_Balance[Nombre Cuenta ()],Estructura_Balance[Niveles:2],"",0)</f>
        <v/>
      </c>
      <c r="W846" t="str">
        <f>_xlfn.XLOOKUP(Table3[[#This Row],[Cuenta]],Estructura_Balance[Nombre Cuenta ()],Estructura_Balance[Niveles:3],"",0)</f>
        <v/>
      </c>
      <c r="X846" t="str">
        <f>_xlfn.XLOOKUP(Table3[[#This Row],[Cuenta]],Estructura_Balance[Nombre Cuenta ()],Estructura_Balance[Grupos],"Grupo 1",0)</f>
        <v>Grupo 1</v>
      </c>
      <c r="Y846" t="str">
        <f>+Table3[[#This Row],[BS_Nivel_1]]</f>
        <v/>
      </c>
    </row>
    <row r="847" spans="1:25">
      <c r="A847">
        <f>+'Libro Diario'!F85</f>
        <v>0</v>
      </c>
      <c r="B847" s="144">
        <f>VALUE(IF(+'Libro Diario'!G85="","01/01/2025",+'Libro Diario'!G85))</f>
        <v>45658</v>
      </c>
      <c r="C847">
        <f>IF(ISNUMBER(+IF(IFERROR(VALUE(MID('Libro Diario'!D85,1,4)),0)&lt;&gt;0,'Libro Diario'!D85,0))=FALSE,'Libro Diario'!D85,0)</f>
        <v>0</v>
      </c>
      <c r="D847" s="145">
        <f>+'Libro Diario'!E85</f>
        <v>0</v>
      </c>
      <c r="E847" s="139" t="s">
        <v>446</v>
      </c>
      <c r="F847" t="str">
        <f t="shared" si="39"/>
        <v>Sin Mov.</v>
      </c>
      <c r="G847" t="str">
        <f>IF(+'Libro Diario'!H85=0,"",+'Libro Diario'!H85)</f>
        <v/>
      </c>
      <c r="H847" t="str">
        <f>IF(+'Libro Diario'!I85=0,"",+'Libro Diario'!I85)</f>
        <v/>
      </c>
      <c r="I847" t="str">
        <f>+IF(Table3[[#This Row],[Tipo Movimiento]]="Estructura Balance y PyG","Excluir","Incluir")</f>
        <v>Incluir</v>
      </c>
      <c r="J847" s="153">
        <f>+IF(Table3[[#This Row],[Sin cuenta]]="Con Mov.",(IF(Table3[[#This Row],[Movimiento]]="Debe",Table3[[#This Row],[Importe]],IF(Table3[[#This Row],[Movimiento]]="Haber",Table3[[#This Row],[Importe]]*-1,0))),0)</f>
        <v>0</v>
      </c>
      <c r="K847" s="145" t="str">
        <f t="shared" si="40"/>
        <v/>
      </c>
      <c r="L847" s="145">
        <f t="shared" si="41"/>
        <v>0</v>
      </c>
      <c r="M847" t="str">
        <f>_xlfn.XLOOKUP(Table3[[#This Row],[Cuenta]],Estructura_Balance[Nombre Cuenta ()],Estructura_Balance[Grupo],"",0)</f>
        <v/>
      </c>
      <c r="N847" t="str">
        <f>_xlfn.XLOOKUP(Table3[[#This Row],[Cuenta]],Estructura_Balance[Nombre Cuenta ()],Estructura_Balance[Nivel 1],"",0)</f>
        <v/>
      </c>
      <c r="O847" t="str">
        <f>_xlfn.XLOOKUP(Table3[[#This Row],[Cuenta]],Estructura_Balance[Nombre Cuenta ()],Estructura_Balance[Nivel 2],"",0)</f>
        <v/>
      </c>
      <c r="P847" t="str">
        <f>_xlfn.XLOOKUP(Table3[[#This Row],[Cuenta]],Estructura_Balance[Nombre Cuenta ()],Estructura_Balance[Nivel 3],"",0)</f>
        <v/>
      </c>
      <c r="Q847" t="str">
        <f>_xlfn.XLOOKUP(Table3[[#This Row],[Cuenta]],Estructura_Balance[Nombre Cuenta ()],Estructura_Balance[Nivel 4],"",0)</f>
        <v/>
      </c>
      <c r="R847" t="str">
        <f>_xlfn.XLOOKUP(Table3[[#This Row],[Cuenta]],Table8[Nombre Cuenta ()],Table8[Nivel 1],"",0)</f>
        <v/>
      </c>
      <c r="S847" t="str">
        <f>_xlfn.XLOOKUP(Table3[[#This Row],[Cuenta]],Table8[Nombre Cuenta ()],Table8[Nivel 2],"",0)</f>
        <v/>
      </c>
      <c r="T847" t="str">
        <f>_xlfn.XLOOKUP(Table3[[#This Row],[Cuenta]],Table8[Nombre Cuenta ()],Table8[Nivel 3],"",0)</f>
        <v/>
      </c>
      <c r="U847">
        <v>1395</v>
      </c>
      <c r="V847" t="str">
        <f>_xlfn.XLOOKUP(Table3[[#This Row],[Cuenta]],Estructura_Balance[Nombre Cuenta ()],Estructura_Balance[Niveles:2],"",0)</f>
        <v/>
      </c>
      <c r="W847" t="str">
        <f>_xlfn.XLOOKUP(Table3[[#This Row],[Cuenta]],Estructura_Balance[Nombre Cuenta ()],Estructura_Balance[Niveles:3],"",0)</f>
        <v/>
      </c>
      <c r="X847" t="str">
        <f>_xlfn.XLOOKUP(Table3[[#This Row],[Cuenta]],Estructura_Balance[Nombre Cuenta ()],Estructura_Balance[Grupos],"Grupo 1",0)</f>
        <v>Grupo 1</v>
      </c>
      <c r="Y847" t="str">
        <f>+Table3[[#This Row],[BS_Nivel_1]]</f>
        <v/>
      </c>
    </row>
    <row r="848" spans="1:25">
      <c r="A848">
        <f>+'Libro Diario'!F86</f>
        <v>0</v>
      </c>
      <c r="B848" s="144">
        <f>VALUE(IF(+'Libro Diario'!G86="","01/01/2025",+'Libro Diario'!G86))</f>
        <v>45658</v>
      </c>
      <c r="C848">
        <f>IF(ISNUMBER(+IF(IFERROR(VALUE(MID('Libro Diario'!D86,1,4)),0)&lt;&gt;0,'Libro Diario'!D86,0))=FALSE,'Libro Diario'!D86,0)</f>
        <v>0</v>
      </c>
      <c r="D848" s="145">
        <f>+'Libro Diario'!E86</f>
        <v>0</v>
      </c>
      <c r="E848" s="139" t="s">
        <v>446</v>
      </c>
      <c r="F848" t="str">
        <f t="shared" si="39"/>
        <v>Sin Mov.</v>
      </c>
      <c r="G848" t="str">
        <f>IF(+'Libro Diario'!H86=0,"",+'Libro Diario'!H86)</f>
        <v/>
      </c>
      <c r="H848" t="str">
        <f>IF(+'Libro Diario'!I86=0,"",+'Libro Diario'!I86)</f>
        <v/>
      </c>
      <c r="I848" t="str">
        <f>+IF(Table3[[#This Row],[Tipo Movimiento]]="Estructura Balance y PyG","Excluir","Incluir")</f>
        <v>Incluir</v>
      </c>
      <c r="J848" s="153">
        <f>+IF(Table3[[#This Row],[Sin cuenta]]="Con Mov.",(IF(Table3[[#This Row],[Movimiento]]="Debe",Table3[[#This Row],[Importe]],IF(Table3[[#This Row],[Movimiento]]="Haber",Table3[[#This Row],[Importe]]*-1,0))),0)</f>
        <v>0</v>
      </c>
      <c r="K848" s="145" t="str">
        <f t="shared" si="40"/>
        <v/>
      </c>
      <c r="L848" s="145">
        <f t="shared" si="41"/>
        <v>0</v>
      </c>
      <c r="M848" t="str">
        <f>_xlfn.XLOOKUP(Table3[[#This Row],[Cuenta]],Estructura_Balance[Nombre Cuenta ()],Estructura_Balance[Grupo],"",0)</f>
        <v/>
      </c>
      <c r="N848" t="str">
        <f>_xlfn.XLOOKUP(Table3[[#This Row],[Cuenta]],Estructura_Balance[Nombre Cuenta ()],Estructura_Balance[Nivel 1],"",0)</f>
        <v/>
      </c>
      <c r="O848" t="str">
        <f>_xlfn.XLOOKUP(Table3[[#This Row],[Cuenta]],Estructura_Balance[Nombre Cuenta ()],Estructura_Balance[Nivel 2],"",0)</f>
        <v/>
      </c>
      <c r="P848" t="str">
        <f>_xlfn.XLOOKUP(Table3[[#This Row],[Cuenta]],Estructura_Balance[Nombre Cuenta ()],Estructura_Balance[Nivel 3],"",0)</f>
        <v/>
      </c>
      <c r="Q848" t="str">
        <f>_xlfn.XLOOKUP(Table3[[#This Row],[Cuenta]],Estructura_Balance[Nombre Cuenta ()],Estructura_Balance[Nivel 4],"",0)</f>
        <v/>
      </c>
      <c r="R848" t="str">
        <f>_xlfn.XLOOKUP(Table3[[#This Row],[Cuenta]],Table8[Nombre Cuenta ()],Table8[Nivel 1],"",0)</f>
        <v/>
      </c>
      <c r="S848" t="str">
        <f>_xlfn.XLOOKUP(Table3[[#This Row],[Cuenta]],Table8[Nombre Cuenta ()],Table8[Nivel 2],"",0)</f>
        <v/>
      </c>
      <c r="T848" t="str">
        <f>_xlfn.XLOOKUP(Table3[[#This Row],[Cuenta]],Table8[Nombre Cuenta ()],Table8[Nivel 3],"",0)</f>
        <v/>
      </c>
      <c r="U848">
        <v>1396</v>
      </c>
      <c r="V848" t="str">
        <f>_xlfn.XLOOKUP(Table3[[#This Row],[Cuenta]],Estructura_Balance[Nombre Cuenta ()],Estructura_Balance[Niveles:2],"",0)</f>
        <v/>
      </c>
      <c r="W848" t="str">
        <f>_xlfn.XLOOKUP(Table3[[#This Row],[Cuenta]],Estructura_Balance[Nombre Cuenta ()],Estructura_Balance[Niveles:3],"",0)</f>
        <v/>
      </c>
      <c r="X848" t="str">
        <f>_xlfn.XLOOKUP(Table3[[#This Row],[Cuenta]],Estructura_Balance[Nombre Cuenta ()],Estructura_Balance[Grupos],"Grupo 1",0)</f>
        <v>Grupo 1</v>
      </c>
      <c r="Y848" t="str">
        <f>+Table3[[#This Row],[BS_Nivel_1]]</f>
        <v/>
      </c>
    </row>
    <row r="849" spans="1:25">
      <c r="A849">
        <f>+'Libro Diario'!F87</f>
        <v>0</v>
      </c>
      <c r="B849" s="144">
        <f>VALUE(IF(+'Libro Diario'!G87="","01/01/2025",+'Libro Diario'!G87))</f>
        <v>45658</v>
      </c>
      <c r="C849">
        <f>IF(ISNUMBER(+IF(IFERROR(VALUE(MID('Libro Diario'!D87,1,4)),0)&lt;&gt;0,'Libro Diario'!D87,0))=FALSE,'Libro Diario'!D87,0)</f>
        <v>0</v>
      </c>
      <c r="D849" s="145">
        <f>+'Libro Diario'!E87</f>
        <v>0</v>
      </c>
      <c r="E849" s="139" t="s">
        <v>446</v>
      </c>
      <c r="F849" t="str">
        <f t="shared" si="39"/>
        <v>Sin Mov.</v>
      </c>
      <c r="G849" t="str">
        <f>IF(+'Libro Diario'!H87=0,"",+'Libro Diario'!H87)</f>
        <v/>
      </c>
      <c r="H849" t="str">
        <f>IF(+'Libro Diario'!I87=0,"",+'Libro Diario'!I87)</f>
        <v/>
      </c>
      <c r="I849" t="str">
        <f>+IF(Table3[[#This Row],[Tipo Movimiento]]="Estructura Balance y PyG","Excluir","Incluir")</f>
        <v>Incluir</v>
      </c>
      <c r="J849" s="153">
        <f>+IF(Table3[[#This Row],[Sin cuenta]]="Con Mov.",(IF(Table3[[#This Row],[Movimiento]]="Debe",Table3[[#This Row],[Importe]],IF(Table3[[#This Row],[Movimiento]]="Haber",Table3[[#This Row],[Importe]]*-1,0))),0)</f>
        <v>0</v>
      </c>
      <c r="K849" s="145" t="str">
        <f t="shared" si="40"/>
        <v/>
      </c>
      <c r="L849" s="145">
        <f t="shared" si="41"/>
        <v>0</v>
      </c>
      <c r="M849" t="str">
        <f>_xlfn.XLOOKUP(Table3[[#This Row],[Cuenta]],Estructura_Balance[Nombre Cuenta ()],Estructura_Balance[Grupo],"",0)</f>
        <v/>
      </c>
      <c r="N849" t="str">
        <f>_xlfn.XLOOKUP(Table3[[#This Row],[Cuenta]],Estructura_Balance[Nombre Cuenta ()],Estructura_Balance[Nivel 1],"",0)</f>
        <v/>
      </c>
      <c r="O849" t="str">
        <f>_xlfn.XLOOKUP(Table3[[#This Row],[Cuenta]],Estructura_Balance[Nombre Cuenta ()],Estructura_Balance[Nivel 2],"",0)</f>
        <v/>
      </c>
      <c r="P849" t="str">
        <f>_xlfn.XLOOKUP(Table3[[#This Row],[Cuenta]],Estructura_Balance[Nombre Cuenta ()],Estructura_Balance[Nivel 3],"",0)</f>
        <v/>
      </c>
      <c r="Q849" t="str">
        <f>_xlfn.XLOOKUP(Table3[[#This Row],[Cuenta]],Estructura_Balance[Nombre Cuenta ()],Estructura_Balance[Nivel 4],"",0)</f>
        <v/>
      </c>
      <c r="R849" t="str">
        <f>_xlfn.XLOOKUP(Table3[[#This Row],[Cuenta]],Table8[Nombre Cuenta ()],Table8[Nivel 1],"",0)</f>
        <v/>
      </c>
      <c r="S849" t="str">
        <f>_xlfn.XLOOKUP(Table3[[#This Row],[Cuenta]],Table8[Nombre Cuenta ()],Table8[Nivel 2],"",0)</f>
        <v/>
      </c>
      <c r="T849" t="str">
        <f>_xlfn.XLOOKUP(Table3[[#This Row],[Cuenta]],Table8[Nombre Cuenta ()],Table8[Nivel 3],"",0)</f>
        <v/>
      </c>
      <c r="U849">
        <v>1397</v>
      </c>
      <c r="V849" t="str">
        <f>_xlfn.XLOOKUP(Table3[[#This Row],[Cuenta]],Estructura_Balance[Nombre Cuenta ()],Estructura_Balance[Niveles:2],"",0)</f>
        <v/>
      </c>
      <c r="W849" t="str">
        <f>_xlfn.XLOOKUP(Table3[[#This Row],[Cuenta]],Estructura_Balance[Nombre Cuenta ()],Estructura_Balance[Niveles:3],"",0)</f>
        <v/>
      </c>
      <c r="X849" t="str">
        <f>_xlfn.XLOOKUP(Table3[[#This Row],[Cuenta]],Estructura_Balance[Nombre Cuenta ()],Estructura_Balance[Grupos],"Grupo 1",0)</f>
        <v>Grupo 1</v>
      </c>
      <c r="Y849" t="str">
        <f>+Table3[[#This Row],[BS_Nivel_1]]</f>
        <v/>
      </c>
    </row>
    <row r="850" spans="1:25">
      <c r="A850">
        <f>+'Libro Diario'!F88</f>
        <v>0</v>
      </c>
      <c r="B850" s="144">
        <f>VALUE(IF(+'Libro Diario'!G88="","01/01/2025",+'Libro Diario'!G88))</f>
        <v>45658</v>
      </c>
      <c r="C850">
        <f>IF(ISNUMBER(+IF(IFERROR(VALUE(MID('Libro Diario'!D88,1,4)),0)&lt;&gt;0,'Libro Diario'!D88,0))=FALSE,'Libro Diario'!D88,0)</f>
        <v>0</v>
      </c>
      <c r="D850" s="145" t="str">
        <f>+'Libro Diario'!E88</f>
        <v>HABER</v>
      </c>
      <c r="E850" s="139" t="s">
        <v>446</v>
      </c>
      <c r="F850" t="str">
        <f t="shared" si="39"/>
        <v>Sin Mov.</v>
      </c>
      <c r="G850" t="str">
        <f>IF(+'Libro Diario'!H88=0,"",+'Libro Diario'!H88)</f>
        <v/>
      </c>
      <c r="H850" t="str">
        <f>IF(+'Libro Diario'!I88=0,"",+'Libro Diario'!I88)</f>
        <v/>
      </c>
      <c r="I850" t="str">
        <f>+IF(Table3[[#This Row],[Tipo Movimiento]]="Estructura Balance y PyG","Excluir","Incluir")</f>
        <v>Incluir</v>
      </c>
      <c r="J850" s="153">
        <f>+IF(Table3[[#This Row],[Sin cuenta]]="Con Mov.",(IF(Table3[[#This Row],[Movimiento]]="Debe",Table3[[#This Row],[Importe]],IF(Table3[[#This Row],[Movimiento]]="Haber",Table3[[#This Row],[Importe]]*-1,0))),0)</f>
        <v>0</v>
      </c>
      <c r="K850" s="145" t="str">
        <f t="shared" si="40"/>
        <v/>
      </c>
      <c r="L850" s="145" t="str">
        <f t="shared" si="41"/>
        <v>HABER</v>
      </c>
      <c r="M850" t="str">
        <f>_xlfn.XLOOKUP(Table3[[#This Row],[Cuenta]],Estructura_Balance[Nombre Cuenta ()],Estructura_Balance[Grupo],"",0)</f>
        <v/>
      </c>
      <c r="N850" t="str">
        <f>_xlfn.XLOOKUP(Table3[[#This Row],[Cuenta]],Estructura_Balance[Nombre Cuenta ()],Estructura_Balance[Nivel 1],"",0)</f>
        <v/>
      </c>
      <c r="O850" t="str">
        <f>_xlfn.XLOOKUP(Table3[[#This Row],[Cuenta]],Estructura_Balance[Nombre Cuenta ()],Estructura_Balance[Nivel 2],"",0)</f>
        <v/>
      </c>
      <c r="P850" t="str">
        <f>_xlfn.XLOOKUP(Table3[[#This Row],[Cuenta]],Estructura_Balance[Nombre Cuenta ()],Estructura_Balance[Nivel 3],"",0)</f>
        <v/>
      </c>
      <c r="Q850" t="str">
        <f>_xlfn.XLOOKUP(Table3[[#This Row],[Cuenta]],Estructura_Balance[Nombre Cuenta ()],Estructura_Balance[Nivel 4],"",0)</f>
        <v/>
      </c>
      <c r="R850" t="str">
        <f>_xlfn.XLOOKUP(Table3[[#This Row],[Cuenta]],Table8[Nombre Cuenta ()],Table8[Nivel 1],"",0)</f>
        <v/>
      </c>
      <c r="S850" t="str">
        <f>_xlfn.XLOOKUP(Table3[[#This Row],[Cuenta]],Table8[Nombre Cuenta ()],Table8[Nivel 2],"",0)</f>
        <v/>
      </c>
      <c r="T850" t="str">
        <f>_xlfn.XLOOKUP(Table3[[#This Row],[Cuenta]],Table8[Nombre Cuenta ()],Table8[Nivel 3],"",0)</f>
        <v/>
      </c>
      <c r="U850">
        <v>1398</v>
      </c>
      <c r="V850" t="str">
        <f>_xlfn.XLOOKUP(Table3[[#This Row],[Cuenta]],Estructura_Balance[Nombre Cuenta ()],Estructura_Balance[Niveles:2],"",0)</f>
        <v/>
      </c>
      <c r="W850" t="str">
        <f>_xlfn.XLOOKUP(Table3[[#This Row],[Cuenta]],Estructura_Balance[Nombre Cuenta ()],Estructura_Balance[Niveles:3],"",0)</f>
        <v/>
      </c>
      <c r="X850" t="str">
        <f>_xlfn.XLOOKUP(Table3[[#This Row],[Cuenta]],Estructura_Balance[Nombre Cuenta ()],Estructura_Balance[Grupos],"Grupo 1",0)</f>
        <v>Grupo 1</v>
      </c>
      <c r="Y850" t="str">
        <f>+Table3[[#This Row],[BS_Nivel_1]]</f>
        <v/>
      </c>
    </row>
    <row r="851" spans="1:25">
      <c r="A851">
        <f>+'Libro Diario'!F89</f>
        <v>0</v>
      </c>
      <c r="B851" s="144">
        <f>VALUE(IF(+'Libro Diario'!G89="","01/01/2025",+'Libro Diario'!G89))</f>
        <v>45658</v>
      </c>
      <c r="C851">
        <f>IF(ISNUMBER(+IF(IFERROR(VALUE(MID('Libro Diario'!D89,1,4)),0)&lt;&gt;0,'Libro Diario'!D89,0))=FALSE,'Libro Diario'!D89,0)</f>
        <v>0</v>
      </c>
      <c r="D851" s="145">
        <f>+'Libro Diario'!E89</f>
        <v>0</v>
      </c>
      <c r="E851" s="139" t="s">
        <v>446</v>
      </c>
      <c r="F851" t="str">
        <f t="shared" si="39"/>
        <v>Sin Mov.</v>
      </c>
      <c r="G851" t="str">
        <f>IF(+'Libro Diario'!H89=0,"",+'Libro Diario'!H89)</f>
        <v/>
      </c>
      <c r="H851" t="str">
        <f>IF(+'Libro Diario'!I89=0,"",+'Libro Diario'!I89)</f>
        <v/>
      </c>
      <c r="I851" t="str">
        <f>+IF(Table3[[#This Row],[Tipo Movimiento]]="Estructura Balance y PyG","Excluir","Incluir")</f>
        <v>Incluir</v>
      </c>
      <c r="J851" s="153">
        <f>+IF(Table3[[#This Row],[Sin cuenta]]="Con Mov.",(IF(Table3[[#This Row],[Movimiento]]="Debe",Table3[[#This Row],[Importe]],IF(Table3[[#This Row],[Movimiento]]="Haber",Table3[[#This Row],[Importe]]*-1,0))),0)</f>
        <v>0</v>
      </c>
      <c r="K851" s="145" t="str">
        <f t="shared" si="40"/>
        <v/>
      </c>
      <c r="L851" s="145">
        <f t="shared" si="41"/>
        <v>0</v>
      </c>
      <c r="M851" t="str">
        <f>_xlfn.XLOOKUP(Table3[[#This Row],[Cuenta]],Estructura_Balance[Nombre Cuenta ()],Estructura_Balance[Grupo],"",0)</f>
        <v/>
      </c>
      <c r="N851" t="str">
        <f>_xlfn.XLOOKUP(Table3[[#This Row],[Cuenta]],Estructura_Balance[Nombre Cuenta ()],Estructura_Balance[Nivel 1],"",0)</f>
        <v/>
      </c>
      <c r="O851" t="str">
        <f>_xlfn.XLOOKUP(Table3[[#This Row],[Cuenta]],Estructura_Balance[Nombre Cuenta ()],Estructura_Balance[Nivel 2],"",0)</f>
        <v/>
      </c>
      <c r="P851" t="str">
        <f>_xlfn.XLOOKUP(Table3[[#This Row],[Cuenta]],Estructura_Balance[Nombre Cuenta ()],Estructura_Balance[Nivel 3],"",0)</f>
        <v/>
      </c>
      <c r="Q851" t="str">
        <f>_xlfn.XLOOKUP(Table3[[#This Row],[Cuenta]],Estructura_Balance[Nombre Cuenta ()],Estructura_Balance[Nivel 4],"",0)</f>
        <v/>
      </c>
      <c r="R851" t="str">
        <f>_xlfn.XLOOKUP(Table3[[#This Row],[Cuenta]],Table8[Nombre Cuenta ()],Table8[Nivel 1],"",0)</f>
        <v/>
      </c>
      <c r="S851" t="str">
        <f>_xlfn.XLOOKUP(Table3[[#This Row],[Cuenta]],Table8[Nombre Cuenta ()],Table8[Nivel 2],"",0)</f>
        <v/>
      </c>
      <c r="T851" t="str">
        <f>_xlfn.XLOOKUP(Table3[[#This Row],[Cuenta]],Table8[Nombre Cuenta ()],Table8[Nivel 3],"",0)</f>
        <v/>
      </c>
      <c r="U851">
        <v>1399</v>
      </c>
      <c r="V851" t="str">
        <f>_xlfn.XLOOKUP(Table3[[#This Row],[Cuenta]],Estructura_Balance[Nombre Cuenta ()],Estructura_Balance[Niveles:2],"",0)</f>
        <v/>
      </c>
      <c r="W851" t="str">
        <f>_xlfn.XLOOKUP(Table3[[#This Row],[Cuenta]],Estructura_Balance[Nombre Cuenta ()],Estructura_Balance[Niveles:3],"",0)</f>
        <v/>
      </c>
      <c r="X851" t="str">
        <f>_xlfn.XLOOKUP(Table3[[#This Row],[Cuenta]],Estructura_Balance[Nombre Cuenta ()],Estructura_Balance[Grupos],"Grupo 1",0)</f>
        <v>Grupo 1</v>
      </c>
      <c r="Y851" t="str">
        <f>+Table3[[#This Row],[BS_Nivel_1]]</f>
        <v/>
      </c>
    </row>
    <row r="852" spans="1:25">
      <c r="A852">
        <f>+'Libro Diario'!F92</f>
        <v>0</v>
      </c>
      <c r="B852" s="144">
        <f>VALUE(IF(+'Libro Diario'!G92="","01/01/2025",+'Libro Diario'!G92))</f>
        <v>45658</v>
      </c>
      <c r="C852">
        <f>IF(ISNUMBER(+IF(IFERROR(VALUE(MID('Libro Diario'!D92,1,4)),0)&lt;&gt;0,'Libro Diario'!D92,0))=FALSE,'Libro Diario'!D92,0)</f>
        <v>0</v>
      </c>
      <c r="D852" s="145">
        <f>+'Libro Diario'!E92</f>
        <v>0</v>
      </c>
      <c r="E852" s="139" t="s">
        <v>446</v>
      </c>
      <c r="F852" t="str">
        <f t="shared" si="39"/>
        <v>Sin Mov.</v>
      </c>
      <c r="G852" t="str">
        <f>IF(+'Libro Diario'!H92=0,"",+'Libro Diario'!H92)</f>
        <v/>
      </c>
      <c r="H852" t="str">
        <f>IF(+'Libro Diario'!I92=0,"",+'Libro Diario'!I92)</f>
        <v/>
      </c>
      <c r="I852" t="str">
        <f>+IF(Table3[[#This Row],[Tipo Movimiento]]="Estructura Balance y PyG","Excluir","Incluir")</f>
        <v>Incluir</v>
      </c>
      <c r="J852" s="153">
        <f>+IF(Table3[[#This Row],[Sin cuenta]]="Con Mov.",(IF(Table3[[#This Row],[Movimiento]]="Debe",Table3[[#This Row],[Importe]],IF(Table3[[#This Row],[Movimiento]]="Haber",Table3[[#This Row],[Importe]]*-1,0))),0)</f>
        <v>0</v>
      </c>
      <c r="K852" s="145" t="str">
        <f t="shared" si="40"/>
        <v/>
      </c>
      <c r="L852" s="145">
        <f t="shared" si="41"/>
        <v>0</v>
      </c>
      <c r="M852" t="str">
        <f>_xlfn.XLOOKUP(Table3[[#This Row],[Cuenta]],Estructura_Balance[Nombre Cuenta ()],Estructura_Balance[Grupo],"",0)</f>
        <v/>
      </c>
      <c r="N852" t="str">
        <f>_xlfn.XLOOKUP(Table3[[#This Row],[Cuenta]],Estructura_Balance[Nombre Cuenta ()],Estructura_Balance[Nivel 1],"",0)</f>
        <v/>
      </c>
      <c r="O852" t="str">
        <f>_xlfn.XLOOKUP(Table3[[#This Row],[Cuenta]],Estructura_Balance[Nombre Cuenta ()],Estructura_Balance[Nivel 2],"",0)</f>
        <v/>
      </c>
      <c r="P852" t="str">
        <f>_xlfn.XLOOKUP(Table3[[#This Row],[Cuenta]],Estructura_Balance[Nombre Cuenta ()],Estructura_Balance[Nivel 3],"",0)</f>
        <v/>
      </c>
      <c r="Q852" t="str">
        <f>_xlfn.XLOOKUP(Table3[[#This Row],[Cuenta]],Estructura_Balance[Nombre Cuenta ()],Estructura_Balance[Nivel 4],"",0)</f>
        <v/>
      </c>
      <c r="R852" t="str">
        <f>_xlfn.XLOOKUP(Table3[[#This Row],[Cuenta]],Table8[Nombre Cuenta ()],Table8[Nivel 1],"",0)</f>
        <v/>
      </c>
      <c r="S852" t="str">
        <f>_xlfn.XLOOKUP(Table3[[#This Row],[Cuenta]],Table8[Nombre Cuenta ()],Table8[Nivel 2],"",0)</f>
        <v/>
      </c>
      <c r="T852" t="str">
        <f>_xlfn.XLOOKUP(Table3[[#This Row],[Cuenta]],Table8[Nombre Cuenta ()],Table8[Nivel 3],"",0)</f>
        <v/>
      </c>
      <c r="U852">
        <v>1404</v>
      </c>
      <c r="V852" t="str">
        <f>_xlfn.XLOOKUP(Table3[[#This Row],[Cuenta]],Estructura_Balance[Nombre Cuenta ()],Estructura_Balance[Niveles:2],"",0)</f>
        <v/>
      </c>
      <c r="W852" t="str">
        <f>_xlfn.XLOOKUP(Table3[[#This Row],[Cuenta]],Estructura_Balance[Nombre Cuenta ()],Estructura_Balance[Niveles:3],"",0)</f>
        <v/>
      </c>
      <c r="X852" t="str">
        <f>_xlfn.XLOOKUP(Table3[[#This Row],[Cuenta]],Estructura_Balance[Nombre Cuenta ()],Estructura_Balance[Grupos],"Grupo 1",0)</f>
        <v>Grupo 1</v>
      </c>
      <c r="Y852" t="str">
        <f>+Table3[[#This Row],[BS_Nivel_1]]</f>
        <v/>
      </c>
    </row>
    <row r="853" spans="1:25">
      <c r="A853">
        <f>+'Libro Diario'!F93</f>
        <v>0</v>
      </c>
      <c r="B853" s="144">
        <f>VALUE(IF(+'Libro Diario'!G93="","01/01/2025",+'Libro Diario'!G93))</f>
        <v>45658</v>
      </c>
      <c r="C853">
        <f>IF(ISNUMBER(+IF(IFERROR(VALUE(MID('Libro Diario'!D93,1,4)),0)&lt;&gt;0,'Libro Diario'!D93,0))=FALSE,'Libro Diario'!D93,0)</f>
        <v>0</v>
      </c>
      <c r="D853" s="145">
        <f>+'Libro Diario'!E93</f>
        <v>0</v>
      </c>
      <c r="E853" s="139" t="s">
        <v>446</v>
      </c>
      <c r="F853" t="str">
        <f t="shared" si="39"/>
        <v>Sin Mov.</v>
      </c>
      <c r="G853" t="str">
        <f>IF(+'Libro Diario'!H93=0,"",+'Libro Diario'!H93)</f>
        <v/>
      </c>
      <c r="H853" t="str">
        <f>IF(+'Libro Diario'!I93=0,"",+'Libro Diario'!I93)</f>
        <v/>
      </c>
      <c r="I853" t="str">
        <f>+IF(Table3[[#This Row],[Tipo Movimiento]]="Estructura Balance y PyG","Excluir","Incluir")</f>
        <v>Incluir</v>
      </c>
      <c r="J853" s="153">
        <f>+IF(Table3[[#This Row],[Sin cuenta]]="Con Mov.",(IF(Table3[[#This Row],[Movimiento]]="Debe",Table3[[#This Row],[Importe]],IF(Table3[[#This Row],[Movimiento]]="Haber",Table3[[#This Row],[Importe]]*-1,0))),0)</f>
        <v>0</v>
      </c>
      <c r="K853" s="145" t="str">
        <f t="shared" si="40"/>
        <v/>
      </c>
      <c r="L853" s="145">
        <f t="shared" si="41"/>
        <v>0</v>
      </c>
      <c r="M853" t="str">
        <f>_xlfn.XLOOKUP(Table3[[#This Row],[Cuenta]],Estructura_Balance[Nombre Cuenta ()],Estructura_Balance[Grupo],"",0)</f>
        <v/>
      </c>
      <c r="N853" t="str">
        <f>_xlfn.XLOOKUP(Table3[[#This Row],[Cuenta]],Estructura_Balance[Nombre Cuenta ()],Estructura_Balance[Nivel 1],"",0)</f>
        <v/>
      </c>
      <c r="O853" t="str">
        <f>_xlfn.XLOOKUP(Table3[[#This Row],[Cuenta]],Estructura_Balance[Nombre Cuenta ()],Estructura_Balance[Nivel 2],"",0)</f>
        <v/>
      </c>
      <c r="P853" t="str">
        <f>_xlfn.XLOOKUP(Table3[[#This Row],[Cuenta]],Estructura_Balance[Nombre Cuenta ()],Estructura_Balance[Nivel 3],"",0)</f>
        <v/>
      </c>
      <c r="Q853" t="str">
        <f>_xlfn.XLOOKUP(Table3[[#This Row],[Cuenta]],Estructura_Balance[Nombre Cuenta ()],Estructura_Balance[Nivel 4],"",0)</f>
        <v/>
      </c>
      <c r="R853" t="str">
        <f>_xlfn.XLOOKUP(Table3[[#This Row],[Cuenta]],Table8[Nombre Cuenta ()],Table8[Nivel 1],"",0)</f>
        <v/>
      </c>
      <c r="S853" t="str">
        <f>_xlfn.XLOOKUP(Table3[[#This Row],[Cuenta]],Table8[Nombre Cuenta ()],Table8[Nivel 2],"",0)</f>
        <v/>
      </c>
      <c r="T853" t="str">
        <f>_xlfn.XLOOKUP(Table3[[#This Row],[Cuenta]],Table8[Nombre Cuenta ()],Table8[Nivel 3],"",0)</f>
        <v/>
      </c>
      <c r="U853">
        <v>1405</v>
      </c>
      <c r="V853" t="str">
        <f>_xlfn.XLOOKUP(Table3[[#This Row],[Cuenta]],Estructura_Balance[Nombre Cuenta ()],Estructura_Balance[Niveles:2],"",0)</f>
        <v/>
      </c>
      <c r="W853" t="str">
        <f>_xlfn.XLOOKUP(Table3[[#This Row],[Cuenta]],Estructura_Balance[Nombre Cuenta ()],Estructura_Balance[Niveles:3],"",0)</f>
        <v/>
      </c>
      <c r="X853" t="str">
        <f>_xlfn.XLOOKUP(Table3[[#This Row],[Cuenta]],Estructura_Balance[Nombre Cuenta ()],Estructura_Balance[Grupos],"Grupo 1",0)</f>
        <v>Grupo 1</v>
      </c>
      <c r="Y853" t="str">
        <f>+Table3[[#This Row],[BS_Nivel_1]]</f>
        <v/>
      </c>
    </row>
    <row r="854" spans="1:25">
      <c r="A854">
        <f>+'Libro Diario'!F94</f>
        <v>0</v>
      </c>
      <c r="B854" s="144">
        <f>VALUE(IF(+'Libro Diario'!G94="","01/01/2025",+'Libro Diario'!G94))</f>
        <v>45658</v>
      </c>
      <c r="C854">
        <f>IF(ISNUMBER(+IF(IFERROR(VALUE(MID('Libro Diario'!D94,1,4)),0)&lt;&gt;0,'Libro Diario'!D94,0))=FALSE,'Libro Diario'!D94,0)</f>
        <v>0</v>
      </c>
      <c r="D854" s="145">
        <f>+'Libro Diario'!E94</f>
        <v>0</v>
      </c>
      <c r="E854" s="139" t="s">
        <v>446</v>
      </c>
      <c r="F854" t="str">
        <f t="shared" si="39"/>
        <v>Sin Mov.</v>
      </c>
      <c r="G854" t="str">
        <f>IF(+'Libro Diario'!H94=0,"",+'Libro Diario'!H94)</f>
        <v/>
      </c>
      <c r="H854" t="str">
        <f>IF(+'Libro Diario'!I94=0,"",+'Libro Diario'!I94)</f>
        <v/>
      </c>
      <c r="I854" t="str">
        <f>+IF(Table3[[#This Row],[Tipo Movimiento]]="Estructura Balance y PyG","Excluir","Incluir")</f>
        <v>Incluir</v>
      </c>
      <c r="J854" s="153">
        <f>+IF(Table3[[#This Row],[Sin cuenta]]="Con Mov.",(IF(Table3[[#This Row],[Movimiento]]="Debe",Table3[[#This Row],[Importe]],IF(Table3[[#This Row],[Movimiento]]="Haber",Table3[[#This Row],[Importe]]*-1,0))),0)</f>
        <v>0</v>
      </c>
      <c r="K854" s="145" t="str">
        <f t="shared" si="40"/>
        <v/>
      </c>
      <c r="L854" s="145">
        <f t="shared" si="41"/>
        <v>0</v>
      </c>
      <c r="M854" t="str">
        <f>_xlfn.XLOOKUP(Table3[[#This Row],[Cuenta]],Estructura_Balance[Nombre Cuenta ()],Estructura_Balance[Grupo],"",0)</f>
        <v/>
      </c>
      <c r="N854" t="str">
        <f>_xlfn.XLOOKUP(Table3[[#This Row],[Cuenta]],Estructura_Balance[Nombre Cuenta ()],Estructura_Balance[Nivel 1],"",0)</f>
        <v/>
      </c>
      <c r="O854" t="str">
        <f>_xlfn.XLOOKUP(Table3[[#This Row],[Cuenta]],Estructura_Balance[Nombre Cuenta ()],Estructura_Balance[Nivel 2],"",0)</f>
        <v/>
      </c>
      <c r="P854" t="str">
        <f>_xlfn.XLOOKUP(Table3[[#This Row],[Cuenta]],Estructura_Balance[Nombre Cuenta ()],Estructura_Balance[Nivel 3],"",0)</f>
        <v/>
      </c>
      <c r="Q854" t="str">
        <f>_xlfn.XLOOKUP(Table3[[#This Row],[Cuenta]],Estructura_Balance[Nombre Cuenta ()],Estructura_Balance[Nivel 4],"",0)</f>
        <v/>
      </c>
      <c r="R854" t="str">
        <f>_xlfn.XLOOKUP(Table3[[#This Row],[Cuenta]],Table8[Nombre Cuenta ()],Table8[Nivel 1],"",0)</f>
        <v/>
      </c>
      <c r="S854" t="str">
        <f>_xlfn.XLOOKUP(Table3[[#This Row],[Cuenta]],Table8[Nombre Cuenta ()],Table8[Nivel 2],"",0)</f>
        <v/>
      </c>
      <c r="T854" t="str">
        <f>_xlfn.XLOOKUP(Table3[[#This Row],[Cuenta]],Table8[Nombre Cuenta ()],Table8[Nivel 3],"",0)</f>
        <v/>
      </c>
      <c r="U854">
        <v>1406</v>
      </c>
      <c r="V854" t="str">
        <f>_xlfn.XLOOKUP(Table3[[#This Row],[Cuenta]],Estructura_Balance[Nombre Cuenta ()],Estructura_Balance[Niveles:2],"",0)</f>
        <v/>
      </c>
      <c r="W854" t="str">
        <f>_xlfn.XLOOKUP(Table3[[#This Row],[Cuenta]],Estructura_Balance[Nombre Cuenta ()],Estructura_Balance[Niveles:3],"",0)</f>
        <v/>
      </c>
      <c r="X854" t="str">
        <f>_xlfn.XLOOKUP(Table3[[#This Row],[Cuenta]],Estructura_Balance[Nombre Cuenta ()],Estructura_Balance[Grupos],"Grupo 1",0)</f>
        <v>Grupo 1</v>
      </c>
      <c r="Y854" t="str">
        <f>+Table3[[#This Row],[BS_Nivel_1]]</f>
        <v/>
      </c>
    </row>
    <row r="855" spans="1:25">
      <c r="A855">
        <f>+'Libro Diario'!F95</f>
        <v>0</v>
      </c>
      <c r="B855" s="144">
        <f>VALUE(IF(+'Libro Diario'!G95="","01/01/2025",+'Libro Diario'!G95))</f>
        <v>45658</v>
      </c>
      <c r="C855">
        <f>IF(ISNUMBER(+IF(IFERROR(VALUE(MID('Libro Diario'!D95,1,4)),0)&lt;&gt;0,'Libro Diario'!D95,0))=FALSE,'Libro Diario'!D95,0)</f>
        <v>0</v>
      </c>
      <c r="D855" s="145" t="str">
        <f>+'Libro Diario'!E95</f>
        <v>HABER</v>
      </c>
      <c r="E855" s="139" t="s">
        <v>446</v>
      </c>
      <c r="F855" t="str">
        <f t="shared" si="39"/>
        <v>Sin Mov.</v>
      </c>
      <c r="G855" t="str">
        <f>IF(+'Libro Diario'!H95=0,"",+'Libro Diario'!H95)</f>
        <v/>
      </c>
      <c r="H855" t="str">
        <f>IF(+'Libro Diario'!I95=0,"",+'Libro Diario'!I95)</f>
        <v/>
      </c>
      <c r="I855" t="str">
        <f>+IF(Table3[[#This Row],[Tipo Movimiento]]="Estructura Balance y PyG","Excluir","Incluir")</f>
        <v>Incluir</v>
      </c>
      <c r="J855" s="153">
        <f>+IF(Table3[[#This Row],[Sin cuenta]]="Con Mov.",(IF(Table3[[#This Row],[Movimiento]]="Debe",Table3[[#This Row],[Importe]],IF(Table3[[#This Row],[Movimiento]]="Haber",Table3[[#This Row],[Importe]]*-1,0))),0)</f>
        <v>0</v>
      </c>
      <c r="K855" s="145" t="str">
        <f t="shared" si="40"/>
        <v/>
      </c>
      <c r="L855" s="145" t="str">
        <f t="shared" si="41"/>
        <v>HABER</v>
      </c>
      <c r="M855" t="str">
        <f>_xlfn.XLOOKUP(Table3[[#This Row],[Cuenta]],Estructura_Balance[Nombre Cuenta ()],Estructura_Balance[Grupo],"",0)</f>
        <v/>
      </c>
      <c r="N855" t="str">
        <f>_xlfn.XLOOKUP(Table3[[#This Row],[Cuenta]],Estructura_Balance[Nombre Cuenta ()],Estructura_Balance[Nivel 1],"",0)</f>
        <v/>
      </c>
      <c r="O855" t="str">
        <f>_xlfn.XLOOKUP(Table3[[#This Row],[Cuenta]],Estructura_Balance[Nombre Cuenta ()],Estructura_Balance[Nivel 2],"",0)</f>
        <v/>
      </c>
      <c r="P855" t="str">
        <f>_xlfn.XLOOKUP(Table3[[#This Row],[Cuenta]],Estructura_Balance[Nombre Cuenta ()],Estructura_Balance[Nivel 3],"",0)</f>
        <v/>
      </c>
      <c r="Q855" t="str">
        <f>_xlfn.XLOOKUP(Table3[[#This Row],[Cuenta]],Estructura_Balance[Nombre Cuenta ()],Estructura_Balance[Nivel 4],"",0)</f>
        <v/>
      </c>
      <c r="R855" t="str">
        <f>_xlfn.XLOOKUP(Table3[[#This Row],[Cuenta]],Table8[Nombre Cuenta ()],Table8[Nivel 1],"",0)</f>
        <v/>
      </c>
      <c r="S855" t="str">
        <f>_xlfn.XLOOKUP(Table3[[#This Row],[Cuenta]],Table8[Nombre Cuenta ()],Table8[Nivel 2],"",0)</f>
        <v/>
      </c>
      <c r="T855" t="str">
        <f>_xlfn.XLOOKUP(Table3[[#This Row],[Cuenta]],Table8[Nombre Cuenta ()],Table8[Nivel 3],"",0)</f>
        <v/>
      </c>
      <c r="U855">
        <v>1409</v>
      </c>
      <c r="V855" t="str">
        <f>_xlfn.XLOOKUP(Table3[[#This Row],[Cuenta]],Estructura_Balance[Nombre Cuenta ()],Estructura_Balance[Niveles:2],"",0)</f>
        <v/>
      </c>
      <c r="W855" t="str">
        <f>_xlfn.XLOOKUP(Table3[[#This Row],[Cuenta]],Estructura_Balance[Nombre Cuenta ()],Estructura_Balance[Niveles:3],"",0)</f>
        <v/>
      </c>
      <c r="X855" t="str">
        <f>_xlfn.XLOOKUP(Table3[[#This Row],[Cuenta]],Estructura_Balance[Nombre Cuenta ()],Estructura_Balance[Grupos],"Grupo 1",0)</f>
        <v>Grupo 1</v>
      </c>
      <c r="Y855" t="str">
        <f>+Table3[[#This Row],[BS_Nivel_1]]</f>
        <v/>
      </c>
    </row>
    <row r="856" spans="1:25">
      <c r="A856">
        <f>+'Libro Diario'!F96</f>
        <v>0</v>
      </c>
      <c r="B856" s="144">
        <f>VALUE(IF(+'Libro Diario'!G96="","01/01/2025",+'Libro Diario'!G96))</f>
        <v>45658</v>
      </c>
      <c r="C856">
        <f>IF(ISNUMBER(+IF(IFERROR(VALUE(MID('Libro Diario'!D96,1,4)),0)&lt;&gt;0,'Libro Diario'!D96,0))=FALSE,'Libro Diario'!D96,0)</f>
        <v>0</v>
      </c>
      <c r="D856" s="145">
        <f>+'Libro Diario'!E96</f>
        <v>0</v>
      </c>
      <c r="E856" s="139" t="s">
        <v>446</v>
      </c>
      <c r="F856" t="str">
        <f t="shared" si="39"/>
        <v>Sin Mov.</v>
      </c>
      <c r="G856" t="str">
        <f>IF(+'Libro Diario'!H96=0,"",+'Libro Diario'!H96)</f>
        <v/>
      </c>
      <c r="H856" t="str">
        <f>IF(+'Libro Diario'!I96=0,"",+'Libro Diario'!I96)</f>
        <v/>
      </c>
      <c r="I856" t="str">
        <f>+IF(Table3[[#This Row],[Tipo Movimiento]]="Estructura Balance y PyG","Excluir","Incluir")</f>
        <v>Incluir</v>
      </c>
      <c r="J856" s="153">
        <f>+IF(Table3[[#This Row],[Sin cuenta]]="Con Mov.",(IF(Table3[[#This Row],[Movimiento]]="Debe",Table3[[#This Row],[Importe]],IF(Table3[[#This Row],[Movimiento]]="Haber",Table3[[#This Row],[Importe]]*-1,0))),0)</f>
        <v>0</v>
      </c>
      <c r="K856" s="145" t="str">
        <f t="shared" si="40"/>
        <v/>
      </c>
      <c r="L856" s="145">
        <f t="shared" si="41"/>
        <v>0</v>
      </c>
      <c r="M856" t="str">
        <f>_xlfn.XLOOKUP(Table3[[#This Row],[Cuenta]],Estructura_Balance[Nombre Cuenta ()],Estructura_Balance[Grupo],"",0)</f>
        <v/>
      </c>
      <c r="N856" t="str">
        <f>_xlfn.XLOOKUP(Table3[[#This Row],[Cuenta]],Estructura_Balance[Nombre Cuenta ()],Estructura_Balance[Nivel 1],"",0)</f>
        <v/>
      </c>
      <c r="O856" t="str">
        <f>_xlfn.XLOOKUP(Table3[[#This Row],[Cuenta]],Estructura_Balance[Nombre Cuenta ()],Estructura_Balance[Nivel 2],"",0)</f>
        <v/>
      </c>
      <c r="P856" t="str">
        <f>_xlfn.XLOOKUP(Table3[[#This Row],[Cuenta]],Estructura_Balance[Nombre Cuenta ()],Estructura_Balance[Nivel 3],"",0)</f>
        <v/>
      </c>
      <c r="Q856" t="str">
        <f>_xlfn.XLOOKUP(Table3[[#This Row],[Cuenta]],Estructura_Balance[Nombre Cuenta ()],Estructura_Balance[Nivel 4],"",0)</f>
        <v/>
      </c>
      <c r="R856" t="str">
        <f>_xlfn.XLOOKUP(Table3[[#This Row],[Cuenta]],Table8[Nombre Cuenta ()],Table8[Nivel 1],"",0)</f>
        <v/>
      </c>
      <c r="S856" t="str">
        <f>_xlfn.XLOOKUP(Table3[[#This Row],[Cuenta]],Table8[Nombre Cuenta ()],Table8[Nivel 2],"",0)</f>
        <v/>
      </c>
      <c r="T856" t="str">
        <f>_xlfn.XLOOKUP(Table3[[#This Row],[Cuenta]],Table8[Nombre Cuenta ()],Table8[Nivel 3],"",0)</f>
        <v/>
      </c>
      <c r="U856">
        <v>1410</v>
      </c>
      <c r="V856" t="str">
        <f>_xlfn.XLOOKUP(Table3[[#This Row],[Cuenta]],Estructura_Balance[Nombre Cuenta ()],Estructura_Balance[Niveles:2],"",0)</f>
        <v/>
      </c>
      <c r="W856" t="str">
        <f>_xlfn.XLOOKUP(Table3[[#This Row],[Cuenta]],Estructura_Balance[Nombre Cuenta ()],Estructura_Balance[Niveles:3],"",0)</f>
        <v/>
      </c>
      <c r="X856" t="str">
        <f>_xlfn.XLOOKUP(Table3[[#This Row],[Cuenta]],Estructura_Balance[Nombre Cuenta ()],Estructura_Balance[Grupos],"Grupo 1",0)</f>
        <v>Grupo 1</v>
      </c>
      <c r="Y856" t="str">
        <f>+Table3[[#This Row],[BS_Nivel_1]]</f>
        <v/>
      </c>
    </row>
    <row r="857" spans="1:25">
      <c r="A857">
        <f>+'Libro Diario'!F99</f>
        <v>0</v>
      </c>
      <c r="B857" s="144">
        <f>VALUE(IF(+'Libro Diario'!G99="","01/01/2025",+'Libro Diario'!G99))</f>
        <v>45658</v>
      </c>
      <c r="C857">
        <f>IF(ISNUMBER(+IF(IFERROR(VALUE(MID('Libro Diario'!D99,1,4)),0)&lt;&gt;0,'Libro Diario'!D99,0))=FALSE,'Libro Diario'!D99,0)</f>
        <v>0</v>
      </c>
      <c r="D857" s="145">
        <f>+'Libro Diario'!E99</f>
        <v>0</v>
      </c>
      <c r="E857" s="139" t="s">
        <v>446</v>
      </c>
      <c r="F857" t="str">
        <f t="shared" si="39"/>
        <v>Sin Mov.</v>
      </c>
      <c r="G857" t="str">
        <f>IF(+'Libro Diario'!H99=0,"",+'Libro Diario'!H99)</f>
        <v/>
      </c>
      <c r="H857" t="str">
        <f>IF(+'Libro Diario'!I99=0,"",+'Libro Diario'!I99)</f>
        <v/>
      </c>
      <c r="I857" t="str">
        <f>+IF(Table3[[#This Row],[Tipo Movimiento]]="Estructura Balance y PyG","Excluir","Incluir")</f>
        <v>Incluir</v>
      </c>
      <c r="J857" s="153">
        <f>+IF(Table3[[#This Row],[Sin cuenta]]="Con Mov.",(IF(Table3[[#This Row],[Movimiento]]="Debe",Table3[[#This Row],[Importe]],IF(Table3[[#This Row],[Movimiento]]="Haber",Table3[[#This Row],[Importe]]*-1,0))),0)</f>
        <v>0</v>
      </c>
      <c r="K857" s="145" t="str">
        <f t="shared" si="40"/>
        <v/>
      </c>
      <c r="L857" s="145">
        <f t="shared" si="41"/>
        <v>0</v>
      </c>
      <c r="M857" t="str">
        <f>_xlfn.XLOOKUP(Table3[[#This Row],[Cuenta]],Estructura_Balance[Nombre Cuenta ()],Estructura_Balance[Grupo],"",0)</f>
        <v/>
      </c>
      <c r="N857" t="str">
        <f>_xlfn.XLOOKUP(Table3[[#This Row],[Cuenta]],Estructura_Balance[Nombre Cuenta ()],Estructura_Balance[Nivel 1],"",0)</f>
        <v/>
      </c>
      <c r="O857" t="str">
        <f>_xlfn.XLOOKUP(Table3[[#This Row],[Cuenta]],Estructura_Balance[Nombre Cuenta ()],Estructura_Balance[Nivel 2],"",0)</f>
        <v/>
      </c>
      <c r="P857" t="str">
        <f>_xlfn.XLOOKUP(Table3[[#This Row],[Cuenta]],Estructura_Balance[Nombre Cuenta ()],Estructura_Balance[Nivel 3],"",0)</f>
        <v/>
      </c>
      <c r="Q857" t="str">
        <f>_xlfn.XLOOKUP(Table3[[#This Row],[Cuenta]],Estructura_Balance[Nombre Cuenta ()],Estructura_Balance[Nivel 4],"",0)</f>
        <v/>
      </c>
      <c r="R857" t="str">
        <f>_xlfn.XLOOKUP(Table3[[#This Row],[Cuenta]],Table8[Nombre Cuenta ()],Table8[Nivel 1],"",0)</f>
        <v/>
      </c>
      <c r="S857" t="str">
        <f>_xlfn.XLOOKUP(Table3[[#This Row],[Cuenta]],Table8[Nombre Cuenta ()],Table8[Nivel 2],"",0)</f>
        <v/>
      </c>
      <c r="T857" t="str">
        <f>_xlfn.XLOOKUP(Table3[[#This Row],[Cuenta]],Table8[Nombre Cuenta ()],Table8[Nivel 3],"",0)</f>
        <v/>
      </c>
      <c r="U857">
        <v>1413</v>
      </c>
      <c r="V857" t="str">
        <f>_xlfn.XLOOKUP(Table3[[#This Row],[Cuenta]],Estructura_Balance[Nombre Cuenta ()],Estructura_Balance[Niveles:2],"",0)</f>
        <v/>
      </c>
      <c r="W857" t="str">
        <f>_xlfn.XLOOKUP(Table3[[#This Row],[Cuenta]],Estructura_Balance[Nombre Cuenta ()],Estructura_Balance[Niveles:3],"",0)</f>
        <v/>
      </c>
      <c r="X857" t="str">
        <f>_xlfn.XLOOKUP(Table3[[#This Row],[Cuenta]],Estructura_Balance[Nombre Cuenta ()],Estructura_Balance[Grupos],"Grupo 1",0)</f>
        <v>Grupo 1</v>
      </c>
      <c r="Y857" t="str">
        <f>+Table3[[#This Row],[BS_Nivel_1]]</f>
        <v/>
      </c>
    </row>
    <row r="858" spans="1:25">
      <c r="A858">
        <f>+'Libro Diario'!F100</f>
        <v>0</v>
      </c>
      <c r="B858" s="144">
        <f>VALUE(IF(+'Libro Diario'!G100="","01/01/2025",+'Libro Diario'!G100))</f>
        <v>45658</v>
      </c>
      <c r="C858">
        <f>IF(ISNUMBER(+IF(IFERROR(VALUE(MID('Libro Diario'!D100,1,4)),0)&lt;&gt;0,'Libro Diario'!D100,0))=FALSE,'Libro Diario'!D100,0)</f>
        <v>0</v>
      </c>
      <c r="D858" s="145">
        <f>+'Libro Diario'!E100</f>
        <v>0</v>
      </c>
      <c r="E858" s="139" t="s">
        <v>446</v>
      </c>
      <c r="F858" t="str">
        <f t="shared" si="39"/>
        <v>Sin Mov.</v>
      </c>
      <c r="G858" t="str">
        <f>IF(+'Libro Diario'!H100=0,"",+'Libro Diario'!H100)</f>
        <v/>
      </c>
      <c r="H858" t="str">
        <f>IF(+'Libro Diario'!I100=0,"",+'Libro Diario'!I100)</f>
        <v/>
      </c>
      <c r="I858" t="str">
        <f>+IF(Table3[[#This Row],[Tipo Movimiento]]="Estructura Balance y PyG","Excluir","Incluir")</f>
        <v>Incluir</v>
      </c>
      <c r="J858" s="153">
        <f>+IF(Table3[[#This Row],[Sin cuenta]]="Con Mov.",(IF(Table3[[#This Row],[Movimiento]]="Debe",Table3[[#This Row],[Importe]],IF(Table3[[#This Row],[Movimiento]]="Haber",Table3[[#This Row],[Importe]]*-1,0))),0)</f>
        <v>0</v>
      </c>
      <c r="K858" s="145" t="str">
        <f t="shared" si="40"/>
        <v/>
      </c>
      <c r="L858" s="145">
        <f t="shared" si="41"/>
        <v>0</v>
      </c>
      <c r="M858" t="str">
        <f>_xlfn.XLOOKUP(Table3[[#This Row],[Cuenta]],Estructura_Balance[Nombre Cuenta ()],Estructura_Balance[Grupo],"",0)</f>
        <v/>
      </c>
      <c r="N858" t="str">
        <f>_xlfn.XLOOKUP(Table3[[#This Row],[Cuenta]],Estructura_Balance[Nombre Cuenta ()],Estructura_Balance[Nivel 1],"",0)</f>
        <v/>
      </c>
      <c r="O858" t="str">
        <f>_xlfn.XLOOKUP(Table3[[#This Row],[Cuenta]],Estructura_Balance[Nombre Cuenta ()],Estructura_Balance[Nivel 2],"",0)</f>
        <v/>
      </c>
      <c r="P858" t="str">
        <f>_xlfn.XLOOKUP(Table3[[#This Row],[Cuenta]],Estructura_Balance[Nombre Cuenta ()],Estructura_Balance[Nivel 3],"",0)</f>
        <v/>
      </c>
      <c r="Q858" t="str">
        <f>_xlfn.XLOOKUP(Table3[[#This Row],[Cuenta]],Estructura_Balance[Nombre Cuenta ()],Estructura_Balance[Nivel 4],"",0)</f>
        <v/>
      </c>
      <c r="R858" t="str">
        <f>_xlfn.XLOOKUP(Table3[[#This Row],[Cuenta]],Table8[Nombre Cuenta ()],Table8[Nivel 1],"",0)</f>
        <v/>
      </c>
      <c r="S858" t="str">
        <f>_xlfn.XLOOKUP(Table3[[#This Row],[Cuenta]],Table8[Nombre Cuenta ()],Table8[Nivel 2],"",0)</f>
        <v/>
      </c>
      <c r="T858" t="str">
        <f>_xlfn.XLOOKUP(Table3[[#This Row],[Cuenta]],Table8[Nombre Cuenta ()],Table8[Nivel 3],"",0)</f>
        <v/>
      </c>
      <c r="U858">
        <v>1416</v>
      </c>
      <c r="V858" t="str">
        <f>_xlfn.XLOOKUP(Table3[[#This Row],[Cuenta]],Estructura_Balance[Nombre Cuenta ()],Estructura_Balance[Niveles:2],"",0)</f>
        <v/>
      </c>
      <c r="W858" t="str">
        <f>_xlfn.XLOOKUP(Table3[[#This Row],[Cuenta]],Estructura_Balance[Nombre Cuenta ()],Estructura_Balance[Niveles:3],"",0)</f>
        <v/>
      </c>
      <c r="X858" t="str">
        <f>_xlfn.XLOOKUP(Table3[[#This Row],[Cuenta]],Estructura_Balance[Nombre Cuenta ()],Estructura_Balance[Grupos],"Grupo 1",0)</f>
        <v>Grupo 1</v>
      </c>
      <c r="Y858" t="str">
        <f>+Table3[[#This Row],[BS_Nivel_1]]</f>
        <v/>
      </c>
    </row>
    <row r="859" spans="1:25">
      <c r="A859">
        <f>+'Libro Diario'!F101</f>
        <v>0</v>
      </c>
      <c r="B859" s="144">
        <f>VALUE(IF(+'Libro Diario'!G101="","01/01/2025",+'Libro Diario'!G101))</f>
        <v>45658</v>
      </c>
      <c r="C859">
        <f>IF(ISNUMBER(+IF(IFERROR(VALUE(MID('Libro Diario'!D101,1,4)),0)&lt;&gt;0,'Libro Diario'!D101,0))=FALSE,'Libro Diario'!D101,0)</f>
        <v>0</v>
      </c>
      <c r="D859" s="145">
        <f>+'Libro Diario'!E101</f>
        <v>0</v>
      </c>
      <c r="E859" s="139" t="s">
        <v>446</v>
      </c>
      <c r="F859" t="str">
        <f t="shared" si="39"/>
        <v>Sin Mov.</v>
      </c>
      <c r="G859" t="str">
        <f>IF(+'Libro Diario'!H101=0,"",+'Libro Diario'!H101)</f>
        <v/>
      </c>
      <c r="H859" t="str">
        <f>IF(+'Libro Diario'!I101=0,"",+'Libro Diario'!I101)</f>
        <v/>
      </c>
      <c r="I859" t="str">
        <f>+IF(Table3[[#This Row],[Tipo Movimiento]]="Estructura Balance y PyG","Excluir","Incluir")</f>
        <v>Incluir</v>
      </c>
      <c r="J859" s="153">
        <f>+IF(Table3[[#This Row],[Sin cuenta]]="Con Mov.",(IF(Table3[[#This Row],[Movimiento]]="Debe",Table3[[#This Row],[Importe]],IF(Table3[[#This Row],[Movimiento]]="Haber",Table3[[#This Row],[Importe]]*-1,0))),0)</f>
        <v>0</v>
      </c>
      <c r="K859" s="145" t="str">
        <f t="shared" si="40"/>
        <v/>
      </c>
      <c r="L859" s="145">
        <f t="shared" si="41"/>
        <v>0</v>
      </c>
      <c r="M859" t="str">
        <f>_xlfn.XLOOKUP(Table3[[#This Row],[Cuenta]],Estructura_Balance[Nombre Cuenta ()],Estructura_Balance[Grupo],"",0)</f>
        <v/>
      </c>
      <c r="N859" t="str">
        <f>_xlfn.XLOOKUP(Table3[[#This Row],[Cuenta]],Estructura_Balance[Nombre Cuenta ()],Estructura_Balance[Nivel 1],"",0)</f>
        <v/>
      </c>
      <c r="O859" t="str">
        <f>_xlfn.XLOOKUP(Table3[[#This Row],[Cuenta]],Estructura_Balance[Nombre Cuenta ()],Estructura_Balance[Nivel 2],"",0)</f>
        <v/>
      </c>
      <c r="P859" t="str">
        <f>_xlfn.XLOOKUP(Table3[[#This Row],[Cuenta]],Estructura_Balance[Nombre Cuenta ()],Estructura_Balance[Nivel 3],"",0)</f>
        <v/>
      </c>
      <c r="Q859" t="str">
        <f>_xlfn.XLOOKUP(Table3[[#This Row],[Cuenta]],Estructura_Balance[Nombre Cuenta ()],Estructura_Balance[Nivel 4],"",0)</f>
        <v/>
      </c>
      <c r="R859" t="str">
        <f>_xlfn.XLOOKUP(Table3[[#This Row],[Cuenta]],Table8[Nombre Cuenta ()],Table8[Nivel 1],"",0)</f>
        <v/>
      </c>
      <c r="S859" t="str">
        <f>_xlfn.XLOOKUP(Table3[[#This Row],[Cuenta]],Table8[Nombre Cuenta ()],Table8[Nivel 2],"",0)</f>
        <v/>
      </c>
      <c r="T859" t="str">
        <f>_xlfn.XLOOKUP(Table3[[#This Row],[Cuenta]],Table8[Nombre Cuenta ()],Table8[Nivel 3],"",0)</f>
        <v/>
      </c>
      <c r="U859">
        <v>1417</v>
      </c>
      <c r="V859" t="str">
        <f>_xlfn.XLOOKUP(Table3[[#This Row],[Cuenta]],Estructura_Balance[Nombre Cuenta ()],Estructura_Balance[Niveles:2],"",0)</f>
        <v/>
      </c>
      <c r="W859" t="str">
        <f>_xlfn.XLOOKUP(Table3[[#This Row],[Cuenta]],Estructura_Balance[Nombre Cuenta ()],Estructura_Balance[Niveles:3],"",0)</f>
        <v/>
      </c>
      <c r="X859" t="str">
        <f>_xlfn.XLOOKUP(Table3[[#This Row],[Cuenta]],Estructura_Balance[Nombre Cuenta ()],Estructura_Balance[Grupos],"Grupo 1",0)</f>
        <v>Grupo 1</v>
      </c>
      <c r="Y859" t="str">
        <f>+Table3[[#This Row],[BS_Nivel_1]]</f>
        <v/>
      </c>
    </row>
    <row r="860" spans="1:25">
      <c r="A860">
        <f>+'Libro Diario'!F102</f>
        <v>0</v>
      </c>
      <c r="B860" s="144">
        <f>VALUE(IF(+'Libro Diario'!G102="","01/01/2025",+'Libro Diario'!G102))</f>
        <v>45658</v>
      </c>
      <c r="C860">
        <f>IF(ISNUMBER(+IF(IFERROR(VALUE(MID('Libro Diario'!D102,1,4)),0)&lt;&gt;0,'Libro Diario'!D102,0))=FALSE,'Libro Diario'!D102,0)</f>
        <v>0</v>
      </c>
      <c r="D860" s="145" t="str">
        <f>+'Libro Diario'!E102</f>
        <v>HABER</v>
      </c>
      <c r="E860" s="139" t="s">
        <v>446</v>
      </c>
      <c r="F860" t="str">
        <f t="shared" si="39"/>
        <v>Sin Mov.</v>
      </c>
      <c r="G860" t="str">
        <f>IF(+'Libro Diario'!H102=0,"",+'Libro Diario'!H102)</f>
        <v/>
      </c>
      <c r="H860" t="str">
        <f>IF(+'Libro Diario'!I102=0,"",+'Libro Diario'!I102)</f>
        <v/>
      </c>
      <c r="I860" t="str">
        <f>+IF(Table3[[#This Row],[Tipo Movimiento]]="Estructura Balance y PyG","Excluir","Incluir")</f>
        <v>Incluir</v>
      </c>
      <c r="J860" s="153">
        <f>+IF(Table3[[#This Row],[Sin cuenta]]="Con Mov.",(IF(Table3[[#This Row],[Movimiento]]="Debe",Table3[[#This Row],[Importe]],IF(Table3[[#This Row],[Movimiento]]="Haber",Table3[[#This Row],[Importe]]*-1,0))),0)</f>
        <v>0</v>
      </c>
      <c r="K860" s="145" t="str">
        <f t="shared" si="40"/>
        <v/>
      </c>
      <c r="L860" s="145" t="str">
        <f t="shared" si="41"/>
        <v>HABER</v>
      </c>
      <c r="M860" t="str">
        <f>_xlfn.XLOOKUP(Table3[[#This Row],[Cuenta]],Estructura_Balance[Nombre Cuenta ()],Estructura_Balance[Grupo],"",0)</f>
        <v/>
      </c>
      <c r="N860" t="str">
        <f>_xlfn.XLOOKUP(Table3[[#This Row],[Cuenta]],Estructura_Balance[Nombre Cuenta ()],Estructura_Balance[Nivel 1],"",0)</f>
        <v/>
      </c>
      <c r="O860" t="str">
        <f>_xlfn.XLOOKUP(Table3[[#This Row],[Cuenta]],Estructura_Balance[Nombre Cuenta ()],Estructura_Balance[Nivel 2],"",0)</f>
        <v/>
      </c>
      <c r="P860" t="str">
        <f>_xlfn.XLOOKUP(Table3[[#This Row],[Cuenta]],Estructura_Balance[Nombre Cuenta ()],Estructura_Balance[Nivel 3],"",0)</f>
        <v/>
      </c>
      <c r="Q860" t="str">
        <f>_xlfn.XLOOKUP(Table3[[#This Row],[Cuenta]],Estructura_Balance[Nombre Cuenta ()],Estructura_Balance[Nivel 4],"",0)</f>
        <v/>
      </c>
      <c r="R860" t="str">
        <f>_xlfn.XLOOKUP(Table3[[#This Row],[Cuenta]],Table8[Nombre Cuenta ()],Table8[Nivel 1],"",0)</f>
        <v/>
      </c>
      <c r="S860" t="str">
        <f>_xlfn.XLOOKUP(Table3[[#This Row],[Cuenta]],Table8[Nombre Cuenta ()],Table8[Nivel 2],"",0)</f>
        <v/>
      </c>
      <c r="T860" t="str">
        <f>_xlfn.XLOOKUP(Table3[[#This Row],[Cuenta]],Table8[Nombre Cuenta ()],Table8[Nivel 3],"",0)</f>
        <v/>
      </c>
      <c r="U860">
        <v>1418</v>
      </c>
      <c r="V860" t="str">
        <f>_xlfn.XLOOKUP(Table3[[#This Row],[Cuenta]],Estructura_Balance[Nombre Cuenta ()],Estructura_Balance[Niveles:2],"",0)</f>
        <v/>
      </c>
      <c r="W860" t="str">
        <f>_xlfn.XLOOKUP(Table3[[#This Row],[Cuenta]],Estructura_Balance[Nombre Cuenta ()],Estructura_Balance[Niveles:3],"",0)</f>
        <v/>
      </c>
      <c r="X860" t="str">
        <f>_xlfn.XLOOKUP(Table3[[#This Row],[Cuenta]],Estructura_Balance[Nombre Cuenta ()],Estructura_Balance[Grupos],"Grupo 1",0)</f>
        <v>Grupo 1</v>
      </c>
      <c r="Y860" t="str">
        <f>+Table3[[#This Row],[BS_Nivel_1]]</f>
        <v/>
      </c>
    </row>
    <row r="861" spans="1:25">
      <c r="A861">
        <f>+'Libro Diario'!F103</f>
        <v>0</v>
      </c>
      <c r="B861" s="144">
        <f>VALUE(IF(+'Libro Diario'!G103="","01/01/2025",+'Libro Diario'!G103))</f>
        <v>45658</v>
      </c>
      <c r="C861">
        <f>IF(ISNUMBER(+IF(IFERROR(VALUE(MID('Libro Diario'!D103,1,4)),0)&lt;&gt;0,'Libro Diario'!D103,0))=FALSE,'Libro Diario'!D103,0)</f>
        <v>0</v>
      </c>
      <c r="D861" s="145">
        <f>+'Libro Diario'!E103</f>
        <v>0</v>
      </c>
      <c r="E861" s="139" t="s">
        <v>446</v>
      </c>
      <c r="F861" t="str">
        <f t="shared" si="39"/>
        <v>Sin Mov.</v>
      </c>
      <c r="G861" t="str">
        <f>IF(+'Libro Diario'!H103=0,"",+'Libro Diario'!H103)</f>
        <v/>
      </c>
      <c r="H861" t="str">
        <f>IF(+'Libro Diario'!I103=0,"",+'Libro Diario'!I103)</f>
        <v/>
      </c>
      <c r="I861" t="str">
        <f>+IF(Table3[[#This Row],[Tipo Movimiento]]="Estructura Balance y PyG","Excluir","Incluir")</f>
        <v>Incluir</v>
      </c>
      <c r="J861" s="153">
        <f>+IF(Table3[[#This Row],[Sin cuenta]]="Con Mov.",(IF(Table3[[#This Row],[Movimiento]]="Debe",Table3[[#This Row],[Importe]],IF(Table3[[#This Row],[Movimiento]]="Haber",Table3[[#This Row],[Importe]]*-1,0))),0)</f>
        <v>0</v>
      </c>
      <c r="K861" s="145" t="str">
        <f t="shared" si="40"/>
        <v/>
      </c>
      <c r="L861" s="145">
        <f t="shared" si="41"/>
        <v>0</v>
      </c>
      <c r="M861" t="str">
        <f>_xlfn.XLOOKUP(Table3[[#This Row],[Cuenta]],Estructura_Balance[Nombre Cuenta ()],Estructura_Balance[Grupo],"",0)</f>
        <v/>
      </c>
      <c r="N861" t="str">
        <f>_xlfn.XLOOKUP(Table3[[#This Row],[Cuenta]],Estructura_Balance[Nombre Cuenta ()],Estructura_Balance[Nivel 1],"",0)</f>
        <v/>
      </c>
      <c r="O861" t="str">
        <f>_xlfn.XLOOKUP(Table3[[#This Row],[Cuenta]],Estructura_Balance[Nombre Cuenta ()],Estructura_Balance[Nivel 2],"",0)</f>
        <v/>
      </c>
      <c r="P861" t="str">
        <f>_xlfn.XLOOKUP(Table3[[#This Row],[Cuenta]],Estructura_Balance[Nombre Cuenta ()],Estructura_Balance[Nivel 3],"",0)</f>
        <v/>
      </c>
      <c r="Q861" t="str">
        <f>_xlfn.XLOOKUP(Table3[[#This Row],[Cuenta]],Estructura_Balance[Nombre Cuenta ()],Estructura_Balance[Nivel 4],"",0)</f>
        <v/>
      </c>
      <c r="R861" t="str">
        <f>_xlfn.XLOOKUP(Table3[[#This Row],[Cuenta]],Table8[Nombre Cuenta ()],Table8[Nivel 1],"",0)</f>
        <v/>
      </c>
      <c r="S861" t="str">
        <f>_xlfn.XLOOKUP(Table3[[#This Row],[Cuenta]],Table8[Nombre Cuenta ()],Table8[Nivel 2],"",0)</f>
        <v/>
      </c>
      <c r="T861" t="str">
        <f>_xlfn.XLOOKUP(Table3[[#This Row],[Cuenta]],Table8[Nombre Cuenta ()],Table8[Nivel 3],"",0)</f>
        <v/>
      </c>
      <c r="U861">
        <v>1419</v>
      </c>
      <c r="V861" t="str">
        <f>_xlfn.XLOOKUP(Table3[[#This Row],[Cuenta]],Estructura_Balance[Nombre Cuenta ()],Estructura_Balance[Niveles:2],"",0)</f>
        <v/>
      </c>
      <c r="W861" t="str">
        <f>_xlfn.XLOOKUP(Table3[[#This Row],[Cuenta]],Estructura_Balance[Nombre Cuenta ()],Estructura_Balance[Niveles:3],"",0)</f>
        <v/>
      </c>
      <c r="X861" t="str">
        <f>_xlfn.XLOOKUP(Table3[[#This Row],[Cuenta]],Estructura_Balance[Nombre Cuenta ()],Estructura_Balance[Grupos],"Grupo 1",0)</f>
        <v>Grupo 1</v>
      </c>
      <c r="Y861" t="str">
        <f>+Table3[[#This Row],[BS_Nivel_1]]</f>
        <v/>
      </c>
    </row>
    <row r="862" spans="1:25">
      <c r="A862">
        <f>+'Libro Diario'!F107</f>
        <v>0</v>
      </c>
      <c r="B862" s="144">
        <f>VALUE(IF(+'Libro Diario'!G107="","01/01/2025",+'Libro Diario'!G107))</f>
        <v>45658</v>
      </c>
      <c r="C862">
        <f>IF(ISNUMBER(+IF(IFERROR(VALUE(MID('Libro Diario'!D107,1,4)),0)&lt;&gt;0,'Libro Diario'!D107,0))=FALSE,'Libro Diario'!D107,0)</f>
        <v>0</v>
      </c>
      <c r="D862" s="145">
        <f>+'Libro Diario'!E107</f>
        <v>0</v>
      </c>
      <c r="E862" s="139" t="s">
        <v>446</v>
      </c>
      <c r="F862" t="str">
        <f t="shared" si="39"/>
        <v>Sin Mov.</v>
      </c>
      <c r="G862" t="str">
        <f>IF(+'Libro Diario'!H107=0,"",+'Libro Diario'!H107)</f>
        <v/>
      </c>
      <c r="H862" t="str">
        <f>IF(+'Libro Diario'!I107=0,"",+'Libro Diario'!I107)</f>
        <v/>
      </c>
      <c r="I862" t="str">
        <f>+IF(Table3[[#This Row],[Tipo Movimiento]]="Estructura Balance y PyG","Excluir","Incluir")</f>
        <v>Incluir</v>
      </c>
      <c r="J862" s="153">
        <f>+IF(Table3[[#This Row],[Sin cuenta]]="Con Mov.",(IF(Table3[[#This Row],[Movimiento]]="Debe",Table3[[#This Row],[Importe]],IF(Table3[[#This Row],[Movimiento]]="Haber",Table3[[#This Row],[Importe]]*-1,0))),0)</f>
        <v>0</v>
      </c>
      <c r="K862" s="145" t="str">
        <f t="shared" si="40"/>
        <v/>
      </c>
      <c r="L862" s="145">
        <f t="shared" si="41"/>
        <v>0</v>
      </c>
      <c r="M862" t="str">
        <f>_xlfn.XLOOKUP(Table3[[#This Row],[Cuenta]],Estructura_Balance[Nombre Cuenta ()],Estructura_Balance[Grupo],"",0)</f>
        <v/>
      </c>
      <c r="N862" t="str">
        <f>_xlfn.XLOOKUP(Table3[[#This Row],[Cuenta]],Estructura_Balance[Nombre Cuenta ()],Estructura_Balance[Nivel 1],"",0)</f>
        <v/>
      </c>
      <c r="O862" t="str">
        <f>_xlfn.XLOOKUP(Table3[[#This Row],[Cuenta]],Estructura_Balance[Nombre Cuenta ()],Estructura_Balance[Nivel 2],"",0)</f>
        <v/>
      </c>
      <c r="P862" t="str">
        <f>_xlfn.XLOOKUP(Table3[[#This Row],[Cuenta]],Estructura_Balance[Nombre Cuenta ()],Estructura_Balance[Nivel 3],"",0)</f>
        <v/>
      </c>
      <c r="Q862" t="str">
        <f>_xlfn.XLOOKUP(Table3[[#This Row],[Cuenta]],Estructura_Balance[Nombre Cuenta ()],Estructura_Balance[Nivel 4],"",0)</f>
        <v/>
      </c>
      <c r="R862" t="str">
        <f>_xlfn.XLOOKUP(Table3[[#This Row],[Cuenta]],Table8[Nombre Cuenta ()],Table8[Nivel 1],"",0)</f>
        <v/>
      </c>
      <c r="S862" t="str">
        <f>_xlfn.XLOOKUP(Table3[[#This Row],[Cuenta]],Table8[Nombre Cuenta ()],Table8[Nivel 2],"",0)</f>
        <v/>
      </c>
      <c r="T862" t="str">
        <f>_xlfn.XLOOKUP(Table3[[#This Row],[Cuenta]],Table8[Nombre Cuenta ()],Table8[Nivel 3],"",0)</f>
        <v/>
      </c>
      <c r="U862">
        <v>1425</v>
      </c>
      <c r="V862" t="str">
        <f>_xlfn.XLOOKUP(Table3[[#This Row],[Cuenta]],Estructura_Balance[Nombre Cuenta ()],Estructura_Balance[Niveles:2],"",0)</f>
        <v/>
      </c>
      <c r="W862" t="str">
        <f>_xlfn.XLOOKUP(Table3[[#This Row],[Cuenta]],Estructura_Balance[Nombre Cuenta ()],Estructura_Balance[Niveles:3],"",0)</f>
        <v/>
      </c>
      <c r="X862" t="str">
        <f>_xlfn.XLOOKUP(Table3[[#This Row],[Cuenta]],Estructura_Balance[Nombre Cuenta ()],Estructura_Balance[Grupos],"Grupo 1",0)</f>
        <v>Grupo 1</v>
      </c>
      <c r="Y862" t="str">
        <f>+Table3[[#This Row],[BS_Nivel_1]]</f>
        <v/>
      </c>
    </row>
    <row r="863" spans="1:25">
      <c r="A863">
        <f>+'Libro Diario'!F108</f>
        <v>0</v>
      </c>
      <c r="B863" s="144">
        <f>VALUE(IF(+'Libro Diario'!G108="","01/01/2025",+'Libro Diario'!G108))</f>
        <v>45658</v>
      </c>
      <c r="C863">
        <f>IF(ISNUMBER(+IF(IFERROR(VALUE(MID('Libro Diario'!D108,1,4)),0)&lt;&gt;0,'Libro Diario'!D108,0))=FALSE,'Libro Diario'!D108,0)</f>
        <v>0</v>
      </c>
      <c r="D863" s="145">
        <f>+'Libro Diario'!E108</f>
        <v>0</v>
      </c>
      <c r="E863" s="139" t="s">
        <v>446</v>
      </c>
      <c r="F863" t="str">
        <f t="shared" si="39"/>
        <v>Sin Mov.</v>
      </c>
      <c r="G863" t="str">
        <f>IF(+'Libro Diario'!H108=0,"",+'Libro Diario'!H108)</f>
        <v/>
      </c>
      <c r="H863" t="str">
        <f>IF(+'Libro Diario'!I108=0,"",+'Libro Diario'!I108)</f>
        <v/>
      </c>
      <c r="I863" t="str">
        <f>+IF(Table3[[#This Row],[Tipo Movimiento]]="Estructura Balance y PyG","Excluir","Incluir")</f>
        <v>Incluir</v>
      </c>
      <c r="J863" s="153">
        <f>+IF(Table3[[#This Row],[Sin cuenta]]="Con Mov.",(IF(Table3[[#This Row],[Movimiento]]="Debe",Table3[[#This Row],[Importe]],IF(Table3[[#This Row],[Movimiento]]="Haber",Table3[[#This Row],[Importe]]*-1,0))),0)</f>
        <v>0</v>
      </c>
      <c r="K863" s="145" t="str">
        <f t="shared" si="40"/>
        <v/>
      </c>
      <c r="L863" s="145">
        <f t="shared" si="41"/>
        <v>0</v>
      </c>
      <c r="M863" t="str">
        <f>_xlfn.XLOOKUP(Table3[[#This Row],[Cuenta]],Estructura_Balance[Nombre Cuenta ()],Estructura_Balance[Grupo],"",0)</f>
        <v/>
      </c>
      <c r="N863" t="str">
        <f>_xlfn.XLOOKUP(Table3[[#This Row],[Cuenta]],Estructura_Balance[Nombre Cuenta ()],Estructura_Balance[Nivel 1],"",0)</f>
        <v/>
      </c>
      <c r="O863" t="str">
        <f>_xlfn.XLOOKUP(Table3[[#This Row],[Cuenta]],Estructura_Balance[Nombre Cuenta ()],Estructura_Balance[Nivel 2],"",0)</f>
        <v/>
      </c>
      <c r="P863" t="str">
        <f>_xlfn.XLOOKUP(Table3[[#This Row],[Cuenta]],Estructura_Balance[Nombre Cuenta ()],Estructura_Balance[Nivel 3],"",0)</f>
        <v/>
      </c>
      <c r="Q863" t="str">
        <f>_xlfn.XLOOKUP(Table3[[#This Row],[Cuenta]],Estructura_Balance[Nombre Cuenta ()],Estructura_Balance[Nivel 4],"",0)</f>
        <v/>
      </c>
      <c r="R863" t="str">
        <f>_xlfn.XLOOKUP(Table3[[#This Row],[Cuenta]],Table8[Nombre Cuenta ()],Table8[Nivel 1],"",0)</f>
        <v/>
      </c>
      <c r="S863" t="str">
        <f>_xlfn.XLOOKUP(Table3[[#This Row],[Cuenta]],Table8[Nombre Cuenta ()],Table8[Nivel 2],"",0)</f>
        <v/>
      </c>
      <c r="T863" t="str">
        <f>_xlfn.XLOOKUP(Table3[[#This Row],[Cuenta]],Table8[Nombre Cuenta ()],Table8[Nivel 3],"",0)</f>
        <v/>
      </c>
      <c r="U863">
        <v>1426</v>
      </c>
      <c r="V863" t="str">
        <f>_xlfn.XLOOKUP(Table3[[#This Row],[Cuenta]],Estructura_Balance[Nombre Cuenta ()],Estructura_Balance[Niveles:2],"",0)</f>
        <v/>
      </c>
      <c r="W863" t="str">
        <f>_xlfn.XLOOKUP(Table3[[#This Row],[Cuenta]],Estructura_Balance[Nombre Cuenta ()],Estructura_Balance[Niveles:3],"",0)</f>
        <v/>
      </c>
      <c r="X863" t="str">
        <f>_xlfn.XLOOKUP(Table3[[#This Row],[Cuenta]],Estructura_Balance[Nombre Cuenta ()],Estructura_Balance[Grupos],"Grupo 1",0)</f>
        <v>Grupo 1</v>
      </c>
      <c r="Y863" t="str">
        <f>+Table3[[#This Row],[BS_Nivel_1]]</f>
        <v/>
      </c>
    </row>
    <row r="864" spans="1:25">
      <c r="A864">
        <f>+'Libro Diario'!F109</f>
        <v>0</v>
      </c>
      <c r="B864" s="144">
        <f>VALUE(IF(+'Libro Diario'!G109="","01/01/2025",+'Libro Diario'!G109))</f>
        <v>45658</v>
      </c>
      <c r="C864">
        <f>IF(ISNUMBER(+IF(IFERROR(VALUE(MID('Libro Diario'!D109,1,4)),0)&lt;&gt;0,'Libro Diario'!D109,0))=FALSE,'Libro Diario'!D109,0)</f>
        <v>0</v>
      </c>
      <c r="D864" s="145">
        <f>+'Libro Diario'!E109</f>
        <v>0</v>
      </c>
      <c r="E864" s="139" t="s">
        <v>446</v>
      </c>
      <c r="F864" t="str">
        <f t="shared" si="39"/>
        <v>Sin Mov.</v>
      </c>
      <c r="G864" t="str">
        <f>IF(+'Libro Diario'!H109=0,"",+'Libro Diario'!H109)</f>
        <v/>
      </c>
      <c r="H864" t="str">
        <f>IF(+'Libro Diario'!I109=0,"",+'Libro Diario'!I109)</f>
        <v/>
      </c>
      <c r="I864" t="str">
        <f>+IF(Table3[[#This Row],[Tipo Movimiento]]="Estructura Balance y PyG","Excluir","Incluir")</f>
        <v>Incluir</v>
      </c>
      <c r="J864" s="153">
        <f>+IF(Table3[[#This Row],[Sin cuenta]]="Con Mov.",(IF(Table3[[#This Row],[Movimiento]]="Debe",Table3[[#This Row],[Importe]],IF(Table3[[#This Row],[Movimiento]]="Haber",Table3[[#This Row],[Importe]]*-1,0))),0)</f>
        <v>0</v>
      </c>
      <c r="K864" s="145" t="str">
        <f t="shared" si="40"/>
        <v/>
      </c>
      <c r="L864" s="145">
        <f t="shared" si="41"/>
        <v>0</v>
      </c>
      <c r="M864" t="str">
        <f>_xlfn.XLOOKUP(Table3[[#This Row],[Cuenta]],Estructura_Balance[Nombre Cuenta ()],Estructura_Balance[Grupo],"",0)</f>
        <v/>
      </c>
      <c r="N864" t="str">
        <f>_xlfn.XLOOKUP(Table3[[#This Row],[Cuenta]],Estructura_Balance[Nombre Cuenta ()],Estructura_Balance[Nivel 1],"",0)</f>
        <v/>
      </c>
      <c r="O864" t="str">
        <f>_xlfn.XLOOKUP(Table3[[#This Row],[Cuenta]],Estructura_Balance[Nombre Cuenta ()],Estructura_Balance[Nivel 2],"",0)</f>
        <v/>
      </c>
      <c r="P864" t="str">
        <f>_xlfn.XLOOKUP(Table3[[#This Row],[Cuenta]],Estructura_Balance[Nombre Cuenta ()],Estructura_Balance[Nivel 3],"",0)</f>
        <v/>
      </c>
      <c r="Q864" t="str">
        <f>_xlfn.XLOOKUP(Table3[[#This Row],[Cuenta]],Estructura_Balance[Nombre Cuenta ()],Estructura_Balance[Nivel 4],"",0)</f>
        <v/>
      </c>
      <c r="R864" t="str">
        <f>_xlfn.XLOOKUP(Table3[[#This Row],[Cuenta]],Table8[Nombre Cuenta ()],Table8[Nivel 1],"",0)</f>
        <v/>
      </c>
      <c r="S864" t="str">
        <f>_xlfn.XLOOKUP(Table3[[#This Row],[Cuenta]],Table8[Nombre Cuenta ()],Table8[Nivel 2],"",0)</f>
        <v/>
      </c>
      <c r="T864" t="str">
        <f>_xlfn.XLOOKUP(Table3[[#This Row],[Cuenta]],Table8[Nombre Cuenta ()],Table8[Nivel 3],"",0)</f>
        <v/>
      </c>
      <c r="U864">
        <v>1427</v>
      </c>
      <c r="V864" t="str">
        <f>_xlfn.XLOOKUP(Table3[[#This Row],[Cuenta]],Estructura_Balance[Nombre Cuenta ()],Estructura_Balance[Niveles:2],"",0)</f>
        <v/>
      </c>
      <c r="W864" t="str">
        <f>_xlfn.XLOOKUP(Table3[[#This Row],[Cuenta]],Estructura_Balance[Nombre Cuenta ()],Estructura_Balance[Niveles:3],"",0)</f>
        <v/>
      </c>
      <c r="X864" t="str">
        <f>_xlfn.XLOOKUP(Table3[[#This Row],[Cuenta]],Estructura_Balance[Nombre Cuenta ()],Estructura_Balance[Grupos],"Grupo 1",0)</f>
        <v>Grupo 1</v>
      </c>
      <c r="Y864" t="str">
        <f>+Table3[[#This Row],[BS_Nivel_1]]</f>
        <v/>
      </c>
    </row>
    <row r="865" spans="1:25">
      <c r="A865">
        <f>+'Libro Diario'!F110</f>
        <v>0</v>
      </c>
      <c r="B865" s="144">
        <f>VALUE(IF(+'Libro Diario'!G110="","01/01/2025",+'Libro Diario'!G110))</f>
        <v>45658</v>
      </c>
      <c r="C865">
        <f>IF(ISNUMBER(+IF(IFERROR(VALUE(MID('Libro Diario'!D110,1,4)),0)&lt;&gt;0,'Libro Diario'!D110,0))=FALSE,'Libro Diario'!D110,0)</f>
        <v>0</v>
      </c>
      <c r="D865" s="145" t="str">
        <f>+'Libro Diario'!E110</f>
        <v>HABER</v>
      </c>
      <c r="E865" s="139" t="s">
        <v>446</v>
      </c>
      <c r="F865" t="str">
        <f t="shared" si="39"/>
        <v>Sin Mov.</v>
      </c>
      <c r="G865" t="str">
        <f>IF(+'Libro Diario'!H110=0,"",+'Libro Diario'!H110)</f>
        <v/>
      </c>
      <c r="H865" t="str">
        <f>IF(+'Libro Diario'!I110=0,"",+'Libro Diario'!I110)</f>
        <v/>
      </c>
      <c r="I865" t="str">
        <f>+IF(Table3[[#This Row],[Tipo Movimiento]]="Estructura Balance y PyG","Excluir","Incluir")</f>
        <v>Incluir</v>
      </c>
      <c r="J865" s="153">
        <f>+IF(Table3[[#This Row],[Sin cuenta]]="Con Mov.",(IF(Table3[[#This Row],[Movimiento]]="Debe",Table3[[#This Row],[Importe]],IF(Table3[[#This Row],[Movimiento]]="Haber",Table3[[#This Row],[Importe]]*-1,0))),0)</f>
        <v>0</v>
      </c>
      <c r="K865" s="145" t="str">
        <f t="shared" si="40"/>
        <v/>
      </c>
      <c r="L865" s="145" t="str">
        <f t="shared" si="41"/>
        <v>HABER</v>
      </c>
      <c r="M865" t="str">
        <f>_xlfn.XLOOKUP(Table3[[#This Row],[Cuenta]],Estructura_Balance[Nombre Cuenta ()],Estructura_Balance[Grupo],"",0)</f>
        <v/>
      </c>
      <c r="N865" t="str">
        <f>_xlfn.XLOOKUP(Table3[[#This Row],[Cuenta]],Estructura_Balance[Nombre Cuenta ()],Estructura_Balance[Nivel 1],"",0)</f>
        <v/>
      </c>
      <c r="O865" t="str">
        <f>_xlfn.XLOOKUP(Table3[[#This Row],[Cuenta]],Estructura_Balance[Nombre Cuenta ()],Estructura_Balance[Nivel 2],"",0)</f>
        <v/>
      </c>
      <c r="P865" t="str">
        <f>_xlfn.XLOOKUP(Table3[[#This Row],[Cuenta]],Estructura_Balance[Nombre Cuenta ()],Estructura_Balance[Nivel 3],"",0)</f>
        <v/>
      </c>
      <c r="Q865" t="str">
        <f>_xlfn.XLOOKUP(Table3[[#This Row],[Cuenta]],Estructura_Balance[Nombre Cuenta ()],Estructura_Balance[Nivel 4],"",0)</f>
        <v/>
      </c>
      <c r="R865" t="str">
        <f>_xlfn.XLOOKUP(Table3[[#This Row],[Cuenta]],Table8[Nombre Cuenta ()],Table8[Nivel 1],"",0)</f>
        <v/>
      </c>
      <c r="S865" t="str">
        <f>_xlfn.XLOOKUP(Table3[[#This Row],[Cuenta]],Table8[Nombre Cuenta ()],Table8[Nivel 2],"",0)</f>
        <v/>
      </c>
      <c r="T865" t="str">
        <f>_xlfn.XLOOKUP(Table3[[#This Row],[Cuenta]],Table8[Nombre Cuenta ()],Table8[Nivel 3],"",0)</f>
        <v/>
      </c>
      <c r="U865">
        <v>1430</v>
      </c>
      <c r="V865" t="str">
        <f>_xlfn.XLOOKUP(Table3[[#This Row],[Cuenta]],Estructura_Balance[Nombre Cuenta ()],Estructura_Balance[Niveles:2],"",0)</f>
        <v/>
      </c>
      <c r="W865" t="str">
        <f>_xlfn.XLOOKUP(Table3[[#This Row],[Cuenta]],Estructura_Balance[Nombre Cuenta ()],Estructura_Balance[Niveles:3],"",0)</f>
        <v/>
      </c>
      <c r="X865" t="str">
        <f>_xlfn.XLOOKUP(Table3[[#This Row],[Cuenta]],Estructura_Balance[Nombre Cuenta ()],Estructura_Balance[Grupos],"Grupo 1",0)</f>
        <v>Grupo 1</v>
      </c>
      <c r="Y865" t="str">
        <f>+Table3[[#This Row],[BS_Nivel_1]]</f>
        <v/>
      </c>
    </row>
    <row r="866" spans="1:25">
      <c r="A866">
        <f>+'Libro Diario'!F111</f>
        <v>0</v>
      </c>
      <c r="B866" s="144">
        <f>VALUE(IF(+'Libro Diario'!G111="","01/01/2025",+'Libro Diario'!G111))</f>
        <v>45658</v>
      </c>
      <c r="C866">
        <f>IF(ISNUMBER(+IF(IFERROR(VALUE(MID('Libro Diario'!D111,1,4)),0)&lt;&gt;0,'Libro Diario'!D111,0))=FALSE,'Libro Diario'!D111,0)</f>
        <v>0</v>
      </c>
      <c r="D866" s="145">
        <f>+'Libro Diario'!E111</f>
        <v>0</v>
      </c>
      <c r="E866" s="139" t="s">
        <v>446</v>
      </c>
      <c r="F866" t="str">
        <f t="shared" si="39"/>
        <v>Sin Mov.</v>
      </c>
      <c r="G866" t="str">
        <f>IF(+'Libro Diario'!H111=0,"",+'Libro Diario'!H111)</f>
        <v/>
      </c>
      <c r="H866" t="str">
        <f>IF(+'Libro Diario'!I111=0,"",+'Libro Diario'!I111)</f>
        <v/>
      </c>
      <c r="I866" t="str">
        <f>+IF(Table3[[#This Row],[Tipo Movimiento]]="Estructura Balance y PyG","Excluir","Incluir")</f>
        <v>Incluir</v>
      </c>
      <c r="J866" s="153">
        <f>+IF(Table3[[#This Row],[Sin cuenta]]="Con Mov.",(IF(Table3[[#This Row],[Movimiento]]="Debe",Table3[[#This Row],[Importe]],IF(Table3[[#This Row],[Movimiento]]="Haber",Table3[[#This Row],[Importe]]*-1,0))),0)</f>
        <v>0</v>
      </c>
      <c r="K866" s="145" t="str">
        <f t="shared" si="40"/>
        <v/>
      </c>
      <c r="L866" s="145">
        <f t="shared" si="41"/>
        <v>0</v>
      </c>
      <c r="M866" t="str">
        <f>_xlfn.XLOOKUP(Table3[[#This Row],[Cuenta]],Estructura_Balance[Nombre Cuenta ()],Estructura_Balance[Grupo],"",0)</f>
        <v/>
      </c>
      <c r="N866" t="str">
        <f>_xlfn.XLOOKUP(Table3[[#This Row],[Cuenta]],Estructura_Balance[Nombre Cuenta ()],Estructura_Balance[Nivel 1],"",0)</f>
        <v/>
      </c>
      <c r="O866" t="str">
        <f>_xlfn.XLOOKUP(Table3[[#This Row],[Cuenta]],Estructura_Balance[Nombre Cuenta ()],Estructura_Balance[Nivel 2],"",0)</f>
        <v/>
      </c>
      <c r="P866" t="str">
        <f>_xlfn.XLOOKUP(Table3[[#This Row],[Cuenta]],Estructura_Balance[Nombre Cuenta ()],Estructura_Balance[Nivel 3],"",0)</f>
        <v/>
      </c>
      <c r="Q866" t="str">
        <f>_xlfn.XLOOKUP(Table3[[#This Row],[Cuenta]],Estructura_Balance[Nombre Cuenta ()],Estructura_Balance[Nivel 4],"",0)</f>
        <v/>
      </c>
      <c r="R866" t="str">
        <f>_xlfn.XLOOKUP(Table3[[#This Row],[Cuenta]],Table8[Nombre Cuenta ()],Table8[Nivel 1],"",0)</f>
        <v/>
      </c>
      <c r="S866" t="str">
        <f>_xlfn.XLOOKUP(Table3[[#This Row],[Cuenta]],Table8[Nombre Cuenta ()],Table8[Nivel 2],"",0)</f>
        <v/>
      </c>
      <c r="T866" t="str">
        <f>_xlfn.XLOOKUP(Table3[[#This Row],[Cuenta]],Table8[Nombre Cuenta ()],Table8[Nivel 3],"",0)</f>
        <v/>
      </c>
      <c r="U866">
        <v>1431</v>
      </c>
      <c r="V866" t="str">
        <f>_xlfn.XLOOKUP(Table3[[#This Row],[Cuenta]],Estructura_Balance[Nombre Cuenta ()],Estructura_Balance[Niveles:2],"",0)</f>
        <v/>
      </c>
      <c r="W866" t="str">
        <f>_xlfn.XLOOKUP(Table3[[#This Row],[Cuenta]],Estructura_Balance[Nombre Cuenta ()],Estructura_Balance[Niveles:3],"",0)</f>
        <v/>
      </c>
      <c r="X866" t="str">
        <f>_xlfn.XLOOKUP(Table3[[#This Row],[Cuenta]],Estructura_Balance[Nombre Cuenta ()],Estructura_Balance[Grupos],"Grupo 1",0)</f>
        <v>Grupo 1</v>
      </c>
      <c r="Y866" t="str">
        <f>+Table3[[#This Row],[BS_Nivel_1]]</f>
        <v/>
      </c>
    </row>
    <row r="867" spans="1:25">
      <c r="A867">
        <f>+'Libro Diario'!F115</f>
        <v>0</v>
      </c>
      <c r="B867" s="144">
        <f>VALUE(IF(+'Libro Diario'!G115="","01/01/2025",+'Libro Diario'!G115))</f>
        <v>45658</v>
      </c>
      <c r="C867">
        <f>IF(ISNUMBER(+IF(IFERROR(VALUE(MID('Libro Diario'!D115,1,4)),0)&lt;&gt;0,'Libro Diario'!D115,0))=FALSE,'Libro Diario'!D115,0)</f>
        <v>0</v>
      </c>
      <c r="D867" s="145">
        <f>+'Libro Diario'!E115</f>
        <v>0</v>
      </c>
      <c r="E867" s="139" t="s">
        <v>446</v>
      </c>
      <c r="F867" t="str">
        <f t="shared" si="39"/>
        <v>Sin Mov.</v>
      </c>
      <c r="G867" t="str">
        <f>IF(+'Libro Diario'!H115=0,"",+'Libro Diario'!H115)</f>
        <v/>
      </c>
      <c r="H867" t="str">
        <f>IF(+'Libro Diario'!I115=0,"",+'Libro Diario'!I115)</f>
        <v/>
      </c>
      <c r="I867" t="str">
        <f>+IF(Table3[[#This Row],[Tipo Movimiento]]="Estructura Balance y PyG","Excluir","Incluir")</f>
        <v>Incluir</v>
      </c>
      <c r="J867" s="153">
        <f>+IF(Table3[[#This Row],[Sin cuenta]]="Con Mov.",(IF(Table3[[#This Row],[Movimiento]]="Debe",Table3[[#This Row],[Importe]],IF(Table3[[#This Row],[Movimiento]]="Haber",Table3[[#This Row],[Importe]]*-1,0))),0)</f>
        <v>0</v>
      </c>
      <c r="K867" s="145" t="str">
        <f t="shared" si="40"/>
        <v/>
      </c>
      <c r="L867" s="145">
        <f t="shared" si="41"/>
        <v>0</v>
      </c>
      <c r="M867" t="str">
        <f>_xlfn.XLOOKUP(Table3[[#This Row],[Cuenta]],Estructura_Balance[Nombre Cuenta ()],Estructura_Balance[Grupo],"",0)</f>
        <v/>
      </c>
      <c r="N867" t="str">
        <f>_xlfn.XLOOKUP(Table3[[#This Row],[Cuenta]],Estructura_Balance[Nombre Cuenta ()],Estructura_Balance[Nivel 1],"",0)</f>
        <v/>
      </c>
      <c r="O867" t="str">
        <f>_xlfn.XLOOKUP(Table3[[#This Row],[Cuenta]],Estructura_Balance[Nombre Cuenta ()],Estructura_Balance[Nivel 2],"",0)</f>
        <v/>
      </c>
      <c r="P867" t="str">
        <f>_xlfn.XLOOKUP(Table3[[#This Row],[Cuenta]],Estructura_Balance[Nombre Cuenta ()],Estructura_Balance[Nivel 3],"",0)</f>
        <v/>
      </c>
      <c r="Q867" t="str">
        <f>_xlfn.XLOOKUP(Table3[[#This Row],[Cuenta]],Estructura_Balance[Nombre Cuenta ()],Estructura_Balance[Nivel 4],"",0)</f>
        <v/>
      </c>
      <c r="R867" t="str">
        <f>_xlfn.XLOOKUP(Table3[[#This Row],[Cuenta]],Table8[Nombre Cuenta ()],Table8[Nivel 1],"",0)</f>
        <v/>
      </c>
      <c r="S867" t="str">
        <f>_xlfn.XLOOKUP(Table3[[#This Row],[Cuenta]],Table8[Nombre Cuenta ()],Table8[Nivel 2],"",0)</f>
        <v/>
      </c>
      <c r="T867" t="str">
        <f>_xlfn.XLOOKUP(Table3[[#This Row],[Cuenta]],Table8[Nombre Cuenta ()],Table8[Nivel 3],"",0)</f>
        <v/>
      </c>
      <c r="U867">
        <v>1437</v>
      </c>
      <c r="V867" t="str">
        <f>_xlfn.XLOOKUP(Table3[[#This Row],[Cuenta]],Estructura_Balance[Nombre Cuenta ()],Estructura_Balance[Niveles:2],"",0)</f>
        <v/>
      </c>
      <c r="W867" t="str">
        <f>_xlfn.XLOOKUP(Table3[[#This Row],[Cuenta]],Estructura_Balance[Nombre Cuenta ()],Estructura_Balance[Niveles:3],"",0)</f>
        <v/>
      </c>
      <c r="X867" t="str">
        <f>_xlfn.XLOOKUP(Table3[[#This Row],[Cuenta]],Estructura_Balance[Nombre Cuenta ()],Estructura_Balance[Grupos],"Grupo 1",0)</f>
        <v>Grupo 1</v>
      </c>
      <c r="Y867" t="str">
        <f>+Table3[[#This Row],[BS_Nivel_1]]</f>
        <v/>
      </c>
    </row>
    <row r="868" spans="1:25">
      <c r="A868">
        <f>+'Libro Diario'!F116</f>
        <v>0</v>
      </c>
      <c r="B868" s="144">
        <f>VALUE(IF(+'Libro Diario'!G116="","01/01/2025",+'Libro Diario'!G116))</f>
        <v>45658</v>
      </c>
      <c r="C868">
        <f>IF(ISNUMBER(+IF(IFERROR(VALUE(MID('Libro Diario'!D116,1,4)),0)&lt;&gt;0,'Libro Diario'!D116,0))=FALSE,'Libro Diario'!D116,0)</f>
        <v>0</v>
      </c>
      <c r="D868" s="145">
        <f>+'Libro Diario'!E116</f>
        <v>0</v>
      </c>
      <c r="E868" s="139" t="s">
        <v>446</v>
      </c>
      <c r="F868" t="str">
        <f t="shared" si="39"/>
        <v>Sin Mov.</v>
      </c>
      <c r="G868" t="str">
        <f>IF(+'Libro Diario'!H116=0,"",+'Libro Diario'!H116)</f>
        <v/>
      </c>
      <c r="H868" t="str">
        <f>IF(+'Libro Diario'!I116=0,"",+'Libro Diario'!I116)</f>
        <v/>
      </c>
      <c r="I868" t="str">
        <f>+IF(Table3[[#This Row],[Tipo Movimiento]]="Estructura Balance y PyG","Excluir","Incluir")</f>
        <v>Incluir</v>
      </c>
      <c r="J868" s="153">
        <f>+IF(Table3[[#This Row],[Sin cuenta]]="Con Mov.",(IF(Table3[[#This Row],[Movimiento]]="Debe",Table3[[#This Row],[Importe]],IF(Table3[[#This Row],[Movimiento]]="Haber",Table3[[#This Row],[Importe]]*-1,0))),0)</f>
        <v>0</v>
      </c>
      <c r="K868" s="145" t="str">
        <f t="shared" si="40"/>
        <v/>
      </c>
      <c r="L868" s="145">
        <f t="shared" si="41"/>
        <v>0</v>
      </c>
      <c r="M868" t="str">
        <f>_xlfn.XLOOKUP(Table3[[#This Row],[Cuenta]],Estructura_Balance[Nombre Cuenta ()],Estructura_Balance[Grupo],"",0)</f>
        <v/>
      </c>
      <c r="N868" t="str">
        <f>_xlfn.XLOOKUP(Table3[[#This Row],[Cuenta]],Estructura_Balance[Nombre Cuenta ()],Estructura_Balance[Nivel 1],"",0)</f>
        <v/>
      </c>
      <c r="O868" t="str">
        <f>_xlfn.XLOOKUP(Table3[[#This Row],[Cuenta]],Estructura_Balance[Nombre Cuenta ()],Estructura_Balance[Nivel 2],"",0)</f>
        <v/>
      </c>
      <c r="P868" t="str">
        <f>_xlfn.XLOOKUP(Table3[[#This Row],[Cuenta]],Estructura_Balance[Nombre Cuenta ()],Estructura_Balance[Nivel 3],"",0)</f>
        <v/>
      </c>
      <c r="Q868" t="str">
        <f>_xlfn.XLOOKUP(Table3[[#This Row],[Cuenta]],Estructura_Balance[Nombre Cuenta ()],Estructura_Balance[Nivel 4],"",0)</f>
        <v/>
      </c>
      <c r="R868" t="str">
        <f>_xlfn.XLOOKUP(Table3[[#This Row],[Cuenta]],Table8[Nombre Cuenta ()],Table8[Nivel 1],"",0)</f>
        <v/>
      </c>
      <c r="S868" t="str">
        <f>_xlfn.XLOOKUP(Table3[[#This Row],[Cuenta]],Table8[Nombre Cuenta ()],Table8[Nivel 2],"",0)</f>
        <v/>
      </c>
      <c r="T868" t="str">
        <f>_xlfn.XLOOKUP(Table3[[#This Row],[Cuenta]],Table8[Nombre Cuenta ()],Table8[Nivel 3],"",0)</f>
        <v/>
      </c>
      <c r="U868">
        <v>1438</v>
      </c>
      <c r="V868" t="str">
        <f>_xlfn.XLOOKUP(Table3[[#This Row],[Cuenta]],Estructura_Balance[Nombre Cuenta ()],Estructura_Balance[Niveles:2],"",0)</f>
        <v/>
      </c>
      <c r="W868" t="str">
        <f>_xlfn.XLOOKUP(Table3[[#This Row],[Cuenta]],Estructura_Balance[Nombre Cuenta ()],Estructura_Balance[Niveles:3],"",0)</f>
        <v/>
      </c>
      <c r="X868" t="str">
        <f>_xlfn.XLOOKUP(Table3[[#This Row],[Cuenta]],Estructura_Balance[Nombre Cuenta ()],Estructura_Balance[Grupos],"Grupo 1",0)</f>
        <v>Grupo 1</v>
      </c>
      <c r="Y868" t="str">
        <f>+Table3[[#This Row],[BS_Nivel_1]]</f>
        <v/>
      </c>
    </row>
    <row r="869" spans="1:25">
      <c r="A869">
        <f>+'Libro Diario'!F117</f>
        <v>0</v>
      </c>
      <c r="B869" s="144">
        <f>VALUE(IF(+'Libro Diario'!G117="","01/01/2025",+'Libro Diario'!G117))</f>
        <v>45658</v>
      </c>
      <c r="C869">
        <f>IF(ISNUMBER(+IF(IFERROR(VALUE(MID('Libro Diario'!D117,1,4)),0)&lt;&gt;0,'Libro Diario'!D117,0))=FALSE,'Libro Diario'!D117,0)</f>
        <v>0</v>
      </c>
      <c r="D869" s="145">
        <f>+'Libro Diario'!E117</f>
        <v>0</v>
      </c>
      <c r="E869" s="139" t="s">
        <v>446</v>
      </c>
      <c r="F869" t="str">
        <f t="shared" si="39"/>
        <v>Sin Mov.</v>
      </c>
      <c r="G869" t="str">
        <f>IF(+'Libro Diario'!H117=0,"",+'Libro Diario'!H117)</f>
        <v/>
      </c>
      <c r="H869" t="str">
        <f>IF(+'Libro Diario'!I117=0,"",+'Libro Diario'!I117)</f>
        <v/>
      </c>
      <c r="I869" t="str">
        <f>+IF(Table3[[#This Row],[Tipo Movimiento]]="Estructura Balance y PyG","Excluir","Incluir")</f>
        <v>Incluir</v>
      </c>
      <c r="J869" s="153">
        <f>+IF(Table3[[#This Row],[Sin cuenta]]="Con Mov.",(IF(Table3[[#This Row],[Movimiento]]="Debe",Table3[[#This Row],[Importe]],IF(Table3[[#This Row],[Movimiento]]="Haber",Table3[[#This Row],[Importe]]*-1,0))),0)</f>
        <v>0</v>
      </c>
      <c r="K869" s="145" t="str">
        <f t="shared" si="40"/>
        <v/>
      </c>
      <c r="L869" s="145">
        <f t="shared" si="41"/>
        <v>0</v>
      </c>
      <c r="M869" t="str">
        <f>_xlfn.XLOOKUP(Table3[[#This Row],[Cuenta]],Estructura_Balance[Nombre Cuenta ()],Estructura_Balance[Grupo],"",0)</f>
        <v/>
      </c>
      <c r="N869" t="str">
        <f>_xlfn.XLOOKUP(Table3[[#This Row],[Cuenta]],Estructura_Balance[Nombre Cuenta ()],Estructura_Balance[Nivel 1],"",0)</f>
        <v/>
      </c>
      <c r="O869" t="str">
        <f>_xlfn.XLOOKUP(Table3[[#This Row],[Cuenta]],Estructura_Balance[Nombre Cuenta ()],Estructura_Balance[Nivel 2],"",0)</f>
        <v/>
      </c>
      <c r="P869" t="str">
        <f>_xlfn.XLOOKUP(Table3[[#This Row],[Cuenta]],Estructura_Balance[Nombre Cuenta ()],Estructura_Balance[Nivel 3],"",0)</f>
        <v/>
      </c>
      <c r="Q869" t="str">
        <f>_xlfn.XLOOKUP(Table3[[#This Row],[Cuenta]],Estructura_Balance[Nombre Cuenta ()],Estructura_Balance[Nivel 4],"",0)</f>
        <v/>
      </c>
      <c r="R869" t="str">
        <f>_xlfn.XLOOKUP(Table3[[#This Row],[Cuenta]],Table8[Nombre Cuenta ()],Table8[Nivel 1],"",0)</f>
        <v/>
      </c>
      <c r="S869" t="str">
        <f>_xlfn.XLOOKUP(Table3[[#This Row],[Cuenta]],Table8[Nombre Cuenta ()],Table8[Nivel 2],"",0)</f>
        <v/>
      </c>
      <c r="T869" t="str">
        <f>_xlfn.XLOOKUP(Table3[[#This Row],[Cuenta]],Table8[Nombre Cuenta ()],Table8[Nivel 3],"",0)</f>
        <v/>
      </c>
      <c r="U869">
        <v>1439</v>
      </c>
      <c r="V869" t="str">
        <f>_xlfn.XLOOKUP(Table3[[#This Row],[Cuenta]],Estructura_Balance[Nombre Cuenta ()],Estructura_Balance[Niveles:2],"",0)</f>
        <v/>
      </c>
      <c r="W869" t="str">
        <f>_xlfn.XLOOKUP(Table3[[#This Row],[Cuenta]],Estructura_Balance[Nombre Cuenta ()],Estructura_Balance[Niveles:3],"",0)</f>
        <v/>
      </c>
      <c r="X869" t="str">
        <f>_xlfn.XLOOKUP(Table3[[#This Row],[Cuenta]],Estructura_Balance[Nombre Cuenta ()],Estructura_Balance[Grupos],"Grupo 1",0)</f>
        <v>Grupo 1</v>
      </c>
      <c r="Y869" t="str">
        <f>+Table3[[#This Row],[BS_Nivel_1]]</f>
        <v/>
      </c>
    </row>
    <row r="870" spans="1:25">
      <c r="A870">
        <f>+'Libro Diario'!F118</f>
        <v>0</v>
      </c>
      <c r="B870" s="144">
        <f>VALUE(IF(+'Libro Diario'!G118="","01/01/2025",+'Libro Diario'!G118))</f>
        <v>45658</v>
      </c>
      <c r="C870">
        <f>IF(ISNUMBER(+IF(IFERROR(VALUE(MID('Libro Diario'!D118,1,4)),0)&lt;&gt;0,'Libro Diario'!D118,0))=FALSE,'Libro Diario'!D118,0)</f>
        <v>0</v>
      </c>
      <c r="D870" s="145" t="str">
        <f>+'Libro Diario'!E118</f>
        <v>HABER</v>
      </c>
      <c r="E870" s="139" t="s">
        <v>446</v>
      </c>
      <c r="F870" t="str">
        <f t="shared" si="39"/>
        <v>Sin Mov.</v>
      </c>
      <c r="G870" t="str">
        <f>IF(+'Libro Diario'!H118=0,"",+'Libro Diario'!H118)</f>
        <v/>
      </c>
      <c r="H870" t="str">
        <f>IF(+'Libro Diario'!I118=0,"",+'Libro Diario'!I118)</f>
        <v/>
      </c>
      <c r="I870" t="str">
        <f>+IF(Table3[[#This Row],[Tipo Movimiento]]="Estructura Balance y PyG","Excluir","Incluir")</f>
        <v>Incluir</v>
      </c>
      <c r="J870" s="153">
        <f>+IF(Table3[[#This Row],[Sin cuenta]]="Con Mov.",(IF(Table3[[#This Row],[Movimiento]]="Debe",Table3[[#This Row],[Importe]],IF(Table3[[#This Row],[Movimiento]]="Haber",Table3[[#This Row],[Importe]]*-1,0))),0)</f>
        <v>0</v>
      </c>
      <c r="K870" s="145" t="str">
        <f t="shared" si="40"/>
        <v/>
      </c>
      <c r="L870" s="145" t="str">
        <f t="shared" si="41"/>
        <v>HABER</v>
      </c>
      <c r="M870" t="str">
        <f>_xlfn.XLOOKUP(Table3[[#This Row],[Cuenta]],Estructura_Balance[Nombre Cuenta ()],Estructura_Balance[Grupo],"",0)</f>
        <v/>
      </c>
      <c r="N870" t="str">
        <f>_xlfn.XLOOKUP(Table3[[#This Row],[Cuenta]],Estructura_Balance[Nombre Cuenta ()],Estructura_Balance[Nivel 1],"",0)</f>
        <v/>
      </c>
      <c r="O870" t="str">
        <f>_xlfn.XLOOKUP(Table3[[#This Row],[Cuenta]],Estructura_Balance[Nombre Cuenta ()],Estructura_Balance[Nivel 2],"",0)</f>
        <v/>
      </c>
      <c r="P870" t="str">
        <f>_xlfn.XLOOKUP(Table3[[#This Row],[Cuenta]],Estructura_Balance[Nombre Cuenta ()],Estructura_Balance[Nivel 3],"",0)</f>
        <v/>
      </c>
      <c r="Q870" t="str">
        <f>_xlfn.XLOOKUP(Table3[[#This Row],[Cuenta]],Estructura_Balance[Nombre Cuenta ()],Estructura_Balance[Nivel 4],"",0)</f>
        <v/>
      </c>
      <c r="R870" t="str">
        <f>_xlfn.XLOOKUP(Table3[[#This Row],[Cuenta]],Table8[Nombre Cuenta ()],Table8[Nivel 1],"",0)</f>
        <v/>
      </c>
      <c r="S870" t="str">
        <f>_xlfn.XLOOKUP(Table3[[#This Row],[Cuenta]],Table8[Nombre Cuenta ()],Table8[Nivel 2],"",0)</f>
        <v/>
      </c>
      <c r="T870" t="str">
        <f>_xlfn.XLOOKUP(Table3[[#This Row],[Cuenta]],Table8[Nombre Cuenta ()],Table8[Nivel 3],"",0)</f>
        <v/>
      </c>
      <c r="U870">
        <v>1440</v>
      </c>
      <c r="V870" t="str">
        <f>_xlfn.XLOOKUP(Table3[[#This Row],[Cuenta]],Estructura_Balance[Nombre Cuenta ()],Estructura_Balance[Niveles:2],"",0)</f>
        <v/>
      </c>
      <c r="W870" t="str">
        <f>_xlfn.XLOOKUP(Table3[[#This Row],[Cuenta]],Estructura_Balance[Nombre Cuenta ()],Estructura_Balance[Niveles:3],"",0)</f>
        <v/>
      </c>
      <c r="X870" t="str">
        <f>_xlfn.XLOOKUP(Table3[[#This Row],[Cuenta]],Estructura_Balance[Nombre Cuenta ()],Estructura_Balance[Grupos],"Grupo 1",0)</f>
        <v>Grupo 1</v>
      </c>
      <c r="Y870" t="str">
        <f>+Table3[[#This Row],[BS_Nivel_1]]</f>
        <v/>
      </c>
    </row>
    <row r="871" spans="1:25">
      <c r="A871">
        <f>+'Libro Diario'!F119</f>
        <v>0</v>
      </c>
      <c r="B871" s="144">
        <f>VALUE(IF(+'Libro Diario'!G119="","01/01/2025",+'Libro Diario'!G119))</f>
        <v>45658</v>
      </c>
      <c r="C871">
        <f>IF(ISNUMBER(+IF(IFERROR(VALUE(MID('Libro Diario'!D119,1,4)),0)&lt;&gt;0,'Libro Diario'!D119,0))=FALSE,'Libro Diario'!D119,0)</f>
        <v>0</v>
      </c>
      <c r="D871" s="145">
        <f>+'Libro Diario'!E119</f>
        <v>0</v>
      </c>
      <c r="E871" s="139" t="s">
        <v>446</v>
      </c>
      <c r="F871" t="str">
        <f t="shared" si="39"/>
        <v>Sin Mov.</v>
      </c>
      <c r="G871" t="str">
        <f>IF(+'Libro Diario'!H119=0,"",+'Libro Diario'!H119)</f>
        <v/>
      </c>
      <c r="H871" t="str">
        <f>IF(+'Libro Diario'!I119=0,"",+'Libro Diario'!I119)</f>
        <v/>
      </c>
      <c r="I871" t="str">
        <f>+IF(Table3[[#This Row],[Tipo Movimiento]]="Estructura Balance y PyG","Excluir","Incluir")</f>
        <v>Incluir</v>
      </c>
      <c r="J871" s="153">
        <f>+IF(Table3[[#This Row],[Sin cuenta]]="Con Mov.",(IF(Table3[[#This Row],[Movimiento]]="Debe",Table3[[#This Row],[Importe]],IF(Table3[[#This Row],[Movimiento]]="Haber",Table3[[#This Row],[Importe]]*-1,0))),0)</f>
        <v>0</v>
      </c>
      <c r="K871" s="145" t="str">
        <f t="shared" si="40"/>
        <v/>
      </c>
      <c r="L871" s="145">
        <f t="shared" si="41"/>
        <v>0</v>
      </c>
      <c r="M871" t="str">
        <f>_xlfn.XLOOKUP(Table3[[#This Row],[Cuenta]],Estructura_Balance[Nombre Cuenta ()],Estructura_Balance[Grupo],"",0)</f>
        <v/>
      </c>
      <c r="N871" t="str">
        <f>_xlfn.XLOOKUP(Table3[[#This Row],[Cuenta]],Estructura_Balance[Nombre Cuenta ()],Estructura_Balance[Nivel 1],"",0)</f>
        <v/>
      </c>
      <c r="O871" t="str">
        <f>_xlfn.XLOOKUP(Table3[[#This Row],[Cuenta]],Estructura_Balance[Nombre Cuenta ()],Estructura_Balance[Nivel 2],"",0)</f>
        <v/>
      </c>
      <c r="P871" t="str">
        <f>_xlfn.XLOOKUP(Table3[[#This Row],[Cuenta]],Estructura_Balance[Nombre Cuenta ()],Estructura_Balance[Nivel 3],"",0)</f>
        <v/>
      </c>
      <c r="Q871" t="str">
        <f>_xlfn.XLOOKUP(Table3[[#This Row],[Cuenta]],Estructura_Balance[Nombre Cuenta ()],Estructura_Balance[Nivel 4],"",0)</f>
        <v/>
      </c>
      <c r="R871" t="str">
        <f>_xlfn.XLOOKUP(Table3[[#This Row],[Cuenta]],Table8[Nombre Cuenta ()],Table8[Nivel 1],"",0)</f>
        <v/>
      </c>
      <c r="S871" t="str">
        <f>_xlfn.XLOOKUP(Table3[[#This Row],[Cuenta]],Table8[Nombre Cuenta ()],Table8[Nivel 2],"",0)</f>
        <v/>
      </c>
      <c r="T871" t="str">
        <f>_xlfn.XLOOKUP(Table3[[#This Row],[Cuenta]],Table8[Nombre Cuenta ()],Table8[Nivel 3],"",0)</f>
        <v/>
      </c>
      <c r="U871">
        <v>1441</v>
      </c>
      <c r="V871" t="str">
        <f>_xlfn.XLOOKUP(Table3[[#This Row],[Cuenta]],Estructura_Balance[Nombre Cuenta ()],Estructura_Balance[Niveles:2],"",0)</f>
        <v/>
      </c>
      <c r="W871" t="str">
        <f>_xlfn.XLOOKUP(Table3[[#This Row],[Cuenta]],Estructura_Balance[Nombre Cuenta ()],Estructura_Balance[Niveles:3],"",0)</f>
        <v/>
      </c>
      <c r="X871" t="str">
        <f>_xlfn.XLOOKUP(Table3[[#This Row],[Cuenta]],Estructura_Balance[Nombre Cuenta ()],Estructura_Balance[Grupos],"Grupo 1",0)</f>
        <v>Grupo 1</v>
      </c>
      <c r="Y871" t="str">
        <f>+Table3[[#This Row],[BS_Nivel_1]]</f>
        <v/>
      </c>
    </row>
    <row r="872" spans="1:25">
      <c r="A872">
        <f>+'Libro Diario'!F122</f>
        <v>0</v>
      </c>
      <c r="B872" s="144">
        <f>VALUE(IF(+'Libro Diario'!G122="","01/01/2025",+'Libro Diario'!G122))</f>
        <v>45658</v>
      </c>
      <c r="C872">
        <f>IF(ISNUMBER(+IF(IFERROR(VALUE(MID('Libro Diario'!D122,1,4)),0)&lt;&gt;0,'Libro Diario'!D122,0))=FALSE,'Libro Diario'!D122,0)</f>
        <v>0</v>
      </c>
      <c r="D872" s="145">
        <f>+'Libro Diario'!E122</f>
        <v>0</v>
      </c>
      <c r="E872" s="139" t="s">
        <v>446</v>
      </c>
      <c r="F872" t="str">
        <f t="shared" si="39"/>
        <v>Sin Mov.</v>
      </c>
      <c r="G872" t="str">
        <f>IF(+'Libro Diario'!H122=0,"",+'Libro Diario'!H122)</f>
        <v/>
      </c>
      <c r="H872" t="str">
        <f>IF(+'Libro Diario'!I122=0,"",+'Libro Diario'!I122)</f>
        <v/>
      </c>
      <c r="I872" t="str">
        <f>+IF(Table3[[#This Row],[Tipo Movimiento]]="Estructura Balance y PyG","Excluir","Incluir")</f>
        <v>Incluir</v>
      </c>
      <c r="J872" s="153">
        <f>+IF(Table3[[#This Row],[Sin cuenta]]="Con Mov.",(IF(Table3[[#This Row],[Movimiento]]="Debe",Table3[[#This Row],[Importe]],IF(Table3[[#This Row],[Movimiento]]="Haber",Table3[[#This Row],[Importe]]*-1,0))),0)</f>
        <v>0</v>
      </c>
      <c r="K872" s="145" t="str">
        <f t="shared" si="40"/>
        <v/>
      </c>
      <c r="L872" s="145">
        <f t="shared" si="41"/>
        <v>0</v>
      </c>
      <c r="M872" t="str">
        <f>_xlfn.XLOOKUP(Table3[[#This Row],[Cuenta]],Estructura_Balance[Nombre Cuenta ()],Estructura_Balance[Grupo],"",0)</f>
        <v/>
      </c>
      <c r="N872" t="str">
        <f>_xlfn.XLOOKUP(Table3[[#This Row],[Cuenta]],Estructura_Balance[Nombre Cuenta ()],Estructura_Balance[Nivel 1],"",0)</f>
        <v/>
      </c>
      <c r="O872" t="str">
        <f>_xlfn.XLOOKUP(Table3[[#This Row],[Cuenta]],Estructura_Balance[Nombre Cuenta ()],Estructura_Balance[Nivel 2],"",0)</f>
        <v/>
      </c>
      <c r="P872" t="str">
        <f>_xlfn.XLOOKUP(Table3[[#This Row],[Cuenta]],Estructura_Balance[Nombre Cuenta ()],Estructura_Balance[Nivel 3],"",0)</f>
        <v/>
      </c>
      <c r="Q872" t="str">
        <f>_xlfn.XLOOKUP(Table3[[#This Row],[Cuenta]],Estructura_Balance[Nombre Cuenta ()],Estructura_Balance[Nivel 4],"",0)</f>
        <v/>
      </c>
      <c r="R872" t="str">
        <f>_xlfn.XLOOKUP(Table3[[#This Row],[Cuenta]],Table8[Nombre Cuenta ()],Table8[Nivel 1],"",0)</f>
        <v/>
      </c>
      <c r="S872" t="str">
        <f>_xlfn.XLOOKUP(Table3[[#This Row],[Cuenta]],Table8[Nombre Cuenta ()],Table8[Nivel 2],"",0)</f>
        <v/>
      </c>
      <c r="T872" t="str">
        <f>_xlfn.XLOOKUP(Table3[[#This Row],[Cuenta]],Table8[Nombre Cuenta ()],Table8[Nivel 3],"",0)</f>
        <v/>
      </c>
      <c r="U872">
        <v>1446</v>
      </c>
      <c r="V872" t="str">
        <f>_xlfn.XLOOKUP(Table3[[#This Row],[Cuenta]],Estructura_Balance[Nombre Cuenta ()],Estructura_Balance[Niveles:2],"",0)</f>
        <v/>
      </c>
      <c r="W872" t="str">
        <f>_xlfn.XLOOKUP(Table3[[#This Row],[Cuenta]],Estructura_Balance[Nombre Cuenta ()],Estructura_Balance[Niveles:3],"",0)</f>
        <v/>
      </c>
      <c r="X872" t="str">
        <f>_xlfn.XLOOKUP(Table3[[#This Row],[Cuenta]],Estructura_Balance[Nombre Cuenta ()],Estructura_Balance[Grupos],"Grupo 1",0)</f>
        <v>Grupo 1</v>
      </c>
      <c r="Y872" t="str">
        <f>+Table3[[#This Row],[BS_Nivel_1]]</f>
        <v/>
      </c>
    </row>
    <row r="873" spans="1:25">
      <c r="A873">
        <f>+'Libro Diario'!F123</f>
        <v>0</v>
      </c>
      <c r="B873" s="144">
        <f>VALUE(IF(+'Libro Diario'!G123="","01/01/2025",+'Libro Diario'!G123))</f>
        <v>45658</v>
      </c>
      <c r="C873">
        <f>IF(ISNUMBER(+IF(IFERROR(VALUE(MID('Libro Diario'!D123,1,4)),0)&lt;&gt;0,'Libro Diario'!D123,0))=FALSE,'Libro Diario'!D123,0)</f>
        <v>0</v>
      </c>
      <c r="D873" s="145">
        <f>+'Libro Diario'!E123</f>
        <v>0</v>
      </c>
      <c r="E873" s="139" t="s">
        <v>446</v>
      </c>
      <c r="F873" t="str">
        <f t="shared" si="39"/>
        <v>Sin Mov.</v>
      </c>
      <c r="G873" t="str">
        <f>IF(+'Libro Diario'!H123=0,"",+'Libro Diario'!H123)</f>
        <v/>
      </c>
      <c r="H873" t="str">
        <f>IF(+'Libro Diario'!I123=0,"",+'Libro Diario'!I123)</f>
        <v/>
      </c>
      <c r="I873" t="str">
        <f>+IF(Table3[[#This Row],[Tipo Movimiento]]="Estructura Balance y PyG","Excluir","Incluir")</f>
        <v>Incluir</v>
      </c>
      <c r="J873" s="153">
        <f>+IF(Table3[[#This Row],[Sin cuenta]]="Con Mov.",(IF(Table3[[#This Row],[Movimiento]]="Debe",Table3[[#This Row],[Importe]],IF(Table3[[#This Row],[Movimiento]]="Haber",Table3[[#This Row],[Importe]]*-1,0))),0)</f>
        <v>0</v>
      </c>
      <c r="K873" s="145" t="str">
        <f t="shared" si="40"/>
        <v/>
      </c>
      <c r="L873" s="145">
        <f t="shared" si="41"/>
        <v>0</v>
      </c>
      <c r="M873" t="str">
        <f>_xlfn.XLOOKUP(Table3[[#This Row],[Cuenta]],Estructura_Balance[Nombre Cuenta ()],Estructura_Balance[Grupo],"",0)</f>
        <v/>
      </c>
      <c r="N873" t="str">
        <f>_xlfn.XLOOKUP(Table3[[#This Row],[Cuenta]],Estructura_Balance[Nombre Cuenta ()],Estructura_Balance[Nivel 1],"",0)</f>
        <v/>
      </c>
      <c r="O873" t="str">
        <f>_xlfn.XLOOKUP(Table3[[#This Row],[Cuenta]],Estructura_Balance[Nombre Cuenta ()],Estructura_Balance[Nivel 2],"",0)</f>
        <v/>
      </c>
      <c r="P873" t="str">
        <f>_xlfn.XLOOKUP(Table3[[#This Row],[Cuenta]],Estructura_Balance[Nombre Cuenta ()],Estructura_Balance[Nivel 3],"",0)</f>
        <v/>
      </c>
      <c r="Q873" t="str">
        <f>_xlfn.XLOOKUP(Table3[[#This Row],[Cuenta]],Estructura_Balance[Nombre Cuenta ()],Estructura_Balance[Nivel 4],"",0)</f>
        <v/>
      </c>
      <c r="R873" t="str">
        <f>_xlfn.XLOOKUP(Table3[[#This Row],[Cuenta]],Table8[Nombre Cuenta ()],Table8[Nivel 1],"",0)</f>
        <v/>
      </c>
      <c r="S873" t="str">
        <f>_xlfn.XLOOKUP(Table3[[#This Row],[Cuenta]],Table8[Nombre Cuenta ()],Table8[Nivel 2],"",0)</f>
        <v/>
      </c>
      <c r="T873" t="str">
        <f>_xlfn.XLOOKUP(Table3[[#This Row],[Cuenta]],Table8[Nombre Cuenta ()],Table8[Nivel 3],"",0)</f>
        <v/>
      </c>
      <c r="U873">
        <v>1447</v>
      </c>
      <c r="V873" t="str">
        <f>_xlfn.XLOOKUP(Table3[[#This Row],[Cuenta]],Estructura_Balance[Nombre Cuenta ()],Estructura_Balance[Niveles:2],"",0)</f>
        <v/>
      </c>
      <c r="W873" t="str">
        <f>_xlfn.XLOOKUP(Table3[[#This Row],[Cuenta]],Estructura_Balance[Nombre Cuenta ()],Estructura_Balance[Niveles:3],"",0)</f>
        <v/>
      </c>
      <c r="X873" t="str">
        <f>_xlfn.XLOOKUP(Table3[[#This Row],[Cuenta]],Estructura_Balance[Nombre Cuenta ()],Estructura_Balance[Grupos],"Grupo 1",0)</f>
        <v>Grupo 1</v>
      </c>
      <c r="Y873" t="str">
        <f>+Table3[[#This Row],[BS_Nivel_1]]</f>
        <v/>
      </c>
    </row>
    <row r="874" spans="1:25">
      <c r="A874">
        <f>+'Libro Diario'!F124</f>
        <v>0</v>
      </c>
      <c r="B874" s="144">
        <f>VALUE(IF(+'Libro Diario'!G124="","01/01/2025",+'Libro Diario'!G124))</f>
        <v>45658</v>
      </c>
      <c r="C874">
        <f>IF(ISNUMBER(+IF(IFERROR(VALUE(MID('Libro Diario'!D124,1,4)),0)&lt;&gt;0,'Libro Diario'!D124,0))=FALSE,'Libro Diario'!D124,0)</f>
        <v>0</v>
      </c>
      <c r="D874" s="145">
        <f>+'Libro Diario'!E124</f>
        <v>0</v>
      </c>
      <c r="E874" s="139" t="s">
        <v>446</v>
      </c>
      <c r="F874" t="str">
        <f t="shared" si="39"/>
        <v>Sin Mov.</v>
      </c>
      <c r="G874" t="str">
        <f>IF(+'Libro Diario'!H124=0,"",+'Libro Diario'!H124)</f>
        <v/>
      </c>
      <c r="H874" t="str">
        <f>IF(+'Libro Diario'!I124=0,"",+'Libro Diario'!I124)</f>
        <v/>
      </c>
      <c r="I874" t="str">
        <f>+IF(Table3[[#This Row],[Tipo Movimiento]]="Estructura Balance y PyG","Excluir","Incluir")</f>
        <v>Incluir</v>
      </c>
      <c r="J874" s="153">
        <f>+IF(Table3[[#This Row],[Sin cuenta]]="Con Mov.",(IF(Table3[[#This Row],[Movimiento]]="Debe",Table3[[#This Row],[Importe]],IF(Table3[[#This Row],[Movimiento]]="Haber",Table3[[#This Row],[Importe]]*-1,0))),0)</f>
        <v>0</v>
      </c>
      <c r="K874" s="145" t="str">
        <f t="shared" si="40"/>
        <v/>
      </c>
      <c r="L874" s="145">
        <f t="shared" si="41"/>
        <v>0</v>
      </c>
      <c r="M874" t="str">
        <f>_xlfn.XLOOKUP(Table3[[#This Row],[Cuenta]],Estructura_Balance[Nombre Cuenta ()],Estructura_Balance[Grupo],"",0)</f>
        <v/>
      </c>
      <c r="N874" t="str">
        <f>_xlfn.XLOOKUP(Table3[[#This Row],[Cuenta]],Estructura_Balance[Nombre Cuenta ()],Estructura_Balance[Nivel 1],"",0)</f>
        <v/>
      </c>
      <c r="O874" t="str">
        <f>_xlfn.XLOOKUP(Table3[[#This Row],[Cuenta]],Estructura_Balance[Nombre Cuenta ()],Estructura_Balance[Nivel 2],"",0)</f>
        <v/>
      </c>
      <c r="P874" t="str">
        <f>_xlfn.XLOOKUP(Table3[[#This Row],[Cuenta]],Estructura_Balance[Nombre Cuenta ()],Estructura_Balance[Nivel 3],"",0)</f>
        <v/>
      </c>
      <c r="Q874" t="str">
        <f>_xlfn.XLOOKUP(Table3[[#This Row],[Cuenta]],Estructura_Balance[Nombre Cuenta ()],Estructura_Balance[Nivel 4],"",0)</f>
        <v/>
      </c>
      <c r="R874" t="str">
        <f>_xlfn.XLOOKUP(Table3[[#This Row],[Cuenta]],Table8[Nombre Cuenta ()],Table8[Nivel 1],"",0)</f>
        <v/>
      </c>
      <c r="S874" t="str">
        <f>_xlfn.XLOOKUP(Table3[[#This Row],[Cuenta]],Table8[Nombre Cuenta ()],Table8[Nivel 2],"",0)</f>
        <v/>
      </c>
      <c r="T874" t="str">
        <f>_xlfn.XLOOKUP(Table3[[#This Row],[Cuenta]],Table8[Nombre Cuenta ()],Table8[Nivel 3],"",0)</f>
        <v/>
      </c>
      <c r="U874">
        <v>1448</v>
      </c>
      <c r="V874" t="str">
        <f>_xlfn.XLOOKUP(Table3[[#This Row],[Cuenta]],Estructura_Balance[Nombre Cuenta ()],Estructura_Balance[Niveles:2],"",0)</f>
        <v/>
      </c>
      <c r="W874" t="str">
        <f>_xlfn.XLOOKUP(Table3[[#This Row],[Cuenta]],Estructura_Balance[Nombre Cuenta ()],Estructura_Balance[Niveles:3],"",0)</f>
        <v/>
      </c>
      <c r="X874" t="str">
        <f>_xlfn.XLOOKUP(Table3[[#This Row],[Cuenta]],Estructura_Balance[Nombre Cuenta ()],Estructura_Balance[Grupos],"Grupo 1",0)</f>
        <v>Grupo 1</v>
      </c>
      <c r="Y874" t="str">
        <f>+Table3[[#This Row],[BS_Nivel_1]]</f>
        <v/>
      </c>
    </row>
    <row r="875" spans="1:25">
      <c r="A875">
        <f>+'Libro Diario'!F125</f>
        <v>0</v>
      </c>
      <c r="B875" s="144">
        <f>VALUE(IF(+'Libro Diario'!G125="","01/01/2025",+'Libro Diario'!G125))</f>
        <v>45658</v>
      </c>
      <c r="C875">
        <f>IF(ISNUMBER(+IF(IFERROR(VALUE(MID('Libro Diario'!D125,1,4)),0)&lt;&gt;0,'Libro Diario'!D125,0))=FALSE,'Libro Diario'!D125,0)</f>
        <v>0</v>
      </c>
      <c r="D875" s="145" t="str">
        <f>+'Libro Diario'!E125</f>
        <v>HABER</v>
      </c>
      <c r="E875" s="139" t="s">
        <v>446</v>
      </c>
      <c r="F875" t="str">
        <f t="shared" si="39"/>
        <v>Sin Mov.</v>
      </c>
      <c r="G875" t="str">
        <f>IF(+'Libro Diario'!H125=0,"",+'Libro Diario'!H125)</f>
        <v/>
      </c>
      <c r="H875" t="str">
        <f>IF(+'Libro Diario'!I125=0,"",+'Libro Diario'!I125)</f>
        <v/>
      </c>
      <c r="I875" t="str">
        <f>+IF(Table3[[#This Row],[Tipo Movimiento]]="Estructura Balance y PyG","Excluir","Incluir")</f>
        <v>Incluir</v>
      </c>
      <c r="J875" s="153">
        <f>+IF(Table3[[#This Row],[Sin cuenta]]="Con Mov.",(IF(Table3[[#This Row],[Movimiento]]="Debe",Table3[[#This Row],[Importe]],IF(Table3[[#This Row],[Movimiento]]="Haber",Table3[[#This Row],[Importe]]*-1,0))),0)</f>
        <v>0</v>
      </c>
      <c r="K875" s="145" t="str">
        <f t="shared" si="40"/>
        <v/>
      </c>
      <c r="L875" s="145" t="str">
        <f t="shared" si="41"/>
        <v>HABER</v>
      </c>
      <c r="M875" t="str">
        <f>_xlfn.XLOOKUP(Table3[[#This Row],[Cuenta]],Estructura_Balance[Nombre Cuenta ()],Estructura_Balance[Grupo],"",0)</f>
        <v/>
      </c>
      <c r="N875" t="str">
        <f>_xlfn.XLOOKUP(Table3[[#This Row],[Cuenta]],Estructura_Balance[Nombre Cuenta ()],Estructura_Balance[Nivel 1],"",0)</f>
        <v/>
      </c>
      <c r="O875" t="str">
        <f>_xlfn.XLOOKUP(Table3[[#This Row],[Cuenta]],Estructura_Balance[Nombre Cuenta ()],Estructura_Balance[Nivel 2],"",0)</f>
        <v/>
      </c>
      <c r="P875" t="str">
        <f>_xlfn.XLOOKUP(Table3[[#This Row],[Cuenta]],Estructura_Balance[Nombre Cuenta ()],Estructura_Balance[Nivel 3],"",0)</f>
        <v/>
      </c>
      <c r="Q875" t="str">
        <f>_xlfn.XLOOKUP(Table3[[#This Row],[Cuenta]],Estructura_Balance[Nombre Cuenta ()],Estructura_Balance[Nivel 4],"",0)</f>
        <v/>
      </c>
      <c r="R875" t="str">
        <f>_xlfn.XLOOKUP(Table3[[#This Row],[Cuenta]],Table8[Nombre Cuenta ()],Table8[Nivel 1],"",0)</f>
        <v/>
      </c>
      <c r="S875" t="str">
        <f>_xlfn.XLOOKUP(Table3[[#This Row],[Cuenta]],Table8[Nombre Cuenta ()],Table8[Nivel 2],"",0)</f>
        <v/>
      </c>
      <c r="T875" t="str">
        <f>_xlfn.XLOOKUP(Table3[[#This Row],[Cuenta]],Table8[Nombre Cuenta ()],Table8[Nivel 3],"",0)</f>
        <v/>
      </c>
      <c r="U875">
        <v>1451</v>
      </c>
      <c r="V875" t="str">
        <f>_xlfn.XLOOKUP(Table3[[#This Row],[Cuenta]],Estructura_Balance[Nombre Cuenta ()],Estructura_Balance[Niveles:2],"",0)</f>
        <v/>
      </c>
      <c r="W875" t="str">
        <f>_xlfn.XLOOKUP(Table3[[#This Row],[Cuenta]],Estructura_Balance[Nombre Cuenta ()],Estructura_Balance[Niveles:3],"",0)</f>
        <v/>
      </c>
      <c r="X875" t="str">
        <f>_xlfn.XLOOKUP(Table3[[#This Row],[Cuenta]],Estructura_Balance[Nombre Cuenta ()],Estructura_Balance[Grupos],"Grupo 1",0)</f>
        <v>Grupo 1</v>
      </c>
      <c r="Y875" t="str">
        <f>+Table3[[#This Row],[BS_Nivel_1]]</f>
        <v/>
      </c>
    </row>
    <row r="876" spans="1:25">
      <c r="A876">
        <f>+'Libro Diario'!F126</f>
        <v>0</v>
      </c>
      <c r="B876" s="144">
        <f>VALUE(IF(+'Libro Diario'!G126="","01/01/2025",+'Libro Diario'!G126))</f>
        <v>45658</v>
      </c>
      <c r="C876">
        <f>IF(ISNUMBER(+IF(IFERROR(VALUE(MID('Libro Diario'!D126,1,4)),0)&lt;&gt;0,'Libro Diario'!D126,0))=FALSE,'Libro Diario'!D126,0)</f>
        <v>0</v>
      </c>
      <c r="D876" s="145">
        <f>+'Libro Diario'!E126</f>
        <v>0</v>
      </c>
      <c r="E876" s="139" t="s">
        <v>446</v>
      </c>
      <c r="F876" t="str">
        <f t="shared" si="39"/>
        <v>Sin Mov.</v>
      </c>
      <c r="G876" t="str">
        <f>IF(+'Libro Diario'!H126=0,"",+'Libro Diario'!H126)</f>
        <v/>
      </c>
      <c r="H876" t="str">
        <f>IF(+'Libro Diario'!I126=0,"",+'Libro Diario'!I126)</f>
        <v/>
      </c>
      <c r="I876" t="str">
        <f>+IF(Table3[[#This Row],[Tipo Movimiento]]="Estructura Balance y PyG","Excluir","Incluir")</f>
        <v>Incluir</v>
      </c>
      <c r="J876" s="153">
        <f>+IF(Table3[[#This Row],[Sin cuenta]]="Con Mov.",(IF(Table3[[#This Row],[Movimiento]]="Debe",Table3[[#This Row],[Importe]],IF(Table3[[#This Row],[Movimiento]]="Haber",Table3[[#This Row],[Importe]]*-1,0))),0)</f>
        <v>0</v>
      </c>
      <c r="K876" s="145" t="str">
        <f t="shared" si="40"/>
        <v/>
      </c>
      <c r="L876" s="145">
        <f t="shared" si="41"/>
        <v>0</v>
      </c>
      <c r="M876" t="str">
        <f>_xlfn.XLOOKUP(Table3[[#This Row],[Cuenta]],Estructura_Balance[Nombre Cuenta ()],Estructura_Balance[Grupo],"",0)</f>
        <v/>
      </c>
      <c r="N876" t="str">
        <f>_xlfn.XLOOKUP(Table3[[#This Row],[Cuenta]],Estructura_Balance[Nombre Cuenta ()],Estructura_Balance[Nivel 1],"",0)</f>
        <v/>
      </c>
      <c r="O876" t="str">
        <f>_xlfn.XLOOKUP(Table3[[#This Row],[Cuenta]],Estructura_Balance[Nombre Cuenta ()],Estructura_Balance[Nivel 2],"",0)</f>
        <v/>
      </c>
      <c r="P876" t="str">
        <f>_xlfn.XLOOKUP(Table3[[#This Row],[Cuenta]],Estructura_Balance[Nombre Cuenta ()],Estructura_Balance[Nivel 3],"",0)</f>
        <v/>
      </c>
      <c r="Q876" t="str">
        <f>_xlfn.XLOOKUP(Table3[[#This Row],[Cuenta]],Estructura_Balance[Nombre Cuenta ()],Estructura_Balance[Nivel 4],"",0)</f>
        <v/>
      </c>
      <c r="R876" t="str">
        <f>_xlfn.XLOOKUP(Table3[[#This Row],[Cuenta]],Table8[Nombre Cuenta ()],Table8[Nivel 1],"",0)</f>
        <v/>
      </c>
      <c r="S876" t="str">
        <f>_xlfn.XLOOKUP(Table3[[#This Row],[Cuenta]],Table8[Nombre Cuenta ()],Table8[Nivel 2],"",0)</f>
        <v/>
      </c>
      <c r="T876" t="str">
        <f>_xlfn.XLOOKUP(Table3[[#This Row],[Cuenta]],Table8[Nombre Cuenta ()],Table8[Nivel 3],"",0)</f>
        <v/>
      </c>
      <c r="U876">
        <v>1452</v>
      </c>
      <c r="V876" t="str">
        <f>_xlfn.XLOOKUP(Table3[[#This Row],[Cuenta]],Estructura_Balance[Nombre Cuenta ()],Estructura_Balance[Niveles:2],"",0)</f>
        <v/>
      </c>
      <c r="W876" t="str">
        <f>_xlfn.XLOOKUP(Table3[[#This Row],[Cuenta]],Estructura_Balance[Nombre Cuenta ()],Estructura_Balance[Niveles:3],"",0)</f>
        <v/>
      </c>
      <c r="X876" t="str">
        <f>_xlfn.XLOOKUP(Table3[[#This Row],[Cuenta]],Estructura_Balance[Nombre Cuenta ()],Estructura_Balance[Grupos],"Grupo 1",0)</f>
        <v>Grupo 1</v>
      </c>
      <c r="Y876" t="str">
        <f>+Table3[[#This Row],[BS_Nivel_1]]</f>
        <v/>
      </c>
    </row>
    <row r="877" spans="1:25">
      <c r="A877">
        <f>+'Libro Diario'!F129</f>
        <v>0</v>
      </c>
      <c r="B877" s="144">
        <f>VALUE(IF(+'Libro Diario'!G129="","01/01/2025",+'Libro Diario'!G129))</f>
        <v>45658</v>
      </c>
      <c r="C877">
        <f>IF(ISNUMBER(+IF(IFERROR(VALUE(MID('Libro Diario'!D129,1,4)),0)&lt;&gt;0,'Libro Diario'!D129,0))=FALSE,'Libro Diario'!D129,0)</f>
        <v>0</v>
      </c>
      <c r="D877" s="145">
        <f>+'Libro Diario'!E129</f>
        <v>0</v>
      </c>
      <c r="E877" s="139" t="s">
        <v>446</v>
      </c>
      <c r="F877" t="str">
        <f t="shared" si="39"/>
        <v>Sin Mov.</v>
      </c>
      <c r="G877" t="str">
        <f>IF(+'Libro Diario'!H129=0,"",+'Libro Diario'!H129)</f>
        <v/>
      </c>
      <c r="H877" t="str">
        <f>IF(+'Libro Diario'!I129=0,"",+'Libro Diario'!I129)</f>
        <v/>
      </c>
      <c r="I877" t="str">
        <f>+IF(Table3[[#This Row],[Tipo Movimiento]]="Estructura Balance y PyG","Excluir","Incluir")</f>
        <v>Incluir</v>
      </c>
      <c r="J877" s="153">
        <f>+IF(Table3[[#This Row],[Sin cuenta]]="Con Mov.",(IF(Table3[[#This Row],[Movimiento]]="Debe",Table3[[#This Row],[Importe]],IF(Table3[[#This Row],[Movimiento]]="Haber",Table3[[#This Row],[Importe]]*-1,0))),0)</f>
        <v>0</v>
      </c>
      <c r="K877" s="145" t="str">
        <f t="shared" si="40"/>
        <v/>
      </c>
      <c r="L877" s="145">
        <f t="shared" si="41"/>
        <v>0</v>
      </c>
      <c r="M877" t="str">
        <f>_xlfn.XLOOKUP(Table3[[#This Row],[Cuenta]],Estructura_Balance[Nombre Cuenta ()],Estructura_Balance[Grupo],"",0)</f>
        <v/>
      </c>
      <c r="N877" t="str">
        <f>_xlfn.XLOOKUP(Table3[[#This Row],[Cuenta]],Estructura_Balance[Nombre Cuenta ()],Estructura_Balance[Nivel 1],"",0)</f>
        <v/>
      </c>
      <c r="O877" t="str">
        <f>_xlfn.XLOOKUP(Table3[[#This Row],[Cuenta]],Estructura_Balance[Nombre Cuenta ()],Estructura_Balance[Nivel 2],"",0)</f>
        <v/>
      </c>
      <c r="P877" t="str">
        <f>_xlfn.XLOOKUP(Table3[[#This Row],[Cuenta]],Estructura_Balance[Nombre Cuenta ()],Estructura_Balance[Nivel 3],"",0)</f>
        <v/>
      </c>
      <c r="Q877" t="str">
        <f>_xlfn.XLOOKUP(Table3[[#This Row],[Cuenta]],Estructura_Balance[Nombre Cuenta ()],Estructura_Balance[Nivel 4],"",0)</f>
        <v/>
      </c>
      <c r="R877" t="str">
        <f>_xlfn.XLOOKUP(Table3[[#This Row],[Cuenta]],Table8[Nombre Cuenta ()],Table8[Nivel 1],"",0)</f>
        <v/>
      </c>
      <c r="S877" t="str">
        <f>_xlfn.XLOOKUP(Table3[[#This Row],[Cuenta]],Table8[Nombre Cuenta ()],Table8[Nivel 2],"",0)</f>
        <v/>
      </c>
      <c r="T877" t="str">
        <f>_xlfn.XLOOKUP(Table3[[#This Row],[Cuenta]],Table8[Nombre Cuenta ()],Table8[Nivel 3],"",0)</f>
        <v/>
      </c>
      <c r="U877">
        <v>1455</v>
      </c>
      <c r="V877" t="str">
        <f>_xlfn.XLOOKUP(Table3[[#This Row],[Cuenta]],Estructura_Balance[Nombre Cuenta ()],Estructura_Balance[Niveles:2],"",0)</f>
        <v/>
      </c>
      <c r="W877" t="str">
        <f>_xlfn.XLOOKUP(Table3[[#This Row],[Cuenta]],Estructura_Balance[Nombre Cuenta ()],Estructura_Balance[Niveles:3],"",0)</f>
        <v/>
      </c>
      <c r="X877" t="str">
        <f>_xlfn.XLOOKUP(Table3[[#This Row],[Cuenta]],Estructura_Balance[Nombre Cuenta ()],Estructura_Balance[Grupos],"Grupo 1",0)</f>
        <v>Grupo 1</v>
      </c>
      <c r="Y877" t="str">
        <f>+Table3[[#This Row],[BS_Nivel_1]]</f>
        <v/>
      </c>
    </row>
    <row r="878" spans="1:25">
      <c r="A878">
        <f>+'Libro Diario'!F130</f>
        <v>0</v>
      </c>
      <c r="B878" s="144">
        <f>VALUE(IF(+'Libro Diario'!G130="","01/01/2025",+'Libro Diario'!G130))</f>
        <v>45658</v>
      </c>
      <c r="C878">
        <f>IF(ISNUMBER(+IF(IFERROR(VALUE(MID('Libro Diario'!D130,1,4)),0)&lt;&gt;0,'Libro Diario'!D130,0))=FALSE,'Libro Diario'!D130,0)</f>
        <v>0</v>
      </c>
      <c r="D878" s="145">
        <f>+'Libro Diario'!E130</f>
        <v>0</v>
      </c>
      <c r="E878" s="139" t="s">
        <v>446</v>
      </c>
      <c r="F878" t="str">
        <f t="shared" si="39"/>
        <v>Sin Mov.</v>
      </c>
      <c r="G878" t="str">
        <f>IF(+'Libro Diario'!H130=0,"",+'Libro Diario'!H130)</f>
        <v/>
      </c>
      <c r="H878" t="str">
        <f>IF(+'Libro Diario'!I130=0,"",+'Libro Diario'!I130)</f>
        <v/>
      </c>
      <c r="I878" t="str">
        <f>+IF(Table3[[#This Row],[Tipo Movimiento]]="Estructura Balance y PyG","Excluir","Incluir")</f>
        <v>Incluir</v>
      </c>
      <c r="J878" s="153">
        <f>+IF(Table3[[#This Row],[Sin cuenta]]="Con Mov.",(IF(Table3[[#This Row],[Movimiento]]="Debe",Table3[[#This Row],[Importe]],IF(Table3[[#This Row],[Movimiento]]="Haber",Table3[[#This Row],[Importe]]*-1,0))),0)</f>
        <v>0</v>
      </c>
      <c r="K878" s="145" t="str">
        <f t="shared" si="40"/>
        <v/>
      </c>
      <c r="L878" s="145">
        <f t="shared" si="41"/>
        <v>0</v>
      </c>
      <c r="M878" t="str">
        <f>_xlfn.XLOOKUP(Table3[[#This Row],[Cuenta]],Estructura_Balance[Nombre Cuenta ()],Estructura_Balance[Grupo],"",0)</f>
        <v/>
      </c>
      <c r="N878" t="str">
        <f>_xlfn.XLOOKUP(Table3[[#This Row],[Cuenta]],Estructura_Balance[Nombre Cuenta ()],Estructura_Balance[Nivel 1],"",0)</f>
        <v/>
      </c>
      <c r="O878" t="str">
        <f>_xlfn.XLOOKUP(Table3[[#This Row],[Cuenta]],Estructura_Balance[Nombre Cuenta ()],Estructura_Balance[Nivel 2],"",0)</f>
        <v/>
      </c>
      <c r="P878" t="str">
        <f>_xlfn.XLOOKUP(Table3[[#This Row],[Cuenta]],Estructura_Balance[Nombre Cuenta ()],Estructura_Balance[Nivel 3],"",0)</f>
        <v/>
      </c>
      <c r="Q878" t="str">
        <f>_xlfn.XLOOKUP(Table3[[#This Row],[Cuenta]],Estructura_Balance[Nombre Cuenta ()],Estructura_Balance[Nivel 4],"",0)</f>
        <v/>
      </c>
      <c r="R878" t="str">
        <f>_xlfn.XLOOKUP(Table3[[#This Row],[Cuenta]],Table8[Nombre Cuenta ()],Table8[Nivel 1],"",0)</f>
        <v/>
      </c>
      <c r="S878" t="str">
        <f>_xlfn.XLOOKUP(Table3[[#This Row],[Cuenta]],Table8[Nombre Cuenta ()],Table8[Nivel 2],"",0)</f>
        <v/>
      </c>
      <c r="T878" t="str">
        <f>_xlfn.XLOOKUP(Table3[[#This Row],[Cuenta]],Table8[Nombre Cuenta ()],Table8[Nivel 3],"",0)</f>
        <v/>
      </c>
      <c r="U878">
        <v>1458</v>
      </c>
      <c r="V878" t="str">
        <f>_xlfn.XLOOKUP(Table3[[#This Row],[Cuenta]],Estructura_Balance[Nombre Cuenta ()],Estructura_Balance[Niveles:2],"",0)</f>
        <v/>
      </c>
      <c r="W878" t="str">
        <f>_xlfn.XLOOKUP(Table3[[#This Row],[Cuenta]],Estructura_Balance[Nombre Cuenta ()],Estructura_Balance[Niveles:3],"",0)</f>
        <v/>
      </c>
      <c r="X878" t="str">
        <f>_xlfn.XLOOKUP(Table3[[#This Row],[Cuenta]],Estructura_Balance[Nombre Cuenta ()],Estructura_Balance[Grupos],"Grupo 1",0)</f>
        <v>Grupo 1</v>
      </c>
      <c r="Y878" t="str">
        <f>+Table3[[#This Row],[BS_Nivel_1]]</f>
        <v/>
      </c>
    </row>
    <row r="879" spans="1:25">
      <c r="A879">
        <f>+'Libro Diario'!F131</f>
        <v>0</v>
      </c>
      <c r="B879" s="144">
        <f>VALUE(IF(+'Libro Diario'!G131="","01/01/2025",+'Libro Diario'!G131))</f>
        <v>45658</v>
      </c>
      <c r="C879">
        <f>IF(ISNUMBER(+IF(IFERROR(VALUE(MID('Libro Diario'!D131,1,4)),0)&lt;&gt;0,'Libro Diario'!D131,0))=FALSE,'Libro Diario'!D131,0)</f>
        <v>0</v>
      </c>
      <c r="D879" s="145">
        <f>+'Libro Diario'!E131</f>
        <v>0</v>
      </c>
      <c r="E879" s="139" t="s">
        <v>446</v>
      </c>
      <c r="F879" t="str">
        <f t="shared" si="39"/>
        <v>Sin Mov.</v>
      </c>
      <c r="G879" t="str">
        <f>IF(+'Libro Diario'!H131=0,"",+'Libro Diario'!H131)</f>
        <v/>
      </c>
      <c r="H879" t="str">
        <f>IF(+'Libro Diario'!I131=0,"",+'Libro Diario'!I131)</f>
        <v/>
      </c>
      <c r="I879" t="str">
        <f>+IF(Table3[[#This Row],[Tipo Movimiento]]="Estructura Balance y PyG","Excluir","Incluir")</f>
        <v>Incluir</v>
      </c>
      <c r="J879" s="153">
        <f>+IF(Table3[[#This Row],[Sin cuenta]]="Con Mov.",(IF(Table3[[#This Row],[Movimiento]]="Debe",Table3[[#This Row],[Importe]],IF(Table3[[#This Row],[Movimiento]]="Haber",Table3[[#This Row],[Importe]]*-1,0))),0)</f>
        <v>0</v>
      </c>
      <c r="K879" s="145" t="str">
        <f t="shared" si="40"/>
        <v/>
      </c>
      <c r="L879" s="145">
        <f t="shared" si="41"/>
        <v>0</v>
      </c>
      <c r="M879" t="str">
        <f>_xlfn.XLOOKUP(Table3[[#This Row],[Cuenta]],Estructura_Balance[Nombre Cuenta ()],Estructura_Balance[Grupo],"",0)</f>
        <v/>
      </c>
      <c r="N879" t="str">
        <f>_xlfn.XLOOKUP(Table3[[#This Row],[Cuenta]],Estructura_Balance[Nombre Cuenta ()],Estructura_Balance[Nivel 1],"",0)</f>
        <v/>
      </c>
      <c r="O879" t="str">
        <f>_xlfn.XLOOKUP(Table3[[#This Row],[Cuenta]],Estructura_Balance[Nombre Cuenta ()],Estructura_Balance[Nivel 2],"",0)</f>
        <v/>
      </c>
      <c r="P879" t="str">
        <f>_xlfn.XLOOKUP(Table3[[#This Row],[Cuenta]],Estructura_Balance[Nombre Cuenta ()],Estructura_Balance[Nivel 3],"",0)</f>
        <v/>
      </c>
      <c r="Q879" t="str">
        <f>_xlfn.XLOOKUP(Table3[[#This Row],[Cuenta]],Estructura_Balance[Nombre Cuenta ()],Estructura_Balance[Nivel 4],"",0)</f>
        <v/>
      </c>
      <c r="R879" t="str">
        <f>_xlfn.XLOOKUP(Table3[[#This Row],[Cuenta]],Table8[Nombre Cuenta ()],Table8[Nivel 1],"",0)</f>
        <v/>
      </c>
      <c r="S879" t="str">
        <f>_xlfn.XLOOKUP(Table3[[#This Row],[Cuenta]],Table8[Nombre Cuenta ()],Table8[Nivel 2],"",0)</f>
        <v/>
      </c>
      <c r="T879" t="str">
        <f>_xlfn.XLOOKUP(Table3[[#This Row],[Cuenta]],Table8[Nombre Cuenta ()],Table8[Nivel 3],"",0)</f>
        <v/>
      </c>
      <c r="U879">
        <v>1459</v>
      </c>
      <c r="V879" t="str">
        <f>_xlfn.XLOOKUP(Table3[[#This Row],[Cuenta]],Estructura_Balance[Nombre Cuenta ()],Estructura_Balance[Niveles:2],"",0)</f>
        <v/>
      </c>
      <c r="W879" t="str">
        <f>_xlfn.XLOOKUP(Table3[[#This Row],[Cuenta]],Estructura_Balance[Nombre Cuenta ()],Estructura_Balance[Niveles:3],"",0)</f>
        <v/>
      </c>
      <c r="X879" t="str">
        <f>_xlfn.XLOOKUP(Table3[[#This Row],[Cuenta]],Estructura_Balance[Nombre Cuenta ()],Estructura_Balance[Grupos],"Grupo 1",0)</f>
        <v>Grupo 1</v>
      </c>
      <c r="Y879" t="str">
        <f>+Table3[[#This Row],[BS_Nivel_1]]</f>
        <v/>
      </c>
    </row>
    <row r="880" spans="1:25">
      <c r="A880">
        <f>+'Libro Diario'!F132</f>
        <v>0</v>
      </c>
      <c r="B880" s="144">
        <f>VALUE(IF(+'Libro Diario'!G132="","01/01/2025",+'Libro Diario'!G132))</f>
        <v>45658</v>
      </c>
      <c r="C880">
        <f>IF(ISNUMBER(+IF(IFERROR(VALUE(MID('Libro Diario'!D132,1,4)),0)&lt;&gt;0,'Libro Diario'!D132,0))=FALSE,'Libro Diario'!D132,0)</f>
        <v>0</v>
      </c>
      <c r="D880" s="145" t="str">
        <f>+'Libro Diario'!E132</f>
        <v>HABER</v>
      </c>
      <c r="E880" s="139" t="s">
        <v>446</v>
      </c>
      <c r="F880" t="str">
        <f t="shared" si="39"/>
        <v>Sin Mov.</v>
      </c>
      <c r="G880" t="str">
        <f>IF(+'Libro Diario'!H132=0,"",+'Libro Diario'!H132)</f>
        <v/>
      </c>
      <c r="H880" t="str">
        <f>IF(+'Libro Diario'!I132=0,"",+'Libro Diario'!I132)</f>
        <v/>
      </c>
      <c r="I880" t="str">
        <f>+IF(Table3[[#This Row],[Tipo Movimiento]]="Estructura Balance y PyG","Excluir","Incluir")</f>
        <v>Incluir</v>
      </c>
      <c r="J880" s="153">
        <f>+IF(Table3[[#This Row],[Sin cuenta]]="Con Mov.",(IF(Table3[[#This Row],[Movimiento]]="Debe",Table3[[#This Row],[Importe]],IF(Table3[[#This Row],[Movimiento]]="Haber",Table3[[#This Row],[Importe]]*-1,0))),0)</f>
        <v>0</v>
      </c>
      <c r="K880" s="145" t="str">
        <f t="shared" si="40"/>
        <v/>
      </c>
      <c r="L880" s="145" t="str">
        <f t="shared" si="41"/>
        <v>HABER</v>
      </c>
      <c r="M880" t="str">
        <f>_xlfn.XLOOKUP(Table3[[#This Row],[Cuenta]],Estructura_Balance[Nombre Cuenta ()],Estructura_Balance[Grupo],"",0)</f>
        <v/>
      </c>
      <c r="N880" t="str">
        <f>_xlfn.XLOOKUP(Table3[[#This Row],[Cuenta]],Estructura_Balance[Nombre Cuenta ()],Estructura_Balance[Nivel 1],"",0)</f>
        <v/>
      </c>
      <c r="O880" t="str">
        <f>_xlfn.XLOOKUP(Table3[[#This Row],[Cuenta]],Estructura_Balance[Nombre Cuenta ()],Estructura_Balance[Nivel 2],"",0)</f>
        <v/>
      </c>
      <c r="P880" t="str">
        <f>_xlfn.XLOOKUP(Table3[[#This Row],[Cuenta]],Estructura_Balance[Nombre Cuenta ()],Estructura_Balance[Nivel 3],"",0)</f>
        <v/>
      </c>
      <c r="Q880" t="str">
        <f>_xlfn.XLOOKUP(Table3[[#This Row],[Cuenta]],Estructura_Balance[Nombre Cuenta ()],Estructura_Balance[Nivel 4],"",0)</f>
        <v/>
      </c>
      <c r="R880" t="str">
        <f>_xlfn.XLOOKUP(Table3[[#This Row],[Cuenta]],Table8[Nombre Cuenta ()],Table8[Nivel 1],"",0)</f>
        <v/>
      </c>
      <c r="S880" t="str">
        <f>_xlfn.XLOOKUP(Table3[[#This Row],[Cuenta]],Table8[Nombre Cuenta ()],Table8[Nivel 2],"",0)</f>
        <v/>
      </c>
      <c r="T880" t="str">
        <f>_xlfn.XLOOKUP(Table3[[#This Row],[Cuenta]],Table8[Nombre Cuenta ()],Table8[Nivel 3],"",0)</f>
        <v/>
      </c>
      <c r="U880">
        <v>1460</v>
      </c>
      <c r="V880" t="str">
        <f>_xlfn.XLOOKUP(Table3[[#This Row],[Cuenta]],Estructura_Balance[Nombre Cuenta ()],Estructura_Balance[Niveles:2],"",0)</f>
        <v/>
      </c>
      <c r="W880" t="str">
        <f>_xlfn.XLOOKUP(Table3[[#This Row],[Cuenta]],Estructura_Balance[Nombre Cuenta ()],Estructura_Balance[Niveles:3],"",0)</f>
        <v/>
      </c>
      <c r="X880" t="str">
        <f>_xlfn.XLOOKUP(Table3[[#This Row],[Cuenta]],Estructura_Balance[Nombre Cuenta ()],Estructura_Balance[Grupos],"Grupo 1",0)</f>
        <v>Grupo 1</v>
      </c>
      <c r="Y880" t="str">
        <f>+Table3[[#This Row],[BS_Nivel_1]]</f>
        <v/>
      </c>
    </row>
    <row r="881" spans="1:25">
      <c r="A881">
        <f>+'Libro Diario'!F133</f>
        <v>0</v>
      </c>
      <c r="B881" s="144">
        <f>VALUE(IF(+'Libro Diario'!G133="","01/01/2025",+'Libro Diario'!G133))</f>
        <v>45658</v>
      </c>
      <c r="C881">
        <f>IF(ISNUMBER(+IF(IFERROR(VALUE(MID('Libro Diario'!D133,1,4)),0)&lt;&gt;0,'Libro Diario'!D133,0))=FALSE,'Libro Diario'!D133,0)</f>
        <v>0</v>
      </c>
      <c r="D881" s="145">
        <f>+'Libro Diario'!E133</f>
        <v>0</v>
      </c>
      <c r="E881" s="139" t="s">
        <v>446</v>
      </c>
      <c r="F881" t="str">
        <f t="shared" si="39"/>
        <v>Sin Mov.</v>
      </c>
      <c r="G881" t="str">
        <f>IF(+'Libro Diario'!H133=0,"",+'Libro Diario'!H133)</f>
        <v/>
      </c>
      <c r="H881" t="str">
        <f>IF(+'Libro Diario'!I133=0,"",+'Libro Diario'!I133)</f>
        <v/>
      </c>
      <c r="I881" t="str">
        <f>+IF(Table3[[#This Row],[Tipo Movimiento]]="Estructura Balance y PyG","Excluir","Incluir")</f>
        <v>Incluir</v>
      </c>
      <c r="J881" s="153">
        <f>+IF(Table3[[#This Row],[Sin cuenta]]="Con Mov.",(IF(Table3[[#This Row],[Movimiento]]="Debe",Table3[[#This Row],[Importe]],IF(Table3[[#This Row],[Movimiento]]="Haber",Table3[[#This Row],[Importe]]*-1,0))),0)</f>
        <v>0</v>
      </c>
      <c r="K881" s="145" t="str">
        <f t="shared" si="40"/>
        <v/>
      </c>
      <c r="L881" s="145">
        <f t="shared" si="41"/>
        <v>0</v>
      </c>
      <c r="M881" t="str">
        <f>_xlfn.XLOOKUP(Table3[[#This Row],[Cuenta]],Estructura_Balance[Nombre Cuenta ()],Estructura_Balance[Grupo],"",0)</f>
        <v/>
      </c>
      <c r="N881" t="str">
        <f>_xlfn.XLOOKUP(Table3[[#This Row],[Cuenta]],Estructura_Balance[Nombre Cuenta ()],Estructura_Balance[Nivel 1],"",0)</f>
        <v/>
      </c>
      <c r="O881" t="str">
        <f>_xlfn.XLOOKUP(Table3[[#This Row],[Cuenta]],Estructura_Balance[Nombre Cuenta ()],Estructura_Balance[Nivel 2],"",0)</f>
        <v/>
      </c>
      <c r="P881" t="str">
        <f>_xlfn.XLOOKUP(Table3[[#This Row],[Cuenta]],Estructura_Balance[Nombre Cuenta ()],Estructura_Balance[Nivel 3],"",0)</f>
        <v/>
      </c>
      <c r="Q881" t="str">
        <f>_xlfn.XLOOKUP(Table3[[#This Row],[Cuenta]],Estructura_Balance[Nombre Cuenta ()],Estructura_Balance[Nivel 4],"",0)</f>
        <v/>
      </c>
      <c r="R881" t="str">
        <f>_xlfn.XLOOKUP(Table3[[#This Row],[Cuenta]],Table8[Nombre Cuenta ()],Table8[Nivel 1],"",0)</f>
        <v/>
      </c>
      <c r="S881" t="str">
        <f>_xlfn.XLOOKUP(Table3[[#This Row],[Cuenta]],Table8[Nombre Cuenta ()],Table8[Nivel 2],"",0)</f>
        <v/>
      </c>
      <c r="T881" t="str">
        <f>_xlfn.XLOOKUP(Table3[[#This Row],[Cuenta]],Table8[Nombre Cuenta ()],Table8[Nivel 3],"",0)</f>
        <v/>
      </c>
      <c r="U881">
        <v>1461</v>
      </c>
      <c r="V881" t="str">
        <f>_xlfn.XLOOKUP(Table3[[#This Row],[Cuenta]],Estructura_Balance[Nombre Cuenta ()],Estructura_Balance[Niveles:2],"",0)</f>
        <v/>
      </c>
      <c r="W881" t="str">
        <f>_xlfn.XLOOKUP(Table3[[#This Row],[Cuenta]],Estructura_Balance[Nombre Cuenta ()],Estructura_Balance[Niveles:3],"",0)</f>
        <v/>
      </c>
      <c r="X881" t="str">
        <f>_xlfn.XLOOKUP(Table3[[#This Row],[Cuenta]],Estructura_Balance[Nombre Cuenta ()],Estructura_Balance[Grupos],"Grupo 1",0)</f>
        <v>Grupo 1</v>
      </c>
      <c r="Y881" t="str">
        <f>+Table3[[#This Row],[BS_Nivel_1]]</f>
        <v/>
      </c>
    </row>
    <row r="882" spans="1:25">
      <c r="A882">
        <f>+'Libro Diario'!F136</f>
        <v>0</v>
      </c>
      <c r="B882" s="144">
        <f>VALUE(IF(+'Libro Diario'!G136="","01/01/2025",+'Libro Diario'!G136))</f>
        <v>45658</v>
      </c>
      <c r="C882">
        <f>IF(ISNUMBER(+IF(IFERROR(VALUE(MID('Libro Diario'!D136,1,4)),0)&lt;&gt;0,'Libro Diario'!D136,0))=FALSE,'Libro Diario'!D136,0)</f>
        <v>0</v>
      </c>
      <c r="D882" s="145">
        <f>+'Libro Diario'!E136</f>
        <v>0</v>
      </c>
      <c r="E882" s="139" t="s">
        <v>446</v>
      </c>
      <c r="F882" t="str">
        <f t="shared" si="39"/>
        <v>Sin Mov.</v>
      </c>
      <c r="G882" t="str">
        <f>IF(+'Libro Diario'!H136=0,"",+'Libro Diario'!H136)</f>
        <v/>
      </c>
      <c r="H882" t="str">
        <f>IF(+'Libro Diario'!I136=0,"",+'Libro Diario'!I136)</f>
        <v/>
      </c>
      <c r="I882" t="str">
        <f>+IF(Table3[[#This Row],[Tipo Movimiento]]="Estructura Balance y PyG","Excluir","Incluir")</f>
        <v>Incluir</v>
      </c>
      <c r="J882" s="153">
        <f>+IF(Table3[[#This Row],[Sin cuenta]]="Con Mov.",(IF(Table3[[#This Row],[Movimiento]]="Debe",Table3[[#This Row],[Importe]],IF(Table3[[#This Row],[Movimiento]]="Haber",Table3[[#This Row],[Importe]]*-1,0))),0)</f>
        <v>0</v>
      </c>
      <c r="K882" s="145" t="str">
        <f t="shared" si="40"/>
        <v/>
      </c>
      <c r="L882" s="145">
        <f t="shared" si="41"/>
        <v>0</v>
      </c>
      <c r="M882" t="str">
        <f>_xlfn.XLOOKUP(Table3[[#This Row],[Cuenta]],Estructura_Balance[Nombre Cuenta ()],Estructura_Balance[Grupo],"",0)</f>
        <v/>
      </c>
      <c r="N882" t="str">
        <f>_xlfn.XLOOKUP(Table3[[#This Row],[Cuenta]],Estructura_Balance[Nombre Cuenta ()],Estructura_Balance[Nivel 1],"",0)</f>
        <v/>
      </c>
      <c r="O882" t="str">
        <f>_xlfn.XLOOKUP(Table3[[#This Row],[Cuenta]],Estructura_Balance[Nombre Cuenta ()],Estructura_Balance[Nivel 2],"",0)</f>
        <v/>
      </c>
      <c r="P882" t="str">
        <f>_xlfn.XLOOKUP(Table3[[#This Row],[Cuenta]],Estructura_Balance[Nombre Cuenta ()],Estructura_Balance[Nivel 3],"",0)</f>
        <v/>
      </c>
      <c r="Q882" t="str">
        <f>_xlfn.XLOOKUP(Table3[[#This Row],[Cuenta]],Estructura_Balance[Nombre Cuenta ()],Estructura_Balance[Nivel 4],"",0)</f>
        <v/>
      </c>
      <c r="R882" t="str">
        <f>_xlfn.XLOOKUP(Table3[[#This Row],[Cuenta]],Table8[Nombre Cuenta ()],Table8[Nivel 1],"",0)</f>
        <v/>
      </c>
      <c r="S882" t="str">
        <f>_xlfn.XLOOKUP(Table3[[#This Row],[Cuenta]],Table8[Nombre Cuenta ()],Table8[Nivel 2],"",0)</f>
        <v/>
      </c>
      <c r="T882" t="str">
        <f>_xlfn.XLOOKUP(Table3[[#This Row],[Cuenta]],Table8[Nombre Cuenta ()],Table8[Nivel 3],"",0)</f>
        <v/>
      </c>
      <c r="U882">
        <v>1466</v>
      </c>
      <c r="V882" t="str">
        <f>_xlfn.XLOOKUP(Table3[[#This Row],[Cuenta]],Estructura_Balance[Nombre Cuenta ()],Estructura_Balance[Niveles:2],"",0)</f>
        <v/>
      </c>
      <c r="W882" t="str">
        <f>_xlfn.XLOOKUP(Table3[[#This Row],[Cuenta]],Estructura_Balance[Nombre Cuenta ()],Estructura_Balance[Niveles:3],"",0)</f>
        <v/>
      </c>
      <c r="X882" t="str">
        <f>_xlfn.XLOOKUP(Table3[[#This Row],[Cuenta]],Estructura_Balance[Nombre Cuenta ()],Estructura_Balance[Grupos],"Grupo 1",0)</f>
        <v>Grupo 1</v>
      </c>
      <c r="Y882" t="str">
        <f>+Table3[[#This Row],[BS_Nivel_1]]</f>
        <v/>
      </c>
    </row>
    <row r="883" spans="1:25">
      <c r="A883">
        <f>+'Libro Diario'!F137</f>
        <v>0</v>
      </c>
      <c r="B883" s="144">
        <f>VALUE(IF(+'Libro Diario'!G137="","01/01/2025",+'Libro Diario'!G137))</f>
        <v>45658</v>
      </c>
      <c r="C883">
        <f>IF(ISNUMBER(+IF(IFERROR(VALUE(MID('Libro Diario'!D137,1,4)),0)&lt;&gt;0,'Libro Diario'!D137,0))=FALSE,'Libro Diario'!D137,0)</f>
        <v>0</v>
      </c>
      <c r="D883" s="145">
        <f>+'Libro Diario'!E137</f>
        <v>0</v>
      </c>
      <c r="E883" s="139" t="s">
        <v>446</v>
      </c>
      <c r="F883" t="str">
        <f t="shared" si="39"/>
        <v>Sin Mov.</v>
      </c>
      <c r="G883" t="str">
        <f>IF(+'Libro Diario'!H137=0,"",+'Libro Diario'!H137)</f>
        <v/>
      </c>
      <c r="H883" t="str">
        <f>IF(+'Libro Diario'!I137=0,"",+'Libro Diario'!I137)</f>
        <v/>
      </c>
      <c r="I883" t="str">
        <f>+IF(Table3[[#This Row],[Tipo Movimiento]]="Estructura Balance y PyG","Excluir","Incluir")</f>
        <v>Incluir</v>
      </c>
      <c r="J883" s="153">
        <f>+IF(Table3[[#This Row],[Sin cuenta]]="Con Mov.",(IF(Table3[[#This Row],[Movimiento]]="Debe",Table3[[#This Row],[Importe]],IF(Table3[[#This Row],[Movimiento]]="Haber",Table3[[#This Row],[Importe]]*-1,0))),0)</f>
        <v>0</v>
      </c>
      <c r="K883" s="145" t="str">
        <f t="shared" si="40"/>
        <v/>
      </c>
      <c r="L883" s="145">
        <f t="shared" si="41"/>
        <v>0</v>
      </c>
      <c r="M883" t="str">
        <f>_xlfn.XLOOKUP(Table3[[#This Row],[Cuenta]],Estructura_Balance[Nombre Cuenta ()],Estructura_Balance[Grupo],"",0)</f>
        <v/>
      </c>
      <c r="N883" t="str">
        <f>_xlfn.XLOOKUP(Table3[[#This Row],[Cuenta]],Estructura_Balance[Nombre Cuenta ()],Estructura_Balance[Nivel 1],"",0)</f>
        <v/>
      </c>
      <c r="O883" t="str">
        <f>_xlfn.XLOOKUP(Table3[[#This Row],[Cuenta]],Estructura_Balance[Nombre Cuenta ()],Estructura_Balance[Nivel 2],"",0)</f>
        <v/>
      </c>
      <c r="P883" t="str">
        <f>_xlfn.XLOOKUP(Table3[[#This Row],[Cuenta]],Estructura_Balance[Nombre Cuenta ()],Estructura_Balance[Nivel 3],"",0)</f>
        <v/>
      </c>
      <c r="Q883" t="str">
        <f>_xlfn.XLOOKUP(Table3[[#This Row],[Cuenta]],Estructura_Balance[Nombre Cuenta ()],Estructura_Balance[Nivel 4],"",0)</f>
        <v/>
      </c>
      <c r="R883" t="str">
        <f>_xlfn.XLOOKUP(Table3[[#This Row],[Cuenta]],Table8[Nombre Cuenta ()],Table8[Nivel 1],"",0)</f>
        <v/>
      </c>
      <c r="S883" t="str">
        <f>_xlfn.XLOOKUP(Table3[[#This Row],[Cuenta]],Table8[Nombre Cuenta ()],Table8[Nivel 2],"",0)</f>
        <v/>
      </c>
      <c r="T883" t="str">
        <f>_xlfn.XLOOKUP(Table3[[#This Row],[Cuenta]],Table8[Nombre Cuenta ()],Table8[Nivel 3],"",0)</f>
        <v/>
      </c>
      <c r="U883">
        <v>1467</v>
      </c>
      <c r="V883" t="str">
        <f>_xlfn.XLOOKUP(Table3[[#This Row],[Cuenta]],Estructura_Balance[Nombre Cuenta ()],Estructura_Balance[Niveles:2],"",0)</f>
        <v/>
      </c>
      <c r="W883" t="str">
        <f>_xlfn.XLOOKUP(Table3[[#This Row],[Cuenta]],Estructura_Balance[Nombre Cuenta ()],Estructura_Balance[Niveles:3],"",0)</f>
        <v/>
      </c>
      <c r="X883" t="str">
        <f>_xlfn.XLOOKUP(Table3[[#This Row],[Cuenta]],Estructura_Balance[Nombre Cuenta ()],Estructura_Balance[Grupos],"Grupo 1",0)</f>
        <v>Grupo 1</v>
      </c>
      <c r="Y883" t="str">
        <f>+Table3[[#This Row],[BS_Nivel_1]]</f>
        <v/>
      </c>
    </row>
    <row r="884" spans="1:25">
      <c r="A884">
        <f>+'Libro Diario'!F138</f>
        <v>0</v>
      </c>
      <c r="B884" s="144">
        <f>VALUE(IF(+'Libro Diario'!G138="","01/01/2025",+'Libro Diario'!G138))</f>
        <v>45658</v>
      </c>
      <c r="C884">
        <f>IF(ISNUMBER(+IF(IFERROR(VALUE(MID('Libro Diario'!D138,1,4)),0)&lt;&gt;0,'Libro Diario'!D138,0))=FALSE,'Libro Diario'!D138,0)</f>
        <v>0</v>
      </c>
      <c r="D884" s="145">
        <f>+'Libro Diario'!E138</f>
        <v>0</v>
      </c>
      <c r="E884" s="139" t="s">
        <v>446</v>
      </c>
      <c r="F884" t="str">
        <f t="shared" si="39"/>
        <v>Sin Mov.</v>
      </c>
      <c r="G884" t="str">
        <f>IF(+'Libro Diario'!H138=0,"",+'Libro Diario'!H138)</f>
        <v/>
      </c>
      <c r="H884" t="str">
        <f>IF(+'Libro Diario'!I138=0,"",+'Libro Diario'!I138)</f>
        <v/>
      </c>
      <c r="I884" t="str">
        <f>+IF(Table3[[#This Row],[Tipo Movimiento]]="Estructura Balance y PyG","Excluir","Incluir")</f>
        <v>Incluir</v>
      </c>
      <c r="J884" s="153">
        <f>+IF(Table3[[#This Row],[Sin cuenta]]="Con Mov.",(IF(Table3[[#This Row],[Movimiento]]="Debe",Table3[[#This Row],[Importe]],IF(Table3[[#This Row],[Movimiento]]="Haber",Table3[[#This Row],[Importe]]*-1,0))),0)</f>
        <v>0</v>
      </c>
      <c r="K884" s="145" t="str">
        <f t="shared" si="40"/>
        <v/>
      </c>
      <c r="L884" s="145">
        <f t="shared" si="41"/>
        <v>0</v>
      </c>
      <c r="M884" t="str">
        <f>_xlfn.XLOOKUP(Table3[[#This Row],[Cuenta]],Estructura_Balance[Nombre Cuenta ()],Estructura_Balance[Grupo],"",0)</f>
        <v/>
      </c>
      <c r="N884" t="str">
        <f>_xlfn.XLOOKUP(Table3[[#This Row],[Cuenta]],Estructura_Balance[Nombre Cuenta ()],Estructura_Balance[Nivel 1],"",0)</f>
        <v/>
      </c>
      <c r="O884" t="str">
        <f>_xlfn.XLOOKUP(Table3[[#This Row],[Cuenta]],Estructura_Balance[Nombre Cuenta ()],Estructura_Balance[Nivel 2],"",0)</f>
        <v/>
      </c>
      <c r="P884" t="str">
        <f>_xlfn.XLOOKUP(Table3[[#This Row],[Cuenta]],Estructura_Balance[Nombre Cuenta ()],Estructura_Balance[Nivel 3],"",0)</f>
        <v/>
      </c>
      <c r="Q884" t="str">
        <f>_xlfn.XLOOKUP(Table3[[#This Row],[Cuenta]],Estructura_Balance[Nombre Cuenta ()],Estructura_Balance[Nivel 4],"",0)</f>
        <v/>
      </c>
      <c r="R884" t="str">
        <f>_xlfn.XLOOKUP(Table3[[#This Row],[Cuenta]],Table8[Nombre Cuenta ()],Table8[Nivel 1],"",0)</f>
        <v/>
      </c>
      <c r="S884" t="str">
        <f>_xlfn.XLOOKUP(Table3[[#This Row],[Cuenta]],Table8[Nombre Cuenta ()],Table8[Nivel 2],"",0)</f>
        <v/>
      </c>
      <c r="T884" t="str">
        <f>_xlfn.XLOOKUP(Table3[[#This Row],[Cuenta]],Table8[Nombre Cuenta ()],Table8[Nivel 3],"",0)</f>
        <v/>
      </c>
      <c r="U884">
        <v>1468</v>
      </c>
      <c r="V884" t="str">
        <f>_xlfn.XLOOKUP(Table3[[#This Row],[Cuenta]],Estructura_Balance[Nombre Cuenta ()],Estructura_Balance[Niveles:2],"",0)</f>
        <v/>
      </c>
      <c r="W884" t="str">
        <f>_xlfn.XLOOKUP(Table3[[#This Row],[Cuenta]],Estructura_Balance[Nombre Cuenta ()],Estructura_Balance[Niveles:3],"",0)</f>
        <v/>
      </c>
      <c r="X884" t="str">
        <f>_xlfn.XLOOKUP(Table3[[#This Row],[Cuenta]],Estructura_Balance[Nombre Cuenta ()],Estructura_Balance[Grupos],"Grupo 1",0)</f>
        <v>Grupo 1</v>
      </c>
      <c r="Y884" t="str">
        <f>+Table3[[#This Row],[BS_Nivel_1]]</f>
        <v/>
      </c>
    </row>
    <row r="885" spans="1:25">
      <c r="A885">
        <f>+'Libro Diario'!F139</f>
        <v>0</v>
      </c>
      <c r="B885" s="144">
        <f>VALUE(IF(+'Libro Diario'!G139="","01/01/2025",+'Libro Diario'!G139))</f>
        <v>45658</v>
      </c>
      <c r="C885">
        <f>IF(ISNUMBER(+IF(IFERROR(VALUE(MID('Libro Diario'!D139,1,4)),0)&lt;&gt;0,'Libro Diario'!D139,0))=FALSE,'Libro Diario'!D139,0)</f>
        <v>0</v>
      </c>
      <c r="D885" s="145" t="str">
        <f>+'Libro Diario'!E139</f>
        <v>HABER</v>
      </c>
      <c r="E885" s="139" t="s">
        <v>446</v>
      </c>
      <c r="F885" t="str">
        <f t="shared" si="39"/>
        <v>Sin Mov.</v>
      </c>
      <c r="G885" t="str">
        <f>IF(+'Libro Diario'!H139=0,"",+'Libro Diario'!H139)</f>
        <v/>
      </c>
      <c r="H885" t="str">
        <f>IF(+'Libro Diario'!I139=0,"",+'Libro Diario'!I139)</f>
        <v/>
      </c>
      <c r="I885" t="str">
        <f>+IF(Table3[[#This Row],[Tipo Movimiento]]="Estructura Balance y PyG","Excluir","Incluir")</f>
        <v>Incluir</v>
      </c>
      <c r="J885" s="153">
        <f>+IF(Table3[[#This Row],[Sin cuenta]]="Con Mov.",(IF(Table3[[#This Row],[Movimiento]]="Debe",Table3[[#This Row],[Importe]],IF(Table3[[#This Row],[Movimiento]]="Haber",Table3[[#This Row],[Importe]]*-1,0))),0)</f>
        <v>0</v>
      </c>
      <c r="K885" s="145" t="str">
        <f t="shared" si="40"/>
        <v/>
      </c>
      <c r="L885" s="145" t="str">
        <f t="shared" si="41"/>
        <v>HABER</v>
      </c>
      <c r="M885" t="str">
        <f>_xlfn.XLOOKUP(Table3[[#This Row],[Cuenta]],Estructura_Balance[Nombre Cuenta ()],Estructura_Balance[Grupo],"",0)</f>
        <v/>
      </c>
      <c r="N885" t="str">
        <f>_xlfn.XLOOKUP(Table3[[#This Row],[Cuenta]],Estructura_Balance[Nombre Cuenta ()],Estructura_Balance[Nivel 1],"",0)</f>
        <v/>
      </c>
      <c r="O885" t="str">
        <f>_xlfn.XLOOKUP(Table3[[#This Row],[Cuenta]],Estructura_Balance[Nombre Cuenta ()],Estructura_Balance[Nivel 2],"",0)</f>
        <v/>
      </c>
      <c r="P885" t="str">
        <f>_xlfn.XLOOKUP(Table3[[#This Row],[Cuenta]],Estructura_Balance[Nombre Cuenta ()],Estructura_Balance[Nivel 3],"",0)</f>
        <v/>
      </c>
      <c r="Q885" t="str">
        <f>_xlfn.XLOOKUP(Table3[[#This Row],[Cuenta]],Estructura_Balance[Nombre Cuenta ()],Estructura_Balance[Nivel 4],"",0)</f>
        <v/>
      </c>
      <c r="R885" t="str">
        <f>_xlfn.XLOOKUP(Table3[[#This Row],[Cuenta]],Table8[Nombre Cuenta ()],Table8[Nivel 1],"",0)</f>
        <v/>
      </c>
      <c r="S885" t="str">
        <f>_xlfn.XLOOKUP(Table3[[#This Row],[Cuenta]],Table8[Nombre Cuenta ()],Table8[Nivel 2],"",0)</f>
        <v/>
      </c>
      <c r="T885" t="str">
        <f>_xlfn.XLOOKUP(Table3[[#This Row],[Cuenta]],Table8[Nombre Cuenta ()],Table8[Nivel 3],"",0)</f>
        <v/>
      </c>
      <c r="U885">
        <v>1469</v>
      </c>
      <c r="V885" t="str">
        <f>_xlfn.XLOOKUP(Table3[[#This Row],[Cuenta]],Estructura_Balance[Nombre Cuenta ()],Estructura_Balance[Niveles:2],"",0)</f>
        <v/>
      </c>
      <c r="W885" t="str">
        <f>_xlfn.XLOOKUP(Table3[[#This Row],[Cuenta]],Estructura_Balance[Nombre Cuenta ()],Estructura_Balance[Niveles:3],"",0)</f>
        <v/>
      </c>
      <c r="X885" t="str">
        <f>_xlfn.XLOOKUP(Table3[[#This Row],[Cuenta]],Estructura_Balance[Nombre Cuenta ()],Estructura_Balance[Grupos],"Grupo 1",0)</f>
        <v>Grupo 1</v>
      </c>
      <c r="Y885" t="str">
        <f>+Table3[[#This Row],[BS_Nivel_1]]</f>
        <v/>
      </c>
    </row>
    <row r="886" spans="1:25">
      <c r="A886">
        <f>+'Libro Diario'!F140</f>
        <v>0</v>
      </c>
      <c r="B886" s="144">
        <f>VALUE(IF(+'Libro Diario'!G140="","01/01/2025",+'Libro Diario'!G140))</f>
        <v>45658</v>
      </c>
      <c r="C886">
        <f>IF(ISNUMBER(+IF(IFERROR(VALUE(MID('Libro Diario'!D140,1,4)),0)&lt;&gt;0,'Libro Diario'!D140,0))=FALSE,'Libro Diario'!D140,0)</f>
        <v>0</v>
      </c>
      <c r="D886" s="145">
        <f>+'Libro Diario'!E140</f>
        <v>0</v>
      </c>
      <c r="E886" s="139" t="s">
        <v>446</v>
      </c>
      <c r="F886" t="str">
        <f t="shared" si="39"/>
        <v>Sin Mov.</v>
      </c>
      <c r="G886" t="str">
        <f>IF(+'Libro Diario'!H140=0,"",+'Libro Diario'!H140)</f>
        <v/>
      </c>
      <c r="H886" t="str">
        <f>IF(+'Libro Diario'!I140=0,"",+'Libro Diario'!I140)</f>
        <v/>
      </c>
      <c r="I886" t="str">
        <f>+IF(Table3[[#This Row],[Tipo Movimiento]]="Estructura Balance y PyG","Excluir","Incluir")</f>
        <v>Incluir</v>
      </c>
      <c r="J886" s="153">
        <f>+IF(Table3[[#This Row],[Sin cuenta]]="Con Mov.",(IF(Table3[[#This Row],[Movimiento]]="Debe",Table3[[#This Row],[Importe]],IF(Table3[[#This Row],[Movimiento]]="Haber",Table3[[#This Row],[Importe]]*-1,0))),0)</f>
        <v>0</v>
      </c>
      <c r="K886" s="145" t="str">
        <f t="shared" si="40"/>
        <v/>
      </c>
      <c r="L886" s="145">
        <f t="shared" si="41"/>
        <v>0</v>
      </c>
      <c r="M886" t="str">
        <f>_xlfn.XLOOKUP(Table3[[#This Row],[Cuenta]],Estructura_Balance[Nombre Cuenta ()],Estructura_Balance[Grupo],"",0)</f>
        <v/>
      </c>
      <c r="N886" t="str">
        <f>_xlfn.XLOOKUP(Table3[[#This Row],[Cuenta]],Estructura_Balance[Nombre Cuenta ()],Estructura_Balance[Nivel 1],"",0)</f>
        <v/>
      </c>
      <c r="O886" t="str">
        <f>_xlfn.XLOOKUP(Table3[[#This Row],[Cuenta]],Estructura_Balance[Nombre Cuenta ()],Estructura_Balance[Nivel 2],"",0)</f>
        <v/>
      </c>
      <c r="P886" t="str">
        <f>_xlfn.XLOOKUP(Table3[[#This Row],[Cuenta]],Estructura_Balance[Nombre Cuenta ()],Estructura_Balance[Nivel 3],"",0)</f>
        <v/>
      </c>
      <c r="Q886" t="str">
        <f>_xlfn.XLOOKUP(Table3[[#This Row],[Cuenta]],Estructura_Balance[Nombre Cuenta ()],Estructura_Balance[Nivel 4],"",0)</f>
        <v/>
      </c>
      <c r="R886" t="str">
        <f>_xlfn.XLOOKUP(Table3[[#This Row],[Cuenta]],Table8[Nombre Cuenta ()],Table8[Nivel 1],"",0)</f>
        <v/>
      </c>
      <c r="S886" t="str">
        <f>_xlfn.XLOOKUP(Table3[[#This Row],[Cuenta]],Table8[Nombre Cuenta ()],Table8[Nivel 2],"",0)</f>
        <v/>
      </c>
      <c r="T886" t="str">
        <f>_xlfn.XLOOKUP(Table3[[#This Row],[Cuenta]],Table8[Nombre Cuenta ()],Table8[Nivel 3],"",0)</f>
        <v/>
      </c>
      <c r="U886">
        <v>1472</v>
      </c>
      <c r="V886" t="str">
        <f>_xlfn.XLOOKUP(Table3[[#This Row],[Cuenta]],Estructura_Balance[Nombre Cuenta ()],Estructura_Balance[Niveles:2],"",0)</f>
        <v/>
      </c>
      <c r="W886" t="str">
        <f>_xlfn.XLOOKUP(Table3[[#This Row],[Cuenta]],Estructura_Balance[Nombre Cuenta ()],Estructura_Balance[Niveles:3],"",0)</f>
        <v/>
      </c>
      <c r="X886" t="str">
        <f>_xlfn.XLOOKUP(Table3[[#This Row],[Cuenta]],Estructura_Balance[Nombre Cuenta ()],Estructura_Balance[Grupos],"Grupo 1",0)</f>
        <v>Grupo 1</v>
      </c>
      <c r="Y886" t="str">
        <f>+Table3[[#This Row],[BS_Nivel_1]]</f>
        <v/>
      </c>
    </row>
    <row r="887" spans="1:25">
      <c r="A887">
        <f>+'Libro Diario'!F143</f>
        <v>0</v>
      </c>
      <c r="B887" s="144">
        <f>VALUE(IF(+'Libro Diario'!G143="","01/01/2025",+'Libro Diario'!G143))</f>
        <v>45658</v>
      </c>
      <c r="C887">
        <f>IF(ISNUMBER(+IF(IFERROR(VALUE(MID('Libro Diario'!D143,1,4)),0)&lt;&gt;0,'Libro Diario'!D143,0))=FALSE,'Libro Diario'!D143,0)</f>
        <v>0</v>
      </c>
      <c r="D887" s="145">
        <f>+'Libro Diario'!E143</f>
        <v>0</v>
      </c>
      <c r="E887" s="139" t="s">
        <v>446</v>
      </c>
      <c r="F887" t="str">
        <f t="shared" si="39"/>
        <v>Sin Mov.</v>
      </c>
      <c r="G887" t="str">
        <f>IF(+'Libro Diario'!H143=0,"",+'Libro Diario'!H143)</f>
        <v/>
      </c>
      <c r="H887" t="str">
        <f>IF(+'Libro Diario'!I143=0,"",+'Libro Diario'!I143)</f>
        <v/>
      </c>
      <c r="I887" t="str">
        <f>+IF(Table3[[#This Row],[Tipo Movimiento]]="Estructura Balance y PyG","Excluir","Incluir")</f>
        <v>Incluir</v>
      </c>
      <c r="J887" s="153">
        <f>+IF(Table3[[#This Row],[Sin cuenta]]="Con Mov.",(IF(Table3[[#This Row],[Movimiento]]="Debe",Table3[[#This Row],[Importe]],IF(Table3[[#This Row],[Movimiento]]="Haber",Table3[[#This Row],[Importe]]*-1,0))),0)</f>
        <v>0</v>
      </c>
      <c r="K887" s="145" t="str">
        <f t="shared" si="40"/>
        <v/>
      </c>
      <c r="L887" s="145">
        <f t="shared" si="41"/>
        <v>0</v>
      </c>
      <c r="M887" t="str">
        <f>_xlfn.XLOOKUP(Table3[[#This Row],[Cuenta]],Estructura_Balance[Nombre Cuenta ()],Estructura_Balance[Grupo],"",0)</f>
        <v/>
      </c>
      <c r="N887" t="str">
        <f>_xlfn.XLOOKUP(Table3[[#This Row],[Cuenta]],Estructura_Balance[Nombre Cuenta ()],Estructura_Balance[Nivel 1],"",0)</f>
        <v/>
      </c>
      <c r="O887" t="str">
        <f>_xlfn.XLOOKUP(Table3[[#This Row],[Cuenta]],Estructura_Balance[Nombre Cuenta ()],Estructura_Balance[Nivel 2],"",0)</f>
        <v/>
      </c>
      <c r="P887" t="str">
        <f>_xlfn.XLOOKUP(Table3[[#This Row],[Cuenta]],Estructura_Balance[Nombre Cuenta ()],Estructura_Balance[Nivel 3],"",0)</f>
        <v/>
      </c>
      <c r="Q887" t="str">
        <f>_xlfn.XLOOKUP(Table3[[#This Row],[Cuenta]],Estructura_Balance[Nombre Cuenta ()],Estructura_Balance[Nivel 4],"",0)</f>
        <v/>
      </c>
      <c r="R887" t="str">
        <f>_xlfn.XLOOKUP(Table3[[#This Row],[Cuenta]],Table8[Nombre Cuenta ()],Table8[Nivel 1],"",0)</f>
        <v/>
      </c>
      <c r="S887" t="str">
        <f>_xlfn.XLOOKUP(Table3[[#This Row],[Cuenta]],Table8[Nombre Cuenta ()],Table8[Nivel 2],"",0)</f>
        <v/>
      </c>
      <c r="T887" t="str">
        <f>_xlfn.XLOOKUP(Table3[[#This Row],[Cuenta]],Table8[Nombre Cuenta ()],Table8[Nivel 3],"",0)</f>
        <v/>
      </c>
      <c r="U887">
        <v>1475</v>
      </c>
      <c r="V887" t="str">
        <f>_xlfn.XLOOKUP(Table3[[#This Row],[Cuenta]],Estructura_Balance[Nombre Cuenta ()],Estructura_Balance[Niveles:2],"",0)</f>
        <v/>
      </c>
      <c r="W887" t="str">
        <f>_xlfn.XLOOKUP(Table3[[#This Row],[Cuenta]],Estructura_Balance[Nombre Cuenta ()],Estructura_Balance[Niveles:3],"",0)</f>
        <v/>
      </c>
      <c r="X887" t="str">
        <f>_xlfn.XLOOKUP(Table3[[#This Row],[Cuenta]],Estructura_Balance[Nombre Cuenta ()],Estructura_Balance[Grupos],"Grupo 1",0)</f>
        <v>Grupo 1</v>
      </c>
      <c r="Y887" t="str">
        <f>+Table3[[#This Row],[BS_Nivel_1]]</f>
        <v/>
      </c>
    </row>
    <row r="888" spans="1:25">
      <c r="A888">
        <f>+'Libro Diario'!F144</f>
        <v>0</v>
      </c>
      <c r="B888" s="144">
        <f>VALUE(IF(+'Libro Diario'!G144="","01/01/2025",+'Libro Diario'!G144))</f>
        <v>45658</v>
      </c>
      <c r="C888">
        <f>IF(ISNUMBER(+IF(IFERROR(VALUE(MID('Libro Diario'!D144,1,4)),0)&lt;&gt;0,'Libro Diario'!D144,0))=FALSE,'Libro Diario'!D144,0)</f>
        <v>0</v>
      </c>
      <c r="D888" s="145">
        <f>+'Libro Diario'!E144</f>
        <v>0</v>
      </c>
      <c r="E888" s="139" t="s">
        <v>446</v>
      </c>
      <c r="F888" t="str">
        <f t="shared" si="39"/>
        <v>Sin Mov.</v>
      </c>
      <c r="G888" t="str">
        <f>IF(+'Libro Diario'!H144=0,"",+'Libro Diario'!H144)</f>
        <v/>
      </c>
      <c r="H888" t="str">
        <f>IF(+'Libro Diario'!I144=0,"",+'Libro Diario'!I144)</f>
        <v/>
      </c>
      <c r="I888" t="str">
        <f>+IF(Table3[[#This Row],[Tipo Movimiento]]="Estructura Balance y PyG","Excluir","Incluir")</f>
        <v>Incluir</v>
      </c>
      <c r="J888" s="153">
        <f>+IF(Table3[[#This Row],[Sin cuenta]]="Con Mov.",(IF(Table3[[#This Row],[Movimiento]]="Debe",Table3[[#This Row],[Importe]],IF(Table3[[#This Row],[Movimiento]]="Haber",Table3[[#This Row],[Importe]]*-1,0))),0)</f>
        <v>0</v>
      </c>
      <c r="K888" s="145" t="str">
        <f t="shared" si="40"/>
        <v/>
      </c>
      <c r="L888" s="145">
        <f t="shared" si="41"/>
        <v>0</v>
      </c>
      <c r="M888" t="str">
        <f>_xlfn.XLOOKUP(Table3[[#This Row],[Cuenta]],Estructura_Balance[Nombre Cuenta ()],Estructura_Balance[Grupo],"",0)</f>
        <v/>
      </c>
      <c r="N888" t="str">
        <f>_xlfn.XLOOKUP(Table3[[#This Row],[Cuenta]],Estructura_Balance[Nombre Cuenta ()],Estructura_Balance[Nivel 1],"",0)</f>
        <v/>
      </c>
      <c r="O888" t="str">
        <f>_xlfn.XLOOKUP(Table3[[#This Row],[Cuenta]],Estructura_Balance[Nombre Cuenta ()],Estructura_Balance[Nivel 2],"",0)</f>
        <v/>
      </c>
      <c r="P888" t="str">
        <f>_xlfn.XLOOKUP(Table3[[#This Row],[Cuenta]],Estructura_Balance[Nombre Cuenta ()],Estructura_Balance[Nivel 3],"",0)</f>
        <v/>
      </c>
      <c r="Q888" t="str">
        <f>_xlfn.XLOOKUP(Table3[[#This Row],[Cuenta]],Estructura_Balance[Nombre Cuenta ()],Estructura_Balance[Nivel 4],"",0)</f>
        <v/>
      </c>
      <c r="R888" t="str">
        <f>_xlfn.XLOOKUP(Table3[[#This Row],[Cuenta]],Table8[Nombre Cuenta ()],Table8[Nivel 1],"",0)</f>
        <v/>
      </c>
      <c r="S888" t="str">
        <f>_xlfn.XLOOKUP(Table3[[#This Row],[Cuenta]],Table8[Nombre Cuenta ()],Table8[Nivel 2],"",0)</f>
        <v/>
      </c>
      <c r="T888" t="str">
        <f>_xlfn.XLOOKUP(Table3[[#This Row],[Cuenta]],Table8[Nombre Cuenta ()],Table8[Nivel 3],"",0)</f>
        <v/>
      </c>
      <c r="U888">
        <v>1476</v>
      </c>
      <c r="V888" t="str">
        <f>_xlfn.XLOOKUP(Table3[[#This Row],[Cuenta]],Estructura_Balance[Nombre Cuenta ()],Estructura_Balance[Niveles:2],"",0)</f>
        <v/>
      </c>
      <c r="W888" t="str">
        <f>_xlfn.XLOOKUP(Table3[[#This Row],[Cuenta]],Estructura_Balance[Nombre Cuenta ()],Estructura_Balance[Niveles:3],"",0)</f>
        <v/>
      </c>
      <c r="X888" t="str">
        <f>_xlfn.XLOOKUP(Table3[[#This Row],[Cuenta]],Estructura_Balance[Nombre Cuenta ()],Estructura_Balance[Grupos],"Grupo 1",0)</f>
        <v>Grupo 1</v>
      </c>
      <c r="Y888" t="str">
        <f>+Table3[[#This Row],[BS_Nivel_1]]</f>
        <v/>
      </c>
    </row>
    <row r="889" spans="1:25">
      <c r="A889">
        <f>+'Libro Diario'!F145</f>
        <v>0</v>
      </c>
      <c r="B889" s="144">
        <f>VALUE(IF(+'Libro Diario'!G145="","01/01/2025",+'Libro Diario'!G145))</f>
        <v>45658</v>
      </c>
      <c r="C889">
        <f>IF(ISNUMBER(+IF(IFERROR(VALUE(MID('Libro Diario'!D145,1,4)),0)&lt;&gt;0,'Libro Diario'!D145,0))=FALSE,'Libro Diario'!D145,0)</f>
        <v>0</v>
      </c>
      <c r="D889" s="145">
        <f>+'Libro Diario'!E145</f>
        <v>0</v>
      </c>
      <c r="E889" s="139" t="s">
        <v>446</v>
      </c>
      <c r="F889" t="str">
        <f t="shared" si="39"/>
        <v>Sin Mov.</v>
      </c>
      <c r="G889" t="str">
        <f>IF(+'Libro Diario'!H145=0,"",+'Libro Diario'!H145)</f>
        <v/>
      </c>
      <c r="H889" t="str">
        <f>IF(+'Libro Diario'!I145=0,"",+'Libro Diario'!I145)</f>
        <v/>
      </c>
      <c r="I889" t="str">
        <f>+IF(Table3[[#This Row],[Tipo Movimiento]]="Estructura Balance y PyG","Excluir","Incluir")</f>
        <v>Incluir</v>
      </c>
      <c r="J889" s="153">
        <f>+IF(Table3[[#This Row],[Sin cuenta]]="Con Mov.",(IF(Table3[[#This Row],[Movimiento]]="Debe",Table3[[#This Row],[Importe]],IF(Table3[[#This Row],[Movimiento]]="Haber",Table3[[#This Row],[Importe]]*-1,0))),0)</f>
        <v>0</v>
      </c>
      <c r="K889" s="145" t="str">
        <f t="shared" si="40"/>
        <v/>
      </c>
      <c r="L889" s="145">
        <f t="shared" si="41"/>
        <v>0</v>
      </c>
      <c r="M889" t="str">
        <f>_xlfn.XLOOKUP(Table3[[#This Row],[Cuenta]],Estructura_Balance[Nombre Cuenta ()],Estructura_Balance[Grupo],"",0)</f>
        <v/>
      </c>
      <c r="N889" t="str">
        <f>_xlfn.XLOOKUP(Table3[[#This Row],[Cuenta]],Estructura_Balance[Nombre Cuenta ()],Estructura_Balance[Nivel 1],"",0)</f>
        <v/>
      </c>
      <c r="O889" t="str">
        <f>_xlfn.XLOOKUP(Table3[[#This Row],[Cuenta]],Estructura_Balance[Nombre Cuenta ()],Estructura_Balance[Nivel 2],"",0)</f>
        <v/>
      </c>
      <c r="P889" t="str">
        <f>_xlfn.XLOOKUP(Table3[[#This Row],[Cuenta]],Estructura_Balance[Nombre Cuenta ()],Estructura_Balance[Nivel 3],"",0)</f>
        <v/>
      </c>
      <c r="Q889" t="str">
        <f>_xlfn.XLOOKUP(Table3[[#This Row],[Cuenta]],Estructura_Balance[Nombre Cuenta ()],Estructura_Balance[Nivel 4],"",0)</f>
        <v/>
      </c>
      <c r="R889" t="str">
        <f>_xlfn.XLOOKUP(Table3[[#This Row],[Cuenta]],Table8[Nombre Cuenta ()],Table8[Nivel 1],"",0)</f>
        <v/>
      </c>
      <c r="S889" t="str">
        <f>_xlfn.XLOOKUP(Table3[[#This Row],[Cuenta]],Table8[Nombre Cuenta ()],Table8[Nivel 2],"",0)</f>
        <v/>
      </c>
      <c r="T889" t="str">
        <f>_xlfn.XLOOKUP(Table3[[#This Row],[Cuenta]],Table8[Nombre Cuenta ()],Table8[Nivel 3],"",0)</f>
        <v/>
      </c>
      <c r="U889">
        <v>1479</v>
      </c>
      <c r="V889" t="str">
        <f>_xlfn.XLOOKUP(Table3[[#This Row],[Cuenta]],Estructura_Balance[Nombre Cuenta ()],Estructura_Balance[Niveles:2],"",0)</f>
        <v/>
      </c>
      <c r="W889" t="str">
        <f>_xlfn.XLOOKUP(Table3[[#This Row],[Cuenta]],Estructura_Balance[Nombre Cuenta ()],Estructura_Balance[Niveles:3],"",0)</f>
        <v/>
      </c>
      <c r="X889" t="str">
        <f>_xlfn.XLOOKUP(Table3[[#This Row],[Cuenta]],Estructura_Balance[Nombre Cuenta ()],Estructura_Balance[Grupos],"Grupo 1",0)</f>
        <v>Grupo 1</v>
      </c>
      <c r="Y889" t="str">
        <f>+Table3[[#This Row],[BS_Nivel_1]]</f>
        <v/>
      </c>
    </row>
    <row r="890" spans="1:25">
      <c r="A890">
        <f>+'Libro Diario'!F146</f>
        <v>0</v>
      </c>
      <c r="B890" s="144">
        <f>VALUE(IF(+'Libro Diario'!G146="","01/01/2025",+'Libro Diario'!G146))</f>
        <v>45658</v>
      </c>
      <c r="C890">
        <f>IF(ISNUMBER(+IF(IFERROR(VALUE(MID('Libro Diario'!D146,1,4)),0)&lt;&gt;0,'Libro Diario'!D146,0))=FALSE,'Libro Diario'!D146,0)</f>
        <v>0</v>
      </c>
      <c r="D890" s="145" t="str">
        <f>+'Libro Diario'!E146</f>
        <v>HABER</v>
      </c>
      <c r="E890" s="139" t="s">
        <v>446</v>
      </c>
      <c r="F890" t="str">
        <f t="shared" si="39"/>
        <v>Sin Mov.</v>
      </c>
      <c r="G890" t="str">
        <f>IF(+'Libro Diario'!H146=0,"",+'Libro Diario'!H146)</f>
        <v/>
      </c>
      <c r="H890" t="str">
        <f>IF(+'Libro Diario'!I146=0,"",+'Libro Diario'!I146)</f>
        <v/>
      </c>
      <c r="I890" t="str">
        <f>+IF(Table3[[#This Row],[Tipo Movimiento]]="Estructura Balance y PyG","Excluir","Incluir")</f>
        <v>Incluir</v>
      </c>
      <c r="J890" s="153">
        <f>+IF(Table3[[#This Row],[Sin cuenta]]="Con Mov.",(IF(Table3[[#This Row],[Movimiento]]="Debe",Table3[[#This Row],[Importe]],IF(Table3[[#This Row],[Movimiento]]="Haber",Table3[[#This Row],[Importe]]*-1,0))),0)</f>
        <v>0</v>
      </c>
      <c r="K890" s="145" t="str">
        <f t="shared" si="40"/>
        <v/>
      </c>
      <c r="L890" s="145" t="str">
        <f t="shared" si="41"/>
        <v>HABER</v>
      </c>
      <c r="M890" t="str">
        <f>_xlfn.XLOOKUP(Table3[[#This Row],[Cuenta]],Estructura_Balance[Nombre Cuenta ()],Estructura_Balance[Grupo],"",0)</f>
        <v/>
      </c>
      <c r="N890" t="str">
        <f>_xlfn.XLOOKUP(Table3[[#This Row],[Cuenta]],Estructura_Balance[Nombre Cuenta ()],Estructura_Balance[Nivel 1],"",0)</f>
        <v/>
      </c>
      <c r="O890" t="str">
        <f>_xlfn.XLOOKUP(Table3[[#This Row],[Cuenta]],Estructura_Balance[Nombre Cuenta ()],Estructura_Balance[Nivel 2],"",0)</f>
        <v/>
      </c>
      <c r="P890" t="str">
        <f>_xlfn.XLOOKUP(Table3[[#This Row],[Cuenta]],Estructura_Balance[Nombre Cuenta ()],Estructura_Balance[Nivel 3],"",0)</f>
        <v/>
      </c>
      <c r="Q890" t="str">
        <f>_xlfn.XLOOKUP(Table3[[#This Row],[Cuenta]],Estructura_Balance[Nombre Cuenta ()],Estructura_Balance[Nivel 4],"",0)</f>
        <v/>
      </c>
      <c r="R890" t="str">
        <f>_xlfn.XLOOKUP(Table3[[#This Row],[Cuenta]],Table8[Nombre Cuenta ()],Table8[Nivel 1],"",0)</f>
        <v/>
      </c>
      <c r="S890" t="str">
        <f>_xlfn.XLOOKUP(Table3[[#This Row],[Cuenta]],Table8[Nombre Cuenta ()],Table8[Nivel 2],"",0)</f>
        <v/>
      </c>
      <c r="T890" t="str">
        <f>_xlfn.XLOOKUP(Table3[[#This Row],[Cuenta]],Table8[Nombre Cuenta ()],Table8[Nivel 3],"",0)</f>
        <v/>
      </c>
      <c r="U890">
        <v>1480</v>
      </c>
      <c r="V890" t="str">
        <f>_xlfn.XLOOKUP(Table3[[#This Row],[Cuenta]],Estructura_Balance[Nombre Cuenta ()],Estructura_Balance[Niveles:2],"",0)</f>
        <v/>
      </c>
      <c r="W890" t="str">
        <f>_xlfn.XLOOKUP(Table3[[#This Row],[Cuenta]],Estructura_Balance[Nombre Cuenta ()],Estructura_Balance[Niveles:3],"",0)</f>
        <v/>
      </c>
      <c r="X890" t="str">
        <f>_xlfn.XLOOKUP(Table3[[#This Row],[Cuenta]],Estructura_Balance[Nombre Cuenta ()],Estructura_Balance[Grupos],"Grupo 1",0)</f>
        <v>Grupo 1</v>
      </c>
      <c r="Y890" t="str">
        <f>+Table3[[#This Row],[BS_Nivel_1]]</f>
        <v/>
      </c>
    </row>
    <row r="891" spans="1:25">
      <c r="A891">
        <f>+'Libro Diario'!F147</f>
        <v>0</v>
      </c>
      <c r="B891" s="144">
        <f>VALUE(IF(+'Libro Diario'!G147="","01/01/2025",+'Libro Diario'!G147))</f>
        <v>45658</v>
      </c>
      <c r="C891">
        <f>IF(ISNUMBER(+IF(IFERROR(VALUE(MID('Libro Diario'!D147,1,4)),0)&lt;&gt;0,'Libro Diario'!D147,0))=FALSE,'Libro Diario'!D147,0)</f>
        <v>0</v>
      </c>
      <c r="D891" s="145">
        <f>+'Libro Diario'!E147</f>
        <v>0</v>
      </c>
      <c r="E891" s="139" t="s">
        <v>446</v>
      </c>
      <c r="F891" t="str">
        <f t="shared" si="39"/>
        <v>Sin Mov.</v>
      </c>
      <c r="G891" t="str">
        <f>IF(+'Libro Diario'!H147=0,"",+'Libro Diario'!H147)</f>
        <v/>
      </c>
      <c r="H891" t="str">
        <f>IF(+'Libro Diario'!I147=0,"",+'Libro Diario'!I147)</f>
        <v/>
      </c>
      <c r="I891" t="str">
        <f>+IF(Table3[[#This Row],[Tipo Movimiento]]="Estructura Balance y PyG","Excluir","Incluir")</f>
        <v>Incluir</v>
      </c>
      <c r="J891" s="153">
        <f>+IF(Table3[[#This Row],[Sin cuenta]]="Con Mov.",(IF(Table3[[#This Row],[Movimiento]]="Debe",Table3[[#This Row],[Importe]],IF(Table3[[#This Row],[Movimiento]]="Haber",Table3[[#This Row],[Importe]]*-1,0))),0)</f>
        <v>0</v>
      </c>
      <c r="K891" s="145" t="str">
        <f t="shared" si="40"/>
        <v/>
      </c>
      <c r="L891" s="145">
        <f t="shared" si="41"/>
        <v>0</v>
      </c>
      <c r="M891" t="str">
        <f>_xlfn.XLOOKUP(Table3[[#This Row],[Cuenta]],Estructura_Balance[Nombre Cuenta ()],Estructura_Balance[Grupo],"",0)</f>
        <v/>
      </c>
      <c r="N891" t="str">
        <f>_xlfn.XLOOKUP(Table3[[#This Row],[Cuenta]],Estructura_Balance[Nombre Cuenta ()],Estructura_Balance[Nivel 1],"",0)</f>
        <v/>
      </c>
      <c r="O891" t="str">
        <f>_xlfn.XLOOKUP(Table3[[#This Row],[Cuenta]],Estructura_Balance[Nombre Cuenta ()],Estructura_Balance[Nivel 2],"",0)</f>
        <v/>
      </c>
      <c r="P891" t="str">
        <f>_xlfn.XLOOKUP(Table3[[#This Row],[Cuenta]],Estructura_Balance[Nombre Cuenta ()],Estructura_Balance[Nivel 3],"",0)</f>
        <v/>
      </c>
      <c r="Q891" t="str">
        <f>_xlfn.XLOOKUP(Table3[[#This Row],[Cuenta]],Estructura_Balance[Nombre Cuenta ()],Estructura_Balance[Nivel 4],"",0)</f>
        <v/>
      </c>
      <c r="R891" t="str">
        <f>_xlfn.XLOOKUP(Table3[[#This Row],[Cuenta]],Table8[Nombre Cuenta ()],Table8[Nivel 1],"",0)</f>
        <v/>
      </c>
      <c r="S891" t="str">
        <f>_xlfn.XLOOKUP(Table3[[#This Row],[Cuenta]],Table8[Nombre Cuenta ()],Table8[Nivel 2],"",0)</f>
        <v/>
      </c>
      <c r="T891" t="str">
        <f>_xlfn.XLOOKUP(Table3[[#This Row],[Cuenta]],Table8[Nombre Cuenta ()],Table8[Nivel 3],"",0)</f>
        <v/>
      </c>
      <c r="U891">
        <v>1481</v>
      </c>
      <c r="V891" t="str">
        <f>_xlfn.XLOOKUP(Table3[[#This Row],[Cuenta]],Estructura_Balance[Nombre Cuenta ()],Estructura_Balance[Niveles:2],"",0)</f>
        <v/>
      </c>
      <c r="W891" t="str">
        <f>_xlfn.XLOOKUP(Table3[[#This Row],[Cuenta]],Estructura_Balance[Nombre Cuenta ()],Estructura_Balance[Niveles:3],"",0)</f>
        <v/>
      </c>
      <c r="X891" t="str">
        <f>_xlfn.XLOOKUP(Table3[[#This Row],[Cuenta]],Estructura_Balance[Nombre Cuenta ()],Estructura_Balance[Grupos],"Grupo 1",0)</f>
        <v>Grupo 1</v>
      </c>
      <c r="Y891" t="str">
        <f>+Table3[[#This Row],[BS_Nivel_1]]</f>
        <v/>
      </c>
    </row>
    <row r="892" spans="1:25">
      <c r="A892">
        <f>+'Libro Diario'!F150</f>
        <v>0</v>
      </c>
      <c r="B892" s="144">
        <f>VALUE(IF(+'Libro Diario'!G150="","01/01/2025",+'Libro Diario'!G150))</f>
        <v>45658</v>
      </c>
      <c r="C892">
        <f>IF(ISNUMBER(+IF(IFERROR(VALUE(MID('Libro Diario'!D150,1,4)),0)&lt;&gt;0,'Libro Diario'!D150,0))=FALSE,'Libro Diario'!D150,0)</f>
        <v>0</v>
      </c>
      <c r="D892" s="145">
        <f>+'Libro Diario'!E150</f>
        <v>0</v>
      </c>
      <c r="E892" s="139" t="s">
        <v>446</v>
      </c>
      <c r="F892" t="str">
        <f t="shared" si="39"/>
        <v>Sin Mov.</v>
      </c>
      <c r="G892" t="str">
        <f>IF(+'Libro Diario'!H150=0,"",+'Libro Diario'!H150)</f>
        <v/>
      </c>
      <c r="H892" t="str">
        <f>IF(+'Libro Diario'!I150=0,"",+'Libro Diario'!I150)</f>
        <v/>
      </c>
      <c r="I892" t="str">
        <f>+IF(Table3[[#This Row],[Tipo Movimiento]]="Estructura Balance y PyG","Excluir","Incluir")</f>
        <v>Incluir</v>
      </c>
      <c r="J892" s="153">
        <f>+IF(Table3[[#This Row],[Sin cuenta]]="Con Mov.",(IF(Table3[[#This Row],[Movimiento]]="Debe",Table3[[#This Row],[Importe]],IF(Table3[[#This Row],[Movimiento]]="Haber",Table3[[#This Row],[Importe]]*-1,0))),0)</f>
        <v>0</v>
      </c>
      <c r="K892" s="145" t="str">
        <f t="shared" si="40"/>
        <v/>
      </c>
      <c r="L892" s="145">
        <f t="shared" si="41"/>
        <v>0</v>
      </c>
      <c r="M892" t="str">
        <f>_xlfn.XLOOKUP(Table3[[#This Row],[Cuenta]],Estructura_Balance[Nombre Cuenta ()],Estructura_Balance[Grupo],"",0)</f>
        <v/>
      </c>
      <c r="N892" t="str">
        <f>_xlfn.XLOOKUP(Table3[[#This Row],[Cuenta]],Estructura_Balance[Nombre Cuenta ()],Estructura_Balance[Nivel 1],"",0)</f>
        <v/>
      </c>
      <c r="O892" t="str">
        <f>_xlfn.XLOOKUP(Table3[[#This Row],[Cuenta]],Estructura_Balance[Nombre Cuenta ()],Estructura_Balance[Nivel 2],"",0)</f>
        <v/>
      </c>
      <c r="P892" t="str">
        <f>_xlfn.XLOOKUP(Table3[[#This Row],[Cuenta]],Estructura_Balance[Nombre Cuenta ()],Estructura_Balance[Nivel 3],"",0)</f>
        <v/>
      </c>
      <c r="Q892" t="str">
        <f>_xlfn.XLOOKUP(Table3[[#This Row],[Cuenta]],Estructura_Balance[Nombre Cuenta ()],Estructura_Balance[Nivel 4],"",0)</f>
        <v/>
      </c>
      <c r="R892" t="str">
        <f>_xlfn.XLOOKUP(Table3[[#This Row],[Cuenta]],Table8[Nombre Cuenta ()],Table8[Nivel 1],"",0)</f>
        <v/>
      </c>
      <c r="S892" t="str">
        <f>_xlfn.XLOOKUP(Table3[[#This Row],[Cuenta]],Table8[Nombre Cuenta ()],Table8[Nivel 2],"",0)</f>
        <v/>
      </c>
      <c r="T892" t="str">
        <f>_xlfn.XLOOKUP(Table3[[#This Row],[Cuenta]],Table8[Nombre Cuenta ()],Table8[Nivel 3],"",0)</f>
        <v/>
      </c>
      <c r="U892">
        <v>1486</v>
      </c>
      <c r="V892" t="str">
        <f>_xlfn.XLOOKUP(Table3[[#This Row],[Cuenta]],Estructura_Balance[Nombre Cuenta ()],Estructura_Balance[Niveles:2],"",0)</f>
        <v/>
      </c>
      <c r="W892" t="str">
        <f>_xlfn.XLOOKUP(Table3[[#This Row],[Cuenta]],Estructura_Balance[Nombre Cuenta ()],Estructura_Balance[Niveles:3],"",0)</f>
        <v/>
      </c>
      <c r="X892" t="str">
        <f>_xlfn.XLOOKUP(Table3[[#This Row],[Cuenta]],Estructura_Balance[Nombre Cuenta ()],Estructura_Balance[Grupos],"Grupo 1",0)</f>
        <v>Grupo 1</v>
      </c>
      <c r="Y892" t="str">
        <f>+Table3[[#This Row],[BS_Nivel_1]]</f>
        <v/>
      </c>
    </row>
    <row r="893" spans="1:25">
      <c r="A893">
        <f>+'Libro Diario'!F151</f>
        <v>0</v>
      </c>
      <c r="B893" s="144">
        <f>VALUE(IF(+'Libro Diario'!G151="","01/01/2025",+'Libro Diario'!G151))</f>
        <v>45658</v>
      </c>
      <c r="C893">
        <f>IF(ISNUMBER(+IF(IFERROR(VALUE(MID('Libro Diario'!D151,1,4)),0)&lt;&gt;0,'Libro Diario'!D151,0))=FALSE,'Libro Diario'!D151,0)</f>
        <v>0</v>
      </c>
      <c r="D893" s="145">
        <f>+'Libro Diario'!E151</f>
        <v>0</v>
      </c>
      <c r="E893" s="139" t="s">
        <v>446</v>
      </c>
      <c r="F893" t="str">
        <f t="shared" si="39"/>
        <v>Sin Mov.</v>
      </c>
      <c r="G893" t="str">
        <f>IF(+'Libro Diario'!H151=0,"",+'Libro Diario'!H151)</f>
        <v/>
      </c>
      <c r="H893" t="str">
        <f>IF(+'Libro Diario'!I151=0,"",+'Libro Diario'!I151)</f>
        <v/>
      </c>
      <c r="I893" t="str">
        <f>+IF(Table3[[#This Row],[Tipo Movimiento]]="Estructura Balance y PyG","Excluir","Incluir")</f>
        <v>Incluir</v>
      </c>
      <c r="J893" s="153">
        <f>+IF(Table3[[#This Row],[Sin cuenta]]="Con Mov.",(IF(Table3[[#This Row],[Movimiento]]="Debe",Table3[[#This Row],[Importe]],IF(Table3[[#This Row],[Movimiento]]="Haber",Table3[[#This Row],[Importe]]*-1,0))),0)</f>
        <v>0</v>
      </c>
      <c r="K893" s="145" t="str">
        <f t="shared" si="40"/>
        <v/>
      </c>
      <c r="L893" s="145">
        <f t="shared" si="41"/>
        <v>0</v>
      </c>
      <c r="M893" t="str">
        <f>_xlfn.XLOOKUP(Table3[[#This Row],[Cuenta]],Estructura_Balance[Nombre Cuenta ()],Estructura_Balance[Grupo],"",0)</f>
        <v/>
      </c>
      <c r="N893" t="str">
        <f>_xlfn.XLOOKUP(Table3[[#This Row],[Cuenta]],Estructura_Balance[Nombre Cuenta ()],Estructura_Balance[Nivel 1],"",0)</f>
        <v/>
      </c>
      <c r="O893" t="str">
        <f>_xlfn.XLOOKUP(Table3[[#This Row],[Cuenta]],Estructura_Balance[Nombre Cuenta ()],Estructura_Balance[Nivel 2],"",0)</f>
        <v/>
      </c>
      <c r="P893" t="str">
        <f>_xlfn.XLOOKUP(Table3[[#This Row],[Cuenta]],Estructura_Balance[Nombre Cuenta ()],Estructura_Balance[Nivel 3],"",0)</f>
        <v/>
      </c>
      <c r="Q893" t="str">
        <f>_xlfn.XLOOKUP(Table3[[#This Row],[Cuenta]],Estructura_Balance[Nombre Cuenta ()],Estructura_Balance[Nivel 4],"",0)</f>
        <v/>
      </c>
      <c r="R893" t="str">
        <f>_xlfn.XLOOKUP(Table3[[#This Row],[Cuenta]],Table8[Nombre Cuenta ()],Table8[Nivel 1],"",0)</f>
        <v/>
      </c>
      <c r="S893" t="str">
        <f>_xlfn.XLOOKUP(Table3[[#This Row],[Cuenta]],Table8[Nombre Cuenta ()],Table8[Nivel 2],"",0)</f>
        <v/>
      </c>
      <c r="T893" t="str">
        <f>_xlfn.XLOOKUP(Table3[[#This Row],[Cuenta]],Table8[Nombre Cuenta ()],Table8[Nivel 3],"",0)</f>
        <v/>
      </c>
      <c r="U893">
        <v>1487</v>
      </c>
      <c r="V893" t="str">
        <f>_xlfn.XLOOKUP(Table3[[#This Row],[Cuenta]],Estructura_Balance[Nombre Cuenta ()],Estructura_Balance[Niveles:2],"",0)</f>
        <v/>
      </c>
      <c r="W893" t="str">
        <f>_xlfn.XLOOKUP(Table3[[#This Row],[Cuenta]],Estructura_Balance[Nombre Cuenta ()],Estructura_Balance[Niveles:3],"",0)</f>
        <v/>
      </c>
      <c r="X893" t="str">
        <f>_xlfn.XLOOKUP(Table3[[#This Row],[Cuenta]],Estructura_Balance[Nombre Cuenta ()],Estructura_Balance[Grupos],"Grupo 1",0)</f>
        <v>Grupo 1</v>
      </c>
      <c r="Y893" t="str">
        <f>+Table3[[#This Row],[BS_Nivel_1]]</f>
        <v/>
      </c>
    </row>
    <row r="894" spans="1:25">
      <c r="A894">
        <f>+'Libro Diario'!F152</f>
        <v>0</v>
      </c>
      <c r="B894" s="144">
        <f>VALUE(IF(+'Libro Diario'!G152="","01/01/2025",+'Libro Diario'!G152))</f>
        <v>45658</v>
      </c>
      <c r="C894">
        <f>IF(ISNUMBER(+IF(IFERROR(VALUE(MID('Libro Diario'!D152,1,4)),0)&lt;&gt;0,'Libro Diario'!D152,0))=FALSE,'Libro Diario'!D152,0)</f>
        <v>0</v>
      </c>
      <c r="D894" s="145">
        <f>+'Libro Diario'!E152</f>
        <v>0</v>
      </c>
      <c r="E894" s="139" t="s">
        <v>446</v>
      </c>
      <c r="F894" t="str">
        <f t="shared" si="39"/>
        <v>Sin Mov.</v>
      </c>
      <c r="G894" t="str">
        <f>IF(+'Libro Diario'!H152=0,"",+'Libro Diario'!H152)</f>
        <v/>
      </c>
      <c r="H894" t="str">
        <f>IF(+'Libro Diario'!I152=0,"",+'Libro Diario'!I152)</f>
        <v/>
      </c>
      <c r="I894" t="str">
        <f>+IF(Table3[[#This Row],[Tipo Movimiento]]="Estructura Balance y PyG","Excluir","Incluir")</f>
        <v>Incluir</v>
      </c>
      <c r="J894" s="153">
        <f>+IF(Table3[[#This Row],[Sin cuenta]]="Con Mov.",(IF(Table3[[#This Row],[Movimiento]]="Debe",Table3[[#This Row],[Importe]],IF(Table3[[#This Row],[Movimiento]]="Haber",Table3[[#This Row],[Importe]]*-1,0))),0)</f>
        <v>0</v>
      </c>
      <c r="K894" s="145" t="str">
        <f t="shared" si="40"/>
        <v/>
      </c>
      <c r="L894" s="145">
        <f t="shared" si="41"/>
        <v>0</v>
      </c>
      <c r="M894" t="str">
        <f>_xlfn.XLOOKUP(Table3[[#This Row],[Cuenta]],Estructura_Balance[Nombre Cuenta ()],Estructura_Balance[Grupo],"",0)</f>
        <v/>
      </c>
      <c r="N894" t="str">
        <f>_xlfn.XLOOKUP(Table3[[#This Row],[Cuenta]],Estructura_Balance[Nombre Cuenta ()],Estructura_Balance[Nivel 1],"",0)</f>
        <v/>
      </c>
      <c r="O894" t="str">
        <f>_xlfn.XLOOKUP(Table3[[#This Row],[Cuenta]],Estructura_Balance[Nombre Cuenta ()],Estructura_Balance[Nivel 2],"",0)</f>
        <v/>
      </c>
      <c r="P894" t="str">
        <f>_xlfn.XLOOKUP(Table3[[#This Row],[Cuenta]],Estructura_Balance[Nombre Cuenta ()],Estructura_Balance[Nivel 3],"",0)</f>
        <v/>
      </c>
      <c r="Q894" t="str">
        <f>_xlfn.XLOOKUP(Table3[[#This Row],[Cuenta]],Estructura_Balance[Nombre Cuenta ()],Estructura_Balance[Nivel 4],"",0)</f>
        <v/>
      </c>
      <c r="R894" t="str">
        <f>_xlfn.XLOOKUP(Table3[[#This Row],[Cuenta]],Table8[Nombre Cuenta ()],Table8[Nivel 1],"",0)</f>
        <v/>
      </c>
      <c r="S894" t="str">
        <f>_xlfn.XLOOKUP(Table3[[#This Row],[Cuenta]],Table8[Nombre Cuenta ()],Table8[Nivel 2],"",0)</f>
        <v/>
      </c>
      <c r="T894" t="str">
        <f>_xlfn.XLOOKUP(Table3[[#This Row],[Cuenta]],Table8[Nombre Cuenta ()],Table8[Nivel 3],"",0)</f>
        <v/>
      </c>
      <c r="U894">
        <v>1488</v>
      </c>
      <c r="V894" t="str">
        <f>_xlfn.XLOOKUP(Table3[[#This Row],[Cuenta]],Estructura_Balance[Nombre Cuenta ()],Estructura_Balance[Niveles:2],"",0)</f>
        <v/>
      </c>
      <c r="W894" t="str">
        <f>_xlfn.XLOOKUP(Table3[[#This Row],[Cuenta]],Estructura_Balance[Nombre Cuenta ()],Estructura_Balance[Niveles:3],"",0)</f>
        <v/>
      </c>
      <c r="X894" t="str">
        <f>_xlfn.XLOOKUP(Table3[[#This Row],[Cuenta]],Estructura_Balance[Nombre Cuenta ()],Estructura_Balance[Grupos],"Grupo 1",0)</f>
        <v>Grupo 1</v>
      </c>
      <c r="Y894" t="str">
        <f>+Table3[[#This Row],[BS_Nivel_1]]</f>
        <v/>
      </c>
    </row>
    <row r="895" spans="1:25">
      <c r="A895">
        <f>+'Libro Diario'!F153</f>
        <v>0</v>
      </c>
      <c r="B895" s="144">
        <f>VALUE(IF(+'Libro Diario'!G153="","01/01/2025",+'Libro Diario'!G153))</f>
        <v>45658</v>
      </c>
      <c r="C895">
        <f>IF(ISNUMBER(+IF(IFERROR(VALUE(MID('Libro Diario'!D153,1,4)),0)&lt;&gt;0,'Libro Diario'!D153,0))=FALSE,'Libro Diario'!D153,0)</f>
        <v>0</v>
      </c>
      <c r="D895" s="145" t="str">
        <f>+'Libro Diario'!E153</f>
        <v>HABER</v>
      </c>
      <c r="E895" s="139" t="s">
        <v>446</v>
      </c>
      <c r="F895" t="str">
        <f t="shared" si="39"/>
        <v>Sin Mov.</v>
      </c>
      <c r="G895" t="str">
        <f>IF(+'Libro Diario'!H153=0,"",+'Libro Diario'!H153)</f>
        <v/>
      </c>
      <c r="H895" t="str">
        <f>IF(+'Libro Diario'!I153=0,"",+'Libro Diario'!I153)</f>
        <v/>
      </c>
      <c r="I895" t="str">
        <f>+IF(Table3[[#This Row],[Tipo Movimiento]]="Estructura Balance y PyG","Excluir","Incluir")</f>
        <v>Incluir</v>
      </c>
      <c r="J895" s="153">
        <f>+IF(Table3[[#This Row],[Sin cuenta]]="Con Mov.",(IF(Table3[[#This Row],[Movimiento]]="Debe",Table3[[#This Row],[Importe]],IF(Table3[[#This Row],[Movimiento]]="Haber",Table3[[#This Row],[Importe]]*-1,0))),0)</f>
        <v>0</v>
      </c>
      <c r="K895" s="145" t="str">
        <f t="shared" si="40"/>
        <v/>
      </c>
      <c r="L895" s="145" t="str">
        <f t="shared" si="41"/>
        <v>HABER</v>
      </c>
      <c r="M895" t="str">
        <f>_xlfn.XLOOKUP(Table3[[#This Row],[Cuenta]],Estructura_Balance[Nombre Cuenta ()],Estructura_Balance[Grupo],"",0)</f>
        <v/>
      </c>
      <c r="N895" t="str">
        <f>_xlfn.XLOOKUP(Table3[[#This Row],[Cuenta]],Estructura_Balance[Nombre Cuenta ()],Estructura_Balance[Nivel 1],"",0)</f>
        <v/>
      </c>
      <c r="O895" t="str">
        <f>_xlfn.XLOOKUP(Table3[[#This Row],[Cuenta]],Estructura_Balance[Nombre Cuenta ()],Estructura_Balance[Nivel 2],"",0)</f>
        <v/>
      </c>
      <c r="P895" t="str">
        <f>_xlfn.XLOOKUP(Table3[[#This Row],[Cuenta]],Estructura_Balance[Nombre Cuenta ()],Estructura_Balance[Nivel 3],"",0)</f>
        <v/>
      </c>
      <c r="Q895" t="str">
        <f>_xlfn.XLOOKUP(Table3[[#This Row],[Cuenta]],Estructura_Balance[Nombre Cuenta ()],Estructura_Balance[Nivel 4],"",0)</f>
        <v/>
      </c>
      <c r="R895" t="str">
        <f>_xlfn.XLOOKUP(Table3[[#This Row],[Cuenta]],Table8[Nombre Cuenta ()],Table8[Nivel 1],"",0)</f>
        <v/>
      </c>
      <c r="S895" t="str">
        <f>_xlfn.XLOOKUP(Table3[[#This Row],[Cuenta]],Table8[Nombre Cuenta ()],Table8[Nivel 2],"",0)</f>
        <v/>
      </c>
      <c r="T895" t="str">
        <f>_xlfn.XLOOKUP(Table3[[#This Row],[Cuenta]],Table8[Nombre Cuenta ()],Table8[Nivel 3],"",0)</f>
        <v/>
      </c>
      <c r="U895">
        <v>1489</v>
      </c>
      <c r="V895" t="str">
        <f>_xlfn.XLOOKUP(Table3[[#This Row],[Cuenta]],Estructura_Balance[Nombre Cuenta ()],Estructura_Balance[Niveles:2],"",0)</f>
        <v/>
      </c>
      <c r="W895" t="str">
        <f>_xlfn.XLOOKUP(Table3[[#This Row],[Cuenta]],Estructura_Balance[Nombre Cuenta ()],Estructura_Balance[Niveles:3],"",0)</f>
        <v/>
      </c>
      <c r="X895" t="str">
        <f>_xlfn.XLOOKUP(Table3[[#This Row],[Cuenta]],Estructura_Balance[Nombre Cuenta ()],Estructura_Balance[Grupos],"Grupo 1",0)</f>
        <v>Grupo 1</v>
      </c>
      <c r="Y895" t="str">
        <f>+Table3[[#This Row],[BS_Nivel_1]]</f>
        <v/>
      </c>
    </row>
    <row r="896" spans="1:25">
      <c r="A896">
        <f>+'Libro Diario'!F154</f>
        <v>0</v>
      </c>
      <c r="B896" s="144">
        <f>VALUE(IF(+'Libro Diario'!G154="","01/01/2025",+'Libro Diario'!G154))</f>
        <v>45658</v>
      </c>
      <c r="C896">
        <f>IF(ISNUMBER(+IF(IFERROR(VALUE(MID('Libro Diario'!D154,1,4)),0)&lt;&gt;0,'Libro Diario'!D154,0))=FALSE,'Libro Diario'!D154,0)</f>
        <v>0</v>
      </c>
      <c r="D896" s="145">
        <f>+'Libro Diario'!E154</f>
        <v>0</v>
      </c>
      <c r="E896" s="139" t="s">
        <v>446</v>
      </c>
      <c r="F896" t="str">
        <f t="shared" si="39"/>
        <v>Sin Mov.</v>
      </c>
      <c r="G896" t="str">
        <f>IF(+'Libro Diario'!H154=0,"",+'Libro Diario'!H154)</f>
        <v/>
      </c>
      <c r="H896" t="str">
        <f>IF(+'Libro Diario'!I154=0,"",+'Libro Diario'!I154)</f>
        <v/>
      </c>
      <c r="I896" t="str">
        <f>+IF(Table3[[#This Row],[Tipo Movimiento]]="Estructura Balance y PyG","Excluir","Incluir")</f>
        <v>Incluir</v>
      </c>
      <c r="J896" s="153">
        <f>+IF(Table3[[#This Row],[Sin cuenta]]="Con Mov.",(IF(Table3[[#This Row],[Movimiento]]="Debe",Table3[[#This Row],[Importe]],IF(Table3[[#This Row],[Movimiento]]="Haber",Table3[[#This Row],[Importe]]*-1,0))),0)</f>
        <v>0</v>
      </c>
      <c r="K896" s="145" t="str">
        <f t="shared" si="40"/>
        <v/>
      </c>
      <c r="L896" s="145">
        <f t="shared" si="41"/>
        <v>0</v>
      </c>
      <c r="M896" t="str">
        <f>_xlfn.XLOOKUP(Table3[[#This Row],[Cuenta]],Estructura_Balance[Nombre Cuenta ()],Estructura_Balance[Grupo],"",0)</f>
        <v/>
      </c>
      <c r="N896" t="str">
        <f>_xlfn.XLOOKUP(Table3[[#This Row],[Cuenta]],Estructura_Balance[Nombre Cuenta ()],Estructura_Balance[Nivel 1],"",0)</f>
        <v/>
      </c>
      <c r="O896" t="str">
        <f>_xlfn.XLOOKUP(Table3[[#This Row],[Cuenta]],Estructura_Balance[Nombre Cuenta ()],Estructura_Balance[Nivel 2],"",0)</f>
        <v/>
      </c>
      <c r="P896" t="str">
        <f>_xlfn.XLOOKUP(Table3[[#This Row],[Cuenta]],Estructura_Balance[Nombre Cuenta ()],Estructura_Balance[Nivel 3],"",0)</f>
        <v/>
      </c>
      <c r="Q896" t="str">
        <f>_xlfn.XLOOKUP(Table3[[#This Row],[Cuenta]],Estructura_Balance[Nombre Cuenta ()],Estructura_Balance[Nivel 4],"",0)</f>
        <v/>
      </c>
      <c r="R896" t="str">
        <f>_xlfn.XLOOKUP(Table3[[#This Row],[Cuenta]],Table8[Nombre Cuenta ()],Table8[Nivel 1],"",0)</f>
        <v/>
      </c>
      <c r="S896" t="str">
        <f>_xlfn.XLOOKUP(Table3[[#This Row],[Cuenta]],Table8[Nombre Cuenta ()],Table8[Nivel 2],"",0)</f>
        <v/>
      </c>
      <c r="T896" t="str">
        <f>_xlfn.XLOOKUP(Table3[[#This Row],[Cuenta]],Table8[Nombre Cuenta ()],Table8[Nivel 3],"",0)</f>
        <v/>
      </c>
      <c r="U896">
        <v>1490</v>
      </c>
      <c r="V896" t="str">
        <f>_xlfn.XLOOKUP(Table3[[#This Row],[Cuenta]],Estructura_Balance[Nombre Cuenta ()],Estructura_Balance[Niveles:2],"",0)</f>
        <v/>
      </c>
      <c r="W896" t="str">
        <f>_xlfn.XLOOKUP(Table3[[#This Row],[Cuenta]],Estructura_Balance[Nombre Cuenta ()],Estructura_Balance[Niveles:3],"",0)</f>
        <v/>
      </c>
      <c r="X896" t="str">
        <f>_xlfn.XLOOKUP(Table3[[#This Row],[Cuenta]],Estructura_Balance[Nombre Cuenta ()],Estructura_Balance[Grupos],"Grupo 1",0)</f>
        <v>Grupo 1</v>
      </c>
      <c r="Y896" t="str">
        <f>+Table3[[#This Row],[BS_Nivel_1]]</f>
        <v/>
      </c>
    </row>
    <row r="897" spans="1:25">
      <c r="A897">
        <f>+'Libro Diario'!F157</f>
        <v>0</v>
      </c>
      <c r="B897" s="144">
        <f>VALUE(IF(+'Libro Diario'!G157="","01/01/2025",+'Libro Diario'!G157))</f>
        <v>45658</v>
      </c>
      <c r="C897">
        <f>IF(ISNUMBER(+IF(IFERROR(VALUE(MID('Libro Diario'!D157,1,4)),0)&lt;&gt;0,'Libro Diario'!D157,0))=FALSE,'Libro Diario'!D157,0)</f>
        <v>0</v>
      </c>
      <c r="D897" s="145">
        <f>+'Libro Diario'!E157</f>
        <v>0</v>
      </c>
      <c r="E897" s="139" t="s">
        <v>446</v>
      </c>
      <c r="F897" t="str">
        <f t="shared" si="39"/>
        <v>Sin Mov.</v>
      </c>
      <c r="G897" t="str">
        <f>IF(+'Libro Diario'!H157=0,"",+'Libro Diario'!H157)</f>
        <v/>
      </c>
      <c r="H897" t="str">
        <f>IF(+'Libro Diario'!I157=0,"",+'Libro Diario'!I157)</f>
        <v/>
      </c>
      <c r="I897" t="str">
        <f>+IF(Table3[[#This Row],[Tipo Movimiento]]="Estructura Balance y PyG","Excluir","Incluir")</f>
        <v>Incluir</v>
      </c>
      <c r="J897" s="153">
        <f>+IF(Table3[[#This Row],[Sin cuenta]]="Con Mov.",(IF(Table3[[#This Row],[Movimiento]]="Debe",Table3[[#This Row],[Importe]],IF(Table3[[#This Row],[Movimiento]]="Haber",Table3[[#This Row],[Importe]]*-1,0))),0)</f>
        <v>0</v>
      </c>
      <c r="K897" s="145" t="str">
        <f t="shared" si="40"/>
        <v/>
      </c>
      <c r="L897" s="145">
        <f t="shared" si="41"/>
        <v>0</v>
      </c>
      <c r="M897" t="str">
        <f>_xlfn.XLOOKUP(Table3[[#This Row],[Cuenta]],Estructura_Balance[Nombre Cuenta ()],Estructura_Balance[Grupo],"",0)</f>
        <v/>
      </c>
      <c r="N897" t="str">
        <f>_xlfn.XLOOKUP(Table3[[#This Row],[Cuenta]],Estructura_Balance[Nombre Cuenta ()],Estructura_Balance[Nivel 1],"",0)</f>
        <v/>
      </c>
      <c r="O897" t="str">
        <f>_xlfn.XLOOKUP(Table3[[#This Row],[Cuenta]],Estructura_Balance[Nombre Cuenta ()],Estructura_Balance[Nivel 2],"",0)</f>
        <v/>
      </c>
      <c r="P897" t="str">
        <f>_xlfn.XLOOKUP(Table3[[#This Row],[Cuenta]],Estructura_Balance[Nombre Cuenta ()],Estructura_Balance[Nivel 3],"",0)</f>
        <v/>
      </c>
      <c r="Q897" t="str">
        <f>_xlfn.XLOOKUP(Table3[[#This Row],[Cuenta]],Estructura_Balance[Nombre Cuenta ()],Estructura_Balance[Nivel 4],"",0)</f>
        <v/>
      </c>
      <c r="R897" t="str">
        <f>_xlfn.XLOOKUP(Table3[[#This Row],[Cuenta]],Table8[Nombre Cuenta ()],Table8[Nivel 1],"",0)</f>
        <v/>
      </c>
      <c r="S897" t="str">
        <f>_xlfn.XLOOKUP(Table3[[#This Row],[Cuenta]],Table8[Nombre Cuenta ()],Table8[Nivel 2],"",0)</f>
        <v/>
      </c>
      <c r="T897" t="str">
        <f>_xlfn.XLOOKUP(Table3[[#This Row],[Cuenta]],Table8[Nombre Cuenta ()],Table8[Nivel 3],"",0)</f>
        <v/>
      </c>
      <c r="U897">
        <v>1495</v>
      </c>
      <c r="V897" t="str">
        <f>_xlfn.XLOOKUP(Table3[[#This Row],[Cuenta]],Estructura_Balance[Nombre Cuenta ()],Estructura_Balance[Niveles:2],"",0)</f>
        <v/>
      </c>
      <c r="W897" t="str">
        <f>_xlfn.XLOOKUP(Table3[[#This Row],[Cuenta]],Estructura_Balance[Nombre Cuenta ()],Estructura_Balance[Niveles:3],"",0)</f>
        <v/>
      </c>
      <c r="X897" t="str">
        <f>_xlfn.XLOOKUP(Table3[[#This Row],[Cuenta]],Estructura_Balance[Nombre Cuenta ()],Estructura_Balance[Grupos],"Grupo 1",0)</f>
        <v>Grupo 1</v>
      </c>
      <c r="Y897" t="str">
        <f>+Table3[[#This Row],[BS_Nivel_1]]</f>
        <v/>
      </c>
    </row>
    <row r="898" spans="1:25">
      <c r="A898">
        <f>+'Libro Diario'!F158</f>
        <v>0</v>
      </c>
      <c r="B898" s="144">
        <f>VALUE(IF(+'Libro Diario'!G158="","01/01/2025",+'Libro Diario'!G158))</f>
        <v>45658</v>
      </c>
      <c r="C898">
        <f>IF(ISNUMBER(+IF(IFERROR(VALUE(MID('Libro Diario'!D158,1,4)),0)&lt;&gt;0,'Libro Diario'!D158,0))=FALSE,'Libro Diario'!D158,0)</f>
        <v>0</v>
      </c>
      <c r="D898" s="145">
        <f>+'Libro Diario'!E158</f>
        <v>0</v>
      </c>
      <c r="E898" s="139" t="s">
        <v>446</v>
      </c>
      <c r="F898" t="str">
        <f t="shared" si="39"/>
        <v>Sin Mov.</v>
      </c>
      <c r="G898" t="str">
        <f>IF(+'Libro Diario'!H158=0,"",+'Libro Diario'!H158)</f>
        <v/>
      </c>
      <c r="H898" t="str">
        <f>IF(+'Libro Diario'!I158=0,"",+'Libro Diario'!I158)</f>
        <v/>
      </c>
      <c r="I898" t="str">
        <f>+IF(Table3[[#This Row],[Tipo Movimiento]]="Estructura Balance y PyG","Excluir","Incluir")</f>
        <v>Incluir</v>
      </c>
      <c r="J898" s="153">
        <f>+IF(Table3[[#This Row],[Sin cuenta]]="Con Mov.",(IF(Table3[[#This Row],[Movimiento]]="Debe",Table3[[#This Row],[Importe]],IF(Table3[[#This Row],[Movimiento]]="Haber",Table3[[#This Row],[Importe]]*-1,0))),0)</f>
        <v>0</v>
      </c>
      <c r="K898" s="145" t="str">
        <f t="shared" si="40"/>
        <v/>
      </c>
      <c r="L898" s="145">
        <f t="shared" si="41"/>
        <v>0</v>
      </c>
      <c r="M898" t="str">
        <f>_xlfn.XLOOKUP(Table3[[#This Row],[Cuenta]],Estructura_Balance[Nombre Cuenta ()],Estructura_Balance[Grupo],"",0)</f>
        <v/>
      </c>
      <c r="N898" t="str">
        <f>_xlfn.XLOOKUP(Table3[[#This Row],[Cuenta]],Estructura_Balance[Nombre Cuenta ()],Estructura_Balance[Nivel 1],"",0)</f>
        <v/>
      </c>
      <c r="O898" t="str">
        <f>_xlfn.XLOOKUP(Table3[[#This Row],[Cuenta]],Estructura_Balance[Nombre Cuenta ()],Estructura_Balance[Nivel 2],"",0)</f>
        <v/>
      </c>
      <c r="P898" t="str">
        <f>_xlfn.XLOOKUP(Table3[[#This Row],[Cuenta]],Estructura_Balance[Nombre Cuenta ()],Estructura_Balance[Nivel 3],"",0)</f>
        <v/>
      </c>
      <c r="Q898" t="str">
        <f>_xlfn.XLOOKUP(Table3[[#This Row],[Cuenta]],Estructura_Balance[Nombre Cuenta ()],Estructura_Balance[Nivel 4],"",0)</f>
        <v/>
      </c>
      <c r="R898" t="str">
        <f>_xlfn.XLOOKUP(Table3[[#This Row],[Cuenta]],Table8[Nombre Cuenta ()],Table8[Nivel 1],"",0)</f>
        <v/>
      </c>
      <c r="S898" t="str">
        <f>_xlfn.XLOOKUP(Table3[[#This Row],[Cuenta]],Table8[Nombre Cuenta ()],Table8[Nivel 2],"",0)</f>
        <v/>
      </c>
      <c r="T898" t="str">
        <f>_xlfn.XLOOKUP(Table3[[#This Row],[Cuenta]],Table8[Nombre Cuenta ()],Table8[Nivel 3],"",0)</f>
        <v/>
      </c>
      <c r="U898">
        <v>1496</v>
      </c>
      <c r="V898" t="str">
        <f>_xlfn.XLOOKUP(Table3[[#This Row],[Cuenta]],Estructura_Balance[Nombre Cuenta ()],Estructura_Balance[Niveles:2],"",0)</f>
        <v/>
      </c>
      <c r="W898" t="str">
        <f>_xlfn.XLOOKUP(Table3[[#This Row],[Cuenta]],Estructura_Balance[Nombre Cuenta ()],Estructura_Balance[Niveles:3],"",0)</f>
        <v/>
      </c>
      <c r="X898" t="str">
        <f>_xlfn.XLOOKUP(Table3[[#This Row],[Cuenta]],Estructura_Balance[Nombre Cuenta ()],Estructura_Balance[Grupos],"Grupo 1",0)</f>
        <v>Grupo 1</v>
      </c>
      <c r="Y898" t="str">
        <f>+Table3[[#This Row],[BS_Nivel_1]]</f>
        <v/>
      </c>
    </row>
    <row r="899" spans="1:25">
      <c r="A899">
        <f>+'Libro Diario'!F159</f>
        <v>0</v>
      </c>
      <c r="B899" s="144">
        <f>VALUE(IF(+'Libro Diario'!G159="","01/01/2025",+'Libro Diario'!G159))</f>
        <v>45658</v>
      </c>
      <c r="C899">
        <f>IF(ISNUMBER(+IF(IFERROR(VALUE(MID('Libro Diario'!D159,1,4)),0)&lt;&gt;0,'Libro Diario'!D159,0))=FALSE,'Libro Diario'!D159,0)</f>
        <v>0</v>
      </c>
      <c r="D899" s="145">
        <f>+'Libro Diario'!E159</f>
        <v>0</v>
      </c>
      <c r="E899" s="139" t="s">
        <v>446</v>
      </c>
      <c r="F899" t="str">
        <f t="shared" ref="F899:F962" si="42">+IF(C899=0,"Sin Mov.","Con Mov.")</f>
        <v>Sin Mov.</v>
      </c>
      <c r="G899" t="str">
        <f>IF(+'Libro Diario'!H159=0,"",+'Libro Diario'!H159)</f>
        <v/>
      </c>
      <c r="H899" t="str">
        <f>IF(+'Libro Diario'!I159=0,"",+'Libro Diario'!I159)</f>
        <v/>
      </c>
      <c r="I899" t="str">
        <f>+IF(Table3[[#This Row],[Tipo Movimiento]]="Estructura Balance y PyG","Excluir","Incluir")</f>
        <v>Incluir</v>
      </c>
      <c r="J899" s="153">
        <f>+IF(Table3[[#This Row],[Sin cuenta]]="Con Mov.",(IF(Table3[[#This Row],[Movimiento]]="Debe",Table3[[#This Row],[Importe]],IF(Table3[[#This Row],[Movimiento]]="Haber",Table3[[#This Row],[Importe]]*-1,0))),0)</f>
        <v>0</v>
      </c>
      <c r="K899" s="145" t="str">
        <f t="shared" ref="K899:K962" si="43">+IF(E899="Debe",D899,"")</f>
        <v/>
      </c>
      <c r="L899" s="145">
        <f t="shared" ref="L899:L962" si="44">+IF(E899="Haber",D899,"")</f>
        <v>0</v>
      </c>
      <c r="M899" t="str">
        <f>_xlfn.XLOOKUP(Table3[[#This Row],[Cuenta]],Estructura_Balance[Nombre Cuenta ()],Estructura_Balance[Grupo],"",0)</f>
        <v/>
      </c>
      <c r="N899" t="str">
        <f>_xlfn.XLOOKUP(Table3[[#This Row],[Cuenta]],Estructura_Balance[Nombre Cuenta ()],Estructura_Balance[Nivel 1],"",0)</f>
        <v/>
      </c>
      <c r="O899" t="str">
        <f>_xlfn.XLOOKUP(Table3[[#This Row],[Cuenta]],Estructura_Balance[Nombre Cuenta ()],Estructura_Balance[Nivel 2],"",0)</f>
        <v/>
      </c>
      <c r="P899" t="str">
        <f>_xlfn.XLOOKUP(Table3[[#This Row],[Cuenta]],Estructura_Balance[Nombre Cuenta ()],Estructura_Balance[Nivel 3],"",0)</f>
        <v/>
      </c>
      <c r="Q899" t="str">
        <f>_xlfn.XLOOKUP(Table3[[#This Row],[Cuenta]],Estructura_Balance[Nombre Cuenta ()],Estructura_Balance[Nivel 4],"",0)</f>
        <v/>
      </c>
      <c r="R899" t="str">
        <f>_xlfn.XLOOKUP(Table3[[#This Row],[Cuenta]],Table8[Nombre Cuenta ()],Table8[Nivel 1],"",0)</f>
        <v/>
      </c>
      <c r="S899" t="str">
        <f>_xlfn.XLOOKUP(Table3[[#This Row],[Cuenta]],Table8[Nombre Cuenta ()],Table8[Nivel 2],"",0)</f>
        <v/>
      </c>
      <c r="T899" t="str">
        <f>_xlfn.XLOOKUP(Table3[[#This Row],[Cuenta]],Table8[Nombre Cuenta ()],Table8[Nivel 3],"",0)</f>
        <v/>
      </c>
      <c r="U899">
        <v>1497</v>
      </c>
      <c r="V899" t="str">
        <f>_xlfn.XLOOKUP(Table3[[#This Row],[Cuenta]],Estructura_Balance[Nombre Cuenta ()],Estructura_Balance[Niveles:2],"",0)</f>
        <v/>
      </c>
      <c r="W899" t="str">
        <f>_xlfn.XLOOKUP(Table3[[#This Row],[Cuenta]],Estructura_Balance[Nombre Cuenta ()],Estructura_Balance[Niveles:3],"",0)</f>
        <v/>
      </c>
      <c r="X899" t="str">
        <f>_xlfn.XLOOKUP(Table3[[#This Row],[Cuenta]],Estructura_Balance[Nombre Cuenta ()],Estructura_Balance[Grupos],"Grupo 1",0)</f>
        <v>Grupo 1</v>
      </c>
      <c r="Y899" t="str">
        <f>+Table3[[#This Row],[BS_Nivel_1]]</f>
        <v/>
      </c>
    </row>
    <row r="900" spans="1:25">
      <c r="A900">
        <f>+'Libro Diario'!F160</f>
        <v>0</v>
      </c>
      <c r="B900" s="144">
        <f>VALUE(IF(+'Libro Diario'!G160="","01/01/2025",+'Libro Diario'!G160))</f>
        <v>45658</v>
      </c>
      <c r="C900">
        <f>IF(ISNUMBER(+IF(IFERROR(VALUE(MID('Libro Diario'!D160,1,4)),0)&lt;&gt;0,'Libro Diario'!D160,0))=FALSE,'Libro Diario'!D160,0)</f>
        <v>0</v>
      </c>
      <c r="D900" s="145" t="str">
        <f>+'Libro Diario'!E160</f>
        <v>HABER</v>
      </c>
      <c r="E900" s="139" t="s">
        <v>446</v>
      </c>
      <c r="F900" t="str">
        <f t="shared" si="42"/>
        <v>Sin Mov.</v>
      </c>
      <c r="G900" t="str">
        <f>IF(+'Libro Diario'!H160=0,"",+'Libro Diario'!H160)</f>
        <v/>
      </c>
      <c r="H900" t="str">
        <f>IF(+'Libro Diario'!I160=0,"",+'Libro Diario'!I160)</f>
        <v/>
      </c>
      <c r="I900" t="str">
        <f>+IF(Table3[[#This Row],[Tipo Movimiento]]="Estructura Balance y PyG","Excluir","Incluir")</f>
        <v>Incluir</v>
      </c>
      <c r="J900" s="153">
        <f>+IF(Table3[[#This Row],[Sin cuenta]]="Con Mov.",(IF(Table3[[#This Row],[Movimiento]]="Debe",Table3[[#This Row],[Importe]],IF(Table3[[#This Row],[Movimiento]]="Haber",Table3[[#This Row],[Importe]]*-1,0))),0)</f>
        <v>0</v>
      </c>
      <c r="K900" s="145" t="str">
        <f t="shared" si="43"/>
        <v/>
      </c>
      <c r="L900" s="145" t="str">
        <f t="shared" si="44"/>
        <v>HABER</v>
      </c>
      <c r="M900" t="str">
        <f>_xlfn.XLOOKUP(Table3[[#This Row],[Cuenta]],Estructura_Balance[Nombre Cuenta ()],Estructura_Balance[Grupo],"",0)</f>
        <v/>
      </c>
      <c r="N900" t="str">
        <f>_xlfn.XLOOKUP(Table3[[#This Row],[Cuenta]],Estructura_Balance[Nombre Cuenta ()],Estructura_Balance[Nivel 1],"",0)</f>
        <v/>
      </c>
      <c r="O900" t="str">
        <f>_xlfn.XLOOKUP(Table3[[#This Row],[Cuenta]],Estructura_Balance[Nombre Cuenta ()],Estructura_Balance[Nivel 2],"",0)</f>
        <v/>
      </c>
      <c r="P900" t="str">
        <f>_xlfn.XLOOKUP(Table3[[#This Row],[Cuenta]],Estructura_Balance[Nombre Cuenta ()],Estructura_Balance[Nivel 3],"",0)</f>
        <v/>
      </c>
      <c r="Q900" t="str">
        <f>_xlfn.XLOOKUP(Table3[[#This Row],[Cuenta]],Estructura_Balance[Nombre Cuenta ()],Estructura_Balance[Nivel 4],"",0)</f>
        <v/>
      </c>
      <c r="R900" t="str">
        <f>_xlfn.XLOOKUP(Table3[[#This Row],[Cuenta]],Table8[Nombre Cuenta ()],Table8[Nivel 1],"",0)</f>
        <v/>
      </c>
      <c r="S900" t="str">
        <f>_xlfn.XLOOKUP(Table3[[#This Row],[Cuenta]],Table8[Nombre Cuenta ()],Table8[Nivel 2],"",0)</f>
        <v/>
      </c>
      <c r="T900" t="str">
        <f>_xlfn.XLOOKUP(Table3[[#This Row],[Cuenta]],Table8[Nombre Cuenta ()],Table8[Nivel 3],"",0)</f>
        <v/>
      </c>
      <c r="U900">
        <v>1514</v>
      </c>
      <c r="V900" t="str">
        <f>_xlfn.XLOOKUP(Table3[[#This Row],[Cuenta]],Estructura_Balance[Nombre Cuenta ()],Estructura_Balance[Niveles:2],"",0)</f>
        <v/>
      </c>
      <c r="W900" t="str">
        <f>_xlfn.XLOOKUP(Table3[[#This Row],[Cuenta]],Estructura_Balance[Nombre Cuenta ()],Estructura_Balance[Niveles:3],"",0)</f>
        <v/>
      </c>
      <c r="X900" t="str">
        <f>_xlfn.XLOOKUP(Table3[[#This Row],[Cuenta]],Estructura_Balance[Nombre Cuenta ()],Estructura_Balance[Grupos],"Grupo 1",0)</f>
        <v>Grupo 1</v>
      </c>
      <c r="Y900" t="str">
        <f>+Table3[[#This Row],[BS_Nivel_1]]</f>
        <v/>
      </c>
    </row>
    <row r="901" spans="1:25">
      <c r="A901">
        <f>+'Libro Diario'!F161</f>
        <v>0</v>
      </c>
      <c r="B901" s="144">
        <f>VALUE(IF(+'Libro Diario'!G161="","01/01/2025",+'Libro Diario'!G161))</f>
        <v>45658</v>
      </c>
      <c r="C901">
        <f>IF(ISNUMBER(+IF(IFERROR(VALUE(MID('Libro Diario'!D161,1,4)),0)&lt;&gt;0,'Libro Diario'!D161,0))=FALSE,'Libro Diario'!D161,0)</f>
        <v>0</v>
      </c>
      <c r="D901" s="145">
        <f>+'Libro Diario'!E161</f>
        <v>0</v>
      </c>
      <c r="E901" s="139" t="s">
        <v>446</v>
      </c>
      <c r="F901" t="str">
        <f t="shared" si="42"/>
        <v>Sin Mov.</v>
      </c>
      <c r="G901" t="str">
        <f>IF(+'Libro Diario'!H161=0,"",+'Libro Diario'!H161)</f>
        <v/>
      </c>
      <c r="H901" t="str">
        <f>IF(+'Libro Diario'!I161=0,"",+'Libro Diario'!I161)</f>
        <v/>
      </c>
      <c r="I901" t="str">
        <f>+IF(Table3[[#This Row],[Tipo Movimiento]]="Estructura Balance y PyG","Excluir","Incluir")</f>
        <v>Incluir</v>
      </c>
      <c r="J901" s="153">
        <f>+IF(Table3[[#This Row],[Sin cuenta]]="Con Mov.",(IF(Table3[[#This Row],[Movimiento]]="Debe",Table3[[#This Row],[Importe]],IF(Table3[[#This Row],[Movimiento]]="Haber",Table3[[#This Row],[Importe]]*-1,0))),0)</f>
        <v>0</v>
      </c>
      <c r="K901" s="145" t="str">
        <f t="shared" si="43"/>
        <v/>
      </c>
      <c r="L901" s="145">
        <f t="shared" si="44"/>
        <v>0</v>
      </c>
      <c r="M901" t="str">
        <f>_xlfn.XLOOKUP(Table3[[#This Row],[Cuenta]],Estructura_Balance[Nombre Cuenta ()],Estructura_Balance[Grupo],"",0)</f>
        <v/>
      </c>
      <c r="N901" t="str">
        <f>_xlfn.XLOOKUP(Table3[[#This Row],[Cuenta]],Estructura_Balance[Nombre Cuenta ()],Estructura_Balance[Nivel 1],"",0)</f>
        <v/>
      </c>
      <c r="O901" t="str">
        <f>_xlfn.XLOOKUP(Table3[[#This Row],[Cuenta]],Estructura_Balance[Nombre Cuenta ()],Estructura_Balance[Nivel 2],"",0)</f>
        <v/>
      </c>
      <c r="P901" t="str">
        <f>_xlfn.XLOOKUP(Table3[[#This Row],[Cuenta]],Estructura_Balance[Nombre Cuenta ()],Estructura_Balance[Nivel 3],"",0)</f>
        <v/>
      </c>
      <c r="Q901" t="str">
        <f>_xlfn.XLOOKUP(Table3[[#This Row],[Cuenta]],Estructura_Balance[Nombre Cuenta ()],Estructura_Balance[Nivel 4],"",0)</f>
        <v/>
      </c>
      <c r="R901" t="str">
        <f>_xlfn.XLOOKUP(Table3[[#This Row],[Cuenta]],Table8[Nombre Cuenta ()],Table8[Nivel 1],"",0)</f>
        <v/>
      </c>
      <c r="S901" t="str">
        <f>_xlfn.XLOOKUP(Table3[[#This Row],[Cuenta]],Table8[Nombre Cuenta ()],Table8[Nivel 2],"",0)</f>
        <v/>
      </c>
      <c r="T901" t="str">
        <f>_xlfn.XLOOKUP(Table3[[#This Row],[Cuenta]],Table8[Nombre Cuenta ()],Table8[Nivel 3],"",0)</f>
        <v/>
      </c>
      <c r="U901">
        <v>1515</v>
      </c>
      <c r="V901" t="str">
        <f>_xlfn.XLOOKUP(Table3[[#This Row],[Cuenta]],Estructura_Balance[Nombre Cuenta ()],Estructura_Balance[Niveles:2],"",0)</f>
        <v/>
      </c>
      <c r="W901" t="str">
        <f>_xlfn.XLOOKUP(Table3[[#This Row],[Cuenta]],Estructura_Balance[Nombre Cuenta ()],Estructura_Balance[Niveles:3],"",0)</f>
        <v/>
      </c>
      <c r="X901" t="str">
        <f>_xlfn.XLOOKUP(Table3[[#This Row],[Cuenta]],Estructura_Balance[Nombre Cuenta ()],Estructura_Balance[Grupos],"Grupo 1",0)</f>
        <v>Grupo 1</v>
      </c>
      <c r="Y901" t="str">
        <f>+Table3[[#This Row],[BS_Nivel_1]]</f>
        <v/>
      </c>
    </row>
    <row r="902" spans="1:25">
      <c r="A902">
        <f>+'Libro Diario'!F165</f>
        <v>0</v>
      </c>
      <c r="B902" s="144">
        <f>VALUE(IF(+'Libro Diario'!G165="","01/01/2025",+'Libro Diario'!G165))</f>
        <v>45658</v>
      </c>
      <c r="C902">
        <f>IF(ISNUMBER(+IF(IFERROR(VALUE(MID('Libro Diario'!D165,1,4)),0)&lt;&gt;0,'Libro Diario'!D165,0))=FALSE,'Libro Diario'!D165,0)</f>
        <v>0</v>
      </c>
      <c r="D902" s="145">
        <f>+'Libro Diario'!E165</f>
        <v>0</v>
      </c>
      <c r="E902" s="139" t="s">
        <v>446</v>
      </c>
      <c r="F902" t="str">
        <f t="shared" si="42"/>
        <v>Sin Mov.</v>
      </c>
      <c r="G902" t="str">
        <f>IF(+'Libro Diario'!H165=0,"",+'Libro Diario'!H165)</f>
        <v/>
      </c>
      <c r="H902" t="str">
        <f>IF(+'Libro Diario'!I165=0,"",+'Libro Diario'!I165)</f>
        <v/>
      </c>
      <c r="I902" t="str">
        <f>+IF(Table3[[#This Row],[Tipo Movimiento]]="Estructura Balance y PyG","Excluir","Incluir")</f>
        <v>Incluir</v>
      </c>
      <c r="J902" s="153">
        <f>+IF(Table3[[#This Row],[Sin cuenta]]="Con Mov.",(IF(Table3[[#This Row],[Movimiento]]="Debe",Table3[[#This Row],[Importe]],IF(Table3[[#This Row],[Movimiento]]="Haber",Table3[[#This Row],[Importe]]*-1,0))),0)</f>
        <v>0</v>
      </c>
      <c r="K902" s="145" t="str">
        <f t="shared" si="43"/>
        <v/>
      </c>
      <c r="L902" s="145">
        <f t="shared" si="44"/>
        <v>0</v>
      </c>
      <c r="M902" t="str">
        <f>_xlfn.XLOOKUP(Table3[[#This Row],[Cuenta]],Estructura_Balance[Nombre Cuenta ()],Estructura_Balance[Grupo],"",0)</f>
        <v/>
      </c>
      <c r="N902" t="str">
        <f>_xlfn.XLOOKUP(Table3[[#This Row],[Cuenta]],Estructura_Balance[Nombre Cuenta ()],Estructura_Balance[Nivel 1],"",0)</f>
        <v/>
      </c>
      <c r="O902" t="str">
        <f>_xlfn.XLOOKUP(Table3[[#This Row],[Cuenta]],Estructura_Balance[Nombre Cuenta ()],Estructura_Balance[Nivel 2],"",0)</f>
        <v/>
      </c>
      <c r="P902" t="str">
        <f>_xlfn.XLOOKUP(Table3[[#This Row],[Cuenta]],Estructura_Balance[Nombre Cuenta ()],Estructura_Balance[Nivel 3],"",0)</f>
        <v/>
      </c>
      <c r="Q902" t="str">
        <f>_xlfn.XLOOKUP(Table3[[#This Row],[Cuenta]],Estructura_Balance[Nombre Cuenta ()],Estructura_Balance[Nivel 4],"",0)</f>
        <v/>
      </c>
      <c r="R902" t="str">
        <f>_xlfn.XLOOKUP(Table3[[#This Row],[Cuenta]],Table8[Nombre Cuenta ()],Table8[Nivel 1],"",0)</f>
        <v/>
      </c>
      <c r="S902" t="str">
        <f>_xlfn.XLOOKUP(Table3[[#This Row],[Cuenta]],Table8[Nombre Cuenta ()],Table8[Nivel 2],"",0)</f>
        <v/>
      </c>
      <c r="T902" t="str">
        <f>_xlfn.XLOOKUP(Table3[[#This Row],[Cuenta]],Table8[Nombre Cuenta ()],Table8[Nivel 3],"",0)</f>
        <v/>
      </c>
      <c r="U902">
        <v>1531</v>
      </c>
      <c r="V902" t="str">
        <f>_xlfn.XLOOKUP(Table3[[#This Row],[Cuenta]],Estructura_Balance[Nombre Cuenta ()],Estructura_Balance[Niveles:2],"",0)</f>
        <v/>
      </c>
      <c r="W902" t="str">
        <f>_xlfn.XLOOKUP(Table3[[#This Row],[Cuenta]],Estructura_Balance[Nombre Cuenta ()],Estructura_Balance[Niveles:3],"",0)</f>
        <v/>
      </c>
      <c r="X902" t="str">
        <f>_xlfn.XLOOKUP(Table3[[#This Row],[Cuenta]],Estructura_Balance[Nombre Cuenta ()],Estructura_Balance[Grupos],"Grupo 1",0)</f>
        <v>Grupo 1</v>
      </c>
      <c r="Y902" t="str">
        <f>+Table3[[#This Row],[BS_Nivel_1]]</f>
        <v/>
      </c>
    </row>
    <row r="903" spans="1:25">
      <c r="A903">
        <f>+'Libro Diario'!F166</f>
        <v>0</v>
      </c>
      <c r="B903" s="144">
        <f>VALUE(IF(+'Libro Diario'!G166="","01/01/2025",+'Libro Diario'!G166))</f>
        <v>45658</v>
      </c>
      <c r="C903">
        <f>IF(ISNUMBER(+IF(IFERROR(VALUE(MID('Libro Diario'!D166,1,4)),0)&lt;&gt;0,'Libro Diario'!D166,0))=FALSE,'Libro Diario'!D166,0)</f>
        <v>0</v>
      </c>
      <c r="D903" s="145">
        <f>+'Libro Diario'!E166</f>
        <v>0</v>
      </c>
      <c r="E903" s="139" t="s">
        <v>446</v>
      </c>
      <c r="F903" t="str">
        <f t="shared" si="42"/>
        <v>Sin Mov.</v>
      </c>
      <c r="G903" t="str">
        <f>IF(+'Libro Diario'!H166=0,"",+'Libro Diario'!H166)</f>
        <v/>
      </c>
      <c r="H903" t="str">
        <f>IF(+'Libro Diario'!I166=0,"",+'Libro Diario'!I166)</f>
        <v/>
      </c>
      <c r="I903" t="str">
        <f>+IF(Table3[[#This Row],[Tipo Movimiento]]="Estructura Balance y PyG","Excluir","Incluir")</f>
        <v>Incluir</v>
      </c>
      <c r="J903" s="153">
        <f>+IF(Table3[[#This Row],[Sin cuenta]]="Con Mov.",(IF(Table3[[#This Row],[Movimiento]]="Debe",Table3[[#This Row],[Importe]],IF(Table3[[#This Row],[Movimiento]]="Haber",Table3[[#This Row],[Importe]]*-1,0))),0)</f>
        <v>0</v>
      </c>
      <c r="K903" s="145" t="str">
        <f t="shared" si="43"/>
        <v/>
      </c>
      <c r="L903" s="145">
        <f t="shared" si="44"/>
        <v>0</v>
      </c>
      <c r="M903" t="str">
        <f>_xlfn.XLOOKUP(Table3[[#This Row],[Cuenta]],Estructura_Balance[Nombre Cuenta ()],Estructura_Balance[Grupo],"",0)</f>
        <v/>
      </c>
      <c r="N903" t="str">
        <f>_xlfn.XLOOKUP(Table3[[#This Row],[Cuenta]],Estructura_Balance[Nombre Cuenta ()],Estructura_Balance[Nivel 1],"",0)</f>
        <v/>
      </c>
      <c r="O903" t="str">
        <f>_xlfn.XLOOKUP(Table3[[#This Row],[Cuenta]],Estructura_Balance[Nombre Cuenta ()],Estructura_Balance[Nivel 2],"",0)</f>
        <v/>
      </c>
      <c r="P903" t="str">
        <f>_xlfn.XLOOKUP(Table3[[#This Row],[Cuenta]],Estructura_Balance[Nombre Cuenta ()],Estructura_Balance[Nivel 3],"",0)</f>
        <v/>
      </c>
      <c r="Q903" t="str">
        <f>_xlfn.XLOOKUP(Table3[[#This Row],[Cuenta]],Estructura_Balance[Nombre Cuenta ()],Estructura_Balance[Nivel 4],"",0)</f>
        <v/>
      </c>
      <c r="R903" t="str">
        <f>_xlfn.XLOOKUP(Table3[[#This Row],[Cuenta]],Table8[Nombre Cuenta ()],Table8[Nivel 1],"",0)</f>
        <v/>
      </c>
      <c r="S903" t="str">
        <f>_xlfn.XLOOKUP(Table3[[#This Row],[Cuenta]],Table8[Nombre Cuenta ()],Table8[Nivel 2],"",0)</f>
        <v/>
      </c>
      <c r="T903" t="str">
        <f>_xlfn.XLOOKUP(Table3[[#This Row],[Cuenta]],Table8[Nombre Cuenta ()],Table8[Nivel 3],"",0)</f>
        <v/>
      </c>
      <c r="U903">
        <v>1532</v>
      </c>
      <c r="V903" t="str">
        <f>_xlfn.XLOOKUP(Table3[[#This Row],[Cuenta]],Estructura_Balance[Nombre Cuenta ()],Estructura_Balance[Niveles:2],"",0)</f>
        <v/>
      </c>
      <c r="W903" t="str">
        <f>_xlfn.XLOOKUP(Table3[[#This Row],[Cuenta]],Estructura_Balance[Nombre Cuenta ()],Estructura_Balance[Niveles:3],"",0)</f>
        <v/>
      </c>
      <c r="X903" t="str">
        <f>_xlfn.XLOOKUP(Table3[[#This Row],[Cuenta]],Estructura_Balance[Nombre Cuenta ()],Estructura_Balance[Grupos],"Grupo 1",0)</f>
        <v>Grupo 1</v>
      </c>
      <c r="Y903" t="str">
        <f>+Table3[[#This Row],[BS_Nivel_1]]</f>
        <v/>
      </c>
    </row>
    <row r="904" spans="1:25">
      <c r="A904">
        <f>+'Libro Diario'!F167</f>
        <v>0</v>
      </c>
      <c r="B904" s="144">
        <f>VALUE(IF(+'Libro Diario'!G167="","01/01/2025",+'Libro Diario'!G167))</f>
        <v>45658</v>
      </c>
      <c r="C904">
        <f>IF(ISNUMBER(+IF(IFERROR(VALUE(MID('Libro Diario'!D167,1,4)),0)&lt;&gt;0,'Libro Diario'!D167,0))=FALSE,'Libro Diario'!D167,0)</f>
        <v>0</v>
      </c>
      <c r="D904" s="145">
        <f>+'Libro Diario'!E167</f>
        <v>0</v>
      </c>
      <c r="E904" s="139" t="s">
        <v>446</v>
      </c>
      <c r="F904" t="str">
        <f t="shared" si="42"/>
        <v>Sin Mov.</v>
      </c>
      <c r="G904" t="str">
        <f>IF(+'Libro Diario'!H167=0,"",+'Libro Diario'!H167)</f>
        <v/>
      </c>
      <c r="H904" t="str">
        <f>IF(+'Libro Diario'!I167=0,"",+'Libro Diario'!I167)</f>
        <v/>
      </c>
      <c r="I904" t="str">
        <f>+IF(Table3[[#This Row],[Tipo Movimiento]]="Estructura Balance y PyG","Excluir","Incluir")</f>
        <v>Incluir</v>
      </c>
      <c r="J904" s="153">
        <f>+IF(Table3[[#This Row],[Sin cuenta]]="Con Mov.",(IF(Table3[[#This Row],[Movimiento]]="Debe",Table3[[#This Row],[Importe]],IF(Table3[[#This Row],[Movimiento]]="Haber",Table3[[#This Row],[Importe]]*-1,0))),0)</f>
        <v>0</v>
      </c>
      <c r="K904" s="145" t="str">
        <f t="shared" si="43"/>
        <v/>
      </c>
      <c r="L904" s="145">
        <f t="shared" si="44"/>
        <v>0</v>
      </c>
      <c r="M904" t="str">
        <f>_xlfn.XLOOKUP(Table3[[#This Row],[Cuenta]],Estructura_Balance[Nombre Cuenta ()],Estructura_Balance[Grupo],"",0)</f>
        <v/>
      </c>
      <c r="N904" t="str">
        <f>_xlfn.XLOOKUP(Table3[[#This Row],[Cuenta]],Estructura_Balance[Nombre Cuenta ()],Estructura_Balance[Nivel 1],"",0)</f>
        <v/>
      </c>
      <c r="O904" t="str">
        <f>_xlfn.XLOOKUP(Table3[[#This Row],[Cuenta]],Estructura_Balance[Nombre Cuenta ()],Estructura_Balance[Nivel 2],"",0)</f>
        <v/>
      </c>
      <c r="P904" t="str">
        <f>_xlfn.XLOOKUP(Table3[[#This Row],[Cuenta]],Estructura_Balance[Nombre Cuenta ()],Estructura_Balance[Nivel 3],"",0)</f>
        <v/>
      </c>
      <c r="Q904" t="str">
        <f>_xlfn.XLOOKUP(Table3[[#This Row],[Cuenta]],Estructura_Balance[Nombre Cuenta ()],Estructura_Balance[Nivel 4],"",0)</f>
        <v/>
      </c>
      <c r="R904" t="str">
        <f>_xlfn.XLOOKUP(Table3[[#This Row],[Cuenta]],Table8[Nombre Cuenta ()],Table8[Nivel 1],"",0)</f>
        <v/>
      </c>
      <c r="S904" t="str">
        <f>_xlfn.XLOOKUP(Table3[[#This Row],[Cuenta]],Table8[Nombre Cuenta ()],Table8[Nivel 2],"",0)</f>
        <v/>
      </c>
      <c r="T904" t="str">
        <f>_xlfn.XLOOKUP(Table3[[#This Row],[Cuenta]],Table8[Nombre Cuenta ()],Table8[Nivel 3],"",0)</f>
        <v/>
      </c>
      <c r="U904">
        <v>1533</v>
      </c>
      <c r="V904" t="str">
        <f>_xlfn.XLOOKUP(Table3[[#This Row],[Cuenta]],Estructura_Balance[Nombre Cuenta ()],Estructura_Balance[Niveles:2],"",0)</f>
        <v/>
      </c>
      <c r="W904" t="str">
        <f>_xlfn.XLOOKUP(Table3[[#This Row],[Cuenta]],Estructura_Balance[Nombre Cuenta ()],Estructura_Balance[Niveles:3],"",0)</f>
        <v/>
      </c>
      <c r="X904" t="str">
        <f>_xlfn.XLOOKUP(Table3[[#This Row],[Cuenta]],Estructura_Balance[Nombre Cuenta ()],Estructura_Balance[Grupos],"Grupo 1",0)</f>
        <v>Grupo 1</v>
      </c>
      <c r="Y904" t="str">
        <f>+Table3[[#This Row],[BS_Nivel_1]]</f>
        <v/>
      </c>
    </row>
    <row r="905" spans="1:25">
      <c r="A905">
        <f>+'Libro Diario'!F168</f>
        <v>0</v>
      </c>
      <c r="B905" s="144">
        <f>VALUE(IF(+'Libro Diario'!G168="","01/01/2025",+'Libro Diario'!G168))</f>
        <v>45658</v>
      </c>
      <c r="C905">
        <f>IF(ISNUMBER(+IF(IFERROR(VALUE(MID('Libro Diario'!D168,1,4)),0)&lt;&gt;0,'Libro Diario'!D168,0))=FALSE,'Libro Diario'!D168,0)</f>
        <v>0</v>
      </c>
      <c r="D905" s="145" t="str">
        <f>+'Libro Diario'!E168</f>
        <v>HABER</v>
      </c>
      <c r="E905" s="139" t="s">
        <v>446</v>
      </c>
      <c r="F905" t="str">
        <f t="shared" si="42"/>
        <v>Sin Mov.</v>
      </c>
      <c r="G905" t="str">
        <f>IF(+'Libro Diario'!H168=0,"",+'Libro Diario'!H168)</f>
        <v/>
      </c>
      <c r="H905" t="str">
        <f>IF(+'Libro Diario'!I168=0,"",+'Libro Diario'!I168)</f>
        <v/>
      </c>
      <c r="I905" t="str">
        <f>+IF(Table3[[#This Row],[Tipo Movimiento]]="Estructura Balance y PyG","Excluir","Incluir")</f>
        <v>Incluir</v>
      </c>
      <c r="J905" s="153">
        <f>+IF(Table3[[#This Row],[Sin cuenta]]="Con Mov.",(IF(Table3[[#This Row],[Movimiento]]="Debe",Table3[[#This Row],[Importe]],IF(Table3[[#This Row],[Movimiento]]="Haber",Table3[[#This Row],[Importe]]*-1,0))),0)</f>
        <v>0</v>
      </c>
      <c r="K905" s="145" t="str">
        <f t="shared" si="43"/>
        <v/>
      </c>
      <c r="L905" s="145" t="str">
        <f t="shared" si="44"/>
        <v>HABER</v>
      </c>
      <c r="M905" t="str">
        <f>_xlfn.XLOOKUP(Table3[[#This Row],[Cuenta]],Estructura_Balance[Nombre Cuenta ()],Estructura_Balance[Grupo],"",0)</f>
        <v/>
      </c>
      <c r="N905" t="str">
        <f>_xlfn.XLOOKUP(Table3[[#This Row],[Cuenta]],Estructura_Balance[Nombre Cuenta ()],Estructura_Balance[Nivel 1],"",0)</f>
        <v/>
      </c>
      <c r="O905" t="str">
        <f>_xlfn.XLOOKUP(Table3[[#This Row],[Cuenta]],Estructura_Balance[Nombre Cuenta ()],Estructura_Balance[Nivel 2],"",0)</f>
        <v/>
      </c>
      <c r="P905" t="str">
        <f>_xlfn.XLOOKUP(Table3[[#This Row],[Cuenta]],Estructura_Balance[Nombre Cuenta ()],Estructura_Balance[Nivel 3],"",0)</f>
        <v/>
      </c>
      <c r="Q905" t="str">
        <f>_xlfn.XLOOKUP(Table3[[#This Row],[Cuenta]],Estructura_Balance[Nombre Cuenta ()],Estructura_Balance[Nivel 4],"",0)</f>
        <v/>
      </c>
      <c r="R905" t="str">
        <f>_xlfn.XLOOKUP(Table3[[#This Row],[Cuenta]],Table8[Nombre Cuenta ()],Table8[Nivel 1],"",0)</f>
        <v/>
      </c>
      <c r="S905" t="str">
        <f>_xlfn.XLOOKUP(Table3[[#This Row],[Cuenta]],Table8[Nombre Cuenta ()],Table8[Nivel 2],"",0)</f>
        <v/>
      </c>
      <c r="T905" t="str">
        <f>_xlfn.XLOOKUP(Table3[[#This Row],[Cuenta]],Table8[Nombre Cuenta ()],Table8[Nivel 3],"",0)</f>
        <v/>
      </c>
      <c r="U905">
        <v>1534</v>
      </c>
      <c r="V905" t="str">
        <f>_xlfn.XLOOKUP(Table3[[#This Row],[Cuenta]],Estructura_Balance[Nombre Cuenta ()],Estructura_Balance[Niveles:2],"",0)</f>
        <v/>
      </c>
      <c r="W905" t="str">
        <f>_xlfn.XLOOKUP(Table3[[#This Row],[Cuenta]],Estructura_Balance[Nombre Cuenta ()],Estructura_Balance[Niveles:3],"",0)</f>
        <v/>
      </c>
      <c r="X905" t="str">
        <f>_xlfn.XLOOKUP(Table3[[#This Row],[Cuenta]],Estructura_Balance[Nombre Cuenta ()],Estructura_Balance[Grupos],"Grupo 1",0)</f>
        <v>Grupo 1</v>
      </c>
      <c r="Y905" t="str">
        <f>+Table3[[#This Row],[BS_Nivel_1]]</f>
        <v/>
      </c>
    </row>
    <row r="906" spans="1:25">
      <c r="A906">
        <f>+'Libro Diario'!F169</f>
        <v>0</v>
      </c>
      <c r="B906" s="144">
        <f>VALUE(IF(+'Libro Diario'!G169="","01/01/2025",+'Libro Diario'!G169))</f>
        <v>45658</v>
      </c>
      <c r="C906">
        <f>IF(ISNUMBER(+IF(IFERROR(VALUE(MID('Libro Diario'!D169,1,4)),0)&lt;&gt;0,'Libro Diario'!D169,0))=FALSE,'Libro Diario'!D169,0)</f>
        <v>0</v>
      </c>
      <c r="D906" s="145">
        <f>+'Libro Diario'!E169</f>
        <v>0</v>
      </c>
      <c r="E906" s="139" t="s">
        <v>446</v>
      </c>
      <c r="F906" t="str">
        <f t="shared" si="42"/>
        <v>Sin Mov.</v>
      </c>
      <c r="G906" t="str">
        <f>IF(+'Libro Diario'!H169=0,"",+'Libro Diario'!H169)</f>
        <v/>
      </c>
      <c r="H906" t="str">
        <f>IF(+'Libro Diario'!I169=0,"",+'Libro Diario'!I169)</f>
        <v/>
      </c>
      <c r="I906" t="str">
        <f>+IF(Table3[[#This Row],[Tipo Movimiento]]="Estructura Balance y PyG","Excluir","Incluir")</f>
        <v>Incluir</v>
      </c>
      <c r="J906" s="153">
        <f>+IF(Table3[[#This Row],[Sin cuenta]]="Con Mov.",(IF(Table3[[#This Row],[Movimiento]]="Debe",Table3[[#This Row],[Importe]],IF(Table3[[#This Row],[Movimiento]]="Haber",Table3[[#This Row],[Importe]]*-1,0))),0)</f>
        <v>0</v>
      </c>
      <c r="K906" s="145" t="str">
        <f t="shared" si="43"/>
        <v/>
      </c>
      <c r="L906" s="145">
        <f t="shared" si="44"/>
        <v>0</v>
      </c>
      <c r="M906" t="str">
        <f>_xlfn.XLOOKUP(Table3[[#This Row],[Cuenta]],Estructura_Balance[Nombre Cuenta ()],Estructura_Balance[Grupo],"",0)</f>
        <v/>
      </c>
      <c r="N906" t="str">
        <f>_xlfn.XLOOKUP(Table3[[#This Row],[Cuenta]],Estructura_Balance[Nombre Cuenta ()],Estructura_Balance[Nivel 1],"",0)</f>
        <v/>
      </c>
      <c r="O906" t="str">
        <f>_xlfn.XLOOKUP(Table3[[#This Row],[Cuenta]],Estructura_Balance[Nombre Cuenta ()],Estructura_Balance[Nivel 2],"",0)</f>
        <v/>
      </c>
      <c r="P906" t="str">
        <f>_xlfn.XLOOKUP(Table3[[#This Row],[Cuenta]],Estructura_Balance[Nombre Cuenta ()],Estructura_Balance[Nivel 3],"",0)</f>
        <v/>
      </c>
      <c r="Q906" t="str">
        <f>_xlfn.XLOOKUP(Table3[[#This Row],[Cuenta]],Estructura_Balance[Nombre Cuenta ()],Estructura_Balance[Nivel 4],"",0)</f>
        <v/>
      </c>
      <c r="R906" t="str">
        <f>_xlfn.XLOOKUP(Table3[[#This Row],[Cuenta]],Table8[Nombre Cuenta ()],Table8[Nivel 1],"",0)</f>
        <v/>
      </c>
      <c r="S906" t="str">
        <f>_xlfn.XLOOKUP(Table3[[#This Row],[Cuenta]],Table8[Nombre Cuenta ()],Table8[Nivel 2],"",0)</f>
        <v/>
      </c>
      <c r="T906" t="str">
        <f>_xlfn.XLOOKUP(Table3[[#This Row],[Cuenta]],Table8[Nombre Cuenta ()],Table8[Nivel 3],"",0)</f>
        <v/>
      </c>
      <c r="U906">
        <v>1535</v>
      </c>
      <c r="V906" t="str">
        <f>_xlfn.XLOOKUP(Table3[[#This Row],[Cuenta]],Estructura_Balance[Nombre Cuenta ()],Estructura_Balance[Niveles:2],"",0)</f>
        <v/>
      </c>
      <c r="W906" t="str">
        <f>_xlfn.XLOOKUP(Table3[[#This Row],[Cuenta]],Estructura_Balance[Nombre Cuenta ()],Estructura_Balance[Niveles:3],"",0)</f>
        <v/>
      </c>
      <c r="X906" t="str">
        <f>_xlfn.XLOOKUP(Table3[[#This Row],[Cuenta]],Estructura_Balance[Nombre Cuenta ()],Estructura_Balance[Grupos],"Grupo 1",0)</f>
        <v>Grupo 1</v>
      </c>
      <c r="Y906" t="str">
        <f>+Table3[[#This Row],[BS_Nivel_1]]</f>
        <v/>
      </c>
    </row>
    <row r="907" spans="1:25">
      <c r="A907">
        <f>+'Libro Diario'!F172</f>
        <v>0</v>
      </c>
      <c r="B907" s="144">
        <f>VALUE(IF(+'Libro Diario'!G172="","01/01/2025",+'Libro Diario'!G172))</f>
        <v>45658</v>
      </c>
      <c r="C907">
        <f>IF(ISNUMBER(+IF(IFERROR(VALUE(MID('Libro Diario'!D172,1,4)),0)&lt;&gt;0,'Libro Diario'!D172,0))=FALSE,'Libro Diario'!D172,0)</f>
        <v>0</v>
      </c>
      <c r="D907" s="145">
        <f>+'Libro Diario'!E172</f>
        <v>0</v>
      </c>
      <c r="E907" s="139" t="s">
        <v>446</v>
      </c>
      <c r="F907" t="str">
        <f t="shared" si="42"/>
        <v>Sin Mov.</v>
      </c>
      <c r="G907" t="str">
        <f>IF(+'Libro Diario'!H172=0,"",+'Libro Diario'!H172)</f>
        <v/>
      </c>
      <c r="H907" t="str">
        <f>IF(+'Libro Diario'!I172=0,"",+'Libro Diario'!I172)</f>
        <v/>
      </c>
      <c r="I907" t="str">
        <f>+IF(Table3[[#This Row],[Tipo Movimiento]]="Estructura Balance y PyG","Excluir","Incluir")</f>
        <v>Incluir</v>
      </c>
      <c r="J907" s="153">
        <f>+IF(Table3[[#This Row],[Sin cuenta]]="Con Mov.",(IF(Table3[[#This Row],[Movimiento]]="Debe",Table3[[#This Row],[Importe]],IF(Table3[[#This Row],[Movimiento]]="Haber",Table3[[#This Row],[Importe]]*-1,0))),0)</f>
        <v>0</v>
      </c>
      <c r="K907" s="145" t="str">
        <f t="shared" si="43"/>
        <v/>
      </c>
      <c r="L907" s="145">
        <f t="shared" si="44"/>
        <v>0</v>
      </c>
      <c r="M907" t="str">
        <f>_xlfn.XLOOKUP(Table3[[#This Row],[Cuenta]],Estructura_Balance[Nombre Cuenta ()],Estructura_Balance[Grupo],"",0)</f>
        <v/>
      </c>
      <c r="N907" t="str">
        <f>_xlfn.XLOOKUP(Table3[[#This Row],[Cuenta]],Estructura_Balance[Nombre Cuenta ()],Estructura_Balance[Nivel 1],"",0)</f>
        <v/>
      </c>
      <c r="O907" t="str">
        <f>_xlfn.XLOOKUP(Table3[[#This Row],[Cuenta]],Estructura_Balance[Nombre Cuenta ()],Estructura_Balance[Nivel 2],"",0)</f>
        <v/>
      </c>
      <c r="P907" t="str">
        <f>_xlfn.XLOOKUP(Table3[[#This Row],[Cuenta]],Estructura_Balance[Nombre Cuenta ()],Estructura_Balance[Nivel 3],"",0)</f>
        <v/>
      </c>
      <c r="Q907" t="str">
        <f>_xlfn.XLOOKUP(Table3[[#This Row],[Cuenta]],Estructura_Balance[Nombre Cuenta ()],Estructura_Balance[Nivel 4],"",0)</f>
        <v/>
      </c>
      <c r="R907" t="str">
        <f>_xlfn.XLOOKUP(Table3[[#This Row],[Cuenta]],Table8[Nombre Cuenta ()],Table8[Nivel 1],"",0)</f>
        <v/>
      </c>
      <c r="S907" t="str">
        <f>_xlfn.XLOOKUP(Table3[[#This Row],[Cuenta]],Table8[Nombre Cuenta ()],Table8[Nivel 2],"",0)</f>
        <v/>
      </c>
      <c r="T907" t="str">
        <f>_xlfn.XLOOKUP(Table3[[#This Row],[Cuenta]],Table8[Nombre Cuenta ()],Table8[Nivel 3],"",0)</f>
        <v/>
      </c>
      <c r="U907">
        <v>1540</v>
      </c>
      <c r="V907" t="str">
        <f>_xlfn.XLOOKUP(Table3[[#This Row],[Cuenta]],Estructura_Balance[Nombre Cuenta ()],Estructura_Balance[Niveles:2],"",0)</f>
        <v/>
      </c>
      <c r="W907" t="str">
        <f>_xlfn.XLOOKUP(Table3[[#This Row],[Cuenta]],Estructura_Balance[Nombre Cuenta ()],Estructura_Balance[Niveles:3],"",0)</f>
        <v/>
      </c>
      <c r="X907" t="str">
        <f>_xlfn.XLOOKUP(Table3[[#This Row],[Cuenta]],Estructura_Balance[Nombre Cuenta ()],Estructura_Balance[Grupos],"Grupo 1",0)</f>
        <v>Grupo 1</v>
      </c>
      <c r="Y907" t="str">
        <f>+Table3[[#This Row],[BS_Nivel_1]]</f>
        <v/>
      </c>
    </row>
    <row r="908" spans="1:25">
      <c r="A908">
        <f>+'Libro Diario'!F173</f>
        <v>0</v>
      </c>
      <c r="B908" s="144">
        <f>VALUE(IF(+'Libro Diario'!G173="","01/01/2025",+'Libro Diario'!G173))</f>
        <v>45658</v>
      </c>
      <c r="C908">
        <f>IF(ISNUMBER(+IF(IFERROR(VALUE(MID('Libro Diario'!D173,1,4)),0)&lt;&gt;0,'Libro Diario'!D173,0))=FALSE,'Libro Diario'!D173,0)</f>
        <v>0</v>
      </c>
      <c r="D908" s="145">
        <f>+'Libro Diario'!E173</f>
        <v>0</v>
      </c>
      <c r="E908" s="139" t="s">
        <v>446</v>
      </c>
      <c r="F908" t="str">
        <f t="shared" si="42"/>
        <v>Sin Mov.</v>
      </c>
      <c r="G908" t="str">
        <f>IF(+'Libro Diario'!H173=0,"",+'Libro Diario'!H173)</f>
        <v/>
      </c>
      <c r="H908" t="str">
        <f>IF(+'Libro Diario'!I173=0,"",+'Libro Diario'!I173)</f>
        <v/>
      </c>
      <c r="I908" t="str">
        <f>+IF(Table3[[#This Row],[Tipo Movimiento]]="Estructura Balance y PyG","Excluir","Incluir")</f>
        <v>Incluir</v>
      </c>
      <c r="J908" s="153">
        <f>+IF(Table3[[#This Row],[Sin cuenta]]="Con Mov.",(IF(Table3[[#This Row],[Movimiento]]="Debe",Table3[[#This Row],[Importe]],IF(Table3[[#This Row],[Movimiento]]="Haber",Table3[[#This Row],[Importe]]*-1,0))),0)</f>
        <v>0</v>
      </c>
      <c r="K908" s="145" t="str">
        <f t="shared" si="43"/>
        <v/>
      </c>
      <c r="L908" s="145">
        <f t="shared" si="44"/>
        <v>0</v>
      </c>
      <c r="M908" t="str">
        <f>_xlfn.XLOOKUP(Table3[[#This Row],[Cuenta]],Estructura_Balance[Nombre Cuenta ()],Estructura_Balance[Grupo],"",0)</f>
        <v/>
      </c>
      <c r="N908" t="str">
        <f>_xlfn.XLOOKUP(Table3[[#This Row],[Cuenta]],Estructura_Balance[Nombre Cuenta ()],Estructura_Balance[Nivel 1],"",0)</f>
        <v/>
      </c>
      <c r="O908" t="str">
        <f>_xlfn.XLOOKUP(Table3[[#This Row],[Cuenta]],Estructura_Balance[Nombre Cuenta ()],Estructura_Balance[Nivel 2],"",0)</f>
        <v/>
      </c>
      <c r="P908" t="str">
        <f>_xlfn.XLOOKUP(Table3[[#This Row],[Cuenta]],Estructura_Balance[Nombre Cuenta ()],Estructura_Balance[Nivel 3],"",0)</f>
        <v/>
      </c>
      <c r="Q908" t="str">
        <f>_xlfn.XLOOKUP(Table3[[#This Row],[Cuenta]],Estructura_Balance[Nombre Cuenta ()],Estructura_Balance[Nivel 4],"",0)</f>
        <v/>
      </c>
      <c r="R908" t="str">
        <f>_xlfn.XLOOKUP(Table3[[#This Row],[Cuenta]],Table8[Nombre Cuenta ()],Table8[Nivel 1],"",0)</f>
        <v/>
      </c>
      <c r="S908" t="str">
        <f>_xlfn.XLOOKUP(Table3[[#This Row],[Cuenta]],Table8[Nombre Cuenta ()],Table8[Nivel 2],"",0)</f>
        <v/>
      </c>
      <c r="T908" t="str">
        <f>_xlfn.XLOOKUP(Table3[[#This Row],[Cuenta]],Table8[Nombre Cuenta ()],Table8[Nivel 3],"",0)</f>
        <v/>
      </c>
      <c r="U908">
        <v>1541</v>
      </c>
      <c r="V908" t="str">
        <f>_xlfn.XLOOKUP(Table3[[#This Row],[Cuenta]],Estructura_Balance[Nombre Cuenta ()],Estructura_Balance[Niveles:2],"",0)</f>
        <v/>
      </c>
      <c r="W908" t="str">
        <f>_xlfn.XLOOKUP(Table3[[#This Row],[Cuenta]],Estructura_Balance[Nombre Cuenta ()],Estructura_Balance[Niveles:3],"",0)</f>
        <v/>
      </c>
      <c r="X908" t="str">
        <f>_xlfn.XLOOKUP(Table3[[#This Row],[Cuenta]],Estructura_Balance[Nombre Cuenta ()],Estructura_Balance[Grupos],"Grupo 1",0)</f>
        <v>Grupo 1</v>
      </c>
      <c r="Y908" t="str">
        <f>+Table3[[#This Row],[BS_Nivel_1]]</f>
        <v/>
      </c>
    </row>
    <row r="909" spans="1:25">
      <c r="A909">
        <f>+'Libro Diario'!F174</f>
        <v>0</v>
      </c>
      <c r="B909" s="144">
        <f>VALUE(IF(+'Libro Diario'!G174="","01/01/2025",+'Libro Diario'!G174))</f>
        <v>45658</v>
      </c>
      <c r="C909">
        <f>IF(ISNUMBER(+IF(IFERROR(VALUE(MID('Libro Diario'!D174,1,4)),0)&lt;&gt;0,'Libro Diario'!D174,0))=FALSE,'Libro Diario'!D174,0)</f>
        <v>0</v>
      </c>
      <c r="D909" s="145">
        <f>+'Libro Diario'!E174</f>
        <v>0</v>
      </c>
      <c r="E909" s="139" t="s">
        <v>446</v>
      </c>
      <c r="F909" t="str">
        <f t="shared" si="42"/>
        <v>Sin Mov.</v>
      </c>
      <c r="G909" t="str">
        <f>IF(+'Libro Diario'!H174=0,"",+'Libro Diario'!H174)</f>
        <v/>
      </c>
      <c r="H909" t="str">
        <f>IF(+'Libro Diario'!I174=0,"",+'Libro Diario'!I174)</f>
        <v/>
      </c>
      <c r="I909" t="str">
        <f>+IF(Table3[[#This Row],[Tipo Movimiento]]="Estructura Balance y PyG","Excluir","Incluir")</f>
        <v>Incluir</v>
      </c>
      <c r="J909" s="153">
        <f>+IF(Table3[[#This Row],[Sin cuenta]]="Con Mov.",(IF(Table3[[#This Row],[Movimiento]]="Debe",Table3[[#This Row],[Importe]],IF(Table3[[#This Row],[Movimiento]]="Haber",Table3[[#This Row],[Importe]]*-1,0))),0)</f>
        <v>0</v>
      </c>
      <c r="K909" s="145" t="str">
        <f t="shared" si="43"/>
        <v/>
      </c>
      <c r="L909" s="145">
        <f t="shared" si="44"/>
        <v>0</v>
      </c>
      <c r="M909" t="str">
        <f>_xlfn.XLOOKUP(Table3[[#This Row],[Cuenta]],Estructura_Balance[Nombre Cuenta ()],Estructura_Balance[Grupo],"",0)</f>
        <v/>
      </c>
      <c r="N909" t="str">
        <f>_xlfn.XLOOKUP(Table3[[#This Row],[Cuenta]],Estructura_Balance[Nombre Cuenta ()],Estructura_Balance[Nivel 1],"",0)</f>
        <v/>
      </c>
      <c r="O909" t="str">
        <f>_xlfn.XLOOKUP(Table3[[#This Row],[Cuenta]],Estructura_Balance[Nombre Cuenta ()],Estructura_Balance[Nivel 2],"",0)</f>
        <v/>
      </c>
      <c r="P909" t="str">
        <f>_xlfn.XLOOKUP(Table3[[#This Row],[Cuenta]],Estructura_Balance[Nombre Cuenta ()],Estructura_Balance[Nivel 3],"",0)</f>
        <v/>
      </c>
      <c r="Q909" t="str">
        <f>_xlfn.XLOOKUP(Table3[[#This Row],[Cuenta]],Estructura_Balance[Nombre Cuenta ()],Estructura_Balance[Nivel 4],"",0)</f>
        <v/>
      </c>
      <c r="R909" t="str">
        <f>_xlfn.XLOOKUP(Table3[[#This Row],[Cuenta]],Table8[Nombre Cuenta ()],Table8[Nivel 1],"",0)</f>
        <v/>
      </c>
      <c r="S909" t="str">
        <f>_xlfn.XLOOKUP(Table3[[#This Row],[Cuenta]],Table8[Nombre Cuenta ()],Table8[Nivel 2],"",0)</f>
        <v/>
      </c>
      <c r="T909" t="str">
        <f>_xlfn.XLOOKUP(Table3[[#This Row],[Cuenta]],Table8[Nombre Cuenta ()],Table8[Nivel 3],"",0)</f>
        <v/>
      </c>
      <c r="U909">
        <v>1542</v>
      </c>
      <c r="V909" t="str">
        <f>_xlfn.XLOOKUP(Table3[[#This Row],[Cuenta]],Estructura_Balance[Nombre Cuenta ()],Estructura_Balance[Niveles:2],"",0)</f>
        <v/>
      </c>
      <c r="W909" t="str">
        <f>_xlfn.XLOOKUP(Table3[[#This Row],[Cuenta]],Estructura_Balance[Nombre Cuenta ()],Estructura_Balance[Niveles:3],"",0)</f>
        <v/>
      </c>
      <c r="X909" t="str">
        <f>_xlfn.XLOOKUP(Table3[[#This Row],[Cuenta]],Estructura_Balance[Nombre Cuenta ()],Estructura_Balance[Grupos],"Grupo 1",0)</f>
        <v>Grupo 1</v>
      </c>
      <c r="Y909" t="str">
        <f>+Table3[[#This Row],[BS_Nivel_1]]</f>
        <v/>
      </c>
    </row>
    <row r="910" spans="1:25">
      <c r="A910">
        <f>+'Libro Diario'!F175</f>
        <v>0</v>
      </c>
      <c r="B910" s="144">
        <f>VALUE(IF(+'Libro Diario'!G175="","01/01/2025",+'Libro Diario'!G175))</f>
        <v>45658</v>
      </c>
      <c r="C910">
        <f>IF(ISNUMBER(+IF(IFERROR(VALUE(MID('Libro Diario'!D175,1,4)),0)&lt;&gt;0,'Libro Diario'!D175,0))=FALSE,'Libro Diario'!D175,0)</f>
        <v>0</v>
      </c>
      <c r="D910" s="145" t="str">
        <f>+'Libro Diario'!E175</f>
        <v>HABER</v>
      </c>
      <c r="E910" s="139" t="s">
        <v>446</v>
      </c>
      <c r="F910" t="str">
        <f t="shared" si="42"/>
        <v>Sin Mov.</v>
      </c>
      <c r="G910" t="str">
        <f>IF(+'Libro Diario'!H175=0,"",+'Libro Diario'!H175)</f>
        <v/>
      </c>
      <c r="H910" t="str">
        <f>IF(+'Libro Diario'!I175=0,"",+'Libro Diario'!I175)</f>
        <v/>
      </c>
      <c r="I910" t="str">
        <f>+IF(Table3[[#This Row],[Tipo Movimiento]]="Estructura Balance y PyG","Excluir","Incluir")</f>
        <v>Incluir</v>
      </c>
      <c r="J910" s="153">
        <f>+IF(Table3[[#This Row],[Sin cuenta]]="Con Mov.",(IF(Table3[[#This Row],[Movimiento]]="Debe",Table3[[#This Row],[Importe]],IF(Table3[[#This Row],[Movimiento]]="Haber",Table3[[#This Row],[Importe]]*-1,0))),0)</f>
        <v>0</v>
      </c>
      <c r="K910" s="145" t="str">
        <f t="shared" si="43"/>
        <v/>
      </c>
      <c r="L910" s="145" t="str">
        <f t="shared" si="44"/>
        <v>HABER</v>
      </c>
      <c r="M910" t="str">
        <f>_xlfn.XLOOKUP(Table3[[#This Row],[Cuenta]],Estructura_Balance[Nombre Cuenta ()],Estructura_Balance[Grupo],"",0)</f>
        <v/>
      </c>
      <c r="N910" t="str">
        <f>_xlfn.XLOOKUP(Table3[[#This Row],[Cuenta]],Estructura_Balance[Nombre Cuenta ()],Estructura_Balance[Nivel 1],"",0)</f>
        <v/>
      </c>
      <c r="O910" t="str">
        <f>_xlfn.XLOOKUP(Table3[[#This Row],[Cuenta]],Estructura_Balance[Nombre Cuenta ()],Estructura_Balance[Nivel 2],"",0)</f>
        <v/>
      </c>
      <c r="P910" t="str">
        <f>_xlfn.XLOOKUP(Table3[[#This Row],[Cuenta]],Estructura_Balance[Nombre Cuenta ()],Estructura_Balance[Nivel 3],"",0)</f>
        <v/>
      </c>
      <c r="Q910" t="str">
        <f>_xlfn.XLOOKUP(Table3[[#This Row],[Cuenta]],Estructura_Balance[Nombre Cuenta ()],Estructura_Balance[Nivel 4],"",0)</f>
        <v/>
      </c>
      <c r="R910" t="str">
        <f>_xlfn.XLOOKUP(Table3[[#This Row],[Cuenta]],Table8[Nombre Cuenta ()],Table8[Nivel 1],"",0)</f>
        <v/>
      </c>
      <c r="S910" t="str">
        <f>_xlfn.XLOOKUP(Table3[[#This Row],[Cuenta]],Table8[Nombre Cuenta ()],Table8[Nivel 2],"",0)</f>
        <v/>
      </c>
      <c r="T910" t="str">
        <f>_xlfn.XLOOKUP(Table3[[#This Row],[Cuenta]],Table8[Nombre Cuenta ()],Table8[Nivel 3],"",0)</f>
        <v/>
      </c>
      <c r="U910">
        <v>1545</v>
      </c>
      <c r="V910" t="str">
        <f>_xlfn.XLOOKUP(Table3[[#This Row],[Cuenta]],Estructura_Balance[Nombre Cuenta ()],Estructura_Balance[Niveles:2],"",0)</f>
        <v/>
      </c>
      <c r="W910" t="str">
        <f>_xlfn.XLOOKUP(Table3[[#This Row],[Cuenta]],Estructura_Balance[Nombre Cuenta ()],Estructura_Balance[Niveles:3],"",0)</f>
        <v/>
      </c>
      <c r="X910" t="str">
        <f>_xlfn.XLOOKUP(Table3[[#This Row],[Cuenta]],Estructura_Balance[Nombre Cuenta ()],Estructura_Balance[Grupos],"Grupo 1",0)</f>
        <v>Grupo 1</v>
      </c>
      <c r="Y910" t="str">
        <f>+Table3[[#This Row],[BS_Nivel_1]]</f>
        <v/>
      </c>
    </row>
    <row r="911" spans="1:25">
      <c r="A911">
        <f>+'Libro Diario'!F176</f>
        <v>0</v>
      </c>
      <c r="B911" s="144">
        <f>VALUE(IF(+'Libro Diario'!G176="","01/01/2025",+'Libro Diario'!G176))</f>
        <v>45658</v>
      </c>
      <c r="C911">
        <f>IF(ISNUMBER(+IF(IFERROR(VALUE(MID('Libro Diario'!D176,1,4)),0)&lt;&gt;0,'Libro Diario'!D176,0))=FALSE,'Libro Diario'!D176,0)</f>
        <v>0</v>
      </c>
      <c r="D911" s="145">
        <f>+'Libro Diario'!E176</f>
        <v>0</v>
      </c>
      <c r="E911" s="139" t="s">
        <v>446</v>
      </c>
      <c r="F911" t="str">
        <f t="shared" si="42"/>
        <v>Sin Mov.</v>
      </c>
      <c r="G911" t="str">
        <f>IF(+'Libro Diario'!H176=0,"",+'Libro Diario'!H176)</f>
        <v/>
      </c>
      <c r="H911" t="str">
        <f>IF(+'Libro Diario'!I176=0,"",+'Libro Diario'!I176)</f>
        <v/>
      </c>
      <c r="I911" t="str">
        <f>+IF(Table3[[#This Row],[Tipo Movimiento]]="Estructura Balance y PyG","Excluir","Incluir")</f>
        <v>Incluir</v>
      </c>
      <c r="J911" s="153">
        <f>+IF(Table3[[#This Row],[Sin cuenta]]="Con Mov.",(IF(Table3[[#This Row],[Movimiento]]="Debe",Table3[[#This Row],[Importe]],IF(Table3[[#This Row],[Movimiento]]="Haber",Table3[[#This Row],[Importe]]*-1,0))),0)</f>
        <v>0</v>
      </c>
      <c r="K911" s="145" t="str">
        <f t="shared" si="43"/>
        <v/>
      </c>
      <c r="L911" s="145">
        <f t="shared" si="44"/>
        <v>0</v>
      </c>
      <c r="M911" t="str">
        <f>_xlfn.XLOOKUP(Table3[[#This Row],[Cuenta]],Estructura_Balance[Nombre Cuenta ()],Estructura_Balance[Grupo],"",0)</f>
        <v/>
      </c>
      <c r="N911" t="str">
        <f>_xlfn.XLOOKUP(Table3[[#This Row],[Cuenta]],Estructura_Balance[Nombre Cuenta ()],Estructura_Balance[Nivel 1],"",0)</f>
        <v/>
      </c>
      <c r="O911" t="str">
        <f>_xlfn.XLOOKUP(Table3[[#This Row],[Cuenta]],Estructura_Balance[Nombre Cuenta ()],Estructura_Balance[Nivel 2],"",0)</f>
        <v/>
      </c>
      <c r="P911" t="str">
        <f>_xlfn.XLOOKUP(Table3[[#This Row],[Cuenta]],Estructura_Balance[Nombre Cuenta ()],Estructura_Balance[Nivel 3],"",0)</f>
        <v/>
      </c>
      <c r="Q911" t="str">
        <f>_xlfn.XLOOKUP(Table3[[#This Row],[Cuenta]],Estructura_Balance[Nombre Cuenta ()],Estructura_Balance[Nivel 4],"",0)</f>
        <v/>
      </c>
      <c r="R911" t="str">
        <f>_xlfn.XLOOKUP(Table3[[#This Row],[Cuenta]],Table8[Nombre Cuenta ()],Table8[Nivel 1],"",0)</f>
        <v/>
      </c>
      <c r="S911" t="str">
        <f>_xlfn.XLOOKUP(Table3[[#This Row],[Cuenta]],Table8[Nombre Cuenta ()],Table8[Nivel 2],"",0)</f>
        <v/>
      </c>
      <c r="T911" t="str">
        <f>_xlfn.XLOOKUP(Table3[[#This Row],[Cuenta]],Table8[Nombre Cuenta ()],Table8[Nivel 3],"",0)</f>
        <v/>
      </c>
      <c r="U911">
        <v>1546</v>
      </c>
      <c r="V911" t="str">
        <f>_xlfn.XLOOKUP(Table3[[#This Row],[Cuenta]],Estructura_Balance[Nombre Cuenta ()],Estructura_Balance[Niveles:2],"",0)</f>
        <v/>
      </c>
      <c r="W911" t="str">
        <f>_xlfn.XLOOKUP(Table3[[#This Row],[Cuenta]],Estructura_Balance[Nombre Cuenta ()],Estructura_Balance[Niveles:3],"",0)</f>
        <v/>
      </c>
      <c r="X911" t="str">
        <f>_xlfn.XLOOKUP(Table3[[#This Row],[Cuenta]],Estructura_Balance[Nombre Cuenta ()],Estructura_Balance[Grupos],"Grupo 1",0)</f>
        <v>Grupo 1</v>
      </c>
      <c r="Y911" t="str">
        <f>+Table3[[#This Row],[BS_Nivel_1]]</f>
        <v/>
      </c>
    </row>
    <row r="912" spans="1:25">
      <c r="A912">
        <f>+'Libro Diario'!F179</f>
        <v>0</v>
      </c>
      <c r="B912" s="144">
        <f>VALUE(IF(+'Libro Diario'!G179="","01/01/2025",+'Libro Diario'!G179))</f>
        <v>45658</v>
      </c>
      <c r="C912">
        <f>IF(ISNUMBER(+IF(IFERROR(VALUE(MID('Libro Diario'!D179,1,4)),0)&lt;&gt;0,'Libro Diario'!D179,0))=FALSE,'Libro Diario'!D179,0)</f>
        <v>0</v>
      </c>
      <c r="D912" s="145">
        <f>+'Libro Diario'!E179</f>
        <v>0</v>
      </c>
      <c r="E912" s="139" t="s">
        <v>446</v>
      </c>
      <c r="F912" t="str">
        <f t="shared" si="42"/>
        <v>Sin Mov.</v>
      </c>
      <c r="G912" t="str">
        <f>IF(+'Libro Diario'!H179=0,"",+'Libro Diario'!H179)</f>
        <v/>
      </c>
      <c r="H912" t="str">
        <f>IF(+'Libro Diario'!I179=0,"",+'Libro Diario'!I179)</f>
        <v/>
      </c>
      <c r="I912" t="str">
        <f>+IF(Table3[[#This Row],[Tipo Movimiento]]="Estructura Balance y PyG","Excluir","Incluir")</f>
        <v>Incluir</v>
      </c>
      <c r="J912" s="153">
        <f>+IF(Table3[[#This Row],[Sin cuenta]]="Con Mov.",(IF(Table3[[#This Row],[Movimiento]]="Debe",Table3[[#This Row],[Importe]],IF(Table3[[#This Row],[Movimiento]]="Haber",Table3[[#This Row],[Importe]]*-1,0))),0)</f>
        <v>0</v>
      </c>
      <c r="K912" s="145" t="str">
        <f t="shared" si="43"/>
        <v/>
      </c>
      <c r="L912" s="145">
        <f t="shared" si="44"/>
        <v>0</v>
      </c>
      <c r="M912" t="str">
        <f>_xlfn.XLOOKUP(Table3[[#This Row],[Cuenta]],Estructura_Balance[Nombre Cuenta ()],Estructura_Balance[Grupo],"",0)</f>
        <v/>
      </c>
      <c r="N912" t="str">
        <f>_xlfn.XLOOKUP(Table3[[#This Row],[Cuenta]],Estructura_Balance[Nombre Cuenta ()],Estructura_Balance[Nivel 1],"",0)</f>
        <v/>
      </c>
      <c r="O912" t="str">
        <f>_xlfn.XLOOKUP(Table3[[#This Row],[Cuenta]],Estructura_Balance[Nombre Cuenta ()],Estructura_Balance[Nivel 2],"",0)</f>
        <v/>
      </c>
      <c r="P912" t="str">
        <f>_xlfn.XLOOKUP(Table3[[#This Row],[Cuenta]],Estructura_Balance[Nombre Cuenta ()],Estructura_Balance[Nivel 3],"",0)</f>
        <v/>
      </c>
      <c r="Q912" t="str">
        <f>_xlfn.XLOOKUP(Table3[[#This Row],[Cuenta]],Estructura_Balance[Nombre Cuenta ()],Estructura_Balance[Nivel 4],"",0)</f>
        <v/>
      </c>
      <c r="R912" t="str">
        <f>_xlfn.XLOOKUP(Table3[[#This Row],[Cuenta]],Table8[Nombre Cuenta ()],Table8[Nivel 1],"",0)</f>
        <v/>
      </c>
      <c r="S912" t="str">
        <f>_xlfn.XLOOKUP(Table3[[#This Row],[Cuenta]],Table8[Nombre Cuenta ()],Table8[Nivel 2],"",0)</f>
        <v/>
      </c>
      <c r="T912" t="str">
        <f>_xlfn.XLOOKUP(Table3[[#This Row],[Cuenta]],Table8[Nombre Cuenta ()],Table8[Nivel 3],"",0)</f>
        <v/>
      </c>
      <c r="U912">
        <v>1549</v>
      </c>
      <c r="V912" t="str">
        <f>_xlfn.XLOOKUP(Table3[[#This Row],[Cuenta]],Estructura_Balance[Nombre Cuenta ()],Estructura_Balance[Niveles:2],"",0)</f>
        <v/>
      </c>
      <c r="W912" t="str">
        <f>_xlfn.XLOOKUP(Table3[[#This Row],[Cuenta]],Estructura_Balance[Nombre Cuenta ()],Estructura_Balance[Niveles:3],"",0)</f>
        <v/>
      </c>
      <c r="X912" t="str">
        <f>_xlfn.XLOOKUP(Table3[[#This Row],[Cuenta]],Estructura_Balance[Nombre Cuenta ()],Estructura_Balance[Grupos],"Grupo 1",0)</f>
        <v>Grupo 1</v>
      </c>
      <c r="Y912" t="str">
        <f>+Table3[[#This Row],[BS_Nivel_1]]</f>
        <v/>
      </c>
    </row>
    <row r="913" spans="1:25">
      <c r="A913">
        <f>+'Libro Diario'!F180</f>
        <v>0</v>
      </c>
      <c r="B913" s="144">
        <f>VALUE(IF(+'Libro Diario'!G180="","01/01/2025",+'Libro Diario'!G180))</f>
        <v>45658</v>
      </c>
      <c r="C913">
        <f>IF(ISNUMBER(+IF(IFERROR(VALUE(MID('Libro Diario'!D180,1,4)),0)&lt;&gt;0,'Libro Diario'!D180,0))=FALSE,'Libro Diario'!D180,0)</f>
        <v>0</v>
      </c>
      <c r="D913" s="145">
        <f>+'Libro Diario'!E180</f>
        <v>0</v>
      </c>
      <c r="E913" s="139" t="s">
        <v>446</v>
      </c>
      <c r="F913" t="str">
        <f t="shared" si="42"/>
        <v>Sin Mov.</v>
      </c>
      <c r="G913" t="str">
        <f>IF(+'Libro Diario'!H180=0,"",+'Libro Diario'!H180)</f>
        <v/>
      </c>
      <c r="H913" t="str">
        <f>IF(+'Libro Diario'!I180=0,"",+'Libro Diario'!I180)</f>
        <v/>
      </c>
      <c r="I913" t="str">
        <f>+IF(Table3[[#This Row],[Tipo Movimiento]]="Estructura Balance y PyG","Excluir","Incluir")</f>
        <v>Incluir</v>
      </c>
      <c r="J913" s="153">
        <f>+IF(Table3[[#This Row],[Sin cuenta]]="Con Mov.",(IF(Table3[[#This Row],[Movimiento]]="Debe",Table3[[#This Row],[Importe]],IF(Table3[[#This Row],[Movimiento]]="Haber",Table3[[#This Row],[Importe]]*-1,0))),0)</f>
        <v>0</v>
      </c>
      <c r="K913" s="145" t="str">
        <f t="shared" si="43"/>
        <v/>
      </c>
      <c r="L913" s="145">
        <f t="shared" si="44"/>
        <v>0</v>
      </c>
      <c r="M913" t="str">
        <f>_xlfn.XLOOKUP(Table3[[#This Row],[Cuenta]],Estructura_Balance[Nombre Cuenta ()],Estructura_Balance[Grupo],"",0)</f>
        <v/>
      </c>
      <c r="N913" t="str">
        <f>_xlfn.XLOOKUP(Table3[[#This Row],[Cuenta]],Estructura_Balance[Nombre Cuenta ()],Estructura_Balance[Nivel 1],"",0)</f>
        <v/>
      </c>
      <c r="O913" t="str">
        <f>_xlfn.XLOOKUP(Table3[[#This Row],[Cuenta]],Estructura_Balance[Nombre Cuenta ()],Estructura_Balance[Nivel 2],"",0)</f>
        <v/>
      </c>
      <c r="P913" t="str">
        <f>_xlfn.XLOOKUP(Table3[[#This Row],[Cuenta]],Estructura_Balance[Nombre Cuenta ()],Estructura_Balance[Nivel 3],"",0)</f>
        <v/>
      </c>
      <c r="Q913" t="str">
        <f>_xlfn.XLOOKUP(Table3[[#This Row],[Cuenta]],Estructura_Balance[Nombre Cuenta ()],Estructura_Balance[Nivel 4],"",0)</f>
        <v/>
      </c>
      <c r="R913" t="str">
        <f>_xlfn.XLOOKUP(Table3[[#This Row],[Cuenta]],Table8[Nombre Cuenta ()],Table8[Nivel 1],"",0)</f>
        <v/>
      </c>
      <c r="S913" t="str">
        <f>_xlfn.XLOOKUP(Table3[[#This Row],[Cuenta]],Table8[Nombre Cuenta ()],Table8[Nivel 2],"",0)</f>
        <v/>
      </c>
      <c r="T913" t="str">
        <f>_xlfn.XLOOKUP(Table3[[#This Row],[Cuenta]],Table8[Nombre Cuenta ()],Table8[Nivel 3],"",0)</f>
        <v/>
      </c>
      <c r="U913">
        <v>1573</v>
      </c>
      <c r="V913" t="str">
        <f>_xlfn.XLOOKUP(Table3[[#This Row],[Cuenta]],Estructura_Balance[Nombre Cuenta ()],Estructura_Balance[Niveles:2],"",0)</f>
        <v/>
      </c>
      <c r="W913" t="str">
        <f>_xlfn.XLOOKUP(Table3[[#This Row],[Cuenta]],Estructura_Balance[Nombre Cuenta ()],Estructura_Balance[Niveles:3],"",0)</f>
        <v/>
      </c>
      <c r="X913" t="str">
        <f>_xlfn.XLOOKUP(Table3[[#This Row],[Cuenta]],Estructura_Balance[Nombre Cuenta ()],Estructura_Balance[Grupos],"Grupo 1",0)</f>
        <v>Grupo 1</v>
      </c>
      <c r="Y913" t="str">
        <f>+Table3[[#This Row],[BS_Nivel_1]]</f>
        <v/>
      </c>
    </row>
    <row r="914" spans="1:25">
      <c r="A914">
        <f>+'Libro Diario'!F181</f>
        <v>0</v>
      </c>
      <c r="B914" s="144">
        <f>VALUE(IF(+'Libro Diario'!G181="","01/01/2025",+'Libro Diario'!G181))</f>
        <v>45658</v>
      </c>
      <c r="C914">
        <f>IF(ISNUMBER(+IF(IFERROR(VALUE(MID('Libro Diario'!D181,1,4)),0)&lt;&gt;0,'Libro Diario'!D181,0))=FALSE,'Libro Diario'!D181,0)</f>
        <v>0</v>
      </c>
      <c r="D914" s="145">
        <f>+'Libro Diario'!E181</f>
        <v>0</v>
      </c>
      <c r="E914" s="139" t="s">
        <v>446</v>
      </c>
      <c r="F914" t="str">
        <f t="shared" si="42"/>
        <v>Sin Mov.</v>
      </c>
      <c r="G914" t="str">
        <f>IF(+'Libro Diario'!H181=0,"",+'Libro Diario'!H181)</f>
        <v/>
      </c>
      <c r="H914" t="str">
        <f>IF(+'Libro Diario'!I181=0,"",+'Libro Diario'!I181)</f>
        <v/>
      </c>
      <c r="I914" t="str">
        <f>+IF(Table3[[#This Row],[Tipo Movimiento]]="Estructura Balance y PyG","Excluir","Incluir")</f>
        <v>Incluir</v>
      </c>
      <c r="J914" s="153">
        <f>+IF(Table3[[#This Row],[Sin cuenta]]="Con Mov.",(IF(Table3[[#This Row],[Movimiento]]="Debe",Table3[[#This Row],[Importe]],IF(Table3[[#This Row],[Movimiento]]="Haber",Table3[[#This Row],[Importe]]*-1,0))),0)</f>
        <v>0</v>
      </c>
      <c r="K914" s="145" t="str">
        <f t="shared" si="43"/>
        <v/>
      </c>
      <c r="L914" s="145">
        <f t="shared" si="44"/>
        <v>0</v>
      </c>
      <c r="M914" t="str">
        <f>_xlfn.XLOOKUP(Table3[[#This Row],[Cuenta]],Estructura_Balance[Nombre Cuenta ()],Estructura_Balance[Grupo],"",0)</f>
        <v/>
      </c>
      <c r="N914" t="str">
        <f>_xlfn.XLOOKUP(Table3[[#This Row],[Cuenta]],Estructura_Balance[Nombre Cuenta ()],Estructura_Balance[Nivel 1],"",0)</f>
        <v/>
      </c>
      <c r="O914" t="str">
        <f>_xlfn.XLOOKUP(Table3[[#This Row],[Cuenta]],Estructura_Balance[Nombre Cuenta ()],Estructura_Balance[Nivel 2],"",0)</f>
        <v/>
      </c>
      <c r="P914" t="str">
        <f>_xlfn.XLOOKUP(Table3[[#This Row],[Cuenta]],Estructura_Balance[Nombre Cuenta ()],Estructura_Balance[Nivel 3],"",0)</f>
        <v/>
      </c>
      <c r="Q914" t="str">
        <f>_xlfn.XLOOKUP(Table3[[#This Row],[Cuenta]],Estructura_Balance[Nombre Cuenta ()],Estructura_Balance[Nivel 4],"",0)</f>
        <v/>
      </c>
      <c r="R914" t="str">
        <f>_xlfn.XLOOKUP(Table3[[#This Row],[Cuenta]],Table8[Nombre Cuenta ()],Table8[Nivel 1],"",0)</f>
        <v/>
      </c>
      <c r="S914" t="str">
        <f>_xlfn.XLOOKUP(Table3[[#This Row],[Cuenta]],Table8[Nombre Cuenta ()],Table8[Nivel 2],"",0)</f>
        <v/>
      </c>
      <c r="T914" t="str">
        <f>_xlfn.XLOOKUP(Table3[[#This Row],[Cuenta]],Table8[Nombre Cuenta ()],Table8[Nivel 3],"",0)</f>
        <v/>
      </c>
      <c r="U914">
        <v>1574</v>
      </c>
      <c r="V914" t="str">
        <f>_xlfn.XLOOKUP(Table3[[#This Row],[Cuenta]],Estructura_Balance[Nombre Cuenta ()],Estructura_Balance[Niveles:2],"",0)</f>
        <v/>
      </c>
      <c r="W914" t="str">
        <f>_xlfn.XLOOKUP(Table3[[#This Row],[Cuenta]],Estructura_Balance[Nombre Cuenta ()],Estructura_Balance[Niveles:3],"",0)</f>
        <v/>
      </c>
      <c r="X914" t="str">
        <f>_xlfn.XLOOKUP(Table3[[#This Row],[Cuenta]],Estructura_Balance[Nombre Cuenta ()],Estructura_Balance[Grupos],"Grupo 1",0)</f>
        <v>Grupo 1</v>
      </c>
      <c r="Y914" t="str">
        <f>+Table3[[#This Row],[BS_Nivel_1]]</f>
        <v/>
      </c>
    </row>
    <row r="915" spans="1:25">
      <c r="A915">
        <f>+'Libro Diario'!F182</f>
        <v>0</v>
      </c>
      <c r="B915" s="144">
        <f>VALUE(IF(+'Libro Diario'!G182="","01/01/2025",+'Libro Diario'!G182))</f>
        <v>45658</v>
      </c>
      <c r="C915">
        <f>IF(ISNUMBER(+IF(IFERROR(VALUE(MID('Libro Diario'!D182,1,4)),0)&lt;&gt;0,'Libro Diario'!D182,0))=FALSE,'Libro Diario'!D182,0)</f>
        <v>0</v>
      </c>
      <c r="D915" s="145" t="str">
        <f>+'Libro Diario'!E182</f>
        <v>HABER</v>
      </c>
      <c r="E915" s="139" t="s">
        <v>446</v>
      </c>
      <c r="F915" t="str">
        <f t="shared" si="42"/>
        <v>Sin Mov.</v>
      </c>
      <c r="G915" t="str">
        <f>IF(+'Libro Diario'!H182=0,"",+'Libro Diario'!H182)</f>
        <v/>
      </c>
      <c r="H915" t="str">
        <f>IF(+'Libro Diario'!I182=0,"",+'Libro Diario'!I182)</f>
        <v/>
      </c>
      <c r="I915" t="str">
        <f>+IF(Table3[[#This Row],[Tipo Movimiento]]="Estructura Balance y PyG","Excluir","Incluir")</f>
        <v>Incluir</v>
      </c>
      <c r="J915" s="153">
        <f>+IF(Table3[[#This Row],[Sin cuenta]]="Con Mov.",(IF(Table3[[#This Row],[Movimiento]]="Debe",Table3[[#This Row],[Importe]],IF(Table3[[#This Row],[Movimiento]]="Haber",Table3[[#This Row],[Importe]]*-1,0))),0)</f>
        <v>0</v>
      </c>
      <c r="K915" s="145" t="str">
        <f t="shared" si="43"/>
        <v/>
      </c>
      <c r="L915" s="145" t="str">
        <f t="shared" si="44"/>
        <v>HABER</v>
      </c>
      <c r="M915" t="str">
        <f>_xlfn.XLOOKUP(Table3[[#This Row],[Cuenta]],Estructura_Balance[Nombre Cuenta ()],Estructura_Balance[Grupo],"",0)</f>
        <v/>
      </c>
      <c r="N915" t="str">
        <f>_xlfn.XLOOKUP(Table3[[#This Row],[Cuenta]],Estructura_Balance[Nombre Cuenta ()],Estructura_Balance[Nivel 1],"",0)</f>
        <v/>
      </c>
      <c r="O915" t="str">
        <f>_xlfn.XLOOKUP(Table3[[#This Row],[Cuenta]],Estructura_Balance[Nombre Cuenta ()],Estructura_Balance[Nivel 2],"",0)</f>
        <v/>
      </c>
      <c r="P915" t="str">
        <f>_xlfn.XLOOKUP(Table3[[#This Row],[Cuenta]],Estructura_Balance[Nombre Cuenta ()],Estructura_Balance[Nivel 3],"",0)</f>
        <v/>
      </c>
      <c r="Q915" t="str">
        <f>_xlfn.XLOOKUP(Table3[[#This Row],[Cuenta]],Estructura_Balance[Nombre Cuenta ()],Estructura_Balance[Nivel 4],"",0)</f>
        <v/>
      </c>
      <c r="R915" t="str">
        <f>_xlfn.XLOOKUP(Table3[[#This Row],[Cuenta]],Table8[Nombre Cuenta ()],Table8[Nivel 1],"",0)</f>
        <v/>
      </c>
      <c r="S915" t="str">
        <f>_xlfn.XLOOKUP(Table3[[#This Row],[Cuenta]],Table8[Nombre Cuenta ()],Table8[Nivel 2],"",0)</f>
        <v/>
      </c>
      <c r="T915" t="str">
        <f>_xlfn.XLOOKUP(Table3[[#This Row],[Cuenta]],Table8[Nombre Cuenta ()],Table8[Nivel 3],"",0)</f>
        <v/>
      </c>
      <c r="U915">
        <v>1575</v>
      </c>
      <c r="V915" t="str">
        <f>_xlfn.XLOOKUP(Table3[[#This Row],[Cuenta]],Estructura_Balance[Nombre Cuenta ()],Estructura_Balance[Niveles:2],"",0)</f>
        <v/>
      </c>
      <c r="W915" t="str">
        <f>_xlfn.XLOOKUP(Table3[[#This Row],[Cuenta]],Estructura_Balance[Nombre Cuenta ()],Estructura_Balance[Niveles:3],"",0)</f>
        <v/>
      </c>
      <c r="X915" t="str">
        <f>_xlfn.XLOOKUP(Table3[[#This Row],[Cuenta]],Estructura_Balance[Nombre Cuenta ()],Estructura_Balance[Grupos],"Grupo 1",0)</f>
        <v>Grupo 1</v>
      </c>
      <c r="Y915" t="str">
        <f>+Table3[[#This Row],[BS_Nivel_1]]</f>
        <v/>
      </c>
    </row>
    <row r="916" spans="1:25">
      <c r="A916">
        <f>+'Libro Diario'!F183</f>
        <v>0</v>
      </c>
      <c r="B916" s="144">
        <f>VALUE(IF(+'Libro Diario'!G183="","01/01/2025",+'Libro Diario'!G183))</f>
        <v>45658</v>
      </c>
      <c r="C916">
        <f>IF(ISNUMBER(+IF(IFERROR(VALUE(MID('Libro Diario'!D183,1,4)),0)&lt;&gt;0,'Libro Diario'!D183,0))=FALSE,'Libro Diario'!D183,0)</f>
        <v>0</v>
      </c>
      <c r="D916" s="145">
        <f>+'Libro Diario'!E183</f>
        <v>0</v>
      </c>
      <c r="E916" s="139" t="s">
        <v>446</v>
      </c>
      <c r="F916" t="str">
        <f t="shared" si="42"/>
        <v>Sin Mov.</v>
      </c>
      <c r="G916" t="str">
        <f>IF(+'Libro Diario'!H183=0,"",+'Libro Diario'!H183)</f>
        <v/>
      </c>
      <c r="H916" t="str">
        <f>IF(+'Libro Diario'!I183=0,"",+'Libro Diario'!I183)</f>
        <v/>
      </c>
      <c r="I916" t="str">
        <f>+IF(Table3[[#This Row],[Tipo Movimiento]]="Estructura Balance y PyG","Excluir","Incluir")</f>
        <v>Incluir</v>
      </c>
      <c r="J916" s="153">
        <f>+IF(Table3[[#This Row],[Sin cuenta]]="Con Mov.",(IF(Table3[[#This Row],[Movimiento]]="Debe",Table3[[#This Row],[Importe]],IF(Table3[[#This Row],[Movimiento]]="Haber",Table3[[#This Row],[Importe]]*-1,0))),0)</f>
        <v>0</v>
      </c>
      <c r="K916" s="145" t="str">
        <f t="shared" si="43"/>
        <v/>
      </c>
      <c r="L916" s="145">
        <f t="shared" si="44"/>
        <v>0</v>
      </c>
      <c r="M916" t="str">
        <f>_xlfn.XLOOKUP(Table3[[#This Row],[Cuenta]],Estructura_Balance[Nombre Cuenta ()],Estructura_Balance[Grupo],"",0)</f>
        <v/>
      </c>
      <c r="N916" t="str">
        <f>_xlfn.XLOOKUP(Table3[[#This Row],[Cuenta]],Estructura_Balance[Nombre Cuenta ()],Estructura_Balance[Nivel 1],"",0)</f>
        <v/>
      </c>
      <c r="O916" t="str">
        <f>_xlfn.XLOOKUP(Table3[[#This Row],[Cuenta]],Estructura_Balance[Nombre Cuenta ()],Estructura_Balance[Nivel 2],"",0)</f>
        <v/>
      </c>
      <c r="P916" t="str">
        <f>_xlfn.XLOOKUP(Table3[[#This Row],[Cuenta]],Estructura_Balance[Nombre Cuenta ()],Estructura_Balance[Nivel 3],"",0)</f>
        <v/>
      </c>
      <c r="Q916" t="str">
        <f>_xlfn.XLOOKUP(Table3[[#This Row],[Cuenta]],Estructura_Balance[Nombre Cuenta ()],Estructura_Balance[Nivel 4],"",0)</f>
        <v/>
      </c>
      <c r="R916" t="str">
        <f>_xlfn.XLOOKUP(Table3[[#This Row],[Cuenta]],Table8[Nombre Cuenta ()],Table8[Nivel 1],"",0)</f>
        <v/>
      </c>
      <c r="S916" t="str">
        <f>_xlfn.XLOOKUP(Table3[[#This Row],[Cuenta]],Table8[Nombre Cuenta ()],Table8[Nivel 2],"",0)</f>
        <v/>
      </c>
      <c r="T916" t="str">
        <f>_xlfn.XLOOKUP(Table3[[#This Row],[Cuenta]],Table8[Nombre Cuenta ()],Table8[Nivel 3],"",0)</f>
        <v/>
      </c>
      <c r="U916">
        <v>1576</v>
      </c>
      <c r="V916" t="str">
        <f>_xlfn.XLOOKUP(Table3[[#This Row],[Cuenta]],Estructura_Balance[Nombre Cuenta ()],Estructura_Balance[Niveles:2],"",0)</f>
        <v/>
      </c>
      <c r="W916" t="str">
        <f>_xlfn.XLOOKUP(Table3[[#This Row],[Cuenta]],Estructura_Balance[Nombre Cuenta ()],Estructura_Balance[Niveles:3],"",0)</f>
        <v/>
      </c>
      <c r="X916" t="str">
        <f>_xlfn.XLOOKUP(Table3[[#This Row],[Cuenta]],Estructura_Balance[Nombre Cuenta ()],Estructura_Balance[Grupos],"Grupo 1",0)</f>
        <v>Grupo 1</v>
      </c>
      <c r="Y916" t="str">
        <f>+Table3[[#This Row],[BS_Nivel_1]]</f>
        <v/>
      </c>
    </row>
    <row r="917" spans="1:25">
      <c r="A917">
        <f>+'Libro Diario'!F186</f>
        <v>0</v>
      </c>
      <c r="B917" s="144">
        <f>VALUE(IF(+'Libro Diario'!G186="","01/01/2025",+'Libro Diario'!G186))</f>
        <v>45658</v>
      </c>
      <c r="C917">
        <f>IF(ISNUMBER(+IF(IFERROR(VALUE(MID('Libro Diario'!D186,1,4)),0)&lt;&gt;0,'Libro Diario'!D186,0))=FALSE,'Libro Diario'!D186,0)</f>
        <v>0</v>
      </c>
      <c r="D917" s="145">
        <f>+'Libro Diario'!E186</f>
        <v>0</v>
      </c>
      <c r="E917" s="139" t="s">
        <v>446</v>
      </c>
      <c r="F917" t="str">
        <f t="shared" si="42"/>
        <v>Sin Mov.</v>
      </c>
      <c r="G917" t="str">
        <f>IF(+'Libro Diario'!H186=0,"",+'Libro Diario'!H186)</f>
        <v/>
      </c>
      <c r="H917" t="str">
        <f>IF(+'Libro Diario'!I186=0,"",+'Libro Diario'!I186)</f>
        <v/>
      </c>
      <c r="I917" t="str">
        <f>+IF(Table3[[#This Row],[Tipo Movimiento]]="Estructura Balance y PyG","Excluir","Incluir")</f>
        <v>Incluir</v>
      </c>
      <c r="J917" s="153">
        <f>+IF(Table3[[#This Row],[Sin cuenta]]="Con Mov.",(IF(Table3[[#This Row],[Movimiento]]="Debe",Table3[[#This Row],[Importe]],IF(Table3[[#This Row],[Movimiento]]="Haber",Table3[[#This Row],[Importe]]*-1,0))),0)</f>
        <v>0</v>
      </c>
      <c r="K917" s="145" t="str">
        <f t="shared" si="43"/>
        <v/>
      </c>
      <c r="L917" s="145">
        <f t="shared" si="44"/>
        <v>0</v>
      </c>
      <c r="M917" t="str">
        <f>_xlfn.XLOOKUP(Table3[[#This Row],[Cuenta]],Estructura_Balance[Nombre Cuenta ()],Estructura_Balance[Grupo],"",0)</f>
        <v/>
      </c>
      <c r="N917" t="str">
        <f>_xlfn.XLOOKUP(Table3[[#This Row],[Cuenta]],Estructura_Balance[Nombre Cuenta ()],Estructura_Balance[Nivel 1],"",0)</f>
        <v/>
      </c>
      <c r="O917" t="str">
        <f>_xlfn.XLOOKUP(Table3[[#This Row],[Cuenta]],Estructura_Balance[Nombre Cuenta ()],Estructura_Balance[Nivel 2],"",0)</f>
        <v/>
      </c>
      <c r="P917" t="str">
        <f>_xlfn.XLOOKUP(Table3[[#This Row],[Cuenta]],Estructura_Balance[Nombre Cuenta ()],Estructura_Balance[Nivel 3],"",0)</f>
        <v/>
      </c>
      <c r="Q917" t="str">
        <f>_xlfn.XLOOKUP(Table3[[#This Row],[Cuenta]],Estructura_Balance[Nombre Cuenta ()],Estructura_Balance[Nivel 4],"",0)</f>
        <v/>
      </c>
      <c r="R917" t="str">
        <f>_xlfn.XLOOKUP(Table3[[#This Row],[Cuenta]],Table8[Nombre Cuenta ()],Table8[Nivel 1],"",0)</f>
        <v/>
      </c>
      <c r="S917" t="str">
        <f>_xlfn.XLOOKUP(Table3[[#This Row],[Cuenta]],Table8[Nombre Cuenta ()],Table8[Nivel 2],"",0)</f>
        <v/>
      </c>
      <c r="T917" t="str">
        <f>_xlfn.XLOOKUP(Table3[[#This Row],[Cuenta]],Table8[Nombre Cuenta ()],Table8[Nivel 3],"",0)</f>
        <v/>
      </c>
      <c r="U917">
        <v>1579</v>
      </c>
      <c r="V917" t="str">
        <f>_xlfn.XLOOKUP(Table3[[#This Row],[Cuenta]],Estructura_Balance[Nombre Cuenta ()],Estructura_Balance[Niveles:2],"",0)</f>
        <v/>
      </c>
      <c r="W917" t="str">
        <f>_xlfn.XLOOKUP(Table3[[#This Row],[Cuenta]],Estructura_Balance[Nombre Cuenta ()],Estructura_Balance[Niveles:3],"",0)</f>
        <v/>
      </c>
      <c r="X917" t="str">
        <f>_xlfn.XLOOKUP(Table3[[#This Row],[Cuenta]],Estructura_Balance[Nombre Cuenta ()],Estructura_Balance[Grupos],"Grupo 1",0)</f>
        <v>Grupo 1</v>
      </c>
      <c r="Y917" t="str">
        <f>+Table3[[#This Row],[BS_Nivel_1]]</f>
        <v/>
      </c>
    </row>
    <row r="918" spans="1:25">
      <c r="A918">
        <f>+'Libro Diario'!F187</f>
        <v>0</v>
      </c>
      <c r="B918" s="144">
        <f>VALUE(IF(+'Libro Diario'!G187="","01/01/2025",+'Libro Diario'!G187))</f>
        <v>45658</v>
      </c>
      <c r="C918">
        <f>IF(ISNUMBER(+IF(IFERROR(VALUE(MID('Libro Diario'!D187,1,4)),0)&lt;&gt;0,'Libro Diario'!D187,0))=FALSE,'Libro Diario'!D187,0)</f>
        <v>0</v>
      </c>
      <c r="D918" s="145">
        <f>+'Libro Diario'!E187</f>
        <v>0</v>
      </c>
      <c r="E918" s="139" t="s">
        <v>446</v>
      </c>
      <c r="F918" t="str">
        <f t="shared" si="42"/>
        <v>Sin Mov.</v>
      </c>
      <c r="G918" t="str">
        <f>IF(+'Libro Diario'!H187=0,"",+'Libro Diario'!H187)</f>
        <v/>
      </c>
      <c r="H918" t="str">
        <f>IF(+'Libro Diario'!I187=0,"",+'Libro Diario'!I187)</f>
        <v/>
      </c>
      <c r="I918" t="str">
        <f>+IF(Table3[[#This Row],[Tipo Movimiento]]="Estructura Balance y PyG","Excluir","Incluir")</f>
        <v>Incluir</v>
      </c>
      <c r="J918" s="153">
        <f>+IF(Table3[[#This Row],[Sin cuenta]]="Con Mov.",(IF(Table3[[#This Row],[Movimiento]]="Debe",Table3[[#This Row],[Importe]],IF(Table3[[#This Row],[Movimiento]]="Haber",Table3[[#This Row],[Importe]]*-1,0))),0)</f>
        <v>0</v>
      </c>
      <c r="K918" s="145" t="str">
        <f t="shared" si="43"/>
        <v/>
      </c>
      <c r="L918" s="145">
        <f t="shared" si="44"/>
        <v>0</v>
      </c>
      <c r="M918" t="str">
        <f>_xlfn.XLOOKUP(Table3[[#This Row],[Cuenta]],Estructura_Balance[Nombre Cuenta ()],Estructura_Balance[Grupo],"",0)</f>
        <v/>
      </c>
      <c r="N918" t="str">
        <f>_xlfn.XLOOKUP(Table3[[#This Row],[Cuenta]],Estructura_Balance[Nombre Cuenta ()],Estructura_Balance[Nivel 1],"",0)</f>
        <v/>
      </c>
      <c r="O918" t="str">
        <f>_xlfn.XLOOKUP(Table3[[#This Row],[Cuenta]],Estructura_Balance[Nombre Cuenta ()],Estructura_Balance[Nivel 2],"",0)</f>
        <v/>
      </c>
      <c r="P918" t="str">
        <f>_xlfn.XLOOKUP(Table3[[#This Row],[Cuenta]],Estructura_Balance[Nombre Cuenta ()],Estructura_Balance[Nivel 3],"",0)</f>
        <v/>
      </c>
      <c r="Q918" t="str">
        <f>_xlfn.XLOOKUP(Table3[[#This Row],[Cuenta]],Estructura_Balance[Nombre Cuenta ()],Estructura_Balance[Nivel 4],"",0)</f>
        <v/>
      </c>
      <c r="R918" t="str">
        <f>_xlfn.XLOOKUP(Table3[[#This Row],[Cuenta]],Table8[Nombre Cuenta ()],Table8[Nivel 1],"",0)</f>
        <v/>
      </c>
      <c r="S918" t="str">
        <f>_xlfn.XLOOKUP(Table3[[#This Row],[Cuenta]],Table8[Nombre Cuenta ()],Table8[Nivel 2],"",0)</f>
        <v/>
      </c>
      <c r="T918" t="str">
        <f>_xlfn.XLOOKUP(Table3[[#This Row],[Cuenta]],Table8[Nombre Cuenta ()],Table8[Nivel 3],"",0)</f>
        <v/>
      </c>
      <c r="U918">
        <v>1580</v>
      </c>
      <c r="V918" t="str">
        <f>_xlfn.XLOOKUP(Table3[[#This Row],[Cuenta]],Estructura_Balance[Nombre Cuenta ()],Estructura_Balance[Niveles:2],"",0)</f>
        <v/>
      </c>
      <c r="W918" t="str">
        <f>_xlfn.XLOOKUP(Table3[[#This Row],[Cuenta]],Estructura_Balance[Nombre Cuenta ()],Estructura_Balance[Niveles:3],"",0)</f>
        <v/>
      </c>
      <c r="X918" t="str">
        <f>_xlfn.XLOOKUP(Table3[[#This Row],[Cuenta]],Estructura_Balance[Nombre Cuenta ()],Estructura_Balance[Grupos],"Grupo 1",0)</f>
        <v>Grupo 1</v>
      </c>
      <c r="Y918" t="str">
        <f>+Table3[[#This Row],[BS_Nivel_1]]</f>
        <v/>
      </c>
    </row>
    <row r="919" spans="1:25">
      <c r="A919">
        <f>+'Libro Diario'!F188</f>
        <v>0</v>
      </c>
      <c r="B919" s="144">
        <f>VALUE(IF(+'Libro Diario'!G188="","01/01/2025",+'Libro Diario'!G188))</f>
        <v>45658</v>
      </c>
      <c r="C919">
        <f>IF(ISNUMBER(+IF(IFERROR(VALUE(MID('Libro Diario'!D188,1,4)),0)&lt;&gt;0,'Libro Diario'!D188,0))=FALSE,'Libro Diario'!D188,0)</f>
        <v>0</v>
      </c>
      <c r="D919" s="145">
        <f>+'Libro Diario'!E188</f>
        <v>0</v>
      </c>
      <c r="E919" s="139" t="s">
        <v>446</v>
      </c>
      <c r="F919" t="str">
        <f t="shared" si="42"/>
        <v>Sin Mov.</v>
      </c>
      <c r="G919" t="str">
        <f>IF(+'Libro Diario'!H188=0,"",+'Libro Diario'!H188)</f>
        <v/>
      </c>
      <c r="H919" t="str">
        <f>IF(+'Libro Diario'!I188=0,"",+'Libro Diario'!I188)</f>
        <v/>
      </c>
      <c r="I919" t="str">
        <f>+IF(Table3[[#This Row],[Tipo Movimiento]]="Estructura Balance y PyG","Excluir","Incluir")</f>
        <v>Incluir</v>
      </c>
      <c r="J919" s="153">
        <f>+IF(Table3[[#This Row],[Sin cuenta]]="Con Mov.",(IF(Table3[[#This Row],[Movimiento]]="Debe",Table3[[#This Row],[Importe]],IF(Table3[[#This Row],[Movimiento]]="Haber",Table3[[#This Row],[Importe]]*-1,0))),0)</f>
        <v>0</v>
      </c>
      <c r="K919" s="145" t="str">
        <f t="shared" si="43"/>
        <v/>
      </c>
      <c r="L919" s="145">
        <f t="shared" si="44"/>
        <v>0</v>
      </c>
      <c r="M919" t="str">
        <f>_xlfn.XLOOKUP(Table3[[#This Row],[Cuenta]],Estructura_Balance[Nombre Cuenta ()],Estructura_Balance[Grupo],"",0)</f>
        <v/>
      </c>
      <c r="N919" t="str">
        <f>_xlfn.XLOOKUP(Table3[[#This Row],[Cuenta]],Estructura_Balance[Nombre Cuenta ()],Estructura_Balance[Nivel 1],"",0)</f>
        <v/>
      </c>
      <c r="O919" t="str">
        <f>_xlfn.XLOOKUP(Table3[[#This Row],[Cuenta]],Estructura_Balance[Nombre Cuenta ()],Estructura_Balance[Nivel 2],"",0)</f>
        <v/>
      </c>
      <c r="P919" t="str">
        <f>_xlfn.XLOOKUP(Table3[[#This Row],[Cuenta]],Estructura_Balance[Nombre Cuenta ()],Estructura_Balance[Nivel 3],"",0)</f>
        <v/>
      </c>
      <c r="Q919" t="str">
        <f>_xlfn.XLOOKUP(Table3[[#This Row],[Cuenta]],Estructura_Balance[Nombre Cuenta ()],Estructura_Balance[Nivel 4],"",0)</f>
        <v/>
      </c>
      <c r="R919" t="str">
        <f>_xlfn.XLOOKUP(Table3[[#This Row],[Cuenta]],Table8[Nombre Cuenta ()],Table8[Nivel 1],"",0)</f>
        <v/>
      </c>
      <c r="S919" t="str">
        <f>_xlfn.XLOOKUP(Table3[[#This Row],[Cuenta]],Table8[Nombre Cuenta ()],Table8[Nivel 2],"",0)</f>
        <v/>
      </c>
      <c r="T919" t="str">
        <f>_xlfn.XLOOKUP(Table3[[#This Row],[Cuenta]],Table8[Nombre Cuenta ()],Table8[Nivel 3],"",0)</f>
        <v/>
      </c>
      <c r="U919">
        <v>1581</v>
      </c>
      <c r="V919" t="str">
        <f>_xlfn.XLOOKUP(Table3[[#This Row],[Cuenta]],Estructura_Balance[Nombre Cuenta ()],Estructura_Balance[Niveles:2],"",0)</f>
        <v/>
      </c>
      <c r="W919" t="str">
        <f>_xlfn.XLOOKUP(Table3[[#This Row],[Cuenta]],Estructura_Balance[Nombre Cuenta ()],Estructura_Balance[Niveles:3],"",0)</f>
        <v/>
      </c>
      <c r="X919" t="str">
        <f>_xlfn.XLOOKUP(Table3[[#This Row],[Cuenta]],Estructura_Balance[Nombre Cuenta ()],Estructura_Balance[Grupos],"Grupo 1",0)</f>
        <v>Grupo 1</v>
      </c>
      <c r="Y919" t="str">
        <f>+Table3[[#This Row],[BS_Nivel_1]]</f>
        <v/>
      </c>
    </row>
    <row r="920" spans="1:25">
      <c r="A920">
        <f>+'Libro Diario'!F189</f>
        <v>0</v>
      </c>
      <c r="B920" s="144">
        <f>VALUE(IF(+'Libro Diario'!G189="","01/01/2025",+'Libro Diario'!G189))</f>
        <v>45658</v>
      </c>
      <c r="C920">
        <f>IF(ISNUMBER(+IF(IFERROR(VALUE(MID('Libro Diario'!D189,1,4)),0)&lt;&gt;0,'Libro Diario'!D189,0))=FALSE,'Libro Diario'!D189,0)</f>
        <v>0</v>
      </c>
      <c r="D920" s="145" t="str">
        <f>+'Libro Diario'!E189</f>
        <v>HABER</v>
      </c>
      <c r="E920" s="139" t="s">
        <v>446</v>
      </c>
      <c r="F920" t="str">
        <f t="shared" si="42"/>
        <v>Sin Mov.</v>
      </c>
      <c r="G920" t="str">
        <f>IF(+'Libro Diario'!H189=0,"",+'Libro Diario'!H189)</f>
        <v/>
      </c>
      <c r="H920" t="str">
        <f>IF(+'Libro Diario'!I189=0,"",+'Libro Diario'!I189)</f>
        <v/>
      </c>
      <c r="I920" t="str">
        <f>+IF(Table3[[#This Row],[Tipo Movimiento]]="Estructura Balance y PyG","Excluir","Incluir")</f>
        <v>Incluir</v>
      </c>
      <c r="J920" s="153">
        <f>+IF(Table3[[#This Row],[Sin cuenta]]="Con Mov.",(IF(Table3[[#This Row],[Movimiento]]="Debe",Table3[[#This Row],[Importe]],IF(Table3[[#This Row],[Movimiento]]="Haber",Table3[[#This Row],[Importe]]*-1,0))),0)</f>
        <v>0</v>
      </c>
      <c r="K920" s="145" t="str">
        <f t="shared" si="43"/>
        <v/>
      </c>
      <c r="L920" s="145" t="str">
        <f t="shared" si="44"/>
        <v>HABER</v>
      </c>
      <c r="M920" t="str">
        <f>_xlfn.XLOOKUP(Table3[[#This Row],[Cuenta]],Estructura_Balance[Nombre Cuenta ()],Estructura_Balance[Grupo],"",0)</f>
        <v/>
      </c>
      <c r="N920" t="str">
        <f>_xlfn.XLOOKUP(Table3[[#This Row],[Cuenta]],Estructura_Balance[Nombre Cuenta ()],Estructura_Balance[Nivel 1],"",0)</f>
        <v/>
      </c>
      <c r="O920" t="str">
        <f>_xlfn.XLOOKUP(Table3[[#This Row],[Cuenta]],Estructura_Balance[Nombre Cuenta ()],Estructura_Balance[Nivel 2],"",0)</f>
        <v/>
      </c>
      <c r="P920" t="str">
        <f>_xlfn.XLOOKUP(Table3[[#This Row],[Cuenta]],Estructura_Balance[Nombre Cuenta ()],Estructura_Balance[Nivel 3],"",0)</f>
        <v/>
      </c>
      <c r="Q920" t="str">
        <f>_xlfn.XLOOKUP(Table3[[#This Row],[Cuenta]],Estructura_Balance[Nombre Cuenta ()],Estructura_Balance[Nivel 4],"",0)</f>
        <v/>
      </c>
      <c r="R920" t="str">
        <f>_xlfn.XLOOKUP(Table3[[#This Row],[Cuenta]],Table8[Nombre Cuenta ()],Table8[Nivel 1],"",0)</f>
        <v/>
      </c>
      <c r="S920" t="str">
        <f>_xlfn.XLOOKUP(Table3[[#This Row],[Cuenta]],Table8[Nombre Cuenta ()],Table8[Nivel 2],"",0)</f>
        <v/>
      </c>
      <c r="T920" t="str">
        <f>_xlfn.XLOOKUP(Table3[[#This Row],[Cuenta]],Table8[Nombre Cuenta ()],Table8[Nivel 3],"",0)</f>
        <v/>
      </c>
      <c r="U920">
        <v>1582</v>
      </c>
      <c r="V920" t="str">
        <f>_xlfn.XLOOKUP(Table3[[#This Row],[Cuenta]],Estructura_Balance[Nombre Cuenta ()],Estructura_Balance[Niveles:2],"",0)</f>
        <v/>
      </c>
      <c r="W920" t="str">
        <f>_xlfn.XLOOKUP(Table3[[#This Row],[Cuenta]],Estructura_Balance[Nombre Cuenta ()],Estructura_Balance[Niveles:3],"",0)</f>
        <v/>
      </c>
      <c r="X920" t="str">
        <f>_xlfn.XLOOKUP(Table3[[#This Row],[Cuenta]],Estructura_Balance[Nombre Cuenta ()],Estructura_Balance[Grupos],"Grupo 1",0)</f>
        <v>Grupo 1</v>
      </c>
      <c r="Y920" t="str">
        <f>+Table3[[#This Row],[BS_Nivel_1]]</f>
        <v/>
      </c>
    </row>
    <row r="921" spans="1:25">
      <c r="A921">
        <f>+'Libro Diario'!F190</f>
        <v>0</v>
      </c>
      <c r="B921" s="144">
        <f>VALUE(IF(+'Libro Diario'!G190="","01/01/2025",+'Libro Diario'!G190))</f>
        <v>45658</v>
      </c>
      <c r="C921">
        <f>IF(ISNUMBER(+IF(IFERROR(VALUE(MID('Libro Diario'!D190,1,4)),0)&lt;&gt;0,'Libro Diario'!D190,0))=FALSE,'Libro Diario'!D190,0)</f>
        <v>0</v>
      </c>
      <c r="D921" s="145">
        <f>+'Libro Diario'!E190</f>
        <v>0</v>
      </c>
      <c r="E921" s="139" t="s">
        <v>446</v>
      </c>
      <c r="F921" t="str">
        <f t="shared" si="42"/>
        <v>Sin Mov.</v>
      </c>
      <c r="G921" t="str">
        <f>IF(+'Libro Diario'!H190=0,"",+'Libro Diario'!H190)</f>
        <v/>
      </c>
      <c r="H921" t="str">
        <f>IF(+'Libro Diario'!I190=0,"",+'Libro Diario'!I190)</f>
        <v/>
      </c>
      <c r="I921" t="str">
        <f>+IF(Table3[[#This Row],[Tipo Movimiento]]="Estructura Balance y PyG","Excluir","Incluir")</f>
        <v>Incluir</v>
      </c>
      <c r="J921" s="153">
        <f>+IF(Table3[[#This Row],[Sin cuenta]]="Con Mov.",(IF(Table3[[#This Row],[Movimiento]]="Debe",Table3[[#This Row],[Importe]],IF(Table3[[#This Row],[Movimiento]]="Haber",Table3[[#This Row],[Importe]]*-1,0))),0)</f>
        <v>0</v>
      </c>
      <c r="K921" s="145" t="str">
        <f t="shared" si="43"/>
        <v/>
      </c>
      <c r="L921" s="145">
        <f t="shared" si="44"/>
        <v>0</v>
      </c>
      <c r="M921" t="str">
        <f>_xlfn.XLOOKUP(Table3[[#This Row],[Cuenta]],Estructura_Balance[Nombre Cuenta ()],Estructura_Balance[Grupo],"",0)</f>
        <v/>
      </c>
      <c r="N921" t="str">
        <f>_xlfn.XLOOKUP(Table3[[#This Row],[Cuenta]],Estructura_Balance[Nombre Cuenta ()],Estructura_Balance[Nivel 1],"",0)</f>
        <v/>
      </c>
      <c r="O921" t="str">
        <f>_xlfn.XLOOKUP(Table3[[#This Row],[Cuenta]],Estructura_Balance[Nombre Cuenta ()],Estructura_Balance[Nivel 2],"",0)</f>
        <v/>
      </c>
      <c r="P921" t="str">
        <f>_xlfn.XLOOKUP(Table3[[#This Row],[Cuenta]],Estructura_Balance[Nombre Cuenta ()],Estructura_Balance[Nivel 3],"",0)</f>
        <v/>
      </c>
      <c r="Q921" t="str">
        <f>_xlfn.XLOOKUP(Table3[[#This Row],[Cuenta]],Estructura_Balance[Nombre Cuenta ()],Estructura_Balance[Nivel 4],"",0)</f>
        <v/>
      </c>
      <c r="R921" t="str">
        <f>_xlfn.XLOOKUP(Table3[[#This Row],[Cuenta]],Table8[Nombre Cuenta ()],Table8[Nivel 1],"",0)</f>
        <v/>
      </c>
      <c r="S921" t="str">
        <f>_xlfn.XLOOKUP(Table3[[#This Row],[Cuenta]],Table8[Nombre Cuenta ()],Table8[Nivel 2],"",0)</f>
        <v/>
      </c>
      <c r="T921" t="str">
        <f>_xlfn.XLOOKUP(Table3[[#This Row],[Cuenta]],Table8[Nombre Cuenta ()],Table8[Nivel 3],"",0)</f>
        <v/>
      </c>
      <c r="U921">
        <v>1583</v>
      </c>
      <c r="V921" t="str">
        <f>_xlfn.XLOOKUP(Table3[[#This Row],[Cuenta]],Estructura_Balance[Nombre Cuenta ()],Estructura_Balance[Niveles:2],"",0)</f>
        <v/>
      </c>
      <c r="W921" t="str">
        <f>_xlfn.XLOOKUP(Table3[[#This Row],[Cuenta]],Estructura_Balance[Nombre Cuenta ()],Estructura_Balance[Niveles:3],"",0)</f>
        <v/>
      </c>
      <c r="X921" t="str">
        <f>_xlfn.XLOOKUP(Table3[[#This Row],[Cuenta]],Estructura_Balance[Nombre Cuenta ()],Estructura_Balance[Grupos],"Grupo 1",0)</f>
        <v>Grupo 1</v>
      </c>
      <c r="Y921" t="str">
        <f>+Table3[[#This Row],[BS_Nivel_1]]</f>
        <v/>
      </c>
    </row>
    <row r="922" spans="1:25">
      <c r="A922">
        <f>+'Libro Diario'!F193</f>
        <v>0</v>
      </c>
      <c r="B922" s="144">
        <f>VALUE(IF(+'Libro Diario'!G193="","01/01/2025",+'Libro Diario'!G193))</f>
        <v>45658</v>
      </c>
      <c r="C922">
        <f>IF(ISNUMBER(+IF(IFERROR(VALUE(MID('Libro Diario'!D193,1,4)),0)&lt;&gt;0,'Libro Diario'!D193,0))=FALSE,'Libro Diario'!D193,0)</f>
        <v>0</v>
      </c>
      <c r="D922" s="145">
        <f>+'Libro Diario'!E193</f>
        <v>0</v>
      </c>
      <c r="E922" s="139" t="s">
        <v>446</v>
      </c>
      <c r="F922" t="str">
        <f t="shared" si="42"/>
        <v>Sin Mov.</v>
      </c>
      <c r="G922" t="str">
        <f>IF(+'Libro Diario'!H193=0,"",+'Libro Diario'!H193)</f>
        <v/>
      </c>
      <c r="H922" t="str">
        <f>IF(+'Libro Diario'!I193=0,"",+'Libro Diario'!I193)</f>
        <v/>
      </c>
      <c r="I922" t="str">
        <f>+IF(Table3[[#This Row],[Tipo Movimiento]]="Estructura Balance y PyG","Excluir","Incluir")</f>
        <v>Incluir</v>
      </c>
      <c r="J922" s="153">
        <f>+IF(Table3[[#This Row],[Sin cuenta]]="Con Mov.",(IF(Table3[[#This Row],[Movimiento]]="Debe",Table3[[#This Row],[Importe]],IF(Table3[[#This Row],[Movimiento]]="Haber",Table3[[#This Row],[Importe]]*-1,0))),0)</f>
        <v>0</v>
      </c>
      <c r="K922" s="145" t="str">
        <f t="shared" si="43"/>
        <v/>
      </c>
      <c r="L922" s="145">
        <f t="shared" si="44"/>
        <v>0</v>
      </c>
      <c r="M922" t="str">
        <f>_xlfn.XLOOKUP(Table3[[#This Row],[Cuenta]],Estructura_Balance[Nombre Cuenta ()],Estructura_Balance[Grupo],"",0)</f>
        <v/>
      </c>
      <c r="N922" t="str">
        <f>_xlfn.XLOOKUP(Table3[[#This Row],[Cuenta]],Estructura_Balance[Nombre Cuenta ()],Estructura_Balance[Nivel 1],"",0)</f>
        <v/>
      </c>
      <c r="O922" t="str">
        <f>_xlfn.XLOOKUP(Table3[[#This Row],[Cuenta]],Estructura_Balance[Nombre Cuenta ()],Estructura_Balance[Nivel 2],"",0)</f>
        <v/>
      </c>
      <c r="P922" t="str">
        <f>_xlfn.XLOOKUP(Table3[[#This Row],[Cuenta]],Estructura_Balance[Nombre Cuenta ()],Estructura_Balance[Nivel 3],"",0)</f>
        <v/>
      </c>
      <c r="Q922" t="str">
        <f>_xlfn.XLOOKUP(Table3[[#This Row],[Cuenta]],Estructura_Balance[Nombre Cuenta ()],Estructura_Balance[Nivel 4],"",0)</f>
        <v/>
      </c>
      <c r="R922" t="str">
        <f>_xlfn.XLOOKUP(Table3[[#This Row],[Cuenta]],Table8[Nombre Cuenta ()],Table8[Nivel 1],"",0)</f>
        <v/>
      </c>
      <c r="S922" t="str">
        <f>_xlfn.XLOOKUP(Table3[[#This Row],[Cuenta]],Table8[Nombre Cuenta ()],Table8[Nivel 2],"",0)</f>
        <v/>
      </c>
      <c r="T922" t="str">
        <f>_xlfn.XLOOKUP(Table3[[#This Row],[Cuenta]],Table8[Nombre Cuenta ()],Table8[Nivel 3],"",0)</f>
        <v/>
      </c>
      <c r="U922">
        <v>1586</v>
      </c>
      <c r="V922" t="str">
        <f>_xlfn.XLOOKUP(Table3[[#This Row],[Cuenta]],Estructura_Balance[Nombre Cuenta ()],Estructura_Balance[Niveles:2],"",0)</f>
        <v/>
      </c>
      <c r="W922" t="str">
        <f>_xlfn.XLOOKUP(Table3[[#This Row],[Cuenta]],Estructura_Balance[Nombre Cuenta ()],Estructura_Balance[Niveles:3],"",0)</f>
        <v/>
      </c>
      <c r="X922" t="str">
        <f>_xlfn.XLOOKUP(Table3[[#This Row],[Cuenta]],Estructura_Balance[Nombre Cuenta ()],Estructura_Balance[Grupos],"Grupo 1",0)</f>
        <v>Grupo 1</v>
      </c>
      <c r="Y922" t="str">
        <f>+Table3[[#This Row],[BS_Nivel_1]]</f>
        <v/>
      </c>
    </row>
    <row r="923" spans="1:25">
      <c r="A923">
        <f>+'Libro Diario'!F194</f>
        <v>0</v>
      </c>
      <c r="B923" s="144">
        <f>VALUE(IF(+'Libro Diario'!G194="","01/01/2025",+'Libro Diario'!G194))</f>
        <v>45658</v>
      </c>
      <c r="C923">
        <f>IF(ISNUMBER(+IF(IFERROR(VALUE(MID('Libro Diario'!D194,1,4)),0)&lt;&gt;0,'Libro Diario'!D194,0))=FALSE,'Libro Diario'!D194,0)</f>
        <v>0</v>
      </c>
      <c r="D923" s="145">
        <f>+'Libro Diario'!E194</f>
        <v>0</v>
      </c>
      <c r="E923" s="139" t="s">
        <v>446</v>
      </c>
      <c r="F923" t="str">
        <f t="shared" si="42"/>
        <v>Sin Mov.</v>
      </c>
      <c r="G923" t="str">
        <f>IF(+'Libro Diario'!H194=0,"",+'Libro Diario'!H194)</f>
        <v/>
      </c>
      <c r="H923" t="str">
        <f>IF(+'Libro Diario'!I194=0,"",+'Libro Diario'!I194)</f>
        <v/>
      </c>
      <c r="I923" t="str">
        <f>+IF(Table3[[#This Row],[Tipo Movimiento]]="Estructura Balance y PyG","Excluir","Incluir")</f>
        <v>Incluir</v>
      </c>
      <c r="J923" s="153">
        <f>+IF(Table3[[#This Row],[Sin cuenta]]="Con Mov.",(IF(Table3[[#This Row],[Movimiento]]="Debe",Table3[[#This Row],[Importe]],IF(Table3[[#This Row],[Movimiento]]="Haber",Table3[[#This Row],[Importe]]*-1,0))),0)</f>
        <v>0</v>
      </c>
      <c r="K923" s="145" t="str">
        <f t="shared" si="43"/>
        <v/>
      </c>
      <c r="L923" s="145">
        <f t="shared" si="44"/>
        <v>0</v>
      </c>
      <c r="M923" t="str">
        <f>_xlfn.XLOOKUP(Table3[[#This Row],[Cuenta]],Estructura_Balance[Nombre Cuenta ()],Estructura_Balance[Grupo],"",0)</f>
        <v/>
      </c>
      <c r="N923" t="str">
        <f>_xlfn.XLOOKUP(Table3[[#This Row],[Cuenta]],Estructura_Balance[Nombre Cuenta ()],Estructura_Balance[Nivel 1],"",0)</f>
        <v/>
      </c>
      <c r="O923" t="str">
        <f>_xlfn.XLOOKUP(Table3[[#This Row],[Cuenta]],Estructura_Balance[Nombre Cuenta ()],Estructura_Balance[Nivel 2],"",0)</f>
        <v/>
      </c>
      <c r="P923" t="str">
        <f>_xlfn.XLOOKUP(Table3[[#This Row],[Cuenta]],Estructura_Balance[Nombre Cuenta ()],Estructura_Balance[Nivel 3],"",0)</f>
        <v/>
      </c>
      <c r="Q923" t="str">
        <f>_xlfn.XLOOKUP(Table3[[#This Row],[Cuenta]],Estructura_Balance[Nombre Cuenta ()],Estructura_Balance[Nivel 4],"",0)</f>
        <v/>
      </c>
      <c r="R923" t="str">
        <f>_xlfn.XLOOKUP(Table3[[#This Row],[Cuenta]],Table8[Nombre Cuenta ()],Table8[Nivel 1],"",0)</f>
        <v/>
      </c>
      <c r="S923" t="str">
        <f>_xlfn.XLOOKUP(Table3[[#This Row],[Cuenta]],Table8[Nombre Cuenta ()],Table8[Nivel 2],"",0)</f>
        <v/>
      </c>
      <c r="T923" t="str">
        <f>_xlfn.XLOOKUP(Table3[[#This Row],[Cuenta]],Table8[Nombre Cuenta ()],Table8[Nivel 3],"",0)</f>
        <v/>
      </c>
      <c r="U923">
        <v>1587</v>
      </c>
      <c r="V923" t="str">
        <f>_xlfn.XLOOKUP(Table3[[#This Row],[Cuenta]],Estructura_Balance[Nombre Cuenta ()],Estructura_Balance[Niveles:2],"",0)</f>
        <v/>
      </c>
      <c r="W923" t="str">
        <f>_xlfn.XLOOKUP(Table3[[#This Row],[Cuenta]],Estructura_Balance[Nombre Cuenta ()],Estructura_Balance[Niveles:3],"",0)</f>
        <v/>
      </c>
      <c r="X923" t="str">
        <f>_xlfn.XLOOKUP(Table3[[#This Row],[Cuenta]],Estructura_Balance[Nombre Cuenta ()],Estructura_Balance[Grupos],"Grupo 1",0)</f>
        <v>Grupo 1</v>
      </c>
      <c r="Y923" t="str">
        <f>+Table3[[#This Row],[BS_Nivel_1]]</f>
        <v/>
      </c>
    </row>
    <row r="924" spans="1:25">
      <c r="A924">
        <f>+'Libro Diario'!F195</f>
        <v>0</v>
      </c>
      <c r="B924" s="144">
        <f>VALUE(IF(+'Libro Diario'!G195="","01/01/2025",+'Libro Diario'!G195))</f>
        <v>45658</v>
      </c>
      <c r="C924">
        <f>IF(ISNUMBER(+IF(IFERROR(VALUE(MID('Libro Diario'!D195,1,4)),0)&lt;&gt;0,'Libro Diario'!D195,0))=FALSE,'Libro Diario'!D195,0)</f>
        <v>0</v>
      </c>
      <c r="D924" s="145">
        <f>+'Libro Diario'!E195</f>
        <v>0</v>
      </c>
      <c r="E924" s="139" t="s">
        <v>446</v>
      </c>
      <c r="F924" t="str">
        <f t="shared" si="42"/>
        <v>Sin Mov.</v>
      </c>
      <c r="G924" t="str">
        <f>IF(+'Libro Diario'!H195=0,"",+'Libro Diario'!H195)</f>
        <v/>
      </c>
      <c r="H924" t="str">
        <f>IF(+'Libro Diario'!I195=0,"",+'Libro Diario'!I195)</f>
        <v/>
      </c>
      <c r="I924" t="str">
        <f>+IF(Table3[[#This Row],[Tipo Movimiento]]="Estructura Balance y PyG","Excluir","Incluir")</f>
        <v>Incluir</v>
      </c>
      <c r="J924" s="153">
        <f>+IF(Table3[[#This Row],[Sin cuenta]]="Con Mov.",(IF(Table3[[#This Row],[Movimiento]]="Debe",Table3[[#This Row],[Importe]],IF(Table3[[#This Row],[Movimiento]]="Haber",Table3[[#This Row],[Importe]]*-1,0))),0)</f>
        <v>0</v>
      </c>
      <c r="K924" s="145" t="str">
        <f t="shared" si="43"/>
        <v/>
      </c>
      <c r="L924" s="145">
        <f t="shared" si="44"/>
        <v>0</v>
      </c>
      <c r="M924" t="str">
        <f>_xlfn.XLOOKUP(Table3[[#This Row],[Cuenta]],Estructura_Balance[Nombre Cuenta ()],Estructura_Balance[Grupo],"",0)</f>
        <v/>
      </c>
      <c r="N924" t="str">
        <f>_xlfn.XLOOKUP(Table3[[#This Row],[Cuenta]],Estructura_Balance[Nombre Cuenta ()],Estructura_Balance[Nivel 1],"",0)</f>
        <v/>
      </c>
      <c r="O924" t="str">
        <f>_xlfn.XLOOKUP(Table3[[#This Row],[Cuenta]],Estructura_Balance[Nombre Cuenta ()],Estructura_Balance[Nivel 2],"",0)</f>
        <v/>
      </c>
      <c r="P924" t="str">
        <f>_xlfn.XLOOKUP(Table3[[#This Row],[Cuenta]],Estructura_Balance[Nombre Cuenta ()],Estructura_Balance[Nivel 3],"",0)</f>
        <v/>
      </c>
      <c r="Q924" t="str">
        <f>_xlfn.XLOOKUP(Table3[[#This Row],[Cuenta]],Estructura_Balance[Nombre Cuenta ()],Estructura_Balance[Nivel 4],"",0)</f>
        <v/>
      </c>
      <c r="R924" t="str">
        <f>_xlfn.XLOOKUP(Table3[[#This Row],[Cuenta]],Table8[Nombre Cuenta ()],Table8[Nivel 1],"",0)</f>
        <v/>
      </c>
      <c r="S924" t="str">
        <f>_xlfn.XLOOKUP(Table3[[#This Row],[Cuenta]],Table8[Nombre Cuenta ()],Table8[Nivel 2],"",0)</f>
        <v/>
      </c>
      <c r="T924" t="str">
        <f>_xlfn.XLOOKUP(Table3[[#This Row],[Cuenta]],Table8[Nombre Cuenta ()],Table8[Nivel 3],"",0)</f>
        <v/>
      </c>
      <c r="U924">
        <v>1588</v>
      </c>
      <c r="V924" t="str">
        <f>_xlfn.XLOOKUP(Table3[[#This Row],[Cuenta]],Estructura_Balance[Nombre Cuenta ()],Estructura_Balance[Niveles:2],"",0)</f>
        <v/>
      </c>
      <c r="W924" t="str">
        <f>_xlfn.XLOOKUP(Table3[[#This Row],[Cuenta]],Estructura_Balance[Nombre Cuenta ()],Estructura_Balance[Niveles:3],"",0)</f>
        <v/>
      </c>
      <c r="X924" t="str">
        <f>_xlfn.XLOOKUP(Table3[[#This Row],[Cuenta]],Estructura_Balance[Nombre Cuenta ()],Estructura_Balance[Grupos],"Grupo 1",0)</f>
        <v>Grupo 1</v>
      </c>
      <c r="Y924" t="str">
        <f>+Table3[[#This Row],[BS_Nivel_1]]</f>
        <v/>
      </c>
    </row>
    <row r="925" spans="1:25">
      <c r="A925">
        <f>+'Libro Diario'!F196</f>
        <v>0</v>
      </c>
      <c r="B925" s="144">
        <f>VALUE(IF(+'Libro Diario'!G196="","01/01/2025",+'Libro Diario'!G196))</f>
        <v>45658</v>
      </c>
      <c r="C925">
        <f>IF(ISNUMBER(+IF(IFERROR(VALUE(MID('Libro Diario'!D196,1,4)),0)&lt;&gt;0,'Libro Diario'!D196,0))=FALSE,'Libro Diario'!D196,0)</f>
        <v>0</v>
      </c>
      <c r="D925" s="145" t="str">
        <f>+'Libro Diario'!E196</f>
        <v>HABER</v>
      </c>
      <c r="E925" s="139" t="s">
        <v>446</v>
      </c>
      <c r="F925" t="str">
        <f t="shared" si="42"/>
        <v>Sin Mov.</v>
      </c>
      <c r="G925" t="str">
        <f>IF(+'Libro Diario'!H196=0,"",+'Libro Diario'!H196)</f>
        <v/>
      </c>
      <c r="H925" t="str">
        <f>IF(+'Libro Diario'!I196=0,"",+'Libro Diario'!I196)</f>
        <v/>
      </c>
      <c r="I925" t="str">
        <f>+IF(Table3[[#This Row],[Tipo Movimiento]]="Estructura Balance y PyG","Excluir","Incluir")</f>
        <v>Incluir</v>
      </c>
      <c r="J925" s="153">
        <f>+IF(Table3[[#This Row],[Sin cuenta]]="Con Mov.",(IF(Table3[[#This Row],[Movimiento]]="Debe",Table3[[#This Row],[Importe]],IF(Table3[[#This Row],[Movimiento]]="Haber",Table3[[#This Row],[Importe]]*-1,0))),0)</f>
        <v>0</v>
      </c>
      <c r="K925" s="145" t="str">
        <f t="shared" si="43"/>
        <v/>
      </c>
      <c r="L925" s="145" t="str">
        <f t="shared" si="44"/>
        <v>HABER</v>
      </c>
      <c r="M925" t="str">
        <f>_xlfn.XLOOKUP(Table3[[#This Row],[Cuenta]],Estructura_Balance[Nombre Cuenta ()],Estructura_Balance[Grupo],"",0)</f>
        <v/>
      </c>
      <c r="N925" t="str">
        <f>_xlfn.XLOOKUP(Table3[[#This Row],[Cuenta]],Estructura_Balance[Nombre Cuenta ()],Estructura_Balance[Nivel 1],"",0)</f>
        <v/>
      </c>
      <c r="O925" t="str">
        <f>_xlfn.XLOOKUP(Table3[[#This Row],[Cuenta]],Estructura_Balance[Nombre Cuenta ()],Estructura_Balance[Nivel 2],"",0)</f>
        <v/>
      </c>
      <c r="P925" t="str">
        <f>_xlfn.XLOOKUP(Table3[[#This Row],[Cuenta]],Estructura_Balance[Nombre Cuenta ()],Estructura_Balance[Nivel 3],"",0)</f>
        <v/>
      </c>
      <c r="Q925" t="str">
        <f>_xlfn.XLOOKUP(Table3[[#This Row],[Cuenta]],Estructura_Balance[Nombre Cuenta ()],Estructura_Balance[Nivel 4],"",0)</f>
        <v/>
      </c>
      <c r="R925" t="str">
        <f>_xlfn.XLOOKUP(Table3[[#This Row],[Cuenta]],Table8[Nombre Cuenta ()],Table8[Nivel 1],"",0)</f>
        <v/>
      </c>
      <c r="S925" t="str">
        <f>_xlfn.XLOOKUP(Table3[[#This Row],[Cuenta]],Table8[Nombre Cuenta ()],Table8[Nivel 2],"",0)</f>
        <v/>
      </c>
      <c r="T925" t="str">
        <f>_xlfn.XLOOKUP(Table3[[#This Row],[Cuenta]],Table8[Nombre Cuenta ()],Table8[Nivel 3],"",0)</f>
        <v/>
      </c>
      <c r="U925">
        <v>1589</v>
      </c>
      <c r="V925" t="str">
        <f>_xlfn.XLOOKUP(Table3[[#This Row],[Cuenta]],Estructura_Balance[Nombre Cuenta ()],Estructura_Balance[Niveles:2],"",0)</f>
        <v/>
      </c>
      <c r="W925" t="str">
        <f>_xlfn.XLOOKUP(Table3[[#This Row],[Cuenta]],Estructura_Balance[Nombre Cuenta ()],Estructura_Balance[Niveles:3],"",0)</f>
        <v/>
      </c>
      <c r="X925" t="str">
        <f>_xlfn.XLOOKUP(Table3[[#This Row],[Cuenta]],Estructura_Balance[Nombre Cuenta ()],Estructura_Balance[Grupos],"Grupo 1",0)</f>
        <v>Grupo 1</v>
      </c>
      <c r="Y925" t="str">
        <f>+Table3[[#This Row],[BS_Nivel_1]]</f>
        <v/>
      </c>
    </row>
    <row r="926" spans="1:25">
      <c r="A926">
        <f>+'Libro Diario'!F197</f>
        <v>0</v>
      </c>
      <c r="B926" s="144">
        <f>VALUE(IF(+'Libro Diario'!G197="","01/01/2025",+'Libro Diario'!G197))</f>
        <v>45658</v>
      </c>
      <c r="C926">
        <f>IF(ISNUMBER(+IF(IFERROR(VALUE(MID('Libro Diario'!D197,1,4)),0)&lt;&gt;0,'Libro Diario'!D197,0))=FALSE,'Libro Diario'!D197,0)</f>
        <v>0</v>
      </c>
      <c r="D926" s="145">
        <f>+'Libro Diario'!E197</f>
        <v>0</v>
      </c>
      <c r="E926" s="139" t="s">
        <v>446</v>
      </c>
      <c r="F926" t="str">
        <f t="shared" si="42"/>
        <v>Sin Mov.</v>
      </c>
      <c r="G926" t="str">
        <f>IF(+'Libro Diario'!H197=0,"",+'Libro Diario'!H197)</f>
        <v/>
      </c>
      <c r="H926" t="str">
        <f>IF(+'Libro Diario'!I197=0,"",+'Libro Diario'!I197)</f>
        <v/>
      </c>
      <c r="I926" t="str">
        <f>+IF(Table3[[#This Row],[Tipo Movimiento]]="Estructura Balance y PyG","Excluir","Incluir")</f>
        <v>Incluir</v>
      </c>
      <c r="J926" s="153">
        <f>+IF(Table3[[#This Row],[Sin cuenta]]="Con Mov.",(IF(Table3[[#This Row],[Movimiento]]="Debe",Table3[[#This Row],[Importe]],IF(Table3[[#This Row],[Movimiento]]="Haber",Table3[[#This Row],[Importe]]*-1,0))),0)</f>
        <v>0</v>
      </c>
      <c r="K926" s="145" t="str">
        <f t="shared" si="43"/>
        <v/>
      </c>
      <c r="L926" s="145">
        <f t="shared" si="44"/>
        <v>0</v>
      </c>
      <c r="M926" t="str">
        <f>_xlfn.XLOOKUP(Table3[[#This Row],[Cuenta]],Estructura_Balance[Nombre Cuenta ()],Estructura_Balance[Grupo],"",0)</f>
        <v/>
      </c>
      <c r="N926" t="str">
        <f>_xlfn.XLOOKUP(Table3[[#This Row],[Cuenta]],Estructura_Balance[Nombre Cuenta ()],Estructura_Balance[Nivel 1],"",0)</f>
        <v/>
      </c>
      <c r="O926" t="str">
        <f>_xlfn.XLOOKUP(Table3[[#This Row],[Cuenta]],Estructura_Balance[Nombre Cuenta ()],Estructura_Balance[Nivel 2],"",0)</f>
        <v/>
      </c>
      <c r="P926" t="str">
        <f>_xlfn.XLOOKUP(Table3[[#This Row],[Cuenta]],Estructura_Balance[Nombre Cuenta ()],Estructura_Balance[Nivel 3],"",0)</f>
        <v/>
      </c>
      <c r="Q926" t="str">
        <f>_xlfn.XLOOKUP(Table3[[#This Row],[Cuenta]],Estructura_Balance[Nombre Cuenta ()],Estructura_Balance[Nivel 4],"",0)</f>
        <v/>
      </c>
      <c r="R926" t="str">
        <f>_xlfn.XLOOKUP(Table3[[#This Row],[Cuenta]],Table8[Nombre Cuenta ()],Table8[Nivel 1],"",0)</f>
        <v/>
      </c>
      <c r="S926" t="str">
        <f>_xlfn.XLOOKUP(Table3[[#This Row],[Cuenta]],Table8[Nombre Cuenta ()],Table8[Nivel 2],"",0)</f>
        <v/>
      </c>
      <c r="T926" t="str">
        <f>_xlfn.XLOOKUP(Table3[[#This Row],[Cuenta]],Table8[Nombre Cuenta ()],Table8[Nivel 3],"",0)</f>
        <v/>
      </c>
      <c r="U926">
        <v>1590</v>
      </c>
      <c r="V926" t="str">
        <f>_xlfn.XLOOKUP(Table3[[#This Row],[Cuenta]],Estructura_Balance[Nombre Cuenta ()],Estructura_Balance[Niveles:2],"",0)</f>
        <v/>
      </c>
      <c r="W926" t="str">
        <f>_xlfn.XLOOKUP(Table3[[#This Row],[Cuenta]],Estructura_Balance[Nombre Cuenta ()],Estructura_Balance[Niveles:3],"",0)</f>
        <v/>
      </c>
      <c r="X926" t="str">
        <f>_xlfn.XLOOKUP(Table3[[#This Row],[Cuenta]],Estructura_Balance[Nombre Cuenta ()],Estructura_Balance[Grupos],"Grupo 1",0)</f>
        <v>Grupo 1</v>
      </c>
      <c r="Y926" t="str">
        <f>+Table3[[#This Row],[BS_Nivel_1]]</f>
        <v/>
      </c>
    </row>
    <row r="927" spans="1:25">
      <c r="A927">
        <f>+'Libro Diario'!F202</f>
        <v>0</v>
      </c>
      <c r="B927" s="144">
        <f>VALUE(IF(+'Libro Diario'!G202="","01/01/2025",+'Libro Diario'!G202))</f>
        <v>45658</v>
      </c>
      <c r="C927">
        <f>IF(ISNUMBER(+IF(IFERROR(VALUE(MID('Libro Diario'!D202,1,4)),0)&lt;&gt;0,'Libro Diario'!D202,0))=FALSE,'Libro Diario'!D202,0)</f>
        <v>0</v>
      </c>
      <c r="D927" s="145">
        <f>+'Libro Diario'!E202</f>
        <v>0</v>
      </c>
      <c r="E927" s="139" t="s">
        <v>446</v>
      </c>
      <c r="F927" t="str">
        <f t="shared" si="42"/>
        <v>Sin Mov.</v>
      </c>
      <c r="G927" t="str">
        <f>IF(+'Libro Diario'!H202=0,"",+'Libro Diario'!H202)</f>
        <v/>
      </c>
      <c r="H927" t="str">
        <f>IF(+'Libro Diario'!I202=0,"",+'Libro Diario'!I202)</f>
        <v/>
      </c>
      <c r="I927" t="str">
        <f>+IF(Table3[[#This Row],[Tipo Movimiento]]="Estructura Balance y PyG","Excluir","Incluir")</f>
        <v>Incluir</v>
      </c>
      <c r="J927" s="153">
        <f>+IF(Table3[[#This Row],[Sin cuenta]]="Con Mov.",(IF(Table3[[#This Row],[Movimiento]]="Debe",Table3[[#This Row],[Importe]],IF(Table3[[#This Row],[Movimiento]]="Haber",Table3[[#This Row],[Importe]]*-1,0))),0)</f>
        <v>0</v>
      </c>
      <c r="K927" s="145" t="str">
        <f t="shared" si="43"/>
        <v/>
      </c>
      <c r="L927" s="145">
        <f t="shared" si="44"/>
        <v>0</v>
      </c>
      <c r="M927" t="str">
        <f>_xlfn.XLOOKUP(Table3[[#This Row],[Cuenta]],Estructura_Balance[Nombre Cuenta ()],Estructura_Balance[Grupo],"",0)</f>
        <v/>
      </c>
      <c r="N927" t="str">
        <f>_xlfn.XLOOKUP(Table3[[#This Row],[Cuenta]],Estructura_Balance[Nombre Cuenta ()],Estructura_Balance[Nivel 1],"",0)</f>
        <v/>
      </c>
      <c r="O927" t="str">
        <f>_xlfn.XLOOKUP(Table3[[#This Row],[Cuenta]],Estructura_Balance[Nombre Cuenta ()],Estructura_Balance[Nivel 2],"",0)</f>
        <v/>
      </c>
      <c r="P927" t="str">
        <f>_xlfn.XLOOKUP(Table3[[#This Row],[Cuenta]],Estructura_Balance[Nombre Cuenta ()],Estructura_Balance[Nivel 3],"",0)</f>
        <v/>
      </c>
      <c r="Q927" t="str">
        <f>_xlfn.XLOOKUP(Table3[[#This Row],[Cuenta]],Estructura_Balance[Nombre Cuenta ()],Estructura_Balance[Nivel 4],"",0)</f>
        <v/>
      </c>
      <c r="R927" t="str">
        <f>_xlfn.XLOOKUP(Table3[[#This Row],[Cuenta]],Table8[Nombre Cuenta ()],Table8[Nivel 1],"",0)</f>
        <v/>
      </c>
      <c r="S927" t="str">
        <f>_xlfn.XLOOKUP(Table3[[#This Row],[Cuenta]],Table8[Nombre Cuenta ()],Table8[Nivel 2],"",0)</f>
        <v/>
      </c>
      <c r="T927" t="str">
        <f>_xlfn.XLOOKUP(Table3[[#This Row],[Cuenta]],Table8[Nombre Cuenta ()],Table8[Nivel 3],"",0)</f>
        <v/>
      </c>
      <c r="U927">
        <v>1595</v>
      </c>
      <c r="V927" t="str">
        <f>_xlfn.XLOOKUP(Table3[[#This Row],[Cuenta]],Estructura_Balance[Nombre Cuenta ()],Estructura_Balance[Niveles:2],"",0)</f>
        <v/>
      </c>
      <c r="W927" t="str">
        <f>_xlfn.XLOOKUP(Table3[[#This Row],[Cuenta]],Estructura_Balance[Nombre Cuenta ()],Estructura_Balance[Niveles:3],"",0)</f>
        <v/>
      </c>
      <c r="X927" t="str">
        <f>_xlfn.XLOOKUP(Table3[[#This Row],[Cuenta]],Estructura_Balance[Nombre Cuenta ()],Estructura_Balance[Grupos],"Grupo 1",0)</f>
        <v>Grupo 1</v>
      </c>
      <c r="Y927" t="str">
        <f>+Table3[[#This Row],[BS_Nivel_1]]</f>
        <v/>
      </c>
    </row>
    <row r="928" spans="1:25">
      <c r="A928">
        <f>+'Libro Diario'!F203</f>
        <v>0</v>
      </c>
      <c r="B928" s="144">
        <f>VALUE(IF(+'Libro Diario'!G203="","01/01/2025",+'Libro Diario'!G203))</f>
        <v>45658</v>
      </c>
      <c r="C928">
        <f>IF(ISNUMBER(+IF(IFERROR(VALUE(MID('Libro Diario'!D203,1,4)),0)&lt;&gt;0,'Libro Diario'!D203,0))=FALSE,'Libro Diario'!D203,0)</f>
        <v>0</v>
      </c>
      <c r="D928" s="145">
        <f>+'Libro Diario'!E203</f>
        <v>0</v>
      </c>
      <c r="E928" s="139" t="s">
        <v>446</v>
      </c>
      <c r="F928" t="str">
        <f t="shared" si="42"/>
        <v>Sin Mov.</v>
      </c>
      <c r="G928" t="str">
        <f>IF(+'Libro Diario'!H203=0,"",+'Libro Diario'!H203)</f>
        <v/>
      </c>
      <c r="H928" t="str">
        <f>IF(+'Libro Diario'!I203=0,"",+'Libro Diario'!I203)</f>
        <v/>
      </c>
      <c r="I928" t="str">
        <f>+IF(Table3[[#This Row],[Tipo Movimiento]]="Estructura Balance y PyG","Excluir","Incluir")</f>
        <v>Incluir</v>
      </c>
      <c r="J928" s="153">
        <f>+IF(Table3[[#This Row],[Sin cuenta]]="Con Mov.",(IF(Table3[[#This Row],[Movimiento]]="Debe",Table3[[#This Row],[Importe]],IF(Table3[[#This Row],[Movimiento]]="Haber",Table3[[#This Row],[Importe]]*-1,0))),0)</f>
        <v>0</v>
      </c>
      <c r="K928" s="145" t="str">
        <f t="shared" si="43"/>
        <v/>
      </c>
      <c r="L928" s="145">
        <f t="shared" si="44"/>
        <v>0</v>
      </c>
      <c r="M928" t="str">
        <f>_xlfn.XLOOKUP(Table3[[#This Row],[Cuenta]],Estructura_Balance[Nombre Cuenta ()],Estructura_Balance[Grupo],"",0)</f>
        <v/>
      </c>
      <c r="N928" t="str">
        <f>_xlfn.XLOOKUP(Table3[[#This Row],[Cuenta]],Estructura_Balance[Nombre Cuenta ()],Estructura_Balance[Nivel 1],"",0)</f>
        <v/>
      </c>
      <c r="O928" t="str">
        <f>_xlfn.XLOOKUP(Table3[[#This Row],[Cuenta]],Estructura_Balance[Nombre Cuenta ()],Estructura_Balance[Nivel 2],"",0)</f>
        <v/>
      </c>
      <c r="P928" t="str">
        <f>_xlfn.XLOOKUP(Table3[[#This Row],[Cuenta]],Estructura_Balance[Nombre Cuenta ()],Estructura_Balance[Nivel 3],"",0)</f>
        <v/>
      </c>
      <c r="Q928" t="str">
        <f>_xlfn.XLOOKUP(Table3[[#This Row],[Cuenta]],Estructura_Balance[Nombre Cuenta ()],Estructura_Balance[Nivel 4],"",0)</f>
        <v/>
      </c>
      <c r="R928" t="str">
        <f>_xlfn.XLOOKUP(Table3[[#This Row],[Cuenta]],Table8[Nombre Cuenta ()],Table8[Nivel 1],"",0)</f>
        <v/>
      </c>
      <c r="S928" t="str">
        <f>_xlfn.XLOOKUP(Table3[[#This Row],[Cuenta]],Table8[Nombre Cuenta ()],Table8[Nivel 2],"",0)</f>
        <v/>
      </c>
      <c r="T928" t="str">
        <f>_xlfn.XLOOKUP(Table3[[#This Row],[Cuenta]],Table8[Nombre Cuenta ()],Table8[Nivel 3],"",0)</f>
        <v/>
      </c>
      <c r="U928">
        <v>1596</v>
      </c>
      <c r="V928" t="str">
        <f>_xlfn.XLOOKUP(Table3[[#This Row],[Cuenta]],Estructura_Balance[Nombre Cuenta ()],Estructura_Balance[Niveles:2],"",0)</f>
        <v/>
      </c>
      <c r="W928" t="str">
        <f>_xlfn.XLOOKUP(Table3[[#This Row],[Cuenta]],Estructura_Balance[Nombre Cuenta ()],Estructura_Balance[Niveles:3],"",0)</f>
        <v/>
      </c>
      <c r="X928" t="str">
        <f>_xlfn.XLOOKUP(Table3[[#This Row],[Cuenta]],Estructura_Balance[Nombre Cuenta ()],Estructura_Balance[Grupos],"Grupo 1",0)</f>
        <v>Grupo 1</v>
      </c>
      <c r="Y928" t="str">
        <f>+Table3[[#This Row],[BS_Nivel_1]]</f>
        <v/>
      </c>
    </row>
    <row r="929" spans="1:25">
      <c r="A929">
        <f>+'Libro Diario'!F204</f>
        <v>0</v>
      </c>
      <c r="B929" s="144">
        <f>VALUE(IF(+'Libro Diario'!G204="","01/01/2025",+'Libro Diario'!G204))</f>
        <v>45658</v>
      </c>
      <c r="C929">
        <f>IF(ISNUMBER(+IF(IFERROR(VALUE(MID('Libro Diario'!D204,1,4)),0)&lt;&gt;0,'Libro Diario'!D204,0))=FALSE,'Libro Diario'!D204,0)</f>
        <v>0</v>
      </c>
      <c r="D929" s="145">
        <f>+'Libro Diario'!E204</f>
        <v>0</v>
      </c>
      <c r="E929" s="139" t="s">
        <v>446</v>
      </c>
      <c r="F929" t="str">
        <f t="shared" si="42"/>
        <v>Sin Mov.</v>
      </c>
      <c r="G929" t="str">
        <f>IF(+'Libro Diario'!H204=0,"",+'Libro Diario'!H204)</f>
        <v/>
      </c>
      <c r="H929" t="str">
        <f>IF(+'Libro Diario'!I204=0,"",+'Libro Diario'!I204)</f>
        <v/>
      </c>
      <c r="I929" t="str">
        <f>+IF(Table3[[#This Row],[Tipo Movimiento]]="Estructura Balance y PyG","Excluir","Incluir")</f>
        <v>Incluir</v>
      </c>
      <c r="J929" s="153">
        <f>+IF(Table3[[#This Row],[Sin cuenta]]="Con Mov.",(IF(Table3[[#This Row],[Movimiento]]="Debe",Table3[[#This Row],[Importe]],IF(Table3[[#This Row],[Movimiento]]="Haber",Table3[[#This Row],[Importe]]*-1,0))),0)</f>
        <v>0</v>
      </c>
      <c r="K929" s="145" t="str">
        <f t="shared" si="43"/>
        <v/>
      </c>
      <c r="L929" s="145">
        <f t="shared" si="44"/>
        <v>0</v>
      </c>
      <c r="M929" t="str">
        <f>_xlfn.XLOOKUP(Table3[[#This Row],[Cuenta]],Estructura_Balance[Nombre Cuenta ()],Estructura_Balance[Grupo],"",0)</f>
        <v/>
      </c>
      <c r="N929" t="str">
        <f>_xlfn.XLOOKUP(Table3[[#This Row],[Cuenta]],Estructura_Balance[Nombre Cuenta ()],Estructura_Balance[Nivel 1],"",0)</f>
        <v/>
      </c>
      <c r="O929" t="str">
        <f>_xlfn.XLOOKUP(Table3[[#This Row],[Cuenta]],Estructura_Balance[Nombre Cuenta ()],Estructura_Balance[Nivel 2],"",0)</f>
        <v/>
      </c>
      <c r="P929" t="str">
        <f>_xlfn.XLOOKUP(Table3[[#This Row],[Cuenta]],Estructura_Balance[Nombre Cuenta ()],Estructura_Balance[Nivel 3],"",0)</f>
        <v/>
      </c>
      <c r="Q929" t="str">
        <f>_xlfn.XLOOKUP(Table3[[#This Row],[Cuenta]],Estructura_Balance[Nombre Cuenta ()],Estructura_Balance[Nivel 4],"",0)</f>
        <v/>
      </c>
      <c r="R929" t="str">
        <f>_xlfn.XLOOKUP(Table3[[#This Row],[Cuenta]],Table8[Nombre Cuenta ()],Table8[Nivel 1],"",0)</f>
        <v/>
      </c>
      <c r="S929" t="str">
        <f>_xlfn.XLOOKUP(Table3[[#This Row],[Cuenta]],Table8[Nombre Cuenta ()],Table8[Nivel 2],"",0)</f>
        <v/>
      </c>
      <c r="T929" t="str">
        <f>_xlfn.XLOOKUP(Table3[[#This Row],[Cuenta]],Table8[Nombre Cuenta ()],Table8[Nivel 3],"",0)</f>
        <v/>
      </c>
      <c r="U929">
        <v>1597</v>
      </c>
      <c r="V929" t="str">
        <f>_xlfn.XLOOKUP(Table3[[#This Row],[Cuenta]],Estructura_Balance[Nombre Cuenta ()],Estructura_Balance[Niveles:2],"",0)</f>
        <v/>
      </c>
      <c r="W929" t="str">
        <f>_xlfn.XLOOKUP(Table3[[#This Row],[Cuenta]],Estructura_Balance[Nombre Cuenta ()],Estructura_Balance[Niveles:3],"",0)</f>
        <v/>
      </c>
      <c r="X929" t="str">
        <f>_xlfn.XLOOKUP(Table3[[#This Row],[Cuenta]],Estructura_Balance[Nombre Cuenta ()],Estructura_Balance[Grupos],"Grupo 1",0)</f>
        <v>Grupo 1</v>
      </c>
      <c r="Y929" t="str">
        <f>+Table3[[#This Row],[BS_Nivel_1]]</f>
        <v/>
      </c>
    </row>
    <row r="930" spans="1:25">
      <c r="A930">
        <f>+'Libro Diario'!F205</f>
        <v>0</v>
      </c>
      <c r="B930" s="144">
        <f>VALUE(IF(+'Libro Diario'!G205="","01/01/2025",+'Libro Diario'!G205))</f>
        <v>45658</v>
      </c>
      <c r="C930">
        <f>IF(ISNUMBER(+IF(IFERROR(VALUE(MID('Libro Diario'!D205,1,4)),0)&lt;&gt;0,'Libro Diario'!D205,0))=FALSE,'Libro Diario'!D205,0)</f>
        <v>0</v>
      </c>
      <c r="D930" s="145" t="str">
        <f>+'Libro Diario'!E205</f>
        <v>HABER</v>
      </c>
      <c r="E930" s="139" t="s">
        <v>446</v>
      </c>
      <c r="F930" t="str">
        <f t="shared" si="42"/>
        <v>Sin Mov.</v>
      </c>
      <c r="G930" t="str">
        <f>IF(+'Libro Diario'!H205=0,"",+'Libro Diario'!H205)</f>
        <v/>
      </c>
      <c r="H930" t="str">
        <f>IF(+'Libro Diario'!I205=0,"",+'Libro Diario'!I205)</f>
        <v/>
      </c>
      <c r="I930" t="str">
        <f>+IF(Table3[[#This Row],[Tipo Movimiento]]="Estructura Balance y PyG","Excluir","Incluir")</f>
        <v>Incluir</v>
      </c>
      <c r="J930" s="153">
        <f>+IF(Table3[[#This Row],[Sin cuenta]]="Con Mov.",(IF(Table3[[#This Row],[Movimiento]]="Debe",Table3[[#This Row],[Importe]],IF(Table3[[#This Row],[Movimiento]]="Haber",Table3[[#This Row],[Importe]]*-1,0))),0)</f>
        <v>0</v>
      </c>
      <c r="K930" s="145" t="str">
        <f t="shared" si="43"/>
        <v/>
      </c>
      <c r="L930" s="145" t="str">
        <f t="shared" si="44"/>
        <v>HABER</v>
      </c>
      <c r="M930" t="str">
        <f>_xlfn.XLOOKUP(Table3[[#This Row],[Cuenta]],Estructura_Balance[Nombre Cuenta ()],Estructura_Balance[Grupo],"",0)</f>
        <v/>
      </c>
      <c r="N930" t="str">
        <f>_xlfn.XLOOKUP(Table3[[#This Row],[Cuenta]],Estructura_Balance[Nombre Cuenta ()],Estructura_Balance[Nivel 1],"",0)</f>
        <v/>
      </c>
      <c r="O930" t="str">
        <f>_xlfn.XLOOKUP(Table3[[#This Row],[Cuenta]],Estructura_Balance[Nombre Cuenta ()],Estructura_Balance[Nivel 2],"",0)</f>
        <v/>
      </c>
      <c r="P930" t="str">
        <f>_xlfn.XLOOKUP(Table3[[#This Row],[Cuenta]],Estructura_Balance[Nombre Cuenta ()],Estructura_Balance[Nivel 3],"",0)</f>
        <v/>
      </c>
      <c r="Q930" t="str">
        <f>_xlfn.XLOOKUP(Table3[[#This Row],[Cuenta]],Estructura_Balance[Nombre Cuenta ()],Estructura_Balance[Nivel 4],"",0)</f>
        <v/>
      </c>
      <c r="R930" t="str">
        <f>_xlfn.XLOOKUP(Table3[[#This Row],[Cuenta]],Table8[Nombre Cuenta ()],Table8[Nivel 1],"",0)</f>
        <v/>
      </c>
      <c r="S930" t="str">
        <f>_xlfn.XLOOKUP(Table3[[#This Row],[Cuenta]],Table8[Nombre Cuenta ()],Table8[Nivel 2],"",0)</f>
        <v/>
      </c>
      <c r="T930" t="str">
        <f>_xlfn.XLOOKUP(Table3[[#This Row],[Cuenta]],Table8[Nombre Cuenta ()],Table8[Nivel 3],"",0)</f>
        <v/>
      </c>
      <c r="U930">
        <v>1598</v>
      </c>
      <c r="V930" t="str">
        <f>_xlfn.XLOOKUP(Table3[[#This Row],[Cuenta]],Estructura_Balance[Nombre Cuenta ()],Estructura_Balance[Niveles:2],"",0)</f>
        <v/>
      </c>
      <c r="W930" t="str">
        <f>_xlfn.XLOOKUP(Table3[[#This Row],[Cuenta]],Estructura_Balance[Nombre Cuenta ()],Estructura_Balance[Niveles:3],"",0)</f>
        <v/>
      </c>
      <c r="X930" t="str">
        <f>_xlfn.XLOOKUP(Table3[[#This Row],[Cuenta]],Estructura_Balance[Nombre Cuenta ()],Estructura_Balance[Grupos],"Grupo 1",0)</f>
        <v>Grupo 1</v>
      </c>
      <c r="Y930" t="str">
        <f>+Table3[[#This Row],[BS_Nivel_1]]</f>
        <v/>
      </c>
    </row>
    <row r="931" spans="1:25">
      <c r="A931">
        <f>+'Libro Diario'!F206</f>
        <v>0</v>
      </c>
      <c r="B931" s="144">
        <f>VALUE(IF(+'Libro Diario'!G206="","01/01/2025",+'Libro Diario'!G206))</f>
        <v>45658</v>
      </c>
      <c r="C931">
        <f>IF(ISNUMBER(+IF(IFERROR(VALUE(MID('Libro Diario'!D206,1,4)),0)&lt;&gt;0,'Libro Diario'!D206,0))=FALSE,'Libro Diario'!D206,0)</f>
        <v>0</v>
      </c>
      <c r="D931" s="145">
        <f>+'Libro Diario'!E206</f>
        <v>0</v>
      </c>
      <c r="E931" s="139" t="s">
        <v>446</v>
      </c>
      <c r="F931" t="str">
        <f t="shared" si="42"/>
        <v>Sin Mov.</v>
      </c>
      <c r="G931" t="str">
        <f>IF(+'Libro Diario'!H206=0,"",+'Libro Diario'!H206)</f>
        <v/>
      </c>
      <c r="H931" t="str">
        <f>IF(+'Libro Diario'!I206=0,"",+'Libro Diario'!I206)</f>
        <v/>
      </c>
      <c r="I931" t="str">
        <f>+IF(Table3[[#This Row],[Tipo Movimiento]]="Estructura Balance y PyG","Excluir","Incluir")</f>
        <v>Incluir</v>
      </c>
      <c r="J931" s="153">
        <f>+IF(Table3[[#This Row],[Sin cuenta]]="Con Mov.",(IF(Table3[[#This Row],[Movimiento]]="Debe",Table3[[#This Row],[Importe]],IF(Table3[[#This Row],[Movimiento]]="Haber",Table3[[#This Row],[Importe]]*-1,0))),0)</f>
        <v>0</v>
      </c>
      <c r="K931" s="145" t="str">
        <f t="shared" si="43"/>
        <v/>
      </c>
      <c r="L931" s="145">
        <f t="shared" si="44"/>
        <v>0</v>
      </c>
      <c r="M931" t="str">
        <f>_xlfn.XLOOKUP(Table3[[#This Row],[Cuenta]],Estructura_Balance[Nombre Cuenta ()],Estructura_Balance[Grupo],"",0)</f>
        <v/>
      </c>
      <c r="N931" t="str">
        <f>_xlfn.XLOOKUP(Table3[[#This Row],[Cuenta]],Estructura_Balance[Nombre Cuenta ()],Estructura_Balance[Nivel 1],"",0)</f>
        <v/>
      </c>
      <c r="O931" t="str">
        <f>_xlfn.XLOOKUP(Table3[[#This Row],[Cuenta]],Estructura_Balance[Nombre Cuenta ()],Estructura_Balance[Nivel 2],"",0)</f>
        <v/>
      </c>
      <c r="P931" t="str">
        <f>_xlfn.XLOOKUP(Table3[[#This Row],[Cuenta]],Estructura_Balance[Nombre Cuenta ()],Estructura_Balance[Nivel 3],"",0)</f>
        <v/>
      </c>
      <c r="Q931" t="str">
        <f>_xlfn.XLOOKUP(Table3[[#This Row],[Cuenta]],Estructura_Balance[Nombre Cuenta ()],Estructura_Balance[Nivel 4],"",0)</f>
        <v/>
      </c>
      <c r="R931" t="str">
        <f>_xlfn.XLOOKUP(Table3[[#This Row],[Cuenta]],Table8[Nombre Cuenta ()],Table8[Nivel 1],"",0)</f>
        <v/>
      </c>
      <c r="S931" t="str">
        <f>_xlfn.XLOOKUP(Table3[[#This Row],[Cuenta]],Table8[Nombre Cuenta ()],Table8[Nivel 2],"",0)</f>
        <v/>
      </c>
      <c r="T931" t="str">
        <f>_xlfn.XLOOKUP(Table3[[#This Row],[Cuenta]],Table8[Nombre Cuenta ()],Table8[Nivel 3],"",0)</f>
        <v/>
      </c>
      <c r="U931">
        <v>1599</v>
      </c>
      <c r="V931" t="str">
        <f>_xlfn.XLOOKUP(Table3[[#This Row],[Cuenta]],Estructura_Balance[Nombre Cuenta ()],Estructura_Balance[Niveles:2],"",0)</f>
        <v/>
      </c>
      <c r="W931" t="str">
        <f>_xlfn.XLOOKUP(Table3[[#This Row],[Cuenta]],Estructura_Balance[Nombre Cuenta ()],Estructura_Balance[Niveles:3],"",0)</f>
        <v/>
      </c>
      <c r="X931" t="str">
        <f>_xlfn.XLOOKUP(Table3[[#This Row],[Cuenta]],Estructura_Balance[Nombre Cuenta ()],Estructura_Balance[Grupos],"Grupo 1",0)</f>
        <v>Grupo 1</v>
      </c>
      <c r="Y931" t="str">
        <f>+Table3[[#This Row],[BS_Nivel_1]]</f>
        <v/>
      </c>
    </row>
    <row r="932" spans="1:25">
      <c r="A932">
        <f>+'Libro Diario'!F209</f>
        <v>0</v>
      </c>
      <c r="B932" s="144">
        <f>VALUE(IF(+'Libro Diario'!G209="","01/01/2025",+'Libro Diario'!G209))</f>
        <v>45658</v>
      </c>
      <c r="C932">
        <f>IF(ISNUMBER(+IF(IFERROR(VALUE(MID('Libro Diario'!D209,1,4)),0)&lt;&gt;0,'Libro Diario'!D209,0))=FALSE,'Libro Diario'!D209,0)</f>
        <v>0</v>
      </c>
      <c r="D932" s="145">
        <f>+'Libro Diario'!E209</f>
        <v>0</v>
      </c>
      <c r="E932" s="139" t="s">
        <v>446</v>
      </c>
      <c r="F932" t="str">
        <f t="shared" si="42"/>
        <v>Sin Mov.</v>
      </c>
      <c r="G932" t="str">
        <f>IF(+'Libro Diario'!H209=0,"",+'Libro Diario'!H209)</f>
        <v/>
      </c>
      <c r="H932" t="str">
        <f>IF(+'Libro Diario'!I209=0,"",+'Libro Diario'!I209)</f>
        <v/>
      </c>
      <c r="I932" t="str">
        <f>+IF(Table3[[#This Row],[Tipo Movimiento]]="Estructura Balance y PyG","Excluir","Incluir")</f>
        <v>Incluir</v>
      </c>
      <c r="J932" s="153">
        <f>+IF(Table3[[#This Row],[Sin cuenta]]="Con Mov.",(IF(Table3[[#This Row],[Movimiento]]="Debe",Table3[[#This Row],[Importe]],IF(Table3[[#This Row],[Movimiento]]="Haber",Table3[[#This Row],[Importe]]*-1,0))),0)</f>
        <v>0</v>
      </c>
      <c r="K932" s="145" t="str">
        <f t="shared" si="43"/>
        <v/>
      </c>
      <c r="L932" s="145">
        <f t="shared" si="44"/>
        <v>0</v>
      </c>
      <c r="M932" t="str">
        <f>_xlfn.XLOOKUP(Table3[[#This Row],[Cuenta]],Estructura_Balance[Nombre Cuenta ()],Estructura_Balance[Grupo],"",0)</f>
        <v/>
      </c>
      <c r="N932" t="str">
        <f>_xlfn.XLOOKUP(Table3[[#This Row],[Cuenta]],Estructura_Balance[Nombre Cuenta ()],Estructura_Balance[Nivel 1],"",0)</f>
        <v/>
      </c>
      <c r="O932" t="str">
        <f>_xlfn.XLOOKUP(Table3[[#This Row],[Cuenta]],Estructura_Balance[Nombre Cuenta ()],Estructura_Balance[Nivel 2],"",0)</f>
        <v/>
      </c>
      <c r="P932" t="str">
        <f>_xlfn.XLOOKUP(Table3[[#This Row],[Cuenta]],Estructura_Balance[Nombre Cuenta ()],Estructura_Balance[Nivel 3],"",0)</f>
        <v/>
      </c>
      <c r="Q932" t="str">
        <f>_xlfn.XLOOKUP(Table3[[#This Row],[Cuenta]],Estructura_Balance[Nombre Cuenta ()],Estructura_Balance[Nivel 4],"",0)</f>
        <v/>
      </c>
      <c r="R932" t="str">
        <f>_xlfn.XLOOKUP(Table3[[#This Row],[Cuenta]],Table8[Nombre Cuenta ()],Table8[Nivel 1],"",0)</f>
        <v/>
      </c>
      <c r="S932" t="str">
        <f>_xlfn.XLOOKUP(Table3[[#This Row],[Cuenta]],Table8[Nombre Cuenta ()],Table8[Nivel 2],"",0)</f>
        <v/>
      </c>
      <c r="T932" t="str">
        <f>_xlfn.XLOOKUP(Table3[[#This Row],[Cuenta]],Table8[Nombre Cuenta ()],Table8[Nivel 3],"",0)</f>
        <v/>
      </c>
      <c r="U932">
        <v>1602</v>
      </c>
      <c r="V932" t="str">
        <f>_xlfn.XLOOKUP(Table3[[#This Row],[Cuenta]],Estructura_Balance[Nombre Cuenta ()],Estructura_Balance[Niveles:2],"",0)</f>
        <v/>
      </c>
      <c r="W932" t="str">
        <f>_xlfn.XLOOKUP(Table3[[#This Row],[Cuenta]],Estructura_Balance[Nombre Cuenta ()],Estructura_Balance[Niveles:3],"",0)</f>
        <v/>
      </c>
      <c r="X932" t="str">
        <f>_xlfn.XLOOKUP(Table3[[#This Row],[Cuenta]],Estructura_Balance[Nombre Cuenta ()],Estructura_Balance[Grupos],"Grupo 1",0)</f>
        <v>Grupo 1</v>
      </c>
      <c r="Y932" t="str">
        <f>+Table3[[#This Row],[BS_Nivel_1]]</f>
        <v/>
      </c>
    </row>
    <row r="933" spans="1:25">
      <c r="A933">
        <f>+'Libro Diario'!F210</f>
        <v>0</v>
      </c>
      <c r="B933" s="144">
        <f>VALUE(IF(+'Libro Diario'!G210="","01/01/2025",+'Libro Diario'!G210))</f>
        <v>45658</v>
      </c>
      <c r="C933">
        <f>IF(ISNUMBER(+IF(IFERROR(VALUE(MID('Libro Diario'!D210,1,4)),0)&lt;&gt;0,'Libro Diario'!D210,0))=FALSE,'Libro Diario'!D210,0)</f>
        <v>0</v>
      </c>
      <c r="D933" s="145">
        <f>+'Libro Diario'!E210</f>
        <v>0</v>
      </c>
      <c r="E933" s="139" t="s">
        <v>446</v>
      </c>
      <c r="F933" t="str">
        <f t="shared" si="42"/>
        <v>Sin Mov.</v>
      </c>
      <c r="G933" t="str">
        <f>IF(+'Libro Diario'!H210=0,"",+'Libro Diario'!H210)</f>
        <v/>
      </c>
      <c r="H933" t="str">
        <f>IF(+'Libro Diario'!I210=0,"",+'Libro Diario'!I210)</f>
        <v/>
      </c>
      <c r="I933" t="str">
        <f>+IF(Table3[[#This Row],[Tipo Movimiento]]="Estructura Balance y PyG","Excluir","Incluir")</f>
        <v>Incluir</v>
      </c>
      <c r="J933" s="153">
        <f>+IF(Table3[[#This Row],[Sin cuenta]]="Con Mov.",(IF(Table3[[#This Row],[Movimiento]]="Debe",Table3[[#This Row],[Importe]],IF(Table3[[#This Row],[Movimiento]]="Haber",Table3[[#This Row],[Importe]]*-1,0))),0)</f>
        <v>0</v>
      </c>
      <c r="K933" s="145" t="str">
        <f t="shared" si="43"/>
        <v/>
      </c>
      <c r="L933" s="145">
        <f t="shared" si="44"/>
        <v>0</v>
      </c>
      <c r="M933" t="str">
        <f>_xlfn.XLOOKUP(Table3[[#This Row],[Cuenta]],Estructura_Balance[Nombre Cuenta ()],Estructura_Balance[Grupo],"",0)</f>
        <v/>
      </c>
      <c r="N933" t="str">
        <f>_xlfn.XLOOKUP(Table3[[#This Row],[Cuenta]],Estructura_Balance[Nombre Cuenta ()],Estructura_Balance[Nivel 1],"",0)</f>
        <v/>
      </c>
      <c r="O933" t="str">
        <f>_xlfn.XLOOKUP(Table3[[#This Row],[Cuenta]],Estructura_Balance[Nombre Cuenta ()],Estructura_Balance[Nivel 2],"",0)</f>
        <v/>
      </c>
      <c r="P933" t="str">
        <f>_xlfn.XLOOKUP(Table3[[#This Row],[Cuenta]],Estructura_Balance[Nombre Cuenta ()],Estructura_Balance[Nivel 3],"",0)</f>
        <v/>
      </c>
      <c r="Q933" t="str">
        <f>_xlfn.XLOOKUP(Table3[[#This Row],[Cuenta]],Estructura_Balance[Nombre Cuenta ()],Estructura_Balance[Nivel 4],"",0)</f>
        <v/>
      </c>
      <c r="R933" t="str">
        <f>_xlfn.XLOOKUP(Table3[[#This Row],[Cuenta]],Table8[Nombre Cuenta ()],Table8[Nivel 1],"",0)</f>
        <v/>
      </c>
      <c r="S933" t="str">
        <f>_xlfn.XLOOKUP(Table3[[#This Row],[Cuenta]],Table8[Nombre Cuenta ()],Table8[Nivel 2],"",0)</f>
        <v/>
      </c>
      <c r="T933" t="str">
        <f>_xlfn.XLOOKUP(Table3[[#This Row],[Cuenta]],Table8[Nombre Cuenta ()],Table8[Nivel 3],"",0)</f>
        <v/>
      </c>
      <c r="U933">
        <v>1603</v>
      </c>
      <c r="V933" t="str">
        <f>_xlfn.XLOOKUP(Table3[[#This Row],[Cuenta]],Estructura_Balance[Nombre Cuenta ()],Estructura_Balance[Niveles:2],"",0)</f>
        <v/>
      </c>
      <c r="W933" t="str">
        <f>_xlfn.XLOOKUP(Table3[[#This Row],[Cuenta]],Estructura_Balance[Nombre Cuenta ()],Estructura_Balance[Niveles:3],"",0)</f>
        <v/>
      </c>
      <c r="X933" t="str">
        <f>_xlfn.XLOOKUP(Table3[[#This Row],[Cuenta]],Estructura_Balance[Nombre Cuenta ()],Estructura_Balance[Grupos],"Grupo 1",0)</f>
        <v>Grupo 1</v>
      </c>
      <c r="Y933" t="str">
        <f>+Table3[[#This Row],[BS_Nivel_1]]</f>
        <v/>
      </c>
    </row>
    <row r="934" spans="1:25">
      <c r="A934">
        <f>+'Libro Diario'!F211</f>
        <v>0</v>
      </c>
      <c r="B934" s="144">
        <f>VALUE(IF(+'Libro Diario'!G211="","01/01/2025",+'Libro Diario'!G211))</f>
        <v>45658</v>
      </c>
      <c r="C934">
        <f>IF(ISNUMBER(+IF(IFERROR(VALUE(MID('Libro Diario'!D211,1,4)),0)&lt;&gt;0,'Libro Diario'!D211,0))=FALSE,'Libro Diario'!D211,0)</f>
        <v>0</v>
      </c>
      <c r="D934" s="145">
        <f>+'Libro Diario'!E211</f>
        <v>0</v>
      </c>
      <c r="E934" s="139" t="s">
        <v>446</v>
      </c>
      <c r="F934" t="str">
        <f t="shared" si="42"/>
        <v>Sin Mov.</v>
      </c>
      <c r="G934" t="str">
        <f>IF(+'Libro Diario'!H211=0,"",+'Libro Diario'!H211)</f>
        <v/>
      </c>
      <c r="H934" t="str">
        <f>IF(+'Libro Diario'!I211=0,"",+'Libro Diario'!I211)</f>
        <v/>
      </c>
      <c r="I934" t="str">
        <f>+IF(Table3[[#This Row],[Tipo Movimiento]]="Estructura Balance y PyG","Excluir","Incluir")</f>
        <v>Incluir</v>
      </c>
      <c r="J934" s="153">
        <f>+IF(Table3[[#This Row],[Sin cuenta]]="Con Mov.",(IF(Table3[[#This Row],[Movimiento]]="Debe",Table3[[#This Row],[Importe]],IF(Table3[[#This Row],[Movimiento]]="Haber",Table3[[#This Row],[Importe]]*-1,0))),0)</f>
        <v>0</v>
      </c>
      <c r="K934" s="145" t="str">
        <f t="shared" si="43"/>
        <v/>
      </c>
      <c r="L934" s="145">
        <f t="shared" si="44"/>
        <v>0</v>
      </c>
      <c r="M934" t="str">
        <f>_xlfn.XLOOKUP(Table3[[#This Row],[Cuenta]],Estructura_Balance[Nombre Cuenta ()],Estructura_Balance[Grupo],"",0)</f>
        <v/>
      </c>
      <c r="N934" t="str">
        <f>_xlfn.XLOOKUP(Table3[[#This Row],[Cuenta]],Estructura_Balance[Nombre Cuenta ()],Estructura_Balance[Nivel 1],"",0)</f>
        <v/>
      </c>
      <c r="O934" t="str">
        <f>_xlfn.XLOOKUP(Table3[[#This Row],[Cuenta]],Estructura_Balance[Nombre Cuenta ()],Estructura_Balance[Nivel 2],"",0)</f>
        <v/>
      </c>
      <c r="P934" t="str">
        <f>_xlfn.XLOOKUP(Table3[[#This Row],[Cuenta]],Estructura_Balance[Nombre Cuenta ()],Estructura_Balance[Nivel 3],"",0)</f>
        <v/>
      </c>
      <c r="Q934" t="str">
        <f>_xlfn.XLOOKUP(Table3[[#This Row],[Cuenta]],Estructura_Balance[Nombre Cuenta ()],Estructura_Balance[Nivel 4],"",0)</f>
        <v/>
      </c>
      <c r="R934" t="str">
        <f>_xlfn.XLOOKUP(Table3[[#This Row],[Cuenta]],Table8[Nombre Cuenta ()],Table8[Nivel 1],"",0)</f>
        <v/>
      </c>
      <c r="S934" t="str">
        <f>_xlfn.XLOOKUP(Table3[[#This Row],[Cuenta]],Table8[Nombre Cuenta ()],Table8[Nivel 2],"",0)</f>
        <v/>
      </c>
      <c r="T934" t="str">
        <f>_xlfn.XLOOKUP(Table3[[#This Row],[Cuenta]],Table8[Nombre Cuenta ()],Table8[Nivel 3],"",0)</f>
        <v/>
      </c>
      <c r="U934">
        <v>1604</v>
      </c>
      <c r="V934" t="str">
        <f>_xlfn.XLOOKUP(Table3[[#This Row],[Cuenta]],Estructura_Balance[Nombre Cuenta ()],Estructura_Balance[Niveles:2],"",0)</f>
        <v/>
      </c>
      <c r="W934" t="str">
        <f>_xlfn.XLOOKUP(Table3[[#This Row],[Cuenta]],Estructura_Balance[Nombre Cuenta ()],Estructura_Balance[Niveles:3],"",0)</f>
        <v/>
      </c>
      <c r="X934" t="str">
        <f>_xlfn.XLOOKUP(Table3[[#This Row],[Cuenta]],Estructura_Balance[Nombre Cuenta ()],Estructura_Balance[Grupos],"Grupo 1",0)</f>
        <v>Grupo 1</v>
      </c>
      <c r="Y934" t="str">
        <f>+Table3[[#This Row],[BS_Nivel_1]]</f>
        <v/>
      </c>
    </row>
    <row r="935" spans="1:25">
      <c r="A935">
        <f>+'Libro Diario'!F212</f>
        <v>0</v>
      </c>
      <c r="B935" s="144">
        <f>VALUE(IF(+'Libro Diario'!G212="","01/01/2025",+'Libro Diario'!G212))</f>
        <v>45658</v>
      </c>
      <c r="C935">
        <f>IF(ISNUMBER(+IF(IFERROR(VALUE(MID('Libro Diario'!D212,1,4)),0)&lt;&gt;0,'Libro Diario'!D212,0))=FALSE,'Libro Diario'!D212,0)</f>
        <v>0</v>
      </c>
      <c r="D935" s="145" t="str">
        <f>+'Libro Diario'!E212</f>
        <v>HABER</v>
      </c>
      <c r="E935" s="139" t="s">
        <v>446</v>
      </c>
      <c r="F935" t="str">
        <f t="shared" si="42"/>
        <v>Sin Mov.</v>
      </c>
      <c r="G935" t="str">
        <f>IF(+'Libro Diario'!H212=0,"",+'Libro Diario'!H212)</f>
        <v/>
      </c>
      <c r="H935" t="str">
        <f>IF(+'Libro Diario'!I212=0,"",+'Libro Diario'!I212)</f>
        <v/>
      </c>
      <c r="I935" t="str">
        <f>+IF(Table3[[#This Row],[Tipo Movimiento]]="Estructura Balance y PyG","Excluir","Incluir")</f>
        <v>Incluir</v>
      </c>
      <c r="J935" s="153">
        <f>+IF(Table3[[#This Row],[Sin cuenta]]="Con Mov.",(IF(Table3[[#This Row],[Movimiento]]="Debe",Table3[[#This Row],[Importe]],IF(Table3[[#This Row],[Movimiento]]="Haber",Table3[[#This Row],[Importe]]*-1,0))),0)</f>
        <v>0</v>
      </c>
      <c r="K935" s="145" t="str">
        <f t="shared" si="43"/>
        <v/>
      </c>
      <c r="L935" s="145" t="str">
        <f t="shared" si="44"/>
        <v>HABER</v>
      </c>
      <c r="M935" t="str">
        <f>_xlfn.XLOOKUP(Table3[[#This Row],[Cuenta]],Estructura_Balance[Nombre Cuenta ()],Estructura_Balance[Grupo],"",0)</f>
        <v/>
      </c>
      <c r="N935" t="str">
        <f>_xlfn.XLOOKUP(Table3[[#This Row],[Cuenta]],Estructura_Balance[Nombre Cuenta ()],Estructura_Balance[Nivel 1],"",0)</f>
        <v/>
      </c>
      <c r="O935" t="str">
        <f>_xlfn.XLOOKUP(Table3[[#This Row],[Cuenta]],Estructura_Balance[Nombre Cuenta ()],Estructura_Balance[Nivel 2],"",0)</f>
        <v/>
      </c>
      <c r="P935" t="str">
        <f>_xlfn.XLOOKUP(Table3[[#This Row],[Cuenta]],Estructura_Balance[Nombre Cuenta ()],Estructura_Balance[Nivel 3],"",0)</f>
        <v/>
      </c>
      <c r="Q935" t="str">
        <f>_xlfn.XLOOKUP(Table3[[#This Row],[Cuenta]],Estructura_Balance[Nombre Cuenta ()],Estructura_Balance[Nivel 4],"",0)</f>
        <v/>
      </c>
      <c r="R935" t="str">
        <f>_xlfn.XLOOKUP(Table3[[#This Row],[Cuenta]],Table8[Nombre Cuenta ()],Table8[Nivel 1],"",0)</f>
        <v/>
      </c>
      <c r="S935" t="str">
        <f>_xlfn.XLOOKUP(Table3[[#This Row],[Cuenta]],Table8[Nombre Cuenta ()],Table8[Nivel 2],"",0)</f>
        <v/>
      </c>
      <c r="T935" t="str">
        <f>_xlfn.XLOOKUP(Table3[[#This Row],[Cuenta]],Table8[Nombre Cuenta ()],Table8[Nivel 3],"",0)</f>
        <v/>
      </c>
      <c r="U935">
        <v>1605</v>
      </c>
      <c r="V935" t="str">
        <f>_xlfn.XLOOKUP(Table3[[#This Row],[Cuenta]],Estructura_Balance[Nombre Cuenta ()],Estructura_Balance[Niveles:2],"",0)</f>
        <v/>
      </c>
      <c r="W935" t="str">
        <f>_xlfn.XLOOKUP(Table3[[#This Row],[Cuenta]],Estructura_Balance[Nombre Cuenta ()],Estructura_Balance[Niveles:3],"",0)</f>
        <v/>
      </c>
      <c r="X935" t="str">
        <f>_xlfn.XLOOKUP(Table3[[#This Row],[Cuenta]],Estructura_Balance[Nombre Cuenta ()],Estructura_Balance[Grupos],"Grupo 1",0)</f>
        <v>Grupo 1</v>
      </c>
      <c r="Y935" t="str">
        <f>+Table3[[#This Row],[BS_Nivel_1]]</f>
        <v/>
      </c>
    </row>
    <row r="936" spans="1:25">
      <c r="A936">
        <f>+'Libro Diario'!F213</f>
        <v>0</v>
      </c>
      <c r="B936" s="144">
        <f>VALUE(IF(+'Libro Diario'!G213="","01/01/2025",+'Libro Diario'!G213))</f>
        <v>45658</v>
      </c>
      <c r="C936">
        <f>IF(ISNUMBER(+IF(IFERROR(VALUE(MID('Libro Diario'!D213,1,4)),0)&lt;&gt;0,'Libro Diario'!D213,0))=FALSE,'Libro Diario'!D213,0)</f>
        <v>0</v>
      </c>
      <c r="D936" s="145">
        <f>+'Libro Diario'!E213</f>
        <v>0</v>
      </c>
      <c r="E936" s="139" t="s">
        <v>446</v>
      </c>
      <c r="F936" t="str">
        <f t="shared" si="42"/>
        <v>Sin Mov.</v>
      </c>
      <c r="G936" t="str">
        <f>IF(+'Libro Diario'!H213=0,"",+'Libro Diario'!H213)</f>
        <v/>
      </c>
      <c r="H936" t="str">
        <f>IF(+'Libro Diario'!I213=0,"",+'Libro Diario'!I213)</f>
        <v/>
      </c>
      <c r="I936" t="str">
        <f>+IF(Table3[[#This Row],[Tipo Movimiento]]="Estructura Balance y PyG","Excluir","Incluir")</f>
        <v>Incluir</v>
      </c>
      <c r="J936" s="153">
        <f>+IF(Table3[[#This Row],[Sin cuenta]]="Con Mov.",(IF(Table3[[#This Row],[Movimiento]]="Debe",Table3[[#This Row],[Importe]],IF(Table3[[#This Row],[Movimiento]]="Haber",Table3[[#This Row],[Importe]]*-1,0))),0)</f>
        <v>0</v>
      </c>
      <c r="K936" s="145" t="str">
        <f t="shared" si="43"/>
        <v/>
      </c>
      <c r="L936" s="145">
        <f t="shared" si="44"/>
        <v>0</v>
      </c>
      <c r="M936" t="str">
        <f>_xlfn.XLOOKUP(Table3[[#This Row],[Cuenta]],Estructura_Balance[Nombre Cuenta ()],Estructura_Balance[Grupo],"",0)</f>
        <v/>
      </c>
      <c r="N936" t="str">
        <f>_xlfn.XLOOKUP(Table3[[#This Row],[Cuenta]],Estructura_Balance[Nombre Cuenta ()],Estructura_Balance[Nivel 1],"",0)</f>
        <v/>
      </c>
      <c r="O936" t="str">
        <f>_xlfn.XLOOKUP(Table3[[#This Row],[Cuenta]],Estructura_Balance[Nombre Cuenta ()],Estructura_Balance[Nivel 2],"",0)</f>
        <v/>
      </c>
      <c r="P936" t="str">
        <f>_xlfn.XLOOKUP(Table3[[#This Row],[Cuenta]],Estructura_Balance[Nombre Cuenta ()],Estructura_Balance[Nivel 3],"",0)</f>
        <v/>
      </c>
      <c r="Q936" t="str">
        <f>_xlfn.XLOOKUP(Table3[[#This Row],[Cuenta]],Estructura_Balance[Nombre Cuenta ()],Estructura_Balance[Nivel 4],"",0)</f>
        <v/>
      </c>
      <c r="R936" t="str">
        <f>_xlfn.XLOOKUP(Table3[[#This Row],[Cuenta]],Table8[Nombre Cuenta ()],Table8[Nivel 1],"",0)</f>
        <v/>
      </c>
      <c r="S936" t="str">
        <f>_xlfn.XLOOKUP(Table3[[#This Row],[Cuenta]],Table8[Nombre Cuenta ()],Table8[Nivel 2],"",0)</f>
        <v/>
      </c>
      <c r="T936" t="str">
        <f>_xlfn.XLOOKUP(Table3[[#This Row],[Cuenta]],Table8[Nombre Cuenta ()],Table8[Nivel 3],"",0)</f>
        <v/>
      </c>
      <c r="U936">
        <v>1606</v>
      </c>
      <c r="V936" t="str">
        <f>_xlfn.XLOOKUP(Table3[[#This Row],[Cuenta]],Estructura_Balance[Nombre Cuenta ()],Estructura_Balance[Niveles:2],"",0)</f>
        <v/>
      </c>
      <c r="W936" t="str">
        <f>_xlfn.XLOOKUP(Table3[[#This Row],[Cuenta]],Estructura_Balance[Nombre Cuenta ()],Estructura_Balance[Niveles:3],"",0)</f>
        <v/>
      </c>
      <c r="X936" t="str">
        <f>_xlfn.XLOOKUP(Table3[[#This Row],[Cuenta]],Estructura_Balance[Nombre Cuenta ()],Estructura_Balance[Grupos],"Grupo 1",0)</f>
        <v>Grupo 1</v>
      </c>
      <c r="Y936" t="str">
        <f>+Table3[[#This Row],[BS_Nivel_1]]</f>
        <v/>
      </c>
    </row>
    <row r="937" spans="1:25">
      <c r="A937">
        <f>+'Libro Diario'!F216</f>
        <v>0</v>
      </c>
      <c r="B937" s="144">
        <f>VALUE(IF(+'Libro Diario'!G216="","01/01/2025",+'Libro Diario'!G216))</f>
        <v>45658</v>
      </c>
      <c r="C937">
        <f>IF(ISNUMBER(+IF(IFERROR(VALUE(MID('Libro Diario'!D216,1,4)),0)&lt;&gt;0,'Libro Diario'!D216,0))=FALSE,'Libro Diario'!D216,0)</f>
        <v>0</v>
      </c>
      <c r="D937" s="145">
        <f>+'Libro Diario'!E216</f>
        <v>0</v>
      </c>
      <c r="E937" s="139" t="s">
        <v>446</v>
      </c>
      <c r="F937" t="str">
        <f t="shared" si="42"/>
        <v>Sin Mov.</v>
      </c>
      <c r="G937" t="str">
        <f>IF(+'Libro Diario'!H216=0,"",+'Libro Diario'!H216)</f>
        <v/>
      </c>
      <c r="H937" t="str">
        <f>IF(+'Libro Diario'!I216=0,"",+'Libro Diario'!I216)</f>
        <v/>
      </c>
      <c r="I937" t="str">
        <f>+IF(Table3[[#This Row],[Tipo Movimiento]]="Estructura Balance y PyG","Excluir","Incluir")</f>
        <v>Incluir</v>
      </c>
      <c r="J937" s="153">
        <f>+IF(Table3[[#This Row],[Sin cuenta]]="Con Mov.",(IF(Table3[[#This Row],[Movimiento]]="Debe",Table3[[#This Row],[Importe]],IF(Table3[[#This Row],[Movimiento]]="Haber",Table3[[#This Row],[Importe]]*-1,0))),0)</f>
        <v>0</v>
      </c>
      <c r="K937" s="145" t="str">
        <f t="shared" si="43"/>
        <v/>
      </c>
      <c r="L937" s="145">
        <f t="shared" si="44"/>
        <v>0</v>
      </c>
      <c r="M937" t="str">
        <f>_xlfn.XLOOKUP(Table3[[#This Row],[Cuenta]],Estructura_Balance[Nombre Cuenta ()],Estructura_Balance[Grupo],"",0)</f>
        <v/>
      </c>
      <c r="N937" t="str">
        <f>_xlfn.XLOOKUP(Table3[[#This Row],[Cuenta]],Estructura_Balance[Nombre Cuenta ()],Estructura_Balance[Nivel 1],"",0)</f>
        <v/>
      </c>
      <c r="O937" t="str">
        <f>_xlfn.XLOOKUP(Table3[[#This Row],[Cuenta]],Estructura_Balance[Nombre Cuenta ()],Estructura_Balance[Nivel 2],"",0)</f>
        <v/>
      </c>
      <c r="P937" t="str">
        <f>_xlfn.XLOOKUP(Table3[[#This Row],[Cuenta]],Estructura_Balance[Nombre Cuenta ()],Estructura_Balance[Nivel 3],"",0)</f>
        <v/>
      </c>
      <c r="Q937" t="str">
        <f>_xlfn.XLOOKUP(Table3[[#This Row],[Cuenta]],Estructura_Balance[Nombre Cuenta ()],Estructura_Balance[Nivel 4],"",0)</f>
        <v/>
      </c>
      <c r="R937" t="str">
        <f>_xlfn.XLOOKUP(Table3[[#This Row],[Cuenta]],Table8[Nombre Cuenta ()],Table8[Nivel 1],"",0)</f>
        <v/>
      </c>
      <c r="S937" t="str">
        <f>_xlfn.XLOOKUP(Table3[[#This Row],[Cuenta]],Table8[Nombre Cuenta ()],Table8[Nivel 2],"",0)</f>
        <v/>
      </c>
      <c r="T937" t="str">
        <f>_xlfn.XLOOKUP(Table3[[#This Row],[Cuenta]],Table8[Nombre Cuenta ()],Table8[Nivel 3],"",0)</f>
        <v/>
      </c>
      <c r="U937">
        <v>1609</v>
      </c>
      <c r="V937" t="str">
        <f>_xlfn.XLOOKUP(Table3[[#This Row],[Cuenta]],Estructura_Balance[Nombre Cuenta ()],Estructura_Balance[Niveles:2],"",0)</f>
        <v/>
      </c>
      <c r="W937" t="str">
        <f>_xlfn.XLOOKUP(Table3[[#This Row],[Cuenta]],Estructura_Balance[Nombre Cuenta ()],Estructura_Balance[Niveles:3],"",0)</f>
        <v/>
      </c>
      <c r="X937" t="str">
        <f>_xlfn.XLOOKUP(Table3[[#This Row],[Cuenta]],Estructura_Balance[Nombre Cuenta ()],Estructura_Balance[Grupos],"Grupo 1",0)</f>
        <v>Grupo 1</v>
      </c>
      <c r="Y937" t="str">
        <f>+Table3[[#This Row],[BS_Nivel_1]]</f>
        <v/>
      </c>
    </row>
    <row r="938" spans="1:25">
      <c r="A938">
        <f>+'Libro Diario'!F217</f>
        <v>0</v>
      </c>
      <c r="B938" s="144">
        <f>VALUE(IF(+'Libro Diario'!G217="","01/01/2025",+'Libro Diario'!G217))</f>
        <v>45658</v>
      </c>
      <c r="C938">
        <f>IF(ISNUMBER(+IF(IFERROR(VALUE(MID('Libro Diario'!D217,1,4)),0)&lt;&gt;0,'Libro Diario'!D217,0))=FALSE,'Libro Diario'!D217,0)</f>
        <v>0</v>
      </c>
      <c r="D938" s="145">
        <f>+'Libro Diario'!E217</f>
        <v>0</v>
      </c>
      <c r="E938" s="139" t="s">
        <v>446</v>
      </c>
      <c r="F938" t="str">
        <f t="shared" si="42"/>
        <v>Sin Mov.</v>
      </c>
      <c r="G938" t="str">
        <f>IF(+'Libro Diario'!H217=0,"",+'Libro Diario'!H217)</f>
        <v/>
      </c>
      <c r="H938" t="str">
        <f>IF(+'Libro Diario'!I217=0,"",+'Libro Diario'!I217)</f>
        <v/>
      </c>
      <c r="I938" t="str">
        <f>+IF(Table3[[#This Row],[Tipo Movimiento]]="Estructura Balance y PyG","Excluir","Incluir")</f>
        <v>Incluir</v>
      </c>
      <c r="J938" s="153">
        <f>+IF(Table3[[#This Row],[Sin cuenta]]="Con Mov.",(IF(Table3[[#This Row],[Movimiento]]="Debe",Table3[[#This Row],[Importe]],IF(Table3[[#This Row],[Movimiento]]="Haber",Table3[[#This Row],[Importe]]*-1,0))),0)</f>
        <v>0</v>
      </c>
      <c r="K938" s="145" t="str">
        <f t="shared" si="43"/>
        <v/>
      </c>
      <c r="L938" s="145">
        <f t="shared" si="44"/>
        <v>0</v>
      </c>
      <c r="M938" t="str">
        <f>_xlfn.XLOOKUP(Table3[[#This Row],[Cuenta]],Estructura_Balance[Nombre Cuenta ()],Estructura_Balance[Grupo],"",0)</f>
        <v/>
      </c>
      <c r="N938" t="str">
        <f>_xlfn.XLOOKUP(Table3[[#This Row],[Cuenta]],Estructura_Balance[Nombre Cuenta ()],Estructura_Balance[Nivel 1],"",0)</f>
        <v/>
      </c>
      <c r="O938" t="str">
        <f>_xlfn.XLOOKUP(Table3[[#This Row],[Cuenta]],Estructura_Balance[Nombre Cuenta ()],Estructura_Balance[Nivel 2],"",0)</f>
        <v/>
      </c>
      <c r="P938" t="str">
        <f>_xlfn.XLOOKUP(Table3[[#This Row],[Cuenta]],Estructura_Balance[Nombre Cuenta ()],Estructura_Balance[Nivel 3],"",0)</f>
        <v/>
      </c>
      <c r="Q938" t="str">
        <f>_xlfn.XLOOKUP(Table3[[#This Row],[Cuenta]],Estructura_Balance[Nombre Cuenta ()],Estructura_Balance[Nivel 4],"",0)</f>
        <v/>
      </c>
      <c r="R938" t="str">
        <f>_xlfn.XLOOKUP(Table3[[#This Row],[Cuenta]],Table8[Nombre Cuenta ()],Table8[Nivel 1],"",0)</f>
        <v/>
      </c>
      <c r="S938" t="str">
        <f>_xlfn.XLOOKUP(Table3[[#This Row],[Cuenta]],Table8[Nombre Cuenta ()],Table8[Nivel 2],"",0)</f>
        <v/>
      </c>
      <c r="T938" t="str">
        <f>_xlfn.XLOOKUP(Table3[[#This Row],[Cuenta]],Table8[Nombre Cuenta ()],Table8[Nivel 3],"",0)</f>
        <v/>
      </c>
      <c r="U938">
        <v>1610</v>
      </c>
      <c r="V938" t="str">
        <f>_xlfn.XLOOKUP(Table3[[#This Row],[Cuenta]],Estructura_Balance[Nombre Cuenta ()],Estructura_Balance[Niveles:2],"",0)</f>
        <v/>
      </c>
      <c r="W938" t="str">
        <f>_xlfn.XLOOKUP(Table3[[#This Row],[Cuenta]],Estructura_Balance[Nombre Cuenta ()],Estructura_Balance[Niveles:3],"",0)</f>
        <v/>
      </c>
      <c r="X938" t="str">
        <f>_xlfn.XLOOKUP(Table3[[#This Row],[Cuenta]],Estructura_Balance[Nombre Cuenta ()],Estructura_Balance[Grupos],"Grupo 1",0)</f>
        <v>Grupo 1</v>
      </c>
      <c r="Y938" t="str">
        <f>+Table3[[#This Row],[BS_Nivel_1]]</f>
        <v/>
      </c>
    </row>
    <row r="939" spans="1:25">
      <c r="A939">
        <f>+'Libro Diario'!F218</f>
        <v>0</v>
      </c>
      <c r="B939" s="144">
        <f>VALUE(IF(+'Libro Diario'!G218="","01/01/2025",+'Libro Diario'!G218))</f>
        <v>45658</v>
      </c>
      <c r="C939">
        <f>IF(ISNUMBER(+IF(IFERROR(VALUE(MID('Libro Diario'!D218,1,4)),0)&lt;&gt;0,'Libro Diario'!D218,0))=FALSE,'Libro Diario'!D218,0)</f>
        <v>0</v>
      </c>
      <c r="D939" s="145">
        <f>+'Libro Diario'!E218</f>
        <v>0</v>
      </c>
      <c r="E939" s="139" t="s">
        <v>446</v>
      </c>
      <c r="F939" t="str">
        <f t="shared" si="42"/>
        <v>Sin Mov.</v>
      </c>
      <c r="G939" t="str">
        <f>IF(+'Libro Diario'!H218=0,"",+'Libro Diario'!H218)</f>
        <v/>
      </c>
      <c r="H939" t="str">
        <f>IF(+'Libro Diario'!I218=0,"",+'Libro Diario'!I218)</f>
        <v/>
      </c>
      <c r="I939" t="str">
        <f>+IF(Table3[[#This Row],[Tipo Movimiento]]="Estructura Balance y PyG","Excluir","Incluir")</f>
        <v>Incluir</v>
      </c>
      <c r="J939" s="153">
        <f>+IF(Table3[[#This Row],[Sin cuenta]]="Con Mov.",(IF(Table3[[#This Row],[Movimiento]]="Debe",Table3[[#This Row],[Importe]],IF(Table3[[#This Row],[Movimiento]]="Haber",Table3[[#This Row],[Importe]]*-1,0))),0)</f>
        <v>0</v>
      </c>
      <c r="K939" s="145" t="str">
        <f t="shared" si="43"/>
        <v/>
      </c>
      <c r="L939" s="145">
        <f t="shared" si="44"/>
        <v>0</v>
      </c>
      <c r="M939" t="str">
        <f>_xlfn.XLOOKUP(Table3[[#This Row],[Cuenta]],Estructura_Balance[Nombre Cuenta ()],Estructura_Balance[Grupo],"",0)</f>
        <v/>
      </c>
      <c r="N939" t="str">
        <f>_xlfn.XLOOKUP(Table3[[#This Row],[Cuenta]],Estructura_Balance[Nombre Cuenta ()],Estructura_Balance[Nivel 1],"",0)</f>
        <v/>
      </c>
      <c r="O939" t="str">
        <f>_xlfn.XLOOKUP(Table3[[#This Row],[Cuenta]],Estructura_Balance[Nombre Cuenta ()],Estructura_Balance[Nivel 2],"",0)</f>
        <v/>
      </c>
      <c r="P939" t="str">
        <f>_xlfn.XLOOKUP(Table3[[#This Row],[Cuenta]],Estructura_Balance[Nombre Cuenta ()],Estructura_Balance[Nivel 3],"",0)</f>
        <v/>
      </c>
      <c r="Q939" t="str">
        <f>_xlfn.XLOOKUP(Table3[[#This Row],[Cuenta]],Estructura_Balance[Nombre Cuenta ()],Estructura_Balance[Nivel 4],"",0)</f>
        <v/>
      </c>
      <c r="R939" t="str">
        <f>_xlfn.XLOOKUP(Table3[[#This Row],[Cuenta]],Table8[Nombre Cuenta ()],Table8[Nivel 1],"",0)</f>
        <v/>
      </c>
      <c r="S939" t="str">
        <f>_xlfn.XLOOKUP(Table3[[#This Row],[Cuenta]],Table8[Nombre Cuenta ()],Table8[Nivel 2],"",0)</f>
        <v/>
      </c>
      <c r="T939" t="str">
        <f>_xlfn.XLOOKUP(Table3[[#This Row],[Cuenta]],Table8[Nombre Cuenta ()],Table8[Nivel 3],"",0)</f>
        <v/>
      </c>
      <c r="U939">
        <v>1611</v>
      </c>
      <c r="V939" t="str">
        <f>_xlfn.XLOOKUP(Table3[[#This Row],[Cuenta]],Estructura_Balance[Nombre Cuenta ()],Estructura_Balance[Niveles:2],"",0)</f>
        <v/>
      </c>
      <c r="W939" t="str">
        <f>_xlfn.XLOOKUP(Table3[[#This Row],[Cuenta]],Estructura_Balance[Nombre Cuenta ()],Estructura_Balance[Niveles:3],"",0)</f>
        <v/>
      </c>
      <c r="X939" t="str">
        <f>_xlfn.XLOOKUP(Table3[[#This Row],[Cuenta]],Estructura_Balance[Nombre Cuenta ()],Estructura_Balance[Grupos],"Grupo 1",0)</f>
        <v>Grupo 1</v>
      </c>
      <c r="Y939" t="str">
        <f>+Table3[[#This Row],[BS_Nivel_1]]</f>
        <v/>
      </c>
    </row>
    <row r="940" spans="1:25">
      <c r="A940">
        <f>+'Libro Diario'!F219</f>
        <v>0</v>
      </c>
      <c r="B940" s="144">
        <f>VALUE(IF(+'Libro Diario'!G219="","01/01/2025",+'Libro Diario'!G219))</f>
        <v>45658</v>
      </c>
      <c r="C940">
        <f>IF(ISNUMBER(+IF(IFERROR(VALUE(MID('Libro Diario'!D219,1,4)),0)&lt;&gt;0,'Libro Diario'!D219,0))=FALSE,'Libro Diario'!D219,0)</f>
        <v>0</v>
      </c>
      <c r="D940" s="145" t="str">
        <f>+'Libro Diario'!E219</f>
        <v>HABER</v>
      </c>
      <c r="E940" s="139" t="s">
        <v>446</v>
      </c>
      <c r="F940" t="str">
        <f t="shared" si="42"/>
        <v>Sin Mov.</v>
      </c>
      <c r="G940" t="str">
        <f>IF(+'Libro Diario'!H219=0,"",+'Libro Diario'!H219)</f>
        <v/>
      </c>
      <c r="H940" t="str">
        <f>IF(+'Libro Diario'!I219=0,"",+'Libro Diario'!I219)</f>
        <v/>
      </c>
      <c r="I940" t="str">
        <f>+IF(Table3[[#This Row],[Tipo Movimiento]]="Estructura Balance y PyG","Excluir","Incluir")</f>
        <v>Incluir</v>
      </c>
      <c r="J940" s="153">
        <f>+IF(Table3[[#This Row],[Sin cuenta]]="Con Mov.",(IF(Table3[[#This Row],[Movimiento]]="Debe",Table3[[#This Row],[Importe]],IF(Table3[[#This Row],[Movimiento]]="Haber",Table3[[#This Row],[Importe]]*-1,0))),0)</f>
        <v>0</v>
      </c>
      <c r="K940" s="145" t="str">
        <f t="shared" si="43"/>
        <v/>
      </c>
      <c r="L940" s="145" t="str">
        <f t="shared" si="44"/>
        <v>HABER</v>
      </c>
      <c r="M940" t="str">
        <f>_xlfn.XLOOKUP(Table3[[#This Row],[Cuenta]],Estructura_Balance[Nombre Cuenta ()],Estructura_Balance[Grupo],"",0)</f>
        <v/>
      </c>
      <c r="N940" t="str">
        <f>_xlfn.XLOOKUP(Table3[[#This Row],[Cuenta]],Estructura_Balance[Nombre Cuenta ()],Estructura_Balance[Nivel 1],"",0)</f>
        <v/>
      </c>
      <c r="O940" t="str">
        <f>_xlfn.XLOOKUP(Table3[[#This Row],[Cuenta]],Estructura_Balance[Nombre Cuenta ()],Estructura_Balance[Nivel 2],"",0)</f>
        <v/>
      </c>
      <c r="P940" t="str">
        <f>_xlfn.XLOOKUP(Table3[[#This Row],[Cuenta]],Estructura_Balance[Nombre Cuenta ()],Estructura_Balance[Nivel 3],"",0)</f>
        <v/>
      </c>
      <c r="Q940" t="str">
        <f>_xlfn.XLOOKUP(Table3[[#This Row],[Cuenta]],Estructura_Balance[Nombre Cuenta ()],Estructura_Balance[Nivel 4],"",0)</f>
        <v/>
      </c>
      <c r="R940" t="str">
        <f>_xlfn.XLOOKUP(Table3[[#This Row],[Cuenta]],Table8[Nombre Cuenta ()],Table8[Nivel 1],"",0)</f>
        <v/>
      </c>
      <c r="S940" t="str">
        <f>_xlfn.XLOOKUP(Table3[[#This Row],[Cuenta]],Table8[Nombre Cuenta ()],Table8[Nivel 2],"",0)</f>
        <v/>
      </c>
      <c r="T940" t="str">
        <f>_xlfn.XLOOKUP(Table3[[#This Row],[Cuenta]],Table8[Nombre Cuenta ()],Table8[Nivel 3],"",0)</f>
        <v/>
      </c>
      <c r="U940">
        <v>1612</v>
      </c>
      <c r="V940" t="str">
        <f>_xlfn.XLOOKUP(Table3[[#This Row],[Cuenta]],Estructura_Balance[Nombre Cuenta ()],Estructura_Balance[Niveles:2],"",0)</f>
        <v/>
      </c>
      <c r="W940" t="str">
        <f>_xlfn.XLOOKUP(Table3[[#This Row],[Cuenta]],Estructura_Balance[Nombre Cuenta ()],Estructura_Balance[Niveles:3],"",0)</f>
        <v/>
      </c>
      <c r="X940" t="str">
        <f>_xlfn.XLOOKUP(Table3[[#This Row],[Cuenta]],Estructura_Balance[Nombre Cuenta ()],Estructura_Balance[Grupos],"Grupo 1",0)</f>
        <v>Grupo 1</v>
      </c>
      <c r="Y940" t="str">
        <f>+Table3[[#This Row],[BS_Nivel_1]]</f>
        <v/>
      </c>
    </row>
    <row r="941" spans="1:25">
      <c r="A941">
        <f>+'Libro Diario'!F220</f>
        <v>0</v>
      </c>
      <c r="B941" s="144">
        <f>VALUE(IF(+'Libro Diario'!G220="","01/01/2025",+'Libro Diario'!G220))</f>
        <v>45658</v>
      </c>
      <c r="C941">
        <f>IF(ISNUMBER(+IF(IFERROR(VALUE(MID('Libro Diario'!D220,1,4)),0)&lt;&gt;0,'Libro Diario'!D220,0))=FALSE,'Libro Diario'!D220,0)</f>
        <v>0</v>
      </c>
      <c r="D941" s="145">
        <f>+'Libro Diario'!E220</f>
        <v>0</v>
      </c>
      <c r="E941" s="139" t="s">
        <v>446</v>
      </c>
      <c r="F941" t="str">
        <f t="shared" si="42"/>
        <v>Sin Mov.</v>
      </c>
      <c r="G941" t="str">
        <f>IF(+'Libro Diario'!H220=0,"",+'Libro Diario'!H220)</f>
        <v/>
      </c>
      <c r="H941" t="str">
        <f>IF(+'Libro Diario'!I220=0,"",+'Libro Diario'!I220)</f>
        <v/>
      </c>
      <c r="I941" t="str">
        <f>+IF(Table3[[#This Row],[Tipo Movimiento]]="Estructura Balance y PyG","Excluir","Incluir")</f>
        <v>Incluir</v>
      </c>
      <c r="J941" s="153">
        <f>+IF(Table3[[#This Row],[Sin cuenta]]="Con Mov.",(IF(Table3[[#This Row],[Movimiento]]="Debe",Table3[[#This Row],[Importe]],IF(Table3[[#This Row],[Movimiento]]="Haber",Table3[[#This Row],[Importe]]*-1,0))),0)</f>
        <v>0</v>
      </c>
      <c r="K941" s="145" t="str">
        <f t="shared" si="43"/>
        <v/>
      </c>
      <c r="L941" s="145">
        <f t="shared" si="44"/>
        <v>0</v>
      </c>
      <c r="M941" t="str">
        <f>_xlfn.XLOOKUP(Table3[[#This Row],[Cuenta]],Estructura_Balance[Nombre Cuenta ()],Estructura_Balance[Grupo],"",0)</f>
        <v/>
      </c>
      <c r="N941" t="str">
        <f>_xlfn.XLOOKUP(Table3[[#This Row],[Cuenta]],Estructura_Balance[Nombre Cuenta ()],Estructura_Balance[Nivel 1],"",0)</f>
        <v/>
      </c>
      <c r="O941" t="str">
        <f>_xlfn.XLOOKUP(Table3[[#This Row],[Cuenta]],Estructura_Balance[Nombre Cuenta ()],Estructura_Balance[Nivel 2],"",0)</f>
        <v/>
      </c>
      <c r="P941" t="str">
        <f>_xlfn.XLOOKUP(Table3[[#This Row],[Cuenta]],Estructura_Balance[Nombre Cuenta ()],Estructura_Balance[Nivel 3],"",0)</f>
        <v/>
      </c>
      <c r="Q941" t="str">
        <f>_xlfn.XLOOKUP(Table3[[#This Row],[Cuenta]],Estructura_Balance[Nombre Cuenta ()],Estructura_Balance[Nivel 4],"",0)</f>
        <v/>
      </c>
      <c r="R941" t="str">
        <f>_xlfn.XLOOKUP(Table3[[#This Row],[Cuenta]],Table8[Nombre Cuenta ()],Table8[Nivel 1],"",0)</f>
        <v/>
      </c>
      <c r="S941" t="str">
        <f>_xlfn.XLOOKUP(Table3[[#This Row],[Cuenta]],Table8[Nombre Cuenta ()],Table8[Nivel 2],"",0)</f>
        <v/>
      </c>
      <c r="T941" t="str">
        <f>_xlfn.XLOOKUP(Table3[[#This Row],[Cuenta]],Table8[Nombre Cuenta ()],Table8[Nivel 3],"",0)</f>
        <v/>
      </c>
      <c r="U941">
        <v>1613</v>
      </c>
      <c r="V941" t="str">
        <f>_xlfn.XLOOKUP(Table3[[#This Row],[Cuenta]],Estructura_Balance[Nombre Cuenta ()],Estructura_Balance[Niveles:2],"",0)</f>
        <v/>
      </c>
      <c r="W941" t="str">
        <f>_xlfn.XLOOKUP(Table3[[#This Row],[Cuenta]],Estructura_Balance[Nombre Cuenta ()],Estructura_Balance[Niveles:3],"",0)</f>
        <v/>
      </c>
      <c r="X941" t="str">
        <f>_xlfn.XLOOKUP(Table3[[#This Row],[Cuenta]],Estructura_Balance[Nombre Cuenta ()],Estructura_Balance[Grupos],"Grupo 1",0)</f>
        <v>Grupo 1</v>
      </c>
      <c r="Y941" t="str">
        <f>+Table3[[#This Row],[BS_Nivel_1]]</f>
        <v/>
      </c>
    </row>
    <row r="942" spans="1:25">
      <c r="A942">
        <f>+'Libro Diario'!F223</f>
        <v>0</v>
      </c>
      <c r="B942" s="144">
        <f>VALUE(IF(+'Libro Diario'!G223="","01/01/2025",+'Libro Diario'!G223))</f>
        <v>45658</v>
      </c>
      <c r="C942">
        <f>IF(ISNUMBER(+IF(IFERROR(VALUE(MID('Libro Diario'!D223,1,4)),0)&lt;&gt;0,'Libro Diario'!D223,0))=FALSE,'Libro Diario'!D223,0)</f>
        <v>0</v>
      </c>
      <c r="D942" s="145">
        <f>+'Libro Diario'!E223</f>
        <v>0</v>
      </c>
      <c r="E942" s="139" t="s">
        <v>446</v>
      </c>
      <c r="F942" t="str">
        <f t="shared" si="42"/>
        <v>Sin Mov.</v>
      </c>
      <c r="G942" t="str">
        <f>IF(+'Libro Diario'!H223=0,"",+'Libro Diario'!H223)</f>
        <v/>
      </c>
      <c r="H942" t="str">
        <f>IF(+'Libro Diario'!I223=0,"",+'Libro Diario'!I223)</f>
        <v/>
      </c>
      <c r="I942" t="str">
        <f>+IF(Table3[[#This Row],[Tipo Movimiento]]="Estructura Balance y PyG","Excluir","Incluir")</f>
        <v>Incluir</v>
      </c>
      <c r="J942" s="153">
        <f>+IF(Table3[[#This Row],[Sin cuenta]]="Con Mov.",(IF(Table3[[#This Row],[Movimiento]]="Debe",Table3[[#This Row],[Importe]],IF(Table3[[#This Row],[Movimiento]]="Haber",Table3[[#This Row],[Importe]]*-1,0))),0)</f>
        <v>0</v>
      </c>
      <c r="K942" s="145" t="str">
        <f t="shared" si="43"/>
        <v/>
      </c>
      <c r="L942" s="145">
        <f t="shared" si="44"/>
        <v>0</v>
      </c>
      <c r="M942" t="str">
        <f>_xlfn.XLOOKUP(Table3[[#This Row],[Cuenta]],Estructura_Balance[Nombre Cuenta ()],Estructura_Balance[Grupo],"",0)</f>
        <v/>
      </c>
      <c r="N942" t="str">
        <f>_xlfn.XLOOKUP(Table3[[#This Row],[Cuenta]],Estructura_Balance[Nombre Cuenta ()],Estructura_Balance[Nivel 1],"",0)</f>
        <v/>
      </c>
      <c r="O942" t="str">
        <f>_xlfn.XLOOKUP(Table3[[#This Row],[Cuenta]],Estructura_Balance[Nombre Cuenta ()],Estructura_Balance[Nivel 2],"",0)</f>
        <v/>
      </c>
      <c r="P942" t="str">
        <f>_xlfn.XLOOKUP(Table3[[#This Row],[Cuenta]],Estructura_Balance[Nombre Cuenta ()],Estructura_Balance[Nivel 3],"",0)</f>
        <v/>
      </c>
      <c r="Q942" t="str">
        <f>_xlfn.XLOOKUP(Table3[[#This Row],[Cuenta]],Estructura_Balance[Nombre Cuenta ()],Estructura_Balance[Nivel 4],"",0)</f>
        <v/>
      </c>
      <c r="R942" t="str">
        <f>_xlfn.XLOOKUP(Table3[[#This Row],[Cuenta]],Table8[Nombre Cuenta ()],Table8[Nivel 1],"",0)</f>
        <v/>
      </c>
      <c r="S942" t="str">
        <f>_xlfn.XLOOKUP(Table3[[#This Row],[Cuenta]],Table8[Nombre Cuenta ()],Table8[Nivel 2],"",0)</f>
        <v/>
      </c>
      <c r="T942" t="str">
        <f>_xlfn.XLOOKUP(Table3[[#This Row],[Cuenta]],Table8[Nombre Cuenta ()],Table8[Nivel 3],"",0)</f>
        <v/>
      </c>
      <c r="U942">
        <v>1616</v>
      </c>
      <c r="V942" t="str">
        <f>_xlfn.XLOOKUP(Table3[[#This Row],[Cuenta]],Estructura_Balance[Nombre Cuenta ()],Estructura_Balance[Niveles:2],"",0)</f>
        <v/>
      </c>
      <c r="W942" t="str">
        <f>_xlfn.XLOOKUP(Table3[[#This Row],[Cuenta]],Estructura_Balance[Nombre Cuenta ()],Estructura_Balance[Niveles:3],"",0)</f>
        <v/>
      </c>
      <c r="X942" t="str">
        <f>_xlfn.XLOOKUP(Table3[[#This Row],[Cuenta]],Estructura_Balance[Nombre Cuenta ()],Estructura_Balance[Grupos],"Grupo 1",0)</f>
        <v>Grupo 1</v>
      </c>
      <c r="Y942" t="str">
        <f>+Table3[[#This Row],[BS_Nivel_1]]</f>
        <v/>
      </c>
    </row>
    <row r="943" spans="1:25">
      <c r="A943">
        <f>+'Libro Diario'!F224</f>
        <v>0</v>
      </c>
      <c r="B943" s="144">
        <f>VALUE(IF(+'Libro Diario'!G224="","01/01/2025",+'Libro Diario'!G224))</f>
        <v>45658</v>
      </c>
      <c r="C943">
        <f>IF(ISNUMBER(+IF(IFERROR(VALUE(MID('Libro Diario'!D224,1,4)),0)&lt;&gt;0,'Libro Diario'!D224,0))=FALSE,'Libro Diario'!D224,0)</f>
        <v>0</v>
      </c>
      <c r="D943" s="145">
        <f>+'Libro Diario'!E224</f>
        <v>0</v>
      </c>
      <c r="E943" s="139" t="s">
        <v>446</v>
      </c>
      <c r="F943" t="str">
        <f t="shared" si="42"/>
        <v>Sin Mov.</v>
      </c>
      <c r="G943" t="str">
        <f>IF(+'Libro Diario'!H224=0,"",+'Libro Diario'!H224)</f>
        <v/>
      </c>
      <c r="H943" t="str">
        <f>IF(+'Libro Diario'!I224=0,"",+'Libro Diario'!I224)</f>
        <v/>
      </c>
      <c r="I943" t="str">
        <f>+IF(Table3[[#This Row],[Tipo Movimiento]]="Estructura Balance y PyG","Excluir","Incluir")</f>
        <v>Incluir</v>
      </c>
      <c r="J943" s="153">
        <f>+IF(Table3[[#This Row],[Sin cuenta]]="Con Mov.",(IF(Table3[[#This Row],[Movimiento]]="Debe",Table3[[#This Row],[Importe]],IF(Table3[[#This Row],[Movimiento]]="Haber",Table3[[#This Row],[Importe]]*-1,0))),0)</f>
        <v>0</v>
      </c>
      <c r="K943" s="145" t="str">
        <f t="shared" si="43"/>
        <v/>
      </c>
      <c r="L943" s="145">
        <f t="shared" si="44"/>
        <v>0</v>
      </c>
      <c r="M943" t="str">
        <f>_xlfn.XLOOKUP(Table3[[#This Row],[Cuenta]],Estructura_Balance[Nombre Cuenta ()],Estructura_Balance[Grupo],"",0)</f>
        <v/>
      </c>
      <c r="N943" t="str">
        <f>_xlfn.XLOOKUP(Table3[[#This Row],[Cuenta]],Estructura_Balance[Nombre Cuenta ()],Estructura_Balance[Nivel 1],"",0)</f>
        <v/>
      </c>
      <c r="O943" t="str">
        <f>_xlfn.XLOOKUP(Table3[[#This Row],[Cuenta]],Estructura_Balance[Nombre Cuenta ()],Estructura_Balance[Nivel 2],"",0)</f>
        <v/>
      </c>
      <c r="P943" t="str">
        <f>_xlfn.XLOOKUP(Table3[[#This Row],[Cuenta]],Estructura_Balance[Nombre Cuenta ()],Estructura_Balance[Nivel 3],"",0)</f>
        <v/>
      </c>
      <c r="Q943" t="str">
        <f>_xlfn.XLOOKUP(Table3[[#This Row],[Cuenta]],Estructura_Balance[Nombre Cuenta ()],Estructura_Balance[Nivel 4],"",0)</f>
        <v/>
      </c>
      <c r="R943" t="str">
        <f>_xlfn.XLOOKUP(Table3[[#This Row],[Cuenta]],Table8[Nombre Cuenta ()],Table8[Nivel 1],"",0)</f>
        <v/>
      </c>
      <c r="S943" t="str">
        <f>_xlfn.XLOOKUP(Table3[[#This Row],[Cuenta]],Table8[Nombre Cuenta ()],Table8[Nivel 2],"",0)</f>
        <v/>
      </c>
      <c r="T943" t="str">
        <f>_xlfn.XLOOKUP(Table3[[#This Row],[Cuenta]],Table8[Nombre Cuenta ()],Table8[Nivel 3],"",0)</f>
        <v/>
      </c>
      <c r="U943">
        <v>1617</v>
      </c>
      <c r="V943" t="str">
        <f>_xlfn.XLOOKUP(Table3[[#This Row],[Cuenta]],Estructura_Balance[Nombre Cuenta ()],Estructura_Balance[Niveles:2],"",0)</f>
        <v/>
      </c>
      <c r="W943" t="str">
        <f>_xlfn.XLOOKUP(Table3[[#This Row],[Cuenta]],Estructura_Balance[Nombre Cuenta ()],Estructura_Balance[Niveles:3],"",0)</f>
        <v/>
      </c>
      <c r="X943" t="str">
        <f>_xlfn.XLOOKUP(Table3[[#This Row],[Cuenta]],Estructura_Balance[Nombre Cuenta ()],Estructura_Balance[Grupos],"Grupo 1",0)</f>
        <v>Grupo 1</v>
      </c>
      <c r="Y943" t="str">
        <f>+Table3[[#This Row],[BS_Nivel_1]]</f>
        <v/>
      </c>
    </row>
    <row r="944" spans="1:25">
      <c r="A944">
        <f>+'Libro Diario'!F225</f>
        <v>0</v>
      </c>
      <c r="B944" s="144">
        <f>VALUE(IF(+'Libro Diario'!G225="","01/01/2025",+'Libro Diario'!G225))</f>
        <v>45658</v>
      </c>
      <c r="C944">
        <f>IF(ISNUMBER(+IF(IFERROR(VALUE(MID('Libro Diario'!D225,1,4)),0)&lt;&gt;0,'Libro Diario'!D225,0))=FALSE,'Libro Diario'!D225,0)</f>
        <v>0</v>
      </c>
      <c r="D944" s="145">
        <f>+'Libro Diario'!E225</f>
        <v>0</v>
      </c>
      <c r="E944" s="139" t="s">
        <v>446</v>
      </c>
      <c r="F944" t="str">
        <f t="shared" si="42"/>
        <v>Sin Mov.</v>
      </c>
      <c r="G944" t="str">
        <f>IF(+'Libro Diario'!H225=0,"",+'Libro Diario'!H225)</f>
        <v/>
      </c>
      <c r="H944" t="str">
        <f>IF(+'Libro Diario'!I225=0,"",+'Libro Diario'!I225)</f>
        <v/>
      </c>
      <c r="I944" t="str">
        <f>+IF(Table3[[#This Row],[Tipo Movimiento]]="Estructura Balance y PyG","Excluir","Incluir")</f>
        <v>Incluir</v>
      </c>
      <c r="J944" s="153">
        <f>+IF(Table3[[#This Row],[Sin cuenta]]="Con Mov.",(IF(Table3[[#This Row],[Movimiento]]="Debe",Table3[[#This Row],[Importe]],IF(Table3[[#This Row],[Movimiento]]="Haber",Table3[[#This Row],[Importe]]*-1,0))),0)</f>
        <v>0</v>
      </c>
      <c r="K944" s="145" t="str">
        <f t="shared" si="43"/>
        <v/>
      </c>
      <c r="L944" s="145">
        <f t="shared" si="44"/>
        <v>0</v>
      </c>
      <c r="M944" t="str">
        <f>_xlfn.XLOOKUP(Table3[[#This Row],[Cuenta]],Estructura_Balance[Nombre Cuenta ()],Estructura_Balance[Grupo],"",0)</f>
        <v/>
      </c>
      <c r="N944" t="str">
        <f>_xlfn.XLOOKUP(Table3[[#This Row],[Cuenta]],Estructura_Balance[Nombre Cuenta ()],Estructura_Balance[Nivel 1],"",0)</f>
        <v/>
      </c>
      <c r="O944" t="str">
        <f>_xlfn.XLOOKUP(Table3[[#This Row],[Cuenta]],Estructura_Balance[Nombre Cuenta ()],Estructura_Balance[Nivel 2],"",0)</f>
        <v/>
      </c>
      <c r="P944" t="str">
        <f>_xlfn.XLOOKUP(Table3[[#This Row],[Cuenta]],Estructura_Balance[Nombre Cuenta ()],Estructura_Balance[Nivel 3],"",0)</f>
        <v/>
      </c>
      <c r="Q944" t="str">
        <f>_xlfn.XLOOKUP(Table3[[#This Row],[Cuenta]],Estructura_Balance[Nombre Cuenta ()],Estructura_Balance[Nivel 4],"",0)</f>
        <v/>
      </c>
      <c r="R944" t="str">
        <f>_xlfn.XLOOKUP(Table3[[#This Row],[Cuenta]],Table8[Nombre Cuenta ()],Table8[Nivel 1],"",0)</f>
        <v/>
      </c>
      <c r="S944" t="str">
        <f>_xlfn.XLOOKUP(Table3[[#This Row],[Cuenta]],Table8[Nombre Cuenta ()],Table8[Nivel 2],"",0)</f>
        <v/>
      </c>
      <c r="T944" t="str">
        <f>_xlfn.XLOOKUP(Table3[[#This Row],[Cuenta]],Table8[Nombre Cuenta ()],Table8[Nivel 3],"",0)</f>
        <v/>
      </c>
      <c r="U944">
        <v>1618</v>
      </c>
      <c r="V944" t="str">
        <f>_xlfn.XLOOKUP(Table3[[#This Row],[Cuenta]],Estructura_Balance[Nombre Cuenta ()],Estructura_Balance[Niveles:2],"",0)</f>
        <v/>
      </c>
      <c r="W944" t="str">
        <f>_xlfn.XLOOKUP(Table3[[#This Row],[Cuenta]],Estructura_Balance[Nombre Cuenta ()],Estructura_Balance[Niveles:3],"",0)</f>
        <v/>
      </c>
      <c r="X944" t="str">
        <f>_xlfn.XLOOKUP(Table3[[#This Row],[Cuenta]],Estructura_Balance[Nombre Cuenta ()],Estructura_Balance[Grupos],"Grupo 1",0)</f>
        <v>Grupo 1</v>
      </c>
      <c r="Y944" t="str">
        <f>+Table3[[#This Row],[BS_Nivel_1]]</f>
        <v/>
      </c>
    </row>
    <row r="945" spans="1:25">
      <c r="A945">
        <f>+'Libro Diario'!F226</f>
        <v>0</v>
      </c>
      <c r="B945" s="144">
        <f>VALUE(IF(+'Libro Diario'!G226="","01/01/2025",+'Libro Diario'!G226))</f>
        <v>45658</v>
      </c>
      <c r="C945">
        <f>IF(ISNUMBER(+IF(IFERROR(VALUE(MID('Libro Diario'!D226,1,4)),0)&lt;&gt;0,'Libro Diario'!D226,0))=FALSE,'Libro Diario'!D226,0)</f>
        <v>0</v>
      </c>
      <c r="D945" s="145" t="str">
        <f>+'Libro Diario'!E226</f>
        <v>HABER</v>
      </c>
      <c r="E945" s="139" t="s">
        <v>446</v>
      </c>
      <c r="F945" t="str">
        <f t="shared" si="42"/>
        <v>Sin Mov.</v>
      </c>
      <c r="G945" t="str">
        <f>IF(+'Libro Diario'!H226=0,"",+'Libro Diario'!H226)</f>
        <v/>
      </c>
      <c r="H945" t="str">
        <f>IF(+'Libro Diario'!I226=0,"",+'Libro Diario'!I226)</f>
        <v/>
      </c>
      <c r="I945" t="str">
        <f>+IF(Table3[[#This Row],[Tipo Movimiento]]="Estructura Balance y PyG","Excluir","Incluir")</f>
        <v>Incluir</v>
      </c>
      <c r="J945" s="153">
        <f>+IF(Table3[[#This Row],[Sin cuenta]]="Con Mov.",(IF(Table3[[#This Row],[Movimiento]]="Debe",Table3[[#This Row],[Importe]],IF(Table3[[#This Row],[Movimiento]]="Haber",Table3[[#This Row],[Importe]]*-1,0))),0)</f>
        <v>0</v>
      </c>
      <c r="K945" s="145" t="str">
        <f t="shared" si="43"/>
        <v/>
      </c>
      <c r="L945" s="145" t="str">
        <f t="shared" si="44"/>
        <v>HABER</v>
      </c>
      <c r="M945" t="str">
        <f>_xlfn.XLOOKUP(Table3[[#This Row],[Cuenta]],Estructura_Balance[Nombre Cuenta ()],Estructura_Balance[Grupo],"",0)</f>
        <v/>
      </c>
      <c r="N945" t="str">
        <f>_xlfn.XLOOKUP(Table3[[#This Row],[Cuenta]],Estructura_Balance[Nombre Cuenta ()],Estructura_Balance[Nivel 1],"",0)</f>
        <v/>
      </c>
      <c r="O945" t="str">
        <f>_xlfn.XLOOKUP(Table3[[#This Row],[Cuenta]],Estructura_Balance[Nombre Cuenta ()],Estructura_Balance[Nivel 2],"",0)</f>
        <v/>
      </c>
      <c r="P945" t="str">
        <f>_xlfn.XLOOKUP(Table3[[#This Row],[Cuenta]],Estructura_Balance[Nombre Cuenta ()],Estructura_Balance[Nivel 3],"",0)</f>
        <v/>
      </c>
      <c r="Q945" t="str">
        <f>_xlfn.XLOOKUP(Table3[[#This Row],[Cuenta]],Estructura_Balance[Nombre Cuenta ()],Estructura_Balance[Nivel 4],"",0)</f>
        <v/>
      </c>
      <c r="R945" t="str">
        <f>_xlfn.XLOOKUP(Table3[[#This Row],[Cuenta]],Table8[Nombre Cuenta ()],Table8[Nivel 1],"",0)</f>
        <v/>
      </c>
      <c r="S945" t="str">
        <f>_xlfn.XLOOKUP(Table3[[#This Row],[Cuenta]],Table8[Nombre Cuenta ()],Table8[Nivel 2],"",0)</f>
        <v/>
      </c>
      <c r="T945" t="str">
        <f>_xlfn.XLOOKUP(Table3[[#This Row],[Cuenta]],Table8[Nombre Cuenta ()],Table8[Nivel 3],"",0)</f>
        <v/>
      </c>
      <c r="U945">
        <v>1619</v>
      </c>
      <c r="V945" t="str">
        <f>_xlfn.XLOOKUP(Table3[[#This Row],[Cuenta]],Estructura_Balance[Nombre Cuenta ()],Estructura_Balance[Niveles:2],"",0)</f>
        <v/>
      </c>
      <c r="W945" t="str">
        <f>_xlfn.XLOOKUP(Table3[[#This Row],[Cuenta]],Estructura_Balance[Nombre Cuenta ()],Estructura_Balance[Niveles:3],"",0)</f>
        <v/>
      </c>
      <c r="X945" t="str">
        <f>_xlfn.XLOOKUP(Table3[[#This Row],[Cuenta]],Estructura_Balance[Nombre Cuenta ()],Estructura_Balance[Grupos],"Grupo 1",0)</f>
        <v>Grupo 1</v>
      </c>
      <c r="Y945" t="str">
        <f>+Table3[[#This Row],[BS_Nivel_1]]</f>
        <v/>
      </c>
    </row>
    <row r="946" spans="1:25">
      <c r="A946">
        <f>+'Libro Diario'!F227</f>
        <v>0</v>
      </c>
      <c r="B946" s="144">
        <f>VALUE(IF(+'Libro Diario'!G227="","01/01/2025",+'Libro Diario'!G227))</f>
        <v>45658</v>
      </c>
      <c r="C946">
        <f>IF(ISNUMBER(+IF(IFERROR(VALUE(MID('Libro Diario'!D227,1,4)),0)&lt;&gt;0,'Libro Diario'!D227,0))=FALSE,'Libro Diario'!D227,0)</f>
        <v>0</v>
      </c>
      <c r="D946" s="145">
        <f>+'Libro Diario'!E227</f>
        <v>0</v>
      </c>
      <c r="E946" s="139" t="s">
        <v>446</v>
      </c>
      <c r="F946" t="str">
        <f t="shared" si="42"/>
        <v>Sin Mov.</v>
      </c>
      <c r="G946" t="str">
        <f>IF(+'Libro Diario'!H227=0,"",+'Libro Diario'!H227)</f>
        <v/>
      </c>
      <c r="H946" t="str">
        <f>IF(+'Libro Diario'!I227=0,"",+'Libro Diario'!I227)</f>
        <v/>
      </c>
      <c r="I946" t="str">
        <f>+IF(Table3[[#This Row],[Tipo Movimiento]]="Estructura Balance y PyG","Excluir","Incluir")</f>
        <v>Incluir</v>
      </c>
      <c r="J946" s="153">
        <f>+IF(Table3[[#This Row],[Sin cuenta]]="Con Mov.",(IF(Table3[[#This Row],[Movimiento]]="Debe",Table3[[#This Row],[Importe]],IF(Table3[[#This Row],[Movimiento]]="Haber",Table3[[#This Row],[Importe]]*-1,0))),0)</f>
        <v>0</v>
      </c>
      <c r="K946" s="145" t="str">
        <f t="shared" si="43"/>
        <v/>
      </c>
      <c r="L946" s="145">
        <f t="shared" si="44"/>
        <v>0</v>
      </c>
      <c r="M946" t="str">
        <f>_xlfn.XLOOKUP(Table3[[#This Row],[Cuenta]],Estructura_Balance[Nombre Cuenta ()],Estructura_Balance[Grupo],"",0)</f>
        <v/>
      </c>
      <c r="N946" t="str">
        <f>_xlfn.XLOOKUP(Table3[[#This Row],[Cuenta]],Estructura_Balance[Nombre Cuenta ()],Estructura_Balance[Nivel 1],"",0)</f>
        <v/>
      </c>
      <c r="O946" t="str">
        <f>_xlfn.XLOOKUP(Table3[[#This Row],[Cuenta]],Estructura_Balance[Nombre Cuenta ()],Estructura_Balance[Nivel 2],"",0)</f>
        <v/>
      </c>
      <c r="P946" t="str">
        <f>_xlfn.XLOOKUP(Table3[[#This Row],[Cuenta]],Estructura_Balance[Nombre Cuenta ()],Estructura_Balance[Nivel 3],"",0)</f>
        <v/>
      </c>
      <c r="Q946" t="str">
        <f>_xlfn.XLOOKUP(Table3[[#This Row],[Cuenta]],Estructura_Balance[Nombre Cuenta ()],Estructura_Balance[Nivel 4],"",0)</f>
        <v/>
      </c>
      <c r="R946" t="str">
        <f>_xlfn.XLOOKUP(Table3[[#This Row],[Cuenta]],Table8[Nombre Cuenta ()],Table8[Nivel 1],"",0)</f>
        <v/>
      </c>
      <c r="S946" t="str">
        <f>_xlfn.XLOOKUP(Table3[[#This Row],[Cuenta]],Table8[Nombre Cuenta ()],Table8[Nivel 2],"",0)</f>
        <v/>
      </c>
      <c r="T946" t="str">
        <f>_xlfn.XLOOKUP(Table3[[#This Row],[Cuenta]],Table8[Nombre Cuenta ()],Table8[Nivel 3],"",0)</f>
        <v/>
      </c>
      <c r="U946">
        <v>1620</v>
      </c>
      <c r="V946" t="str">
        <f>_xlfn.XLOOKUP(Table3[[#This Row],[Cuenta]],Estructura_Balance[Nombre Cuenta ()],Estructura_Balance[Niveles:2],"",0)</f>
        <v/>
      </c>
      <c r="W946" t="str">
        <f>_xlfn.XLOOKUP(Table3[[#This Row],[Cuenta]],Estructura_Balance[Nombre Cuenta ()],Estructura_Balance[Niveles:3],"",0)</f>
        <v/>
      </c>
      <c r="X946" t="str">
        <f>_xlfn.XLOOKUP(Table3[[#This Row],[Cuenta]],Estructura_Balance[Nombre Cuenta ()],Estructura_Balance[Grupos],"Grupo 1",0)</f>
        <v>Grupo 1</v>
      </c>
      <c r="Y946" t="str">
        <f>+Table3[[#This Row],[BS_Nivel_1]]</f>
        <v/>
      </c>
    </row>
    <row r="947" spans="1:25">
      <c r="A947">
        <f>+'Libro Diario'!F230</f>
        <v>0</v>
      </c>
      <c r="B947" s="144">
        <f>VALUE(IF(+'Libro Diario'!G230="","01/01/2025",+'Libro Diario'!G230))</f>
        <v>45658</v>
      </c>
      <c r="C947">
        <f>IF(ISNUMBER(+IF(IFERROR(VALUE(MID('Libro Diario'!D230,1,4)),0)&lt;&gt;0,'Libro Diario'!D230,0))=FALSE,'Libro Diario'!D230,0)</f>
        <v>0</v>
      </c>
      <c r="D947" s="145">
        <f>+'Libro Diario'!E230</f>
        <v>0</v>
      </c>
      <c r="E947" s="139" t="s">
        <v>446</v>
      </c>
      <c r="F947" t="str">
        <f t="shared" si="42"/>
        <v>Sin Mov.</v>
      </c>
      <c r="G947" t="str">
        <f>IF(+'Libro Diario'!H230=0,"",+'Libro Diario'!H230)</f>
        <v/>
      </c>
      <c r="H947" t="str">
        <f>IF(+'Libro Diario'!I230=0,"",+'Libro Diario'!I230)</f>
        <v/>
      </c>
      <c r="I947" t="str">
        <f>+IF(Table3[[#This Row],[Tipo Movimiento]]="Estructura Balance y PyG","Excluir","Incluir")</f>
        <v>Incluir</v>
      </c>
      <c r="J947" s="153">
        <f>+IF(Table3[[#This Row],[Sin cuenta]]="Con Mov.",(IF(Table3[[#This Row],[Movimiento]]="Debe",Table3[[#This Row],[Importe]],IF(Table3[[#This Row],[Movimiento]]="Haber",Table3[[#This Row],[Importe]]*-1,0))),0)</f>
        <v>0</v>
      </c>
      <c r="K947" s="145" t="str">
        <f t="shared" si="43"/>
        <v/>
      </c>
      <c r="L947" s="145">
        <f t="shared" si="44"/>
        <v>0</v>
      </c>
      <c r="M947" t="str">
        <f>_xlfn.XLOOKUP(Table3[[#This Row],[Cuenta]],Estructura_Balance[Nombre Cuenta ()],Estructura_Balance[Grupo],"",0)</f>
        <v/>
      </c>
      <c r="N947" t="str">
        <f>_xlfn.XLOOKUP(Table3[[#This Row],[Cuenta]],Estructura_Balance[Nombre Cuenta ()],Estructura_Balance[Nivel 1],"",0)</f>
        <v/>
      </c>
      <c r="O947" t="str">
        <f>_xlfn.XLOOKUP(Table3[[#This Row],[Cuenta]],Estructura_Balance[Nombre Cuenta ()],Estructura_Balance[Nivel 2],"",0)</f>
        <v/>
      </c>
      <c r="P947" t="str">
        <f>_xlfn.XLOOKUP(Table3[[#This Row],[Cuenta]],Estructura_Balance[Nombre Cuenta ()],Estructura_Balance[Nivel 3],"",0)</f>
        <v/>
      </c>
      <c r="Q947" t="str">
        <f>_xlfn.XLOOKUP(Table3[[#This Row],[Cuenta]],Estructura_Balance[Nombre Cuenta ()],Estructura_Balance[Nivel 4],"",0)</f>
        <v/>
      </c>
      <c r="R947" t="str">
        <f>_xlfn.XLOOKUP(Table3[[#This Row],[Cuenta]],Table8[Nombre Cuenta ()],Table8[Nivel 1],"",0)</f>
        <v/>
      </c>
      <c r="S947" t="str">
        <f>_xlfn.XLOOKUP(Table3[[#This Row],[Cuenta]],Table8[Nombre Cuenta ()],Table8[Nivel 2],"",0)</f>
        <v/>
      </c>
      <c r="T947" t="str">
        <f>_xlfn.XLOOKUP(Table3[[#This Row],[Cuenta]],Table8[Nombre Cuenta ()],Table8[Nivel 3],"",0)</f>
        <v/>
      </c>
      <c r="U947">
        <v>1623</v>
      </c>
      <c r="V947" t="str">
        <f>_xlfn.XLOOKUP(Table3[[#This Row],[Cuenta]],Estructura_Balance[Nombre Cuenta ()],Estructura_Balance[Niveles:2],"",0)</f>
        <v/>
      </c>
      <c r="W947" t="str">
        <f>_xlfn.XLOOKUP(Table3[[#This Row],[Cuenta]],Estructura_Balance[Nombre Cuenta ()],Estructura_Balance[Niveles:3],"",0)</f>
        <v/>
      </c>
      <c r="X947" t="str">
        <f>_xlfn.XLOOKUP(Table3[[#This Row],[Cuenta]],Estructura_Balance[Nombre Cuenta ()],Estructura_Balance[Grupos],"Grupo 1",0)</f>
        <v>Grupo 1</v>
      </c>
      <c r="Y947" t="str">
        <f>+Table3[[#This Row],[BS_Nivel_1]]</f>
        <v/>
      </c>
    </row>
    <row r="948" spans="1:25">
      <c r="A948">
        <f>+'Libro Diario'!F231</f>
        <v>0</v>
      </c>
      <c r="B948" s="144">
        <f>VALUE(IF(+'Libro Diario'!G231="","01/01/2025",+'Libro Diario'!G231))</f>
        <v>45658</v>
      </c>
      <c r="C948">
        <f>IF(ISNUMBER(+IF(IFERROR(VALUE(MID('Libro Diario'!D231,1,4)),0)&lt;&gt;0,'Libro Diario'!D231,0))=FALSE,'Libro Diario'!D231,0)</f>
        <v>0</v>
      </c>
      <c r="D948" s="145">
        <f>+'Libro Diario'!E231</f>
        <v>0</v>
      </c>
      <c r="E948" s="139" t="s">
        <v>446</v>
      </c>
      <c r="F948" t="str">
        <f t="shared" si="42"/>
        <v>Sin Mov.</v>
      </c>
      <c r="G948" t="str">
        <f>IF(+'Libro Diario'!H231=0,"",+'Libro Diario'!H231)</f>
        <v/>
      </c>
      <c r="H948" t="str">
        <f>IF(+'Libro Diario'!I231=0,"",+'Libro Diario'!I231)</f>
        <v/>
      </c>
      <c r="I948" t="str">
        <f>+IF(Table3[[#This Row],[Tipo Movimiento]]="Estructura Balance y PyG","Excluir","Incluir")</f>
        <v>Incluir</v>
      </c>
      <c r="J948" s="153">
        <f>+IF(Table3[[#This Row],[Sin cuenta]]="Con Mov.",(IF(Table3[[#This Row],[Movimiento]]="Debe",Table3[[#This Row],[Importe]],IF(Table3[[#This Row],[Movimiento]]="Haber",Table3[[#This Row],[Importe]]*-1,0))),0)</f>
        <v>0</v>
      </c>
      <c r="K948" s="145" t="str">
        <f t="shared" si="43"/>
        <v/>
      </c>
      <c r="L948" s="145">
        <f t="shared" si="44"/>
        <v>0</v>
      </c>
      <c r="M948" t="str">
        <f>_xlfn.XLOOKUP(Table3[[#This Row],[Cuenta]],Estructura_Balance[Nombre Cuenta ()],Estructura_Balance[Grupo],"",0)</f>
        <v/>
      </c>
      <c r="N948" t="str">
        <f>_xlfn.XLOOKUP(Table3[[#This Row],[Cuenta]],Estructura_Balance[Nombre Cuenta ()],Estructura_Balance[Nivel 1],"",0)</f>
        <v/>
      </c>
      <c r="O948" t="str">
        <f>_xlfn.XLOOKUP(Table3[[#This Row],[Cuenta]],Estructura_Balance[Nombre Cuenta ()],Estructura_Balance[Nivel 2],"",0)</f>
        <v/>
      </c>
      <c r="P948" t="str">
        <f>_xlfn.XLOOKUP(Table3[[#This Row],[Cuenta]],Estructura_Balance[Nombre Cuenta ()],Estructura_Balance[Nivel 3],"",0)</f>
        <v/>
      </c>
      <c r="Q948" t="str">
        <f>_xlfn.XLOOKUP(Table3[[#This Row],[Cuenta]],Estructura_Balance[Nombre Cuenta ()],Estructura_Balance[Nivel 4],"",0)</f>
        <v/>
      </c>
      <c r="R948" t="str">
        <f>_xlfn.XLOOKUP(Table3[[#This Row],[Cuenta]],Table8[Nombre Cuenta ()],Table8[Nivel 1],"",0)</f>
        <v/>
      </c>
      <c r="S948" t="str">
        <f>_xlfn.XLOOKUP(Table3[[#This Row],[Cuenta]],Table8[Nombre Cuenta ()],Table8[Nivel 2],"",0)</f>
        <v/>
      </c>
      <c r="T948" t="str">
        <f>_xlfn.XLOOKUP(Table3[[#This Row],[Cuenta]],Table8[Nombre Cuenta ()],Table8[Nivel 3],"",0)</f>
        <v/>
      </c>
      <c r="U948">
        <v>1624</v>
      </c>
      <c r="V948" t="str">
        <f>_xlfn.XLOOKUP(Table3[[#This Row],[Cuenta]],Estructura_Balance[Nombre Cuenta ()],Estructura_Balance[Niveles:2],"",0)</f>
        <v/>
      </c>
      <c r="W948" t="str">
        <f>_xlfn.XLOOKUP(Table3[[#This Row],[Cuenta]],Estructura_Balance[Nombre Cuenta ()],Estructura_Balance[Niveles:3],"",0)</f>
        <v/>
      </c>
      <c r="X948" t="str">
        <f>_xlfn.XLOOKUP(Table3[[#This Row],[Cuenta]],Estructura_Balance[Nombre Cuenta ()],Estructura_Balance[Grupos],"Grupo 1",0)</f>
        <v>Grupo 1</v>
      </c>
      <c r="Y948" t="str">
        <f>+Table3[[#This Row],[BS_Nivel_1]]</f>
        <v/>
      </c>
    </row>
    <row r="949" spans="1:25">
      <c r="A949">
        <f>+'Libro Diario'!F232</f>
        <v>0</v>
      </c>
      <c r="B949" s="144">
        <f>VALUE(IF(+'Libro Diario'!G232="","01/01/2025",+'Libro Diario'!G232))</f>
        <v>45658</v>
      </c>
      <c r="C949">
        <f>IF(ISNUMBER(+IF(IFERROR(VALUE(MID('Libro Diario'!D232,1,4)),0)&lt;&gt;0,'Libro Diario'!D232,0))=FALSE,'Libro Diario'!D232,0)</f>
        <v>0</v>
      </c>
      <c r="D949" s="145">
        <f>+'Libro Diario'!E232</f>
        <v>0</v>
      </c>
      <c r="E949" s="139" t="s">
        <v>446</v>
      </c>
      <c r="F949" t="str">
        <f t="shared" si="42"/>
        <v>Sin Mov.</v>
      </c>
      <c r="G949" t="str">
        <f>IF(+'Libro Diario'!H232=0,"",+'Libro Diario'!H232)</f>
        <v/>
      </c>
      <c r="H949" t="str">
        <f>IF(+'Libro Diario'!I232=0,"",+'Libro Diario'!I232)</f>
        <v/>
      </c>
      <c r="I949" t="str">
        <f>+IF(Table3[[#This Row],[Tipo Movimiento]]="Estructura Balance y PyG","Excluir","Incluir")</f>
        <v>Incluir</v>
      </c>
      <c r="J949" s="153">
        <f>+IF(Table3[[#This Row],[Sin cuenta]]="Con Mov.",(IF(Table3[[#This Row],[Movimiento]]="Debe",Table3[[#This Row],[Importe]],IF(Table3[[#This Row],[Movimiento]]="Haber",Table3[[#This Row],[Importe]]*-1,0))),0)</f>
        <v>0</v>
      </c>
      <c r="K949" s="145" t="str">
        <f t="shared" si="43"/>
        <v/>
      </c>
      <c r="L949" s="145">
        <f t="shared" si="44"/>
        <v>0</v>
      </c>
      <c r="M949" t="str">
        <f>_xlfn.XLOOKUP(Table3[[#This Row],[Cuenta]],Estructura_Balance[Nombre Cuenta ()],Estructura_Balance[Grupo],"",0)</f>
        <v/>
      </c>
      <c r="N949" t="str">
        <f>_xlfn.XLOOKUP(Table3[[#This Row],[Cuenta]],Estructura_Balance[Nombre Cuenta ()],Estructura_Balance[Nivel 1],"",0)</f>
        <v/>
      </c>
      <c r="O949" t="str">
        <f>_xlfn.XLOOKUP(Table3[[#This Row],[Cuenta]],Estructura_Balance[Nombre Cuenta ()],Estructura_Balance[Nivel 2],"",0)</f>
        <v/>
      </c>
      <c r="P949" t="str">
        <f>_xlfn.XLOOKUP(Table3[[#This Row],[Cuenta]],Estructura_Balance[Nombre Cuenta ()],Estructura_Balance[Nivel 3],"",0)</f>
        <v/>
      </c>
      <c r="Q949" t="str">
        <f>_xlfn.XLOOKUP(Table3[[#This Row],[Cuenta]],Estructura_Balance[Nombre Cuenta ()],Estructura_Balance[Nivel 4],"",0)</f>
        <v/>
      </c>
      <c r="R949" t="str">
        <f>_xlfn.XLOOKUP(Table3[[#This Row],[Cuenta]],Table8[Nombre Cuenta ()],Table8[Nivel 1],"",0)</f>
        <v/>
      </c>
      <c r="S949" t="str">
        <f>_xlfn.XLOOKUP(Table3[[#This Row],[Cuenta]],Table8[Nombre Cuenta ()],Table8[Nivel 2],"",0)</f>
        <v/>
      </c>
      <c r="T949" t="str">
        <f>_xlfn.XLOOKUP(Table3[[#This Row],[Cuenta]],Table8[Nombre Cuenta ()],Table8[Nivel 3],"",0)</f>
        <v/>
      </c>
      <c r="U949">
        <v>1625</v>
      </c>
      <c r="V949" t="str">
        <f>_xlfn.XLOOKUP(Table3[[#This Row],[Cuenta]],Estructura_Balance[Nombre Cuenta ()],Estructura_Balance[Niveles:2],"",0)</f>
        <v/>
      </c>
      <c r="W949" t="str">
        <f>_xlfn.XLOOKUP(Table3[[#This Row],[Cuenta]],Estructura_Balance[Nombre Cuenta ()],Estructura_Balance[Niveles:3],"",0)</f>
        <v/>
      </c>
      <c r="X949" t="str">
        <f>_xlfn.XLOOKUP(Table3[[#This Row],[Cuenta]],Estructura_Balance[Nombre Cuenta ()],Estructura_Balance[Grupos],"Grupo 1",0)</f>
        <v>Grupo 1</v>
      </c>
      <c r="Y949" t="str">
        <f>+Table3[[#This Row],[BS_Nivel_1]]</f>
        <v/>
      </c>
    </row>
    <row r="950" spans="1:25">
      <c r="A950">
        <f>+'Libro Diario'!F233</f>
        <v>0</v>
      </c>
      <c r="B950" s="144">
        <f>VALUE(IF(+'Libro Diario'!G233="","01/01/2025",+'Libro Diario'!G233))</f>
        <v>45658</v>
      </c>
      <c r="C950">
        <f>IF(ISNUMBER(+IF(IFERROR(VALUE(MID('Libro Diario'!D233,1,4)),0)&lt;&gt;0,'Libro Diario'!D233,0))=FALSE,'Libro Diario'!D233,0)</f>
        <v>0</v>
      </c>
      <c r="D950" s="145" t="str">
        <f>+'Libro Diario'!E233</f>
        <v>HABER</v>
      </c>
      <c r="E950" s="139" t="s">
        <v>446</v>
      </c>
      <c r="F950" t="str">
        <f t="shared" si="42"/>
        <v>Sin Mov.</v>
      </c>
      <c r="G950" t="str">
        <f>IF(+'Libro Diario'!H233=0,"",+'Libro Diario'!H233)</f>
        <v/>
      </c>
      <c r="H950" t="str">
        <f>IF(+'Libro Diario'!I233=0,"",+'Libro Diario'!I233)</f>
        <v/>
      </c>
      <c r="I950" t="str">
        <f>+IF(Table3[[#This Row],[Tipo Movimiento]]="Estructura Balance y PyG","Excluir","Incluir")</f>
        <v>Incluir</v>
      </c>
      <c r="J950" s="153">
        <f>+IF(Table3[[#This Row],[Sin cuenta]]="Con Mov.",(IF(Table3[[#This Row],[Movimiento]]="Debe",Table3[[#This Row],[Importe]],IF(Table3[[#This Row],[Movimiento]]="Haber",Table3[[#This Row],[Importe]]*-1,0))),0)</f>
        <v>0</v>
      </c>
      <c r="K950" s="145" t="str">
        <f t="shared" si="43"/>
        <v/>
      </c>
      <c r="L950" s="145" t="str">
        <f t="shared" si="44"/>
        <v>HABER</v>
      </c>
      <c r="M950" t="str">
        <f>_xlfn.XLOOKUP(Table3[[#This Row],[Cuenta]],Estructura_Balance[Nombre Cuenta ()],Estructura_Balance[Grupo],"",0)</f>
        <v/>
      </c>
      <c r="N950" t="str">
        <f>_xlfn.XLOOKUP(Table3[[#This Row],[Cuenta]],Estructura_Balance[Nombre Cuenta ()],Estructura_Balance[Nivel 1],"",0)</f>
        <v/>
      </c>
      <c r="O950" t="str">
        <f>_xlfn.XLOOKUP(Table3[[#This Row],[Cuenta]],Estructura_Balance[Nombre Cuenta ()],Estructura_Balance[Nivel 2],"",0)</f>
        <v/>
      </c>
      <c r="P950" t="str">
        <f>_xlfn.XLOOKUP(Table3[[#This Row],[Cuenta]],Estructura_Balance[Nombre Cuenta ()],Estructura_Balance[Nivel 3],"",0)</f>
        <v/>
      </c>
      <c r="Q950" t="str">
        <f>_xlfn.XLOOKUP(Table3[[#This Row],[Cuenta]],Estructura_Balance[Nombre Cuenta ()],Estructura_Balance[Nivel 4],"",0)</f>
        <v/>
      </c>
      <c r="R950" t="str">
        <f>_xlfn.XLOOKUP(Table3[[#This Row],[Cuenta]],Table8[Nombre Cuenta ()],Table8[Nivel 1],"",0)</f>
        <v/>
      </c>
      <c r="S950" t="str">
        <f>_xlfn.XLOOKUP(Table3[[#This Row],[Cuenta]],Table8[Nombre Cuenta ()],Table8[Nivel 2],"",0)</f>
        <v/>
      </c>
      <c r="T950" t="str">
        <f>_xlfn.XLOOKUP(Table3[[#This Row],[Cuenta]],Table8[Nombre Cuenta ()],Table8[Nivel 3],"",0)</f>
        <v/>
      </c>
      <c r="U950">
        <v>1626</v>
      </c>
      <c r="V950" t="str">
        <f>_xlfn.XLOOKUP(Table3[[#This Row],[Cuenta]],Estructura_Balance[Nombre Cuenta ()],Estructura_Balance[Niveles:2],"",0)</f>
        <v/>
      </c>
      <c r="W950" t="str">
        <f>_xlfn.XLOOKUP(Table3[[#This Row],[Cuenta]],Estructura_Balance[Nombre Cuenta ()],Estructura_Balance[Niveles:3],"",0)</f>
        <v/>
      </c>
      <c r="X950" t="str">
        <f>_xlfn.XLOOKUP(Table3[[#This Row],[Cuenta]],Estructura_Balance[Nombre Cuenta ()],Estructura_Balance[Grupos],"Grupo 1",0)</f>
        <v>Grupo 1</v>
      </c>
      <c r="Y950" t="str">
        <f>+Table3[[#This Row],[BS_Nivel_1]]</f>
        <v/>
      </c>
    </row>
    <row r="951" spans="1:25">
      <c r="A951">
        <f>+'Libro Diario'!F234</f>
        <v>0</v>
      </c>
      <c r="B951" s="144">
        <f>VALUE(IF(+'Libro Diario'!G234="","01/01/2025",+'Libro Diario'!G234))</f>
        <v>45658</v>
      </c>
      <c r="C951">
        <f>IF(ISNUMBER(+IF(IFERROR(VALUE(MID('Libro Diario'!D234,1,4)),0)&lt;&gt;0,'Libro Diario'!D234,0))=FALSE,'Libro Diario'!D234,0)</f>
        <v>0</v>
      </c>
      <c r="D951" s="145">
        <f>+'Libro Diario'!E234</f>
        <v>0</v>
      </c>
      <c r="E951" s="139" t="s">
        <v>446</v>
      </c>
      <c r="F951" t="str">
        <f t="shared" si="42"/>
        <v>Sin Mov.</v>
      </c>
      <c r="G951" t="str">
        <f>IF(+'Libro Diario'!H234=0,"",+'Libro Diario'!H234)</f>
        <v/>
      </c>
      <c r="H951" t="str">
        <f>IF(+'Libro Diario'!I234=0,"",+'Libro Diario'!I234)</f>
        <v/>
      </c>
      <c r="I951" t="str">
        <f>+IF(Table3[[#This Row],[Tipo Movimiento]]="Estructura Balance y PyG","Excluir","Incluir")</f>
        <v>Incluir</v>
      </c>
      <c r="J951" s="153">
        <f>+IF(Table3[[#This Row],[Sin cuenta]]="Con Mov.",(IF(Table3[[#This Row],[Movimiento]]="Debe",Table3[[#This Row],[Importe]],IF(Table3[[#This Row],[Movimiento]]="Haber",Table3[[#This Row],[Importe]]*-1,0))),0)</f>
        <v>0</v>
      </c>
      <c r="K951" s="145" t="str">
        <f t="shared" si="43"/>
        <v/>
      </c>
      <c r="L951" s="145">
        <f t="shared" si="44"/>
        <v>0</v>
      </c>
      <c r="M951" t="str">
        <f>_xlfn.XLOOKUP(Table3[[#This Row],[Cuenta]],Estructura_Balance[Nombre Cuenta ()],Estructura_Balance[Grupo],"",0)</f>
        <v/>
      </c>
      <c r="N951" t="str">
        <f>_xlfn.XLOOKUP(Table3[[#This Row],[Cuenta]],Estructura_Balance[Nombre Cuenta ()],Estructura_Balance[Nivel 1],"",0)</f>
        <v/>
      </c>
      <c r="O951" t="str">
        <f>_xlfn.XLOOKUP(Table3[[#This Row],[Cuenta]],Estructura_Balance[Nombre Cuenta ()],Estructura_Balance[Nivel 2],"",0)</f>
        <v/>
      </c>
      <c r="P951" t="str">
        <f>_xlfn.XLOOKUP(Table3[[#This Row],[Cuenta]],Estructura_Balance[Nombre Cuenta ()],Estructura_Balance[Nivel 3],"",0)</f>
        <v/>
      </c>
      <c r="Q951" t="str">
        <f>_xlfn.XLOOKUP(Table3[[#This Row],[Cuenta]],Estructura_Balance[Nombre Cuenta ()],Estructura_Balance[Nivel 4],"",0)</f>
        <v/>
      </c>
      <c r="R951" t="str">
        <f>_xlfn.XLOOKUP(Table3[[#This Row],[Cuenta]],Table8[Nombre Cuenta ()],Table8[Nivel 1],"",0)</f>
        <v/>
      </c>
      <c r="S951" t="str">
        <f>_xlfn.XLOOKUP(Table3[[#This Row],[Cuenta]],Table8[Nombre Cuenta ()],Table8[Nivel 2],"",0)</f>
        <v/>
      </c>
      <c r="T951" t="str">
        <f>_xlfn.XLOOKUP(Table3[[#This Row],[Cuenta]],Table8[Nombre Cuenta ()],Table8[Nivel 3],"",0)</f>
        <v/>
      </c>
      <c r="U951">
        <v>1627</v>
      </c>
      <c r="V951" t="str">
        <f>_xlfn.XLOOKUP(Table3[[#This Row],[Cuenta]],Estructura_Balance[Nombre Cuenta ()],Estructura_Balance[Niveles:2],"",0)</f>
        <v/>
      </c>
      <c r="W951" t="str">
        <f>_xlfn.XLOOKUP(Table3[[#This Row],[Cuenta]],Estructura_Balance[Nombre Cuenta ()],Estructura_Balance[Niveles:3],"",0)</f>
        <v/>
      </c>
      <c r="X951" t="str">
        <f>_xlfn.XLOOKUP(Table3[[#This Row],[Cuenta]],Estructura_Balance[Nombre Cuenta ()],Estructura_Balance[Grupos],"Grupo 1",0)</f>
        <v>Grupo 1</v>
      </c>
      <c r="Y951" t="str">
        <f>+Table3[[#This Row],[BS_Nivel_1]]</f>
        <v/>
      </c>
    </row>
    <row r="952" spans="1:25">
      <c r="A952">
        <f>+'Libro Diario'!F237</f>
        <v>0</v>
      </c>
      <c r="B952" s="144">
        <f>VALUE(IF(+'Libro Diario'!G237="","01/01/2025",+'Libro Diario'!G237))</f>
        <v>45658</v>
      </c>
      <c r="C952">
        <f>IF(ISNUMBER(+IF(IFERROR(VALUE(MID('Libro Diario'!D237,1,4)),0)&lt;&gt;0,'Libro Diario'!D237,0))=FALSE,'Libro Diario'!D237,0)</f>
        <v>0</v>
      </c>
      <c r="D952" s="145">
        <f>+'Libro Diario'!E237</f>
        <v>0</v>
      </c>
      <c r="E952" s="139" t="s">
        <v>446</v>
      </c>
      <c r="F952" t="str">
        <f t="shared" si="42"/>
        <v>Sin Mov.</v>
      </c>
      <c r="G952" t="str">
        <f>IF(+'Libro Diario'!H237=0,"",+'Libro Diario'!H237)</f>
        <v/>
      </c>
      <c r="H952" t="str">
        <f>IF(+'Libro Diario'!I237=0,"",+'Libro Diario'!I237)</f>
        <v/>
      </c>
      <c r="I952" t="str">
        <f>+IF(Table3[[#This Row],[Tipo Movimiento]]="Estructura Balance y PyG","Excluir","Incluir")</f>
        <v>Incluir</v>
      </c>
      <c r="J952" s="153">
        <f>+IF(Table3[[#This Row],[Sin cuenta]]="Con Mov.",(IF(Table3[[#This Row],[Movimiento]]="Debe",Table3[[#This Row],[Importe]],IF(Table3[[#This Row],[Movimiento]]="Haber",Table3[[#This Row],[Importe]]*-1,0))),0)</f>
        <v>0</v>
      </c>
      <c r="K952" s="145" t="str">
        <f t="shared" si="43"/>
        <v/>
      </c>
      <c r="L952" s="145">
        <f t="shared" si="44"/>
        <v>0</v>
      </c>
      <c r="M952" t="str">
        <f>_xlfn.XLOOKUP(Table3[[#This Row],[Cuenta]],Estructura_Balance[Nombre Cuenta ()],Estructura_Balance[Grupo],"",0)</f>
        <v/>
      </c>
      <c r="N952" t="str">
        <f>_xlfn.XLOOKUP(Table3[[#This Row],[Cuenta]],Estructura_Balance[Nombre Cuenta ()],Estructura_Balance[Nivel 1],"",0)</f>
        <v/>
      </c>
      <c r="O952" t="str">
        <f>_xlfn.XLOOKUP(Table3[[#This Row],[Cuenta]],Estructura_Balance[Nombre Cuenta ()],Estructura_Balance[Nivel 2],"",0)</f>
        <v/>
      </c>
      <c r="P952" t="str">
        <f>_xlfn.XLOOKUP(Table3[[#This Row],[Cuenta]],Estructura_Balance[Nombre Cuenta ()],Estructura_Balance[Nivel 3],"",0)</f>
        <v/>
      </c>
      <c r="Q952" t="str">
        <f>_xlfn.XLOOKUP(Table3[[#This Row],[Cuenta]],Estructura_Balance[Nombre Cuenta ()],Estructura_Balance[Nivel 4],"",0)</f>
        <v/>
      </c>
      <c r="R952" t="str">
        <f>_xlfn.XLOOKUP(Table3[[#This Row],[Cuenta]],Table8[Nombre Cuenta ()],Table8[Nivel 1],"",0)</f>
        <v/>
      </c>
      <c r="S952" t="str">
        <f>_xlfn.XLOOKUP(Table3[[#This Row],[Cuenta]],Table8[Nombre Cuenta ()],Table8[Nivel 2],"",0)</f>
        <v/>
      </c>
      <c r="T952" t="str">
        <f>_xlfn.XLOOKUP(Table3[[#This Row],[Cuenta]],Table8[Nombre Cuenta ()],Table8[Nivel 3],"",0)</f>
        <v/>
      </c>
      <c r="U952">
        <v>1630</v>
      </c>
      <c r="V952" t="str">
        <f>_xlfn.XLOOKUP(Table3[[#This Row],[Cuenta]],Estructura_Balance[Nombre Cuenta ()],Estructura_Balance[Niveles:2],"",0)</f>
        <v/>
      </c>
      <c r="W952" t="str">
        <f>_xlfn.XLOOKUP(Table3[[#This Row],[Cuenta]],Estructura_Balance[Nombre Cuenta ()],Estructura_Balance[Niveles:3],"",0)</f>
        <v/>
      </c>
      <c r="X952" t="str">
        <f>_xlfn.XLOOKUP(Table3[[#This Row],[Cuenta]],Estructura_Balance[Nombre Cuenta ()],Estructura_Balance[Grupos],"Grupo 1",0)</f>
        <v>Grupo 1</v>
      </c>
      <c r="Y952" t="str">
        <f>+Table3[[#This Row],[BS_Nivel_1]]</f>
        <v/>
      </c>
    </row>
    <row r="953" spans="1:25">
      <c r="A953">
        <f>+'Libro Diario'!F238</f>
        <v>0</v>
      </c>
      <c r="B953" s="144">
        <f>VALUE(IF(+'Libro Diario'!G238="","01/01/2025",+'Libro Diario'!G238))</f>
        <v>45658</v>
      </c>
      <c r="C953">
        <f>IF(ISNUMBER(+IF(IFERROR(VALUE(MID('Libro Diario'!D238,1,4)),0)&lt;&gt;0,'Libro Diario'!D238,0))=FALSE,'Libro Diario'!D238,0)</f>
        <v>0</v>
      </c>
      <c r="D953" s="145">
        <f>+'Libro Diario'!E238</f>
        <v>0</v>
      </c>
      <c r="E953" s="139" t="s">
        <v>446</v>
      </c>
      <c r="F953" t="str">
        <f t="shared" si="42"/>
        <v>Sin Mov.</v>
      </c>
      <c r="G953" t="str">
        <f>IF(+'Libro Diario'!H238=0,"",+'Libro Diario'!H238)</f>
        <v/>
      </c>
      <c r="H953" t="str">
        <f>IF(+'Libro Diario'!I238=0,"",+'Libro Diario'!I238)</f>
        <v/>
      </c>
      <c r="I953" t="str">
        <f>+IF(Table3[[#This Row],[Tipo Movimiento]]="Estructura Balance y PyG","Excluir","Incluir")</f>
        <v>Incluir</v>
      </c>
      <c r="J953" s="153">
        <f>+IF(Table3[[#This Row],[Sin cuenta]]="Con Mov.",(IF(Table3[[#This Row],[Movimiento]]="Debe",Table3[[#This Row],[Importe]],IF(Table3[[#This Row],[Movimiento]]="Haber",Table3[[#This Row],[Importe]]*-1,0))),0)</f>
        <v>0</v>
      </c>
      <c r="K953" s="145" t="str">
        <f t="shared" si="43"/>
        <v/>
      </c>
      <c r="L953" s="145">
        <f t="shared" si="44"/>
        <v>0</v>
      </c>
      <c r="M953" t="str">
        <f>_xlfn.XLOOKUP(Table3[[#This Row],[Cuenta]],Estructura_Balance[Nombre Cuenta ()],Estructura_Balance[Grupo],"",0)</f>
        <v/>
      </c>
      <c r="N953" t="str">
        <f>_xlfn.XLOOKUP(Table3[[#This Row],[Cuenta]],Estructura_Balance[Nombre Cuenta ()],Estructura_Balance[Nivel 1],"",0)</f>
        <v/>
      </c>
      <c r="O953" t="str">
        <f>_xlfn.XLOOKUP(Table3[[#This Row],[Cuenta]],Estructura_Balance[Nombre Cuenta ()],Estructura_Balance[Nivel 2],"",0)</f>
        <v/>
      </c>
      <c r="P953" t="str">
        <f>_xlfn.XLOOKUP(Table3[[#This Row],[Cuenta]],Estructura_Balance[Nombre Cuenta ()],Estructura_Balance[Nivel 3],"",0)</f>
        <v/>
      </c>
      <c r="Q953" t="str">
        <f>_xlfn.XLOOKUP(Table3[[#This Row],[Cuenta]],Estructura_Balance[Nombre Cuenta ()],Estructura_Balance[Nivel 4],"",0)</f>
        <v/>
      </c>
      <c r="R953" t="str">
        <f>_xlfn.XLOOKUP(Table3[[#This Row],[Cuenta]],Table8[Nombre Cuenta ()],Table8[Nivel 1],"",0)</f>
        <v/>
      </c>
      <c r="S953" t="str">
        <f>_xlfn.XLOOKUP(Table3[[#This Row],[Cuenta]],Table8[Nombre Cuenta ()],Table8[Nivel 2],"",0)</f>
        <v/>
      </c>
      <c r="T953" t="str">
        <f>_xlfn.XLOOKUP(Table3[[#This Row],[Cuenta]],Table8[Nombre Cuenta ()],Table8[Nivel 3],"",0)</f>
        <v/>
      </c>
      <c r="U953">
        <v>1631</v>
      </c>
      <c r="V953" t="str">
        <f>_xlfn.XLOOKUP(Table3[[#This Row],[Cuenta]],Estructura_Balance[Nombre Cuenta ()],Estructura_Balance[Niveles:2],"",0)</f>
        <v/>
      </c>
      <c r="W953" t="str">
        <f>_xlfn.XLOOKUP(Table3[[#This Row],[Cuenta]],Estructura_Balance[Nombre Cuenta ()],Estructura_Balance[Niveles:3],"",0)</f>
        <v/>
      </c>
      <c r="X953" t="str">
        <f>_xlfn.XLOOKUP(Table3[[#This Row],[Cuenta]],Estructura_Balance[Nombre Cuenta ()],Estructura_Balance[Grupos],"Grupo 1",0)</f>
        <v>Grupo 1</v>
      </c>
      <c r="Y953" t="str">
        <f>+Table3[[#This Row],[BS_Nivel_1]]</f>
        <v/>
      </c>
    </row>
    <row r="954" spans="1:25">
      <c r="A954">
        <f>+'Libro Diario'!F239</f>
        <v>0</v>
      </c>
      <c r="B954" s="144">
        <f>VALUE(IF(+'Libro Diario'!G239="","01/01/2025",+'Libro Diario'!G239))</f>
        <v>45658</v>
      </c>
      <c r="C954">
        <f>IF(ISNUMBER(+IF(IFERROR(VALUE(MID('Libro Diario'!D239,1,4)),0)&lt;&gt;0,'Libro Diario'!D239,0))=FALSE,'Libro Diario'!D239,0)</f>
        <v>0</v>
      </c>
      <c r="D954" s="145">
        <f>+'Libro Diario'!E239</f>
        <v>0</v>
      </c>
      <c r="E954" s="139" t="s">
        <v>446</v>
      </c>
      <c r="F954" t="str">
        <f t="shared" si="42"/>
        <v>Sin Mov.</v>
      </c>
      <c r="G954" t="str">
        <f>IF(+'Libro Diario'!H239=0,"",+'Libro Diario'!H239)</f>
        <v/>
      </c>
      <c r="H954" t="str">
        <f>IF(+'Libro Diario'!I239=0,"",+'Libro Diario'!I239)</f>
        <v/>
      </c>
      <c r="I954" t="str">
        <f>+IF(Table3[[#This Row],[Tipo Movimiento]]="Estructura Balance y PyG","Excluir","Incluir")</f>
        <v>Incluir</v>
      </c>
      <c r="J954" s="153">
        <f>+IF(Table3[[#This Row],[Sin cuenta]]="Con Mov.",(IF(Table3[[#This Row],[Movimiento]]="Debe",Table3[[#This Row],[Importe]],IF(Table3[[#This Row],[Movimiento]]="Haber",Table3[[#This Row],[Importe]]*-1,0))),0)</f>
        <v>0</v>
      </c>
      <c r="K954" s="145" t="str">
        <f t="shared" si="43"/>
        <v/>
      </c>
      <c r="L954" s="145">
        <f t="shared" si="44"/>
        <v>0</v>
      </c>
      <c r="M954" t="str">
        <f>_xlfn.XLOOKUP(Table3[[#This Row],[Cuenta]],Estructura_Balance[Nombre Cuenta ()],Estructura_Balance[Grupo],"",0)</f>
        <v/>
      </c>
      <c r="N954" t="str">
        <f>_xlfn.XLOOKUP(Table3[[#This Row],[Cuenta]],Estructura_Balance[Nombre Cuenta ()],Estructura_Balance[Nivel 1],"",0)</f>
        <v/>
      </c>
      <c r="O954" t="str">
        <f>_xlfn.XLOOKUP(Table3[[#This Row],[Cuenta]],Estructura_Balance[Nombre Cuenta ()],Estructura_Balance[Nivel 2],"",0)</f>
        <v/>
      </c>
      <c r="P954" t="str">
        <f>_xlfn.XLOOKUP(Table3[[#This Row],[Cuenta]],Estructura_Balance[Nombre Cuenta ()],Estructura_Balance[Nivel 3],"",0)</f>
        <v/>
      </c>
      <c r="Q954" t="str">
        <f>_xlfn.XLOOKUP(Table3[[#This Row],[Cuenta]],Estructura_Balance[Nombre Cuenta ()],Estructura_Balance[Nivel 4],"",0)</f>
        <v/>
      </c>
      <c r="R954" t="str">
        <f>_xlfn.XLOOKUP(Table3[[#This Row],[Cuenta]],Table8[Nombre Cuenta ()],Table8[Nivel 1],"",0)</f>
        <v/>
      </c>
      <c r="S954" t="str">
        <f>_xlfn.XLOOKUP(Table3[[#This Row],[Cuenta]],Table8[Nombre Cuenta ()],Table8[Nivel 2],"",0)</f>
        <v/>
      </c>
      <c r="T954" t="str">
        <f>_xlfn.XLOOKUP(Table3[[#This Row],[Cuenta]],Table8[Nombre Cuenta ()],Table8[Nivel 3],"",0)</f>
        <v/>
      </c>
      <c r="U954">
        <v>1632</v>
      </c>
      <c r="V954" t="str">
        <f>_xlfn.XLOOKUP(Table3[[#This Row],[Cuenta]],Estructura_Balance[Nombre Cuenta ()],Estructura_Balance[Niveles:2],"",0)</f>
        <v/>
      </c>
      <c r="W954" t="str">
        <f>_xlfn.XLOOKUP(Table3[[#This Row],[Cuenta]],Estructura_Balance[Nombre Cuenta ()],Estructura_Balance[Niveles:3],"",0)</f>
        <v/>
      </c>
      <c r="X954" t="str">
        <f>_xlfn.XLOOKUP(Table3[[#This Row],[Cuenta]],Estructura_Balance[Nombre Cuenta ()],Estructura_Balance[Grupos],"Grupo 1",0)</f>
        <v>Grupo 1</v>
      </c>
      <c r="Y954" t="str">
        <f>+Table3[[#This Row],[BS_Nivel_1]]</f>
        <v/>
      </c>
    </row>
    <row r="955" spans="1:25">
      <c r="A955">
        <f>+'Libro Diario'!F240</f>
        <v>0</v>
      </c>
      <c r="B955" s="144">
        <f>VALUE(IF(+'Libro Diario'!G240="","01/01/2025",+'Libro Diario'!G240))</f>
        <v>45658</v>
      </c>
      <c r="C955">
        <f>IF(ISNUMBER(+IF(IFERROR(VALUE(MID('Libro Diario'!D240,1,4)),0)&lt;&gt;0,'Libro Diario'!D240,0))=FALSE,'Libro Diario'!D240,0)</f>
        <v>0</v>
      </c>
      <c r="D955" s="145" t="str">
        <f>+'Libro Diario'!E240</f>
        <v>HABER</v>
      </c>
      <c r="E955" s="139" t="s">
        <v>446</v>
      </c>
      <c r="F955" t="str">
        <f t="shared" si="42"/>
        <v>Sin Mov.</v>
      </c>
      <c r="G955" t="str">
        <f>IF(+'Libro Diario'!H240=0,"",+'Libro Diario'!H240)</f>
        <v/>
      </c>
      <c r="H955" t="str">
        <f>IF(+'Libro Diario'!I240=0,"",+'Libro Diario'!I240)</f>
        <v/>
      </c>
      <c r="I955" t="str">
        <f>+IF(Table3[[#This Row],[Tipo Movimiento]]="Estructura Balance y PyG","Excluir","Incluir")</f>
        <v>Incluir</v>
      </c>
      <c r="J955" s="153">
        <f>+IF(Table3[[#This Row],[Sin cuenta]]="Con Mov.",(IF(Table3[[#This Row],[Movimiento]]="Debe",Table3[[#This Row],[Importe]],IF(Table3[[#This Row],[Movimiento]]="Haber",Table3[[#This Row],[Importe]]*-1,0))),0)</f>
        <v>0</v>
      </c>
      <c r="K955" s="145" t="str">
        <f t="shared" si="43"/>
        <v/>
      </c>
      <c r="L955" s="145" t="str">
        <f t="shared" si="44"/>
        <v>HABER</v>
      </c>
      <c r="M955" t="str">
        <f>_xlfn.XLOOKUP(Table3[[#This Row],[Cuenta]],Estructura_Balance[Nombre Cuenta ()],Estructura_Balance[Grupo],"",0)</f>
        <v/>
      </c>
      <c r="N955" t="str">
        <f>_xlfn.XLOOKUP(Table3[[#This Row],[Cuenta]],Estructura_Balance[Nombre Cuenta ()],Estructura_Balance[Nivel 1],"",0)</f>
        <v/>
      </c>
      <c r="O955" t="str">
        <f>_xlfn.XLOOKUP(Table3[[#This Row],[Cuenta]],Estructura_Balance[Nombre Cuenta ()],Estructura_Balance[Nivel 2],"",0)</f>
        <v/>
      </c>
      <c r="P955" t="str">
        <f>_xlfn.XLOOKUP(Table3[[#This Row],[Cuenta]],Estructura_Balance[Nombre Cuenta ()],Estructura_Balance[Nivel 3],"",0)</f>
        <v/>
      </c>
      <c r="Q955" t="str">
        <f>_xlfn.XLOOKUP(Table3[[#This Row],[Cuenta]],Estructura_Balance[Nombre Cuenta ()],Estructura_Balance[Nivel 4],"",0)</f>
        <v/>
      </c>
      <c r="R955" t="str">
        <f>_xlfn.XLOOKUP(Table3[[#This Row],[Cuenta]],Table8[Nombre Cuenta ()],Table8[Nivel 1],"",0)</f>
        <v/>
      </c>
      <c r="S955" t="str">
        <f>_xlfn.XLOOKUP(Table3[[#This Row],[Cuenta]],Table8[Nombre Cuenta ()],Table8[Nivel 2],"",0)</f>
        <v/>
      </c>
      <c r="T955" t="str">
        <f>_xlfn.XLOOKUP(Table3[[#This Row],[Cuenta]],Table8[Nombre Cuenta ()],Table8[Nivel 3],"",0)</f>
        <v/>
      </c>
      <c r="U955">
        <v>1633</v>
      </c>
      <c r="V955" t="str">
        <f>_xlfn.XLOOKUP(Table3[[#This Row],[Cuenta]],Estructura_Balance[Nombre Cuenta ()],Estructura_Balance[Niveles:2],"",0)</f>
        <v/>
      </c>
      <c r="W955" t="str">
        <f>_xlfn.XLOOKUP(Table3[[#This Row],[Cuenta]],Estructura_Balance[Nombre Cuenta ()],Estructura_Balance[Niveles:3],"",0)</f>
        <v/>
      </c>
      <c r="X955" t="str">
        <f>_xlfn.XLOOKUP(Table3[[#This Row],[Cuenta]],Estructura_Balance[Nombre Cuenta ()],Estructura_Balance[Grupos],"Grupo 1",0)</f>
        <v>Grupo 1</v>
      </c>
      <c r="Y955" t="str">
        <f>+Table3[[#This Row],[BS_Nivel_1]]</f>
        <v/>
      </c>
    </row>
    <row r="956" spans="1:25">
      <c r="A956">
        <f>+'Libro Diario'!F241</f>
        <v>0</v>
      </c>
      <c r="B956" s="144">
        <f>VALUE(IF(+'Libro Diario'!G241="","01/01/2025",+'Libro Diario'!G241))</f>
        <v>45658</v>
      </c>
      <c r="C956">
        <f>IF(ISNUMBER(+IF(IFERROR(VALUE(MID('Libro Diario'!D241,1,4)),0)&lt;&gt;0,'Libro Diario'!D241,0))=FALSE,'Libro Diario'!D241,0)</f>
        <v>0</v>
      </c>
      <c r="D956" s="145">
        <f>+'Libro Diario'!E241</f>
        <v>0</v>
      </c>
      <c r="E956" s="139" t="s">
        <v>446</v>
      </c>
      <c r="F956" t="str">
        <f t="shared" si="42"/>
        <v>Sin Mov.</v>
      </c>
      <c r="G956" t="str">
        <f>IF(+'Libro Diario'!H241=0,"",+'Libro Diario'!H241)</f>
        <v/>
      </c>
      <c r="H956" t="str">
        <f>IF(+'Libro Diario'!I241=0,"",+'Libro Diario'!I241)</f>
        <v/>
      </c>
      <c r="I956" t="str">
        <f>+IF(Table3[[#This Row],[Tipo Movimiento]]="Estructura Balance y PyG","Excluir","Incluir")</f>
        <v>Incluir</v>
      </c>
      <c r="J956" s="153">
        <f>+IF(Table3[[#This Row],[Sin cuenta]]="Con Mov.",(IF(Table3[[#This Row],[Movimiento]]="Debe",Table3[[#This Row],[Importe]],IF(Table3[[#This Row],[Movimiento]]="Haber",Table3[[#This Row],[Importe]]*-1,0))),0)</f>
        <v>0</v>
      </c>
      <c r="K956" s="145" t="str">
        <f t="shared" si="43"/>
        <v/>
      </c>
      <c r="L956" s="145">
        <f t="shared" si="44"/>
        <v>0</v>
      </c>
      <c r="M956" t="str">
        <f>_xlfn.XLOOKUP(Table3[[#This Row],[Cuenta]],Estructura_Balance[Nombre Cuenta ()],Estructura_Balance[Grupo],"",0)</f>
        <v/>
      </c>
      <c r="N956" t="str">
        <f>_xlfn.XLOOKUP(Table3[[#This Row],[Cuenta]],Estructura_Balance[Nombre Cuenta ()],Estructura_Balance[Nivel 1],"",0)</f>
        <v/>
      </c>
      <c r="O956" t="str">
        <f>_xlfn.XLOOKUP(Table3[[#This Row],[Cuenta]],Estructura_Balance[Nombre Cuenta ()],Estructura_Balance[Nivel 2],"",0)</f>
        <v/>
      </c>
      <c r="P956" t="str">
        <f>_xlfn.XLOOKUP(Table3[[#This Row],[Cuenta]],Estructura_Balance[Nombre Cuenta ()],Estructura_Balance[Nivel 3],"",0)</f>
        <v/>
      </c>
      <c r="Q956" t="str">
        <f>_xlfn.XLOOKUP(Table3[[#This Row],[Cuenta]],Estructura_Balance[Nombre Cuenta ()],Estructura_Balance[Nivel 4],"",0)</f>
        <v/>
      </c>
      <c r="R956" t="str">
        <f>_xlfn.XLOOKUP(Table3[[#This Row],[Cuenta]],Table8[Nombre Cuenta ()],Table8[Nivel 1],"",0)</f>
        <v/>
      </c>
      <c r="S956" t="str">
        <f>_xlfn.XLOOKUP(Table3[[#This Row],[Cuenta]],Table8[Nombre Cuenta ()],Table8[Nivel 2],"",0)</f>
        <v/>
      </c>
      <c r="T956" t="str">
        <f>_xlfn.XLOOKUP(Table3[[#This Row],[Cuenta]],Table8[Nombre Cuenta ()],Table8[Nivel 3],"",0)</f>
        <v/>
      </c>
      <c r="U956">
        <v>1634</v>
      </c>
      <c r="V956" t="str">
        <f>_xlfn.XLOOKUP(Table3[[#This Row],[Cuenta]],Estructura_Balance[Nombre Cuenta ()],Estructura_Balance[Niveles:2],"",0)</f>
        <v/>
      </c>
      <c r="W956" t="str">
        <f>_xlfn.XLOOKUP(Table3[[#This Row],[Cuenta]],Estructura_Balance[Nombre Cuenta ()],Estructura_Balance[Niveles:3],"",0)</f>
        <v/>
      </c>
      <c r="X956" t="str">
        <f>_xlfn.XLOOKUP(Table3[[#This Row],[Cuenta]],Estructura_Balance[Nombre Cuenta ()],Estructura_Balance[Grupos],"Grupo 1",0)</f>
        <v>Grupo 1</v>
      </c>
      <c r="Y956" t="str">
        <f>+Table3[[#This Row],[BS_Nivel_1]]</f>
        <v/>
      </c>
    </row>
    <row r="957" spans="1:25">
      <c r="A957">
        <f>+'Libro Diario'!F244</f>
        <v>0</v>
      </c>
      <c r="B957" s="144">
        <f>VALUE(IF(+'Libro Diario'!G244="","01/01/2025",+'Libro Diario'!G244))</f>
        <v>45658</v>
      </c>
      <c r="C957">
        <f>IF(ISNUMBER(+IF(IFERROR(VALUE(MID('Libro Diario'!D244,1,4)),0)&lt;&gt;0,'Libro Diario'!D244,0))=FALSE,'Libro Diario'!D244,0)</f>
        <v>0</v>
      </c>
      <c r="D957" s="145">
        <f>+'Libro Diario'!E244</f>
        <v>0</v>
      </c>
      <c r="E957" s="139" t="s">
        <v>446</v>
      </c>
      <c r="F957" t="str">
        <f t="shared" si="42"/>
        <v>Sin Mov.</v>
      </c>
      <c r="G957" t="str">
        <f>IF(+'Libro Diario'!H244=0,"",+'Libro Diario'!H244)</f>
        <v/>
      </c>
      <c r="H957" t="str">
        <f>IF(+'Libro Diario'!I244=0,"",+'Libro Diario'!I244)</f>
        <v/>
      </c>
      <c r="I957" t="str">
        <f>+IF(Table3[[#This Row],[Tipo Movimiento]]="Estructura Balance y PyG","Excluir","Incluir")</f>
        <v>Incluir</v>
      </c>
      <c r="J957" s="153">
        <f>+IF(Table3[[#This Row],[Sin cuenta]]="Con Mov.",(IF(Table3[[#This Row],[Movimiento]]="Debe",Table3[[#This Row],[Importe]],IF(Table3[[#This Row],[Movimiento]]="Haber",Table3[[#This Row],[Importe]]*-1,0))),0)</f>
        <v>0</v>
      </c>
      <c r="K957" s="145" t="str">
        <f t="shared" si="43"/>
        <v/>
      </c>
      <c r="L957" s="145">
        <f t="shared" si="44"/>
        <v>0</v>
      </c>
      <c r="M957" t="str">
        <f>_xlfn.XLOOKUP(Table3[[#This Row],[Cuenta]],Estructura_Balance[Nombre Cuenta ()],Estructura_Balance[Grupo],"",0)</f>
        <v/>
      </c>
      <c r="N957" t="str">
        <f>_xlfn.XLOOKUP(Table3[[#This Row],[Cuenta]],Estructura_Balance[Nombre Cuenta ()],Estructura_Balance[Nivel 1],"",0)</f>
        <v/>
      </c>
      <c r="O957" t="str">
        <f>_xlfn.XLOOKUP(Table3[[#This Row],[Cuenta]],Estructura_Balance[Nombre Cuenta ()],Estructura_Balance[Nivel 2],"",0)</f>
        <v/>
      </c>
      <c r="P957" t="str">
        <f>_xlfn.XLOOKUP(Table3[[#This Row],[Cuenta]],Estructura_Balance[Nombre Cuenta ()],Estructura_Balance[Nivel 3],"",0)</f>
        <v/>
      </c>
      <c r="Q957" t="str">
        <f>_xlfn.XLOOKUP(Table3[[#This Row],[Cuenta]],Estructura_Balance[Nombre Cuenta ()],Estructura_Balance[Nivel 4],"",0)</f>
        <v/>
      </c>
      <c r="R957" t="str">
        <f>_xlfn.XLOOKUP(Table3[[#This Row],[Cuenta]],Table8[Nombre Cuenta ()],Table8[Nivel 1],"",0)</f>
        <v/>
      </c>
      <c r="S957" t="str">
        <f>_xlfn.XLOOKUP(Table3[[#This Row],[Cuenta]],Table8[Nombre Cuenta ()],Table8[Nivel 2],"",0)</f>
        <v/>
      </c>
      <c r="T957" t="str">
        <f>_xlfn.XLOOKUP(Table3[[#This Row],[Cuenta]],Table8[Nombre Cuenta ()],Table8[Nivel 3],"",0)</f>
        <v/>
      </c>
      <c r="U957">
        <v>1637</v>
      </c>
      <c r="V957" t="str">
        <f>_xlfn.XLOOKUP(Table3[[#This Row],[Cuenta]],Estructura_Balance[Nombre Cuenta ()],Estructura_Balance[Niveles:2],"",0)</f>
        <v/>
      </c>
      <c r="W957" t="str">
        <f>_xlfn.XLOOKUP(Table3[[#This Row],[Cuenta]],Estructura_Balance[Nombre Cuenta ()],Estructura_Balance[Niveles:3],"",0)</f>
        <v/>
      </c>
      <c r="X957" t="str">
        <f>_xlfn.XLOOKUP(Table3[[#This Row],[Cuenta]],Estructura_Balance[Nombre Cuenta ()],Estructura_Balance[Grupos],"Grupo 1",0)</f>
        <v>Grupo 1</v>
      </c>
      <c r="Y957" t="str">
        <f>+Table3[[#This Row],[BS_Nivel_1]]</f>
        <v/>
      </c>
    </row>
    <row r="958" spans="1:25">
      <c r="A958">
        <f>+'Libro Diario'!F245</f>
        <v>0</v>
      </c>
      <c r="B958" s="144">
        <f>VALUE(IF(+'Libro Diario'!G245="","01/01/2025",+'Libro Diario'!G245))</f>
        <v>45658</v>
      </c>
      <c r="C958">
        <f>IF(ISNUMBER(+IF(IFERROR(VALUE(MID('Libro Diario'!D245,1,4)),0)&lt;&gt;0,'Libro Diario'!D245,0))=FALSE,'Libro Diario'!D245,0)</f>
        <v>0</v>
      </c>
      <c r="D958" s="145">
        <f>+'Libro Diario'!E245</f>
        <v>0</v>
      </c>
      <c r="E958" s="139" t="s">
        <v>446</v>
      </c>
      <c r="F958" t="str">
        <f t="shared" si="42"/>
        <v>Sin Mov.</v>
      </c>
      <c r="G958" t="str">
        <f>IF(+'Libro Diario'!H245=0,"",+'Libro Diario'!H245)</f>
        <v/>
      </c>
      <c r="H958" t="str">
        <f>IF(+'Libro Diario'!I245=0,"",+'Libro Diario'!I245)</f>
        <v/>
      </c>
      <c r="I958" t="str">
        <f>+IF(Table3[[#This Row],[Tipo Movimiento]]="Estructura Balance y PyG","Excluir","Incluir")</f>
        <v>Incluir</v>
      </c>
      <c r="J958" s="153">
        <f>+IF(Table3[[#This Row],[Sin cuenta]]="Con Mov.",(IF(Table3[[#This Row],[Movimiento]]="Debe",Table3[[#This Row],[Importe]],IF(Table3[[#This Row],[Movimiento]]="Haber",Table3[[#This Row],[Importe]]*-1,0))),0)</f>
        <v>0</v>
      </c>
      <c r="K958" s="145" t="str">
        <f t="shared" si="43"/>
        <v/>
      </c>
      <c r="L958" s="145">
        <f t="shared" si="44"/>
        <v>0</v>
      </c>
      <c r="M958" t="str">
        <f>_xlfn.XLOOKUP(Table3[[#This Row],[Cuenta]],Estructura_Balance[Nombre Cuenta ()],Estructura_Balance[Grupo],"",0)</f>
        <v/>
      </c>
      <c r="N958" t="str">
        <f>_xlfn.XLOOKUP(Table3[[#This Row],[Cuenta]],Estructura_Balance[Nombre Cuenta ()],Estructura_Balance[Nivel 1],"",0)</f>
        <v/>
      </c>
      <c r="O958" t="str">
        <f>_xlfn.XLOOKUP(Table3[[#This Row],[Cuenta]],Estructura_Balance[Nombre Cuenta ()],Estructura_Balance[Nivel 2],"",0)</f>
        <v/>
      </c>
      <c r="P958" t="str">
        <f>_xlfn.XLOOKUP(Table3[[#This Row],[Cuenta]],Estructura_Balance[Nombre Cuenta ()],Estructura_Balance[Nivel 3],"",0)</f>
        <v/>
      </c>
      <c r="Q958" t="str">
        <f>_xlfn.XLOOKUP(Table3[[#This Row],[Cuenta]],Estructura_Balance[Nombre Cuenta ()],Estructura_Balance[Nivel 4],"",0)</f>
        <v/>
      </c>
      <c r="R958" t="str">
        <f>_xlfn.XLOOKUP(Table3[[#This Row],[Cuenta]],Table8[Nombre Cuenta ()],Table8[Nivel 1],"",0)</f>
        <v/>
      </c>
      <c r="S958" t="str">
        <f>_xlfn.XLOOKUP(Table3[[#This Row],[Cuenta]],Table8[Nombre Cuenta ()],Table8[Nivel 2],"",0)</f>
        <v/>
      </c>
      <c r="T958" t="str">
        <f>_xlfn.XLOOKUP(Table3[[#This Row],[Cuenta]],Table8[Nombre Cuenta ()],Table8[Nivel 3],"",0)</f>
        <v/>
      </c>
      <c r="U958">
        <v>1638</v>
      </c>
      <c r="V958" t="str">
        <f>_xlfn.XLOOKUP(Table3[[#This Row],[Cuenta]],Estructura_Balance[Nombre Cuenta ()],Estructura_Balance[Niveles:2],"",0)</f>
        <v/>
      </c>
      <c r="W958" t="str">
        <f>_xlfn.XLOOKUP(Table3[[#This Row],[Cuenta]],Estructura_Balance[Nombre Cuenta ()],Estructura_Balance[Niveles:3],"",0)</f>
        <v/>
      </c>
      <c r="X958" t="str">
        <f>_xlfn.XLOOKUP(Table3[[#This Row],[Cuenta]],Estructura_Balance[Nombre Cuenta ()],Estructura_Balance[Grupos],"Grupo 1",0)</f>
        <v>Grupo 1</v>
      </c>
      <c r="Y958" t="str">
        <f>+Table3[[#This Row],[BS_Nivel_1]]</f>
        <v/>
      </c>
    </row>
    <row r="959" spans="1:25">
      <c r="A959">
        <f>+'Libro Diario'!F246</f>
        <v>0</v>
      </c>
      <c r="B959" s="144">
        <f>VALUE(IF(+'Libro Diario'!G246="","01/01/2025",+'Libro Diario'!G246))</f>
        <v>45658</v>
      </c>
      <c r="C959">
        <f>IF(ISNUMBER(+IF(IFERROR(VALUE(MID('Libro Diario'!D246,1,4)),0)&lt;&gt;0,'Libro Diario'!D246,0))=FALSE,'Libro Diario'!D246,0)</f>
        <v>0</v>
      </c>
      <c r="D959" s="145">
        <f>+'Libro Diario'!E246</f>
        <v>0</v>
      </c>
      <c r="E959" s="139" t="s">
        <v>446</v>
      </c>
      <c r="F959" t="str">
        <f t="shared" si="42"/>
        <v>Sin Mov.</v>
      </c>
      <c r="G959" t="str">
        <f>IF(+'Libro Diario'!H246=0,"",+'Libro Diario'!H246)</f>
        <v/>
      </c>
      <c r="H959" t="str">
        <f>IF(+'Libro Diario'!I246=0,"",+'Libro Diario'!I246)</f>
        <v/>
      </c>
      <c r="I959" t="str">
        <f>+IF(Table3[[#This Row],[Tipo Movimiento]]="Estructura Balance y PyG","Excluir","Incluir")</f>
        <v>Incluir</v>
      </c>
      <c r="J959" s="153">
        <f>+IF(Table3[[#This Row],[Sin cuenta]]="Con Mov.",(IF(Table3[[#This Row],[Movimiento]]="Debe",Table3[[#This Row],[Importe]],IF(Table3[[#This Row],[Movimiento]]="Haber",Table3[[#This Row],[Importe]]*-1,0))),0)</f>
        <v>0</v>
      </c>
      <c r="K959" s="145" t="str">
        <f t="shared" si="43"/>
        <v/>
      </c>
      <c r="L959" s="145">
        <f t="shared" si="44"/>
        <v>0</v>
      </c>
      <c r="M959" t="str">
        <f>_xlfn.XLOOKUP(Table3[[#This Row],[Cuenta]],Estructura_Balance[Nombre Cuenta ()],Estructura_Balance[Grupo],"",0)</f>
        <v/>
      </c>
      <c r="N959" t="str">
        <f>_xlfn.XLOOKUP(Table3[[#This Row],[Cuenta]],Estructura_Balance[Nombre Cuenta ()],Estructura_Balance[Nivel 1],"",0)</f>
        <v/>
      </c>
      <c r="O959" t="str">
        <f>_xlfn.XLOOKUP(Table3[[#This Row],[Cuenta]],Estructura_Balance[Nombre Cuenta ()],Estructura_Balance[Nivel 2],"",0)</f>
        <v/>
      </c>
      <c r="P959" t="str">
        <f>_xlfn.XLOOKUP(Table3[[#This Row],[Cuenta]],Estructura_Balance[Nombre Cuenta ()],Estructura_Balance[Nivel 3],"",0)</f>
        <v/>
      </c>
      <c r="Q959" t="str">
        <f>_xlfn.XLOOKUP(Table3[[#This Row],[Cuenta]],Estructura_Balance[Nombre Cuenta ()],Estructura_Balance[Nivel 4],"",0)</f>
        <v/>
      </c>
      <c r="R959" t="str">
        <f>_xlfn.XLOOKUP(Table3[[#This Row],[Cuenta]],Table8[Nombre Cuenta ()],Table8[Nivel 1],"",0)</f>
        <v/>
      </c>
      <c r="S959" t="str">
        <f>_xlfn.XLOOKUP(Table3[[#This Row],[Cuenta]],Table8[Nombre Cuenta ()],Table8[Nivel 2],"",0)</f>
        <v/>
      </c>
      <c r="T959" t="str">
        <f>_xlfn.XLOOKUP(Table3[[#This Row],[Cuenta]],Table8[Nombre Cuenta ()],Table8[Nivel 3],"",0)</f>
        <v/>
      </c>
      <c r="U959">
        <v>1639</v>
      </c>
      <c r="V959" t="str">
        <f>_xlfn.XLOOKUP(Table3[[#This Row],[Cuenta]],Estructura_Balance[Nombre Cuenta ()],Estructura_Balance[Niveles:2],"",0)</f>
        <v/>
      </c>
      <c r="W959" t="str">
        <f>_xlfn.XLOOKUP(Table3[[#This Row],[Cuenta]],Estructura_Balance[Nombre Cuenta ()],Estructura_Balance[Niveles:3],"",0)</f>
        <v/>
      </c>
      <c r="X959" t="str">
        <f>_xlfn.XLOOKUP(Table3[[#This Row],[Cuenta]],Estructura_Balance[Nombre Cuenta ()],Estructura_Balance[Grupos],"Grupo 1",0)</f>
        <v>Grupo 1</v>
      </c>
      <c r="Y959" t="str">
        <f>+Table3[[#This Row],[BS_Nivel_1]]</f>
        <v/>
      </c>
    </row>
    <row r="960" spans="1:25">
      <c r="A960">
        <f>+'Libro Diario'!F247</f>
        <v>0</v>
      </c>
      <c r="B960" s="144">
        <f>VALUE(IF(+'Libro Diario'!G247="","01/01/2025",+'Libro Diario'!G247))</f>
        <v>45658</v>
      </c>
      <c r="C960">
        <f>IF(ISNUMBER(+IF(IFERROR(VALUE(MID('Libro Diario'!D247,1,4)),0)&lt;&gt;0,'Libro Diario'!D247,0))=FALSE,'Libro Diario'!D247,0)</f>
        <v>0</v>
      </c>
      <c r="D960" s="145" t="str">
        <f>+'Libro Diario'!E247</f>
        <v>HABER</v>
      </c>
      <c r="E960" s="139" t="s">
        <v>446</v>
      </c>
      <c r="F960" t="str">
        <f t="shared" si="42"/>
        <v>Sin Mov.</v>
      </c>
      <c r="G960" t="str">
        <f>IF(+'Libro Diario'!H247=0,"",+'Libro Diario'!H247)</f>
        <v/>
      </c>
      <c r="H960" t="str">
        <f>IF(+'Libro Diario'!I247=0,"",+'Libro Diario'!I247)</f>
        <v/>
      </c>
      <c r="I960" t="str">
        <f>+IF(Table3[[#This Row],[Tipo Movimiento]]="Estructura Balance y PyG","Excluir","Incluir")</f>
        <v>Incluir</v>
      </c>
      <c r="J960" s="153">
        <f>+IF(Table3[[#This Row],[Sin cuenta]]="Con Mov.",(IF(Table3[[#This Row],[Movimiento]]="Debe",Table3[[#This Row],[Importe]],IF(Table3[[#This Row],[Movimiento]]="Haber",Table3[[#This Row],[Importe]]*-1,0))),0)</f>
        <v>0</v>
      </c>
      <c r="K960" s="145" t="str">
        <f t="shared" si="43"/>
        <v/>
      </c>
      <c r="L960" s="145" t="str">
        <f t="shared" si="44"/>
        <v>HABER</v>
      </c>
      <c r="M960" t="str">
        <f>_xlfn.XLOOKUP(Table3[[#This Row],[Cuenta]],Estructura_Balance[Nombre Cuenta ()],Estructura_Balance[Grupo],"",0)</f>
        <v/>
      </c>
      <c r="N960" t="str">
        <f>_xlfn.XLOOKUP(Table3[[#This Row],[Cuenta]],Estructura_Balance[Nombre Cuenta ()],Estructura_Balance[Nivel 1],"",0)</f>
        <v/>
      </c>
      <c r="O960" t="str">
        <f>_xlfn.XLOOKUP(Table3[[#This Row],[Cuenta]],Estructura_Balance[Nombre Cuenta ()],Estructura_Balance[Nivel 2],"",0)</f>
        <v/>
      </c>
      <c r="P960" t="str">
        <f>_xlfn.XLOOKUP(Table3[[#This Row],[Cuenta]],Estructura_Balance[Nombre Cuenta ()],Estructura_Balance[Nivel 3],"",0)</f>
        <v/>
      </c>
      <c r="Q960" t="str">
        <f>_xlfn.XLOOKUP(Table3[[#This Row],[Cuenta]],Estructura_Balance[Nombre Cuenta ()],Estructura_Balance[Nivel 4],"",0)</f>
        <v/>
      </c>
      <c r="R960" t="str">
        <f>_xlfn.XLOOKUP(Table3[[#This Row],[Cuenta]],Table8[Nombre Cuenta ()],Table8[Nivel 1],"",0)</f>
        <v/>
      </c>
      <c r="S960" t="str">
        <f>_xlfn.XLOOKUP(Table3[[#This Row],[Cuenta]],Table8[Nombre Cuenta ()],Table8[Nivel 2],"",0)</f>
        <v/>
      </c>
      <c r="T960" t="str">
        <f>_xlfn.XLOOKUP(Table3[[#This Row],[Cuenta]],Table8[Nombre Cuenta ()],Table8[Nivel 3],"",0)</f>
        <v/>
      </c>
      <c r="U960">
        <v>1640</v>
      </c>
      <c r="V960" t="str">
        <f>_xlfn.XLOOKUP(Table3[[#This Row],[Cuenta]],Estructura_Balance[Nombre Cuenta ()],Estructura_Balance[Niveles:2],"",0)</f>
        <v/>
      </c>
      <c r="W960" t="str">
        <f>_xlfn.XLOOKUP(Table3[[#This Row],[Cuenta]],Estructura_Balance[Nombre Cuenta ()],Estructura_Balance[Niveles:3],"",0)</f>
        <v/>
      </c>
      <c r="X960" t="str">
        <f>_xlfn.XLOOKUP(Table3[[#This Row],[Cuenta]],Estructura_Balance[Nombre Cuenta ()],Estructura_Balance[Grupos],"Grupo 1",0)</f>
        <v>Grupo 1</v>
      </c>
      <c r="Y960" t="str">
        <f>+Table3[[#This Row],[BS_Nivel_1]]</f>
        <v/>
      </c>
    </row>
    <row r="961" spans="1:25">
      <c r="A961">
        <f>+'Libro Diario'!F248</f>
        <v>0</v>
      </c>
      <c r="B961" s="144">
        <f>VALUE(IF(+'Libro Diario'!G248="","01/01/2025",+'Libro Diario'!G248))</f>
        <v>45658</v>
      </c>
      <c r="C961">
        <f>IF(ISNUMBER(+IF(IFERROR(VALUE(MID('Libro Diario'!D248,1,4)),0)&lt;&gt;0,'Libro Diario'!D248,0))=FALSE,'Libro Diario'!D248,0)</f>
        <v>0</v>
      </c>
      <c r="D961" s="145">
        <f>+'Libro Diario'!E248</f>
        <v>0</v>
      </c>
      <c r="E961" s="139" t="s">
        <v>446</v>
      </c>
      <c r="F961" t="str">
        <f t="shared" si="42"/>
        <v>Sin Mov.</v>
      </c>
      <c r="G961" t="str">
        <f>IF(+'Libro Diario'!H248=0,"",+'Libro Diario'!H248)</f>
        <v/>
      </c>
      <c r="H961" t="str">
        <f>IF(+'Libro Diario'!I248=0,"",+'Libro Diario'!I248)</f>
        <v/>
      </c>
      <c r="I961" t="str">
        <f>+IF(Table3[[#This Row],[Tipo Movimiento]]="Estructura Balance y PyG","Excluir","Incluir")</f>
        <v>Incluir</v>
      </c>
      <c r="J961" s="153">
        <f>+IF(Table3[[#This Row],[Sin cuenta]]="Con Mov.",(IF(Table3[[#This Row],[Movimiento]]="Debe",Table3[[#This Row],[Importe]],IF(Table3[[#This Row],[Movimiento]]="Haber",Table3[[#This Row],[Importe]]*-1,0))),0)</f>
        <v>0</v>
      </c>
      <c r="K961" s="145" t="str">
        <f t="shared" si="43"/>
        <v/>
      </c>
      <c r="L961" s="145">
        <f t="shared" si="44"/>
        <v>0</v>
      </c>
      <c r="M961" t="str">
        <f>_xlfn.XLOOKUP(Table3[[#This Row],[Cuenta]],Estructura_Balance[Nombre Cuenta ()],Estructura_Balance[Grupo],"",0)</f>
        <v/>
      </c>
      <c r="N961" t="str">
        <f>_xlfn.XLOOKUP(Table3[[#This Row],[Cuenta]],Estructura_Balance[Nombre Cuenta ()],Estructura_Balance[Nivel 1],"",0)</f>
        <v/>
      </c>
      <c r="O961" t="str">
        <f>_xlfn.XLOOKUP(Table3[[#This Row],[Cuenta]],Estructura_Balance[Nombre Cuenta ()],Estructura_Balance[Nivel 2],"",0)</f>
        <v/>
      </c>
      <c r="P961" t="str">
        <f>_xlfn.XLOOKUP(Table3[[#This Row],[Cuenta]],Estructura_Balance[Nombre Cuenta ()],Estructura_Balance[Nivel 3],"",0)</f>
        <v/>
      </c>
      <c r="Q961" t="str">
        <f>_xlfn.XLOOKUP(Table3[[#This Row],[Cuenta]],Estructura_Balance[Nombre Cuenta ()],Estructura_Balance[Nivel 4],"",0)</f>
        <v/>
      </c>
      <c r="R961" t="str">
        <f>_xlfn.XLOOKUP(Table3[[#This Row],[Cuenta]],Table8[Nombre Cuenta ()],Table8[Nivel 1],"",0)</f>
        <v/>
      </c>
      <c r="S961" t="str">
        <f>_xlfn.XLOOKUP(Table3[[#This Row],[Cuenta]],Table8[Nombre Cuenta ()],Table8[Nivel 2],"",0)</f>
        <v/>
      </c>
      <c r="T961" t="str">
        <f>_xlfn.XLOOKUP(Table3[[#This Row],[Cuenta]],Table8[Nombre Cuenta ()],Table8[Nivel 3],"",0)</f>
        <v/>
      </c>
      <c r="U961">
        <v>1641</v>
      </c>
      <c r="V961" t="str">
        <f>_xlfn.XLOOKUP(Table3[[#This Row],[Cuenta]],Estructura_Balance[Nombre Cuenta ()],Estructura_Balance[Niveles:2],"",0)</f>
        <v/>
      </c>
      <c r="W961" t="str">
        <f>_xlfn.XLOOKUP(Table3[[#This Row],[Cuenta]],Estructura_Balance[Nombre Cuenta ()],Estructura_Balance[Niveles:3],"",0)</f>
        <v/>
      </c>
      <c r="X961" t="str">
        <f>_xlfn.XLOOKUP(Table3[[#This Row],[Cuenta]],Estructura_Balance[Nombre Cuenta ()],Estructura_Balance[Grupos],"Grupo 1",0)</f>
        <v>Grupo 1</v>
      </c>
      <c r="Y961" t="str">
        <f>+Table3[[#This Row],[BS_Nivel_1]]</f>
        <v/>
      </c>
    </row>
    <row r="962" spans="1:25">
      <c r="A962">
        <f>+'Libro Diario'!F251</f>
        <v>0</v>
      </c>
      <c r="B962" s="144">
        <f>VALUE(IF(+'Libro Diario'!G251="","01/01/2025",+'Libro Diario'!G251))</f>
        <v>45658</v>
      </c>
      <c r="C962">
        <f>IF(ISNUMBER(+IF(IFERROR(VALUE(MID('Libro Diario'!D251,1,4)),0)&lt;&gt;0,'Libro Diario'!D251,0))=FALSE,'Libro Diario'!D251,0)</f>
        <v>0</v>
      </c>
      <c r="D962" s="145">
        <f>+'Libro Diario'!E251</f>
        <v>0</v>
      </c>
      <c r="E962" s="139" t="s">
        <v>446</v>
      </c>
      <c r="F962" t="str">
        <f t="shared" si="42"/>
        <v>Sin Mov.</v>
      </c>
      <c r="G962" t="str">
        <f>IF(+'Libro Diario'!H251=0,"",+'Libro Diario'!H251)</f>
        <v/>
      </c>
      <c r="H962" t="str">
        <f>IF(+'Libro Diario'!I251=0,"",+'Libro Diario'!I251)</f>
        <v/>
      </c>
      <c r="I962" t="str">
        <f>+IF(Table3[[#This Row],[Tipo Movimiento]]="Estructura Balance y PyG","Excluir","Incluir")</f>
        <v>Incluir</v>
      </c>
      <c r="J962" s="153">
        <f>+IF(Table3[[#This Row],[Sin cuenta]]="Con Mov.",(IF(Table3[[#This Row],[Movimiento]]="Debe",Table3[[#This Row],[Importe]],IF(Table3[[#This Row],[Movimiento]]="Haber",Table3[[#This Row],[Importe]]*-1,0))),0)</f>
        <v>0</v>
      </c>
      <c r="K962" s="145" t="str">
        <f t="shared" si="43"/>
        <v/>
      </c>
      <c r="L962" s="145">
        <f t="shared" si="44"/>
        <v>0</v>
      </c>
      <c r="M962" t="str">
        <f>_xlfn.XLOOKUP(Table3[[#This Row],[Cuenta]],Estructura_Balance[Nombre Cuenta ()],Estructura_Balance[Grupo],"",0)</f>
        <v/>
      </c>
      <c r="N962" t="str">
        <f>_xlfn.XLOOKUP(Table3[[#This Row],[Cuenta]],Estructura_Balance[Nombre Cuenta ()],Estructura_Balance[Nivel 1],"",0)</f>
        <v/>
      </c>
      <c r="O962" t="str">
        <f>_xlfn.XLOOKUP(Table3[[#This Row],[Cuenta]],Estructura_Balance[Nombre Cuenta ()],Estructura_Balance[Nivel 2],"",0)</f>
        <v/>
      </c>
      <c r="P962" t="str">
        <f>_xlfn.XLOOKUP(Table3[[#This Row],[Cuenta]],Estructura_Balance[Nombre Cuenta ()],Estructura_Balance[Nivel 3],"",0)</f>
        <v/>
      </c>
      <c r="Q962" t="str">
        <f>_xlfn.XLOOKUP(Table3[[#This Row],[Cuenta]],Estructura_Balance[Nombre Cuenta ()],Estructura_Balance[Nivel 4],"",0)</f>
        <v/>
      </c>
      <c r="R962" t="str">
        <f>_xlfn.XLOOKUP(Table3[[#This Row],[Cuenta]],Table8[Nombre Cuenta ()],Table8[Nivel 1],"",0)</f>
        <v/>
      </c>
      <c r="S962" t="str">
        <f>_xlfn.XLOOKUP(Table3[[#This Row],[Cuenta]],Table8[Nombre Cuenta ()],Table8[Nivel 2],"",0)</f>
        <v/>
      </c>
      <c r="T962" t="str">
        <f>_xlfn.XLOOKUP(Table3[[#This Row],[Cuenta]],Table8[Nombre Cuenta ()],Table8[Nivel 3],"",0)</f>
        <v/>
      </c>
      <c r="U962">
        <v>1644</v>
      </c>
      <c r="V962" t="str">
        <f>_xlfn.XLOOKUP(Table3[[#This Row],[Cuenta]],Estructura_Balance[Nombre Cuenta ()],Estructura_Balance[Niveles:2],"",0)</f>
        <v/>
      </c>
      <c r="W962" t="str">
        <f>_xlfn.XLOOKUP(Table3[[#This Row],[Cuenta]],Estructura_Balance[Nombre Cuenta ()],Estructura_Balance[Niveles:3],"",0)</f>
        <v/>
      </c>
      <c r="X962" t="str">
        <f>_xlfn.XLOOKUP(Table3[[#This Row],[Cuenta]],Estructura_Balance[Nombre Cuenta ()],Estructura_Balance[Grupos],"Grupo 1",0)</f>
        <v>Grupo 1</v>
      </c>
      <c r="Y962" t="str">
        <f>+Table3[[#This Row],[BS_Nivel_1]]</f>
        <v/>
      </c>
    </row>
    <row r="963" spans="1:25">
      <c r="A963">
        <f>+'Libro Diario'!F252</f>
        <v>0</v>
      </c>
      <c r="B963" s="144">
        <f>VALUE(IF(+'Libro Diario'!G252="","01/01/2025",+'Libro Diario'!G252))</f>
        <v>45658</v>
      </c>
      <c r="C963">
        <f>IF(ISNUMBER(+IF(IFERROR(VALUE(MID('Libro Diario'!D252,1,4)),0)&lt;&gt;0,'Libro Diario'!D252,0))=FALSE,'Libro Diario'!D252,0)</f>
        <v>0</v>
      </c>
      <c r="D963" s="145">
        <f>+'Libro Diario'!E252</f>
        <v>0</v>
      </c>
      <c r="E963" s="139" t="s">
        <v>446</v>
      </c>
      <c r="F963" t="str">
        <f t="shared" ref="F963:F1026" si="45">+IF(C963=0,"Sin Mov.","Con Mov.")</f>
        <v>Sin Mov.</v>
      </c>
      <c r="G963" t="str">
        <f>IF(+'Libro Diario'!H252=0,"",+'Libro Diario'!H252)</f>
        <v/>
      </c>
      <c r="H963" t="str">
        <f>IF(+'Libro Diario'!I252=0,"",+'Libro Diario'!I252)</f>
        <v/>
      </c>
      <c r="I963" t="str">
        <f>+IF(Table3[[#This Row],[Tipo Movimiento]]="Estructura Balance y PyG","Excluir","Incluir")</f>
        <v>Incluir</v>
      </c>
      <c r="J963" s="153">
        <f>+IF(Table3[[#This Row],[Sin cuenta]]="Con Mov.",(IF(Table3[[#This Row],[Movimiento]]="Debe",Table3[[#This Row],[Importe]],IF(Table3[[#This Row],[Movimiento]]="Haber",Table3[[#This Row],[Importe]]*-1,0))),0)</f>
        <v>0</v>
      </c>
      <c r="K963" s="145" t="str">
        <f t="shared" ref="K963:K1026" si="46">+IF(E963="Debe",D963,"")</f>
        <v/>
      </c>
      <c r="L963" s="145">
        <f t="shared" ref="L963:L1026" si="47">+IF(E963="Haber",D963,"")</f>
        <v>0</v>
      </c>
      <c r="M963" t="str">
        <f>_xlfn.XLOOKUP(Table3[[#This Row],[Cuenta]],Estructura_Balance[Nombre Cuenta ()],Estructura_Balance[Grupo],"",0)</f>
        <v/>
      </c>
      <c r="N963" t="str">
        <f>_xlfn.XLOOKUP(Table3[[#This Row],[Cuenta]],Estructura_Balance[Nombre Cuenta ()],Estructura_Balance[Nivel 1],"",0)</f>
        <v/>
      </c>
      <c r="O963" t="str">
        <f>_xlfn.XLOOKUP(Table3[[#This Row],[Cuenta]],Estructura_Balance[Nombre Cuenta ()],Estructura_Balance[Nivel 2],"",0)</f>
        <v/>
      </c>
      <c r="P963" t="str">
        <f>_xlfn.XLOOKUP(Table3[[#This Row],[Cuenta]],Estructura_Balance[Nombre Cuenta ()],Estructura_Balance[Nivel 3],"",0)</f>
        <v/>
      </c>
      <c r="Q963" t="str">
        <f>_xlfn.XLOOKUP(Table3[[#This Row],[Cuenta]],Estructura_Balance[Nombre Cuenta ()],Estructura_Balance[Nivel 4],"",0)</f>
        <v/>
      </c>
      <c r="R963" t="str">
        <f>_xlfn.XLOOKUP(Table3[[#This Row],[Cuenta]],Table8[Nombre Cuenta ()],Table8[Nivel 1],"",0)</f>
        <v/>
      </c>
      <c r="S963" t="str">
        <f>_xlfn.XLOOKUP(Table3[[#This Row],[Cuenta]],Table8[Nombre Cuenta ()],Table8[Nivel 2],"",0)</f>
        <v/>
      </c>
      <c r="T963" t="str">
        <f>_xlfn.XLOOKUP(Table3[[#This Row],[Cuenta]],Table8[Nombre Cuenta ()],Table8[Nivel 3],"",0)</f>
        <v/>
      </c>
      <c r="U963">
        <v>1645</v>
      </c>
      <c r="V963" t="str">
        <f>_xlfn.XLOOKUP(Table3[[#This Row],[Cuenta]],Estructura_Balance[Nombre Cuenta ()],Estructura_Balance[Niveles:2],"",0)</f>
        <v/>
      </c>
      <c r="W963" t="str">
        <f>_xlfn.XLOOKUP(Table3[[#This Row],[Cuenta]],Estructura_Balance[Nombre Cuenta ()],Estructura_Balance[Niveles:3],"",0)</f>
        <v/>
      </c>
      <c r="X963" t="str">
        <f>_xlfn.XLOOKUP(Table3[[#This Row],[Cuenta]],Estructura_Balance[Nombre Cuenta ()],Estructura_Balance[Grupos],"Grupo 1",0)</f>
        <v>Grupo 1</v>
      </c>
      <c r="Y963" t="str">
        <f>+Table3[[#This Row],[BS_Nivel_1]]</f>
        <v/>
      </c>
    </row>
    <row r="964" spans="1:25">
      <c r="A964">
        <f>+'Libro Diario'!F253</f>
        <v>0</v>
      </c>
      <c r="B964" s="144">
        <f>VALUE(IF(+'Libro Diario'!G253="","01/01/2025",+'Libro Diario'!G253))</f>
        <v>45658</v>
      </c>
      <c r="C964">
        <f>IF(ISNUMBER(+IF(IFERROR(VALUE(MID('Libro Diario'!D253,1,4)),0)&lt;&gt;0,'Libro Diario'!D253,0))=FALSE,'Libro Diario'!D253,0)</f>
        <v>0</v>
      </c>
      <c r="D964" s="145">
        <f>+'Libro Diario'!E253</f>
        <v>0</v>
      </c>
      <c r="E964" s="139" t="s">
        <v>446</v>
      </c>
      <c r="F964" t="str">
        <f t="shared" si="45"/>
        <v>Sin Mov.</v>
      </c>
      <c r="G964" t="str">
        <f>IF(+'Libro Diario'!H253=0,"",+'Libro Diario'!H253)</f>
        <v/>
      </c>
      <c r="H964" t="str">
        <f>IF(+'Libro Diario'!I253=0,"",+'Libro Diario'!I253)</f>
        <v/>
      </c>
      <c r="I964" t="str">
        <f>+IF(Table3[[#This Row],[Tipo Movimiento]]="Estructura Balance y PyG","Excluir","Incluir")</f>
        <v>Incluir</v>
      </c>
      <c r="J964" s="153">
        <f>+IF(Table3[[#This Row],[Sin cuenta]]="Con Mov.",(IF(Table3[[#This Row],[Movimiento]]="Debe",Table3[[#This Row],[Importe]],IF(Table3[[#This Row],[Movimiento]]="Haber",Table3[[#This Row],[Importe]]*-1,0))),0)</f>
        <v>0</v>
      </c>
      <c r="K964" s="145" t="str">
        <f t="shared" si="46"/>
        <v/>
      </c>
      <c r="L964" s="145">
        <f t="shared" si="47"/>
        <v>0</v>
      </c>
      <c r="M964" t="str">
        <f>_xlfn.XLOOKUP(Table3[[#This Row],[Cuenta]],Estructura_Balance[Nombre Cuenta ()],Estructura_Balance[Grupo],"",0)</f>
        <v/>
      </c>
      <c r="N964" t="str">
        <f>_xlfn.XLOOKUP(Table3[[#This Row],[Cuenta]],Estructura_Balance[Nombre Cuenta ()],Estructura_Balance[Nivel 1],"",0)</f>
        <v/>
      </c>
      <c r="O964" t="str">
        <f>_xlfn.XLOOKUP(Table3[[#This Row],[Cuenta]],Estructura_Balance[Nombre Cuenta ()],Estructura_Balance[Nivel 2],"",0)</f>
        <v/>
      </c>
      <c r="P964" t="str">
        <f>_xlfn.XLOOKUP(Table3[[#This Row],[Cuenta]],Estructura_Balance[Nombre Cuenta ()],Estructura_Balance[Nivel 3],"",0)</f>
        <v/>
      </c>
      <c r="Q964" t="str">
        <f>_xlfn.XLOOKUP(Table3[[#This Row],[Cuenta]],Estructura_Balance[Nombre Cuenta ()],Estructura_Balance[Nivel 4],"",0)</f>
        <v/>
      </c>
      <c r="R964" t="str">
        <f>_xlfn.XLOOKUP(Table3[[#This Row],[Cuenta]],Table8[Nombre Cuenta ()],Table8[Nivel 1],"",0)</f>
        <v/>
      </c>
      <c r="S964" t="str">
        <f>_xlfn.XLOOKUP(Table3[[#This Row],[Cuenta]],Table8[Nombre Cuenta ()],Table8[Nivel 2],"",0)</f>
        <v/>
      </c>
      <c r="T964" t="str">
        <f>_xlfn.XLOOKUP(Table3[[#This Row],[Cuenta]],Table8[Nombre Cuenta ()],Table8[Nivel 3],"",0)</f>
        <v/>
      </c>
      <c r="U964">
        <v>1646</v>
      </c>
      <c r="V964" t="str">
        <f>_xlfn.XLOOKUP(Table3[[#This Row],[Cuenta]],Estructura_Balance[Nombre Cuenta ()],Estructura_Balance[Niveles:2],"",0)</f>
        <v/>
      </c>
      <c r="W964" t="str">
        <f>_xlfn.XLOOKUP(Table3[[#This Row],[Cuenta]],Estructura_Balance[Nombre Cuenta ()],Estructura_Balance[Niveles:3],"",0)</f>
        <v/>
      </c>
      <c r="X964" t="str">
        <f>_xlfn.XLOOKUP(Table3[[#This Row],[Cuenta]],Estructura_Balance[Nombre Cuenta ()],Estructura_Balance[Grupos],"Grupo 1",0)</f>
        <v>Grupo 1</v>
      </c>
      <c r="Y964" t="str">
        <f>+Table3[[#This Row],[BS_Nivel_1]]</f>
        <v/>
      </c>
    </row>
    <row r="965" spans="1:25">
      <c r="A965">
        <f>+'Libro Diario'!F254</f>
        <v>0</v>
      </c>
      <c r="B965" s="144">
        <f>VALUE(IF(+'Libro Diario'!G254="","01/01/2025",+'Libro Diario'!G254))</f>
        <v>45658</v>
      </c>
      <c r="C965">
        <f>IF(ISNUMBER(+IF(IFERROR(VALUE(MID('Libro Diario'!D254,1,4)),0)&lt;&gt;0,'Libro Diario'!D254,0))=FALSE,'Libro Diario'!D254,0)</f>
        <v>0</v>
      </c>
      <c r="D965" s="145" t="str">
        <f>+'Libro Diario'!E254</f>
        <v>HABER</v>
      </c>
      <c r="E965" s="139" t="s">
        <v>446</v>
      </c>
      <c r="F965" t="str">
        <f t="shared" si="45"/>
        <v>Sin Mov.</v>
      </c>
      <c r="G965" t="str">
        <f>IF(+'Libro Diario'!H254=0,"",+'Libro Diario'!H254)</f>
        <v/>
      </c>
      <c r="H965" t="str">
        <f>IF(+'Libro Diario'!I254=0,"",+'Libro Diario'!I254)</f>
        <v/>
      </c>
      <c r="I965" t="str">
        <f>+IF(Table3[[#This Row],[Tipo Movimiento]]="Estructura Balance y PyG","Excluir","Incluir")</f>
        <v>Incluir</v>
      </c>
      <c r="J965" s="153">
        <f>+IF(Table3[[#This Row],[Sin cuenta]]="Con Mov.",(IF(Table3[[#This Row],[Movimiento]]="Debe",Table3[[#This Row],[Importe]],IF(Table3[[#This Row],[Movimiento]]="Haber",Table3[[#This Row],[Importe]]*-1,0))),0)</f>
        <v>0</v>
      </c>
      <c r="K965" s="145" t="str">
        <f t="shared" si="46"/>
        <v/>
      </c>
      <c r="L965" s="145" t="str">
        <f t="shared" si="47"/>
        <v>HABER</v>
      </c>
      <c r="M965" t="str">
        <f>_xlfn.XLOOKUP(Table3[[#This Row],[Cuenta]],Estructura_Balance[Nombre Cuenta ()],Estructura_Balance[Grupo],"",0)</f>
        <v/>
      </c>
      <c r="N965" t="str">
        <f>_xlfn.XLOOKUP(Table3[[#This Row],[Cuenta]],Estructura_Balance[Nombre Cuenta ()],Estructura_Balance[Nivel 1],"",0)</f>
        <v/>
      </c>
      <c r="O965" t="str">
        <f>_xlfn.XLOOKUP(Table3[[#This Row],[Cuenta]],Estructura_Balance[Nombre Cuenta ()],Estructura_Balance[Nivel 2],"",0)</f>
        <v/>
      </c>
      <c r="P965" t="str">
        <f>_xlfn.XLOOKUP(Table3[[#This Row],[Cuenta]],Estructura_Balance[Nombre Cuenta ()],Estructura_Balance[Nivel 3],"",0)</f>
        <v/>
      </c>
      <c r="Q965" t="str">
        <f>_xlfn.XLOOKUP(Table3[[#This Row],[Cuenta]],Estructura_Balance[Nombre Cuenta ()],Estructura_Balance[Nivel 4],"",0)</f>
        <v/>
      </c>
      <c r="R965" t="str">
        <f>_xlfn.XLOOKUP(Table3[[#This Row],[Cuenta]],Table8[Nombre Cuenta ()],Table8[Nivel 1],"",0)</f>
        <v/>
      </c>
      <c r="S965" t="str">
        <f>_xlfn.XLOOKUP(Table3[[#This Row],[Cuenta]],Table8[Nombre Cuenta ()],Table8[Nivel 2],"",0)</f>
        <v/>
      </c>
      <c r="T965" t="str">
        <f>_xlfn.XLOOKUP(Table3[[#This Row],[Cuenta]],Table8[Nombre Cuenta ()],Table8[Nivel 3],"",0)</f>
        <v/>
      </c>
      <c r="U965">
        <v>1647</v>
      </c>
      <c r="V965" t="str">
        <f>_xlfn.XLOOKUP(Table3[[#This Row],[Cuenta]],Estructura_Balance[Nombre Cuenta ()],Estructura_Balance[Niveles:2],"",0)</f>
        <v/>
      </c>
      <c r="W965" t="str">
        <f>_xlfn.XLOOKUP(Table3[[#This Row],[Cuenta]],Estructura_Balance[Nombre Cuenta ()],Estructura_Balance[Niveles:3],"",0)</f>
        <v/>
      </c>
      <c r="X965" t="str">
        <f>_xlfn.XLOOKUP(Table3[[#This Row],[Cuenta]],Estructura_Balance[Nombre Cuenta ()],Estructura_Balance[Grupos],"Grupo 1",0)</f>
        <v>Grupo 1</v>
      </c>
      <c r="Y965" t="str">
        <f>+Table3[[#This Row],[BS_Nivel_1]]</f>
        <v/>
      </c>
    </row>
    <row r="966" spans="1:25">
      <c r="A966">
        <f>+'Libro Diario'!F255</f>
        <v>0</v>
      </c>
      <c r="B966" s="144">
        <f>VALUE(IF(+'Libro Diario'!G255="","01/01/2025",+'Libro Diario'!G255))</f>
        <v>45658</v>
      </c>
      <c r="C966">
        <f>IF(ISNUMBER(+IF(IFERROR(VALUE(MID('Libro Diario'!D255,1,4)),0)&lt;&gt;0,'Libro Diario'!D255,0))=FALSE,'Libro Diario'!D255,0)</f>
        <v>0</v>
      </c>
      <c r="D966" s="145">
        <f>+'Libro Diario'!E255</f>
        <v>0</v>
      </c>
      <c r="E966" s="139" t="s">
        <v>446</v>
      </c>
      <c r="F966" t="str">
        <f t="shared" si="45"/>
        <v>Sin Mov.</v>
      </c>
      <c r="G966" t="str">
        <f>IF(+'Libro Diario'!H255=0,"",+'Libro Diario'!H255)</f>
        <v/>
      </c>
      <c r="H966" t="str">
        <f>IF(+'Libro Diario'!I255=0,"",+'Libro Diario'!I255)</f>
        <v/>
      </c>
      <c r="I966" t="str">
        <f>+IF(Table3[[#This Row],[Tipo Movimiento]]="Estructura Balance y PyG","Excluir","Incluir")</f>
        <v>Incluir</v>
      </c>
      <c r="J966" s="153">
        <f>+IF(Table3[[#This Row],[Sin cuenta]]="Con Mov.",(IF(Table3[[#This Row],[Movimiento]]="Debe",Table3[[#This Row],[Importe]],IF(Table3[[#This Row],[Movimiento]]="Haber",Table3[[#This Row],[Importe]]*-1,0))),0)</f>
        <v>0</v>
      </c>
      <c r="K966" s="145" t="str">
        <f t="shared" si="46"/>
        <v/>
      </c>
      <c r="L966" s="145">
        <f t="shared" si="47"/>
        <v>0</v>
      </c>
      <c r="M966" t="str">
        <f>_xlfn.XLOOKUP(Table3[[#This Row],[Cuenta]],Estructura_Balance[Nombre Cuenta ()],Estructura_Balance[Grupo],"",0)</f>
        <v/>
      </c>
      <c r="N966" t="str">
        <f>_xlfn.XLOOKUP(Table3[[#This Row],[Cuenta]],Estructura_Balance[Nombre Cuenta ()],Estructura_Balance[Nivel 1],"",0)</f>
        <v/>
      </c>
      <c r="O966" t="str">
        <f>_xlfn.XLOOKUP(Table3[[#This Row],[Cuenta]],Estructura_Balance[Nombre Cuenta ()],Estructura_Balance[Nivel 2],"",0)</f>
        <v/>
      </c>
      <c r="P966" t="str">
        <f>_xlfn.XLOOKUP(Table3[[#This Row],[Cuenta]],Estructura_Balance[Nombre Cuenta ()],Estructura_Balance[Nivel 3],"",0)</f>
        <v/>
      </c>
      <c r="Q966" t="str">
        <f>_xlfn.XLOOKUP(Table3[[#This Row],[Cuenta]],Estructura_Balance[Nombre Cuenta ()],Estructura_Balance[Nivel 4],"",0)</f>
        <v/>
      </c>
      <c r="R966" t="str">
        <f>_xlfn.XLOOKUP(Table3[[#This Row],[Cuenta]],Table8[Nombre Cuenta ()],Table8[Nivel 1],"",0)</f>
        <v/>
      </c>
      <c r="S966" t="str">
        <f>_xlfn.XLOOKUP(Table3[[#This Row],[Cuenta]],Table8[Nombre Cuenta ()],Table8[Nivel 2],"",0)</f>
        <v/>
      </c>
      <c r="T966" t="str">
        <f>_xlfn.XLOOKUP(Table3[[#This Row],[Cuenta]],Table8[Nombre Cuenta ()],Table8[Nivel 3],"",0)</f>
        <v/>
      </c>
      <c r="U966">
        <v>1648</v>
      </c>
      <c r="V966" t="str">
        <f>_xlfn.XLOOKUP(Table3[[#This Row],[Cuenta]],Estructura_Balance[Nombre Cuenta ()],Estructura_Balance[Niveles:2],"",0)</f>
        <v/>
      </c>
      <c r="W966" t="str">
        <f>_xlfn.XLOOKUP(Table3[[#This Row],[Cuenta]],Estructura_Balance[Nombre Cuenta ()],Estructura_Balance[Niveles:3],"",0)</f>
        <v/>
      </c>
      <c r="X966" t="str">
        <f>_xlfn.XLOOKUP(Table3[[#This Row],[Cuenta]],Estructura_Balance[Nombre Cuenta ()],Estructura_Balance[Grupos],"Grupo 1",0)</f>
        <v>Grupo 1</v>
      </c>
      <c r="Y966" t="str">
        <f>+Table3[[#This Row],[BS_Nivel_1]]</f>
        <v/>
      </c>
    </row>
    <row r="967" spans="1:25">
      <c r="A967">
        <f>+'Libro Diario'!F258</f>
        <v>0</v>
      </c>
      <c r="B967" s="144">
        <f>VALUE(IF(+'Libro Diario'!G258="","01/01/2025",+'Libro Diario'!G258))</f>
        <v>45658</v>
      </c>
      <c r="C967">
        <f>IF(ISNUMBER(+IF(IFERROR(VALUE(MID('Libro Diario'!D258,1,4)),0)&lt;&gt;0,'Libro Diario'!D258,0))=FALSE,'Libro Diario'!D258,0)</f>
        <v>0</v>
      </c>
      <c r="D967" s="145">
        <f>+'Libro Diario'!E258</f>
        <v>0</v>
      </c>
      <c r="E967" s="139" t="s">
        <v>446</v>
      </c>
      <c r="F967" t="str">
        <f t="shared" si="45"/>
        <v>Sin Mov.</v>
      </c>
      <c r="G967" t="str">
        <f>IF(+'Libro Diario'!H258=0,"",+'Libro Diario'!H258)</f>
        <v/>
      </c>
      <c r="H967" t="str">
        <f>IF(+'Libro Diario'!I258=0,"",+'Libro Diario'!I258)</f>
        <v/>
      </c>
      <c r="I967" t="str">
        <f>+IF(Table3[[#This Row],[Tipo Movimiento]]="Estructura Balance y PyG","Excluir","Incluir")</f>
        <v>Incluir</v>
      </c>
      <c r="J967" s="153">
        <f>+IF(Table3[[#This Row],[Sin cuenta]]="Con Mov.",(IF(Table3[[#This Row],[Movimiento]]="Debe",Table3[[#This Row],[Importe]],IF(Table3[[#This Row],[Movimiento]]="Haber",Table3[[#This Row],[Importe]]*-1,0))),0)</f>
        <v>0</v>
      </c>
      <c r="K967" s="145" t="str">
        <f t="shared" si="46"/>
        <v/>
      </c>
      <c r="L967" s="145">
        <f t="shared" si="47"/>
        <v>0</v>
      </c>
      <c r="M967" t="str">
        <f>_xlfn.XLOOKUP(Table3[[#This Row],[Cuenta]],Estructura_Balance[Nombre Cuenta ()],Estructura_Balance[Grupo],"",0)</f>
        <v/>
      </c>
      <c r="N967" t="str">
        <f>_xlfn.XLOOKUP(Table3[[#This Row],[Cuenta]],Estructura_Balance[Nombre Cuenta ()],Estructura_Balance[Nivel 1],"",0)</f>
        <v/>
      </c>
      <c r="O967" t="str">
        <f>_xlfn.XLOOKUP(Table3[[#This Row],[Cuenta]],Estructura_Balance[Nombre Cuenta ()],Estructura_Balance[Nivel 2],"",0)</f>
        <v/>
      </c>
      <c r="P967" t="str">
        <f>_xlfn.XLOOKUP(Table3[[#This Row],[Cuenta]],Estructura_Balance[Nombre Cuenta ()],Estructura_Balance[Nivel 3],"",0)</f>
        <v/>
      </c>
      <c r="Q967" t="str">
        <f>_xlfn.XLOOKUP(Table3[[#This Row],[Cuenta]],Estructura_Balance[Nombre Cuenta ()],Estructura_Balance[Nivel 4],"",0)</f>
        <v/>
      </c>
      <c r="R967" t="str">
        <f>_xlfn.XLOOKUP(Table3[[#This Row],[Cuenta]],Table8[Nombre Cuenta ()],Table8[Nivel 1],"",0)</f>
        <v/>
      </c>
      <c r="S967" t="str">
        <f>_xlfn.XLOOKUP(Table3[[#This Row],[Cuenta]],Table8[Nombre Cuenta ()],Table8[Nivel 2],"",0)</f>
        <v/>
      </c>
      <c r="T967" t="str">
        <f>_xlfn.XLOOKUP(Table3[[#This Row],[Cuenta]],Table8[Nombre Cuenta ()],Table8[Nivel 3],"",0)</f>
        <v/>
      </c>
      <c r="U967">
        <v>1651</v>
      </c>
      <c r="V967" t="str">
        <f>_xlfn.XLOOKUP(Table3[[#This Row],[Cuenta]],Estructura_Balance[Nombre Cuenta ()],Estructura_Balance[Niveles:2],"",0)</f>
        <v/>
      </c>
      <c r="W967" t="str">
        <f>_xlfn.XLOOKUP(Table3[[#This Row],[Cuenta]],Estructura_Balance[Nombre Cuenta ()],Estructura_Balance[Niveles:3],"",0)</f>
        <v/>
      </c>
      <c r="X967" t="str">
        <f>_xlfn.XLOOKUP(Table3[[#This Row],[Cuenta]],Estructura_Balance[Nombre Cuenta ()],Estructura_Balance[Grupos],"Grupo 1",0)</f>
        <v>Grupo 1</v>
      </c>
      <c r="Y967" t="str">
        <f>+Table3[[#This Row],[BS_Nivel_1]]</f>
        <v/>
      </c>
    </row>
    <row r="968" spans="1:25">
      <c r="A968">
        <f>+'Libro Diario'!F259</f>
        <v>0</v>
      </c>
      <c r="B968" s="144">
        <f>VALUE(IF(+'Libro Diario'!G259="","01/01/2025",+'Libro Diario'!G259))</f>
        <v>45658</v>
      </c>
      <c r="C968">
        <f>IF(ISNUMBER(+IF(IFERROR(VALUE(MID('Libro Diario'!D259,1,4)),0)&lt;&gt;0,'Libro Diario'!D259,0))=FALSE,'Libro Diario'!D259,0)</f>
        <v>0</v>
      </c>
      <c r="D968" s="145">
        <f>+'Libro Diario'!E259</f>
        <v>0</v>
      </c>
      <c r="E968" s="139" t="s">
        <v>446</v>
      </c>
      <c r="F968" t="str">
        <f t="shared" si="45"/>
        <v>Sin Mov.</v>
      </c>
      <c r="G968" t="str">
        <f>IF(+'Libro Diario'!H259=0,"",+'Libro Diario'!H259)</f>
        <v/>
      </c>
      <c r="H968" t="str">
        <f>IF(+'Libro Diario'!I259=0,"",+'Libro Diario'!I259)</f>
        <v/>
      </c>
      <c r="I968" t="str">
        <f>+IF(Table3[[#This Row],[Tipo Movimiento]]="Estructura Balance y PyG","Excluir","Incluir")</f>
        <v>Incluir</v>
      </c>
      <c r="J968" s="153">
        <f>+IF(Table3[[#This Row],[Sin cuenta]]="Con Mov.",(IF(Table3[[#This Row],[Movimiento]]="Debe",Table3[[#This Row],[Importe]],IF(Table3[[#This Row],[Movimiento]]="Haber",Table3[[#This Row],[Importe]]*-1,0))),0)</f>
        <v>0</v>
      </c>
      <c r="K968" s="145" t="str">
        <f t="shared" si="46"/>
        <v/>
      </c>
      <c r="L968" s="145">
        <f t="shared" si="47"/>
        <v>0</v>
      </c>
      <c r="M968" t="str">
        <f>_xlfn.XLOOKUP(Table3[[#This Row],[Cuenta]],Estructura_Balance[Nombre Cuenta ()],Estructura_Balance[Grupo],"",0)</f>
        <v/>
      </c>
      <c r="N968" t="str">
        <f>_xlfn.XLOOKUP(Table3[[#This Row],[Cuenta]],Estructura_Balance[Nombre Cuenta ()],Estructura_Balance[Nivel 1],"",0)</f>
        <v/>
      </c>
      <c r="O968" t="str">
        <f>_xlfn.XLOOKUP(Table3[[#This Row],[Cuenta]],Estructura_Balance[Nombre Cuenta ()],Estructura_Balance[Nivel 2],"",0)</f>
        <v/>
      </c>
      <c r="P968" t="str">
        <f>_xlfn.XLOOKUP(Table3[[#This Row],[Cuenta]],Estructura_Balance[Nombre Cuenta ()],Estructura_Balance[Nivel 3],"",0)</f>
        <v/>
      </c>
      <c r="Q968" t="str">
        <f>_xlfn.XLOOKUP(Table3[[#This Row],[Cuenta]],Estructura_Balance[Nombre Cuenta ()],Estructura_Balance[Nivel 4],"",0)</f>
        <v/>
      </c>
      <c r="R968" t="str">
        <f>_xlfn.XLOOKUP(Table3[[#This Row],[Cuenta]],Table8[Nombre Cuenta ()],Table8[Nivel 1],"",0)</f>
        <v/>
      </c>
      <c r="S968" t="str">
        <f>_xlfn.XLOOKUP(Table3[[#This Row],[Cuenta]],Table8[Nombre Cuenta ()],Table8[Nivel 2],"",0)</f>
        <v/>
      </c>
      <c r="T968" t="str">
        <f>_xlfn.XLOOKUP(Table3[[#This Row],[Cuenta]],Table8[Nombre Cuenta ()],Table8[Nivel 3],"",0)</f>
        <v/>
      </c>
      <c r="U968">
        <v>1652</v>
      </c>
      <c r="V968" t="str">
        <f>_xlfn.XLOOKUP(Table3[[#This Row],[Cuenta]],Estructura_Balance[Nombre Cuenta ()],Estructura_Balance[Niveles:2],"",0)</f>
        <v/>
      </c>
      <c r="W968" t="str">
        <f>_xlfn.XLOOKUP(Table3[[#This Row],[Cuenta]],Estructura_Balance[Nombre Cuenta ()],Estructura_Balance[Niveles:3],"",0)</f>
        <v/>
      </c>
      <c r="X968" t="str">
        <f>_xlfn.XLOOKUP(Table3[[#This Row],[Cuenta]],Estructura_Balance[Nombre Cuenta ()],Estructura_Balance[Grupos],"Grupo 1",0)</f>
        <v>Grupo 1</v>
      </c>
      <c r="Y968" t="str">
        <f>+Table3[[#This Row],[BS_Nivel_1]]</f>
        <v/>
      </c>
    </row>
    <row r="969" spans="1:25">
      <c r="A969">
        <f>+'Libro Diario'!F260</f>
        <v>0</v>
      </c>
      <c r="B969" s="144">
        <f>VALUE(IF(+'Libro Diario'!G260="","01/01/2025",+'Libro Diario'!G260))</f>
        <v>45658</v>
      </c>
      <c r="C969">
        <f>IF(ISNUMBER(+IF(IFERROR(VALUE(MID('Libro Diario'!D260,1,4)),0)&lt;&gt;0,'Libro Diario'!D260,0))=FALSE,'Libro Diario'!D260,0)</f>
        <v>0</v>
      </c>
      <c r="D969" s="145">
        <f>+'Libro Diario'!E260</f>
        <v>0</v>
      </c>
      <c r="E969" s="139" t="s">
        <v>446</v>
      </c>
      <c r="F969" t="str">
        <f t="shared" si="45"/>
        <v>Sin Mov.</v>
      </c>
      <c r="G969" t="str">
        <f>IF(+'Libro Diario'!H260=0,"",+'Libro Diario'!H260)</f>
        <v/>
      </c>
      <c r="H969" t="str">
        <f>IF(+'Libro Diario'!I260=0,"",+'Libro Diario'!I260)</f>
        <v/>
      </c>
      <c r="I969" t="str">
        <f>+IF(Table3[[#This Row],[Tipo Movimiento]]="Estructura Balance y PyG","Excluir","Incluir")</f>
        <v>Incluir</v>
      </c>
      <c r="J969" s="153">
        <f>+IF(Table3[[#This Row],[Sin cuenta]]="Con Mov.",(IF(Table3[[#This Row],[Movimiento]]="Debe",Table3[[#This Row],[Importe]],IF(Table3[[#This Row],[Movimiento]]="Haber",Table3[[#This Row],[Importe]]*-1,0))),0)</f>
        <v>0</v>
      </c>
      <c r="K969" s="145" t="str">
        <f t="shared" si="46"/>
        <v/>
      </c>
      <c r="L969" s="145">
        <f t="shared" si="47"/>
        <v>0</v>
      </c>
      <c r="M969" t="str">
        <f>_xlfn.XLOOKUP(Table3[[#This Row],[Cuenta]],Estructura_Balance[Nombre Cuenta ()],Estructura_Balance[Grupo],"",0)</f>
        <v/>
      </c>
      <c r="N969" t="str">
        <f>_xlfn.XLOOKUP(Table3[[#This Row],[Cuenta]],Estructura_Balance[Nombre Cuenta ()],Estructura_Balance[Nivel 1],"",0)</f>
        <v/>
      </c>
      <c r="O969" t="str">
        <f>_xlfn.XLOOKUP(Table3[[#This Row],[Cuenta]],Estructura_Balance[Nombre Cuenta ()],Estructura_Balance[Nivel 2],"",0)</f>
        <v/>
      </c>
      <c r="P969" t="str">
        <f>_xlfn.XLOOKUP(Table3[[#This Row],[Cuenta]],Estructura_Balance[Nombre Cuenta ()],Estructura_Balance[Nivel 3],"",0)</f>
        <v/>
      </c>
      <c r="Q969" t="str">
        <f>_xlfn.XLOOKUP(Table3[[#This Row],[Cuenta]],Estructura_Balance[Nombre Cuenta ()],Estructura_Balance[Nivel 4],"",0)</f>
        <v/>
      </c>
      <c r="R969" t="str">
        <f>_xlfn.XLOOKUP(Table3[[#This Row],[Cuenta]],Table8[Nombre Cuenta ()],Table8[Nivel 1],"",0)</f>
        <v/>
      </c>
      <c r="S969" t="str">
        <f>_xlfn.XLOOKUP(Table3[[#This Row],[Cuenta]],Table8[Nombre Cuenta ()],Table8[Nivel 2],"",0)</f>
        <v/>
      </c>
      <c r="T969" t="str">
        <f>_xlfn.XLOOKUP(Table3[[#This Row],[Cuenta]],Table8[Nombre Cuenta ()],Table8[Nivel 3],"",0)</f>
        <v/>
      </c>
      <c r="U969">
        <v>1653</v>
      </c>
      <c r="V969" t="str">
        <f>_xlfn.XLOOKUP(Table3[[#This Row],[Cuenta]],Estructura_Balance[Nombre Cuenta ()],Estructura_Balance[Niveles:2],"",0)</f>
        <v/>
      </c>
      <c r="W969" t="str">
        <f>_xlfn.XLOOKUP(Table3[[#This Row],[Cuenta]],Estructura_Balance[Nombre Cuenta ()],Estructura_Balance[Niveles:3],"",0)</f>
        <v/>
      </c>
      <c r="X969" t="str">
        <f>_xlfn.XLOOKUP(Table3[[#This Row],[Cuenta]],Estructura_Balance[Nombre Cuenta ()],Estructura_Balance[Grupos],"Grupo 1",0)</f>
        <v>Grupo 1</v>
      </c>
      <c r="Y969" t="str">
        <f>+Table3[[#This Row],[BS_Nivel_1]]</f>
        <v/>
      </c>
    </row>
    <row r="970" spans="1:25">
      <c r="A970">
        <f>+'Libro Diario'!F261</f>
        <v>0</v>
      </c>
      <c r="B970" s="144">
        <f>VALUE(IF(+'Libro Diario'!G261="","01/01/2025",+'Libro Diario'!G261))</f>
        <v>45658</v>
      </c>
      <c r="C970">
        <f>IF(ISNUMBER(+IF(IFERROR(VALUE(MID('Libro Diario'!D261,1,4)),0)&lt;&gt;0,'Libro Diario'!D261,0))=FALSE,'Libro Diario'!D261,0)</f>
        <v>0</v>
      </c>
      <c r="D970" s="145" t="str">
        <f>+'Libro Diario'!E261</f>
        <v>HABER</v>
      </c>
      <c r="E970" s="139" t="s">
        <v>446</v>
      </c>
      <c r="F970" t="str">
        <f t="shared" si="45"/>
        <v>Sin Mov.</v>
      </c>
      <c r="G970" t="str">
        <f>IF(+'Libro Diario'!H261=0,"",+'Libro Diario'!H261)</f>
        <v/>
      </c>
      <c r="H970" t="str">
        <f>IF(+'Libro Diario'!I261=0,"",+'Libro Diario'!I261)</f>
        <v/>
      </c>
      <c r="I970" t="str">
        <f>+IF(Table3[[#This Row],[Tipo Movimiento]]="Estructura Balance y PyG","Excluir","Incluir")</f>
        <v>Incluir</v>
      </c>
      <c r="J970" s="153">
        <f>+IF(Table3[[#This Row],[Sin cuenta]]="Con Mov.",(IF(Table3[[#This Row],[Movimiento]]="Debe",Table3[[#This Row],[Importe]],IF(Table3[[#This Row],[Movimiento]]="Haber",Table3[[#This Row],[Importe]]*-1,0))),0)</f>
        <v>0</v>
      </c>
      <c r="K970" s="145" t="str">
        <f t="shared" si="46"/>
        <v/>
      </c>
      <c r="L970" s="145" t="str">
        <f t="shared" si="47"/>
        <v>HABER</v>
      </c>
      <c r="M970" t="str">
        <f>_xlfn.XLOOKUP(Table3[[#This Row],[Cuenta]],Estructura_Balance[Nombre Cuenta ()],Estructura_Balance[Grupo],"",0)</f>
        <v/>
      </c>
      <c r="N970" t="str">
        <f>_xlfn.XLOOKUP(Table3[[#This Row],[Cuenta]],Estructura_Balance[Nombre Cuenta ()],Estructura_Balance[Nivel 1],"",0)</f>
        <v/>
      </c>
      <c r="O970" t="str">
        <f>_xlfn.XLOOKUP(Table3[[#This Row],[Cuenta]],Estructura_Balance[Nombre Cuenta ()],Estructura_Balance[Nivel 2],"",0)</f>
        <v/>
      </c>
      <c r="P970" t="str">
        <f>_xlfn.XLOOKUP(Table3[[#This Row],[Cuenta]],Estructura_Balance[Nombre Cuenta ()],Estructura_Balance[Nivel 3],"",0)</f>
        <v/>
      </c>
      <c r="Q970" t="str">
        <f>_xlfn.XLOOKUP(Table3[[#This Row],[Cuenta]],Estructura_Balance[Nombre Cuenta ()],Estructura_Balance[Nivel 4],"",0)</f>
        <v/>
      </c>
      <c r="R970" t="str">
        <f>_xlfn.XLOOKUP(Table3[[#This Row],[Cuenta]],Table8[Nombre Cuenta ()],Table8[Nivel 1],"",0)</f>
        <v/>
      </c>
      <c r="S970" t="str">
        <f>_xlfn.XLOOKUP(Table3[[#This Row],[Cuenta]],Table8[Nombre Cuenta ()],Table8[Nivel 2],"",0)</f>
        <v/>
      </c>
      <c r="T970" t="str">
        <f>_xlfn.XLOOKUP(Table3[[#This Row],[Cuenta]],Table8[Nombre Cuenta ()],Table8[Nivel 3],"",0)</f>
        <v/>
      </c>
      <c r="U970">
        <v>1654</v>
      </c>
      <c r="V970" t="str">
        <f>_xlfn.XLOOKUP(Table3[[#This Row],[Cuenta]],Estructura_Balance[Nombre Cuenta ()],Estructura_Balance[Niveles:2],"",0)</f>
        <v/>
      </c>
      <c r="W970" t="str">
        <f>_xlfn.XLOOKUP(Table3[[#This Row],[Cuenta]],Estructura_Balance[Nombre Cuenta ()],Estructura_Balance[Niveles:3],"",0)</f>
        <v/>
      </c>
      <c r="X970" t="str">
        <f>_xlfn.XLOOKUP(Table3[[#This Row],[Cuenta]],Estructura_Balance[Nombre Cuenta ()],Estructura_Balance[Grupos],"Grupo 1",0)</f>
        <v>Grupo 1</v>
      </c>
      <c r="Y970" t="str">
        <f>+Table3[[#This Row],[BS_Nivel_1]]</f>
        <v/>
      </c>
    </row>
    <row r="971" spans="1:25">
      <c r="A971">
        <f>+'Libro Diario'!F262</f>
        <v>0</v>
      </c>
      <c r="B971" s="144">
        <f>VALUE(IF(+'Libro Diario'!G262="","01/01/2025",+'Libro Diario'!G262))</f>
        <v>45658</v>
      </c>
      <c r="C971">
        <f>IF(ISNUMBER(+IF(IFERROR(VALUE(MID('Libro Diario'!D262,1,4)),0)&lt;&gt;0,'Libro Diario'!D262,0))=FALSE,'Libro Diario'!D262,0)</f>
        <v>0</v>
      </c>
      <c r="D971" s="145">
        <f>+'Libro Diario'!E262</f>
        <v>0</v>
      </c>
      <c r="E971" s="139" t="s">
        <v>446</v>
      </c>
      <c r="F971" t="str">
        <f t="shared" si="45"/>
        <v>Sin Mov.</v>
      </c>
      <c r="G971" t="str">
        <f>IF(+'Libro Diario'!H262=0,"",+'Libro Diario'!H262)</f>
        <v/>
      </c>
      <c r="H971" t="str">
        <f>IF(+'Libro Diario'!I262=0,"",+'Libro Diario'!I262)</f>
        <v/>
      </c>
      <c r="I971" t="str">
        <f>+IF(Table3[[#This Row],[Tipo Movimiento]]="Estructura Balance y PyG","Excluir","Incluir")</f>
        <v>Incluir</v>
      </c>
      <c r="J971" s="153">
        <f>+IF(Table3[[#This Row],[Sin cuenta]]="Con Mov.",(IF(Table3[[#This Row],[Movimiento]]="Debe",Table3[[#This Row],[Importe]],IF(Table3[[#This Row],[Movimiento]]="Haber",Table3[[#This Row],[Importe]]*-1,0))),0)</f>
        <v>0</v>
      </c>
      <c r="K971" s="145" t="str">
        <f t="shared" si="46"/>
        <v/>
      </c>
      <c r="L971" s="145">
        <f t="shared" si="47"/>
        <v>0</v>
      </c>
      <c r="M971" t="str">
        <f>_xlfn.XLOOKUP(Table3[[#This Row],[Cuenta]],Estructura_Balance[Nombre Cuenta ()],Estructura_Balance[Grupo],"",0)</f>
        <v/>
      </c>
      <c r="N971" t="str">
        <f>_xlfn.XLOOKUP(Table3[[#This Row],[Cuenta]],Estructura_Balance[Nombre Cuenta ()],Estructura_Balance[Nivel 1],"",0)</f>
        <v/>
      </c>
      <c r="O971" t="str">
        <f>_xlfn.XLOOKUP(Table3[[#This Row],[Cuenta]],Estructura_Balance[Nombre Cuenta ()],Estructura_Balance[Nivel 2],"",0)</f>
        <v/>
      </c>
      <c r="P971" t="str">
        <f>_xlfn.XLOOKUP(Table3[[#This Row],[Cuenta]],Estructura_Balance[Nombre Cuenta ()],Estructura_Balance[Nivel 3],"",0)</f>
        <v/>
      </c>
      <c r="Q971" t="str">
        <f>_xlfn.XLOOKUP(Table3[[#This Row],[Cuenta]],Estructura_Balance[Nombre Cuenta ()],Estructura_Balance[Nivel 4],"",0)</f>
        <v/>
      </c>
      <c r="R971" t="str">
        <f>_xlfn.XLOOKUP(Table3[[#This Row],[Cuenta]],Table8[Nombre Cuenta ()],Table8[Nivel 1],"",0)</f>
        <v/>
      </c>
      <c r="S971" t="str">
        <f>_xlfn.XLOOKUP(Table3[[#This Row],[Cuenta]],Table8[Nombre Cuenta ()],Table8[Nivel 2],"",0)</f>
        <v/>
      </c>
      <c r="T971" t="str">
        <f>_xlfn.XLOOKUP(Table3[[#This Row],[Cuenta]],Table8[Nombre Cuenta ()],Table8[Nivel 3],"",0)</f>
        <v/>
      </c>
      <c r="U971">
        <v>1655</v>
      </c>
      <c r="V971" t="str">
        <f>_xlfn.XLOOKUP(Table3[[#This Row],[Cuenta]],Estructura_Balance[Nombre Cuenta ()],Estructura_Balance[Niveles:2],"",0)</f>
        <v/>
      </c>
      <c r="W971" t="str">
        <f>_xlfn.XLOOKUP(Table3[[#This Row],[Cuenta]],Estructura_Balance[Nombre Cuenta ()],Estructura_Balance[Niveles:3],"",0)</f>
        <v/>
      </c>
      <c r="X971" t="str">
        <f>_xlfn.XLOOKUP(Table3[[#This Row],[Cuenta]],Estructura_Balance[Nombre Cuenta ()],Estructura_Balance[Grupos],"Grupo 1",0)</f>
        <v>Grupo 1</v>
      </c>
      <c r="Y971" t="str">
        <f>+Table3[[#This Row],[BS_Nivel_1]]</f>
        <v/>
      </c>
    </row>
    <row r="972" spans="1:25">
      <c r="A972">
        <f>+'Libro Diario'!F265</f>
        <v>0</v>
      </c>
      <c r="B972" s="144">
        <f>VALUE(IF(+'Libro Diario'!G265="","01/01/2025",+'Libro Diario'!G265))</f>
        <v>45658</v>
      </c>
      <c r="C972">
        <f>IF(ISNUMBER(+IF(IFERROR(VALUE(MID('Libro Diario'!D265,1,4)),0)&lt;&gt;0,'Libro Diario'!D265,0))=FALSE,'Libro Diario'!D265,0)</f>
        <v>0</v>
      </c>
      <c r="D972" s="145">
        <f>+'Libro Diario'!E265</f>
        <v>0</v>
      </c>
      <c r="E972" s="139" t="s">
        <v>446</v>
      </c>
      <c r="F972" t="str">
        <f t="shared" si="45"/>
        <v>Sin Mov.</v>
      </c>
      <c r="G972" t="str">
        <f>IF(+'Libro Diario'!H265=0,"",+'Libro Diario'!H265)</f>
        <v/>
      </c>
      <c r="H972" t="str">
        <f>IF(+'Libro Diario'!I265=0,"",+'Libro Diario'!I265)</f>
        <v/>
      </c>
      <c r="I972" t="str">
        <f>+IF(Table3[[#This Row],[Tipo Movimiento]]="Estructura Balance y PyG","Excluir","Incluir")</f>
        <v>Incluir</v>
      </c>
      <c r="J972" s="153">
        <f>+IF(Table3[[#This Row],[Sin cuenta]]="Con Mov.",(IF(Table3[[#This Row],[Movimiento]]="Debe",Table3[[#This Row],[Importe]],IF(Table3[[#This Row],[Movimiento]]="Haber",Table3[[#This Row],[Importe]]*-1,0))),0)</f>
        <v>0</v>
      </c>
      <c r="K972" s="145" t="str">
        <f t="shared" si="46"/>
        <v/>
      </c>
      <c r="L972" s="145">
        <f t="shared" si="47"/>
        <v>0</v>
      </c>
      <c r="M972" t="str">
        <f>_xlfn.XLOOKUP(Table3[[#This Row],[Cuenta]],Estructura_Balance[Nombre Cuenta ()],Estructura_Balance[Grupo],"",0)</f>
        <v/>
      </c>
      <c r="N972" t="str">
        <f>_xlfn.XLOOKUP(Table3[[#This Row],[Cuenta]],Estructura_Balance[Nombre Cuenta ()],Estructura_Balance[Nivel 1],"",0)</f>
        <v/>
      </c>
      <c r="O972" t="str">
        <f>_xlfn.XLOOKUP(Table3[[#This Row],[Cuenta]],Estructura_Balance[Nombre Cuenta ()],Estructura_Balance[Nivel 2],"",0)</f>
        <v/>
      </c>
      <c r="P972" t="str">
        <f>_xlfn.XLOOKUP(Table3[[#This Row],[Cuenta]],Estructura_Balance[Nombre Cuenta ()],Estructura_Balance[Nivel 3],"",0)</f>
        <v/>
      </c>
      <c r="Q972" t="str">
        <f>_xlfn.XLOOKUP(Table3[[#This Row],[Cuenta]],Estructura_Balance[Nombre Cuenta ()],Estructura_Balance[Nivel 4],"",0)</f>
        <v/>
      </c>
      <c r="R972" t="str">
        <f>_xlfn.XLOOKUP(Table3[[#This Row],[Cuenta]],Table8[Nombre Cuenta ()],Table8[Nivel 1],"",0)</f>
        <v/>
      </c>
      <c r="S972" t="str">
        <f>_xlfn.XLOOKUP(Table3[[#This Row],[Cuenta]],Table8[Nombre Cuenta ()],Table8[Nivel 2],"",0)</f>
        <v/>
      </c>
      <c r="T972" t="str">
        <f>_xlfn.XLOOKUP(Table3[[#This Row],[Cuenta]],Table8[Nombre Cuenta ()],Table8[Nivel 3],"",0)</f>
        <v/>
      </c>
      <c r="U972">
        <v>1658</v>
      </c>
      <c r="V972" t="str">
        <f>_xlfn.XLOOKUP(Table3[[#This Row],[Cuenta]],Estructura_Balance[Nombre Cuenta ()],Estructura_Balance[Niveles:2],"",0)</f>
        <v/>
      </c>
      <c r="W972" t="str">
        <f>_xlfn.XLOOKUP(Table3[[#This Row],[Cuenta]],Estructura_Balance[Nombre Cuenta ()],Estructura_Balance[Niveles:3],"",0)</f>
        <v/>
      </c>
      <c r="X972" t="str">
        <f>_xlfn.XLOOKUP(Table3[[#This Row],[Cuenta]],Estructura_Balance[Nombre Cuenta ()],Estructura_Balance[Grupos],"Grupo 1",0)</f>
        <v>Grupo 1</v>
      </c>
      <c r="Y972" t="str">
        <f>+Table3[[#This Row],[BS_Nivel_1]]</f>
        <v/>
      </c>
    </row>
    <row r="973" spans="1:25">
      <c r="A973">
        <f>+'Libro Diario'!F266</f>
        <v>0</v>
      </c>
      <c r="B973" s="144">
        <f>VALUE(IF(+'Libro Diario'!G266="","01/01/2025",+'Libro Diario'!G266))</f>
        <v>45658</v>
      </c>
      <c r="C973">
        <f>IF(ISNUMBER(+IF(IFERROR(VALUE(MID('Libro Diario'!D266,1,4)),0)&lt;&gt;0,'Libro Diario'!D266,0))=FALSE,'Libro Diario'!D266,0)</f>
        <v>0</v>
      </c>
      <c r="D973" s="145">
        <f>+'Libro Diario'!E266</f>
        <v>0</v>
      </c>
      <c r="E973" s="139" t="s">
        <v>446</v>
      </c>
      <c r="F973" t="str">
        <f t="shared" si="45"/>
        <v>Sin Mov.</v>
      </c>
      <c r="G973" t="str">
        <f>IF(+'Libro Diario'!H266=0,"",+'Libro Diario'!H266)</f>
        <v/>
      </c>
      <c r="H973" t="str">
        <f>IF(+'Libro Diario'!I266=0,"",+'Libro Diario'!I266)</f>
        <v/>
      </c>
      <c r="I973" t="str">
        <f>+IF(Table3[[#This Row],[Tipo Movimiento]]="Estructura Balance y PyG","Excluir","Incluir")</f>
        <v>Incluir</v>
      </c>
      <c r="J973" s="153">
        <f>+IF(Table3[[#This Row],[Sin cuenta]]="Con Mov.",(IF(Table3[[#This Row],[Movimiento]]="Debe",Table3[[#This Row],[Importe]],IF(Table3[[#This Row],[Movimiento]]="Haber",Table3[[#This Row],[Importe]]*-1,0))),0)</f>
        <v>0</v>
      </c>
      <c r="K973" s="145" t="str">
        <f t="shared" si="46"/>
        <v/>
      </c>
      <c r="L973" s="145">
        <f t="shared" si="47"/>
        <v>0</v>
      </c>
      <c r="M973" t="str">
        <f>_xlfn.XLOOKUP(Table3[[#This Row],[Cuenta]],Estructura_Balance[Nombre Cuenta ()],Estructura_Balance[Grupo],"",0)</f>
        <v/>
      </c>
      <c r="N973" t="str">
        <f>_xlfn.XLOOKUP(Table3[[#This Row],[Cuenta]],Estructura_Balance[Nombre Cuenta ()],Estructura_Balance[Nivel 1],"",0)</f>
        <v/>
      </c>
      <c r="O973" t="str">
        <f>_xlfn.XLOOKUP(Table3[[#This Row],[Cuenta]],Estructura_Balance[Nombre Cuenta ()],Estructura_Balance[Nivel 2],"",0)</f>
        <v/>
      </c>
      <c r="P973" t="str">
        <f>_xlfn.XLOOKUP(Table3[[#This Row],[Cuenta]],Estructura_Balance[Nombre Cuenta ()],Estructura_Balance[Nivel 3],"",0)</f>
        <v/>
      </c>
      <c r="Q973" t="str">
        <f>_xlfn.XLOOKUP(Table3[[#This Row],[Cuenta]],Estructura_Balance[Nombre Cuenta ()],Estructura_Balance[Nivel 4],"",0)</f>
        <v/>
      </c>
      <c r="R973" t="str">
        <f>_xlfn.XLOOKUP(Table3[[#This Row],[Cuenta]],Table8[Nombre Cuenta ()],Table8[Nivel 1],"",0)</f>
        <v/>
      </c>
      <c r="S973" t="str">
        <f>_xlfn.XLOOKUP(Table3[[#This Row],[Cuenta]],Table8[Nombre Cuenta ()],Table8[Nivel 2],"",0)</f>
        <v/>
      </c>
      <c r="T973" t="str">
        <f>_xlfn.XLOOKUP(Table3[[#This Row],[Cuenta]],Table8[Nombre Cuenta ()],Table8[Nivel 3],"",0)</f>
        <v/>
      </c>
      <c r="U973">
        <v>1659</v>
      </c>
      <c r="V973" t="str">
        <f>_xlfn.XLOOKUP(Table3[[#This Row],[Cuenta]],Estructura_Balance[Nombre Cuenta ()],Estructura_Balance[Niveles:2],"",0)</f>
        <v/>
      </c>
      <c r="W973" t="str">
        <f>_xlfn.XLOOKUP(Table3[[#This Row],[Cuenta]],Estructura_Balance[Nombre Cuenta ()],Estructura_Balance[Niveles:3],"",0)</f>
        <v/>
      </c>
      <c r="X973" t="str">
        <f>_xlfn.XLOOKUP(Table3[[#This Row],[Cuenta]],Estructura_Balance[Nombre Cuenta ()],Estructura_Balance[Grupos],"Grupo 1",0)</f>
        <v>Grupo 1</v>
      </c>
      <c r="Y973" t="str">
        <f>+Table3[[#This Row],[BS_Nivel_1]]</f>
        <v/>
      </c>
    </row>
    <row r="974" spans="1:25">
      <c r="A974">
        <f>+'Libro Diario'!F267</f>
        <v>0</v>
      </c>
      <c r="B974" s="144">
        <f>VALUE(IF(+'Libro Diario'!G267="","01/01/2025",+'Libro Diario'!G267))</f>
        <v>45658</v>
      </c>
      <c r="C974">
        <f>IF(ISNUMBER(+IF(IFERROR(VALUE(MID('Libro Diario'!D267,1,4)),0)&lt;&gt;0,'Libro Diario'!D267,0))=FALSE,'Libro Diario'!D267,0)</f>
        <v>0</v>
      </c>
      <c r="D974" s="145">
        <f>+'Libro Diario'!E267</f>
        <v>0</v>
      </c>
      <c r="E974" s="139" t="s">
        <v>446</v>
      </c>
      <c r="F974" t="str">
        <f t="shared" si="45"/>
        <v>Sin Mov.</v>
      </c>
      <c r="G974" t="str">
        <f>IF(+'Libro Diario'!H267=0,"",+'Libro Diario'!H267)</f>
        <v/>
      </c>
      <c r="H974" t="str">
        <f>IF(+'Libro Diario'!I267=0,"",+'Libro Diario'!I267)</f>
        <v/>
      </c>
      <c r="I974" t="str">
        <f>+IF(Table3[[#This Row],[Tipo Movimiento]]="Estructura Balance y PyG","Excluir","Incluir")</f>
        <v>Incluir</v>
      </c>
      <c r="J974" s="153">
        <f>+IF(Table3[[#This Row],[Sin cuenta]]="Con Mov.",(IF(Table3[[#This Row],[Movimiento]]="Debe",Table3[[#This Row],[Importe]],IF(Table3[[#This Row],[Movimiento]]="Haber",Table3[[#This Row],[Importe]]*-1,0))),0)</f>
        <v>0</v>
      </c>
      <c r="K974" s="145" t="str">
        <f t="shared" si="46"/>
        <v/>
      </c>
      <c r="L974" s="145">
        <f t="shared" si="47"/>
        <v>0</v>
      </c>
      <c r="M974" t="str">
        <f>_xlfn.XLOOKUP(Table3[[#This Row],[Cuenta]],Estructura_Balance[Nombre Cuenta ()],Estructura_Balance[Grupo],"",0)</f>
        <v/>
      </c>
      <c r="N974" t="str">
        <f>_xlfn.XLOOKUP(Table3[[#This Row],[Cuenta]],Estructura_Balance[Nombre Cuenta ()],Estructura_Balance[Nivel 1],"",0)</f>
        <v/>
      </c>
      <c r="O974" t="str">
        <f>_xlfn.XLOOKUP(Table3[[#This Row],[Cuenta]],Estructura_Balance[Nombre Cuenta ()],Estructura_Balance[Nivel 2],"",0)</f>
        <v/>
      </c>
      <c r="P974" t="str">
        <f>_xlfn.XLOOKUP(Table3[[#This Row],[Cuenta]],Estructura_Balance[Nombre Cuenta ()],Estructura_Balance[Nivel 3],"",0)</f>
        <v/>
      </c>
      <c r="Q974" t="str">
        <f>_xlfn.XLOOKUP(Table3[[#This Row],[Cuenta]],Estructura_Balance[Nombre Cuenta ()],Estructura_Balance[Nivel 4],"",0)</f>
        <v/>
      </c>
      <c r="R974" t="str">
        <f>_xlfn.XLOOKUP(Table3[[#This Row],[Cuenta]],Table8[Nombre Cuenta ()],Table8[Nivel 1],"",0)</f>
        <v/>
      </c>
      <c r="S974" t="str">
        <f>_xlfn.XLOOKUP(Table3[[#This Row],[Cuenta]],Table8[Nombre Cuenta ()],Table8[Nivel 2],"",0)</f>
        <v/>
      </c>
      <c r="T974" t="str">
        <f>_xlfn.XLOOKUP(Table3[[#This Row],[Cuenta]],Table8[Nombre Cuenta ()],Table8[Nivel 3],"",0)</f>
        <v/>
      </c>
      <c r="U974">
        <v>1660</v>
      </c>
      <c r="V974" t="str">
        <f>_xlfn.XLOOKUP(Table3[[#This Row],[Cuenta]],Estructura_Balance[Nombre Cuenta ()],Estructura_Balance[Niveles:2],"",0)</f>
        <v/>
      </c>
      <c r="W974" t="str">
        <f>_xlfn.XLOOKUP(Table3[[#This Row],[Cuenta]],Estructura_Balance[Nombre Cuenta ()],Estructura_Balance[Niveles:3],"",0)</f>
        <v/>
      </c>
      <c r="X974" t="str">
        <f>_xlfn.XLOOKUP(Table3[[#This Row],[Cuenta]],Estructura_Balance[Nombre Cuenta ()],Estructura_Balance[Grupos],"Grupo 1",0)</f>
        <v>Grupo 1</v>
      </c>
      <c r="Y974" t="str">
        <f>+Table3[[#This Row],[BS_Nivel_1]]</f>
        <v/>
      </c>
    </row>
    <row r="975" spans="1:25">
      <c r="A975">
        <f>+'Libro Diario'!F268</f>
        <v>0</v>
      </c>
      <c r="B975" s="144">
        <f>VALUE(IF(+'Libro Diario'!G268="","01/01/2025",+'Libro Diario'!G268))</f>
        <v>45658</v>
      </c>
      <c r="C975">
        <f>IF(ISNUMBER(+IF(IFERROR(VALUE(MID('Libro Diario'!D268,1,4)),0)&lt;&gt;0,'Libro Diario'!D268,0))=FALSE,'Libro Diario'!D268,0)</f>
        <v>0</v>
      </c>
      <c r="D975" s="145" t="str">
        <f>+'Libro Diario'!E268</f>
        <v>HABER</v>
      </c>
      <c r="E975" s="139" t="s">
        <v>446</v>
      </c>
      <c r="F975" t="str">
        <f t="shared" si="45"/>
        <v>Sin Mov.</v>
      </c>
      <c r="G975" t="str">
        <f>IF(+'Libro Diario'!H268=0,"",+'Libro Diario'!H268)</f>
        <v/>
      </c>
      <c r="H975" t="str">
        <f>IF(+'Libro Diario'!I268=0,"",+'Libro Diario'!I268)</f>
        <v/>
      </c>
      <c r="I975" t="str">
        <f>+IF(Table3[[#This Row],[Tipo Movimiento]]="Estructura Balance y PyG","Excluir","Incluir")</f>
        <v>Incluir</v>
      </c>
      <c r="J975" s="153">
        <f>+IF(Table3[[#This Row],[Sin cuenta]]="Con Mov.",(IF(Table3[[#This Row],[Movimiento]]="Debe",Table3[[#This Row],[Importe]],IF(Table3[[#This Row],[Movimiento]]="Haber",Table3[[#This Row],[Importe]]*-1,0))),0)</f>
        <v>0</v>
      </c>
      <c r="K975" s="145" t="str">
        <f t="shared" si="46"/>
        <v/>
      </c>
      <c r="L975" s="145" t="str">
        <f t="shared" si="47"/>
        <v>HABER</v>
      </c>
      <c r="M975" t="str">
        <f>_xlfn.XLOOKUP(Table3[[#This Row],[Cuenta]],Estructura_Balance[Nombre Cuenta ()],Estructura_Balance[Grupo],"",0)</f>
        <v/>
      </c>
      <c r="N975" t="str">
        <f>_xlfn.XLOOKUP(Table3[[#This Row],[Cuenta]],Estructura_Balance[Nombre Cuenta ()],Estructura_Balance[Nivel 1],"",0)</f>
        <v/>
      </c>
      <c r="O975" t="str">
        <f>_xlfn.XLOOKUP(Table3[[#This Row],[Cuenta]],Estructura_Balance[Nombre Cuenta ()],Estructura_Balance[Nivel 2],"",0)</f>
        <v/>
      </c>
      <c r="P975" t="str">
        <f>_xlfn.XLOOKUP(Table3[[#This Row],[Cuenta]],Estructura_Balance[Nombre Cuenta ()],Estructura_Balance[Nivel 3],"",0)</f>
        <v/>
      </c>
      <c r="Q975" t="str">
        <f>_xlfn.XLOOKUP(Table3[[#This Row],[Cuenta]],Estructura_Balance[Nombre Cuenta ()],Estructura_Balance[Nivel 4],"",0)</f>
        <v/>
      </c>
      <c r="R975" t="str">
        <f>_xlfn.XLOOKUP(Table3[[#This Row],[Cuenta]],Table8[Nombre Cuenta ()],Table8[Nivel 1],"",0)</f>
        <v/>
      </c>
      <c r="S975" t="str">
        <f>_xlfn.XLOOKUP(Table3[[#This Row],[Cuenta]],Table8[Nombre Cuenta ()],Table8[Nivel 2],"",0)</f>
        <v/>
      </c>
      <c r="T975" t="str">
        <f>_xlfn.XLOOKUP(Table3[[#This Row],[Cuenta]],Table8[Nombre Cuenta ()],Table8[Nivel 3],"",0)</f>
        <v/>
      </c>
      <c r="U975">
        <v>1661</v>
      </c>
      <c r="V975" t="str">
        <f>_xlfn.XLOOKUP(Table3[[#This Row],[Cuenta]],Estructura_Balance[Nombre Cuenta ()],Estructura_Balance[Niveles:2],"",0)</f>
        <v/>
      </c>
      <c r="W975" t="str">
        <f>_xlfn.XLOOKUP(Table3[[#This Row],[Cuenta]],Estructura_Balance[Nombre Cuenta ()],Estructura_Balance[Niveles:3],"",0)</f>
        <v/>
      </c>
      <c r="X975" t="str">
        <f>_xlfn.XLOOKUP(Table3[[#This Row],[Cuenta]],Estructura_Balance[Nombre Cuenta ()],Estructura_Balance[Grupos],"Grupo 1",0)</f>
        <v>Grupo 1</v>
      </c>
      <c r="Y975" t="str">
        <f>+Table3[[#This Row],[BS_Nivel_1]]</f>
        <v/>
      </c>
    </row>
    <row r="976" spans="1:25">
      <c r="A976">
        <f>+'Libro Diario'!F269</f>
        <v>0</v>
      </c>
      <c r="B976" s="144">
        <f>VALUE(IF(+'Libro Diario'!G269="","01/01/2025",+'Libro Diario'!G269))</f>
        <v>45658</v>
      </c>
      <c r="C976">
        <f>IF(ISNUMBER(+IF(IFERROR(VALUE(MID('Libro Diario'!D269,1,4)),0)&lt;&gt;0,'Libro Diario'!D269,0))=FALSE,'Libro Diario'!D269,0)</f>
        <v>0</v>
      </c>
      <c r="D976" s="145">
        <f>+'Libro Diario'!E269</f>
        <v>0</v>
      </c>
      <c r="E976" s="139" t="s">
        <v>446</v>
      </c>
      <c r="F976" t="str">
        <f t="shared" si="45"/>
        <v>Sin Mov.</v>
      </c>
      <c r="G976" t="str">
        <f>IF(+'Libro Diario'!H269=0,"",+'Libro Diario'!H269)</f>
        <v/>
      </c>
      <c r="H976" t="str">
        <f>IF(+'Libro Diario'!I269=0,"",+'Libro Diario'!I269)</f>
        <v/>
      </c>
      <c r="I976" t="str">
        <f>+IF(Table3[[#This Row],[Tipo Movimiento]]="Estructura Balance y PyG","Excluir","Incluir")</f>
        <v>Incluir</v>
      </c>
      <c r="J976" s="153">
        <f>+IF(Table3[[#This Row],[Sin cuenta]]="Con Mov.",(IF(Table3[[#This Row],[Movimiento]]="Debe",Table3[[#This Row],[Importe]],IF(Table3[[#This Row],[Movimiento]]="Haber",Table3[[#This Row],[Importe]]*-1,0))),0)</f>
        <v>0</v>
      </c>
      <c r="K976" s="145" t="str">
        <f t="shared" si="46"/>
        <v/>
      </c>
      <c r="L976" s="145">
        <f t="shared" si="47"/>
        <v>0</v>
      </c>
      <c r="M976" t="str">
        <f>_xlfn.XLOOKUP(Table3[[#This Row],[Cuenta]],Estructura_Balance[Nombre Cuenta ()],Estructura_Balance[Grupo],"",0)</f>
        <v/>
      </c>
      <c r="N976" t="str">
        <f>_xlfn.XLOOKUP(Table3[[#This Row],[Cuenta]],Estructura_Balance[Nombre Cuenta ()],Estructura_Balance[Nivel 1],"",0)</f>
        <v/>
      </c>
      <c r="O976" t="str">
        <f>_xlfn.XLOOKUP(Table3[[#This Row],[Cuenta]],Estructura_Balance[Nombre Cuenta ()],Estructura_Balance[Nivel 2],"",0)</f>
        <v/>
      </c>
      <c r="P976" t="str">
        <f>_xlfn.XLOOKUP(Table3[[#This Row],[Cuenta]],Estructura_Balance[Nombre Cuenta ()],Estructura_Balance[Nivel 3],"",0)</f>
        <v/>
      </c>
      <c r="Q976" t="str">
        <f>_xlfn.XLOOKUP(Table3[[#This Row],[Cuenta]],Estructura_Balance[Nombre Cuenta ()],Estructura_Balance[Nivel 4],"",0)</f>
        <v/>
      </c>
      <c r="R976" t="str">
        <f>_xlfn.XLOOKUP(Table3[[#This Row],[Cuenta]],Table8[Nombre Cuenta ()],Table8[Nivel 1],"",0)</f>
        <v/>
      </c>
      <c r="S976" t="str">
        <f>_xlfn.XLOOKUP(Table3[[#This Row],[Cuenta]],Table8[Nombre Cuenta ()],Table8[Nivel 2],"",0)</f>
        <v/>
      </c>
      <c r="T976" t="str">
        <f>_xlfn.XLOOKUP(Table3[[#This Row],[Cuenta]],Table8[Nombre Cuenta ()],Table8[Nivel 3],"",0)</f>
        <v/>
      </c>
      <c r="U976">
        <v>1662</v>
      </c>
      <c r="V976" t="str">
        <f>_xlfn.XLOOKUP(Table3[[#This Row],[Cuenta]],Estructura_Balance[Nombre Cuenta ()],Estructura_Balance[Niveles:2],"",0)</f>
        <v/>
      </c>
      <c r="W976" t="str">
        <f>_xlfn.XLOOKUP(Table3[[#This Row],[Cuenta]],Estructura_Balance[Nombre Cuenta ()],Estructura_Balance[Niveles:3],"",0)</f>
        <v/>
      </c>
      <c r="X976" t="str">
        <f>_xlfn.XLOOKUP(Table3[[#This Row],[Cuenta]],Estructura_Balance[Nombre Cuenta ()],Estructura_Balance[Grupos],"Grupo 1",0)</f>
        <v>Grupo 1</v>
      </c>
      <c r="Y976" t="str">
        <f>+Table3[[#This Row],[BS_Nivel_1]]</f>
        <v/>
      </c>
    </row>
    <row r="977" spans="1:25">
      <c r="A977">
        <f>+'Libro Diario'!F272</f>
        <v>0</v>
      </c>
      <c r="B977" s="144">
        <f>VALUE(IF(+'Libro Diario'!G272="","01/01/2025",+'Libro Diario'!G272))</f>
        <v>45658</v>
      </c>
      <c r="C977">
        <f>IF(ISNUMBER(+IF(IFERROR(VALUE(MID('Libro Diario'!D272,1,4)),0)&lt;&gt;0,'Libro Diario'!D272,0))=FALSE,'Libro Diario'!D272,0)</f>
        <v>0</v>
      </c>
      <c r="D977" s="145">
        <f>+'Libro Diario'!E272</f>
        <v>0</v>
      </c>
      <c r="E977" s="139" t="s">
        <v>446</v>
      </c>
      <c r="F977" t="str">
        <f t="shared" si="45"/>
        <v>Sin Mov.</v>
      </c>
      <c r="G977" t="str">
        <f>IF(+'Libro Diario'!H272=0,"",+'Libro Diario'!H272)</f>
        <v/>
      </c>
      <c r="H977" t="str">
        <f>IF(+'Libro Diario'!I272=0,"",+'Libro Diario'!I272)</f>
        <v/>
      </c>
      <c r="I977" t="str">
        <f>+IF(Table3[[#This Row],[Tipo Movimiento]]="Estructura Balance y PyG","Excluir","Incluir")</f>
        <v>Incluir</v>
      </c>
      <c r="J977" s="153">
        <f>+IF(Table3[[#This Row],[Sin cuenta]]="Con Mov.",(IF(Table3[[#This Row],[Movimiento]]="Debe",Table3[[#This Row],[Importe]],IF(Table3[[#This Row],[Movimiento]]="Haber",Table3[[#This Row],[Importe]]*-1,0))),0)</f>
        <v>0</v>
      </c>
      <c r="K977" s="145" t="str">
        <f t="shared" si="46"/>
        <v/>
      </c>
      <c r="L977" s="145">
        <f t="shared" si="47"/>
        <v>0</v>
      </c>
      <c r="M977" t="str">
        <f>_xlfn.XLOOKUP(Table3[[#This Row],[Cuenta]],Estructura_Balance[Nombre Cuenta ()],Estructura_Balance[Grupo],"",0)</f>
        <v/>
      </c>
      <c r="N977" t="str">
        <f>_xlfn.XLOOKUP(Table3[[#This Row],[Cuenta]],Estructura_Balance[Nombre Cuenta ()],Estructura_Balance[Nivel 1],"",0)</f>
        <v/>
      </c>
      <c r="O977" t="str">
        <f>_xlfn.XLOOKUP(Table3[[#This Row],[Cuenta]],Estructura_Balance[Nombre Cuenta ()],Estructura_Balance[Nivel 2],"",0)</f>
        <v/>
      </c>
      <c r="P977" t="str">
        <f>_xlfn.XLOOKUP(Table3[[#This Row],[Cuenta]],Estructura_Balance[Nombre Cuenta ()],Estructura_Balance[Nivel 3],"",0)</f>
        <v/>
      </c>
      <c r="Q977" t="str">
        <f>_xlfn.XLOOKUP(Table3[[#This Row],[Cuenta]],Estructura_Balance[Nombre Cuenta ()],Estructura_Balance[Nivel 4],"",0)</f>
        <v/>
      </c>
      <c r="R977" t="str">
        <f>_xlfn.XLOOKUP(Table3[[#This Row],[Cuenta]],Table8[Nombre Cuenta ()],Table8[Nivel 1],"",0)</f>
        <v/>
      </c>
      <c r="S977" t="str">
        <f>_xlfn.XLOOKUP(Table3[[#This Row],[Cuenta]],Table8[Nombre Cuenta ()],Table8[Nivel 2],"",0)</f>
        <v/>
      </c>
      <c r="T977" t="str">
        <f>_xlfn.XLOOKUP(Table3[[#This Row],[Cuenta]],Table8[Nombre Cuenta ()],Table8[Nivel 3],"",0)</f>
        <v/>
      </c>
      <c r="U977">
        <v>1665</v>
      </c>
      <c r="V977" t="str">
        <f>_xlfn.XLOOKUP(Table3[[#This Row],[Cuenta]],Estructura_Balance[Nombre Cuenta ()],Estructura_Balance[Niveles:2],"",0)</f>
        <v/>
      </c>
      <c r="W977" t="str">
        <f>_xlfn.XLOOKUP(Table3[[#This Row],[Cuenta]],Estructura_Balance[Nombre Cuenta ()],Estructura_Balance[Niveles:3],"",0)</f>
        <v/>
      </c>
      <c r="X977" t="str">
        <f>_xlfn.XLOOKUP(Table3[[#This Row],[Cuenta]],Estructura_Balance[Nombre Cuenta ()],Estructura_Balance[Grupos],"Grupo 1",0)</f>
        <v>Grupo 1</v>
      </c>
      <c r="Y977" t="str">
        <f>+Table3[[#This Row],[BS_Nivel_1]]</f>
        <v/>
      </c>
    </row>
    <row r="978" spans="1:25">
      <c r="A978">
        <f>+'Libro Diario'!F273</f>
        <v>0</v>
      </c>
      <c r="B978" s="144">
        <f>VALUE(IF(+'Libro Diario'!G273="","01/01/2025",+'Libro Diario'!G273))</f>
        <v>45658</v>
      </c>
      <c r="C978">
        <f>IF(ISNUMBER(+IF(IFERROR(VALUE(MID('Libro Diario'!D273,1,4)),0)&lt;&gt;0,'Libro Diario'!D273,0))=FALSE,'Libro Diario'!D273,0)</f>
        <v>0</v>
      </c>
      <c r="D978" s="145">
        <f>+'Libro Diario'!E273</f>
        <v>0</v>
      </c>
      <c r="E978" s="139" t="s">
        <v>446</v>
      </c>
      <c r="F978" t="str">
        <f t="shared" si="45"/>
        <v>Sin Mov.</v>
      </c>
      <c r="G978" t="str">
        <f>IF(+'Libro Diario'!H273=0,"",+'Libro Diario'!H273)</f>
        <v/>
      </c>
      <c r="H978" t="str">
        <f>IF(+'Libro Diario'!I273=0,"",+'Libro Diario'!I273)</f>
        <v/>
      </c>
      <c r="I978" t="str">
        <f>+IF(Table3[[#This Row],[Tipo Movimiento]]="Estructura Balance y PyG","Excluir","Incluir")</f>
        <v>Incluir</v>
      </c>
      <c r="J978" s="153">
        <f>+IF(Table3[[#This Row],[Sin cuenta]]="Con Mov.",(IF(Table3[[#This Row],[Movimiento]]="Debe",Table3[[#This Row],[Importe]],IF(Table3[[#This Row],[Movimiento]]="Haber",Table3[[#This Row],[Importe]]*-1,0))),0)</f>
        <v>0</v>
      </c>
      <c r="K978" s="145" t="str">
        <f t="shared" si="46"/>
        <v/>
      </c>
      <c r="L978" s="145">
        <f t="shared" si="47"/>
        <v>0</v>
      </c>
      <c r="M978" t="str">
        <f>_xlfn.XLOOKUP(Table3[[#This Row],[Cuenta]],Estructura_Balance[Nombre Cuenta ()],Estructura_Balance[Grupo],"",0)</f>
        <v/>
      </c>
      <c r="N978" t="str">
        <f>_xlfn.XLOOKUP(Table3[[#This Row],[Cuenta]],Estructura_Balance[Nombre Cuenta ()],Estructura_Balance[Nivel 1],"",0)</f>
        <v/>
      </c>
      <c r="O978" t="str">
        <f>_xlfn.XLOOKUP(Table3[[#This Row],[Cuenta]],Estructura_Balance[Nombre Cuenta ()],Estructura_Balance[Nivel 2],"",0)</f>
        <v/>
      </c>
      <c r="P978" t="str">
        <f>_xlfn.XLOOKUP(Table3[[#This Row],[Cuenta]],Estructura_Balance[Nombre Cuenta ()],Estructura_Balance[Nivel 3],"",0)</f>
        <v/>
      </c>
      <c r="Q978" t="str">
        <f>_xlfn.XLOOKUP(Table3[[#This Row],[Cuenta]],Estructura_Balance[Nombre Cuenta ()],Estructura_Balance[Nivel 4],"",0)</f>
        <v/>
      </c>
      <c r="R978" t="str">
        <f>_xlfn.XLOOKUP(Table3[[#This Row],[Cuenta]],Table8[Nombre Cuenta ()],Table8[Nivel 1],"",0)</f>
        <v/>
      </c>
      <c r="S978" t="str">
        <f>_xlfn.XLOOKUP(Table3[[#This Row],[Cuenta]],Table8[Nombre Cuenta ()],Table8[Nivel 2],"",0)</f>
        <v/>
      </c>
      <c r="T978" t="str">
        <f>_xlfn.XLOOKUP(Table3[[#This Row],[Cuenta]],Table8[Nombre Cuenta ()],Table8[Nivel 3],"",0)</f>
        <v/>
      </c>
      <c r="U978">
        <v>1666</v>
      </c>
      <c r="V978" t="str">
        <f>_xlfn.XLOOKUP(Table3[[#This Row],[Cuenta]],Estructura_Balance[Nombre Cuenta ()],Estructura_Balance[Niveles:2],"",0)</f>
        <v/>
      </c>
      <c r="W978" t="str">
        <f>_xlfn.XLOOKUP(Table3[[#This Row],[Cuenta]],Estructura_Balance[Nombre Cuenta ()],Estructura_Balance[Niveles:3],"",0)</f>
        <v/>
      </c>
      <c r="X978" t="str">
        <f>_xlfn.XLOOKUP(Table3[[#This Row],[Cuenta]],Estructura_Balance[Nombre Cuenta ()],Estructura_Balance[Grupos],"Grupo 1",0)</f>
        <v>Grupo 1</v>
      </c>
      <c r="Y978" t="str">
        <f>+Table3[[#This Row],[BS_Nivel_1]]</f>
        <v/>
      </c>
    </row>
    <row r="979" spans="1:25">
      <c r="A979">
        <f>+'Libro Diario'!F274</f>
        <v>0</v>
      </c>
      <c r="B979" s="144">
        <f>VALUE(IF(+'Libro Diario'!G274="","01/01/2025",+'Libro Diario'!G274))</f>
        <v>45658</v>
      </c>
      <c r="C979">
        <f>IF(ISNUMBER(+IF(IFERROR(VALUE(MID('Libro Diario'!D274,1,4)),0)&lt;&gt;0,'Libro Diario'!D274,0))=FALSE,'Libro Diario'!D274,0)</f>
        <v>0</v>
      </c>
      <c r="D979" s="145">
        <f>+'Libro Diario'!E274</f>
        <v>0</v>
      </c>
      <c r="E979" s="139" t="s">
        <v>446</v>
      </c>
      <c r="F979" t="str">
        <f t="shared" si="45"/>
        <v>Sin Mov.</v>
      </c>
      <c r="G979" t="str">
        <f>IF(+'Libro Diario'!H274=0,"",+'Libro Diario'!H274)</f>
        <v/>
      </c>
      <c r="H979" t="str">
        <f>IF(+'Libro Diario'!I274=0,"",+'Libro Diario'!I274)</f>
        <v/>
      </c>
      <c r="I979" t="str">
        <f>+IF(Table3[[#This Row],[Tipo Movimiento]]="Estructura Balance y PyG","Excluir","Incluir")</f>
        <v>Incluir</v>
      </c>
      <c r="J979" s="153">
        <f>+IF(Table3[[#This Row],[Sin cuenta]]="Con Mov.",(IF(Table3[[#This Row],[Movimiento]]="Debe",Table3[[#This Row],[Importe]],IF(Table3[[#This Row],[Movimiento]]="Haber",Table3[[#This Row],[Importe]]*-1,0))),0)</f>
        <v>0</v>
      </c>
      <c r="K979" s="145" t="str">
        <f t="shared" si="46"/>
        <v/>
      </c>
      <c r="L979" s="145">
        <f t="shared" si="47"/>
        <v>0</v>
      </c>
      <c r="M979" t="str">
        <f>_xlfn.XLOOKUP(Table3[[#This Row],[Cuenta]],Estructura_Balance[Nombre Cuenta ()],Estructura_Balance[Grupo],"",0)</f>
        <v/>
      </c>
      <c r="N979" t="str">
        <f>_xlfn.XLOOKUP(Table3[[#This Row],[Cuenta]],Estructura_Balance[Nombre Cuenta ()],Estructura_Balance[Nivel 1],"",0)</f>
        <v/>
      </c>
      <c r="O979" t="str">
        <f>_xlfn.XLOOKUP(Table3[[#This Row],[Cuenta]],Estructura_Balance[Nombre Cuenta ()],Estructura_Balance[Nivel 2],"",0)</f>
        <v/>
      </c>
      <c r="P979" t="str">
        <f>_xlfn.XLOOKUP(Table3[[#This Row],[Cuenta]],Estructura_Balance[Nombre Cuenta ()],Estructura_Balance[Nivel 3],"",0)</f>
        <v/>
      </c>
      <c r="Q979" t="str">
        <f>_xlfn.XLOOKUP(Table3[[#This Row],[Cuenta]],Estructura_Balance[Nombre Cuenta ()],Estructura_Balance[Nivel 4],"",0)</f>
        <v/>
      </c>
      <c r="R979" t="str">
        <f>_xlfn.XLOOKUP(Table3[[#This Row],[Cuenta]],Table8[Nombre Cuenta ()],Table8[Nivel 1],"",0)</f>
        <v/>
      </c>
      <c r="S979" t="str">
        <f>_xlfn.XLOOKUP(Table3[[#This Row],[Cuenta]],Table8[Nombre Cuenta ()],Table8[Nivel 2],"",0)</f>
        <v/>
      </c>
      <c r="T979" t="str">
        <f>_xlfn.XLOOKUP(Table3[[#This Row],[Cuenta]],Table8[Nombre Cuenta ()],Table8[Nivel 3],"",0)</f>
        <v/>
      </c>
      <c r="U979">
        <v>1667</v>
      </c>
      <c r="V979" t="str">
        <f>_xlfn.XLOOKUP(Table3[[#This Row],[Cuenta]],Estructura_Balance[Nombre Cuenta ()],Estructura_Balance[Niveles:2],"",0)</f>
        <v/>
      </c>
      <c r="W979" t="str">
        <f>_xlfn.XLOOKUP(Table3[[#This Row],[Cuenta]],Estructura_Balance[Nombre Cuenta ()],Estructura_Balance[Niveles:3],"",0)</f>
        <v/>
      </c>
      <c r="X979" t="str">
        <f>_xlfn.XLOOKUP(Table3[[#This Row],[Cuenta]],Estructura_Balance[Nombre Cuenta ()],Estructura_Balance[Grupos],"Grupo 1",0)</f>
        <v>Grupo 1</v>
      </c>
      <c r="Y979" t="str">
        <f>+Table3[[#This Row],[BS_Nivel_1]]</f>
        <v/>
      </c>
    </row>
    <row r="980" spans="1:25">
      <c r="A980">
        <f>+'Libro Diario'!F275</f>
        <v>0</v>
      </c>
      <c r="B980" s="144">
        <f>VALUE(IF(+'Libro Diario'!G275="","01/01/2025",+'Libro Diario'!G275))</f>
        <v>45658</v>
      </c>
      <c r="C980">
        <f>IF(ISNUMBER(+IF(IFERROR(VALUE(MID('Libro Diario'!D275,1,4)),0)&lt;&gt;0,'Libro Diario'!D275,0))=FALSE,'Libro Diario'!D275,0)</f>
        <v>0</v>
      </c>
      <c r="D980" s="145" t="str">
        <f>+'Libro Diario'!E275</f>
        <v>HABER</v>
      </c>
      <c r="E980" s="139" t="s">
        <v>446</v>
      </c>
      <c r="F980" t="str">
        <f t="shared" si="45"/>
        <v>Sin Mov.</v>
      </c>
      <c r="G980" t="str">
        <f>IF(+'Libro Diario'!H275=0,"",+'Libro Diario'!H275)</f>
        <v/>
      </c>
      <c r="H980" t="str">
        <f>IF(+'Libro Diario'!I275=0,"",+'Libro Diario'!I275)</f>
        <v/>
      </c>
      <c r="I980" t="str">
        <f>+IF(Table3[[#This Row],[Tipo Movimiento]]="Estructura Balance y PyG","Excluir","Incluir")</f>
        <v>Incluir</v>
      </c>
      <c r="J980" s="153">
        <f>+IF(Table3[[#This Row],[Sin cuenta]]="Con Mov.",(IF(Table3[[#This Row],[Movimiento]]="Debe",Table3[[#This Row],[Importe]],IF(Table3[[#This Row],[Movimiento]]="Haber",Table3[[#This Row],[Importe]]*-1,0))),0)</f>
        <v>0</v>
      </c>
      <c r="K980" s="145" t="str">
        <f t="shared" si="46"/>
        <v/>
      </c>
      <c r="L980" s="145" t="str">
        <f t="shared" si="47"/>
        <v>HABER</v>
      </c>
      <c r="M980" t="str">
        <f>_xlfn.XLOOKUP(Table3[[#This Row],[Cuenta]],Estructura_Balance[Nombre Cuenta ()],Estructura_Balance[Grupo],"",0)</f>
        <v/>
      </c>
      <c r="N980" t="str">
        <f>_xlfn.XLOOKUP(Table3[[#This Row],[Cuenta]],Estructura_Balance[Nombre Cuenta ()],Estructura_Balance[Nivel 1],"",0)</f>
        <v/>
      </c>
      <c r="O980" t="str">
        <f>_xlfn.XLOOKUP(Table3[[#This Row],[Cuenta]],Estructura_Balance[Nombre Cuenta ()],Estructura_Balance[Nivel 2],"",0)</f>
        <v/>
      </c>
      <c r="P980" t="str">
        <f>_xlfn.XLOOKUP(Table3[[#This Row],[Cuenta]],Estructura_Balance[Nombre Cuenta ()],Estructura_Balance[Nivel 3],"",0)</f>
        <v/>
      </c>
      <c r="Q980" t="str">
        <f>_xlfn.XLOOKUP(Table3[[#This Row],[Cuenta]],Estructura_Balance[Nombre Cuenta ()],Estructura_Balance[Nivel 4],"",0)</f>
        <v/>
      </c>
      <c r="R980" t="str">
        <f>_xlfn.XLOOKUP(Table3[[#This Row],[Cuenta]],Table8[Nombre Cuenta ()],Table8[Nivel 1],"",0)</f>
        <v/>
      </c>
      <c r="S980" t="str">
        <f>_xlfn.XLOOKUP(Table3[[#This Row],[Cuenta]],Table8[Nombre Cuenta ()],Table8[Nivel 2],"",0)</f>
        <v/>
      </c>
      <c r="T980" t="str">
        <f>_xlfn.XLOOKUP(Table3[[#This Row],[Cuenta]],Table8[Nombre Cuenta ()],Table8[Nivel 3],"",0)</f>
        <v/>
      </c>
      <c r="U980">
        <v>1668</v>
      </c>
      <c r="V980" t="str">
        <f>_xlfn.XLOOKUP(Table3[[#This Row],[Cuenta]],Estructura_Balance[Nombre Cuenta ()],Estructura_Balance[Niveles:2],"",0)</f>
        <v/>
      </c>
      <c r="W980" t="str">
        <f>_xlfn.XLOOKUP(Table3[[#This Row],[Cuenta]],Estructura_Balance[Nombre Cuenta ()],Estructura_Balance[Niveles:3],"",0)</f>
        <v/>
      </c>
      <c r="X980" t="str">
        <f>_xlfn.XLOOKUP(Table3[[#This Row],[Cuenta]],Estructura_Balance[Nombre Cuenta ()],Estructura_Balance[Grupos],"Grupo 1",0)</f>
        <v>Grupo 1</v>
      </c>
      <c r="Y980" t="str">
        <f>+Table3[[#This Row],[BS_Nivel_1]]</f>
        <v/>
      </c>
    </row>
    <row r="981" spans="1:25">
      <c r="A981">
        <f>+'Libro Diario'!F276</f>
        <v>0</v>
      </c>
      <c r="B981" s="144">
        <f>VALUE(IF(+'Libro Diario'!G276="","01/01/2025",+'Libro Diario'!G276))</f>
        <v>45658</v>
      </c>
      <c r="C981">
        <f>IF(ISNUMBER(+IF(IFERROR(VALUE(MID('Libro Diario'!D276,1,4)),0)&lt;&gt;0,'Libro Diario'!D276,0))=FALSE,'Libro Diario'!D276,0)</f>
        <v>0</v>
      </c>
      <c r="D981" s="145">
        <f>+'Libro Diario'!E276</f>
        <v>0</v>
      </c>
      <c r="E981" s="139" t="s">
        <v>446</v>
      </c>
      <c r="F981" t="str">
        <f t="shared" si="45"/>
        <v>Sin Mov.</v>
      </c>
      <c r="G981" t="str">
        <f>IF(+'Libro Diario'!H276=0,"",+'Libro Diario'!H276)</f>
        <v/>
      </c>
      <c r="H981" t="str">
        <f>IF(+'Libro Diario'!I276=0,"",+'Libro Diario'!I276)</f>
        <v/>
      </c>
      <c r="I981" t="str">
        <f>+IF(Table3[[#This Row],[Tipo Movimiento]]="Estructura Balance y PyG","Excluir","Incluir")</f>
        <v>Incluir</v>
      </c>
      <c r="J981" s="153">
        <f>+IF(Table3[[#This Row],[Sin cuenta]]="Con Mov.",(IF(Table3[[#This Row],[Movimiento]]="Debe",Table3[[#This Row],[Importe]],IF(Table3[[#This Row],[Movimiento]]="Haber",Table3[[#This Row],[Importe]]*-1,0))),0)</f>
        <v>0</v>
      </c>
      <c r="K981" s="145" t="str">
        <f t="shared" si="46"/>
        <v/>
      </c>
      <c r="L981" s="145">
        <f t="shared" si="47"/>
        <v>0</v>
      </c>
      <c r="M981" t="str">
        <f>_xlfn.XLOOKUP(Table3[[#This Row],[Cuenta]],Estructura_Balance[Nombre Cuenta ()],Estructura_Balance[Grupo],"",0)</f>
        <v/>
      </c>
      <c r="N981" t="str">
        <f>_xlfn.XLOOKUP(Table3[[#This Row],[Cuenta]],Estructura_Balance[Nombre Cuenta ()],Estructura_Balance[Nivel 1],"",0)</f>
        <v/>
      </c>
      <c r="O981" t="str">
        <f>_xlfn.XLOOKUP(Table3[[#This Row],[Cuenta]],Estructura_Balance[Nombre Cuenta ()],Estructura_Balance[Nivel 2],"",0)</f>
        <v/>
      </c>
      <c r="P981" t="str">
        <f>_xlfn.XLOOKUP(Table3[[#This Row],[Cuenta]],Estructura_Balance[Nombre Cuenta ()],Estructura_Balance[Nivel 3],"",0)</f>
        <v/>
      </c>
      <c r="Q981" t="str">
        <f>_xlfn.XLOOKUP(Table3[[#This Row],[Cuenta]],Estructura_Balance[Nombre Cuenta ()],Estructura_Balance[Nivel 4],"",0)</f>
        <v/>
      </c>
      <c r="R981" t="str">
        <f>_xlfn.XLOOKUP(Table3[[#This Row],[Cuenta]],Table8[Nombre Cuenta ()],Table8[Nivel 1],"",0)</f>
        <v/>
      </c>
      <c r="S981" t="str">
        <f>_xlfn.XLOOKUP(Table3[[#This Row],[Cuenta]],Table8[Nombre Cuenta ()],Table8[Nivel 2],"",0)</f>
        <v/>
      </c>
      <c r="T981" t="str">
        <f>_xlfn.XLOOKUP(Table3[[#This Row],[Cuenta]],Table8[Nombre Cuenta ()],Table8[Nivel 3],"",0)</f>
        <v/>
      </c>
      <c r="U981">
        <v>1669</v>
      </c>
      <c r="V981" t="str">
        <f>_xlfn.XLOOKUP(Table3[[#This Row],[Cuenta]],Estructura_Balance[Nombre Cuenta ()],Estructura_Balance[Niveles:2],"",0)</f>
        <v/>
      </c>
      <c r="W981" t="str">
        <f>_xlfn.XLOOKUP(Table3[[#This Row],[Cuenta]],Estructura_Balance[Nombre Cuenta ()],Estructura_Balance[Niveles:3],"",0)</f>
        <v/>
      </c>
      <c r="X981" t="str">
        <f>_xlfn.XLOOKUP(Table3[[#This Row],[Cuenta]],Estructura_Balance[Nombre Cuenta ()],Estructura_Balance[Grupos],"Grupo 1",0)</f>
        <v>Grupo 1</v>
      </c>
      <c r="Y981" t="str">
        <f>+Table3[[#This Row],[BS_Nivel_1]]</f>
        <v/>
      </c>
    </row>
    <row r="982" spans="1:25">
      <c r="A982">
        <f>+'Libro Diario'!F279</f>
        <v>0</v>
      </c>
      <c r="B982" s="144">
        <f>VALUE(IF(+'Libro Diario'!G279="","01/01/2025",+'Libro Diario'!G279))</f>
        <v>45658</v>
      </c>
      <c r="C982">
        <f>IF(ISNUMBER(+IF(IFERROR(VALUE(MID('Libro Diario'!D279,1,4)),0)&lt;&gt;0,'Libro Diario'!D279,0))=FALSE,'Libro Diario'!D279,0)</f>
        <v>0</v>
      </c>
      <c r="D982" s="145">
        <f>+'Libro Diario'!E279</f>
        <v>0</v>
      </c>
      <c r="E982" s="139" t="s">
        <v>446</v>
      </c>
      <c r="F982" t="str">
        <f t="shared" si="45"/>
        <v>Sin Mov.</v>
      </c>
      <c r="G982" t="str">
        <f>IF(+'Libro Diario'!H279=0,"",+'Libro Diario'!H279)</f>
        <v/>
      </c>
      <c r="H982" t="str">
        <f>IF(+'Libro Diario'!I279=0,"",+'Libro Diario'!I279)</f>
        <v/>
      </c>
      <c r="I982" t="str">
        <f>+IF(Table3[[#This Row],[Tipo Movimiento]]="Estructura Balance y PyG","Excluir","Incluir")</f>
        <v>Incluir</v>
      </c>
      <c r="J982" s="153">
        <f>+IF(Table3[[#This Row],[Sin cuenta]]="Con Mov.",(IF(Table3[[#This Row],[Movimiento]]="Debe",Table3[[#This Row],[Importe]],IF(Table3[[#This Row],[Movimiento]]="Haber",Table3[[#This Row],[Importe]]*-1,0))),0)</f>
        <v>0</v>
      </c>
      <c r="K982" s="145" t="str">
        <f t="shared" si="46"/>
        <v/>
      </c>
      <c r="L982" s="145">
        <f t="shared" si="47"/>
        <v>0</v>
      </c>
      <c r="M982" t="str">
        <f>_xlfn.XLOOKUP(Table3[[#This Row],[Cuenta]],Estructura_Balance[Nombre Cuenta ()],Estructura_Balance[Grupo],"",0)</f>
        <v/>
      </c>
      <c r="N982" t="str">
        <f>_xlfn.XLOOKUP(Table3[[#This Row],[Cuenta]],Estructura_Balance[Nombre Cuenta ()],Estructura_Balance[Nivel 1],"",0)</f>
        <v/>
      </c>
      <c r="O982" t="str">
        <f>_xlfn.XLOOKUP(Table3[[#This Row],[Cuenta]],Estructura_Balance[Nombre Cuenta ()],Estructura_Balance[Nivel 2],"",0)</f>
        <v/>
      </c>
      <c r="P982" t="str">
        <f>_xlfn.XLOOKUP(Table3[[#This Row],[Cuenta]],Estructura_Balance[Nombre Cuenta ()],Estructura_Balance[Nivel 3],"",0)</f>
        <v/>
      </c>
      <c r="Q982" t="str">
        <f>_xlfn.XLOOKUP(Table3[[#This Row],[Cuenta]],Estructura_Balance[Nombre Cuenta ()],Estructura_Balance[Nivel 4],"",0)</f>
        <v/>
      </c>
      <c r="R982" t="str">
        <f>_xlfn.XLOOKUP(Table3[[#This Row],[Cuenta]],Table8[Nombre Cuenta ()],Table8[Nivel 1],"",0)</f>
        <v/>
      </c>
      <c r="S982" t="str">
        <f>_xlfn.XLOOKUP(Table3[[#This Row],[Cuenta]],Table8[Nombre Cuenta ()],Table8[Nivel 2],"",0)</f>
        <v/>
      </c>
      <c r="T982" t="str">
        <f>_xlfn.XLOOKUP(Table3[[#This Row],[Cuenta]],Table8[Nombre Cuenta ()],Table8[Nivel 3],"",0)</f>
        <v/>
      </c>
      <c r="U982">
        <v>1672</v>
      </c>
      <c r="V982" t="str">
        <f>_xlfn.XLOOKUP(Table3[[#This Row],[Cuenta]],Estructura_Balance[Nombre Cuenta ()],Estructura_Balance[Niveles:2],"",0)</f>
        <v/>
      </c>
      <c r="W982" t="str">
        <f>_xlfn.XLOOKUP(Table3[[#This Row],[Cuenta]],Estructura_Balance[Nombre Cuenta ()],Estructura_Balance[Niveles:3],"",0)</f>
        <v/>
      </c>
      <c r="X982" t="str">
        <f>_xlfn.XLOOKUP(Table3[[#This Row],[Cuenta]],Estructura_Balance[Nombre Cuenta ()],Estructura_Balance[Grupos],"Grupo 1",0)</f>
        <v>Grupo 1</v>
      </c>
      <c r="Y982" t="str">
        <f>+Table3[[#This Row],[BS_Nivel_1]]</f>
        <v/>
      </c>
    </row>
    <row r="983" spans="1:25">
      <c r="A983">
        <f>+'Libro Diario'!F280</f>
        <v>0</v>
      </c>
      <c r="B983" s="144">
        <f>VALUE(IF(+'Libro Diario'!G280="","01/01/2025",+'Libro Diario'!G280))</f>
        <v>45658</v>
      </c>
      <c r="C983">
        <f>IF(ISNUMBER(+IF(IFERROR(VALUE(MID('Libro Diario'!D280,1,4)),0)&lt;&gt;0,'Libro Diario'!D280,0))=FALSE,'Libro Diario'!D280,0)</f>
        <v>0</v>
      </c>
      <c r="D983" s="145">
        <f>+'Libro Diario'!E280</f>
        <v>0</v>
      </c>
      <c r="E983" s="139" t="s">
        <v>446</v>
      </c>
      <c r="F983" t="str">
        <f t="shared" si="45"/>
        <v>Sin Mov.</v>
      </c>
      <c r="G983" t="str">
        <f>IF(+'Libro Diario'!H280=0,"",+'Libro Diario'!H280)</f>
        <v/>
      </c>
      <c r="H983" t="str">
        <f>IF(+'Libro Diario'!I280=0,"",+'Libro Diario'!I280)</f>
        <v/>
      </c>
      <c r="I983" t="str">
        <f>+IF(Table3[[#This Row],[Tipo Movimiento]]="Estructura Balance y PyG","Excluir","Incluir")</f>
        <v>Incluir</v>
      </c>
      <c r="J983" s="153">
        <f>+IF(Table3[[#This Row],[Sin cuenta]]="Con Mov.",(IF(Table3[[#This Row],[Movimiento]]="Debe",Table3[[#This Row],[Importe]],IF(Table3[[#This Row],[Movimiento]]="Haber",Table3[[#This Row],[Importe]]*-1,0))),0)</f>
        <v>0</v>
      </c>
      <c r="K983" s="145" t="str">
        <f t="shared" si="46"/>
        <v/>
      </c>
      <c r="L983" s="145">
        <f t="shared" si="47"/>
        <v>0</v>
      </c>
      <c r="M983" t="str">
        <f>_xlfn.XLOOKUP(Table3[[#This Row],[Cuenta]],Estructura_Balance[Nombre Cuenta ()],Estructura_Balance[Grupo],"",0)</f>
        <v/>
      </c>
      <c r="N983" t="str">
        <f>_xlfn.XLOOKUP(Table3[[#This Row],[Cuenta]],Estructura_Balance[Nombre Cuenta ()],Estructura_Balance[Nivel 1],"",0)</f>
        <v/>
      </c>
      <c r="O983" t="str">
        <f>_xlfn.XLOOKUP(Table3[[#This Row],[Cuenta]],Estructura_Balance[Nombre Cuenta ()],Estructura_Balance[Nivel 2],"",0)</f>
        <v/>
      </c>
      <c r="P983" t="str">
        <f>_xlfn.XLOOKUP(Table3[[#This Row],[Cuenta]],Estructura_Balance[Nombre Cuenta ()],Estructura_Balance[Nivel 3],"",0)</f>
        <v/>
      </c>
      <c r="Q983" t="str">
        <f>_xlfn.XLOOKUP(Table3[[#This Row],[Cuenta]],Estructura_Balance[Nombre Cuenta ()],Estructura_Balance[Nivel 4],"",0)</f>
        <v/>
      </c>
      <c r="R983" t="str">
        <f>_xlfn.XLOOKUP(Table3[[#This Row],[Cuenta]],Table8[Nombre Cuenta ()],Table8[Nivel 1],"",0)</f>
        <v/>
      </c>
      <c r="S983" t="str">
        <f>_xlfn.XLOOKUP(Table3[[#This Row],[Cuenta]],Table8[Nombre Cuenta ()],Table8[Nivel 2],"",0)</f>
        <v/>
      </c>
      <c r="T983" t="str">
        <f>_xlfn.XLOOKUP(Table3[[#This Row],[Cuenta]],Table8[Nombre Cuenta ()],Table8[Nivel 3],"",0)</f>
        <v/>
      </c>
      <c r="U983">
        <v>1673</v>
      </c>
      <c r="V983" t="str">
        <f>_xlfn.XLOOKUP(Table3[[#This Row],[Cuenta]],Estructura_Balance[Nombre Cuenta ()],Estructura_Balance[Niveles:2],"",0)</f>
        <v/>
      </c>
      <c r="W983" t="str">
        <f>_xlfn.XLOOKUP(Table3[[#This Row],[Cuenta]],Estructura_Balance[Nombre Cuenta ()],Estructura_Balance[Niveles:3],"",0)</f>
        <v/>
      </c>
      <c r="X983" t="str">
        <f>_xlfn.XLOOKUP(Table3[[#This Row],[Cuenta]],Estructura_Balance[Nombre Cuenta ()],Estructura_Balance[Grupos],"Grupo 1",0)</f>
        <v>Grupo 1</v>
      </c>
      <c r="Y983" t="str">
        <f>+Table3[[#This Row],[BS_Nivel_1]]</f>
        <v/>
      </c>
    </row>
    <row r="984" spans="1:25">
      <c r="A984">
        <f>+'Libro Diario'!F281</f>
        <v>0</v>
      </c>
      <c r="B984" s="144">
        <f>VALUE(IF(+'Libro Diario'!G281="","01/01/2025",+'Libro Diario'!G281))</f>
        <v>45658</v>
      </c>
      <c r="C984">
        <f>IF(ISNUMBER(+IF(IFERROR(VALUE(MID('Libro Diario'!D281,1,4)),0)&lt;&gt;0,'Libro Diario'!D281,0))=FALSE,'Libro Diario'!D281,0)</f>
        <v>0</v>
      </c>
      <c r="D984" s="145">
        <f>+'Libro Diario'!E281</f>
        <v>0</v>
      </c>
      <c r="E984" s="139" t="s">
        <v>446</v>
      </c>
      <c r="F984" t="str">
        <f t="shared" si="45"/>
        <v>Sin Mov.</v>
      </c>
      <c r="G984" t="str">
        <f>IF(+'Libro Diario'!H281=0,"",+'Libro Diario'!H281)</f>
        <v/>
      </c>
      <c r="H984" t="str">
        <f>IF(+'Libro Diario'!I281=0,"",+'Libro Diario'!I281)</f>
        <v/>
      </c>
      <c r="I984" t="str">
        <f>+IF(Table3[[#This Row],[Tipo Movimiento]]="Estructura Balance y PyG","Excluir","Incluir")</f>
        <v>Incluir</v>
      </c>
      <c r="J984" s="153">
        <f>+IF(Table3[[#This Row],[Sin cuenta]]="Con Mov.",(IF(Table3[[#This Row],[Movimiento]]="Debe",Table3[[#This Row],[Importe]],IF(Table3[[#This Row],[Movimiento]]="Haber",Table3[[#This Row],[Importe]]*-1,0))),0)</f>
        <v>0</v>
      </c>
      <c r="K984" s="145" t="str">
        <f t="shared" si="46"/>
        <v/>
      </c>
      <c r="L984" s="145">
        <f t="shared" si="47"/>
        <v>0</v>
      </c>
      <c r="M984" t="str">
        <f>_xlfn.XLOOKUP(Table3[[#This Row],[Cuenta]],Estructura_Balance[Nombre Cuenta ()],Estructura_Balance[Grupo],"",0)</f>
        <v/>
      </c>
      <c r="N984" t="str">
        <f>_xlfn.XLOOKUP(Table3[[#This Row],[Cuenta]],Estructura_Balance[Nombre Cuenta ()],Estructura_Balance[Nivel 1],"",0)</f>
        <v/>
      </c>
      <c r="O984" t="str">
        <f>_xlfn.XLOOKUP(Table3[[#This Row],[Cuenta]],Estructura_Balance[Nombre Cuenta ()],Estructura_Balance[Nivel 2],"",0)</f>
        <v/>
      </c>
      <c r="P984" t="str">
        <f>_xlfn.XLOOKUP(Table3[[#This Row],[Cuenta]],Estructura_Balance[Nombre Cuenta ()],Estructura_Balance[Nivel 3],"",0)</f>
        <v/>
      </c>
      <c r="Q984" t="str">
        <f>_xlfn.XLOOKUP(Table3[[#This Row],[Cuenta]],Estructura_Balance[Nombre Cuenta ()],Estructura_Balance[Nivel 4],"",0)</f>
        <v/>
      </c>
      <c r="R984" t="str">
        <f>_xlfn.XLOOKUP(Table3[[#This Row],[Cuenta]],Table8[Nombre Cuenta ()],Table8[Nivel 1],"",0)</f>
        <v/>
      </c>
      <c r="S984" t="str">
        <f>_xlfn.XLOOKUP(Table3[[#This Row],[Cuenta]],Table8[Nombre Cuenta ()],Table8[Nivel 2],"",0)</f>
        <v/>
      </c>
      <c r="T984" t="str">
        <f>_xlfn.XLOOKUP(Table3[[#This Row],[Cuenta]],Table8[Nombre Cuenta ()],Table8[Nivel 3],"",0)</f>
        <v/>
      </c>
      <c r="U984">
        <v>1674</v>
      </c>
      <c r="V984" t="str">
        <f>_xlfn.XLOOKUP(Table3[[#This Row],[Cuenta]],Estructura_Balance[Nombre Cuenta ()],Estructura_Balance[Niveles:2],"",0)</f>
        <v/>
      </c>
      <c r="W984" t="str">
        <f>_xlfn.XLOOKUP(Table3[[#This Row],[Cuenta]],Estructura_Balance[Nombre Cuenta ()],Estructura_Balance[Niveles:3],"",0)</f>
        <v/>
      </c>
      <c r="X984" t="str">
        <f>_xlfn.XLOOKUP(Table3[[#This Row],[Cuenta]],Estructura_Balance[Nombre Cuenta ()],Estructura_Balance[Grupos],"Grupo 1",0)</f>
        <v>Grupo 1</v>
      </c>
      <c r="Y984" t="str">
        <f>+Table3[[#This Row],[BS_Nivel_1]]</f>
        <v/>
      </c>
    </row>
    <row r="985" spans="1:25">
      <c r="A985">
        <f>+'Libro Diario'!F282</f>
        <v>0</v>
      </c>
      <c r="B985" s="144">
        <f>VALUE(IF(+'Libro Diario'!G282="","01/01/2025",+'Libro Diario'!G282))</f>
        <v>45658</v>
      </c>
      <c r="C985">
        <f>IF(ISNUMBER(+IF(IFERROR(VALUE(MID('Libro Diario'!D282,1,4)),0)&lt;&gt;0,'Libro Diario'!D282,0))=FALSE,'Libro Diario'!D282,0)</f>
        <v>0</v>
      </c>
      <c r="D985" s="145" t="str">
        <f>+'Libro Diario'!E282</f>
        <v>HABER</v>
      </c>
      <c r="E985" s="139" t="s">
        <v>446</v>
      </c>
      <c r="F985" t="str">
        <f t="shared" si="45"/>
        <v>Sin Mov.</v>
      </c>
      <c r="G985" t="str">
        <f>IF(+'Libro Diario'!H282=0,"",+'Libro Diario'!H282)</f>
        <v/>
      </c>
      <c r="H985" t="str">
        <f>IF(+'Libro Diario'!I282=0,"",+'Libro Diario'!I282)</f>
        <v/>
      </c>
      <c r="I985" t="str">
        <f>+IF(Table3[[#This Row],[Tipo Movimiento]]="Estructura Balance y PyG","Excluir","Incluir")</f>
        <v>Incluir</v>
      </c>
      <c r="J985" s="153">
        <f>+IF(Table3[[#This Row],[Sin cuenta]]="Con Mov.",(IF(Table3[[#This Row],[Movimiento]]="Debe",Table3[[#This Row],[Importe]],IF(Table3[[#This Row],[Movimiento]]="Haber",Table3[[#This Row],[Importe]]*-1,0))),0)</f>
        <v>0</v>
      </c>
      <c r="K985" s="145" t="str">
        <f t="shared" si="46"/>
        <v/>
      </c>
      <c r="L985" s="145" t="str">
        <f t="shared" si="47"/>
        <v>HABER</v>
      </c>
      <c r="M985" t="str">
        <f>_xlfn.XLOOKUP(Table3[[#This Row],[Cuenta]],Estructura_Balance[Nombre Cuenta ()],Estructura_Balance[Grupo],"",0)</f>
        <v/>
      </c>
      <c r="N985" t="str">
        <f>_xlfn.XLOOKUP(Table3[[#This Row],[Cuenta]],Estructura_Balance[Nombre Cuenta ()],Estructura_Balance[Nivel 1],"",0)</f>
        <v/>
      </c>
      <c r="O985" t="str">
        <f>_xlfn.XLOOKUP(Table3[[#This Row],[Cuenta]],Estructura_Balance[Nombre Cuenta ()],Estructura_Balance[Nivel 2],"",0)</f>
        <v/>
      </c>
      <c r="P985" t="str">
        <f>_xlfn.XLOOKUP(Table3[[#This Row],[Cuenta]],Estructura_Balance[Nombre Cuenta ()],Estructura_Balance[Nivel 3],"",0)</f>
        <v/>
      </c>
      <c r="Q985" t="str">
        <f>_xlfn.XLOOKUP(Table3[[#This Row],[Cuenta]],Estructura_Balance[Nombre Cuenta ()],Estructura_Balance[Nivel 4],"",0)</f>
        <v/>
      </c>
      <c r="R985" t="str">
        <f>_xlfn.XLOOKUP(Table3[[#This Row],[Cuenta]],Table8[Nombre Cuenta ()],Table8[Nivel 1],"",0)</f>
        <v/>
      </c>
      <c r="S985" t="str">
        <f>_xlfn.XLOOKUP(Table3[[#This Row],[Cuenta]],Table8[Nombre Cuenta ()],Table8[Nivel 2],"",0)</f>
        <v/>
      </c>
      <c r="T985" t="str">
        <f>_xlfn.XLOOKUP(Table3[[#This Row],[Cuenta]],Table8[Nombre Cuenta ()],Table8[Nivel 3],"",0)</f>
        <v/>
      </c>
      <c r="U985">
        <v>1675</v>
      </c>
      <c r="V985" t="str">
        <f>_xlfn.XLOOKUP(Table3[[#This Row],[Cuenta]],Estructura_Balance[Nombre Cuenta ()],Estructura_Balance[Niveles:2],"",0)</f>
        <v/>
      </c>
      <c r="W985" t="str">
        <f>_xlfn.XLOOKUP(Table3[[#This Row],[Cuenta]],Estructura_Balance[Nombre Cuenta ()],Estructura_Balance[Niveles:3],"",0)</f>
        <v/>
      </c>
      <c r="X985" t="str">
        <f>_xlfn.XLOOKUP(Table3[[#This Row],[Cuenta]],Estructura_Balance[Nombre Cuenta ()],Estructura_Balance[Grupos],"Grupo 1",0)</f>
        <v>Grupo 1</v>
      </c>
      <c r="Y985" t="str">
        <f>+Table3[[#This Row],[BS_Nivel_1]]</f>
        <v/>
      </c>
    </row>
    <row r="986" spans="1:25">
      <c r="A986">
        <f>+'Libro Diario'!F283</f>
        <v>0</v>
      </c>
      <c r="B986" s="144">
        <f>VALUE(IF(+'Libro Diario'!G283="","01/01/2025",+'Libro Diario'!G283))</f>
        <v>45658</v>
      </c>
      <c r="C986">
        <f>IF(ISNUMBER(+IF(IFERROR(VALUE(MID('Libro Diario'!D283,1,4)),0)&lt;&gt;0,'Libro Diario'!D283,0))=FALSE,'Libro Diario'!D283,0)</f>
        <v>0</v>
      </c>
      <c r="D986" s="145">
        <f>+'Libro Diario'!E283</f>
        <v>0</v>
      </c>
      <c r="E986" s="139" t="s">
        <v>446</v>
      </c>
      <c r="F986" t="str">
        <f t="shared" si="45"/>
        <v>Sin Mov.</v>
      </c>
      <c r="G986" t="str">
        <f>IF(+'Libro Diario'!H283=0,"",+'Libro Diario'!H283)</f>
        <v/>
      </c>
      <c r="H986" t="str">
        <f>IF(+'Libro Diario'!I283=0,"",+'Libro Diario'!I283)</f>
        <v/>
      </c>
      <c r="I986" t="str">
        <f>+IF(Table3[[#This Row],[Tipo Movimiento]]="Estructura Balance y PyG","Excluir","Incluir")</f>
        <v>Incluir</v>
      </c>
      <c r="J986" s="153">
        <f>+IF(Table3[[#This Row],[Sin cuenta]]="Con Mov.",(IF(Table3[[#This Row],[Movimiento]]="Debe",Table3[[#This Row],[Importe]],IF(Table3[[#This Row],[Movimiento]]="Haber",Table3[[#This Row],[Importe]]*-1,0))),0)</f>
        <v>0</v>
      </c>
      <c r="K986" s="145" t="str">
        <f t="shared" si="46"/>
        <v/>
      </c>
      <c r="L986" s="145">
        <f t="shared" si="47"/>
        <v>0</v>
      </c>
      <c r="M986" t="str">
        <f>_xlfn.XLOOKUP(Table3[[#This Row],[Cuenta]],Estructura_Balance[Nombre Cuenta ()],Estructura_Balance[Grupo],"",0)</f>
        <v/>
      </c>
      <c r="N986" t="str">
        <f>_xlfn.XLOOKUP(Table3[[#This Row],[Cuenta]],Estructura_Balance[Nombre Cuenta ()],Estructura_Balance[Nivel 1],"",0)</f>
        <v/>
      </c>
      <c r="O986" t="str">
        <f>_xlfn.XLOOKUP(Table3[[#This Row],[Cuenta]],Estructura_Balance[Nombre Cuenta ()],Estructura_Balance[Nivel 2],"",0)</f>
        <v/>
      </c>
      <c r="P986" t="str">
        <f>_xlfn.XLOOKUP(Table3[[#This Row],[Cuenta]],Estructura_Balance[Nombre Cuenta ()],Estructura_Balance[Nivel 3],"",0)</f>
        <v/>
      </c>
      <c r="Q986" t="str">
        <f>_xlfn.XLOOKUP(Table3[[#This Row],[Cuenta]],Estructura_Balance[Nombre Cuenta ()],Estructura_Balance[Nivel 4],"",0)</f>
        <v/>
      </c>
      <c r="R986" t="str">
        <f>_xlfn.XLOOKUP(Table3[[#This Row],[Cuenta]],Table8[Nombre Cuenta ()],Table8[Nivel 1],"",0)</f>
        <v/>
      </c>
      <c r="S986" t="str">
        <f>_xlfn.XLOOKUP(Table3[[#This Row],[Cuenta]],Table8[Nombre Cuenta ()],Table8[Nivel 2],"",0)</f>
        <v/>
      </c>
      <c r="T986" t="str">
        <f>_xlfn.XLOOKUP(Table3[[#This Row],[Cuenta]],Table8[Nombre Cuenta ()],Table8[Nivel 3],"",0)</f>
        <v/>
      </c>
      <c r="U986">
        <v>1676</v>
      </c>
      <c r="V986" t="str">
        <f>_xlfn.XLOOKUP(Table3[[#This Row],[Cuenta]],Estructura_Balance[Nombre Cuenta ()],Estructura_Balance[Niveles:2],"",0)</f>
        <v/>
      </c>
      <c r="W986" t="str">
        <f>_xlfn.XLOOKUP(Table3[[#This Row],[Cuenta]],Estructura_Balance[Nombre Cuenta ()],Estructura_Balance[Niveles:3],"",0)</f>
        <v/>
      </c>
      <c r="X986" t="str">
        <f>_xlfn.XLOOKUP(Table3[[#This Row],[Cuenta]],Estructura_Balance[Nombre Cuenta ()],Estructura_Balance[Grupos],"Grupo 1",0)</f>
        <v>Grupo 1</v>
      </c>
      <c r="Y986" t="str">
        <f>+Table3[[#This Row],[BS_Nivel_1]]</f>
        <v/>
      </c>
    </row>
    <row r="987" spans="1:25">
      <c r="A987">
        <f>+'Libro Diario'!F286</f>
        <v>0</v>
      </c>
      <c r="B987" s="144">
        <f>VALUE(IF(+'Libro Diario'!G286="","01/01/2025",+'Libro Diario'!G286))</f>
        <v>45658</v>
      </c>
      <c r="C987">
        <f>IF(ISNUMBER(+IF(IFERROR(VALUE(MID('Libro Diario'!D286,1,4)),0)&lt;&gt;0,'Libro Diario'!D286,0))=FALSE,'Libro Diario'!D286,0)</f>
        <v>0</v>
      </c>
      <c r="D987" s="145">
        <f>+'Libro Diario'!E286</f>
        <v>0</v>
      </c>
      <c r="E987" s="139" t="s">
        <v>446</v>
      </c>
      <c r="F987" t="str">
        <f t="shared" si="45"/>
        <v>Sin Mov.</v>
      </c>
      <c r="G987" t="str">
        <f>IF(+'Libro Diario'!H286=0,"",+'Libro Diario'!H286)</f>
        <v/>
      </c>
      <c r="H987" t="str">
        <f>IF(+'Libro Diario'!I286=0,"",+'Libro Diario'!I286)</f>
        <v/>
      </c>
      <c r="I987" t="str">
        <f>+IF(Table3[[#This Row],[Tipo Movimiento]]="Estructura Balance y PyG","Excluir","Incluir")</f>
        <v>Incluir</v>
      </c>
      <c r="J987" s="153">
        <f>+IF(Table3[[#This Row],[Sin cuenta]]="Con Mov.",(IF(Table3[[#This Row],[Movimiento]]="Debe",Table3[[#This Row],[Importe]],IF(Table3[[#This Row],[Movimiento]]="Haber",Table3[[#This Row],[Importe]]*-1,0))),0)</f>
        <v>0</v>
      </c>
      <c r="K987" s="145" t="str">
        <f t="shared" si="46"/>
        <v/>
      </c>
      <c r="L987" s="145">
        <f t="shared" si="47"/>
        <v>0</v>
      </c>
      <c r="M987" t="str">
        <f>_xlfn.XLOOKUP(Table3[[#This Row],[Cuenta]],Estructura_Balance[Nombre Cuenta ()],Estructura_Balance[Grupo],"",0)</f>
        <v/>
      </c>
      <c r="N987" t="str">
        <f>_xlfn.XLOOKUP(Table3[[#This Row],[Cuenta]],Estructura_Balance[Nombre Cuenta ()],Estructura_Balance[Nivel 1],"",0)</f>
        <v/>
      </c>
      <c r="O987" t="str">
        <f>_xlfn.XLOOKUP(Table3[[#This Row],[Cuenta]],Estructura_Balance[Nombre Cuenta ()],Estructura_Balance[Nivel 2],"",0)</f>
        <v/>
      </c>
      <c r="P987" t="str">
        <f>_xlfn.XLOOKUP(Table3[[#This Row],[Cuenta]],Estructura_Balance[Nombre Cuenta ()],Estructura_Balance[Nivel 3],"",0)</f>
        <v/>
      </c>
      <c r="Q987" t="str">
        <f>_xlfn.XLOOKUP(Table3[[#This Row],[Cuenta]],Estructura_Balance[Nombre Cuenta ()],Estructura_Balance[Nivel 4],"",0)</f>
        <v/>
      </c>
      <c r="R987" t="str">
        <f>_xlfn.XLOOKUP(Table3[[#This Row],[Cuenta]],Table8[Nombre Cuenta ()],Table8[Nivel 1],"",0)</f>
        <v/>
      </c>
      <c r="S987" t="str">
        <f>_xlfn.XLOOKUP(Table3[[#This Row],[Cuenta]],Table8[Nombre Cuenta ()],Table8[Nivel 2],"",0)</f>
        <v/>
      </c>
      <c r="T987" t="str">
        <f>_xlfn.XLOOKUP(Table3[[#This Row],[Cuenta]],Table8[Nombre Cuenta ()],Table8[Nivel 3],"",0)</f>
        <v/>
      </c>
      <c r="U987">
        <v>1679</v>
      </c>
      <c r="V987" t="str">
        <f>_xlfn.XLOOKUP(Table3[[#This Row],[Cuenta]],Estructura_Balance[Nombre Cuenta ()],Estructura_Balance[Niveles:2],"",0)</f>
        <v/>
      </c>
      <c r="W987" t="str">
        <f>_xlfn.XLOOKUP(Table3[[#This Row],[Cuenta]],Estructura_Balance[Nombre Cuenta ()],Estructura_Balance[Niveles:3],"",0)</f>
        <v/>
      </c>
      <c r="X987" t="str">
        <f>_xlfn.XLOOKUP(Table3[[#This Row],[Cuenta]],Estructura_Balance[Nombre Cuenta ()],Estructura_Balance[Grupos],"Grupo 1",0)</f>
        <v>Grupo 1</v>
      </c>
      <c r="Y987" t="str">
        <f>+Table3[[#This Row],[BS_Nivel_1]]</f>
        <v/>
      </c>
    </row>
    <row r="988" spans="1:25">
      <c r="A988">
        <f>+'Libro Diario'!F287</f>
        <v>0</v>
      </c>
      <c r="B988" s="144">
        <f>VALUE(IF(+'Libro Diario'!G287="","01/01/2025",+'Libro Diario'!G287))</f>
        <v>45658</v>
      </c>
      <c r="C988">
        <f>IF(ISNUMBER(+IF(IFERROR(VALUE(MID('Libro Diario'!D287,1,4)),0)&lt;&gt;0,'Libro Diario'!D287,0))=FALSE,'Libro Diario'!D287,0)</f>
        <v>0</v>
      </c>
      <c r="D988" s="145">
        <f>+'Libro Diario'!E287</f>
        <v>0</v>
      </c>
      <c r="E988" s="139" t="s">
        <v>446</v>
      </c>
      <c r="F988" t="str">
        <f t="shared" si="45"/>
        <v>Sin Mov.</v>
      </c>
      <c r="G988" t="str">
        <f>IF(+'Libro Diario'!H287=0,"",+'Libro Diario'!H287)</f>
        <v/>
      </c>
      <c r="H988" t="str">
        <f>IF(+'Libro Diario'!I287=0,"",+'Libro Diario'!I287)</f>
        <v/>
      </c>
      <c r="I988" t="str">
        <f>+IF(Table3[[#This Row],[Tipo Movimiento]]="Estructura Balance y PyG","Excluir","Incluir")</f>
        <v>Incluir</v>
      </c>
      <c r="J988" s="153">
        <f>+IF(Table3[[#This Row],[Sin cuenta]]="Con Mov.",(IF(Table3[[#This Row],[Movimiento]]="Debe",Table3[[#This Row],[Importe]],IF(Table3[[#This Row],[Movimiento]]="Haber",Table3[[#This Row],[Importe]]*-1,0))),0)</f>
        <v>0</v>
      </c>
      <c r="K988" s="145" t="str">
        <f t="shared" si="46"/>
        <v/>
      </c>
      <c r="L988" s="145">
        <f t="shared" si="47"/>
        <v>0</v>
      </c>
      <c r="M988" t="str">
        <f>_xlfn.XLOOKUP(Table3[[#This Row],[Cuenta]],Estructura_Balance[Nombre Cuenta ()],Estructura_Balance[Grupo],"",0)</f>
        <v/>
      </c>
      <c r="N988" t="str">
        <f>_xlfn.XLOOKUP(Table3[[#This Row],[Cuenta]],Estructura_Balance[Nombre Cuenta ()],Estructura_Balance[Nivel 1],"",0)</f>
        <v/>
      </c>
      <c r="O988" t="str">
        <f>_xlfn.XLOOKUP(Table3[[#This Row],[Cuenta]],Estructura_Balance[Nombre Cuenta ()],Estructura_Balance[Nivel 2],"",0)</f>
        <v/>
      </c>
      <c r="P988" t="str">
        <f>_xlfn.XLOOKUP(Table3[[#This Row],[Cuenta]],Estructura_Balance[Nombre Cuenta ()],Estructura_Balance[Nivel 3],"",0)</f>
        <v/>
      </c>
      <c r="Q988" t="str">
        <f>_xlfn.XLOOKUP(Table3[[#This Row],[Cuenta]],Estructura_Balance[Nombre Cuenta ()],Estructura_Balance[Nivel 4],"",0)</f>
        <v/>
      </c>
      <c r="R988" t="str">
        <f>_xlfn.XLOOKUP(Table3[[#This Row],[Cuenta]],Table8[Nombre Cuenta ()],Table8[Nivel 1],"",0)</f>
        <v/>
      </c>
      <c r="S988" t="str">
        <f>_xlfn.XLOOKUP(Table3[[#This Row],[Cuenta]],Table8[Nombre Cuenta ()],Table8[Nivel 2],"",0)</f>
        <v/>
      </c>
      <c r="T988" t="str">
        <f>_xlfn.XLOOKUP(Table3[[#This Row],[Cuenta]],Table8[Nombre Cuenta ()],Table8[Nivel 3],"",0)</f>
        <v/>
      </c>
      <c r="U988">
        <v>1680</v>
      </c>
      <c r="V988" t="str">
        <f>_xlfn.XLOOKUP(Table3[[#This Row],[Cuenta]],Estructura_Balance[Nombre Cuenta ()],Estructura_Balance[Niveles:2],"",0)</f>
        <v/>
      </c>
      <c r="W988" t="str">
        <f>_xlfn.XLOOKUP(Table3[[#This Row],[Cuenta]],Estructura_Balance[Nombre Cuenta ()],Estructura_Balance[Niveles:3],"",0)</f>
        <v/>
      </c>
      <c r="X988" t="str">
        <f>_xlfn.XLOOKUP(Table3[[#This Row],[Cuenta]],Estructura_Balance[Nombre Cuenta ()],Estructura_Balance[Grupos],"Grupo 1",0)</f>
        <v>Grupo 1</v>
      </c>
      <c r="Y988" t="str">
        <f>+Table3[[#This Row],[BS_Nivel_1]]</f>
        <v/>
      </c>
    </row>
    <row r="989" spans="1:25">
      <c r="A989">
        <f>+'Libro Diario'!F288</f>
        <v>0</v>
      </c>
      <c r="B989" s="144">
        <f>VALUE(IF(+'Libro Diario'!G288="","01/01/2025",+'Libro Diario'!G288))</f>
        <v>45658</v>
      </c>
      <c r="C989">
        <f>IF(ISNUMBER(+IF(IFERROR(VALUE(MID('Libro Diario'!D288,1,4)),0)&lt;&gt;0,'Libro Diario'!D288,0))=FALSE,'Libro Diario'!D288,0)</f>
        <v>0</v>
      </c>
      <c r="D989" s="145">
        <f>+'Libro Diario'!E288</f>
        <v>0</v>
      </c>
      <c r="E989" s="139" t="s">
        <v>446</v>
      </c>
      <c r="F989" t="str">
        <f t="shared" si="45"/>
        <v>Sin Mov.</v>
      </c>
      <c r="G989" t="str">
        <f>IF(+'Libro Diario'!H288=0,"",+'Libro Diario'!H288)</f>
        <v/>
      </c>
      <c r="H989" t="str">
        <f>IF(+'Libro Diario'!I288=0,"",+'Libro Diario'!I288)</f>
        <v/>
      </c>
      <c r="I989" t="str">
        <f>+IF(Table3[[#This Row],[Tipo Movimiento]]="Estructura Balance y PyG","Excluir","Incluir")</f>
        <v>Incluir</v>
      </c>
      <c r="J989" s="153">
        <f>+IF(Table3[[#This Row],[Sin cuenta]]="Con Mov.",(IF(Table3[[#This Row],[Movimiento]]="Debe",Table3[[#This Row],[Importe]],IF(Table3[[#This Row],[Movimiento]]="Haber",Table3[[#This Row],[Importe]]*-1,0))),0)</f>
        <v>0</v>
      </c>
      <c r="K989" s="145" t="str">
        <f t="shared" si="46"/>
        <v/>
      </c>
      <c r="L989" s="145">
        <f t="shared" si="47"/>
        <v>0</v>
      </c>
      <c r="M989" t="str">
        <f>_xlfn.XLOOKUP(Table3[[#This Row],[Cuenta]],Estructura_Balance[Nombre Cuenta ()],Estructura_Balance[Grupo],"",0)</f>
        <v/>
      </c>
      <c r="N989" t="str">
        <f>_xlfn.XLOOKUP(Table3[[#This Row],[Cuenta]],Estructura_Balance[Nombre Cuenta ()],Estructura_Balance[Nivel 1],"",0)</f>
        <v/>
      </c>
      <c r="O989" t="str">
        <f>_xlfn.XLOOKUP(Table3[[#This Row],[Cuenta]],Estructura_Balance[Nombre Cuenta ()],Estructura_Balance[Nivel 2],"",0)</f>
        <v/>
      </c>
      <c r="P989" t="str">
        <f>_xlfn.XLOOKUP(Table3[[#This Row],[Cuenta]],Estructura_Balance[Nombre Cuenta ()],Estructura_Balance[Nivel 3],"",0)</f>
        <v/>
      </c>
      <c r="Q989" t="str">
        <f>_xlfn.XLOOKUP(Table3[[#This Row],[Cuenta]],Estructura_Balance[Nombre Cuenta ()],Estructura_Balance[Nivel 4],"",0)</f>
        <v/>
      </c>
      <c r="R989" t="str">
        <f>_xlfn.XLOOKUP(Table3[[#This Row],[Cuenta]],Table8[Nombre Cuenta ()],Table8[Nivel 1],"",0)</f>
        <v/>
      </c>
      <c r="S989" t="str">
        <f>_xlfn.XLOOKUP(Table3[[#This Row],[Cuenta]],Table8[Nombre Cuenta ()],Table8[Nivel 2],"",0)</f>
        <v/>
      </c>
      <c r="T989" t="str">
        <f>_xlfn.XLOOKUP(Table3[[#This Row],[Cuenta]],Table8[Nombre Cuenta ()],Table8[Nivel 3],"",0)</f>
        <v/>
      </c>
      <c r="U989">
        <v>1681</v>
      </c>
      <c r="V989" t="str">
        <f>_xlfn.XLOOKUP(Table3[[#This Row],[Cuenta]],Estructura_Balance[Nombre Cuenta ()],Estructura_Balance[Niveles:2],"",0)</f>
        <v/>
      </c>
      <c r="W989" t="str">
        <f>_xlfn.XLOOKUP(Table3[[#This Row],[Cuenta]],Estructura_Balance[Nombre Cuenta ()],Estructura_Balance[Niveles:3],"",0)</f>
        <v/>
      </c>
      <c r="X989" t="str">
        <f>_xlfn.XLOOKUP(Table3[[#This Row],[Cuenta]],Estructura_Balance[Nombre Cuenta ()],Estructura_Balance[Grupos],"Grupo 1",0)</f>
        <v>Grupo 1</v>
      </c>
      <c r="Y989" t="str">
        <f>+Table3[[#This Row],[BS_Nivel_1]]</f>
        <v/>
      </c>
    </row>
    <row r="990" spans="1:25">
      <c r="A990">
        <f>+'Libro Diario'!F289</f>
        <v>0</v>
      </c>
      <c r="B990" s="144">
        <f>VALUE(IF(+'Libro Diario'!G289="","01/01/2025",+'Libro Diario'!G289))</f>
        <v>45658</v>
      </c>
      <c r="C990">
        <f>IF(ISNUMBER(+IF(IFERROR(VALUE(MID('Libro Diario'!D289,1,4)),0)&lt;&gt;0,'Libro Diario'!D289,0))=FALSE,'Libro Diario'!D289,0)</f>
        <v>0</v>
      </c>
      <c r="D990" s="145" t="str">
        <f>+'Libro Diario'!E289</f>
        <v>HABER</v>
      </c>
      <c r="E990" s="139" t="s">
        <v>446</v>
      </c>
      <c r="F990" t="str">
        <f t="shared" si="45"/>
        <v>Sin Mov.</v>
      </c>
      <c r="G990" t="str">
        <f>IF(+'Libro Diario'!H289=0,"",+'Libro Diario'!H289)</f>
        <v/>
      </c>
      <c r="H990" t="str">
        <f>IF(+'Libro Diario'!I289=0,"",+'Libro Diario'!I289)</f>
        <v/>
      </c>
      <c r="I990" t="str">
        <f>+IF(Table3[[#This Row],[Tipo Movimiento]]="Estructura Balance y PyG","Excluir","Incluir")</f>
        <v>Incluir</v>
      </c>
      <c r="J990" s="153">
        <f>+IF(Table3[[#This Row],[Sin cuenta]]="Con Mov.",(IF(Table3[[#This Row],[Movimiento]]="Debe",Table3[[#This Row],[Importe]],IF(Table3[[#This Row],[Movimiento]]="Haber",Table3[[#This Row],[Importe]]*-1,0))),0)</f>
        <v>0</v>
      </c>
      <c r="K990" s="145" t="str">
        <f t="shared" si="46"/>
        <v/>
      </c>
      <c r="L990" s="145" t="str">
        <f t="shared" si="47"/>
        <v>HABER</v>
      </c>
      <c r="M990" t="str">
        <f>_xlfn.XLOOKUP(Table3[[#This Row],[Cuenta]],Estructura_Balance[Nombre Cuenta ()],Estructura_Balance[Grupo],"",0)</f>
        <v/>
      </c>
      <c r="N990" t="str">
        <f>_xlfn.XLOOKUP(Table3[[#This Row],[Cuenta]],Estructura_Balance[Nombre Cuenta ()],Estructura_Balance[Nivel 1],"",0)</f>
        <v/>
      </c>
      <c r="O990" t="str">
        <f>_xlfn.XLOOKUP(Table3[[#This Row],[Cuenta]],Estructura_Balance[Nombre Cuenta ()],Estructura_Balance[Nivel 2],"",0)</f>
        <v/>
      </c>
      <c r="P990" t="str">
        <f>_xlfn.XLOOKUP(Table3[[#This Row],[Cuenta]],Estructura_Balance[Nombre Cuenta ()],Estructura_Balance[Nivel 3],"",0)</f>
        <v/>
      </c>
      <c r="Q990" t="str">
        <f>_xlfn.XLOOKUP(Table3[[#This Row],[Cuenta]],Estructura_Balance[Nombre Cuenta ()],Estructura_Balance[Nivel 4],"",0)</f>
        <v/>
      </c>
      <c r="R990" t="str">
        <f>_xlfn.XLOOKUP(Table3[[#This Row],[Cuenta]],Table8[Nombre Cuenta ()],Table8[Nivel 1],"",0)</f>
        <v/>
      </c>
      <c r="S990" t="str">
        <f>_xlfn.XLOOKUP(Table3[[#This Row],[Cuenta]],Table8[Nombre Cuenta ()],Table8[Nivel 2],"",0)</f>
        <v/>
      </c>
      <c r="T990" t="str">
        <f>_xlfn.XLOOKUP(Table3[[#This Row],[Cuenta]],Table8[Nombre Cuenta ()],Table8[Nivel 3],"",0)</f>
        <v/>
      </c>
      <c r="U990">
        <v>1682</v>
      </c>
      <c r="V990" t="str">
        <f>_xlfn.XLOOKUP(Table3[[#This Row],[Cuenta]],Estructura_Balance[Nombre Cuenta ()],Estructura_Balance[Niveles:2],"",0)</f>
        <v/>
      </c>
      <c r="W990" t="str">
        <f>_xlfn.XLOOKUP(Table3[[#This Row],[Cuenta]],Estructura_Balance[Nombre Cuenta ()],Estructura_Balance[Niveles:3],"",0)</f>
        <v/>
      </c>
      <c r="X990" t="str">
        <f>_xlfn.XLOOKUP(Table3[[#This Row],[Cuenta]],Estructura_Balance[Nombre Cuenta ()],Estructura_Balance[Grupos],"Grupo 1",0)</f>
        <v>Grupo 1</v>
      </c>
      <c r="Y990" t="str">
        <f>+Table3[[#This Row],[BS_Nivel_1]]</f>
        <v/>
      </c>
    </row>
    <row r="991" spans="1:25">
      <c r="A991">
        <f>+'Libro Diario'!F290</f>
        <v>0</v>
      </c>
      <c r="B991" s="144">
        <f>VALUE(IF(+'Libro Diario'!G290="","01/01/2025",+'Libro Diario'!G290))</f>
        <v>45658</v>
      </c>
      <c r="C991">
        <f>IF(ISNUMBER(+IF(IFERROR(VALUE(MID('Libro Diario'!D290,1,4)),0)&lt;&gt;0,'Libro Diario'!D290,0))=FALSE,'Libro Diario'!D290,0)</f>
        <v>0</v>
      </c>
      <c r="D991" s="145">
        <f>+'Libro Diario'!E290</f>
        <v>0</v>
      </c>
      <c r="E991" s="139" t="s">
        <v>446</v>
      </c>
      <c r="F991" t="str">
        <f t="shared" si="45"/>
        <v>Sin Mov.</v>
      </c>
      <c r="G991" t="str">
        <f>IF(+'Libro Diario'!H290=0,"",+'Libro Diario'!H290)</f>
        <v/>
      </c>
      <c r="H991" t="str">
        <f>IF(+'Libro Diario'!I290=0,"",+'Libro Diario'!I290)</f>
        <v/>
      </c>
      <c r="I991" t="str">
        <f>+IF(Table3[[#This Row],[Tipo Movimiento]]="Estructura Balance y PyG","Excluir","Incluir")</f>
        <v>Incluir</v>
      </c>
      <c r="J991" s="153">
        <f>+IF(Table3[[#This Row],[Sin cuenta]]="Con Mov.",(IF(Table3[[#This Row],[Movimiento]]="Debe",Table3[[#This Row],[Importe]],IF(Table3[[#This Row],[Movimiento]]="Haber",Table3[[#This Row],[Importe]]*-1,0))),0)</f>
        <v>0</v>
      </c>
      <c r="K991" s="145" t="str">
        <f t="shared" si="46"/>
        <v/>
      </c>
      <c r="L991" s="145">
        <f t="shared" si="47"/>
        <v>0</v>
      </c>
      <c r="M991" t="str">
        <f>_xlfn.XLOOKUP(Table3[[#This Row],[Cuenta]],Estructura_Balance[Nombre Cuenta ()],Estructura_Balance[Grupo],"",0)</f>
        <v/>
      </c>
      <c r="N991" t="str">
        <f>_xlfn.XLOOKUP(Table3[[#This Row],[Cuenta]],Estructura_Balance[Nombre Cuenta ()],Estructura_Balance[Nivel 1],"",0)</f>
        <v/>
      </c>
      <c r="O991" t="str">
        <f>_xlfn.XLOOKUP(Table3[[#This Row],[Cuenta]],Estructura_Balance[Nombre Cuenta ()],Estructura_Balance[Nivel 2],"",0)</f>
        <v/>
      </c>
      <c r="P991" t="str">
        <f>_xlfn.XLOOKUP(Table3[[#This Row],[Cuenta]],Estructura_Balance[Nombre Cuenta ()],Estructura_Balance[Nivel 3],"",0)</f>
        <v/>
      </c>
      <c r="Q991" t="str">
        <f>_xlfn.XLOOKUP(Table3[[#This Row],[Cuenta]],Estructura_Balance[Nombre Cuenta ()],Estructura_Balance[Nivel 4],"",0)</f>
        <v/>
      </c>
      <c r="R991" t="str">
        <f>_xlfn.XLOOKUP(Table3[[#This Row],[Cuenta]],Table8[Nombre Cuenta ()],Table8[Nivel 1],"",0)</f>
        <v/>
      </c>
      <c r="S991" t="str">
        <f>_xlfn.XLOOKUP(Table3[[#This Row],[Cuenta]],Table8[Nombre Cuenta ()],Table8[Nivel 2],"",0)</f>
        <v/>
      </c>
      <c r="T991" t="str">
        <f>_xlfn.XLOOKUP(Table3[[#This Row],[Cuenta]],Table8[Nombre Cuenta ()],Table8[Nivel 3],"",0)</f>
        <v/>
      </c>
      <c r="U991">
        <v>1683</v>
      </c>
      <c r="V991" t="str">
        <f>_xlfn.XLOOKUP(Table3[[#This Row],[Cuenta]],Estructura_Balance[Nombre Cuenta ()],Estructura_Balance[Niveles:2],"",0)</f>
        <v/>
      </c>
      <c r="W991" t="str">
        <f>_xlfn.XLOOKUP(Table3[[#This Row],[Cuenta]],Estructura_Balance[Nombre Cuenta ()],Estructura_Balance[Niveles:3],"",0)</f>
        <v/>
      </c>
      <c r="X991" t="str">
        <f>_xlfn.XLOOKUP(Table3[[#This Row],[Cuenta]],Estructura_Balance[Nombre Cuenta ()],Estructura_Balance[Grupos],"Grupo 1",0)</f>
        <v>Grupo 1</v>
      </c>
      <c r="Y991" t="str">
        <f>+Table3[[#This Row],[BS_Nivel_1]]</f>
        <v/>
      </c>
    </row>
    <row r="992" spans="1:25">
      <c r="A992">
        <f>+'Libro Diario'!F293</f>
        <v>0</v>
      </c>
      <c r="B992" s="144">
        <f>VALUE(IF(+'Libro Diario'!G293="","01/01/2025",+'Libro Diario'!G293))</f>
        <v>45658</v>
      </c>
      <c r="C992">
        <f>IF(ISNUMBER(+IF(IFERROR(VALUE(MID('Libro Diario'!D293,1,4)),0)&lt;&gt;0,'Libro Diario'!D293,0))=FALSE,'Libro Diario'!D293,0)</f>
        <v>0</v>
      </c>
      <c r="D992" s="145">
        <f>+'Libro Diario'!E293</f>
        <v>0</v>
      </c>
      <c r="E992" s="139" t="s">
        <v>446</v>
      </c>
      <c r="F992" t="str">
        <f t="shared" si="45"/>
        <v>Sin Mov.</v>
      </c>
      <c r="G992" t="str">
        <f>IF(+'Libro Diario'!H293=0,"",+'Libro Diario'!H293)</f>
        <v/>
      </c>
      <c r="H992" t="str">
        <f>IF(+'Libro Diario'!I293=0,"",+'Libro Diario'!I293)</f>
        <v/>
      </c>
      <c r="I992" t="str">
        <f>+IF(Table3[[#This Row],[Tipo Movimiento]]="Estructura Balance y PyG","Excluir","Incluir")</f>
        <v>Incluir</v>
      </c>
      <c r="J992" s="153">
        <f>+IF(Table3[[#This Row],[Sin cuenta]]="Con Mov.",(IF(Table3[[#This Row],[Movimiento]]="Debe",Table3[[#This Row],[Importe]],IF(Table3[[#This Row],[Movimiento]]="Haber",Table3[[#This Row],[Importe]]*-1,0))),0)</f>
        <v>0</v>
      </c>
      <c r="K992" s="145" t="str">
        <f t="shared" si="46"/>
        <v/>
      </c>
      <c r="L992" s="145">
        <f t="shared" si="47"/>
        <v>0</v>
      </c>
      <c r="M992" t="str">
        <f>_xlfn.XLOOKUP(Table3[[#This Row],[Cuenta]],Estructura_Balance[Nombre Cuenta ()],Estructura_Balance[Grupo],"",0)</f>
        <v/>
      </c>
      <c r="N992" t="str">
        <f>_xlfn.XLOOKUP(Table3[[#This Row],[Cuenta]],Estructura_Balance[Nombre Cuenta ()],Estructura_Balance[Nivel 1],"",0)</f>
        <v/>
      </c>
      <c r="O992" t="str">
        <f>_xlfn.XLOOKUP(Table3[[#This Row],[Cuenta]],Estructura_Balance[Nombre Cuenta ()],Estructura_Balance[Nivel 2],"",0)</f>
        <v/>
      </c>
      <c r="P992" t="str">
        <f>_xlfn.XLOOKUP(Table3[[#This Row],[Cuenta]],Estructura_Balance[Nombre Cuenta ()],Estructura_Balance[Nivel 3],"",0)</f>
        <v/>
      </c>
      <c r="Q992" t="str">
        <f>_xlfn.XLOOKUP(Table3[[#This Row],[Cuenta]],Estructura_Balance[Nombre Cuenta ()],Estructura_Balance[Nivel 4],"",0)</f>
        <v/>
      </c>
      <c r="R992" t="str">
        <f>_xlfn.XLOOKUP(Table3[[#This Row],[Cuenta]],Table8[Nombre Cuenta ()],Table8[Nivel 1],"",0)</f>
        <v/>
      </c>
      <c r="S992" t="str">
        <f>_xlfn.XLOOKUP(Table3[[#This Row],[Cuenta]],Table8[Nombre Cuenta ()],Table8[Nivel 2],"",0)</f>
        <v/>
      </c>
      <c r="T992" t="str">
        <f>_xlfn.XLOOKUP(Table3[[#This Row],[Cuenta]],Table8[Nombre Cuenta ()],Table8[Nivel 3],"",0)</f>
        <v/>
      </c>
      <c r="U992">
        <v>1686</v>
      </c>
      <c r="V992" t="str">
        <f>_xlfn.XLOOKUP(Table3[[#This Row],[Cuenta]],Estructura_Balance[Nombre Cuenta ()],Estructura_Balance[Niveles:2],"",0)</f>
        <v/>
      </c>
      <c r="W992" t="str">
        <f>_xlfn.XLOOKUP(Table3[[#This Row],[Cuenta]],Estructura_Balance[Nombre Cuenta ()],Estructura_Balance[Niveles:3],"",0)</f>
        <v/>
      </c>
      <c r="X992" t="str">
        <f>_xlfn.XLOOKUP(Table3[[#This Row],[Cuenta]],Estructura_Balance[Nombre Cuenta ()],Estructura_Balance[Grupos],"Grupo 1",0)</f>
        <v>Grupo 1</v>
      </c>
      <c r="Y992" t="str">
        <f>+Table3[[#This Row],[BS_Nivel_1]]</f>
        <v/>
      </c>
    </row>
    <row r="993" spans="1:25">
      <c r="A993">
        <f>+'Libro Diario'!F294</f>
        <v>0</v>
      </c>
      <c r="B993" s="144">
        <f>VALUE(IF(+'Libro Diario'!G294="","01/01/2025",+'Libro Diario'!G294))</f>
        <v>45658</v>
      </c>
      <c r="C993">
        <f>IF(ISNUMBER(+IF(IFERROR(VALUE(MID('Libro Diario'!D294,1,4)),0)&lt;&gt;0,'Libro Diario'!D294,0))=FALSE,'Libro Diario'!D294,0)</f>
        <v>0</v>
      </c>
      <c r="D993" s="145">
        <f>+'Libro Diario'!E294</f>
        <v>0</v>
      </c>
      <c r="E993" s="139" t="s">
        <v>446</v>
      </c>
      <c r="F993" t="str">
        <f t="shared" si="45"/>
        <v>Sin Mov.</v>
      </c>
      <c r="G993" t="str">
        <f>IF(+'Libro Diario'!H294=0,"",+'Libro Diario'!H294)</f>
        <v/>
      </c>
      <c r="H993" t="str">
        <f>IF(+'Libro Diario'!I294=0,"",+'Libro Diario'!I294)</f>
        <v/>
      </c>
      <c r="I993" t="str">
        <f>+IF(Table3[[#This Row],[Tipo Movimiento]]="Estructura Balance y PyG","Excluir","Incluir")</f>
        <v>Incluir</v>
      </c>
      <c r="J993" s="153">
        <f>+IF(Table3[[#This Row],[Sin cuenta]]="Con Mov.",(IF(Table3[[#This Row],[Movimiento]]="Debe",Table3[[#This Row],[Importe]],IF(Table3[[#This Row],[Movimiento]]="Haber",Table3[[#This Row],[Importe]]*-1,0))),0)</f>
        <v>0</v>
      </c>
      <c r="K993" s="145" t="str">
        <f t="shared" si="46"/>
        <v/>
      </c>
      <c r="L993" s="145">
        <f t="shared" si="47"/>
        <v>0</v>
      </c>
      <c r="M993" t="str">
        <f>_xlfn.XLOOKUP(Table3[[#This Row],[Cuenta]],Estructura_Balance[Nombre Cuenta ()],Estructura_Balance[Grupo],"",0)</f>
        <v/>
      </c>
      <c r="N993" t="str">
        <f>_xlfn.XLOOKUP(Table3[[#This Row],[Cuenta]],Estructura_Balance[Nombre Cuenta ()],Estructura_Balance[Nivel 1],"",0)</f>
        <v/>
      </c>
      <c r="O993" t="str">
        <f>_xlfn.XLOOKUP(Table3[[#This Row],[Cuenta]],Estructura_Balance[Nombre Cuenta ()],Estructura_Balance[Nivel 2],"",0)</f>
        <v/>
      </c>
      <c r="P993" t="str">
        <f>_xlfn.XLOOKUP(Table3[[#This Row],[Cuenta]],Estructura_Balance[Nombre Cuenta ()],Estructura_Balance[Nivel 3],"",0)</f>
        <v/>
      </c>
      <c r="Q993" t="str">
        <f>_xlfn.XLOOKUP(Table3[[#This Row],[Cuenta]],Estructura_Balance[Nombre Cuenta ()],Estructura_Balance[Nivel 4],"",0)</f>
        <v/>
      </c>
      <c r="R993" t="str">
        <f>_xlfn.XLOOKUP(Table3[[#This Row],[Cuenta]],Table8[Nombre Cuenta ()],Table8[Nivel 1],"",0)</f>
        <v/>
      </c>
      <c r="S993" t="str">
        <f>_xlfn.XLOOKUP(Table3[[#This Row],[Cuenta]],Table8[Nombre Cuenta ()],Table8[Nivel 2],"",0)</f>
        <v/>
      </c>
      <c r="T993" t="str">
        <f>_xlfn.XLOOKUP(Table3[[#This Row],[Cuenta]],Table8[Nombre Cuenta ()],Table8[Nivel 3],"",0)</f>
        <v/>
      </c>
      <c r="U993">
        <v>1687</v>
      </c>
      <c r="V993" t="str">
        <f>_xlfn.XLOOKUP(Table3[[#This Row],[Cuenta]],Estructura_Balance[Nombre Cuenta ()],Estructura_Balance[Niveles:2],"",0)</f>
        <v/>
      </c>
      <c r="W993" t="str">
        <f>_xlfn.XLOOKUP(Table3[[#This Row],[Cuenta]],Estructura_Balance[Nombre Cuenta ()],Estructura_Balance[Niveles:3],"",0)</f>
        <v/>
      </c>
      <c r="X993" t="str">
        <f>_xlfn.XLOOKUP(Table3[[#This Row],[Cuenta]],Estructura_Balance[Nombre Cuenta ()],Estructura_Balance[Grupos],"Grupo 1",0)</f>
        <v>Grupo 1</v>
      </c>
      <c r="Y993" t="str">
        <f>+Table3[[#This Row],[BS_Nivel_1]]</f>
        <v/>
      </c>
    </row>
    <row r="994" spans="1:25">
      <c r="A994">
        <f>+'Libro Diario'!F295</f>
        <v>0</v>
      </c>
      <c r="B994" s="144">
        <f>VALUE(IF(+'Libro Diario'!G295="","01/01/2025",+'Libro Diario'!G295))</f>
        <v>45658</v>
      </c>
      <c r="C994">
        <f>IF(ISNUMBER(+IF(IFERROR(VALUE(MID('Libro Diario'!D295,1,4)),0)&lt;&gt;0,'Libro Diario'!D295,0))=FALSE,'Libro Diario'!D295,0)</f>
        <v>0</v>
      </c>
      <c r="D994" s="145">
        <f>+'Libro Diario'!E295</f>
        <v>0</v>
      </c>
      <c r="E994" s="139" t="s">
        <v>446</v>
      </c>
      <c r="F994" t="str">
        <f t="shared" si="45"/>
        <v>Sin Mov.</v>
      </c>
      <c r="G994" t="str">
        <f>IF(+'Libro Diario'!H295=0,"",+'Libro Diario'!H295)</f>
        <v/>
      </c>
      <c r="H994" t="str">
        <f>IF(+'Libro Diario'!I295=0,"",+'Libro Diario'!I295)</f>
        <v/>
      </c>
      <c r="I994" t="str">
        <f>+IF(Table3[[#This Row],[Tipo Movimiento]]="Estructura Balance y PyG","Excluir","Incluir")</f>
        <v>Incluir</v>
      </c>
      <c r="J994" s="153">
        <f>+IF(Table3[[#This Row],[Sin cuenta]]="Con Mov.",(IF(Table3[[#This Row],[Movimiento]]="Debe",Table3[[#This Row],[Importe]],IF(Table3[[#This Row],[Movimiento]]="Haber",Table3[[#This Row],[Importe]]*-1,0))),0)</f>
        <v>0</v>
      </c>
      <c r="K994" s="145" t="str">
        <f t="shared" si="46"/>
        <v/>
      </c>
      <c r="L994" s="145">
        <f t="shared" si="47"/>
        <v>0</v>
      </c>
      <c r="M994" t="str">
        <f>_xlfn.XLOOKUP(Table3[[#This Row],[Cuenta]],Estructura_Balance[Nombre Cuenta ()],Estructura_Balance[Grupo],"",0)</f>
        <v/>
      </c>
      <c r="N994" t="str">
        <f>_xlfn.XLOOKUP(Table3[[#This Row],[Cuenta]],Estructura_Balance[Nombre Cuenta ()],Estructura_Balance[Nivel 1],"",0)</f>
        <v/>
      </c>
      <c r="O994" t="str">
        <f>_xlfn.XLOOKUP(Table3[[#This Row],[Cuenta]],Estructura_Balance[Nombre Cuenta ()],Estructura_Balance[Nivel 2],"",0)</f>
        <v/>
      </c>
      <c r="P994" t="str">
        <f>_xlfn.XLOOKUP(Table3[[#This Row],[Cuenta]],Estructura_Balance[Nombre Cuenta ()],Estructura_Balance[Nivel 3],"",0)</f>
        <v/>
      </c>
      <c r="Q994" t="str">
        <f>_xlfn.XLOOKUP(Table3[[#This Row],[Cuenta]],Estructura_Balance[Nombre Cuenta ()],Estructura_Balance[Nivel 4],"",0)</f>
        <v/>
      </c>
      <c r="R994" t="str">
        <f>_xlfn.XLOOKUP(Table3[[#This Row],[Cuenta]],Table8[Nombre Cuenta ()],Table8[Nivel 1],"",0)</f>
        <v/>
      </c>
      <c r="S994" t="str">
        <f>_xlfn.XLOOKUP(Table3[[#This Row],[Cuenta]],Table8[Nombre Cuenta ()],Table8[Nivel 2],"",0)</f>
        <v/>
      </c>
      <c r="T994" t="str">
        <f>_xlfn.XLOOKUP(Table3[[#This Row],[Cuenta]],Table8[Nombre Cuenta ()],Table8[Nivel 3],"",0)</f>
        <v/>
      </c>
      <c r="U994">
        <v>1688</v>
      </c>
      <c r="V994" t="str">
        <f>_xlfn.XLOOKUP(Table3[[#This Row],[Cuenta]],Estructura_Balance[Nombre Cuenta ()],Estructura_Balance[Niveles:2],"",0)</f>
        <v/>
      </c>
      <c r="W994" t="str">
        <f>_xlfn.XLOOKUP(Table3[[#This Row],[Cuenta]],Estructura_Balance[Nombre Cuenta ()],Estructura_Balance[Niveles:3],"",0)</f>
        <v/>
      </c>
      <c r="X994" t="str">
        <f>_xlfn.XLOOKUP(Table3[[#This Row],[Cuenta]],Estructura_Balance[Nombre Cuenta ()],Estructura_Balance[Grupos],"Grupo 1",0)</f>
        <v>Grupo 1</v>
      </c>
      <c r="Y994" t="str">
        <f>+Table3[[#This Row],[BS_Nivel_1]]</f>
        <v/>
      </c>
    </row>
    <row r="995" spans="1:25">
      <c r="A995">
        <f>+'Libro Diario'!F296</f>
        <v>0</v>
      </c>
      <c r="B995" s="144">
        <f>VALUE(IF(+'Libro Diario'!G296="","01/01/2025",+'Libro Diario'!G296))</f>
        <v>45658</v>
      </c>
      <c r="C995">
        <f>IF(ISNUMBER(+IF(IFERROR(VALUE(MID('Libro Diario'!D296,1,4)),0)&lt;&gt;0,'Libro Diario'!D296,0))=FALSE,'Libro Diario'!D296,0)</f>
        <v>0</v>
      </c>
      <c r="D995" s="145" t="str">
        <f>+'Libro Diario'!E296</f>
        <v>HABER</v>
      </c>
      <c r="E995" s="139" t="s">
        <v>446</v>
      </c>
      <c r="F995" t="str">
        <f t="shared" si="45"/>
        <v>Sin Mov.</v>
      </c>
      <c r="G995" t="str">
        <f>IF(+'Libro Diario'!H296=0,"",+'Libro Diario'!H296)</f>
        <v/>
      </c>
      <c r="H995" t="str">
        <f>IF(+'Libro Diario'!I296=0,"",+'Libro Diario'!I296)</f>
        <v/>
      </c>
      <c r="I995" t="str">
        <f>+IF(Table3[[#This Row],[Tipo Movimiento]]="Estructura Balance y PyG","Excluir","Incluir")</f>
        <v>Incluir</v>
      </c>
      <c r="J995" s="153">
        <f>+IF(Table3[[#This Row],[Sin cuenta]]="Con Mov.",(IF(Table3[[#This Row],[Movimiento]]="Debe",Table3[[#This Row],[Importe]],IF(Table3[[#This Row],[Movimiento]]="Haber",Table3[[#This Row],[Importe]]*-1,0))),0)</f>
        <v>0</v>
      </c>
      <c r="K995" s="145" t="str">
        <f t="shared" si="46"/>
        <v/>
      </c>
      <c r="L995" s="145" t="str">
        <f t="shared" si="47"/>
        <v>HABER</v>
      </c>
      <c r="M995" t="str">
        <f>_xlfn.XLOOKUP(Table3[[#This Row],[Cuenta]],Estructura_Balance[Nombre Cuenta ()],Estructura_Balance[Grupo],"",0)</f>
        <v/>
      </c>
      <c r="N995" t="str">
        <f>_xlfn.XLOOKUP(Table3[[#This Row],[Cuenta]],Estructura_Balance[Nombre Cuenta ()],Estructura_Balance[Nivel 1],"",0)</f>
        <v/>
      </c>
      <c r="O995" t="str">
        <f>_xlfn.XLOOKUP(Table3[[#This Row],[Cuenta]],Estructura_Balance[Nombre Cuenta ()],Estructura_Balance[Nivel 2],"",0)</f>
        <v/>
      </c>
      <c r="P995" t="str">
        <f>_xlfn.XLOOKUP(Table3[[#This Row],[Cuenta]],Estructura_Balance[Nombre Cuenta ()],Estructura_Balance[Nivel 3],"",0)</f>
        <v/>
      </c>
      <c r="Q995" t="str">
        <f>_xlfn.XLOOKUP(Table3[[#This Row],[Cuenta]],Estructura_Balance[Nombre Cuenta ()],Estructura_Balance[Nivel 4],"",0)</f>
        <v/>
      </c>
      <c r="R995" t="str">
        <f>_xlfn.XLOOKUP(Table3[[#This Row],[Cuenta]],Table8[Nombre Cuenta ()],Table8[Nivel 1],"",0)</f>
        <v/>
      </c>
      <c r="S995" t="str">
        <f>_xlfn.XLOOKUP(Table3[[#This Row],[Cuenta]],Table8[Nombre Cuenta ()],Table8[Nivel 2],"",0)</f>
        <v/>
      </c>
      <c r="T995" t="str">
        <f>_xlfn.XLOOKUP(Table3[[#This Row],[Cuenta]],Table8[Nombre Cuenta ()],Table8[Nivel 3],"",0)</f>
        <v/>
      </c>
      <c r="U995">
        <v>1689</v>
      </c>
      <c r="V995" t="str">
        <f>_xlfn.XLOOKUP(Table3[[#This Row],[Cuenta]],Estructura_Balance[Nombre Cuenta ()],Estructura_Balance[Niveles:2],"",0)</f>
        <v/>
      </c>
      <c r="W995" t="str">
        <f>_xlfn.XLOOKUP(Table3[[#This Row],[Cuenta]],Estructura_Balance[Nombre Cuenta ()],Estructura_Balance[Niveles:3],"",0)</f>
        <v/>
      </c>
      <c r="X995" t="str">
        <f>_xlfn.XLOOKUP(Table3[[#This Row],[Cuenta]],Estructura_Balance[Nombre Cuenta ()],Estructura_Balance[Grupos],"Grupo 1",0)</f>
        <v>Grupo 1</v>
      </c>
      <c r="Y995" t="str">
        <f>+Table3[[#This Row],[BS_Nivel_1]]</f>
        <v/>
      </c>
    </row>
    <row r="996" spans="1:25">
      <c r="A996">
        <f>+'Libro Diario'!F297</f>
        <v>0</v>
      </c>
      <c r="B996" s="144">
        <f>VALUE(IF(+'Libro Diario'!G297="","01/01/2025",+'Libro Diario'!G297))</f>
        <v>45658</v>
      </c>
      <c r="C996">
        <f>IF(ISNUMBER(+IF(IFERROR(VALUE(MID('Libro Diario'!D297,1,4)),0)&lt;&gt;0,'Libro Diario'!D297,0))=FALSE,'Libro Diario'!D297,0)</f>
        <v>0</v>
      </c>
      <c r="D996" s="145">
        <f>+'Libro Diario'!E297</f>
        <v>0</v>
      </c>
      <c r="E996" s="139" t="s">
        <v>446</v>
      </c>
      <c r="F996" t="str">
        <f t="shared" si="45"/>
        <v>Sin Mov.</v>
      </c>
      <c r="G996" t="str">
        <f>IF(+'Libro Diario'!H297=0,"",+'Libro Diario'!H297)</f>
        <v/>
      </c>
      <c r="H996" t="str">
        <f>IF(+'Libro Diario'!I297=0,"",+'Libro Diario'!I297)</f>
        <v/>
      </c>
      <c r="I996" t="str">
        <f>+IF(Table3[[#This Row],[Tipo Movimiento]]="Estructura Balance y PyG","Excluir","Incluir")</f>
        <v>Incluir</v>
      </c>
      <c r="J996" s="153">
        <f>+IF(Table3[[#This Row],[Sin cuenta]]="Con Mov.",(IF(Table3[[#This Row],[Movimiento]]="Debe",Table3[[#This Row],[Importe]],IF(Table3[[#This Row],[Movimiento]]="Haber",Table3[[#This Row],[Importe]]*-1,0))),0)</f>
        <v>0</v>
      </c>
      <c r="K996" s="145" t="str">
        <f t="shared" si="46"/>
        <v/>
      </c>
      <c r="L996" s="145">
        <f t="shared" si="47"/>
        <v>0</v>
      </c>
      <c r="M996" t="str">
        <f>_xlfn.XLOOKUP(Table3[[#This Row],[Cuenta]],Estructura_Balance[Nombre Cuenta ()],Estructura_Balance[Grupo],"",0)</f>
        <v/>
      </c>
      <c r="N996" t="str">
        <f>_xlfn.XLOOKUP(Table3[[#This Row],[Cuenta]],Estructura_Balance[Nombre Cuenta ()],Estructura_Balance[Nivel 1],"",0)</f>
        <v/>
      </c>
      <c r="O996" t="str">
        <f>_xlfn.XLOOKUP(Table3[[#This Row],[Cuenta]],Estructura_Balance[Nombre Cuenta ()],Estructura_Balance[Nivel 2],"",0)</f>
        <v/>
      </c>
      <c r="P996" t="str">
        <f>_xlfn.XLOOKUP(Table3[[#This Row],[Cuenta]],Estructura_Balance[Nombre Cuenta ()],Estructura_Balance[Nivel 3],"",0)</f>
        <v/>
      </c>
      <c r="Q996" t="str">
        <f>_xlfn.XLOOKUP(Table3[[#This Row],[Cuenta]],Estructura_Balance[Nombre Cuenta ()],Estructura_Balance[Nivel 4],"",0)</f>
        <v/>
      </c>
      <c r="R996" t="str">
        <f>_xlfn.XLOOKUP(Table3[[#This Row],[Cuenta]],Table8[Nombre Cuenta ()],Table8[Nivel 1],"",0)</f>
        <v/>
      </c>
      <c r="S996" t="str">
        <f>_xlfn.XLOOKUP(Table3[[#This Row],[Cuenta]],Table8[Nombre Cuenta ()],Table8[Nivel 2],"",0)</f>
        <v/>
      </c>
      <c r="T996" t="str">
        <f>_xlfn.XLOOKUP(Table3[[#This Row],[Cuenta]],Table8[Nombre Cuenta ()],Table8[Nivel 3],"",0)</f>
        <v/>
      </c>
      <c r="U996">
        <v>1690</v>
      </c>
      <c r="V996" t="str">
        <f>_xlfn.XLOOKUP(Table3[[#This Row],[Cuenta]],Estructura_Balance[Nombre Cuenta ()],Estructura_Balance[Niveles:2],"",0)</f>
        <v/>
      </c>
      <c r="W996" t="str">
        <f>_xlfn.XLOOKUP(Table3[[#This Row],[Cuenta]],Estructura_Balance[Nombre Cuenta ()],Estructura_Balance[Niveles:3],"",0)</f>
        <v/>
      </c>
      <c r="X996" t="str">
        <f>_xlfn.XLOOKUP(Table3[[#This Row],[Cuenta]],Estructura_Balance[Nombre Cuenta ()],Estructura_Balance[Grupos],"Grupo 1",0)</f>
        <v>Grupo 1</v>
      </c>
      <c r="Y996" t="str">
        <f>+Table3[[#This Row],[BS_Nivel_1]]</f>
        <v/>
      </c>
    </row>
    <row r="997" spans="1:25">
      <c r="A997">
        <f>+'Libro Diario'!F300</f>
        <v>0</v>
      </c>
      <c r="B997" s="144">
        <f>VALUE(IF(+'Libro Diario'!G300="","01/01/2025",+'Libro Diario'!G300))</f>
        <v>45658</v>
      </c>
      <c r="C997">
        <f>IF(ISNUMBER(+IF(IFERROR(VALUE(MID('Libro Diario'!D300,1,4)),0)&lt;&gt;0,'Libro Diario'!D300,0))=FALSE,'Libro Diario'!D300,0)</f>
        <v>0</v>
      </c>
      <c r="D997" s="145">
        <f>+'Libro Diario'!E300</f>
        <v>0</v>
      </c>
      <c r="E997" s="139" t="s">
        <v>446</v>
      </c>
      <c r="F997" t="str">
        <f t="shared" si="45"/>
        <v>Sin Mov.</v>
      </c>
      <c r="G997" t="str">
        <f>IF(+'Libro Diario'!H300=0,"",+'Libro Diario'!H300)</f>
        <v/>
      </c>
      <c r="H997" t="str">
        <f>IF(+'Libro Diario'!I300=0,"",+'Libro Diario'!I300)</f>
        <v/>
      </c>
      <c r="I997" t="str">
        <f>+IF(Table3[[#This Row],[Tipo Movimiento]]="Estructura Balance y PyG","Excluir","Incluir")</f>
        <v>Incluir</v>
      </c>
      <c r="J997" s="153">
        <f>+IF(Table3[[#This Row],[Sin cuenta]]="Con Mov.",(IF(Table3[[#This Row],[Movimiento]]="Debe",Table3[[#This Row],[Importe]],IF(Table3[[#This Row],[Movimiento]]="Haber",Table3[[#This Row],[Importe]]*-1,0))),0)</f>
        <v>0</v>
      </c>
      <c r="K997" s="145" t="str">
        <f t="shared" si="46"/>
        <v/>
      </c>
      <c r="L997" s="145">
        <f t="shared" si="47"/>
        <v>0</v>
      </c>
      <c r="M997" t="str">
        <f>_xlfn.XLOOKUP(Table3[[#This Row],[Cuenta]],Estructura_Balance[Nombre Cuenta ()],Estructura_Balance[Grupo],"",0)</f>
        <v/>
      </c>
      <c r="N997" t="str">
        <f>_xlfn.XLOOKUP(Table3[[#This Row],[Cuenta]],Estructura_Balance[Nombre Cuenta ()],Estructura_Balance[Nivel 1],"",0)</f>
        <v/>
      </c>
      <c r="O997" t="str">
        <f>_xlfn.XLOOKUP(Table3[[#This Row],[Cuenta]],Estructura_Balance[Nombre Cuenta ()],Estructura_Balance[Nivel 2],"",0)</f>
        <v/>
      </c>
      <c r="P997" t="str">
        <f>_xlfn.XLOOKUP(Table3[[#This Row],[Cuenta]],Estructura_Balance[Nombre Cuenta ()],Estructura_Balance[Nivel 3],"",0)</f>
        <v/>
      </c>
      <c r="Q997" t="str">
        <f>_xlfn.XLOOKUP(Table3[[#This Row],[Cuenta]],Estructura_Balance[Nombre Cuenta ()],Estructura_Balance[Nivel 4],"",0)</f>
        <v/>
      </c>
      <c r="R997" t="str">
        <f>_xlfn.XLOOKUP(Table3[[#This Row],[Cuenta]],Table8[Nombre Cuenta ()],Table8[Nivel 1],"",0)</f>
        <v/>
      </c>
      <c r="S997" t="str">
        <f>_xlfn.XLOOKUP(Table3[[#This Row],[Cuenta]],Table8[Nombre Cuenta ()],Table8[Nivel 2],"",0)</f>
        <v/>
      </c>
      <c r="T997" t="str">
        <f>_xlfn.XLOOKUP(Table3[[#This Row],[Cuenta]],Table8[Nombre Cuenta ()],Table8[Nivel 3],"",0)</f>
        <v/>
      </c>
      <c r="U997">
        <v>1693</v>
      </c>
      <c r="V997" t="str">
        <f>_xlfn.XLOOKUP(Table3[[#This Row],[Cuenta]],Estructura_Balance[Nombre Cuenta ()],Estructura_Balance[Niveles:2],"",0)</f>
        <v/>
      </c>
      <c r="W997" t="str">
        <f>_xlfn.XLOOKUP(Table3[[#This Row],[Cuenta]],Estructura_Balance[Nombre Cuenta ()],Estructura_Balance[Niveles:3],"",0)</f>
        <v/>
      </c>
      <c r="X997" t="str">
        <f>_xlfn.XLOOKUP(Table3[[#This Row],[Cuenta]],Estructura_Balance[Nombre Cuenta ()],Estructura_Balance[Grupos],"Grupo 1",0)</f>
        <v>Grupo 1</v>
      </c>
      <c r="Y997" t="str">
        <f>+Table3[[#This Row],[BS_Nivel_1]]</f>
        <v/>
      </c>
    </row>
    <row r="998" spans="1:25">
      <c r="A998">
        <f>+'Libro Diario'!F301</f>
        <v>0</v>
      </c>
      <c r="B998" s="144">
        <f>VALUE(IF(+'Libro Diario'!G301="","01/01/2025",+'Libro Diario'!G301))</f>
        <v>45658</v>
      </c>
      <c r="C998">
        <f>IF(ISNUMBER(+IF(IFERROR(VALUE(MID('Libro Diario'!D301,1,4)),0)&lt;&gt;0,'Libro Diario'!D301,0))=FALSE,'Libro Diario'!D301,0)</f>
        <v>0</v>
      </c>
      <c r="D998" s="145">
        <f>+'Libro Diario'!E301</f>
        <v>0</v>
      </c>
      <c r="E998" s="139" t="s">
        <v>446</v>
      </c>
      <c r="F998" t="str">
        <f t="shared" si="45"/>
        <v>Sin Mov.</v>
      </c>
      <c r="G998" t="str">
        <f>IF(+'Libro Diario'!H301=0,"",+'Libro Diario'!H301)</f>
        <v/>
      </c>
      <c r="H998" t="str">
        <f>IF(+'Libro Diario'!I301=0,"",+'Libro Diario'!I301)</f>
        <v/>
      </c>
      <c r="I998" t="str">
        <f>+IF(Table3[[#This Row],[Tipo Movimiento]]="Estructura Balance y PyG","Excluir","Incluir")</f>
        <v>Incluir</v>
      </c>
      <c r="J998" s="153">
        <f>+IF(Table3[[#This Row],[Sin cuenta]]="Con Mov.",(IF(Table3[[#This Row],[Movimiento]]="Debe",Table3[[#This Row],[Importe]],IF(Table3[[#This Row],[Movimiento]]="Haber",Table3[[#This Row],[Importe]]*-1,0))),0)</f>
        <v>0</v>
      </c>
      <c r="K998" s="145" t="str">
        <f t="shared" si="46"/>
        <v/>
      </c>
      <c r="L998" s="145">
        <f t="shared" si="47"/>
        <v>0</v>
      </c>
      <c r="M998" t="str">
        <f>_xlfn.XLOOKUP(Table3[[#This Row],[Cuenta]],Estructura_Balance[Nombre Cuenta ()],Estructura_Balance[Grupo],"",0)</f>
        <v/>
      </c>
      <c r="N998" t="str">
        <f>_xlfn.XLOOKUP(Table3[[#This Row],[Cuenta]],Estructura_Balance[Nombre Cuenta ()],Estructura_Balance[Nivel 1],"",0)</f>
        <v/>
      </c>
      <c r="O998" t="str">
        <f>_xlfn.XLOOKUP(Table3[[#This Row],[Cuenta]],Estructura_Balance[Nombre Cuenta ()],Estructura_Balance[Nivel 2],"",0)</f>
        <v/>
      </c>
      <c r="P998" t="str">
        <f>_xlfn.XLOOKUP(Table3[[#This Row],[Cuenta]],Estructura_Balance[Nombre Cuenta ()],Estructura_Balance[Nivel 3],"",0)</f>
        <v/>
      </c>
      <c r="Q998" t="str">
        <f>_xlfn.XLOOKUP(Table3[[#This Row],[Cuenta]],Estructura_Balance[Nombre Cuenta ()],Estructura_Balance[Nivel 4],"",0)</f>
        <v/>
      </c>
      <c r="R998" t="str">
        <f>_xlfn.XLOOKUP(Table3[[#This Row],[Cuenta]],Table8[Nombre Cuenta ()],Table8[Nivel 1],"",0)</f>
        <v/>
      </c>
      <c r="S998" t="str">
        <f>_xlfn.XLOOKUP(Table3[[#This Row],[Cuenta]],Table8[Nombre Cuenta ()],Table8[Nivel 2],"",0)</f>
        <v/>
      </c>
      <c r="T998" t="str">
        <f>_xlfn.XLOOKUP(Table3[[#This Row],[Cuenta]],Table8[Nombre Cuenta ()],Table8[Nivel 3],"",0)</f>
        <v/>
      </c>
      <c r="U998">
        <v>1694</v>
      </c>
      <c r="V998" t="str">
        <f>_xlfn.XLOOKUP(Table3[[#This Row],[Cuenta]],Estructura_Balance[Nombre Cuenta ()],Estructura_Balance[Niveles:2],"",0)</f>
        <v/>
      </c>
      <c r="W998" t="str">
        <f>_xlfn.XLOOKUP(Table3[[#This Row],[Cuenta]],Estructura_Balance[Nombre Cuenta ()],Estructura_Balance[Niveles:3],"",0)</f>
        <v/>
      </c>
      <c r="X998" t="str">
        <f>_xlfn.XLOOKUP(Table3[[#This Row],[Cuenta]],Estructura_Balance[Nombre Cuenta ()],Estructura_Balance[Grupos],"Grupo 1",0)</f>
        <v>Grupo 1</v>
      </c>
      <c r="Y998" t="str">
        <f>+Table3[[#This Row],[BS_Nivel_1]]</f>
        <v/>
      </c>
    </row>
    <row r="999" spans="1:25">
      <c r="A999">
        <f>+'Libro Diario'!F302</f>
        <v>0</v>
      </c>
      <c r="B999" s="144">
        <f>VALUE(IF(+'Libro Diario'!G302="","01/01/2025",+'Libro Diario'!G302))</f>
        <v>45658</v>
      </c>
      <c r="C999">
        <f>IF(ISNUMBER(+IF(IFERROR(VALUE(MID('Libro Diario'!D302,1,4)),0)&lt;&gt;0,'Libro Diario'!D302,0))=FALSE,'Libro Diario'!D302,0)</f>
        <v>0</v>
      </c>
      <c r="D999" s="145">
        <f>+'Libro Diario'!E302</f>
        <v>0</v>
      </c>
      <c r="E999" s="139" t="s">
        <v>446</v>
      </c>
      <c r="F999" t="str">
        <f t="shared" si="45"/>
        <v>Sin Mov.</v>
      </c>
      <c r="G999" t="str">
        <f>IF(+'Libro Diario'!H302=0,"",+'Libro Diario'!H302)</f>
        <v/>
      </c>
      <c r="H999" t="str">
        <f>IF(+'Libro Diario'!I302=0,"",+'Libro Diario'!I302)</f>
        <v/>
      </c>
      <c r="I999" t="str">
        <f>+IF(Table3[[#This Row],[Tipo Movimiento]]="Estructura Balance y PyG","Excluir","Incluir")</f>
        <v>Incluir</v>
      </c>
      <c r="J999" s="153">
        <f>+IF(Table3[[#This Row],[Sin cuenta]]="Con Mov.",(IF(Table3[[#This Row],[Movimiento]]="Debe",Table3[[#This Row],[Importe]],IF(Table3[[#This Row],[Movimiento]]="Haber",Table3[[#This Row],[Importe]]*-1,0))),0)</f>
        <v>0</v>
      </c>
      <c r="K999" s="145" t="str">
        <f t="shared" si="46"/>
        <v/>
      </c>
      <c r="L999" s="145">
        <f t="shared" si="47"/>
        <v>0</v>
      </c>
      <c r="M999" t="str">
        <f>_xlfn.XLOOKUP(Table3[[#This Row],[Cuenta]],Estructura_Balance[Nombre Cuenta ()],Estructura_Balance[Grupo],"",0)</f>
        <v/>
      </c>
      <c r="N999" t="str">
        <f>_xlfn.XLOOKUP(Table3[[#This Row],[Cuenta]],Estructura_Balance[Nombre Cuenta ()],Estructura_Balance[Nivel 1],"",0)</f>
        <v/>
      </c>
      <c r="O999" t="str">
        <f>_xlfn.XLOOKUP(Table3[[#This Row],[Cuenta]],Estructura_Balance[Nombre Cuenta ()],Estructura_Balance[Nivel 2],"",0)</f>
        <v/>
      </c>
      <c r="P999" t="str">
        <f>_xlfn.XLOOKUP(Table3[[#This Row],[Cuenta]],Estructura_Balance[Nombre Cuenta ()],Estructura_Balance[Nivel 3],"",0)</f>
        <v/>
      </c>
      <c r="Q999" t="str">
        <f>_xlfn.XLOOKUP(Table3[[#This Row],[Cuenta]],Estructura_Balance[Nombre Cuenta ()],Estructura_Balance[Nivel 4],"",0)</f>
        <v/>
      </c>
      <c r="R999" t="str">
        <f>_xlfn.XLOOKUP(Table3[[#This Row],[Cuenta]],Table8[Nombre Cuenta ()],Table8[Nivel 1],"",0)</f>
        <v/>
      </c>
      <c r="S999" t="str">
        <f>_xlfn.XLOOKUP(Table3[[#This Row],[Cuenta]],Table8[Nombre Cuenta ()],Table8[Nivel 2],"",0)</f>
        <v/>
      </c>
      <c r="T999" t="str">
        <f>_xlfn.XLOOKUP(Table3[[#This Row],[Cuenta]],Table8[Nombre Cuenta ()],Table8[Nivel 3],"",0)</f>
        <v/>
      </c>
      <c r="U999">
        <v>1695</v>
      </c>
      <c r="V999" t="str">
        <f>_xlfn.XLOOKUP(Table3[[#This Row],[Cuenta]],Estructura_Balance[Nombre Cuenta ()],Estructura_Balance[Niveles:2],"",0)</f>
        <v/>
      </c>
      <c r="W999" t="str">
        <f>_xlfn.XLOOKUP(Table3[[#This Row],[Cuenta]],Estructura_Balance[Nombre Cuenta ()],Estructura_Balance[Niveles:3],"",0)</f>
        <v/>
      </c>
      <c r="X999" t="str">
        <f>_xlfn.XLOOKUP(Table3[[#This Row],[Cuenta]],Estructura_Balance[Nombre Cuenta ()],Estructura_Balance[Grupos],"Grupo 1",0)</f>
        <v>Grupo 1</v>
      </c>
      <c r="Y999" t="str">
        <f>+Table3[[#This Row],[BS_Nivel_1]]</f>
        <v/>
      </c>
    </row>
    <row r="1000" spans="1:25">
      <c r="A1000">
        <f>+'Libro Diario'!F303</f>
        <v>0</v>
      </c>
      <c r="B1000" s="144">
        <f>VALUE(IF(+'Libro Diario'!G303="","01/01/2025",+'Libro Diario'!G303))</f>
        <v>45658</v>
      </c>
      <c r="C1000">
        <f>IF(ISNUMBER(+IF(IFERROR(VALUE(MID('Libro Diario'!D303,1,4)),0)&lt;&gt;0,'Libro Diario'!D303,0))=FALSE,'Libro Diario'!D303,0)</f>
        <v>0</v>
      </c>
      <c r="D1000" s="145" t="str">
        <f>+'Libro Diario'!E303</f>
        <v>HABER</v>
      </c>
      <c r="E1000" s="139" t="s">
        <v>446</v>
      </c>
      <c r="F1000" t="str">
        <f t="shared" si="45"/>
        <v>Sin Mov.</v>
      </c>
      <c r="G1000" t="str">
        <f>IF(+'Libro Diario'!H303=0,"",+'Libro Diario'!H303)</f>
        <v/>
      </c>
      <c r="H1000" t="str">
        <f>IF(+'Libro Diario'!I303=0,"",+'Libro Diario'!I303)</f>
        <v/>
      </c>
      <c r="I1000" t="str">
        <f>+IF(Table3[[#This Row],[Tipo Movimiento]]="Estructura Balance y PyG","Excluir","Incluir")</f>
        <v>Incluir</v>
      </c>
      <c r="J1000" s="153">
        <f>+IF(Table3[[#This Row],[Sin cuenta]]="Con Mov.",(IF(Table3[[#This Row],[Movimiento]]="Debe",Table3[[#This Row],[Importe]],IF(Table3[[#This Row],[Movimiento]]="Haber",Table3[[#This Row],[Importe]]*-1,0))),0)</f>
        <v>0</v>
      </c>
      <c r="K1000" s="145" t="str">
        <f t="shared" si="46"/>
        <v/>
      </c>
      <c r="L1000" s="145" t="str">
        <f t="shared" si="47"/>
        <v>HABER</v>
      </c>
      <c r="M1000" t="str">
        <f>_xlfn.XLOOKUP(Table3[[#This Row],[Cuenta]],Estructura_Balance[Nombre Cuenta ()],Estructura_Balance[Grupo],"",0)</f>
        <v/>
      </c>
      <c r="N1000" t="str">
        <f>_xlfn.XLOOKUP(Table3[[#This Row],[Cuenta]],Estructura_Balance[Nombre Cuenta ()],Estructura_Balance[Nivel 1],"",0)</f>
        <v/>
      </c>
      <c r="O1000" t="str">
        <f>_xlfn.XLOOKUP(Table3[[#This Row],[Cuenta]],Estructura_Balance[Nombre Cuenta ()],Estructura_Balance[Nivel 2],"",0)</f>
        <v/>
      </c>
      <c r="P1000" t="str">
        <f>_xlfn.XLOOKUP(Table3[[#This Row],[Cuenta]],Estructura_Balance[Nombre Cuenta ()],Estructura_Balance[Nivel 3],"",0)</f>
        <v/>
      </c>
      <c r="Q1000" t="str">
        <f>_xlfn.XLOOKUP(Table3[[#This Row],[Cuenta]],Estructura_Balance[Nombre Cuenta ()],Estructura_Balance[Nivel 4],"",0)</f>
        <v/>
      </c>
      <c r="R1000" t="str">
        <f>_xlfn.XLOOKUP(Table3[[#This Row],[Cuenta]],Table8[Nombre Cuenta ()],Table8[Nivel 1],"",0)</f>
        <v/>
      </c>
      <c r="S1000" t="str">
        <f>_xlfn.XLOOKUP(Table3[[#This Row],[Cuenta]],Table8[Nombre Cuenta ()],Table8[Nivel 2],"",0)</f>
        <v/>
      </c>
      <c r="T1000" t="str">
        <f>_xlfn.XLOOKUP(Table3[[#This Row],[Cuenta]],Table8[Nombre Cuenta ()],Table8[Nivel 3],"",0)</f>
        <v/>
      </c>
      <c r="U1000">
        <v>1696</v>
      </c>
      <c r="V1000" t="str">
        <f>_xlfn.XLOOKUP(Table3[[#This Row],[Cuenta]],Estructura_Balance[Nombre Cuenta ()],Estructura_Balance[Niveles:2],"",0)</f>
        <v/>
      </c>
      <c r="W1000" t="str">
        <f>_xlfn.XLOOKUP(Table3[[#This Row],[Cuenta]],Estructura_Balance[Nombre Cuenta ()],Estructura_Balance[Niveles:3],"",0)</f>
        <v/>
      </c>
      <c r="X1000" t="str">
        <f>_xlfn.XLOOKUP(Table3[[#This Row],[Cuenta]],Estructura_Balance[Nombre Cuenta ()],Estructura_Balance[Grupos],"Grupo 1",0)</f>
        <v>Grupo 1</v>
      </c>
      <c r="Y1000" t="str">
        <f>+Table3[[#This Row],[BS_Nivel_1]]</f>
        <v/>
      </c>
    </row>
    <row r="1001" spans="1:25" ht="15" customHeight="1">
      <c r="A1001">
        <f>+'Libro Diario'!F304</f>
        <v>0</v>
      </c>
      <c r="B1001" s="144">
        <f>VALUE(IF(+'Libro Diario'!G304="","01/01/2025",+'Libro Diario'!G304))</f>
        <v>45658</v>
      </c>
      <c r="C1001">
        <f>IF(ISNUMBER(+IF(IFERROR(VALUE(MID('Libro Diario'!D304,1,4)),0)&lt;&gt;0,'Libro Diario'!D304,0))=FALSE,'Libro Diario'!D304,0)</f>
        <v>0</v>
      </c>
      <c r="D1001" s="145">
        <f>+'Libro Diario'!E304</f>
        <v>0</v>
      </c>
      <c r="E1001" s="139" t="s">
        <v>446</v>
      </c>
      <c r="F1001" t="str">
        <f t="shared" si="45"/>
        <v>Sin Mov.</v>
      </c>
      <c r="G1001" t="str">
        <f>IF(+'Libro Diario'!H304=0,"",+'Libro Diario'!H304)</f>
        <v/>
      </c>
      <c r="H1001" t="str">
        <f>IF(+'Libro Diario'!I304=0,"",+'Libro Diario'!I304)</f>
        <v/>
      </c>
      <c r="I1001" t="str">
        <f>+IF(Table3[[#This Row],[Tipo Movimiento]]="Estructura Balance y PyG","Excluir","Incluir")</f>
        <v>Incluir</v>
      </c>
      <c r="J1001" s="153">
        <f>+IF(Table3[[#This Row],[Sin cuenta]]="Con Mov.",(IF(Table3[[#This Row],[Movimiento]]="Debe",Table3[[#This Row],[Importe]],IF(Table3[[#This Row],[Movimiento]]="Haber",Table3[[#This Row],[Importe]]*-1,0))),0)</f>
        <v>0</v>
      </c>
      <c r="K1001" s="145" t="str">
        <f t="shared" si="46"/>
        <v/>
      </c>
      <c r="L1001" s="145">
        <f t="shared" si="47"/>
        <v>0</v>
      </c>
      <c r="M1001" t="str">
        <f>_xlfn.XLOOKUP(Table3[[#This Row],[Cuenta]],Estructura_Balance[Nombre Cuenta ()],Estructura_Balance[Grupo],"",0)</f>
        <v/>
      </c>
      <c r="N1001" t="str">
        <f>_xlfn.XLOOKUP(Table3[[#This Row],[Cuenta]],Estructura_Balance[Nombre Cuenta ()],Estructura_Balance[Nivel 1],"",0)</f>
        <v/>
      </c>
      <c r="O1001" t="str">
        <f>_xlfn.XLOOKUP(Table3[[#This Row],[Cuenta]],Estructura_Balance[Nombre Cuenta ()],Estructura_Balance[Nivel 2],"",0)</f>
        <v/>
      </c>
      <c r="P1001" t="str">
        <f>_xlfn.XLOOKUP(Table3[[#This Row],[Cuenta]],Estructura_Balance[Nombre Cuenta ()],Estructura_Balance[Nivel 3],"",0)</f>
        <v/>
      </c>
      <c r="Q1001" t="str">
        <f>_xlfn.XLOOKUP(Table3[[#This Row],[Cuenta]],Estructura_Balance[Nombre Cuenta ()],Estructura_Balance[Nivel 4],"",0)</f>
        <v/>
      </c>
      <c r="R1001" t="str">
        <f>_xlfn.XLOOKUP(Table3[[#This Row],[Cuenta]],Table8[Nombre Cuenta ()],Table8[Nivel 1],"",0)</f>
        <v/>
      </c>
      <c r="S1001" t="str">
        <f>_xlfn.XLOOKUP(Table3[[#This Row],[Cuenta]],Table8[Nombre Cuenta ()],Table8[Nivel 2],"",0)</f>
        <v/>
      </c>
      <c r="T1001" t="str">
        <f>_xlfn.XLOOKUP(Table3[[#This Row],[Cuenta]],Table8[Nombre Cuenta ()],Table8[Nivel 3],"",0)</f>
        <v/>
      </c>
      <c r="U1001">
        <v>1697</v>
      </c>
      <c r="V1001" t="str">
        <f>_xlfn.XLOOKUP(Table3[[#This Row],[Cuenta]],Estructura_Balance[Nombre Cuenta ()],Estructura_Balance[Niveles:2],"",0)</f>
        <v/>
      </c>
      <c r="W1001" t="str">
        <f>_xlfn.XLOOKUP(Table3[[#This Row],[Cuenta]],Estructura_Balance[Nombre Cuenta ()],Estructura_Balance[Niveles:3],"",0)</f>
        <v/>
      </c>
      <c r="X1001" t="str">
        <f>_xlfn.XLOOKUP(Table3[[#This Row],[Cuenta]],Estructura_Balance[Nombre Cuenta ()],Estructura_Balance[Grupos],"Grupo 1",0)</f>
        <v>Grupo 1</v>
      </c>
      <c r="Y1001" t="str">
        <f>+Table3[[#This Row],[BS_Nivel_1]]</f>
        <v/>
      </c>
    </row>
    <row r="1002" spans="1:25" ht="15" customHeight="1">
      <c r="A1002">
        <f>+'Libro Diario'!F307</f>
        <v>0</v>
      </c>
      <c r="B1002" s="144">
        <f>VALUE(IF(+'Libro Diario'!G307="","01/01/2025",+'Libro Diario'!G307))</f>
        <v>45658</v>
      </c>
      <c r="C1002">
        <f>IF(ISNUMBER(+IF(IFERROR(VALUE(MID('Libro Diario'!D307,1,4)),0)&lt;&gt;0,'Libro Diario'!D307,0))=FALSE,'Libro Diario'!D307,0)</f>
        <v>0</v>
      </c>
      <c r="D1002" s="145">
        <f>+'Libro Diario'!E307</f>
        <v>0</v>
      </c>
      <c r="E1002" s="139" t="s">
        <v>446</v>
      </c>
      <c r="F1002" t="str">
        <f t="shared" si="45"/>
        <v>Sin Mov.</v>
      </c>
      <c r="G1002" t="str">
        <f>IF(+'Libro Diario'!H307=0,"",+'Libro Diario'!H307)</f>
        <v/>
      </c>
      <c r="H1002" t="str">
        <f>IF(+'Libro Diario'!I307=0,"",+'Libro Diario'!I307)</f>
        <v/>
      </c>
      <c r="I1002" t="str">
        <f>+IF(Table3[[#This Row],[Tipo Movimiento]]="Estructura Balance y PyG","Excluir","Incluir")</f>
        <v>Incluir</v>
      </c>
      <c r="J1002" s="153">
        <f>+IF(Table3[[#This Row],[Sin cuenta]]="Con Mov.",(IF(Table3[[#This Row],[Movimiento]]="Debe",Table3[[#This Row],[Importe]],IF(Table3[[#This Row],[Movimiento]]="Haber",Table3[[#This Row],[Importe]]*-1,0))),0)</f>
        <v>0</v>
      </c>
      <c r="K1002" s="145" t="str">
        <f t="shared" si="46"/>
        <v/>
      </c>
      <c r="L1002" s="145">
        <f t="shared" si="47"/>
        <v>0</v>
      </c>
      <c r="M1002" t="str">
        <f>_xlfn.XLOOKUP(Table3[[#This Row],[Cuenta]],Estructura_Balance[Nombre Cuenta ()],Estructura_Balance[Grupo],"",0)</f>
        <v/>
      </c>
      <c r="N1002" t="str">
        <f>_xlfn.XLOOKUP(Table3[[#This Row],[Cuenta]],Estructura_Balance[Nombre Cuenta ()],Estructura_Balance[Nivel 1],"",0)</f>
        <v/>
      </c>
      <c r="O1002" t="str">
        <f>_xlfn.XLOOKUP(Table3[[#This Row],[Cuenta]],Estructura_Balance[Nombre Cuenta ()],Estructura_Balance[Nivel 2],"",0)</f>
        <v/>
      </c>
      <c r="P1002" t="str">
        <f>_xlfn.XLOOKUP(Table3[[#This Row],[Cuenta]],Estructura_Balance[Nombre Cuenta ()],Estructura_Balance[Nivel 3],"",0)</f>
        <v/>
      </c>
      <c r="Q1002" t="str">
        <f>_xlfn.XLOOKUP(Table3[[#This Row],[Cuenta]],Estructura_Balance[Nombre Cuenta ()],Estructura_Balance[Nivel 4],"",0)</f>
        <v/>
      </c>
      <c r="R1002" t="str">
        <f>_xlfn.XLOOKUP(Table3[[#This Row],[Cuenta]],Table8[Nombre Cuenta ()],Table8[Nivel 1],"",0)</f>
        <v/>
      </c>
      <c r="S1002" t="str">
        <f>_xlfn.XLOOKUP(Table3[[#This Row],[Cuenta]],Table8[Nombre Cuenta ()],Table8[Nivel 2],"",0)</f>
        <v/>
      </c>
      <c r="T1002" t="str">
        <f>_xlfn.XLOOKUP(Table3[[#This Row],[Cuenta]],Table8[Nombre Cuenta ()],Table8[Nivel 3],"",0)</f>
        <v/>
      </c>
      <c r="U1002">
        <v>1700</v>
      </c>
      <c r="V1002" t="str">
        <f>_xlfn.XLOOKUP(Table3[[#This Row],[Cuenta]],Estructura_Balance[Nombre Cuenta ()],Estructura_Balance[Niveles:2],"",0)</f>
        <v/>
      </c>
      <c r="W1002" t="str">
        <f>_xlfn.XLOOKUP(Table3[[#This Row],[Cuenta]],Estructura_Balance[Nombre Cuenta ()],Estructura_Balance[Niveles:3],"",0)</f>
        <v/>
      </c>
      <c r="X1002" t="str">
        <f>_xlfn.XLOOKUP(Table3[[#This Row],[Cuenta]],Estructura_Balance[Nombre Cuenta ()],Estructura_Balance[Grupos],"Grupo 1",0)</f>
        <v>Grupo 1</v>
      </c>
      <c r="Y1002" t="str">
        <f>+Table3[[#This Row],[BS_Nivel_1]]</f>
        <v/>
      </c>
    </row>
    <row r="1003" spans="1:25" ht="15" customHeight="1">
      <c r="A1003">
        <f>+'Libro Diario'!F308</f>
        <v>0</v>
      </c>
      <c r="B1003" s="144">
        <f>VALUE(IF(+'Libro Diario'!G308="","01/01/2025",+'Libro Diario'!G308))</f>
        <v>45658</v>
      </c>
      <c r="C1003">
        <f>IF(ISNUMBER(+IF(IFERROR(VALUE(MID('Libro Diario'!D308,1,4)),0)&lt;&gt;0,'Libro Diario'!D308,0))=FALSE,'Libro Diario'!D308,0)</f>
        <v>0</v>
      </c>
      <c r="D1003" s="145">
        <f>+'Libro Diario'!E308</f>
        <v>0</v>
      </c>
      <c r="E1003" s="139" t="s">
        <v>446</v>
      </c>
      <c r="F1003" t="str">
        <f t="shared" si="45"/>
        <v>Sin Mov.</v>
      </c>
      <c r="G1003" t="str">
        <f>IF(+'Libro Diario'!H308=0,"",+'Libro Diario'!H308)</f>
        <v/>
      </c>
      <c r="H1003" t="str">
        <f>IF(+'Libro Diario'!I308=0,"",+'Libro Diario'!I308)</f>
        <v/>
      </c>
      <c r="I1003" t="str">
        <f>+IF(Table3[[#This Row],[Tipo Movimiento]]="Estructura Balance y PyG","Excluir","Incluir")</f>
        <v>Incluir</v>
      </c>
      <c r="J1003" s="153">
        <f>+IF(Table3[[#This Row],[Sin cuenta]]="Con Mov.",(IF(Table3[[#This Row],[Movimiento]]="Debe",Table3[[#This Row],[Importe]],IF(Table3[[#This Row],[Movimiento]]="Haber",Table3[[#This Row],[Importe]]*-1,0))),0)</f>
        <v>0</v>
      </c>
      <c r="K1003" s="145" t="str">
        <f t="shared" si="46"/>
        <v/>
      </c>
      <c r="L1003" s="145">
        <f t="shared" si="47"/>
        <v>0</v>
      </c>
      <c r="M1003" t="str">
        <f>_xlfn.XLOOKUP(Table3[[#This Row],[Cuenta]],Estructura_Balance[Nombre Cuenta ()],Estructura_Balance[Grupo],"",0)</f>
        <v/>
      </c>
      <c r="N1003" t="str">
        <f>_xlfn.XLOOKUP(Table3[[#This Row],[Cuenta]],Estructura_Balance[Nombre Cuenta ()],Estructura_Balance[Nivel 1],"",0)</f>
        <v/>
      </c>
      <c r="O1003" t="str">
        <f>_xlfn.XLOOKUP(Table3[[#This Row],[Cuenta]],Estructura_Balance[Nombre Cuenta ()],Estructura_Balance[Nivel 2],"",0)</f>
        <v/>
      </c>
      <c r="P1003" t="str">
        <f>_xlfn.XLOOKUP(Table3[[#This Row],[Cuenta]],Estructura_Balance[Nombre Cuenta ()],Estructura_Balance[Nivel 3],"",0)</f>
        <v/>
      </c>
      <c r="Q1003" t="str">
        <f>_xlfn.XLOOKUP(Table3[[#This Row],[Cuenta]],Estructura_Balance[Nombre Cuenta ()],Estructura_Balance[Nivel 4],"",0)</f>
        <v/>
      </c>
      <c r="R1003" t="str">
        <f>_xlfn.XLOOKUP(Table3[[#This Row],[Cuenta]],Table8[Nombre Cuenta ()],Table8[Nivel 1],"",0)</f>
        <v/>
      </c>
      <c r="S1003" t="str">
        <f>_xlfn.XLOOKUP(Table3[[#This Row],[Cuenta]],Table8[Nombre Cuenta ()],Table8[Nivel 2],"",0)</f>
        <v/>
      </c>
      <c r="T1003" t="str">
        <f>_xlfn.XLOOKUP(Table3[[#This Row],[Cuenta]],Table8[Nombre Cuenta ()],Table8[Nivel 3],"",0)</f>
        <v/>
      </c>
      <c r="U1003">
        <v>1701</v>
      </c>
      <c r="V1003" t="str">
        <f>_xlfn.XLOOKUP(Table3[[#This Row],[Cuenta]],Estructura_Balance[Nombre Cuenta ()],Estructura_Balance[Niveles:2],"",0)</f>
        <v/>
      </c>
      <c r="W1003" t="str">
        <f>_xlfn.XLOOKUP(Table3[[#This Row],[Cuenta]],Estructura_Balance[Nombre Cuenta ()],Estructura_Balance[Niveles:3],"",0)</f>
        <v/>
      </c>
      <c r="X1003" t="str">
        <f>_xlfn.XLOOKUP(Table3[[#This Row],[Cuenta]],Estructura_Balance[Nombre Cuenta ()],Estructura_Balance[Grupos],"Grupo 1",0)</f>
        <v>Grupo 1</v>
      </c>
      <c r="Y1003" t="str">
        <f>+Table3[[#This Row],[BS_Nivel_1]]</f>
        <v/>
      </c>
    </row>
    <row r="1004" spans="1:25" ht="15" customHeight="1">
      <c r="A1004">
        <f>+'Libro Diario'!F309</f>
        <v>0</v>
      </c>
      <c r="B1004" s="144">
        <f>VALUE(IF(+'Libro Diario'!G309="","01/01/2025",+'Libro Diario'!G309))</f>
        <v>45658</v>
      </c>
      <c r="C1004">
        <f>IF(ISNUMBER(+IF(IFERROR(VALUE(MID('Libro Diario'!D309,1,4)),0)&lt;&gt;0,'Libro Diario'!D309,0))=FALSE,'Libro Diario'!D309,0)</f>
        <v>0</v>
      </c>
      <c r="D1004" s="145">
        <f>+'Libro Diario'!E309</f>
        <v>0</v>
      </c>
      <c r="E1004" s="139" t="s">
        <v>446</v>
      </c>
      <c r="F1004" t="str">
        <f t="shared" si="45"/>
        <v>Sin Mov.</v>
      </c>
      <c r="G1004" t="str">
        <f>IF(+'Libro Diario'!H309=0,"",+'Libro Diario'!H309)</f>
        <v/>
      </c>
      <c r="H1004" t="str">
        <f>IF(+'Libro Diario'!I309=0,"",+'Libro Diario'!I309)</f>
        <v/>
      </c>
      <c r="I1004" t="str">
        <f>+IF(Table3[[#This Row],[Tipo Movimiento]]="Estructura Balance y PyG","Excluir","Incluir")</f>
        <v>Incluir</v>
      </c>
      <c r="J1004" s="153">
        <f>+IF(Table3[[#This Row],[Sin cuenta]]="Con Mov.",(IF(Table3[[#This Row],[Movimiento]]="Debe",Table3[[#This Row],[Importe]],IF(Table3[[#This Row],[Movimiento]]="Haber",Table3[[#This Row],[Importe]]*-1,0))),0)</f>
        <v>0</v>
      </c>
      <c r="K1004" s="145" t="str">
        <f t="shared" si="46"/>
        <v/>
      </c>
      <c r="L1004" s="145">
        <f t="shared" si="47"/>
        <v>0</v>
      </c>
      <c r="M1004" t="str">
        <f>_xlfn.XLOOKUP(Table3[[#This Row],[Cuenta]],Estructura_Balance[Nombre Cuenta ()],Estructura_Balance[Grupo],"",0)</f>
        <v/>
      </c>
      <c r="N1004" t="str">
        <f>_xlfn.XLOOKUP(Table3[[#This Row],[Cuenta]],Estructura_Balance[Nombre Cuenta ()],Estructura_Balance[Nivel 1],"",0)</f>
        <v/>
      </c>
      <c r="O1004" t="str">
        <f>_xlfn.XLOOKUP(Table3[[#This Row],[Cuenta]],Estructura_Balance[Nombre Cuenta ()],Estructura_Balance[Nivel 2],"",0)</f>
        <v/>
      </c>
      <c r="P1004" t="str">
        <f>_xlfn.XLOOKUP(Table3[[#This Row],[Cuenta]],Estructura_Balance[Nombre Cuenta ()],Estructura_Balance[Nivel 3],"",0)</f>
        <v/>
      </c>
      <c r="Q1004" t="str">
        <f>_xlfn.XLOOKUP(Table3[[#This Row],[Cuenta]],Estructura_Balance[Nombre Cuenta ()],Estructura_Balance[Nivel 4],"",0)</f>
        <v/>
      </c>
      <c r="R1004" t="str">
        <f>_xlfn.XLOOKUP(Table3[[#This Row],[Cuenta]],Table8[Nombre Cuenta ()],Table8[Nivel 1],"",0)</f>
        <v/>
      </c>
      <c r="S1004" t="str">
        <f>_xlfn.XLOOKUP(Table3[[#This Row],[Cuenta]],Table8[Nombre Cuenta ()],Table8[Nivel 2],"",0)</f>
        <v/>
      </c>
      <c r="T1004" t="str">
        <f>_xlfn.XLOOKUP(Table3[[#This Row],[Cuenta]],Table8[Nombre Cuenta ()],Table8[Nivel 3],"",0)</f>
        <v/>
      </c>
      <c r="U1004">
        <v>1702</v>
      </c>
      <c r="V1004" t="str">
        <f>_xlfn.XLOOKUP(Table3[[#This Row],[Cuenta]],Estructura_Balance[Nombre Cuenta ()],Estructura_Balance[Niveles:2],"",0)</f>
        <v/>
      </c>
      <c r="W1004" t="str">
        <f>_xlfn.XLOOKUP(Table3[[#This Row],[Cuenta]],Estructura_Balance[Nombre Cuenta ()],Estructura_Balance[Niveles:3],"",0)</f>
        <v/>
      </c>
      <c r="X1004" t="str">
        <f>_xlfn.XLOOKUP(Table3[[#This Row],[Cuenta]],Estructura_Balance[Nombre Cuenta ()],Estructura_Balance[Grupos],"Grupo 1",0)</f>
        <v>Grupo 1</v>
      </c>
      <c r="Y1004" t="str">
        <f>+Table3[[#This Row],[BS_Nivel_1]]</f>
        <v/>
      </c>
    </row>
    <row r="1005" spans="1:25" ht="15" customHeight="1">
      <c r="A1005">
        <f>+'Libro Diario'!F310</f>
        <v>0</v>
      </c>
      <c r="B1005" s="144">
        <f>VALUE(IF(+'Libro Diario'!G310="","01/01/2025",+'Libro Diario'!G310))</f>
        <v>45658</v>
      </c>
      <c r="C1005">
        <f>IF(ISNUMBER(+IF(IFERROR(VALUE(MID('Libro Diario'!D310,1,4)),0)&lt;&gt;0,'Libro Diario'!D310,0))=FALSE,'Libro Diario'!D310,0)</f>
        <v>0</v>
      </c>
      <c r="D1005" s="145" t="str">
        <f>+'Libro Diario'!E310</f>
        <v>HABER</v>
      </c>
      <c r="E1005" s="139" t="s">
        <v>446</v>
      </c>
      <c r="F1005" t="str">
        <f t="shared" si="45"/>
        <v>Sin Mov.</v>
      </c>
      <c r="G1005" t="str">
        <f>IF(+'Libro Diario'!H310=0,"",+'Libro Diario'!H310)</f>
        <v/>
      </c>
      <c r="H1005" t="str">
        <f>IF(+'Libro Diario'!I310=0,"",+'Libro Diario'!I310)</f>
        <v/>
      </c>
      <c r="I1005" t="str">
        <f>+IF(Table3[[#This Row],[Tipo Movimiento]]="Estructura Balance y PyG","Excluir","Incluir")</f>
        <v>Incluir</v>
      </c>
      <c r="J1005" s="153">
        <f>+IF(Table3[[#This Row],[Sin cuenta]]="Con Mov.",(IF(Table3[[#This Row],[Movimiento]]="Debe",Table3[[#This Row],[Importe]],IF(Table3[[#This Row],[Movimiento]]="Haber",Table3[[#This Row],[Importe]]*-1,0))),0)</f>
        <v>0</v>
      </c>
      <c r="K1005" s="145" t="str">
        <f t="shared" si="46"/>
        <v/>
      </c>
      <c r="L1005" s="145" t="str">
        <f t="shared" si="47"/>
        <v>HABER</v>
      </c>
      <c r="M1005" t="str">
        <f>_xlfn.XLOOKUP(Table3[[#This Row],[Cuenta]],Estructura_Balance[Nombre Cuenta ()],Estructura_Balance[Grupo],"",0)</f>
        <v/>
      </c>
      <c r="N1005" t="str">
        <f>_xlfn.XLOOKUP(Table3[[#This Row],[Cuenta]],Estructura_Balance[Nombre Cuenta ()],Estructura_Balance[Nivel 1],"",0)</f>
        <v/>
      </c>
      <c r="O1005" t="str">
        <f>_xlfn.XLOOKUP(Table3[[#This Row],[Cuenta]],Estructura_Balance[Nombre Cuenta ()],Estructura_Balance[Nivel 2],"",0)</f>
        <v/>
      </c>
      <c r="P1005" t="str">
        <f>_xlfn.XLOOKUP(Table3[[#This Row],[Cuenta]],Estructura_Balance[Nombre Cuenta ()],Estructura_Balance[Nivel 3],"",0)</f>
        <v/>
      </c>
      <c r="Q1005" t="str">
        <f>_xlfn.XLOOKUP(Table3[[#This Row],[Cuenta]],Estructura_Balance[Nombre Cuenta ()],Estructura_Balance[Nivel 4],"",0)</f>
        <v/>
      </c>
      <c r="R1005" t="str">
        <f>_xlfn.XLOOKUP(Table3[[#This Row],[Cuenta]],Table8[Nombre Cuenta ()],Table8[Nivel 1],"",0)</f>
        <v/>
      </c>
      <c r="S1005" t="str">
        <f>_xlfn.XLOOKUP(Table3[[#This Row],[Cuenta]],Table8[Nombre Cuenta ()],Table8[Nivel 2],"",0)</f>
        <v/>
      </c>
      <c r="T1005" t="str">
        <f>_xlfn.XLOOKUP(Table3[[#This Row],[Cuenta]],Table8[Nombre Cuenta ()],Table8[Nivel 3],"",0)</f>
        <v/>
      </c>
      <c r="U1005">
        <v>1703</v>
      </c>
      <c r="V1005" t="str">
        <f>_xlfn.XLOOKUP(Table3[[#This Row],[Cuenta]],Estructura_Balance[Nombre Cuenta ()],Estructura_Balance[Niveles:2],"",0)</f>
        <v/>
      </c>
      <c r="W1005" t="str">
        <f>_xlfn.XLOOKUP(Table3[[#This Row],[Cuenta]],Estructura_Balance[Nombre Cuenta ()],Estructura_Balance[Niveles:3],"",0)</f>
        <v/>
      </c>
      <c r="X1005" t="str">
        <f>_xlfn.XLOOKUP(Table3[[#This Row],[Cuenta]],Estructura_Balance[Nombre Cuenta ()],Estructura_Balance[Grupos],"Grupo 1",0)</f>
        <v>Grupo 1</v>
      </c>
      <c r="Y1005" t="str">
        <f>+Table3[[#This Row],[BS_Nivel_1]]</f>
        <v/>
      </c>
    </row>
    <row r="1006" spans="1:25" ht="15" customHeight="1">
      <c r="A1006">
        <f>+'Libro Diario'!F311</f>
        <v>0</v>
      </c>
      <c r="B1006" s="144">
        <f>VALUE(IF(+'Libro Diario'!G311="","01/01/2025",+'Libro Diario'!G311))</f>
        <v>45658</v>
      </c>
      <c r="C1006">
        <f>IF(ISNUMBER(+IF(IFERROR(VALUE(MID('Libro Diario'!D311,1,4)),0)&lt;&gt;0,'Libro Diario'!D311,0))=FALSE,'Libro Diario'!D311,0)</f>
        <v>0</v>
      </c>
      <c r="D1006" s="145">
        <f>+'Libro Diario'!E311</f>
        <v>0</v>
      </c>
      <c r="E1006" s="139" t="s">
        <v>446</v>
      </c>
      <c r="F1006" t="str">
        <f t="shared" si="45"/>
        <v>Sin Mov.</v>
      </c>
      <c r="G1006" t="str">
        <f>IF(+'Libro Diario'!H311=0,"",+'Libro Diario'!H311)</f>
        <v/>
      </c>
      <c r="H1006" t="str">
        <f>IF(+'Libro Diario'!I311=0,"",+'Libro Diario'!I311)</f>
        <v/>
      </c>
      <c r="I1006" t="str">
        <f>+IF(Table3[[#This Row],[Tipo Movimiento]]="Estructura Balance y PyG","Excluir","Incluir")</f>
        <v>Incluir</v>
      </c>
      <c r="J1006" s="153">
        <f>+IF(Table3[[#This Row],[Sin cuenta]]="Con Mov.",(IF(Table3[[#This Row],[Movimiento]]="Debe",Table3[[#This Row],[Importe]],IF(Table3[[#This Row],[Movimiento]]="Haber",Table3[[#This Row],[Importe]]*-1,0))),0)</f>
        <v>0</v>
      </c>
      <c r="K1006" s="145" t="str">
        <f t="shared" si="46"/>
        <v/>
      </c>
      <c r="L1006" s="145">
        <f t="shared" si="47"/>
        <v>0</v>
      </c>
      <c r="M1006" t="str">
        <f>_xlfn.XLOOKUP(Table3[[#This Row],[Cuenta]],Estructura_Balance[Nombre Cuenta ()],Estructura_Balance[Grupo],"",0)</f>
        <v/>
      </c>
      <c r="N1006" t="str">
        <f>_xlfn.XLOOKUP(Table3[[#This Row],[Cuenta]],Estructura_Balance[Nombre Cuenta ()],Estructura_Balance[Nivel 1],"",0)</f>
        <v/>
      </c>
      <c r="O1006" t="str">
        <f>_xlfn.XLOOKUP(Table3[[#This Row],[Cuenta]],Estructura_Balance[Nombre Cuenta ()],Estructura_Balance[Nivel 2],"",0)</f>
        <v/>
      </c>
      <c r="P1006" t="str">
        <f>_xlfn.XLOOKUP(Table3[[#This Row],[Cuenta]],Estructura_Balance[Nombre Cuenta ()],Estructura_Balance[Nivel 3],"",0)</f>
        <v/>
      </c>
      <c r="Q1006" t="str">
        <f>_xlfn.XLOOKUP(Table3[[#This Row],[Cuenta]],Estructura_Balance[Nombre Cuenta ()],Estructura_Balance[Nivel 4],"",0)</f>
        <v/>
      </c>
      <c r="R1006" t="str">
        <f>_xlfn.XLOOKUP(Table3[[#This Row],[Cuenta]],Table8[Nombre Cuenta ()],Table8[Nivel 1],"",0)</f>
        <v/>
      </c>
      <c r="S1006" t="str">
        <f>_xlfn.XLOOKUP(Table3[[#This Row],[Cuenta]],Table8[Nombre Cuenta ()],Table8[Nivel 2],"",0)</f>
        <v/>
      </c>
      <c r="T1006" t="str">
        <f>_xlfn.XLOOKUP(Table3[[#This Row],[Cuenta]],Table8[Nombre Cuenta ()],Table8[Nivel 3],"",0)</f>
        <v/>
      </c>
      <c r="U1006">
        <v>1704</v>
      </c>
      <c r="V1006" t="str">
        <f>_xlfn.XLOOKUP(Table3[[#This Row],[Cuenta]],Estructura_Balance[Nombre Cuenta ()],Estructura_Balance[Niveles:2],"",0)</f>
        <v/>
      </c>
      <c r="W1006" t="str">
        <f>_xlfn.XLOOKUP(Table3[[#This Row],[Cuenta]],Estructura_Balance[Nombre Cuenta ()],Estructura_Balance[Niveles:3],"",0)</f>
        <v/>
      </c>
      <c r="X1006" t="str">
        <f>_xlfn.XLOOKUP(Table3[[#This Row],[Cuenta]],Estructura_Balance[Nombre Cuenta ()],Estructura_Balance[Grupos],"Grupo 1",0)</f>
        <v>Grupo 1</v>
      </c>
      <c r="Y1006" t="str">
        <f>+Table3[[#This Row],[BS_Nivel_1]]</f>
        <v/>
      </c>
    </row>
    <row r="1007" spans="1:25" ht="15" customHeight="1">
      <c r="A1007">
        <f>+'Libro Diario'!F314</f>
        <v>0</v>
      </c>
      <c r="B1007" s="144">
        <f>VALUE(IF(+'Libro Diario'!G314="","01/01/2025",+'Libro Diario'!G314))</f>
        <v>45658</v>
      </c>
      <c r="C1007">
        <f>IF(ISNUMBER(+IF(IFERROR(VALUE(MID('Libro Diario'!D314,1,4)),0)&lt;&gt;0,'Libro Diario'!D314,0))=FALSE,'Libro Diario'!D314,0)</f>
        <v>0</v>
      </c>
      <c r="D1007" s="145">
        <f>+'Libro Diario'!E314</f>
        <v>0</v>
      </c>
      <c r="E1007" s="139" t="s">
        <v>446</v>
      </c>
      <c r="F1007" t="str">
        <f t="shared" si="45"/>
        <v>Sin Mov.</v>
      </c>
      <c r="G1007" t="str">
        <f>IF(+'Libro Diario'!H314=0,"",+'Libro Diario'!H314)</f>
        <v/>
      </c>
      <c r="H1007" t="str">
        <f>IF(+'Libro Diario'!I314=0,"",+'Libro Diario'!I314)</f>
        <v/>
      </c>
      <c r="I1007" t="str">
        <f>+IF(Table3[[#This Row],[Tipo Movimiento]]="Estructura Balance y PyG","Excluir","Incluir")</f>
        <v>Incluir</v>
      </c>
      <c r="J1007" s="153">
        <f>+IF(Table3[[#This Row],[Sin cuenta]]="Con Mov.",(IF(Table3[[#This Row],[Movimiento]]="Debe",Table3[[#This Row],[Importe]],IF(Table3[[#This Row],[Movimiento]]="Haber",Table3[[#This Row],[Importe]]*-1,0))),0)</f>
        <v>0</v>
      </c>
      <c r="K1007" s="145" t="str">
        <f t="shared" si="46"/>
        <v/>
      </c>
      <c r="L1007" s="145">
        <f t="shared" si="47"/>
        <v>0</v>
      </c>
      <c r="M1007" t="str">
        <f>_xlfn.XLOOKUP(Table3[[#This Row],[Cuenta]],Estructura_Balance[Nombre Cuenta ()],Estructura_Balance[Grupo],"",0)</f>
        <v/>
      </c>
      <c r="N1007" t="str">
        <f>_xlfn.XLOOKUP(Table3[[#This Row],[Cuenta]],Estructura_Balance[Nombre Cuenta ()],Estructura_Balance[Nivel 1],"",0)</f>
        <v/>
      </c>
      <c r="O1007" t="str">
        <f>_xlfn.XLOOKUP(Table3[[#This Row],[Cuenta]],Estructura_Balance[Nombre Cuenta ()],Estructura_Balance[Nivel 2],"",0)</f>
        <v/>
      </c>
      <c r="P1007" t="str">
        <f>_xlfn.XLOOKUP(Table3[[#This Row],[Cuenta]],Estructura_Balance[Nombre Cuenta ()],Estructura_Balance[Nivel 3],"",0)</f>
        <v/>
      </c>
      <c r="Q1007" t="str">
        <f>_xlfn.XLOOKUP(Table3[[#This Row],[Cuenta]],Estructura_Balance[Nombre Cuenta ()],Estructura_Balance[Nivel 4],"",0)</f>
        <v/>
      </c>
      <c r="R1007" t="str">
        <f>_xlfn.XLOOKUP(Table3[[#This Row],[Cuenta]],Table8[Nombre Cuenta ()],Table8[Nivel 1],"",0)</f>
        <v/>
      </c>
      <c r="S1007" t="str">
        <f>_xlfn.XLOOKUP(Table3[[#This Row],[Cuenta]],Table8[Nombre Cuenta ()],Table8[Nivel 2],"",0)</f>
        <v/>
      </c>
      <c r="T1007" t="str">
        <f>_xlfn.XLOOKUP(Table3[[#This Row],[Cuenta]],Table8[Nombre Cuenta ()],Table8[Nivel 3],"",0)</f>
        <v/>
      </c>
      <c r="U1007">
        <v>1707</v>
      </c>
      <c r="V1007" t="str">
        <f>_xlfn.XLOOKUP(Table3[[#This Row],[Cuenta]],Estructura_Balance[Nombre Cuenta ()],Estructura_Balance[Niveles:2],"",0)</f>
        <v/>
      </c>
      <c r="W1007" t="str">
        <f>_xlfn.XLOOKUP(Table3[[#This Row],[Cuenta]],Estructura_Balance[Nombre Cuenta ()],Estructura_Balance[Niveles:3],"",0)</f>
        <v/>
      </c>
      <c r="X1007" t="str">
        <f>_xlfn.XLOOKUP(Table3[[#This Row],[Cuenta]],Estructura_Balance[Nombre Cuenta ()],Estructura_Balance[Grupos],"Grupo 1",0)</f>
        <v>Grupo 1</v>
      </c>
      <c r="Y1007" t="str">
        <f>+Table3[[#This Row],[BS_Nivel_1]]</f>
        <v/>
      </c>
    </row>
    <row r="1008" spans="1:25" ht="15" customHeight="1">
      <c r="A1008">
        <f>+'Libro Diario'!F315</f>
        <v>0</v>
      </c>
      <c r="B1008" s="144">
        <f>VALUE(IF(+'Libro Diario'!G315="","01/01/2025",+'Libro Diario'!G315))</f>
        <v>45658</v>
      </c>
      <c r="C1008">
        <f>IF(ISNUMBER(+IF(IFERROR(VALUE(MID('Libro Diario'!D315,1,4)),0)&lt;&gt;0,'Libro Diario'!D315,0))=FALSE,'Libro Diario'!D315,0)</f>
        <v>0</v>
      </c>
      <c r="D1008" s="145">
        <f>+'Libro Diario'!E315</f>
        <v>0</v>
      </c>
      <c r="E1008" s="139" t="s">
        <v>446</v>
      </c>
      <c r="F1008" t="str">
        <f t="shared" si="45"/>
        <v>Sin Mov.</v>
      </c>
      <c r="G1008" t="str">
        <f>IF(+'Libro Diario'!H315=0,"",+'Libro Diario'!H315)</f>
        <v/>
      </c>
      <c r="H1008" t="str">
        <f>IF(+'Libro Diario'!I315=0,"",+'Libro Diario'!I315)</f>
        <v/>
      </c>
      <c r="I1008" t="str">
        <f>+IF(Table3[[#This Row],[Tipo Movimiento]]="Estructura Balance y PyG","Excluir","Incluir")</f>
        <v>Incluir</v>
      </c>
      <c r="J1008" s="153">
        <f>+IF(Table3[[#This Row],[Sin cuenta]]="Con Mov.",(IF(Table3[[#This Row],[Movimiento]]="Debe",Table3[[#This Row],[Importe]],IF(Table3[[#This Row],[Movimiento]]="Haber",Table3[[#This Row],[Importe]]*-1,0))),0)</f>
        <v>0</v>
      </c>
      <c r="K1008" s="145" t="str">
        <f t="shared" si="46"/>
        <v/>
      </c>
      <c r="L1008" s="145">
        <f t="shared" si="47"/>
        <v>0</v>
      </c>
      <c r="M1008" t="str">
        <f>_xlfn.XLOOKUP(Table3[[#This Row],[Cuenta]],Estructura_Balance[Nombre Cuenta ()],Estructura_Balance[Grupo],"",0)</f>
        <v/>
      </c>
      <c r="N1008" t="str">
        <f>_xlfn.XLOOKUP(Table3[[#This Row],[Cuenta]],Estructura_Balance[Nombre Cuenta ()],Estructura_Balance[Nivel 1],"",0)</f>
        <v/>
      </c>
      <c r="O1008" t="str">
        <f>_xlfn.XLOOKUP(Table3[[#This Row],[Cuenta]],Estructura_Balance[Nombre Cuenta ()],Estructura_Balance[Nivel 2],"",0)</f>
        <v/>
      </c>
      <c r="P1008" t="str">
        <f>_xlfn.XLOOKUP(Table3[[#This Row],[Cuenta]],Estructura_Balance[Nombre Cuenta ()],Estructura_Balance[Nivel 3],"",0)</f>
        <v/>
      </c>
      <c r="Q1008" t="str">
        <f>_xlfn.XLOOKUP(Table3[[#This Row],[Cuenta]],Estructura_Balance[Nombre Cuenta ()],Estructura_Balance[Nivel 4],"",0)</f>
        <v/>
      </c>
      <c r="R1008" t="str">
        <f>_xlfn.XLOOKUP(Table3[[#This Row],[Cuenta]],Table8[Nombre Cuenta ()],Table8[Nivel 1],"",0)</f>
        <v/>
      </c>
      <c r="S1008" t="str">
        <f>_xlfn.XLOOKUP(Table3[[#This Row],[Cuenta]],Table8[Nombre Cuenta ()],Table8[Nivel 2],"",0)</f>
        <v/>
      </c>
      <c r="T1008" t="str">
        <f>_xlfn.XLOOKUP(Table3[[#This Row],[Cuenta]],Table8[Nombre Cuenta ()],Table8[Nivel 3],"",0)</f>
        <v/>
      </c>
      <c r="U1008">
        <v>1708</v>
      </c>
      <c r="V1008" t="str">
        <f>_xlfn.XLOOKUP(Table3[[#This Row],[Cuenta]],Estructura_Balance[Nombre Cuenta ()],Estructura_Balance[Niveles:2],"",0)</f>
        <v/>
      </c>
      <c r="W1008" t="str">
        <f>_xlfn.XLOOKUP(Table3[[#This Row],[Cuenta]],Estructura_Balance[Nombre Cuenta ()],Estructura_Balance[Niveles:3],"",0)</f>
        <v/>
      </c>
      <c r="X1008" t="str">
        <f>_xlfn.XLOOKUP(Table3[[#This Row],[Cuenta]],Estructura_Balance[Nombre Cuenta ()],Estructura_Balance[Grupos],"Grupo 1",0)</f>
        <v>Grupo 1</v>
      </c>
      <c r="Y1008" t="str">
        <f>+Table3[[#This Row],[BS_Nivel_1]]</f>
        <v/>
      </c>
    </row>
    <row r="1009" spans="1:25" ht="15" customHeight="1">
      <c r="A1009">
        <f>+'Libro Diario'!F316</f>
        <v>0</v>
      </c>
      <c r="B1009" s="144">
        <f>VALUE(IF(+'Libro Diario'!G316="","01/01/2025",+'Libro Diario'!G316))</f>
        <v>45658</v>
      </c>
      <c r="C1009">
        <f>IF(ISNUMBER(+IF(IFERROR(VALUE(MID('Libro Diario'!D316,1,4)),0)&lt;&gt;0,'Libro Diario'!D316,0))=FALSE,'Libro Diario'!D316,0)</f>
        <v>0</v>
      </c>
      <c r="D1009" s="145">
        <f>+'Libro Diario'!E316</f>
        <v>0</v>
      </c>
      <c r="E1009" s="139" t="s">
        <v>446</v>
      </c>
      <c r="F1009" t="str">
        <f t="shared" si="45"/>
        <v>Sin Mov.</v>
      </c>
      <c r="G1009" t="str">
        <f>IF(+'Libro Diario'!H316=0,"",+'Libro Diario'!H316)</f>
        <v/>
      </c>
      <c r="H1009" t="str">
        <f>IF(+'Libro Diario'!I316=0,"",+'Libro Diario'!I316)</f>
        <v/>
      </c>
      <c r="I1009" t="str">
        <f>+IF(Table3[[#This Row],[Tipo Movimiento]]="Estructura Balance y PyG","Excluir","Incluir")</f>
        <v>Incluir</v>
      </c>
      <c r="J1009" s="153">
        <f>+IF(Table3[[#This Row],[Sin cuenta]]="Con Mov.",(IF(Table3[[#This Row],[Movimiento]]="Debe",Table3[[#This Row],[Importe]],IF(Table3[[#This Row],[Movimiento]]="Haber",Table3[[#This Row],[Importe]]*-1,0))),0)</f>
        <v>0</v>
      </c>
      <c r="K1009" s="145" t="str">
        <f t="shared" si="46"/>
        <v/>
      </c>
      <c r="L1009" s="145">
        <f t="shared" si="47"/>
        <v>0</v>
      </c>
      <c r="M1009" t="str">
        <f>_xlfn.XLOOKUP(Table3[[#This Row],[Cuenta]],Estructura_Balance[Nombre Cuenta ()],Estructura_Balance[Grupo],"",0)</f>
        <v/>
      </c>
      <c r="N1009" t="str">
        <f>_xlfn.XLOOKUP(Table3[[#This Row],[Cuenta]],Estructura_Balance[Nombre Cuenta ()],Estructura_Balance[Nivel 1],"",0)</f>
        <v/>
      </c>
      <c r="O1009" t="str">
        <f>_xlfn.XLOOKUP(Table3[[#This Row],[Cuenta]],Estructura_Balance[Nombre Cuenta ()],Estructura_Balance[Nivel 2],"",0)</f>
        <v/>
      </c>
      <c r="P1009" t="str">
        <f>_xlfn.XLOOKUP(Table3[[#This Row],[Cuenta]],Estructura_Balance[Nombre Cuenta ()],Estructura_Balance[Nivel 3],"",0)</f>
        <v/>
      </c>
      <c r="Q1009" t="str">
        <f>_xlfn.XLOOKUP(Table3[[#This Row],[Cuenta]],Estructura_Balance[Nombre Cuenta ()],Estructura_Balance[Nivel 4],"",0)</f>
        <v/>
      </c>
      <c r="R1009" t="str">
        <f>_xlfn.XLOOKUP(Table3[[#This Row],[Cuenta]],Table8[Nombre Cuenta ()],Table8[Nivel 1],"",0)</f>
        <v/>
      </c>
      <c r="S1009" t="str">
        <f>_xlfn.XLOOKUP(Table3[[#This Row],[Cuenta]],Table8[Nombre Cuenta ()],Table8[Nivel 2],"",0)</f>
        <v/>
      </c>
      <c r="T1009" t="str">
        <f>_xlfn.XLOOKUP(Table3[[#This Row],[Cuenta]],Table8[Nombre Cuenta ()],Table8[Nivel 3],"",0)</f>
        <v/>
      </c>
      <c r="U1009">
        <v>1709</v>
      </c>
      <c r="V1009" t="str">
        <f>_xlfn.XLOOKUP(Table3[[#This Row],[Cuenta]],Estructura_Balance[Nombre Cuenta ()],Estructura_Balance[Niveles:2],"",0)</f>
        <v/>
      </c>
      <c r="W1009" t="str">
        <f>_xlfn.XLOOKUP(Table3[[#This Row],[Cuenta]],Estructura_Balance[Nombre Cuenta ()],Estructura_Balance[Niveles:3],"",0)</f>
        <v/>
      </c>
      <c r="X1009" t="str">
        <f>_xlfn.XLOOKUP(Table3[[#This Row],[Cuenta]],Estructura_Balance[Nombre Cuenta ()],Estructura_Balance[Grupos],"Grupo 1",0)</f>
        <v>Grupo 1</v>
      </c>
      <c r="Y1009" t="str">
        <f>+Table3[[#This Row],[BS_Nivel_1]]</f>
        <v/>
      </c>
    </row>
    <row r="1010" spans="1:25" ht="15" customHeight="1">
      <c r="A1010">
        <f>+'Libro Diario'!F317</f>
        <v>0</v>
      </c>
      <c r="B1010" s="144">
        <f>VALUE(IF(+'Libro Diario'!G317="","01/01/2025",+'Libro Diario'!G317))</f>
        <v>45658</v>
      </c>
      <c r="C1010">
        <f>IF(ISNUMBER(+IF(IFERROR(VALUE(MID('Libro Diario'!D317,1,4)),0)&lt;&gt;0,'Libro Diario'!D317,0))=FALSE,'Libro Diario'!D317,0)</f>
        <v>0</v>
      </c>
      <c r="D1010" s="145" t="str">
        <f>+'Libro Diario'!E317</f>
        <v>HABER</v>
      </c>
      <c r="E1010" s="139" t="s">
        <v>446</v>
      </c>
      <c r="F1010" t="str">
        <f t="shared" si="45"/>
        <v>Sin Mov.</v>
      </c>
      <c r="G1010" t="str">
        <f>IF(+'Libro Diario'!H317=0,"",+'Libro Diario'!H317)</f>
        <v/>
      </c>
      <c r="H1010" t="str">
        <f>IF(+'Libro Diario'!I317=0,"",+'Libro Diario'!I317)</f>
        <v/>
      </c>
      <c r="I1010" t="str">
        <f>+IF(Table3[[#This Row],[Tipo Movimiento]]="Estructura Balance y PyG","Excluir","Incluir")</f>
        <v>Incluir</v>
      </c>
      <c r="J1010" s="153">
        <f>+IF(Table3[[#This Row],[Sin cuenta]]="Con Mov.",(IF(Table3[[#This Row],[Movimiento]]="Debe",Table3[[#This Row],[Importe]],IF(Table3[[#This Row],[Movimiento]]="Haber",Table3[[#This Row],[Importe]]*-1,0))),0)</f>
        <v>0</v>
      </c>
      <c r="K1010" s="145" t="str">
        <f t="shared" si="46"/>
        <v/>
      </c>
      <c r="L1010" s="145" t="str">
        <f t="shared" si="47"/>
        <v>HABER</v>
      </c>
      <c r="M1010" t="str">
        <f>_xlfn.XLOOKUP(Table3[[#This Row],[Cuenta]],Estructura_Balance[Nombre Cuenta ()],Estructura_Balance[Grupo],"",0)</f>
        <v/>
      </c>
      <c r="N1010" t="str">
        <f>_xlfn.XLOOKUP(Table3[[#This Row],[Cuenta]],Estructura_Balance[Nombre Cuenta ()],Estructura_Balance[Nivel 1],"",0)</f>
        <v/>
      </c>
      <c r="O1010" t="str">
        <f>_xlfn.XLOOKUP(Table3[[#This Row],[Cuenta]],Estructura_Balance[Nombre Cuenta ()],Estructura_Balance[Nivel 2],"",0)</f>
        <v/>
      </c>
      <c r="P1010" t="str">
        <f>_xlfn.XLOOKUP(Table3[[#This Row],[Cuenta]],Estructura_Balance[Nombre Cuenta ()],Estructura_Balance[Nivel 3],"",0)</f>
        <v/>
      </c>
      <c r="Q1010" t="str">
        <f>_xlfn.XLOOKUP(Table3[[#This Row],[Cuenta]],Estructura_Balance[Nombre Cuenta ()],Estructura_Balance[Nivel 4],"",0)</f>
        <v/>
      </c>
      <c r="R1010" t="str">
        <f>_xlfn.XLOOKUP(Table3[[#This Row],[Cuenta]],Table8[Nombre Cuenta ()],Table8[Nivel 1],"",0)</f>
        <v/>
      </c>
      <c r="S1010" t="str">
        <f>_xlfn.XLOOKUP(Table3[[#This Row],[Cuenta]],Table8[Nombre Cuenta ()],Table8[Nivel 2],"",0)</f>
        <v/>
      </c>
      <c r="T1010" t="str">
        <f>_xlfn.XLOOKUP(Table3[[#This Row],[Cuenta]],Table8[Nombre Cuenta ()],Table8[Nivel 3],"",0)</f>
        <v/>
      </c>
      <c r="U1010">
        <v>1710</v>
      </c>
      <c r="V1010" t="str">
        <f>_xlfn.XLOOKUP(Table3[[#This Row],[Cuenta]],Estructura_Balance[Nombre Cuenta ()],Estructura_Balance[Niveles:2],"",0)</f>
        <v/>
      </c>
      <c r="W1010" t="str">
        <f>_xlfn.XLOOKUP(Table3[[#This Row],[Cuenta]],Estructura_Balance[Nombre Cuenta ()],Estructura_Balance[Niveles:3],"",0)</f>
        <v/>
      </c>
      <c r="X1010" t="str">
        <f>_xlfn.XLOOKUP(Table3[[#This Row],[Cuenta]],Estructura_Balance[Nombre Cuenta ()],Estructura_Balance[Grupos],"Grupo 1",0)</f>
        <v>Grupo 1</v>
      </c>
      <c r="Y1010" t="str">
        <f>+Table3[[#This Row],[BS_Nivel_1]]</f>
        <v/>
      </c>
    </row>
    <row r="1011" spans="1:25" ht="15" customHeight="1">
      <c r="A1011">
        <f>+'Libro Diario'!F318</f>
        <v>0</v>
      </c>
      <c r="B1011" s="144">
        <f>VALUE(IF(+'Libro Diario'!G318="","01/01/2025",+'Libro Diario'!G318))</f>
        <v>45658</v>
      </c>
      <c r="C1011">
        <f>IF(ISNUMBER(+IF(IFERROR(VALUE(MID('Libro Diario'!D318,1,4)),0)&lt;&gt;0,'Libro Diario'!D318,0))=FALSE,'Libro Diario'!D318,0)</f>
        <v>0</v>
      </c>
      <c r="D1011" s="145">
        <f>+'Libro Diario'!E318</f>
        <v>0</v>
      </c>
      <c r="E1011" s="139" t="s">
        <v>446</v>
      </c>
      <c r="F1011" t="str">
        <f t="shared" si="45"/>
        <v>Sin Mov.</v>
      </c>
      <c r="G1011" t="str">
        <f>IF(+'Libro Diario'!H318=0,"",+'Libro Diario'!H318)</f>
        <v/>
      </c>
      <c r="H1011" t="str">
        <f>IF(+'Libro Diario'!I318=0,"",+'Libro Diario'!I318)</f>
        <v/>
      </c>
      <c r="I1011" t="str">
        <f>+IF(Table3[[#This Row],[Tipo Movimiento]]="Estructura Balance y PyG","Excluir","Incluir")</f>
        <v>Incluir</v>
      </c>
      <c r="J1011" s="153">
        <f>+IF(Table3[[#This Row],[Sin cuenta]]="Con Mov.",(IF(Table3[[#This Row],[Movimiento]]="Debe",Table3[[#This Row],[Importe]],IF(Table3[[#This Row],[Movimiento]]="Haber",Table3[[#This Row],[Importe]]*-1,0))),0)</f>
        <v>0</v>
      </c>
      <c r="K1011" s="145" t="str">
        <f t="shared" si="46"/>
        <v/>
      </c>
      <c r="L1011" s="145">
        <f t="shared" si="47"/>
        <v>0</v>
      </c>
      <c r="M1011" t="str">
        <f>_xlfn.XLOOKUP(Table3[[#This Row],[Cuenta]],Estructura_Balance[Nombre Cuenta ()],Estructura_Balance[Grupo],"",0)</f>
        <v/>
      </c>
      <c r="N1011" t="str">
        <f>_xlfn.XLOOKUP(Table3[[#This Row],[Cuenta]],Estructura_Balance[Nombre Cuenta ()],Estructura_Balance[Nivel 1],"",0)</f>
        <v/>
      </c>
      <c r="O1011" t="str">
        <f>_xlfn.XLOOKUP(Table3[[#This Row],[Cuenta]],Estructura_Balance[Nombre Cuenta ()],Estructura_Balance[Nivel 2],"",0)</f>
        <v/>
      </c>
      <c r="P1011" t="str">
        <f>_xlfn.XLOOKUP(Table3[[#This Row],[Cuenta]],Estructura_Balance[Nombre Cuenta ()],Estructura_Balance[Nivel 3],"",0)</f>
        <v/>
      </c>
      <c r="Q1011" t="str">
        <f>_xlfn.XLOOKUP(Table3[[#This Row],[Cuenta]],Estructura_Balance[Nombre Cuenta ()],Estructura_Balance[Nivel 4],"",0)</f>
        <v/>
      </c>
      <c r="R1011" t="str">
        <f>_xlfn.XLOOKUP(Table3[[#This Row],[Cuenta]],Table8[Nombre Cuenta ()],Table8[Nivel 1],"",0)</f>
        <v/>
      </c>
      <c r="S1011" t="str">
        <f>_xlfn.XLOOKUP(Table3[[#This Row],[Cuenta]],Table8[Nombre Cuenta ()],Table8[Nivel 2],"",0)</f>
        <v/>
      </c>
      <c r="T1011" t="str">
        <f>_xlfn.XLOOKUP(Table3[[#This Row],[Cuenta]],Table8[Nombre Cuenta ()],Table8[Nivel 3],"",0)</f>
        <v/>
      </c>
      <c r="U1011">
        <v>1711</v>
      </c>
      <c r="V1011" t="str">
        <f>_xlfn.XLOOKUP(Table3[[#This Row],[Cuenta]],Estructura_Balance[Nombre Cuenta ()],Estructura_Balance[Niveles:2],"",0)</f>
        <v/>
      </c>
      <c r="W1011" t="str">
        <f>_xlfn.XLOOKUP(Table3[[#This Row],[Cuenta]],Estructura_Balance[Nombre Cuenta ()],Estructura_Balance[Niveles:3],"",0)</f>
        <v/>
      </c>
      <c r="X1011" t="str">
        <f>_xlfn.XLOOKUP(Table3[[#This Row],[Cuenta]],Estructura_Balance[Nombre Cuenta ()],Estructura_Balance[Grupos],"Grupo 1",0)</f>
        <v>Grupo 1</v>
      </c>
      <c r="Y1011" t="str">
        <f>+Table3[[#This Row],[BS_Nivel_1]]</f>
        <v/>
      </c>
    </row>
    <row r="1012" spans="1:25" ht="15" customHeight="1">
      <c r="A1012">
        <f>+'Libro Diario'!F321</f>
        <v>0</v>
      </c>
      <c r="B1012" s="144">
        <f>VALUE(IF(+'Libro Diario'!G321="","01/01/2025",+'Libro Diario'!G321))</f>
        <v>45658</v>
      </c>
      <c r="C1012">
        <f>IF(ISNUMBER(+IF(IFERROR(VALUE(MID('Libro Diario'!D321,1,4)),0)&lt;&gt;0,'Libro Diario'!D321,0))=FALSE,'Libro Diario'!D321,0)</f>
        <v>0</v>
      </c>
      <c r="D1012" s="145">
        <f>+'Libro Diario'!E321</f>
        <v>0</v>
      </c>
      <c r="E1012" s="139" t="s">
        <v>446</v>
      </c>
      <c r="F1012" t="str">
        <f t="shared" si="45"/>
        <v>Sin Mov.</v>
      </c>
      <c r="G1012" t="str">
        <f>IF(+'Libro Diario'!H321=0,"",+'Libro Diario'!H321)</f>
        <v/>
      </c>
      <c r="H1012" t="str">
        <f>IF(+'Libro Diario'!I321=0,"",+'Libro Diario'!I321)</f>
        <v/>
      </c>
      <c r="I1012" t="str">
        <f>+IF(Table3[[#This Row],[Tipo Movimiento]]="Estructura Balance y PyG","Excluir","Incluir")</f>
        <v>Incluir</v>
      </c>
      <c r="J1012" s="153">
        <f>+IF(Table3[[#This Row],[Sin cuenta]]="Con Mov.",(IF(Table3[[#This Row],[Movimiento]]="Debe",Table3[[#This Row],[Importe]],IF(Table3[[#This Row],[Movimiento]]="Haber",Table3[[#This Row],[Importe]]*-1,0))),0)</f>
        <v>0</v>
      </c>
      <c r="K1012" s="145" t="str">
        <f t="shared" si="46"/>
        <v/>
      </c>
      <c r="L1012" s="145">
        <f t="shared" si="47"/>
        <v>0</v>
      </c>
      <c r="M1012" t="str">
        <f>_xlfn.XLOOKUP(Table3[[#This Row],[Cuenta]],Estructura_Balance[Nombre Cuenta ()],Estructura_Balance[Grupo],"",0)</f>
        <v/>
      </c>
      <c r="N1012" t="str">
        <f>_xlfn.XLOOKUP(Table3[[#This Row],[Cuenta]],Estructura_Balance[Nombre Cuenta ()],Estructura_Balance[Nivel 1],"",0)</f>
        <v/>
      </c>
      <c r="O1012" t="str">
        <f>_xlfn.XLOOKUP(Table3[[#This Row],[Cuenta]],Estructura_Balance[Nombre Cuenta ()],Estructura_Balance[Nivel 2],"",0)</f>
        <v/>
      </c>
      <c r="P1012" t="str">
        <f>_xlfn.XLOOKUP(Table3[[#This Row],[Cuenta]],Estructura_Balance[Nombre Cuenta ()],Estructura_Balance[Nivel 3],"",0)</f>
        <v/>
      </c>
      <c r="Q1012" t="str">
        <f>_xlfn.XLOOKUP(Table3[[#This Row],[Cuenta]],Estructura_Balance[Nombre Cuenta ()],Estructura_Balance[Nivel 4],"",0)</f>
        <v/>
      </c>
      <c r="R1012" t="str">
        <f>_xlfn.XLOOKUP(Table3[[#This Row],[Cuenta]],Table8[Nombre Cuenta ()],Table8[Nivel 1],"",0)</f>
        <v/>
      </c>
      <c r="S1012" t="str">
        <f>_xlfn.XLOOKUP(Table3[[#This Row],[Cuenta]],Table8[Nombre Cuenta ()],Table8[Nivel 2],"",0)</f>
        <v/>
      </c>
      <c r="T1012" t="str">
        <f>_xlfn.XLOOKUP(Table3[[#This Row],[Cuenta]],Table8[Nombre Cuenta ()],Table8[Nivel 3],"",0)</f>
        <v/>
      </c>
      <c r="U1012">
        <v>1714</v>
      </c>
      <c r="V1012" t="str">
        <f>_xlfn.XLOOKUP(Table3[[#This Row],[Cuenta]],Estructura_Balance[Nombre Cuenta ()],Estructura_Balance[Niveles:2],"",0)</f>
        <v/>
      </c>
      <c r="W1012" t="str">
        <f>_xlfn.XLOOKUP(Table3[[#This Row],[Cuenta]],Estructura_Balance[Nombre Cuenta ()],Estructura_Balance[Niveles:3],"",0)</f>
        <v/>
      </c>
      <c r="X1012" t="str">
        <f>_xlfn.XLOOKUP(Table3[[#This Row],[Cuenta]],Estructura_Balance[Nombre Cuenta ()],Estructura_Balance[Grupos],"Grupo 1",0)</f>
        <v>Grupo 1</v>
      </c>
      <c r="Y1012" t="str">
        <f>+Table3[[#This Row],[BS_Nivel_1]]</f>
        <v/>
      </c>
    </row>
    <row r="1013" spans="1:25" ht="15" customHeight="1">
      <c r="A1013">
        <f>+'Libro Diario'!F322</f>
        <v>0</v>
      </c>
      <c r="B1013" s="144">
        <f>VALUE(IF(+'Libro Diario'!G322="","01/01/2025",+'Libro Diario'!G322))</f>
        <v>45658</v>
      </c>
      <c r="C1013">
        <f>IF(ISNUMBER(+IF(IFERROR(VALUE(MID('Libro Diario'!D322,1,4)),0)&lt;&gt;0,'Libro Diario'!D322,0))=FALSE,'Libro Diario'!D322,0)</f>
        <v>0</v>
      </c>
      <c r="D1013" s="145">
        <f>+'Libro Diario'!E322</f>
        <v>0</v>
      </c>
      <c r="E1013" s="139" t="s">
        <v>446</v>
      </c>
      <c r="F1013" t="str">
        <f t="shared" si="45"/>
        <v>Sin Mov.</v>
      </c>
      <c r="G1013" t="str">
        <f>IF(+'Libro Diario'!H322=0,"",+'Libro Diario'!H322)</f>
        <v/>
      </c>
      <c r="H1013" t="str">
        <f>IF(+'Libro Diario'!I322=0,"",+'Libro Diario'!I322)</f>
        <v/>
      </c>
      <c r="I1013" t="str">
        <f>+IF(Table3[[#This Row],[Tipo Movimiento]]="Estructura Balance y PyG","Excluir","Incluir")</f>
        <v>Incluir</v>
      </c>
      <c r="J1013" s="153">
        <f>+IF(Table3[[#This Row],[Sin cuenta]]="Con Mov.",(IF(Table3[[#This Row],[Movimiento]]="Debe",Table3[[#This Row],[Importe]],IF(Table3[[#This Row],[Movimiento]]="Haber",Table3[[#This Row],[Importe]]*-1,0))),0)</f>
        <v>0</v>
      </c>
      <c r="K1013" s="145" t="str">
        <f t="shared" si="46"/>
        <v/>
      </c>
      <c r="L1013" s="145">
        <f t="shared" si="47"/>
        <v>0</v>
      </c>
      <c r="M1013" t="str">
        <f>_xlfn.XLOOKUP(Table3[[#This Row],[Cuenta]],Estructura_Balance[Nombre Cuenta ()],Estructura_Balance[Grupo],"",0)</f>
        <v/>
      </c>
      <c r="N1013" t="str">
        <f>_xlfn.XLOOKUP(Table3[[#This Row],[Cuenta]],Estructura_Balance[Nombre Cuenta ()],Estructura_Balance[Nivel 1],"",0)</f>
        <v/>
      </c>
      <c r="O1013" t="str">
        <f>_xlfn.XLOOKUP(Table3[[#This Row],[Cuenta]],Estructura_Balance[Nombre Cuenta ()],Estructura_Balance[Nivel 2],"",0)</f>
        <v/>
      </c>
      <c r="P1013" t="str">
        <f>_xlfn.XLOOKUP(Table3[[#This Row],[Cuenta]],Estructura_Balance[Nombre Cuenta ()],Estructura_Balance[Nivel 3],"",0)</f>
        <v/>
      </c>
      <c r="Q1013" t="str">
        <f>_xlfn.XLOOKUP(Table3[[#This Row],[Cuenta]],Estructura_Balance[Nombre Cuenta ()],Estructura_Balance[Nivel 4],"",0)</f>
        <v/>
      </c>
      <c r="R1013" t="str">
        <f>_xlfn.XLOOKUP(Table3[[#This Row],[Cuenta]],Table8[Nombre Cuenta ()],Table8[Nivel 1],"",0)</f>
        <v/>
      </c>
      <c r="S1013" t="str">
        <f>_xlfn.XLOOKUP(Table3[[#This Row],[Cuenta]],Table8[Nombre Cuenta ()],Table8[Nivel 2],"",0)</f>
        <v/>
      </c>
      <c r="T1013" t="str">
        <f>_xlfn.XLOOKUP(Table3[[#This Row],[Cuenta]],Table8[Nombre Cuenta ()],Table8[Nivel 3],"",0)</f>
        <v/>
      </c>
      <c r="U1013">
        <v>1715</v>
      </c>
      <c r="V1013" t="str">
        <f>_xlfn.XLOOKUP(Table3[[#This Row],[Cuenta]],Estructura_Balance[Nombre Cuenta ()],Estructura_Balance[Niveles:2],"",0)</f>
        <v/>
      </c>
      <c r="W1013" t="str">
        <f>_xlfn.XLOOKUP(Table3[[#This Row],[Cuenta]],Estructura_Balance[Nombre Cuenta ()],Estructura_Balance[Niveles:3],"",0)</f>
        <v/>
      </c>
      <c r="X1013" t="str">
        <f>_xlfn.XLOOKUP(Table3[[#This Row],[Cuenta]],Estructura_Balance[Nombre Cuenta ()],Estructura_Balance[Grupos],"Grupo 1",0)</f>
        <v>Grupo 1</v>
      </c>
      <c r="Y1013" t="str">
        <f>+Table3[[#This Row],[BS_Nivel_1]]</f>
        <v/>
      </c>
    </row>
    <row r="1014" spans="1:25" ht="15" customHeight="1">
      <c r="A1014">
        <f>+'Libro Diario'!F323</f>
        <v>0</v>
      </c>
      <c r="B1014" s="144">
        <f>VALUE(IF(+'Libro Diario'!G323="","01/01/2025",+'Libro Diario'!G323))</f>
        <v>45658</v>
      </c>
      <c r="C1014">
        <f>IF(ISNUMBER(+IF(IFERROR(VALUE(MID('Libro Diario'!D323,1,4)),0)&lt;&gt;0,'Libro Diario'!D323,0))=FALSE,'Libro Diario'!D323,0)</f>
        <v>0</v>
      </c>
      <c r="D1014" s="145">
        <f>+'Libro Diario'!E323</f>
        <v>0</v>
      </c>
      <c r="E1014" s="139" t="s">
        <v>446</v>
      </c>
      <c r="F1014" t="str">
        <f t="shared" si="45"/>
        <v>Sin Mov.</v>
      </c>
      <c r="G1014" t="str">
        <f>IF(+'Libro Diario'!H323=0,"",+'Libro Diario'!H323)</f>
        <v/>
      </c>
      <c r="H1014" t="str">
        <f>IF(+'Libro Diario'!I323=0,"",+'Libro Diario'!I323)</f>
        <v/>
      </c>
      <c r="I1014" t="str">
        <f>+IF(Table3[[#This Row],[Tipo Movimiento]]="Estructura Balance y PyG","Excluir","Incluir")</f>
        <v>Incluir</v>
      </c>
      <c r="J1014" s="153">
        <f>+IF(Table3[[#This Row],[Sin cuenta]]="Con Mov.",(IF(Table3[[#This Row],[Movimiento]]="Debe",Table3[[#This Row],[Importe]],IF(Table3[[#This Row],[Movimiento]]="Haber",Table3[[#This Row],[Importe]]*-1,0))),0)</f>
        <v>0</v>
      </c>
      <c r="K1014" s="145" t="str">
        <f t="shared" si="46"/>
        <v/>
      </c>
      <c r="L1014" s="145">
        <f t="shared" si="47"/>
        <v>0</v>
      </c>
      <c r="M1014" t="str">
        <f>_xlfn.XLOOKUP(Table3[[#This Row],[Cuenta]],Estructura_Balance[Nombre Cuenta ()],Estructura_Balance[Grupo],"",0)</f>
        <v/>
      </c>
      <c r="N1014" t="str">
        <f>_xlfn.XLOOKUP(Table3[[#This Row],[Cuenta]],Estructura_Balance[Nombre Cuenta ()],Estructura_Balance[Nivel 1],"",0)</f>
        <v/>
      </c>
      <c r="O1014" t="str">
        <f>_xlfn.XLOOKUP(Table3[[#This Row],[Cuenta]],Estructura_Balance[Nombre Cuenta ()],Estructura_Balance[Nivel 2],"",0)</f>
        <v/>
      </c>
      <c r="P1014" t="str">
        <f>_xlfn.XLOOKUP(Table3[[#This Row],[Cuenta]],Estructura_Balance[Nombre Cuenta ()],Estructura_Balance[Nivel 3],"",0)</f>
        <v/>
      </c>
      <c r="Q1014" t="str">
        <f>_xlfn.XLOOKUP(Table3[[#This Row],[Cuenta]],Estructura_Balance[Nombre Cuenta ()],Estructura_Balance[Nivel 4],"",0)</f>
        <v/>
      </c>
      <c r="R1014" t="str">
        <f>_xlfn.XLOOKUP(Table3[[#This Row],[Cuenta]],Table8[Nombre Cuenta ()],Table8[Nivel 1],"",0)</f>
        <v/>
      </c>
      <c r="S1014" t="str">
        <f>_xlfn.XLOOKUP(Table3[[#This Row],[Cuenta]],Table8[Nombre Cuenta ()],Table8[Nivel 2],"",0)</f>
        <v/>
      </c>
      <c r="T1014" t="str">
        <f>_xlfn.XLOOKUP(Table3[[#This Row],[Cuenta]],Table8[Nombre Cuenta ()],Table8[Nivel 3],"",0)</f>
        <v/>
      </c>
      <c r="U1014">
        <v>1716</v>
      </c>
      <c r="V1014" t="str">
        <f>_xlfn.XLOOKUP(Table3[[#This Row],[Cuenta]],Estructura_Balance[Nombre Cuenta ()],Estructura_Balance[Niveles:2],"",0)</f>
        <v/>
      </c>
      <c r="W1014" t="str">
        <f>_xlfn.XLOOKUP(Table3[[#This Row],[Cuenta]],Estructura_Balance[Nombre Cuenta ()],Estructura_Balance[Niveles:3],"",0)</f>
        <v/>
      </c>
      <c r="X1014" t="str">
        <f>_xlfn.XLOOKUP(Table3[[#This Row],[Cuenta]],Estructura_Balance[Nombre Cuenta ()],Estructura_Balance[Grupos],"Grupo 1",0)</f>
        <v>Grupo 1</v>
      </c>
      <c r="Y1014" t="str">
        <f>+Table3[[#This Row],[BS_Nivel_1]]</f>
        <v/>
      </c>
    </row>
    <row r="1015" spans="1:25" ht="15" customHeight="1">
      <c r="A1015">
        <f>+'Libro Diario'!F324</f>
        <v>0</v>
      </c>
      <c r="B1015" s="144">
        <f>VALUE(IF(+'Libro Diario'!G324="","01/01/2025",+'Libro Diario'!G324))</f>
        <v>45658</v>
      </c>
      <c r="C1015">
        <f>IF(ISNUMBER(+IF(IFERROR(VALUE(MID('Libro Diario'!D324,1,4)),0)&lt;&gt;0,'Libro Diario'!D324,0))=FALSE,'Libro Diario'!D324,0)</f>
        <v>0</v>
      </c>
      <c r="D1015" s="145" t="str">
        <f>+'Libro Diario'!E324</f>
        <v>HABER</v>
      </c>
      <c r="E1015" s="139" t="s">
        <v>446</v>
      </c>
      <c r="F1015" t="str">
        <f t="shared" si="45"/>
        <v>Sin Mov.</v>
      </c>
      <c r="G1015" t="str">
        <f>IF(+'Libro Diario'!H324=0,"",+'Libro Diario'!H324)</f>
        <v/>
      </c>
      <c r="H1015" t="str">
        <f>IF(+'Libro Diario'!I324=0,"",+'Libro Diario'!I324)</f>
        <v/>
      </c>
      <c r="I1015" t="str">
        <f>+IF(Table3[[#This Row],[Tipo Movimiento]]="Estructura Balance y PyG","Excluir","Incluir")</f>
        <v>Incluir</v>
      </c>
      <c r="J1015" s="153">
        <f>+IF(Table3[[#This Row],[Sin cuenta]]="Con Mov.",(IF(Table3[[#This Row],[Movimiento]]="Debe",Table3[[#This Row],[Importe]],IF(Table3[[#This Row],[Movimiento]]="Haber",Table3[[#This Row],[Importe]]*-1,0))),0)</f>
        <v>0</v>
      </c>
      <c r="K1015" s="145" t="str">
        <f t="shared" si="46"/>
        <v/>
      </c>
      <c r="L1015" s="145" t="str">
        <f t="shared" si="47"/>
        <v>HABER</v>
      </c>
      <c r="M1015" t="str">
        <f>_xlfn.XLOOKUP(Table3[[#This Row],[Cuenta]],Estructura_Balance[Nombre Cuenta ()],Estructura_Balance[Grupo],"",0)</f>
        <v/>
      </c>
      <c r="N1015" t="str">
        <f>_xlfn.XLOOKUP(Table3[[#This Row],[Cuenta]],Estructura_Balance[Nombre Cuenta ()],Estructura_Balance[Nivel 1],"",0)</f>
        <v/>
      </c>
      <c r="O1015" t="str">
        <f>_xlfn.XLOOKUP(Table3[[#This Row],[Cuenta]],Estructura_Balance[Nombre Cuenta ()],Estructura_Balance[Nivel 2],"",0)</f>
        <v/>
      </c>
      <c r="P1015" t="str">
        <f>_xlfn.XLOOKUP(Table3[[#This Row],[Cuenta]],Estructura_Balance[Nombre Cuenta ()],Estructura_Balance[Nivel 3],"",0)</f>
        <v/>
      </c>
      <c r="Q1015" t="str">
        <f>_xlfn.XLOOKUP(Table3[[#This Row],[Cuenta]],Estructura_Balance[Nombre Cuenta ()],Estructura_Balance[Nivel 4],"",0)</f>
        <v/>
      </c>
      <c r="R1015" t="str">
        <f>_xlfn.XLOOKUP(Table3[[#This Row],[Cuenta]],Table8[Nombre Cuenta ()],Table8[Nivel 1],"",0)</f>
        <v/>
      </c>
      <c r="S1015" t="str">
        <f>_xlfn.XLOOKUP(Table3[[#This Row],[Cuenta]],Table8[Nombre Cuenta ()],Table8[Nivel 2],"",0)</f>
        <v/>
      </c>
      <c r="T1015" t="str">
        <f>_xlfn.XLOOKUP(Table3[[#This Row],[Cuenta]],Table8[Nombre Cuenta ()],Table8[Nivel 3],"",0)</f>
        <v/>
      </c>
      <c r="U1015">
        <v>1717</v>
      </c>
      <c r="V1015" t="str">
        <f>_xlfn.XLOOKUP(Table3[[#This Row],[Cuenta]],Estructura_Balance[Nombre Cuenta ()],Estructura_Balance[Niveles:2],"",0)</f>
        <v/>
      </c>
      <c r="W1015" t="str">
        <f>_xlfn.XLOOKUP(Table3[[#This Row],[Cuenta]],Estructura_Balance[Nombre Cuenta ()],Estructura_Balance[Niveles:3],"",0)</f>
        <v/>
      </c>
      <c r="X1015" t="str">
        <f>_xlfn.XLOOKUP(Table3[[#This Row],[Cuenta]],Estructura_Balance[Nombre Cuenta ()],Estructura_Balance[Grupos],"Grupo 1",0)</f>
        <v>Grupo 1</v>
      </c>
      <c r="Y1015" t="str">
        <f>+Table3[[#This Row],[BS_Nivel_1]]</f>
        <v/>
      </c>
    </row>
    <row r="1016" spans="1:25" ht="15" customHeight="1">
      <c r="A1016">
        <f>+'Libro Diario'!F325</f>
        <v>0</v>
      </c>
      <c r="B1016" s="144">
        <f>VALUE(IF(+'Libro Diario'!G325="","01/01/2025",+'Libro Diario'!G325))</f>
        <v>45658</v>
      </c>
      <c r="C1016">
        <f>IF(ISNUMBER(+IF(IFERROR(VALUE(MID('Libro Diario'!D325,1,4)),0)&lt;&gt;0,'Libro Diario'!D325,0))=FALSE,'Libro Diario'!D325,0)</f>
        <v>0</v>
      </c>
      <c r="D1016" s="145">
        <f>+'Libro Diario'!E325</f>
        <v>0</v>
      </c>
      <c r="E1016" s="139" t="s">
        <v>446</v>
      </c>
      <c r="F1016" t="str">
        <f t="shared" si="45"/>
        <v>Sin Mov.</v>
      </c>
      <c r="G1016" t="str">
        <f>IF(+'Libro Diario'!H325=0,"",+'Libro Diario'!H325)</f>
        <v/>
      </c>
      <c r="H1016" t="str">
        <f>IF(+'Libro Diario'!I325=0,"",+'Libro Diario'!I325)</f>
        <v/>
      </c>
      <c r="I1016" t="str">
        <f>+IF(Table3[[#This Row],[Tipo Movimiento]]="Estructura Balance y PyG","Excluir","Incluir")</f>
        <v>Incluir</v>
      </c>
      <c r="J1016" s="153">
        <f>+IF(Table3[[#This Row],[Sin cuenta]]="Con Mov.",(IF(Table3[[#This Row],[Movimiento]]="Debe",Table3[[#This Row],[Importe]],IF(Table3[[#This Row],[Movimiento]]="Haber",Table3[[#This Row],[Importe]]*-1,0))),0)</f>
        <v>0</v>
      </c>
      <c r="K1016" s="145" t="str">
        <f t="shared" si="46"/>
        <v/>
      </c>
      <c r="L1016" s="145">
        <f t="shared" si="47"/>
        <v>0</v>
      </c>
      <c r="M1016" t="str">
        <f>_xlfn.XLOOKUP(Table3[[#This Row],[Cuenta]],Estructura_Balance[Nombre Cuenta ()],Estructura_Balance[Grupo],"",0)</f>
        <v/>
      </c>
      <c r="N1016" t="str">
        <f>_xlfn.XLOOKUP(Table3[[#This Row],[Cuenta]],Estructura_Balance[Nombre Cuenta ()],Estructura_Balance[Nivel 1],"",0)</f>
        <v/>
      </c>
      <c r="O1016" t="str">
        <f>_xlfn.XLOOKUP(Table3[[#This Row],[Cuenta]],Estructura_Balance[Nombre Cuenta ()],Estructura_Balance[Nivel 2],"",0)</f>
        <v/>
      </c>
      <c r="P1016" t="str">
        <f>_xlfn.XLOOKUP(Table3[[#This Row],[Cuenta]],Estructura_Balance[Nombre Cuenta ()],Estructura_Balance[Nivel 3],"",0)</f>
        <v/>
      </c>
      <c r="Q1016" t="str">
        <f>_xlfn.XLOOKUP(Table3[[#This Row],[Cuenta]],Estructura_Balance[Nombre Cuenta ()],Estructura_Balance[Nivel 4],"",0)</f>
        <v/>
      </c>
      <c r="R1016" t="str">
        <f>_xlfn.XLOOKUP(Table3[[#This Row],[Cuenta]],Table8[Nombre Cuenta ()],Table8[Nivel 1],"",0)</f>
        <v/>
      </c>
      <c r="S1016" t="str">
        <f>_xlfn.XLOOKUP(Table3[[#This Row],[Cuenta]],Table8[Nombre Cuenta ()],Table8[Nivel 2],"",0)</f>
        <v/>
      </c>
      <c r="T1016" t="str">
        <f>_xlfn.XLOOKUP(Table3[[#This Row],[Cuenta]],Table8[Nombre Cuenta ()],Table8[Nivel 3],"",0)</f>
        <v/>
      </c>
      <c r="U1016">
        <v>1718</v>
      </c>
      <c r="V1016" t="str">
        <f>_xlfn.XLOOKUP(Table3[[#This Row],[Cuenta]],Estructura_Balance[Nombre Cuenta ()],Estructura_Balance[Niveles:2],"",0)</f>
        <v/>
      </c>
      <c r="W1016" t="str">
        <f>_xlfn.XLOOKUP(Table3[[#This Row],[Cuenta]],Estructura_Balance[Nombre Cuenta ()],Estructura_Balance[Niveles:3],"",0)</f>
        <v/>
      </c>
      <c r="X1016" t="str">
        <f>_xlfn.XLOOKUP(Table3[[#This Row],[Cuenta]],Estructura_Balance[Nombre Cuenta ()],Estructura_Balance[Grupos],"Grupo 1",0)</f>
        <v>Grupo 1</v>
      </c>
      <c r="Y1016" t="str">
        <f>+Table3[[#This Row],[BS_Nivel_1]]</f>
        <v/>
      </c>
    </row>
    <row r="1017" spans="1:25" ht="15" customHeight="1">
      <c r="A1017">
        <f>+'Libro Diario'!F328</f>
        <v>0</v>
      </c>
      <c r="B1017" s="144">
        <f>VALUE(IF(+'Libro Diario'!G328="","01/01/2025",+'Libro Diario'!G328))</f>
        <v>45658</v>
      </c>
      <c r="C1017">
        <f>IF(ISNUMBER(+IF(IFERROR(VALUE(MID('Libro Diario'!D328,1,4)),0)&lt;&gt;0,'Libro Diario'!D328,0))=FALSE,'Libro Diario'!D328,0)</f>
        <v>0</v>
      </c>
      <c r="D1017" s="145">
        <f>+'Libro Diario'!E328</f>
        <v>0</v>
      </c>
      <c r="E1017" s="139" t="s">
        <v>446</v>
      </c>
      <c r="F1017" t="str">
        <f t="shared" si="45"/>
        <v>Sin Mov.</v>
      </c>
      <c r="G1017" t="str">
        <f>IF(+'Libro Diario'!H328=0,"",+'Libro Diario'!H328)</f>
        <v/>
      </c>
      <c r="H1017" t="str">
        <f>IF(+'Libro Diario'!I328=0,"",+'Libro Diario'!I328)</f>
        <v/>
      </c>
      <c r="I1017" t="str">
        <f>+IF(Table3[[#This Row],[Tipo Movimiento]]="Estructura Balance y PyG","Excluir","Incluir")</f>
        <v>Incluir</v>
      </c>
      <c r="J1017" s="153">
        <f>+IF(Table3[[#This Row],[Sin cuenta]]="Con Mov.",(IF(Table3[[#This Row],[Movimiento]]="Debe",Table3[[#This Row],[Importe]],IF(Table3[[#This Row],[Movimiento]]="Haber",Table3[[#This Row],[Importe]]*-1,0))),0)</f>
        <v>0</v>
      </c>
      <c r="K1017" s="145" t="str">
        <f t="shared" si="46"/>
        <v/>
      </c>
      <c r="L1017" s="145">
        <f t="shared" si="47"/>
        <v>0</v>
      </c>
      <c r="M1017" t="str">
        <f>_xlfn.XLOOKUP(Table3[[#This Row],[Cuenta]],Estructura_Balance[Nombre Cuenta ()],Estructura_Balance[Grupo],"",0)</f>
        <v/>
      </c>
      <c r="N1017" t="str">
        <f>_xlfn.XLOOKUP(Table3[[#This Row],[Cuenta]],Estructura_Balance[Nombre Cuenta ()],Estructura_Balance[Nivel 1],"",0)</f>
        <v/>
      </c>
      <c r="O1017" t="str">
        <f>_xlfn.XLOOKUP(Table3[[#This Row],[Cuenta]],Estructura_Balance[Nombre Cuenta ()],Estructura_Balance[Nivel 2],"",0)</f>
        <v/>
      </c>
      <c r="P1017" t="str">
        <f>_xlfn.XLOOKUP(Table3[[#This Row],[Cuenta]],Estructura_Balance[Nombre Cuenta ()],Estructura_Balance[Nivel 3],"",0)</f>
        <v/>
      </c>
      <c r="Q1017" t="str">
        <f>_xlfn.XLOOKUP(Table3[[#This Row],[Cuenta]],Estructura_Balance[Nombre Cuenta ()],Estructura_Balance[Nivel 4],"",0)</f>
        <v/>
      </c>
      <c r="R1017" t="str">
        <f>_xlfn.XLOOKUP(Table3[[#This Row],[Cuenta]],Table8[Nombre Cuenta ()],Table8[Nivel 1],"",0)</f>
        <v/>
      </c>
      <c r="S1017" t="str">
        <f>_xlfn.XLOOKUP(Table3[[#This Row],[Cuenta]],Table8[Nombre Cuenta ()],Table8[Nivel 2],"",0)</f>
        <v/>
      </c>
      <c r="T1017" t="str">
        <f>_xlfn.XLOOKUP(Table3[[#This Row],[Cuenta]],Table8[Nombre Cuenta ()],Table8[Nivel 3],"",0)</f>
        <v/>
      </c>
      <c r="U1017">
        <v>1721</v>
      </c>
      <c r="V1017" t="str">
        <f>_xlfn.XLOOKUP(Table3[[#This Row],[Cuenta]],Estructura_Balance[Nombre Cuenta ()],Estructura_Balance[Niveles:2],"",0)</f>
        <v/>
      </c>
      <c r="W1017" t="str">
        <f>_xlfn.XLOOKUP(Table3[[#This Row],[Cuenta]],Estructura_Balance[Nombre Cuenta ()],Estructura_Balance[Niveles:3],"",0)</f>
        <v/>
      </c>
      <c r="X1017" t="str">
        <f>_xlfn.XLOOKUP(Table3[[#This Row],[Cuenta]],Estructura_Balance[Nombre Cuenta ()],Estructura_Balance[Grupos],"Grupo 1",0)</f>
        <v>Grupo 1</v>
      </c>
      <c r="Y1017" t="str">
        <f>+Table3[[#This Row],[BS_Nivel_1]]</f>
        <v/>
      </c>
    </row>
    <row r="1018" spans="1:25" ht="15" customHeight="1">
      <c r="A1018">
        <f>+'Libro Diario'!F329</f>
        <v>0</v>
      </c>
      <c r="B1018" s="144">
        <f>VALUE(IF(+'Libro Diario'!G329="","01/01/2025",+'Libro Diario'!G329))</f>
        <v>45658</v>
      </c>
      <c r="C1018">
        <f>IF(ISNUMBER(+IF(IFERROR(VALUE(MID('Libro Diario'!D329,1,4)),0)&lt;&gt;0,'Libro Diario'!D329,0))=FALSE,'Libro Diario'!D329,0)</f>
        <v>0</v>
      </c>
      <c r="D1018" s="145">
        <f>+'Libro Diario'!E329</f>
        <v>0</v>
      </c>
      <c r="E1018" s="139" t="s">
        <v>446</v>
      </c>
      <c r="F1018" t="str">
        <f t="shared" si="45"/>
        <v>Sin Mov.</v>
      </c>
      <c r="G1018" t="str">
        <f>IF(+'Libro Diario'!H329=0,"",+'Libro Diario'!H329)</f>
        <v/>
      </c>
      <c r="H1018" t="str">
        <f>IF(+'Libro Diario'!I329=0,"",+'Libro Diario'!I329)</f>
        <v/>
      </c>
      <c r="I1018" t="str">
        <f>+IF(Table3[[#This Row],[Tipo Movimiento]]="Estructura Balance y PyG","Excluir","Incluir")</f>
        <v>Incluir</v>
      </c>
      <c r="J1018" s="153">
        <f>+IF(Table3[[#This Row],[Sin cuenta]]="Con Mov.",(IF(Table3[[#This Row],[Movimiento]]="Debe",Table3[[#This Row],[Importe]],IF(Table3[[#This Row],[Movimiento]]="Haber",Table3[[#This Row],[Importe]]*-1,0))),0)</f>
        <v>0</v>
      </c>
      <c r="K1018" s="145" t="str">
        <f t="shared" si="46"/>
        <v/>
      </c>
      <c r="L1018" s="145">
        <f t="shared" si="47"/>
        <v>0</v>
      </c>
      <c r="M1018" t="str">
        <f>_xlfn.XLOOKUP(Table3[[#This Row],[Cuenta]],Estructura_Balance[Nombre Cuenta ()],Estructura_Balance[Grupo],"",0)</f>
        <v/>
      </c>
      <c r="N1018" t="str">
        <f>_xlfn.XLOOKUP(Table3[[#This Row],[Cuenta]],Estructura_Balance[Nombre Cuenta ()],Estructura_Balance[Nivel 1],"",0)</f>
        <v/>
      </c>
      <c r="O1018" t="str">
        <f>_xlfn.XLOOKUP(Table3[[#This Row],[Cuenta]],Estructura_Balance[Nombre Cuenta ()],Estructura_Balance[Nivel 2],"",0)</f>
        <v/>
      </c>
      <c r="P1018" t="str">
        <f>_xlfn.XLOOKUP(Table3[[#This Row],[Cuenta]],Estructura_Balance[Nombre Cuenta ()],Estructura_Balance[Nivel 3],"",0)</f>
        <v/>
      </c>
      <c r="Q1018" t="str">
        <f>_xlfn.XLOOKUP(Table3[[#This Row],[Cuenta]],Estructura_Balance[Nombre Cuenta ()],Estructura_Balance[Nivel 4],"",0)</f>
        <v/>
      </c>
      <c r="R1018" t="str">
        <f>_xlfn.XLOOKUP(Table3[[#This Row],[Cuenta]],Table8[Nombre Cuenta ()],Table8[Nivel 1],"",0)</f>
        <v/>
      </c>
      <c r="S1018" t="str">
        <f>_xlfn.XLOOKUP(Table3[[#This Row],[Cuenta]],Table8[Nombre Cuenta ()],Table8[Nivel 2],"",0)</f>
        <v/>
      </c>
      <c r="T1018" t="str">
        <f>_xlfn.XLOOKUP(Table3[[#This Row],[Cuenta]],Table8[Nombre Cuenta ()],Table8[Nivel 3],"",0)</f>
        <v/>
      </c>
      <c r="U1018">
        <v>1722</v>
      </c>
      <c r="V1018" t="str">
        <f>_xlfn.XLOOKUP(Table3[[#This Row],[Cuenta]],Estructura_Balance[Nombre Cuenta ()],Estructura_Balance[Niveles:2],"",0)</f>
        <v/>
      </c>
      <c r="W1018" t="str">
        <f>_xlfn.XLOOKUP(Table3[[#This Row],[Cuenta]],Estructura_Balance[Nombre Cuenta ()],Estructura_Balance[Niveles:3],"",0)</f>
        <v/>
      </c>
      <c r="X1018" t="str">
        <f>_xlfn.XLOOKUP(Table3[[#This Row],[Cuenta]],Estructura_Balance[Nombre Cuenta ()],Estructura_Balance[Grupos],"Grupo 1",0)</f>
        <v>Grupo 1</v>
      </c>
      <c r="Y1018" t="str">
        <f>+Table3[[#This Row],[BS_Nivel_1]]</f>
        <v/>
      </c>
    </row>
    <row r="1019" spans="1:25" ht="15" customHeight="1">
      <c r="A1019">
        <f>+'Libro Diario'!F330</f>
        <v>0</v>
      </c>
      <c r="B1019" s="144">
        <f>VALUE(IF(+'Libro Diario'!G330="","01/01/2025",+'Libro Diario'!G330))</f>
        <v>45658</v>
      </c>
      <c r="C1019">
        <f>IF(ISNUMBER(+IF(IFERROR(VALUE(MID('Libro Diario'!D330,1,4)),0)&lt;&gt;0,'Libro Diario'!D330,0))=FALSE,'Libro Diario'!D330,0)</f>
        <v>0</v>
      </c>
      <c r="D1019" s="145">
        <f>+'Libro Diario'!E330</f>
        <v>0</v>
      </c>
      <c r="E1019" s="139" t="s">
        <v>446</v>
      </c>
      <c r="F1019" t="str">
        <f t="shared" si="45"/>
        <v>Sin Mov.</v>
      </c>
      <c r="G1019" t="str">
        <f>IF(+'Libro Diario'!H330=0,"",+'Libro Diario'!H330)</f>
        <v/>
      </c>
      <c r="H1019" t="str">
        <f>IF(+'Libro Diario'!I330=0,"",+'Libro Diario'!I330)</f>
        <v/>
      </c>
      <c r="I1019" t="str">
        <f>+IF(Table3[[#This Row],[Tipo Movimiento]]="Estructura Balance y PyG","Excluir","Incluir")</f>
        <v>Incluir</v>
      </c>
      <c r="J1019" s="153">
        <f>+IF(Table3[[#This Row],[Sin cuenta]]="Con Mov.",(IF(Table3[[#This Row],[Movimiento]]="Debe",Table3[[#This Row],[Importe]],IF(Table3[[#This Row],[Movimiento]]="Haber",Table3[[#This Row],[Importe]]*-1,0))),0)</f>
        <v>0</v>
      </c>
      <c r="K1019" s="145" t="str">
        <f t="shared" si="46"/>
        <v/>
      </c>
      <c r="L1019" s="145">
        <f t="shared" si="47"/>
        <v>0</v>
      </c>
      <c r="M1019" t="str">
        <f>_xlfn.XLOOKUP(Table3[[#This Row],[Cuenta]],Estructura_Balance[Nombre Cuenta ()],Estructura_Balance[Grupo],"",0)</f>
        <v/>
      </c>
      <c r="N1019" t="str">
        <f>_xlfn.XLOOKUP(Table3[[#This Row],[Cuenta]],Estructura_Balance[Nombre Cuenta ()],Estructura_Balance[Nivel 1],"",0)</f>
        <v/>
      </c>
      <c r="O1019" t="str">
        <f>_xlfn.XLOOKUP(Table3[[#This Row],[Cuenta]],Estructura_Balance[Nombre Cuenta ()],Estructura_Balance[Nivel 2],"",0)</f>
        <v/>
      </c>
      <c r="P1019" t="str">
        <f>_xlfn.XLOOKUP(Table3[[#This Row],[Cuenta]],Estructura_Balance[Nombre Cuenta ()],Estructura_Balance[Nivel 3],"",0)</f>
        <v/>
      </c>
      <c r="Q1019" t="str">
        <f>_xlfn.XLOOKUP(Table3[[#This Row],[Cuenta]],Estructura_Balance[Nombre Cuenta ()],Estructura_Balance[Nivel 4],"",0)</f>
        <v/>
      </c>
      <c r="R1019" t="str">
        <f>_xlfn.XLOOKUP(Table3[[#This Row],[Cuenta]],Table8[Nombre Cuenta ()],Table8[Nivel 1],"",0)</f>
        <v/>
      </c>
      <c r="S1019" t="str">
        <f>_xlfn.XLOOKUP(Table3[[#This Row],[Cuenta]],Table8[Nombre Cuenta ()],Table8[Nivel 2],"",0)</f>
        <v/>
      </c>
      <c r="T1019" t="str">
        <f>_xlfn.XLOOKUP(Table3[[#This Row],[Cuenta]],Table8[Nombre Cuenta ()],Table8[Nivel 3],"",0)</f>
        <v/>
      </c>
      <c r="U1019">
        <v>1723</v>
      </c>
      <c r="V1019" t="str">
        <f>_xlfn.XLOOKUP(Table3[[#This Row],[Cuenta]],Estructura_Balance[Nombre Cuenta ()],Estructura_Balance[Niveles:2],"",0)</f>
        <v/>
      </c>
      <c r="W1019" t="str">
        <f>_xlfn.XLOOKUP(Table3[[#This Row],[Cuenta]],Estructura_Balance[Nombre Cuenta ()],Estructura_Balance[Niveles:3],"",0)</f>
        <v/>
      </c>
      <c r="X1019" t="str">
        <f>_xlfn.XLOOKUP(Table3[[#This Row],[Cuenta]],Estructura_Balance[Nombre Cuenta ()],Estructura_Balance[Grupos],"Grupo 1",0)</f>
        <v>Grupo 1</v>
      </c>
      <c r="Y1019" t="str">
        <f>+Table3[[#This Row],[BS_Nivel_1]]</f>
        <v/>
      </c>
    </row>
    <row r="1020" spans="1:25" ht="15" customHeight="1">
      <c r="A1020">
        <f>+'Libro Diario'!F331</f>
        <v>0</v>
      </c>
      <c r="B1020" s="144">
        <f>VALUE(IF(+'Libro Diario'!G331="","01/01/2025",+'Libro Diario'!G331))</f>
        <v>45658</v>
      </c>
      <c r="C1020">
        <f>IF(ISNUMBER(+IF(IFERROR(VALUE(MID('Libro Diario'!D331,1,4)),0)&lt;&gt;0,'Libro Diario'!D331,0))=FALSE,'Libro Diario'!D331,0)</f>
        <v>0</v>
      </c>
      <c r="D1020" s="145" t="str">
        <f>+'Libro Diario'!E331</f>
        <v>HABER</v>
      </c>
      <c r="E1020" s="139" t="s">
        <v>446</v>
      </c>
      <c r="F1020" t="str">
        <f t="shared" si="45"/>
        <v>Sin Mov.</v>
      </c>
      <c r="G1020" t="str">
        <f>IF(+'Libro Diario'!H331=0,"",+'Libro Diario'!H331)</f>
        <v/>
      </c>
      <c r="H1020" t="str">
        <f>IF(+'Libro Diario'!I331=0,"",+'Libro Diario'!I331)</f>
        <v/>
      </c>
      <c r="I1020" t="str">
        <f>+IF(Table3[[#This Row],[Tipo Movimiento]]="Estructura Balance y PyG","Excluir","Incluir")</f>
        <v>Incluir</v>
      </c>
      <c r="J1020" s="153">
        <f>+IF(Table3[[#This Row],[Sin cuenta]]="Con Mov.",(IF(Table3[[#This Row],[Movimiento]]="Debe",Table3[[#This Row],[Importe]],IF(Table3[[#This Row],[Movimiento]]="Haber",Table3[[#This Row],[Importe]]*-1,0))),0)</f>
        <v>0</v>
      </c>
      <c r="K1020" s="145" t="str">
        <f t="shared" si="46"/>
        <v/>
      </c>
      <c r="L1020" s="145" t="str">
        <f t="shared" si="47"/>
        <v>HABER</v>
      </c>
      <c r="M1020" t="str">
        <f>_xlfn.XLOOKUP(Table3[[#This Row],[Cuenta]],Estructura_Balance[Nombre Cuenta ()],Estructura_Balance[Grupo],"",0)</f>
        <v/>
      </c>
      <c r="N1020" t="str">
        <f>_xlfn.XLOOKUP(Table3[[#This Row],[Cuenta]],Estructura_Balance[Nombre Cuenta ()],Estructura_Balance[Nivel 1],"",0)</f>
        <v/>
      </c>
      <c r="O1020" t="str">
        <f>_xlfn.XLOOKUP(Table3[[#This Row],[Cuenta]],Estructura_Balance[Nombre Cuenta ()],Estructura_Balance[Nivel 2],"",0)</f>
        <v/>
      </c>
      <c r="P1020" t="str">
        <f>_xlfn.XLOOKUP(Table3[[#This Row],[Cuenta]],Estructura_Balance[Nombre Cuenta ()],Estructura_Balance[Nivel 3],"",0)</f>
        <v/>
      </c>
      <c r="Q1020" t="str">
        <f>_xlfn.XLOOKUP(Table3[[#This Row],[Cuenta]],Estructura_Balance[Nombre Cuenta ()],Estructura_Balance[Nivel 4],"",0)</f>
        <v/>
      </c>
      <c r="R1020" t="str">
        <f>_xlfn.XLOOKUP(Table3[[#This Row],[Cuenta]],Table8[Nombre Cuenta ()],Table8[Nivel 1],"",0)</f>
        <v/>
      </c>
      <c r="S1020" t="str">
        <f>_xlfn.XLOOKUP(Table3[[#This Row],[Cuenta]],Table8[Nombre Cuenta ()],Table8[Nivel 2],"",0)</f>
        <v/>
      </c>
      <c r="T1020" t="str">
        <f>_xlfn.XLOOKUP(Table3[[#This Row],[Cuenta]],Table8[Nombre Cuenta ()],Table8[Nivel 3],"",0)</f>
        <v/>
      </c>
      <c r="U1020">
        <v>1724</v>
      </c>
      <c r="V1020" t="str">
        <f>_xlfn.XLOOKUP(Table3[[#This Row],[Cuenta]],Estructura_Balance[Nombre Cuenta ()],Estructura_Balance[Niveles:2],"",0)</f>
        <v/>
      </c>
      <c r="W1020" t="str">
        <f>_xlfn.XLOOKUP(Table3[[#This Row],[Cuenta]],Estructura_Balance[Nombre Cuenta ()],Estructura_Balance[Niveles:3],"",0)</f>
        <v/>
      </c>
      <c r="X1020" t="str">
        <f>_xlfn.XLOOKUP(Table3[[#This Row],[Cuenta]],Estructura_Balance[Nombre Cuenta ()],Estructura_Balance[Grupos],"Grupo 1",0)</f>
        <v>Grupo 1</v>
      </c>
      <c r="Y1020" t="str">
        <f>+Table3[[#This Row],[BS_Nivel_1]]</f>
        <v/>
      </c>
    </row>
    <row r="1021" spans="1:25" ht="15" customHeight="1">
      <c r="A1021">
        <f>+'Libro Diario'!F332</f>
        <v>0</v>
      </c>
      <c r="B1021" s="144">
        <f>VALUE(IF(+'Libro Diario'!G332="","01/01/2025",+'Libro Diario'!G332))</f>
        <v>45658</v>
      </c>
      <c r="C1021">
        <f>IF(ISNUMBER(+IF(IFERROR(VALUE(MID('Libro Diario'!D332,1,4)),0)&lt;&gt;0,'Libro Diario'!D332,0))=FALSE,'Libro Diario'!D332,0)</f>
        <v>0</v>
      </c>
      <c r="D1021" s="145">
        <f>+'Libro Diario'!E332</f>
        <v>0</v>
      </c>
      <c r="E1021" s="139" t="s">
        <v>446</v>
      </c>
      <c r="F1021" t="str">
        <f t="shared" si="45"/>
        <v>Sin Mov.</v>
      </c>
      <c r="G1021" t="str">
        <f>IF(+'Libro Diario'!H332=0,"",+'Libro Diario'!H332)</f>
        <v/>
      </c>
      <c r="H1021" t="str">
        <f>IF(+'Libro Diario'!I332=0,"",+'Libro Diario'!I332)</f>
        <v/>
      </c>
      <c r="I1021" t="str">
        <f>+IF(Table3[[#This Row],[Tipo Movimiento]]="Estructura Balance y PyG","Excluir","Incluir")</f>
        <v>Incluir</v>
      </c>
      <c r="J1021" s="153">
        <f>+IF(Table3[[#This Row],[Sin cuenta]]="Con Mov.",(IF(Table3[[#This Row],[Movimiento]]="Debe",Table3[[#This Row],[Importe]],IF(Table3[[#This Row],[Movimiento]]="Haber",Table3[[#This Row],[Importe]]*-1,0))),0)</f>
        <v>0</v>
      </c>
      <c r="K1021" s="145" t="str">
        <f t="shared" si="46"/>
        <v/>
      </c>
      <c r="L1021" s="145">
        <f t="shared" si="47"/>
        <v>0</v>
      </c>
      <c r="M1021" t="str">
        <f>_xlfn.XLOOKUP(Table3[[#This Row],[Cuenta]],Estructura_Balance[Nombre Cuenta ()],Estructura_Balance[Grupo],"",0)</f>
        <v/>
      </c>
      <c r="N1021" t="str">
        <f>_xlfn.XLOOKUP(Table3[[#This Row],[Cuenta]],Estructura_Balance[Nombre Cuenta ()],Estructura_Balance[Nivel 1],"",0)</f>
        <v/>
      </c>
      <c r="O1021" t="str">
        <f>_xlfn.XLOOKUP(Table3[[#This Row],[Cuenta]],Estructura_Balance[Nombre Cuenta ()],Estructura_Balance[Nivel 2],"",0)</f>
        <v/>
      </c>
      <c r="P1021" t="str">
        <f>_xlfn.XLOOKUP(Table3[[#This Row],[Cuenta]],Estructura_Balance[Nombre Cuenta ()],Estructura_Balance[Nivel 3],"",0)</f>
        <v/>
      </c>
      <c r="Q1021" t="str">
        <f>_xlfn.XLOOKUP(Table3[[#This Row],[Cuenta]],Estructura_Balance[Nombre Cuenta ()],Estructura_Balance[Nivel 4],"",0)</f>
        <v/>
      </c>
      <c r="R1021" t="str">
        <f>_xlfn.XLOOKUP(Table3[[#This Row],[Cuenta]],Table8[Nombre Cuenta ()],Table8[Nivel 1],"",0)</f>
        <v/>
      </c>
      <c r="S1021" t="str">
        <f>_xlfn.XLOOKUP(Table3[[#This Row],[Cuenta]],Table8[Nombre Cuenta ()],Table8[Nivel 2],"",0)</f>
        <v/>
      </c>
      <c r="T1021" t="str">
        <f>_xlfn.XLOOKUP(Table3[[#This Row],[Cuenta]],Table8[Nombre Cuenta ()],Table8[Nivel 3],"",0)</f>
        <v/>
      </c>
      <c r="U1021">
        <v>1725</v>
      </c>
      <c r="V1021" t="str">
        <f>_xlfn.XLOOKUP(Table3[[#This Row],[Cuenta]],Estructura_Balance[Nombre Cuenta ()],Estructura_Balance[Niveles:2],"",0)</f>
        <v/>
      </c>
      <c r="W1021" t="str">
        <f>_xlfn.XLOOKUP(Table3[[#This Row],[Cuenta]],Estructura_Balance[Nombre Cuenta ()],Estructura_Balance[Niveles:3],"",0)</f>
        <v/>
      </c>
      <c r="X1021" t="str">
        <f>_xlfn.XLOOKUP(Table3[[#This Row],[Cuenta]],Estructura_Balance[Nombre Cuenta ()],Estructura_Balance[Grupos],"Grupo 1",0)</f>
        <v>Grupo 1</v>
      </c>
      <c r="Y1021" t="str">
        <f>+Table3[[#This Row],[BS_Nivel_1]]</f>
        <v/>
      </c>
    </row>
    <row r="1022" spans="1:25" ht="15" customHeight="1">
      <c r="A1022">
        <f>+'Libro Diario'!F336</f>
        <v>0</v>
      </c>
      <c r="B1022" s="144">
        <f>VALUE(IF(+'Libro Diario'!G336="","01/01/2025",+'Libro Diario'!G336))</f>
        <v>45658</v>
      </c>
      <c r="C1022">
        <f>IF(ISNUMBER(+IF(IFERROR(VALUE(MID('Libro Diario'!D336,1,4)),0)&lt;&gt;0,'Libro Diario'!D336,0))=FALSE,'Libro Diario'!D336,0)</f>
        <v>0</v>
      </c>
      <c r="D1022" s="145">
        <f>+'Libro Diario'!E336</f>
        <v>0</v>
      </c>
      <c r="E1022" s="139" t="s">
        <v>446</v>
      </c>
      <c r="F1022" t="str">
        <f t="shared" si="45"/>
        <v>Sin Mov.</v>
      </c>
      <c r="G1022" t="str">
        <f>IF(+'Libro Diario'!H336=0,"",+'Libro Diario'!H336)</f>
        <v/>
      </c>
      <c r="H1022" t="str">
        <f>IF(+'Libro Diario'!I336=0,"",+'Libro Diario'!I336)</f>
        <v/>
      </c>
      <c r="I1022" t="str">
        <f>+IF(Table3[[#This Row],[Tipo Movimiento]]="Estructura Balance y PyG","Excluir","Incluir")</f>
        <v>Incluir</v>
      </c>
      <c r="J1022" s="153">
        <f>+IF(Table3[[#This Row],[Sin cuenta]]="Con Mov.",(IF(Table3[[#This Row],[Movimiento]]="Debe",Table3[[#This Row],[Importe]],IF(Table3[[#This Row],[Movimiento]]="Haber",Table3[[#This Row],[Importe]]*-1,0))),0)</f>
        <v>0</v>
      </c>
      <c r="K1022" s="145" t="str">
        <f t="shared" si="46"/>
        <v/>
      </c>
      <c r="L1022" s="145">
        <f t="shared" si="47"/>
        <v>0</v>
      </c>
      <c r="M1022" t="str">
        <f>_xlfn.XLOOKUP(Table3[[#This Row],[Cuenta]],Estructura_Balance[Nombre Cuenta ()],Estructura_Balance[Grupo],"",0)</f>
        <v/>
      </c>
      <c r="N1022" t="str">
        <f>_xlfn.XLOOKUP(Table3[[#This Row],[Cuenta]],Estructura_Balance[Nombre Cuenta ()],Estructura_Balance[Nivel 1],"",0)</f>
        <v/>
      </c>
      <c r="O1022" t="str">
        <f>_xlfn.XLOOKUP(Table3[[#This Row],[Cuenta]],Estructura_Balance[Nombre Cuenta ()],Estructura_Balance[Nivel 2],"",0)</f>
        <v/>
      </c>
      <c r="P1022" t="str">
        <f>_xlfn.XLOOKUP(Table3[[#This Row],[Cuenta]],Estructura_Balance[Nombre Cuenta ()],Estructura_Balance[Nivel 3],"",0)</f>
        <v/>
      </c>
      <c r="Q1022" t="str">
        <f>_xlfn.XLOOKUP(Table3[[#This Row],[Cuenta]],Estructura_Balance[Nombre Cuenta ()],Estructura_Balance[Nivel 4],"",0)</f>
        <v/>
      </c>
      <c r="R1022" t="str">
        <f>_xlfn.XLOOKUP(Table3[[#This Row],[Cuenta]],Table8[Nombre Cuenta ()],Table8[Nivel 1],"",0)</f>
        <v/>
      </c>
      <c r="S1022" t="str">
        <f>_xlfn.XLOOKUP(Table3[[#This Row],[Cuenta]],Table8[Nombre Cuenta ()],Table8[Nivel 2],"",0)</f>
        <v/>
      </c>
      <c r="T1022" t="str">
        <f>_xlfn.XLOOKUP(Table3[[#This Row],[Cuenta]],Table8[Nombre Cuenta ()],Table8[Nivel 3],"",0)</f>
        <v/>
      </c>
      <c r="U1022">
        <v>1729</v>
      </c>
      <c r="V1022" t="str">
        <f>_xlfn.XLOOKUP(Table3[[#This Row],[Cuenta]],Estructura_Balance[Nombre Cuenta ()],Estructura_Balance[Niveles:2],"",0)</f>
        <v/>
      </c>
      <c r="W1022" t="str">
        <f>_xlfn.XLOOKUP(Table3[[#This Row],[Cuenta]],Estructura_Balance[Nombre Cuenta ()],Estructura_Balance[Niveles:3],"",0)</f>
        <v/>
      </c>
      <c r="X1022" t="str">
        <f>_xlfn.XLOOKUP(Table3[[#This Row],[Cuenta]],Estructura_Balance[Nombre Cuenta ()],Estructura_Balance[Grupos],"Grupo 1",0)</f>
        <v>Grupo 1</v>
      </c>
      <c r="Y1022" t="str">
        <f>+Table3[[#This Row],[BS_Nivel_1]]</f>
        <v/>
      </c>
    </row>
    <row r="1023" spans="1:25" ht="15" customHeight="1">
      <c r="A1023">
        <f>+'Libro Diario'!F337</f>
        <v>0</v>
      </c>
      <c r="B1023" s="144">
        <f>VALUE(IF(+'Libro Diario'!G337="","01/01/2025",+'Libro Diario'!G337))</f>
        <v>45658</v>
      </c>
      <c r="C1023">
        <f>IF(ISNUMBER(+IF(IFERROR(VALUE(MID('Libro Diario'!D337,1,4)),0)&lt;&gt;0,'Libro Diario'!D337,0))=FALSE,'Libro Diario'!D337,0)</f>
        <v>0</v>
      </c>
      <c r="D1023" s="145">
        <f>+'Libro Diario'!E337</f>
        <v>0</v>
      </c>
      <c r="E1023" s="139" t="s">
        <v>446</v>
      </c>
      <c r="F1023" t="str">
        <f t="shared" si="45"/>
        <v>Sin Mov.</v>
      </c>
      <c r="G1023" t="str">
        <f>IF(+'Libro Diario'!H337=0,"",+'Libro Diario'!H337)</f>
        <v/>
      </c>
      <c r="H1023" t="str">
        <f>IF(+'Libro Diario'!I337=0,"",+'Libro Diario'!I337)</f>
        <v/>
      </c>
      <c r="I1023" t="str">
        <f>+IF(Table3[[#This Row],[Tipo Movimiento]]="Estructura Balance y PyG","Excluir","Incluir")</f>
        <v>Incluir</v>
      </c>
      <c r="J1023" s="153">
        <f>+IF(Table3[[#This Row],[Sin cuenta]]="Con Mov.",(IF(Table3[[#This Row],[Movimiento]]="Debe",Table3[[#This Row],[Importe]],IF(Table3[[#This Row],[Movimiento]]="Haber",Table3[[#This Row],[Importe]]*-1,0))),0)</f>
        <v>0</v>
      </c>
      <c r="K1023" s="145" t="str">
        <f t="shared" si="46"/>
        <v/>
      </c>
      <c r="L1023" s="145">
        <f t="shared" si="47"/>
        <v>0</v>
      </c>
      <c r="M1023" t="str">
        <f>_xlfn.XLOOKUP(Table3[[#This Row],[Cuenta]],Estructura_Balance[Nombre Cuenta ()],Estructura_Balance[Grupo],"",0)</f>
        <v/>
      </c>
      <c r="N1023" t="str">
        <f>_xlfn.XLOOKUP(Table3[[#This Row],[Cuenta]],Estructura_Balance[Nombre Cuenta ()],Estructura_Balance[Nivel 1],"",0)</f>
        <v/>
      </c>
      <c r="O1023" t="str">
        <f>_xlfn.XLOOKUP(Table3[[#This Row],[Cuenta]],Estructura_Balance[Nombre Cuenta ()],Estructura_Balance[Nivel 2],"",0)</f>
        <v/>
      </c>
      <c r="P1023" t="str">
        <f>_xlfn.XLOOKUP(Table3[[#This Row],[Cuenta]],Estructura_Balance[Nombre Cuenta ()],Estructura_Balance[Nivel 3],"",0)</f>
        <v/>
      </c>
      <c r="Q1023" t="str">
        <f>_xlfn.XLOOKUP(Table3[[#This Row],[Cuenta]],Estructura_Balance[Nombre Cuenta ()],Estructura_Balance[Nivel 4],"",0)</f>
        <v/>
      </c>
      <c r="R1023" t="str">
        <f>_xlfn.XLOOKUP(Table3[[#This Row],[Cuenta]],Table8[Nombre Cuenta ()],Table8[Nivel 1],"",0)</f>
        <v/>
      </c>
      <c r="S1023" t="str">
        <f>_xlfn.XLOOKUP(Table3[[#This Row],[Cuenta]],Table8[Nombre Cuenta ()],Table8[Nivel 2],"",0)</f>
        <v/>
      </c>
      <c r="T1023" t="str">
        <f>_xlfn.XLOOKUP(Table3[[#This Row],[Cuenta]],Table8[Nombre Cuenta ()],Table8[Nivel 3],"",0)</f>
        <v/>
      </c>
      <c r="U1023">
        <v>1730</v>
      </c>
      <c r="V1023" t="str">
        <f>_xlfn.XLOOKUP(Table3[[#This Row],[Cuenta]],Estructura_Balance[Nombre Cuenta ()],Estructura_Balance[Niveles:2],"",0)</f>
        <v/>
      </c>
      <c r="W1023" t="str">
        <f>_xlfn.XLOOKUP(Table3[[#This Row],[Cuenta]],Estructura_Balance[Nombre Cuenta ()],Estructura_Balance[Niveles:3],"",0)</f>
        <v/>
      </c>
      <c r="X1023" t="str">
        <f>_xlfn.XLOOKUP(Table3[[#This Row],[Cuenta]],Estructura_Balance[Nombre Cuenta ()],Estructura_Balance[Grupos],"Grupo 1",0)</f>
        <v>Grupo 1</v>
      </c>
      <c r="Y1023" t="str">
        <f>+Table3[[#This Row],[BS_Nivel_1]]</f>
        <v/>
      </c>
    </row>
    <row r="1024" spans="1:25" ht="15" customHeight="1">
      <c r="A1024">
        <f>+'Libro Diario'!F338</f>
        <v>0</v>
      </c>
      <c r="B1024" s="144">
        <f>VALUE(IF(+'Libro Diario'!G338="","01/01/2025",+'Libro Diario'!G338))</f>
        <v>45658</v>
      </c>
      <c r="C1024">
        <f>IF(ISNUMBER(+IF(IFERROR(VALUE(MID('Libro Diario'!D338,1,4)),0)&lt;&gt;0,'Libro Diario'!D338,0))=FALSE,'Libro Diario'!D338,0)</f>
        <v>0</v>
      </c>
      <c r="D1024" s="145">
        <f>+'Libro Diario'!E338</f>
        <v>0</v>
      </c>
      <c r="E1024" s="139" t="s">
        <v>446</v>
      </c>
      <c r="F1024" t="str">
        <f t="shared" si="45"/>
        <v>Sin Mov.</v>
      </c>
      <c r="G1024" t="str">
        <f>IF(+'Libro Diario'!H338=0,"",+'Libro Diario'!H338)</f>
        <v/>
      </c>
      <c r="H1024" t="str">
        <f>IF(+'Libro Diario'!I338=0,"",+'Libro Diario'!I338)</f>
        <v/>
      </c>
      <c r="I1024" t="str">
        <f>+IF(Table3[[#This Row],[Tipo Movimiento]]="Estructura Balance y PyG","Excluir","Incluir")</f>
        <v>Incluir</v>
      </c>
      <c r="J1024" s="153">
        <f>+IF(Table3[[#This Row],[Sin cuenta]]="Con Mov.",(IF(Table3[[#This Row],[Movimiento]]="Debe",Table3[[#This Row],[Importe]],IF(Table3[[#This Row],[Movimiento]]="Haber",Table3[[#This Row],[Importe]]*-1,0))),0)</f>
        <v>0</v>
      </c>
      <c r="K1024" s="145" t="str">
        <f t="shared" si="46"/>
        <v/>
      </c>
      <c r="L1024" s="145">
        <f t="shared" si="47"/>
        <v>0</v>
      </c>
      <c r="M1024" t="str">
        <f>_xlfn.XLOOKUP(Table3[[#This Row],[Cuenta]],Estructura_Balance[Nombre Cuenta ()],Estructura_Balance[Grupo],"",0)</f>
        <v/>
      </c>
      <c r="N1024" t="str">
        <f>_xlfn.XLOOKUP(Table3[[#This Row],[Cuenta]],Estructura_Balance[Nombre Cuenta ()],Estructura_Balance[Nivel 1],"",0)</f>
        <v/>
      </c>
      <c r="O1024" t="str">
        <f>_xlfn.XLOOKUP(Table3[[#This Row],[Cuenta]],Estructura_Balance[Nombre Cuenta ()],Estructura_Balance[Nivel 2],"",0)</f>
        <v/>
      </c>
      <c r="P1024" t="str">
        <f>_xlfn.XLOOKUP(Table3[[#This Row],[Cuenta]],Estructura_Balance[Nombre Cuenta ()],Estructura_Balance[Nivel 3],"",0)</f>
        <v/>
      </c>
      <c r="Q1024" t="str">
        <f>_xlfn.XLOOKUP(Table3[[#This Row],[Cuenta]],Estructura_Balance[Nombre Cuenta ()],Estructura_Balance[Nivel 4],"",0)</f>
        <v/>
      </c>
      <c r="R1024" t="str">
        <f>_xlfn.XLOOKUP(Table3[[#This Row],[Cuenta]],Table8[Nombre Cuenta ()],Table8[Nivel 1],"",0)</f>
        <v/>
      </c>
      <c r="S1024" t="str">
        <f>_xlfn.XLOOKUP(Table3[[#This Row],[Cuenta]],Table8[Nombre Cuenta ()],Table8[Nivel 2],"",0)</f>
        <v/>
      </c>
      <c r="T1024" t="str">
        <f>_xlfn.XLOOKUP(Table3[[#This Row],[Cuenta]],Table8[Nombre Cuenta ()],Table8[Nivel 3],"",0)</f>
        <v/>
      </c>
      <c r="U1024">
        <v>1731</v>
      </c>
      <c r="V1024" t="str">
        <f>_xlfn.XLOOKUP(Table3[[#This Row],[Cuenta]],Estructura_Balance[Nombre Cuenta ()],Estructura_Balance[Niveles:2],"",0)</f>
        <v/>
      </c>
      <c r="W1024" t="str">
        <f>_xlfn.XLOOKUP(Table3[[#This Row],[Cuenta]],Estructura_Balance[Nombre Cuenta ()],Estructura_Balance[Niveles:3],"",0)</f>
        <v/>
      </c>
      <c r="X1024" t="str">
        <f>_xlfn.XLOOKUP(Table3[[#This Row],[Cuenta]],Estructura_Balance[Nombre Cuenta ()],Estructura_Balance[Grupos],"Grupo 1",0)</f>
        <v>Grupo 1</v>
      </c>
      <c r="Y1024" t="str">
        <f>+Table3[[#This Row],[BS_Nivel_1]]</f>
        <v/>
      </c>
    </row>
    <row r="1025" spans="1:25" ht="15" customHeight="1">
      <c r="A1025">
        <f>+'Libro Diario'!F339</f>
        <v>0</v>
      </c>
      <c r="B1025" s="144">
        <f>VALUE(IF(+'Libro Diario'!G339="","01/01/2025",+'Libro Diario'!G339))</f>
        <v>45658</v>
      </c>
      <c r="C1025">
        <f>IF(ISNUMBER(+IF(IFERROR(VALUE(MID('Libro Diario'!D339,1,4)),0)&lt;&gt;0,'Libro Diario'!D339,0))=FALSE,'Libro Diario'!D339,0)</f>
        <v>0</v>
      </c>
      <c r="D1025" s="145" t="str">
        <f>+'Libro Diario'!E339</f>
        <v>HABER</v>
      </c>
      <c r="E1025" s="139" t="s">
        <v>446</v>
      </c>
      <c r="F1025" t="str">
        <f t="shared" si="45"/>
        <v>Sin Mov.</v>
      </c>
      <c r="G1025" t="str">
        <f>IF(+'Libro Diario'!H339=0,"",+'Libro Diario'!H339)</f>
        <v/>
      </c>
      <c r="H1025" t="str">
        <f>IF(+'Libro Diario'!I339=0,"",+'Libro Diario'!I339)</f>
        <v/>
      </c>
      <c r="I1025" t="str">
        <f>+IF(Table3[[#This Row],[Tipo Movimiento]]="Estructura Balance y PyG","Excluir","Incluir")</f>
        <v>Incluir</v>
      </c>
      <c r="J1025" s="153">
        <f>+IF(Table3[[#This Row],[Sin cuenta]]="Con Mov.",(IF(Table3[[#This Row],[Movimiento]]="Debe",Table3[[#This Row],[Importe]],IF(Table3[[#This Row],[Movimiento]]="Haber",Table3[[#This Row],[Importe]]*-1,0))),0)</f>
        <v>0</v>
      </c>
      <c r="K1025" s="145" t="str">
        <f t="shared" si="46"/>
        <v/>
      </c>
      <c r="L1025" s="145" t="str">
        <f t="shared" si="47"/>
        <v>HABER</v>
      </c>
      <c r="M1025" t="str">
        <f>_xlfn.XLOOKUP(Table3[[#This Row],[Cuenta]],Estructura_Balance[Nombre Cuenta ()],Estructura_Balance[Grupo],"",0)</f>
        <v/>
      </c>
      <c r="N1025" t="str">
        <f>_xlfn.XLOOKUP(Table3[[#This Row],[Cuenta]],Estructura_Balance[Nombre Cuenta ()],Estructura_Balance[Nivel 1],"",0)</f>
        <v/>
      </c>
      <c r="O1025" t="str">
        <f>_xlfn.XLOOKUP(Table3[[#This Row],[Cuenta]],Estructura_Balance[Nombre Cuenta ()],Estructura_Balance[Nivel 2],"",0)</f>
        <v/>
      </c>
      <c r="P1025" t="str">
        <f>_xlfn.XLOOKUP(Table3[[#This Row],[Cuenta]],Estructura_Balance[Nombre Cuenta ()],Estructura_Balance[Nivel 3],"",0)</f>
        <v/>
      </c>
      <c r="Q1025" t="str">
        <f>_xlfn.XLOOKUP(Table3[[#This Row],[Cuenta]],Estructura_Balance[Nombre Cuenta ()],Estructura_Balance[Nivel 4],"",0)</f>
        <v/>
      </c>
      <c r="R1025" t="str">
        <f>_xlfn.XLOOKUP(Table3[[#This Row],[Cuenta]],Table8[Nombre Cuenta ()],Table8[Nivel 1],"",0)</f>
        <v/>
      </c>
      <c r="S1025" t="str">
        <f>_xlfn.XLOOKUP(Table3[[#This Row],[Cuenta]],Table8[Nombre Cuenta ()],Table8[Nivel 2],"",0)</f>
        <v/>
      </c>
      <c r="T1025" t="str">
        <f>_xlfn.XLOOKUP(Table3[[#This Row],[Cuenta]],Table8[Nombre Cuenta ()],Table8[Nivel 3],"",0)</f>
        <v/>
      </c>
      <c r="U1025">
        <v>1732</v>
      </c>
      <c r="V1025" t="str">
        <f>_xlfn.XLOOKUP(Table3[[#This Row],[Cuenta]],Estructura_Balance[Nombre Cuenta ()],Estructura_Balance[Niveles:2],"",0)</f>
        <v/>
      </c>
      <c r="W1025" t="str">
        <f>_xlfn.XLOOKUP(Table3[[#This Row],[Cuenta]],Estructura_Balance[Nombre Cuenta ()],Estructura_Balance[Niveles:3],"",0)</f>
        <v/>
      </c>
      <c r="X1025" t="str">
        <f>_xlfn.XLOOKUP(Table3[[#This Row],[Cuenta]],Estructura_Balance[Nombre Cuenta ()],Estructura_Balance[Grupos],"Grupo 1",0)</f>
        <v>Grupo 1</v>
      </c>
      <c r="Y1025" t="str">
        <f>+Table3[[#This Row],[BS_Nivel_1]]</f>
        <v/>
      </c>
    </row>
    <row r="1026" spans="1:25" ht="15" customHeight="1">
      <c r="A1026">
        <f>+'Libro Diario'!F340</f>
        <v>0</v>
      </c>
      <c r="B1026" s="144">
        <f>VALUE(IF(+'Libro Diario'!G340="","01/01/2025",+'Libro Diario'!G340))</f>
        <v>45658</v>
      </c>
      <c r="C1026">
        <f>IF(ISNUMBER(+IF(IFERROR(VALUE(MID('Libro Diario'!D340,1,4)),0)&lt;&gt;0,'Libro Diario'!D340,0))=FALSE,'Libro Diario'!D340,0)</f>
        <v>0</v>
      </c>
      <c r="D1026" s="145">
        <f>+'Libro Diario'!E340</f>
        <v>0</v>
      </c>
      <c r="E1026" s="139" t="s">
        <v>446</v>
      </c>
      <c r="F1026" t="str">
        <f t="shared" si="45"/>
        <v>Sin Mov.</v>
      </c>
      <c r="G1026" t="str">
        <f>IF(+'Libro Diario'!H340=0,"",+'Libro Diario'!H340)</f>
        <v/>
      </c>
      <c r="H1026" t="str">
        <f>IF(+'Libro Diario'!I340=0,"",+'Libro Diario'!I340)</f>
        <v/>
      </c>
      <c r="I1026" t="str">
        <f>+IF(Table3[[#This Row],[Tipo Movimiento]]="Estructura Balance y PyG","Excluir","Incluir")</f>
        <v>Incluir</v>
      </c>
      <c r="J1026" s="153">
        <f>+IF(Table3[[#This Row],[Sin cuenta]]="Con Mov.",(IF(Table3[[#This Row],[Movimiento]]="Debe",Table3[[#This Row],[Importe]],IF(Table3[[#This Row],[Movimiento]]="Haber",Table3[[#This Row],[Importe]]*-1,0))),0)</f>
        <v>0</v>
      </c>
      <c r="K1026" s="145" t="str">
        <f t="shared" si="46"/>
        <v/>
      </c>
      <c r="L1026" s="145">
        <f t="shared" si="47"/>
        <v>0</v>
      </c>
      <c r="M1026" t="str">
        <f>_xlfn.XLOOKUP(Table3[[#This Row],[Cuenta]],Estructura_Balance[Nombre Cuenta ()],Estructura_Balance[Grupo],"",0)</f>
        <v/>
      </c>
      <c r="N1026" t="str">
        <f>_xlfn.XLOOKUP(Table3[[#This Row],[Cuenta]],Estructura_Balance[Nombre Cuenta ()],Estructura_Balance[Nivel 1],"",0)</f>
        <v/>
      </c>
      <c r="O1026" t="str">
        <f>_xlfn.XLOOKUP(Table3[[#This Row],[Cuenta]],Estructura_Balance[Nombre Cuenta ()],Estructura_Balance[Nivel 2],"",0)</f>
        <v/>
      </c>
      <c r="P1026" t="str">
        <f>_xlfn.XLOOKUP(Table3[[#This Row],[Cuenta]],Estructura_Balance[Nombre Cuenta ()],Estructura_Balance[Nivel 3],"",0)</f>
        <v/>
      </c>
      <c r="Q1026" t="str">
        <f>_xlfn.XLOOKUP(Table3[[#This Row],[Cuenta]],Estructura_Balance[Nombre Cuenta ()],Estructura_Balance[Nivel 4],"",0)</f>
        <v/>
      </c>
      <c r="R1026" t="str">
        <f>_xlfn.XLOOKUP(Table3[[#This Row],[Cuenta]],Table8[Nombre Cuenta ()],Table8[Nivel 1],"",0)</f>
        <v/>
      </c>
      <c r="S1026" t="str">
        <f>_xlfn.XLOOKUP(Table3[[#This Row],[Cuenta]],Table8[Nombre Cuenta ()],Table8[Nivel 2],"",0)</f>
        <v/>
      </c>
      <c r="T1026" t="str">
        <f>_xlfn.XLOOKUP(Table3[[#This Row],[Cuenta]],Table8[Nombre Cuenta ()],Table8[Nivel 3],"",0)</f>
        <v/>
      </c>
      <c r="U1026">
        <v>1733</v>
      </c>
      <c r="V1026" t="str">
        <f>_xlfn.XLOOKUP(Table3[[#This Row],[Cuenta]],Estructura_Balance[Nombre Cuenta ()],Estructura_Balance[Niveles:2],"",0)</f>
        <v/>
      </c>
      <c r="W1026" t="str">
        <f>_xlfn.XLOOKUP(Table3[[#This Row],[Cuenta]],Estructura_Balance[Nombre Cuenta ()],Estructura_Balance[Niveles:3],"",0)</f>
        <v/>
      </c>
      <c r="X1026" t="str">
        <f>_xlfn.XLOOKUP(Table3[[#This Row],[Cuenta]],Estructura_Balance[Nombre Cuenta ()],Estructura_Balance[Grupos],"Grupo 1",0)</f>
        <v>Grupo 1</v>
      </c>
      <c r="Y1026" t="str">
        <f>+Table3[[#This Row],[BS_Nivel_1]]</f>
        <v/>
      </c>
    </row>
    <row r="1027" spans="1:25" ht="15" customHeight="1">
      <c r="A1027">
        <f>+'Libro Diario'!F343</f>
        <v>0</v>
      </c>
      <c r="B1027" s="144">
        <f>VALUE(IF(+'Libro Diario'!G343="","01/01/2025",+'Libro Diario'!G343))</f>
        <v>45658</v>
      </c>
      <c r="C1027">
        <f>IF(ISNUMBER(+IF(IFERROR(VALUE(MID('Libro Diario'!D343,1,4)),0)&lt;&gt;0,'Libro Diario'!D343,0))=FALSE,'Libro Diario'!D343,0)</f>
        <v>0</v>
      </c>
      <c r="D1027" s="145">
        <f>+'Libro Diario'!E343</f>
        <v>0</v>
      </c>
      <c r="E1027" s="139" t="s">
        <v>446</v>
      </c>
      <c r="F1027" t="str">
        <f t="shared" ref="F1027:F1090" si="48">+IF(C1027=0,"Sin Mov.","Con Mov.")</f>
        <v>Sin Mov.</v>
      </c>
      <c r="G1027" t="str">
        <f>IF(+'Libro Diario'!H343=0,"",+'Libro Diario'!H343)</f>
        <v/>
      </c>
      <c r="H1027" t="str">
        <f>IF(+'Libro Diario'!I343=0,"",+'Libro Diario'!I343)</f>
        <v/>
      </c>
      <c r="I1027" t="str">
        <f>+IF(Table3[[#This Row],[Tipo Movimiento]]="Estructura Balance y PyG","Excluir","Incluir")</f>
        <v>Incluir</v>
      </c>
      <c r="J1027" s="153">
        <f>+IF(Table3[[#This Row],[Sin cuenta]]="Con Mov.",(IF(Table3[[#This Row],[Movimiento]]="Debe",Table3[[#This Row],[Importe]],IF(Table3[[#This Row],[Movimiento]]="Haber",Table3[[#This Row],[Importe]]*-1,0))),0)</f>
        <v>0</v>
      </c>
      <c r="K1027" s="145" t="str">
        <f t="shared" ref="K1027:K1090" si="49">+IF(E1027="Debe",D1027,"")</f>
        <v/>
      </c>
      <c r="L1027" s="145">
        <f t="shared" ref="L1027:L1090" si="50">+IF(E1027="Haber",D1027,"")</f>
        <v>0</v>
      </c>
      <c r="M1027" t="str">
        <f>_xlfn.XLOOKUP(Table3[[#This Row],[Cuenta]],Estructura_Balance[Nombre Cuenta ()],Estructura_Balance[Grupo],"",0)</f>
        <v/>
      </c>
      <c r="N1027" t="str">
        <f>_xlfn.XLOOKUP(Table3[[#This Row],[Cuenta]],Estructura_Balance[Nombre Cuenta ()],Estructura_Balance[Nivel 1],"",0)</f>
        <v/>
      </c>
      <c r="O1027" t="str">
        <f>_xlfn.XLOOKUP(Table3[[#This Row],[Cuenta]],Estructura_Balance[Nombre Cuenta ()],Estructura_Balance[Nivel 2],"",0)</f>
        <v/>
      </c>
      <c r="P1027" t="str">
        <f>_xlfn.XLOOKUP(Table3[[#This Row],[Cuenta]],Estructura_Balance[Nombre Cuenta ()],Estructura_Balance[Nivel 3],"",0)</f>
        <v/>
      </c>
      <c r="Q1027" t="str">
        <f>_xlfn.XLOOKUP(Table3[[#This Row],[Cuenta]],Estructura_Balance[Nombre Cuenta ()],Estructura_Balance[Nivel 4],"",0)</f>
        <v/>
      </c>
      <c r="R1027" t="str">
        <f>_xlfn.XLOOKUP(Table3[[#This Row],[Cuenta]],Table8[Nombre Cuenta ()],Table8[Nivel 1],"",0)</f>
        <v/>
      </c>
      <c r="S1027" t="str">
        <f>_xlfn.XLOOKUP(Table3[[#This Row],[Cuenta]],Table8[Nombre Cuenta ()],Table8[Nivel 2],"",0)</f>
        <v/>
      </c>
      <c r="T1027" t="str">
        <f>_xlfn.XLOOKUP(Table3[[#This Row],[Cuenta]],Table8[Nombre Cuenta ()],Table8[Nivel 3],"",0)</f>
        <v/>
      </c>
      <c r="U1027">
        <v>1736</v>
      </c>
      <c r="V1027" t="str">
        <f>_xlfn.XLOOKUP(Table3[[#This Row],[Cuenta]],Estructura_Balance[Nombre Cuenta ()],Estructura_Balance[Niveles:2],"",0)</f>
        <v/>
      </c>
      <c r="W1027" t="str">
        <f>_xlfn.XLOOKUP(Table3[[#This Row],[Cuenta]],Estructura_Balance[Nombre Cuenta ()],Estructura_Balance[Niveles:3],"",0)</f>
        <v/>
      </c>
      <c r="X1027" t="str">
        <f>_xlfn.XLOOKUP(Table3[[#This Row],[Cuenta]],Estructura_Balance[Nombre Cuenta ()],Estructura_Balance[Grupos],"Grupo 1",0)</f>
        <v>Grupo 1</v>
      </c>
      <c r="Y1027" t="str">
        <f>+Table3[[#This Row],[BS_Nivel_1]]</f>
        <v/>
      </c>
    </row>
    <row r="1028" spans="1:25" ht="15" customHeight="1">
      <c r="A1028">
        <f>+'Libro Diario'!F344</f>
        <v>0</v>
      </c>
      <c r="B1028" s="144">
        <f>VALUE(IF(+'Libro Diario'!G344="","01/01/2025",+'Libro Diario'!G344))</f>
        <v>45658</v>
      </c>
      <c r="C1028">
        <f>IF(ISNUMBER(+IF(IFERROR(VALUE(MID('Libro Diario'!D344,1,4)),0)&lt;&gt;0,'Libro Diario'!D344,0))=FALSE,'Libro Diario'!D344,0)</f>
        <v>0</v>
      </c>
      <c r="D1028" s="145">
        <f>+'Libro Diario'!E344</f>
        <v>0</v>
      </c>
      <c r="E1028" s="139" t="s">
        <v>446</v>
      </c>
      <c r="F1028" t="str">
        <f t="shared" si="48"/>
        <v>Sin Mov.</v>
      </c>
      <c r="G1028" t="str">
        <f>IF(+'Libro Diario'!H344=0,"",+'Libro Diario'!H344)</f>
        <v/>
      </c>
      <c r="H1028" t="str">
        <f>IF(+'Libro Diario'!I344=0,"",+'Libro Diario'!I344)</f>
        <v/>
      </c>
      <c r="I1028" t="str">
        <f>+IF(Table3[[#This Row],[Tipo Movimiento]]="Estructura Balance y PyG","Excluir","Incluir")</f>
        <v>Incluir</v>
      </c>
      <c r="J1028" s="153">
        <f>+IF(Table3[[#This Row],[Sin cuenta]]="Con Mov.",(IF(Table3[[#This Row],[Movimiento]]="Debe",Table3[[#This Row],[Importe]],IF(Table3[[#This Row],[Movimiento]]="Haber",Table3[[#This Row],[Importe]]*-1,0))),0)</f>
        <v>0</v>
      </c>
      <c r="K1028" s="145" t="str">
        <f t="shared" si="49"/>
        <v/>
      </c>
      <c r="L1028" s="145">
        <f t="shared" si="50"/>
        <v>0</v>
      </c>
      <c r="M1028" t="str">
        <f>_xlfn.XLOOKUP(Table3[[#This Row],[Cuenta]],Estructura_Balance[Nombre Cuenta ()],Estructura_Balance[Grupo],"",0)</f>
        <v/>
      </c>
      <c r="N1028" t="str">
        <f>_xlfn.XLOOKUP(Table3[[#This Row],[Cuenta]],Estructura_Balance[Nombre Cuenta ()],Estructura_Balance[Nivel 1],"",0)</f>
        <v/>
      </c>
      <c r="O1028" t="str">
        <f>_xlfn.XLOOKUP(Table3[[#This Row],[Cuenta]],Estructura_Balance[Nombre Cuenta ()],Estructura_Balance[Nivel 2],"",0)</f>
        <v/>
      </c>
      <c r="P1028" t="str">
        <f>_xlfn.XLOOKUP(Table3[[#This Row],[Cuenta]],Estructura_Balance[Nombre Cuenta ()],Estructura_Balance[Nivel 3],"",0)</f>
        <v/>
      </c>
      <c r="Q1028" t="str">
        <f>_xlfn.XLOOKUP(Table3[[#This Row],[Cuenta]],Estructura_Balance[Nombre Cuenta ()],Estructura_Balance[Nivel 4],"",0)</f>
        <v/>
      </c>
      <c r="R1028" t="str">
        <f>_xlfn.XLOOKUP(Table3[[#This Row],[Cuenta]],Table8[Nombre Cuenta ()],Table8[Nivel 1],"",0)</f>
        <v/>
      </c>
      <c r="S1028" t="str">
        <f>_xlfn.XLOOKUP(Table3[[#This Row],[Cuenta]],Table8[Nombre Cuenta ()],Table8[Nivel 2],"",0)</f>
        <v/>
      </c>
      <c r="T1028" t="str">
        <f>_xlfn.XLOOKUP(Table3[[#This Row],[Cuenta]],Table8[Nombre Cuenta ()],Table8[Nivel 3],"",0)</f>
        <v/>
      </c>
      <c r="U1028">
        <v>1737</v>
      </c>
      <c r="V1028" t="str">
        <f>_xlfn.XLOOKUP(Table3[[#This Row],[Cuenta]],Estructura_Balance[Nombre Cuenta ()],Estructura_Balance[Niveles:2],"",0)</f>
        <v/>
      </c>
      <c r="W1028" t="str">
        <f>_xlfn.XLOOKUP(Table3[[#This Row],[Cuenta]],Estructura_Balance[Nombre Cuenta ()],Estructura_Balance[Niveles:3],"",0)</f>
        <v/>
      </c>
      <c r="X1028" t="str">
        <f>_xlfn.XLOOKUP(Table3[[#This Row],[Cuenta]],Estructura_Balance[Nombre Cuenta ()],Estructura_Balance[Grupos],"Grupo 1",0)</f>
        <v>Grupo 1</v>
      </c>
      <c r="Y1028" t="str">
        <f>+Table3[[#This Row],[BS_Nivel_1]]</f>
        <v/>
      </c>
    </row>
    <row r="1029" spans="1:25" ht="15" customHeight="1">
      <c r="A1029">
        <f>+'Libro Diario'!F345</f>
        <v>0</v>
      </c>
      <c r="B1029" s="144">
        <f>VALUE(IF(+'Libro Diario'!G345="","01/01/2025",+'Libro Diario'!G345))</f>
        <v>45658</v>
      </c>
      <c r="C1029">
        <f>IF(ISNUMBER(+IF(IFERROR(VALUE(MID('Libro Diario'!D345,1,4)),0)&lt;&gt;0,'Libro Diario'!D345,0))=FALSE,'Libro Diario'!D345,0)</f>
        <v>0</v>
      </c>
      <c r="D1029" s="145">
        <f>+'Libro Diario'!E345</f>
        <v>0</v>
      </c>
      <c r="E1029" s="139" t="s">
        <v>446</v>
      </c>
      <c r="F1029" t="str">
        <f t="shared" si="48"/>
        <v>Sin Mov.</v>
      </c>
      <c r="G1029" t="str">
        <f>IF(+'Libro Diario'!H345=0,"",+'Libro Diario'!H345)</f>
        <v/>
      </c>
      <c r="H1029" t="str">
        <f>IF(+'Libro Diario'!I345=0,"",+'Libro Diario'!I345)</f>
        <v/>
      </c>
      <c r="I1029" t="str">
        <f>+IF(Table3[[#This Row],[Tipo Movimiento]]="Estructura Balance y PyG","Excluir","Incluir")</f>
        <v>Incluir</v>
      </c>
      <c r="J1029" s="153">
        <f>+IF(Table3[[#This Row],[Sin cuenta]]="Con Mov.",(IF(Table3[[#This Row],[Movimiento]]="Debe",Table3[[#This Row],[Importe]],IF(Table3[[#This Row],[Movimiento]]="Haber",Table3[[#This Row],[Importe]]*-1,0))),0)</f>
        <v>0</v>
      </c>
      <c r="K1029" s="145" t="str">
        <f t="shared" si="49"/>
        <v/>
      </c>
      <c r="L1029" s="145">
        <f t="shared" si="50"/>
        <v>0</v>
      </c>
      <c r="M1029" t="str">
        <f>_xlfn.XLOOKUP(Table3[[#This Row],[Cuenta]],Estructura_Balance[Nombre Cuenta ()],Estructura_Balance[Grupo],"",0)</f>
        <v/>
      </c>
      <c r="N1029" t="str">
        <f>_xlfn.XLOOKUP(Table3[[#This Row],[Cuenta]],Estructura_Balance[Nombre Cuenta ()],Estructura_Balance[Nivel 1],"",0)</f>
        <v/>
      </c>
      <c r="O1029" t="str">
        <f>_xlfn.XLOOKUP(Table3[[#This Row],[Cuenta]],Estructura_Balance[Nombre Cuenta ()],Estructura_Balance[Nivel 2],"",0)</f>
        <v/>
      </c>
      <c r="P1029" t="str">
        <f>_xlfn.XLOOKUP(Table3[[#This Row],[Cuenta]],Estructura_Balance[Nombre Cuenta ()],Estructura_Balance[Nivel 3],"",0)</f>
        <v/>
      </c>
      <c r="Q1029" t="str">
        <f>_xlfn.XLOOKUP(Table3[[#This Row],[Cuenta]],Estructura_Balance[Nombre Cuenta ()],Estructura_Balance[Nivel 4],"",0)</f>
        <v/>
      </c>
      <c r="R1029" t="str">
        <f>_xlfn.XLOOKUP(Table3[[#This Row],[Cuenta]],Table8[Nombre Cuenta ()],Table8[Nivel 1],"",0)</f>
        <v/>
      </c>
      <c r="S1029" t="str">
        <f>_xlfn.XLOOKUP(Table3[[#This Row],[Cuenta]],Table8[Nombre Cuenta ()],Table8[Nivel 2],"",0)</f>
        <v/>
      </c>
      <c r="T1029" t="str">
        <f>_xlfn.XLOOKUP(Table3[[#This Row],[Cuenta]],Table8[Nombre Cuenta ()],Table8[Nivel 3],"",0)</f>
        <v/>
      </c>
      <c r="U1029">
        <v>1738</v>
      </c>
      <c r="V1029" t="str">
        <f>_xlfn.XLOOKUP(Table3[[#This Row],[Cuenta]],Estructura_Balance[Nombre Cuenta ()],Estructura_Balance[Niveles:2],"",0)</f>
        <v/>
      </c>
      <c r="W1029" t="str">
        <f>_xlfn.XLOOKUP(Table3[[#This Row],[Cuenta]],Estructura_Balance[Nombre Cuenta ()],Estructura_Balance[Niveles:3],"",0)</f>
        <v/>
      </c>
      <c r="X1029" t="str">
        <f>_xlfn.XLOOKUP(Table3[[#This Row],[Cuenta]],Estructura_Balance[Nombre Cuenta ()],Estructura_Balance[Grupos],"Grupo 1",0)</f>
        <v>Grupo 1</v>
      </c>
      <c r="Y1029" t="str">
        <f>+Table3[[#This Row],[BS_Nivel_1]]</f>
        <v/>
      </c>
    </row>
    <row r="1030" spans="1:25" ht="15" customHeight="1">
      <c r="A1030">
        <f>+'Libro Diario'!F346</f>
        <v>0</v>
      </c>
      <c r="B1030" s="144">
        <f>VALUE(IF(+'Libro Diario'!G346="","01/01/2025",+'Libro Diario'!G346))</f>
        <v>45658</v>
      </c>
      <c r="C1030">
        <f>IF(ISNUMBER(+IF(IFERROR(VALUE(MID('Libro Diario'!D346,1,4)),0)&lt;&gt;0,'Libro Diario'!D346,0))=FALSE,'Libro Diario'!D346,0)</f>
        <v>0</v>
      </c>
      <c r="D1030" s="145" t="str">
        <f>+'Libro Diario'!E346</f>
        <v>HABER</v>
      </c>
      <c r="E1030" s="139" t="s">
        <v>446</v>
      </c>
      <c r="F1030" t="str">
        <f t="shared" si="48"/>
        <v>Sin Mov.</v>
      </c>
      <c r="G1030" t="str">
        <f>IF(+'Libro Diario'!H346=0,"",+'Libro Diario'!H346)</f>
        <v/>
      </c>
      <c r="H1030" t="str">
        <f>IF(+'Libro Diario'!I346=0,"",+'Libro Diario'!I346)</f>
        <v/>
      </c>
      <c r="I1030" t="str">
        <f>+IF(Table3[[#This Row],[Tipo Movimiento]]="Estructura Balance y PyG","Excluir","Incluir")</f>
        <v>Incluir</v>
      </c>
      <c r="J1030" s="153">
        <f>+IF(Table3[[#This Row],[Sin cuenta]]="Con Mov.",(IF(Table3[[#This Row],[Movimiento]]="Debe",Table3[[#This Row],[Importe]],IF(Table3[[#This Row],[Movimiento]]="Haber",Table3[[#This Row],[Importe]]*-1,0))),0)</f>
        <v>0</v>
      </c>
      <c r="K1030" s="145" t="str">
        <f t="shared" si="49"/>
        <v/>
      </c>
      <c r="L1030" s="145" t="str">
        <f t="shared" si="50"/>
        <v>HABER</v>
      </c>
      <c r="M1030" t="str">
        <f>_xlfn.XLOOKUP(Table3[[#This Row],[Cuenta]],Estructura_Balance[Nombre Cuenta ()],Estructura_Balance[Grupo],"",0)</f>
        <v/>
      </c>
      <c r="N1030" t="str">
        <f>_xlfn.XLOOKUP(Table3[[#This Row],[Cuenta]],Estructura_Balance[Nombre Cuenta ()],Estructura_Balance[Nivel 1],"",0)</f>
        <v/>
      </c>
      <c r="O1030" t="str">
        <f>_xlfn.XLOOKUP(Table3[[#This Row],[Cuenta]],Estructura_Balance[Nombre Cuenta ()],Estructura_Balance[Nivel 2],"",0)</f>
        <v/>
      </c>
      <c r="P1030" t="str">
        <f>_xlfn.XLOOKUP(Table3[[#This Row],[Cuenta]],Estructura_Balance[Nombre Cuenta ()],Estructura_Balance[Nivel 3],"",0)</f>
        <v/>
      </c>
      <c r="Q1030" t="str">
        <f>_xlfn.XLOOKUP(Table3[[#This Row],[Cuenta]],Estructura_Balance[Nombre Cuenta ()],Estructura_Balance[Nivel 4],"",0)</f>
        <v/>
      </c>
      <c r="R1030" t="str">
        <f>_xlfn.XLOOKUP(Table3[[#This Row],[Cuenta]],Table8[Nombre Cuenta ()],Table8[Nivel 1],"",0)</f>
        <v/>
      </c>
      <c r="S1030" t="str">
        <f>_xlfn.XLOOKUP(Table3[[#This Row],[Cuenta]],Table8[Nombre Cuenta ()],Table8[Nivel 2],"",0)</f>
        <v/>
      </c>
      <c r="T1030" t="str">
        <f>_xlfn.XLOOKUP(Table3[[#This Row],[Cuenta]],Table8[Nombre Cuenta ()],Table8[Nivel 3],"",0)</f>
        <v/>
      </c>
      <c r="U1030">
        <v>1739</v>
      </c>
      <c r="V1030" t="str">
        <f>_xlfn.XLOOKUP(Table3[[#This Row],[Cuenta]],Estructura_Balance[Nombre Cuenta ()],Estructura_Balance[Niveles:2],"",0)</f>
        <v/>
      </c>
      <c r="W1030" t="str">
        <f>_xlfn.XLOOKUP(Table3[[#This Row],[Cuenta]],Estructura_Balance[Nombre Cuenta ()],Estructura_Balance[Niveles:3],"",0)</f>
        <v/>
      </c>
      <c r="X1030" t="str">
        <f>_xlfn.XLOOKUP(Table3[[#This Row],[Cuenta]],Estructura_Balance[Nombre Cuenta ()],Estructura_Balance[Grupos],"Grupo 1",0)</f>
        <v>Grupo 1</v>
      </c>
      <c r="Y1030" t="str">
        <f>+Table3[[#This Row],[BS_Nivel_1]]</f>
        <v/>
      </c>
    </row>
    <row r="1031" spans="1:25" ht="15" customHeight="1">
      <c r="A1031">
        <f>+'Libro Diario'!F347</f>
        <v>0</v>
      </c>
      <c r="B1031" s="144">
        <f>VALUE(IF(+'Libro Diario'!G347="","01/01/2025",+'Libro Diario'!G347))</f>
        <v>45658</v>
      </c>
      <c r="C1031">
        <f>IF(ISNUMBER(+IF(IFERROR(VALUE(MID('Libro Diario'!D347,1,4)),0)&lt;&gt;0,'Libro Diario'!D347,0))=FALSE,'Libro Diario'!D347,0)</f>
        <v>0</v>
      </c>
      <c r="D1031" s="145">
        <f>+'Libro Diario'!E347</f>
        <v>0</v>
      </c>
      <c r="E1031" s="139" t="s">
        <v>446</v>
      </c>
      <c r="F1031" t="str">
        <f t="shared" si="48"/>
        <v>Sin Mov.</v>
      </c>
      <c r="G1031" t="str">
        <f>IF(+'Libro Diario'!H347=0,"",+'Libro Diario'!H347)</f>
        <v/>
      </c>
      <c r="H1031" t="str">
        <f>IF(+'Libro Diario'!I347=0,"",+'Libro Diario'!I347)</f>
        <v/>
      </c>
      <c r="I1031" t="str">
        <f>+IF(Table3[[#This Row],[Tipo Movimiento]]="Estructura Balance y PyG","Excluir","Incluir")</f>
        <v>Incluir</v>
      </c>
      <c r="J1031" s="153">
        <f>+IF(Table3[[#This Row],[Sin cuenta]]="Con Mov.",(IF(Table3[[#This Row],[Movimiento]]="Debe",Table3[[#This Row],[Importe]],IF(Table3[[#This Row],[Movimiento]]="Haber",Table3[[#This Row],[Importe]]*-1,0))),0)</f>
        <v>0</v>
      </c>
      <c r="K1031" s="145" t="str">
        <f t="shared" si="49"/>
        <v/>
      </c>
      <c r="L1031" s="145">
        <f t="shared" si="50"/>
        <v>0</v>
      </c>
      <c r="M1031" t="str">
        <f>_xlfn.XLOOKUP(Table3[[#This Row],[Cuenta]],Estructura_Balance[Nombre Cuenta ()],Estructura_Balance[Grupo],"",0)</f>
        <v/>
      </c>
      <c r="N1031" t="str">
        <f>_xlfn.XLOOKUP(Table3[[#This Row],[Cuenta]],Estructura_Balance[Nombre Cuenta ()],Estructura_Balance[Nivel 1],"",0)</f>
        <v/>
      </c>
      <c r="O1031" t="str">
        <f>_xlfn.XLOOKUP(Table3[[#This Row],[Cuenta]],Estructura_Balance[Nombre Cuenta ()],Estructura_Balance[Nivel 2],"",0)</f>
        <v/>
      </c>
      <c r="P1031" t="str">
        <f>_xlfn.XLOOKUP(Table3[[#This Row],[Cuenta]],Estructura_Balance[Nombre Cuenta ()],Estructura_Balance[Nivel 3],"",0)</f>
        <v/>
      </c>
      <c r="Q1031" t="str">
        <f>_xlfn.XLOOKUP(Table3[[#This Row],[Cuenta]],Estructura_Balance[Nombre Cuenta ()],Estructura_Balance[Nivel 4],"",0)</f>
        <v/>
      </c>
      <c r="R1031" t="str">
        <f>_xlfn.XLOOKUP(Table3[[#This Row],[Cuenta]],Table8[Nombre Cuenta ()],Table8[Nivel 1],"",0)</f>
        <v/>
      </c>
      <c r="S1031" t="str">
        <f>_xlfn.XLOOKUP(Table3[[#This Row],[Cuenta]],Table8[Nombre Cuenta ()],Table8[Nivel 2],"",0)</f>
        <v/>
      </c>
      <c r="T1031" t="str">
        <f>_xlfn.XLOOKUP(Table3[[#This Row],[Cuenta]],Table8[Nombre Cuenta ()],Table8[Nivel 3],"",0)</f>
        <v/>
      </c>
      <c r="U1031">
        <v>1740</v>
      </c>
      <c r="V1031" t="str">
        <f>_xlfn.XLOOKUP(Table3[[#This Row],[Cuenta]],Estructura_Balance[Nombre Cuenta ()],Estructura_Balance[Niveles:2],"",0)</f>
        <v/>
      </c>
      <c r="W1031" t="str">
        <f>_xlfn.XLOOKUP(Table3[[#This Row],[Cuenta]],Estructura_Balance[Nombre Cuenta ()],Estructura_Balance[Niveles:3],"",0)</f>
        <v/>
      </c>
      <c r="X1031" t="str">
        <f>_xlfn.XLOOKUP(Table3[[#This Row],[Cuenta]],Estructura_Balance[Nombre Cuenta ()],Estructura_Balance[Grupos],"Grupo 1",0)</f>
        <v>Grupo 1</v>
      </c>
      <c r="Y1031" t="str">
        <f>+Table3[[#This Row],[BS_Nivel_1]]</f>
        <v/>
      </c>
    </row>
    <row r="1032" spans="1:25" ht="15" customHeight="1">
      <c r="A1032">
        <f>+'Libro Diario'!F350</f>
        <v>0</v>
      </c>
      <c r="B1032" s="144">
        <f>VALUE(IF(+'Libro Diario'!G350="","01/01/2025",+'Libro Diario'!G350))</f>
        <v>45658</v>
      </c>
      <c r="C1032">
        <f>IF(ISNUMBER(+IF(IFERROR(VALUE(MID('Libro Diario'!D350,1,4)),0)&lt;&gt;0,'Libro Diario'!D350,0))=FALSE,'Libro Diario'!D350,0)</f>
        <v>0</v>
      </c>
      <c r="D1032" s="145">
        <f>+'Libro Diario'!E350</f>
        <v>0</v>
      </c>
      <c r="E1032" s="139" t="s">
        <v>446</v>
      </c>
      <c r="F1032" t="str">
        <f t="shared" si="48"/>
        <v>Sin Mov.</v>
      </c>
      <c r="G1032" t="str">
        <f>IF(+'Libro Diario'!H350=0,"",+'Libro Diario'!H350)</f>
        <v/>
      </c>
      <c r="H1032" t="str">
        <f>IF(+'Libro Diario'!I350=0,"",+'Libro Diario'!I350)</f>
        <v/>
      </c>
      <c r="I1032" t="str">
        <f>+IF(Table3[[#This Row],[Tipo Movimiento]]="Estructura Balance y PyG","Excluir","Incluir")</f>
        <v>Incluir</v>
      </c>
      <c r="J1032" s="153">
        <f>+IF(Table3[[#This Row],[Sin cuenta]]="Con Mov.",(IF(Table3[[#This Row],[Movimiento]]="Debe",Table3[[#This Row],[Importe]],IF(Table3[[#This Row],[Movimiento]]="Haber",Table3[[#This Row],[Importe]]*-1,0))),0)</f>
        <v>0</v>
      </c>
      <c r="K1032" s="145" t="str">
        <f t="shared" si="49"/>
        <v/>
      </c>
      <c r="L1032" s="145">
        <f t="shared" si="50"/>
        <v>0</v>
      </c>
      <c r="M1032" t="str">
        <f>_xlfn.XLOOKUP(Table3[[#This Row],[Cuenta]],Estructura_Balance[Nombre Cuenta ()],Estructura_Balance[Grupo],"",0)</f>
        <v/>
      </c>
      <c r="N1032" t="str">
        <f>_xlfn.XLOOKUP(Table3[[#This Row],[Cuenta]],Estructura_Balance[Nombre Cuenta ()],Estructura_Balance[Nivel 1],"",0)</f>
        <v/>
      </c>
      <c r="O1032" t="str">
        <f>_xlfn.XLOOKUP(Table3[[#This Row],[Cuenta]],Estructura_Balance[Nombre Cuenta ()],Estructura_Balance[Nivel 2],"",0)</f>
        <v/>
      </c>
      <c r="P1032" t="str">
        <f>_xlfn.XLOOKUP(Table3[[#This Row],[Cuenta]],Estructura_Balance[Nombre Cuenta ()],Estructura_Balance[Nivel 3],"",0)</f>
        <v/>
      </c>
      <c r="Q1032" t="str">
        <f>_xlfn.XLOOKUP(Table3[[#This Row],[Cuenta]],Estructura_Balance[Nombre Cuenta ()],Estructura_Balance[Nivel 4],"",0)</f>
        <v/>
      </c>
      <c r="R1032" t="str">
        <f>_xlfn.XLOOKUP(Table3[[#This Row],[Cuenta]],Table8[Nombre Cuenta ()],Table8[Nivel 1],"",0)</f>
        <v/>
      </c>
      <c r="S1032" t="str">
        <f>_xlfn.XLOOKUP(Table3[[#This Row],[Cuenta]],Table8[Nombre Cuenta ()],Table8[Nivel 2],"",0)</f>
        <v/>
      </c>
      <c r="T1032" t="str">
        <f>_xlfn.XLOOKUP(Table3[[#This Row],[Cuenta]],Table8[Nombre Cuenta ()],Table8[Nivel 3],"",0)</f>
        <v/>
      </c>
      <c r="U1032">
        <v>1743</v>
      </c>
      <c r="V1032" t="str">
        <f>_xlfn.XLOOKUP(Table3[[#This Row],[Cuenta]],Estructura_Balance[Nombre Cuenta ()],Estructura_Balance[Niveles:2],"",0)</f>
        <v/>
      </c>
      <c r="W1032" t="str">
        <f>_xlfn.XLOOKUP(Table3[[#This Row],[Cuenta]],Estructura_Balance[Nombre Cuenta ()],Estructura_Balance[Niveles:3],"",0)</f>
        <v/>
      </c>
      <c r="X1032" t="str">
        <f>_xlfn.XLOOKUP(Table3[[#This Row],[Cuenta]],Estructura_Balance[Nombre Cuenta ()],Estructura_Balance[Grupos],"Grupo 1",0)</f>
        <v>Grupo 1</v>
      </c>
      <c r="Y1032" t="str">
        <f>+Table3[[#This Row],[BS_Nivel_1]]</f>
        <v/>
      </c>
    </row>
    <row r="1033" spans="1:25" ht="15" customHeight="1">
      <c r="A1033">
        <f>+'Libro Diario'!F351</f>
        <v>0</v>
      </c>
      <c r="B1033" s="144">
        <f>VALUE(IF(+'Libro Diario'!G351="","01/01/2025",+'Libro Diario'!G351))</f>
        <v>45658</v>
      </c>
      <c r="C1033">
        <f>IF(ISNUMBER(+IF(IFERROR(VALUE(MID('Libro Diario'!D351,1,4)),0)&lt;&gt;0,'Libro Diario'!D351,0))=FALSE,'Libro Diario'!D351,0)</f>
        <v>0</v>
      </c>
      <c r="D1033" s="145">
        <f>+'Libro Diario'!E351</f>
        <v>0</v>
      </c>
      <c r="E1033" s="139" t="s">
        <v>446</v>
      </c>
      <c r="F1033" t="str">
        <f t="shared" si="48"/>
        <v>Sin Mov.</v>
      </c>
      <c r="G1033" t="str">
        <f>IF(+'Libro Diario'!H351=0,"",+'Libro Diario'!H351)</f>
        <v/>
      </c>
      <c r="H1033" t="str">
        <f>IF(+'Libro Diario'!I351=0,"",+'Libro Diario'!I351)</f>
        <v/>
      </c>
      <c r="I1033" t="str">
        <f>+IF(Table3[[#This Row],[Tipo Movimiento]]="Estructura Balance y PyG","Excluir","Incluir")</f>
        <v>Incluir</v>
      </c>
      <c r="J1033" s="153">
        <f>+IF(Table3[[#This Row],[Sin cuenta]]="Con Mov.",(IF(Table3[[#This Row],[Movimiento]]="Debe",Table3[[#This Row],[Importe]],IF(Table3[[#This Row],[Movimiento]]="Haber",Table3[[#This Row],[Importe]]*-1,0))),0)</f>
        <v>0</v>
      </c>
      <c r="K1033" s="145" t="str">
        <f t="shared" si="49"/>
        <v/>
      </c>
      <c r="L1033" s="145">
        <f t="shared" si="50"/>
        <v>0</v>
      </c>
      <c r="M1033" t="str">
        <f>_xlfn.XLOOKUP(Table3[[#This Row],[Cuenta]],Estructura_Balance[Nombre Cuenta ()],Estructura_Balance[Grupo],"",0)</f>
        <v/>
      </c>
      <c r="N1033" t="str">
        <f>_xlfn.XLOOKUP(Table3[[#This Row],[Cuenta]],Estructura_Balance[Nombre Cuenta ()],Estructura_Balance[Nivel 1],"",0)</f>
        <v/>
      </c>
      <c r="O1033" t="str">
        <f>_xlfn.XLOOKUP(Table3[[#This Row],[Cuenta]],Estructura_Balance[Nombre Cuenta ()],Estructura_Balance[Nivel 2],"",0)</f>
        <v/>
      </c>
      <c r="P1033" t="str">
        <f>_xlfn.XLOOKUP(Table3[[#This Row],[Cuenta]],Estructura_Balance[Nombre Cuenta ()],Estructura_Balance[Nivel 3],"",0)</f>
        <v/>
      </c>
      <c r="Q1033" t="str">
        <f>_xlfn.XLOOKUP(Table3[[#This Row],[Cuenta]],Estructura_Balance[Nombre Cuenta ()],Estructura_Balance[Nivel 4],"",0)</f>
        <v/>
      </c>
      <c r="R1033" t="str">
        <f>_xlfn.XLOOKUP(Table3[[#This Row],[Cuenta]],Table8[Nombre Cuenta ()],Table8[Nivel 1],"",0)</f>
        <v/>
      </c>
      <c r="S1033" t="str">
        <f>_xlfn.XLOOKUP(Table3[[#This Row],[Cuenta]],Table8[Nombre Cuenta ()],Table8[Nivel 2],"",0)</f>
        <v/>
      </c>
      <c r="T1033" t="str">
        <f>_xlfn.XLOOKUP(Table3[[#This Row],[Cuenta]],Table8[Nombre Cuenta ()],Table8[Nivel 3],"",0)</f>
        <v/>
      </c>
      <c r="U1033">
        <v>1744</v>
      </c>
      <c r="V1033" t="str">
        <f>_xlfn.XLOOKUP(Table3[[#This Row],[Cuenta]],Estructura_Balance[Nombre Cuenta ()],Estructura_Balance[Niveles:2],"",0)</f>
        <v/>
      </c>
      <c r="W1033" t="str">
        <f>_xlfn.XLOOKUP(Table3[[#This Row],[Cuenta]],Estructura_Balance[Nombre Cuenta ()],Estructura_Balance[Niveles:3],"",0)</f>
        <v/>
      </c>
      <c r="X1033" t="str">
        <f>_xlfn.XLOOKUP(Table3[[#This Row],[Cuenta]],Estructura_Balance[Nombre Cuenta ()],Estructura_Balance[Grupos],"Grupo 1",0)</f>
        <v>Grupo 1</v>
      </c>
      <c r="Y1033" t="str">
        <f>+Table3[[#This Row],[BS_Nivel_1]]</f>
        <v/>
      </c>
    </row>
    <row r="1034" spans="1:25" ht="15" customHeight="1">
      <c r="A1034">
        <f>+'Libro Diario'!F352</f>
        <v>0</v>
      </c>
      <c r="B1034" s="144">
        <f>VALUE(IF(+'Libro Diario'!G352="","01/01/2025",+'Libro Diario'!G352))</f>
        <v>45658</v>
      </c>
      <c r="C1034">
        <f>IF(ISNUMBER(+IF(IFERROR(VALUE(MID('Libro Diario'!D352,1,4)),0)&lt;&gt;0,'Libro Diario'!D352,0))=FALSE,'Libro Diario'!D352,0)</f>
        <v>0</v>
      </c>
      <c r="D1034" s="145">
        <f>+'Libro Diario'!E352</f>
        <v>0</v>
      </c>
      <c r="E1034" s="139" t="s">
        <v>446</v>
      </c>
      <c r="F1034" t="str">
        <f t="shared" si="48"/>
        <v>Sin Mov.</v>
      </c>
      <c r="G1034" t="str">
        <f>IF(+'Libro Diario'!H352=0,"",+'Libro Diario'!H352)</f>
        <v/>
      </c>
      <c r="H1034" t="str">
        <f>IF(+'Libro Diario'!I352=0,"",+'Libro Diario'!I352)</f>
        <v/>
      </c>
      <c r="I1034" t="str">
        <f>+IF(Table3[[#This Row],[Tipo Movimiento]]="Estructura Balance y PyG","Excluir","Incluir")</f>
        <v>Incluir</v>
      </c>
      <c r="J1034" s="153">
        <f>+IF(Table3[[#This Row],[Sin cuenta]]="Con Mov.",(IF(Table3[[#This Row],[Movimiento]]="Debe",Table3[[#This Row],[Importe]],IF(Table3[[#This Row],[Movimiento]]="Haber",Table3[[#This Row],[Importe]]*-1,0))),0)</f>
        <v>0</v>
      </c>
      <c r="K1034" s="145" t="str">
        <f t="shared" si="49"/>
        <v/>
      </c>
      <c r="L1034" s="145">
        <f t="shared" si="50"/>
        <v>0</v>
      </c>
      <c r="M1034" t="str">
        <f>_xlfn.XLOOKUP(Table3[[#This Row],[Cuenta]],Estructura_Balance[Nombre Cuenta ()],Estructura_Balance[Grupo],"",0)</f>
        <v/>
      </c>
      <c r="N1034" t="str">
        <f>_xlfn.XLOOKUP(Table3[[#This Row],[Cuenta]],Estructura_Balance[Nombre Cuenta ()],Estructura_Balance[Nivel 1],"",0)</f>
        <v/>
      </c>
      <c r="O1034" t="str">
        <f>_xlfn.XLOOKUP(Table3[[#This Row],[Cuenta]],Estructura_Balance[Nombre Cuenta ()],Estructura_Balance[Nivel 2],"",0)</f>
        <v/>
      </c>
      <c r="P1034" t="str">
        <f>_xlfn.XLOOKUP(Table3[[#This Row],[Cuenta]],Estructura_Balance[Nombre Cuenta ()],Estructura_Balance[Nivel 3],"",0)</f>
        <v/>
      </c>
      <c r="Q1034" t="str">
        <f>_xlfn.XLOOKUP(Table3[[#This Row],[Cuenta]],Estructura_Balance[Nombre Cuenta ()],Estructura_Balance[Nivel 4],"",0)</f>
        <v/>
      </c>
      <c r="R1034" t="str">
        <f>_xlfn.XLOOKUP(Table3[[#This Row],[Cuenta]],Table8[Nombre Cuenta ()],Table8[Nivel 1],"",0)</f>
        <v/>
      </c>
      <c r="S1034" t="str">
        <f>_xlfn.XLOOKUP(Table3[[#This Row],[Cuenta]],Table8[Nombre Cuenta ()],Table8[Nivel 2],"",0)</f>
        <v/>
      </c>
      <c r="T1034" t="str">
        <f>_xlfn.XLOOKUP(Table3[[#This Row],[Cuenta]],Table8[Nombre Cuenta ()],Table8[Nivel 3],"",0)</f>
        <v/>
      </c>
      <c r="U1034">
        <v>1745</v>
      </c>
      <c r="V1034" t="str">
        <f>_xlfn.XLOOKUP(Table3[[#This Row],[Cuenta]],Estructura_Balance[Nombre Cuenta ()],Estructura_Balance[Niveles:2],"",0)</f>
        <v/>
      </c>
      <c r="W1034" t="str">
        <f>_xlfn.XLOOKUP(Table3[[#This Row],[Cuenta]],Estructura_Balance[Nombre Cuenta ()],Estructura_Balance[Niveles:3],"",0)</f>
        <v/>
      </c>
      <c r="X1034" t="str">
        <f>_xlfn.XLOOKUP(Table3[[#This Row],[Cuenta]],Estructura_Balance[Nombre Cuenta ()],Estructura_Balance[Grupos],"Grupo 1",0)</f>
        <v>Grupo 1</v>
      </c>
      <c r="Y1034" t="str">
        <f>+Table3[[#This Row],[BS_Nivel_1]]</f>
        <v/>
      </c>
    </row>
    <row r="1035" spans="1:25" ht="15" customHeight="1">
      <c r="A1035">
        <f>+'Libro Diario'!F353</f>
        <v>0</v>
      </c>
      <c r="B1035" s="144">
        <f>VALUE(IF(+'Libro Diario'!G353="","01/01/2025",+'Libro Diario'!G353))</f>
        <v>45658</v>
      </c>
      <c r="C1035">
        <f>IF(ISNUMBER(+IF(IFERROR(VALUE(MID('Libro Diario'!D353,1,4)),0)&lt;&gt;0,'Libro Diario'!D353,0))=FALSE,'Libro Diario'!D353,0)</f>
        <v>0</v>
      </c>
      <c r="D1035" s="145" t="str">
        <f>+'Libro Diario'!E353</f>
        <v>HABER</v>
      </c>
      <c r="E1035" s="139" t="s">
        <v>446</v>
      </c>
      <c r="F1035" t="str">
        <f t="shared" si="48"/>
        <v>Sin Mov.</v>
      </c>
      <c r="G1035" t="str">
        <f>IF(+'Libro Diario'!H353=0,"",+'Libro Diario'!H353)</f>
        <v/>
      </c>
      <c r="H1035" t="str">
        <f>IF(+'Libro Diario'!I353=0,"",+'Libro Diario'!I353)</f>
        <v/>
      </c>
      <c r="I1035" t="str">
        <f>+IF(Table3[[#This Row],[Tipo Movimiento]]="Estructura Balance y PyG","Excluir","Incluir")</f>
        <v>Incluir</v>
      </c>
      <c r="J1035" s="153">
        <f>+IF(Table3[[#This Row],[Sin cuenta]]="Con Mov.",(IF(Table3[[#This Row],[Movimiento]]="Debe",Table3[[#This Row],[Importe]],IF(Table3[[#This Row],[Movimiento]]="Haber",Table3[[#This Row],[Importe]]*-1,0))),0)</f>
        <v>0</v>
      </c>
      <c r="K1035" s="145" t="str">
        <f t="shared" si="49"/>
        <v/>
      </c>
      <c r="L1035" s="145" t="str">
        <f t="shared" si="50"/>
        <v>HABER</v>
      </c>
      <c r="M1035" t="str">
        <f>_xlfn.XLOOKUP(Table3[[#This Row],[Cuenta]],Estructura_Balance[Nombre Cuenta ()],Estructura_Balance[Grupo],"",0)</f>
        <v/>
      </c>
      <c r="N1035" t="str">
        <f>_xlfn.XLOOKUP(Table3[[#This Row],[Cuenta]],Estructura_Balance[Nombre Cuenta ()],Estructura_Balance[Nivel 1],"",0)</f>
        <v/>
      </c>
      <c r="O1035" t="str">
        <f>_xlfn.XLOOKUP(Table3[[#This Row],[Cuenta]],Estructura_Balance[Nombre Cuenta ()],Estructura_Balance[Nivel 2],"",0)</f>
        <v/>
      </c>
      <c r="P1035" t="str">
        <f>_xlfn.XLOOKUP(Table3[[#This Row],[Cuenta]],Estructura_Balance[Nombre Cuenta ()],Estructura_Balance[Nivel 3],"",0)</f>
        <v/>
      </c>
      <c r="Q1035" t="str">
        <f>_xlfn.XLOOKUP(Table3[[#This Row],[Cuenta]],Estructura_Balance[Nombre Cuenta ()],Estructura_Balance[Nivel 4],"",0)</f>
        <v/>
      </c>
      <c r="R1035" t="str">
        <f>_xlfn.XLOOKUP(Table3[[#This Row],[Cuenta]],Table8[Nombre Cuenta ()],Table8[Nivel 1],"",0)</f>
        <v/>
      </c>
      <c r="S1035" t="str">
        <f>_xlfn.XLOOKUP(Table3[[#This Row],[Cuenta]],Table8[Nombre Cuenta ()],Table8[Nivel 2],"",0)</f>
        <v/>
      </c>
      <c r="T1035" t="str">
        <f>_xlfn.XLOOKUP(Table3[[#This Row],[Cuenta]],Table8[Nombre Cuenta ()],Table8[Nivel 3],"",0)</f>
        <v/>
      </c>
      <c r="U1035">
        <v>1746</v>
      </c>
      <c r="V1035" t="str">
        <f>_xlfn.XLOOKUP(Table3[[#This Row],[Cuenta]],Estructura_Balance[Nombre Cuenta ()],Estructura_Balance[Niveles:2],"",0)</f>
        <v/>
      </c>
      <c r="W1035" t="str">
        <f>_xlfn.XLOOKUP(Table3[[#This Row],[Cuenta]],Estructura_Balance[Nombre Cuenta ()],Estructura_Balance[Niveles:3],"",0)</f>
        <v/>
      </c>
      <c r="X1035" t="str">
        <f>_xlfn.XLOOKUP(Table3[[#This Row],[Cuenta]],Estructura_Balance[Nombre Cuenta ()],Estructura_Balance[Grupos],"Grupo 1",0)</f>
        <v>Grupo 1</v>
      </c>
      <c r="Y1035" t="str">
        <f>+Table3[[#This Row],[BS_Nivel_1]]</f>
        <v/>
      </c>
    </row>
    <row r="1036" spans="1:25" ht="15" customHeight="1">
      <c r="A1036">
        <f>+'Libro Diario'!F354</f>
        <v>0</v>
      </c>
      <c r="B1036" s="144">
        <f>VALUE(IF(+'Libro Diario'!G354="","01/01/2025",+'Libro Diario'!G354))</f>
        <v>45658</v>
      </c>
      <c r="C1036">
        <f>IF(ISNUMBER(+IF(IFERROR(VALUE(MID('Libro Diario'!D354,1,4)),0)&lt;&gt;0,'Libro Diario'!D354,0))=FALSE,'Libro Diario'!D354,0)</f>
        <v>0</v>
      </c>
      <c r="D1036" s="145">
        <f>+'Libro Diario'!E354</f>
        <v>0</v>
      </c>
      <c r="E1036" s="139" t="s">
        <v>446</v>
      </c>
      <c r="F1036" t="str">
        <f t="shared" si="48"/>
        <v>Sin Mov.</v>
      </c>
      <c r="G1036" t="str">
        <f>IF(+'Libro Diario'!H354=0,"",+'Libro Diario'!H354)</f>
        <v/>
      </c>
      <c r="H1036" t="str">
        <f>IF(+'Libro Diario'!I354=0,"",+'Libro Diario'!I354)</f>
        <v/>
      </c>
      <c r="I1036" t="str">
        <f>+IF(Table3[[#This Row],[Tipo Movimiento]]="Estructura Balance y PyG","Excluir","Incluir")</f>
        <v>Incluir</v>
      </c>
      <c r="J1036" s="153">
        <f>+IF(Table3[[#This Row],[Sin cuenta]]="Con Mov.",(IF(Table3[[#This Row],[Movimiento]]="Debe",Table3[[#This Row],[Importe]],IF(Table3[[#This Row],[Movimiento]]="Haber",Table3[[#This Row],[Importe]]*-1,0))),0)</f>
        <v>0</v>
      </c>
      <c r="K1036" s="145" t="str">
        <f t="shared" si="49"/>
        <v/>
      </c>
      <c r="L1036" s="145">
        <f t="shared" si="50"/>
        <v>0</v>
      </c>
      <c r="M1036" t="str">
        <f>_xlfn.XLOOKUP(Table3[[#This Row],[Cuenta]],Estructura_Balance[Nombre Cuenta ()],Estructura_Balance[Grupo],"",0)</f>
        <v/>
      </c>
      <c r="N1036" t="str">
        <f>_xlfn.XLOOKUP(Table3[[#This Row],[Cuenta]],Estructura_Balance[Nombre Cuenta ()],Estructura_Balance[Nivel 1],"",0)</f>
        <v/>
      </c>
      <c r="O1036" t="str">
        <f>_xlfn.XLOOKUP(Table3[[#This Row],[Cuenta]],Estructura_Balance[Nombre Cuenta ()],Estructura_Balance[Nivel 2],"",0)</f>
        <v/>
      </c>
      <c r="P1036" t="str">
        <f>_xlfn.XLOOKUP(Table3[[#This Row],[Cuenta]],Estructura_Balance[Nombre Cuenta ()],Estructura_Balance[Nivel 3],"",0)</f>
        <v/>
      </c>
      <c r="Q1036" t="str">
        <f>_xlfn.XLOOKUP(Table3[[#This Row],[Cuenta]],Estructura_Balance[Nombre Cuenta ()],Estructura_Balance[Nivel 4],"",0)</f>
        <v/>
      </c>
      <c r="R1036" t="str">
        <f>_xlfn.XLOOKUP(Table3[[#This Row],[Cuenta]],Table8[Nombre Cuenta ()],Table8[Nivel 1],"",0)</f>
        <v/>
      </c>
      <c r="S1036" t="str">
        <f>_xlfn.XLOOKUP(Table3[[#This Row],[Cuenta]],Table8[Nombre Cuenta ()],Table8[Nivel 2],"",0)</f>
        <v/>
      </c>
      <c r="T1036" t="str">
        <f>_xlfn.XLOOKUP(Table3[[#This Row],[Cuenta]],Table8[Nombre Cuenta ()],Table8[Nivel 3],"",0)</f>
        <v/>
      </c>
      <c r="U1036">
        <v>1747</v>
      </c>
      <c r="V1036" t="str">
        <f>_xlfn.XLOOKUP(Table3[[#This Row],[Cuenta]],Estructura_Balance[Nombre Cuenta ()],Estructura_Balance[Niveles:2],"",0)</f>
        <v/>
      </c>
      <c r="W1036" t="str">
        <f>_xlfn.XLOOKUP(Table3[[#This Row],[Cuenta]],Estructura_Balance[Nombre Cuenta ()],Estructura_Balance[Niveles:3],"",0)</f>
        <v/>
      </c>
      <c r="X1036" t="str">
        <f>_xlfn.XLOOKUP(Table3[[#This Row],[Cuenta]],Estructura_Balance[Nombre Cuenta ()],Estructura_Balance[Grupos],"Grupo 1",0)</f>
        <v>Grupo 1</v>
      </c>
      <c r="Y1036" t="str">
        <f>+Table3[[#This Row],[BS_Nivel_1]]</f>
        <v/>
      </c>
    </row>
    <row r="1037" spans="1:25" ht="15" customHeight="1">
      <c r="A1037">
        <f>+'Libro Diario'!F358</f>
        <v>0</v>
      </c>
      <c r="B1037" s="144">
        <f>VALUE(IF(+'Libro Diario'!G358="","01/01/2025",+'Libro Diario'!G358))</f>
        <v>45658</v>
      </c>
      <c r="C1037">
        <f>IF(ISNUMBER(+IF(IFERROR(VALUE(MID('Libro Diario'!D358,1,4)),0)&lt;&gt;0,'Libro Diario'!D358,0))=FALSE,'Libro Diario'!D358,0)</f>
        <v>0</v>
      </c>
      <c r="D1037" s="145">
        <f>+'Libro Diario'!E358</f>
        <v>0</v>
      </c>
      <c r="E1037" s="139" t="s">
        <v>446</v>
      </c>
      <c r="F1037" t="str">
        <f t="shared" si="48"/>
        <v>Sin Mov.</v>
      </c>
      <c r="G1037" t="str">
        <f>IF(+'Libro Diario'!H358=0,"",+'Libro Diario'!H358)</f>
        <v/>
      </c>
      <c r="H1037" t="str">
        <f>IF(+'Libro Diario'!I358=0,"",+'Libro Diario'!I358)</f>
        <v/>
      </c>
      <c r="I1037" t="str">
        <f>+IF(Table3[[#This Row],[Tipo Movimiento]]="Estructura Balance y PyG","Excluir","Incluir")</f>
        <v>Incluir</v>
      </c>
      <c r="J1037" s="153">
        <f>+IF(Table3[[#This Row],[Sin cuenta]]="Con Mov.",(IF(Table3[[#This Row],[Movimiento]]="Debe",Table3[[#This Row],[Importe]],IF(Table3[[#This Row],[Movimiento]]="Haber",Table3[[#This Row],[Importe]]*-1,0))),0)</f>
        <v>0</v>
      </c>
      <c r="K1037" s="145" t="str">
        <f t="shared" si="49"/>
        <v/>
      </c>
      <c r="L1037" s="145">
        <f t="shared" si="50"/>
        <v>0</v>
      </c>
      <c r="M1037" t="str">
        <f>_xlfn.XLOOKUP(Table3[[#This Row],[Cuenta]],Estructura_Balance[Nombre Cuenta ()],Estructura_Balance[Grupo],"",0)</f>
        <v/>
      </c>
      <c r="N1037" t="str">
        <f>_xlfn.XLOOKUP(Table3[[#This Row],[Cuenta]],Estructura_Balance[Nombre Cuenta ()],Estructura_Balance[Nivel 1],"",0)</f>
        <v/>
      </c>
      <c r="O1037" t="str">
        <f>_xlfn.XLOOKUP(Table3[[#This Row],[Cuenta]],Estructura_Balance[Nombre Cuenta ()],Estructura_Balance[Nivel 2],"",0)</f>
        <v/>
      </c>
      <c r="P1037" t="str">
        <f>_xlfn.XLOOKUP(Table3[[#This Row],[Cuenta]],Estructura_Balance[Nombre Cuenta ()],Estructura_Balance[Nivel 3],"",0)</f>
        <v/>
      </c>
      <c r="Q1037" t="str">
        <f>_xlfn.XLOOKUP(Table3[[#This Row],[Cuenta]],Estructura_Balance[Nombre Cuenta ()],Estructura_Balance[Nivel 4],"",0)</f>
        <v/>
      </c>
      <c r="R1037" t="str">
        <f>_xlfn.XLOOKUP(Table3[[#This Row],[Cuenta]],Table8[Nombre Cuenta ()],Table8[Nivel 1],"",0)</f>
        <v/>
      </c>
      <c r="S1037" t="str">
        <f>_xlfn.XLOOKUP(Table3[[#This Row],[Cuenta]],Table8[Nombre Cuenta ()],Table8[Nivel 2],"",0)</f>
        <v/>
      </c>
      <c r="T1037" t="str">
        <f>_xlfn.XLOOKUP(Table3[[#This Row],[Cuenta]],Table8[Nombre Cuenta ()],Table8[Nivel 3],"",0)</f>
        <v/>
      </c>
      <c r="U1037">
        <v>1751</v>
      </c>
      <c r="V1037" t="str">
        <f>_xlfn.XLOOKUP(Table3[[#This Row],[Cuenta]],Estructura_Balance[Nombre Cuenta ()],Estructura_Balance[Niveles:2],"",0)</f>
        <v/>
      </c>
      <c r="W1037" t="str">
        <f>_xlfn.XLOOKUP(Table3[[#This Row],[Cuenta]],Estructura_Balance[Nombre Cuenta ()],Estructura_Balance[Niveles:3],"",0)</f>
        <v/>
      </c>
      <c r="X1037" t="str">
        <f>_xlfn.XLOOKUP(Table3[[#This Row],[Cuenta]],Estructura_Balance[Nombre Cuenta ()],Estructura_Balance[Grupos],"Grupo 1",0)</f>
        <v>Grupo 1</v>
      </c>
      <c r="Y1037" t="str">
        <f>+Table3[[#This Row],[BS_Nivel_1]]</f>
        <v/>
      </c>
    </row>
    <row r="1038" spans="1:25" ht="15" customHeight="1">
      <c r="A1038">
        <f>+'Libro Diario'!F359</f>
        <v>0</v>
      </c>
      <c r="B1038" s="144">
        <f>VALUE(IF(+'Libro Diario'!G359="","01/01/2025",+'Libro Diario'!G359))</f>
        <v>45658</v>
      </c>
      <c r="C1038">
        <f>IF(ISNUMBER(+IF(IFERROR(VALUE(MID('Libro Diario'!D359,1,4)),0)&lt;&gt;0,'Libro Diario'!D359,0))=FALSE,'Libro Diario'!D359,0)</f>
        <v>0</v>
      </c>
      <c r="D1038" s="145">
        <f>+'Libro Diario'!E359</f>
        <v>0</v>
      </c>
      <c r="E1038" s="139" t="s">
        <v>446</v>
      </c>
      <c r="F1038" t="str">
        <f t="shared" si="48"/>
        <v>Sin Mov.</v>
      </c>
      <c r="G1038" t="str">
        <f>IF(+'Libro Diario'!H359=0,"",+'Libro Diario'!H359)</f>
        <v/>
      </c>
      <c r="H1038" t="str">
        <f>IF(+'Libro Diario'!I359=0,"",+'Libro Diario'!I359)</f>
        <v/>
      </c>
      <c r="I1038" t="str">
        <f>+IF(Table3[[#This Row],[Tipo Movimiento]]="Estructura Balance y PyG","Excluir","Incluir")</f>
        <v>Incluir</v>
      </c>
      <c r="J1038" s="153">
        <f>+IF(Table3[[#This Row],[Sin cuenta]]="Con Mov.",(IF(Table3[[#This Row],[Movimiento]]="Debe",Table3[[#This Row],[Importe]],IF(Table3[[#This Row],[Movimiento]]="Haber",Table3[[#This Row],[Importe]]*-1,0))),0)</f>
        <v>0</v>
      </c>
      <c r="K1038" s="145" t="str">
        <f t="shared" si="49"/>
        <v/>
      </c>
      <c r="L1038" s="145">
        <f t="shared" si="50"/>
        <v>0</v>
      </c>
      <c r="M1038" t="str">
        <f>_xlfn.XLOOKUP(Table3[[#This Row],[Cuenta]],Estructura_Balance[Nombre Cuenta ()],Estructura_Balance[Grupo],"",0)</f>
        <v/>
      </c>
      <c r="N1038" t="str">
        <f>_xlfn.XLOOKUP(Table3[[#This Row],[Cuenta]],Estructura_Balance[Nombre Cuenta ()],Estructura_Balance[Nivel 1],"",0)</f>
        <v/>
      </c>
      <c r="O1038" t="str">
        <f>_xlfn.XLOOKUP(Table3[[#This Row],[Cuenta]],Estructura_Balance[Nombre Cuenta ()],Estructura_Balance[Nivel 2],"",0)</f>
        <v/>
      </c>
      <c r="P1038" t="str">
        <f>_xlfn.XLOOKUP(Table3[[#This Row],[Cuenta]],Estructura_Balance[Nombre Cuenta ()],Estructura_Balance[Nivel 3],"",0)</f>
        <v/>
      </c>
      <c r="Q1038" t="str">
        <f>_xlfn.XLOOKUP(Table3[[#This Row],[Cuenta]],Estructura_Balance[Nombre Cuenta ()],Estructura_Balance[Nivel 4],"",0)</f>
        <v/>
      </c>
      <c r="R1038" t="str">
        <f>_xlfn.XLOOKUP(Table3[[#This Row],[Cuenta]],Table8[Nombre Cuenta ()],Table8[Nivel 1],"",0)</f>
        <v/>
      </c>
      <c r="S1038" t="str">
        <f>_xlfn.XLOOKUP(Table3[[#This Row],[Cuenta]],Table8[Nombre Cuenta ()],Table8[Nivel 2],"",0)</f>
        <v/>
      </c>
      <c r="T1038" t="str">
        <f>_xlfn.XLOOKUP(Table3[[#This Row],[Cuenta]],Table8[Nombre Cuenta ()],Table8[Nivel 3],"",0)</f>
        <v/>
      </c>
      <c r="U1038">
        <v>1752</v>
      </c>
      <c r="V1038" t="str">
        <f>_xlfn.XLOOKUP(Table3[[#This Row],[Cuenta]],Estructura_Balance[Nombre Cuenta ()],Estructura_Balance[Niveles:2],"",0)</f>
        <v/>
      </c>
      <c r="W1038" t="str">
        <f>_xlfn.XLOOKUP(Table3[[#This Row],[Cuenta]],Estructura_Balance[Nombre Cuenta ()],Estructura_Balance[Niveles:3],"",0)</f>
        <v/>
      </c>
      <c r="X1038" t="str">
        <f>_xlfn.XLOOKUP(Table3[[#This Row],[Cuenta]],Estructura_Balance[Nombre Cuenta ()],Estructura_Balance[Grupos],"Grupo 1",0)</f>
        <v>Grupo 1</v>
      </c>
      <c r="Y1038" t="str">
        <f>+Table3[[#This Row],[BS_Nivel_1]]</f>
        <v/>
      </c>
    </row>
    <row r="1039" spans="1:25" ht="15" customHeight="1">
      <c r="A1039">
        <f>+'Libro Diario'!F360</f>
        <v>0</v>
      </c>
      <c r="B1039" s="144">
        <f>VALUE(IF(+'Libro Diario'!G360="","01/01/2025",+'Libro Diario'!G360))</f>
        <v>45658</v>
      </c>
      <c r="C1039">
        <f>IF(ISNUMBER(+IF(IFERROR(VALUE(MID('Libro Diario'!D360,1,4)),0)&lt;&gt;0,'Libro Diario'!D360,0))=FALSE,'Libro Diario'!D360,0)</f>
        <v>0</v>
      </c>
      <c r="D1039" s="145">
        <f>+'Libro Diario'!E360</f>
        <v>0</v>
      </c>
      <c r="E1039" s="139" t="s">
        <v>446</v>
      </c>
      <c r="F1039" t="str">
        <f t="shared" si="48"/>
        <v>Sin Mov.</v>
      </c>
      <c r="G1039" t="str">
        <f>IF(+'Libro Diario'!H360=0,"",+'Libro Diario'!H360)</f>
        <v/>
      </c>
      <c r="H1039" t="str">
        <f>IF(+'Libro Diario'!I360=0,"",+'Libro Diario'!I360)</f>
        <v/>
      </c>
      <c r="I1039" t="str">
        <f>+IF(Table3[[#This Row],[Tipo Movimiento]]="Estructura Balance y PyG","Excluir","Incluir")</f>
        <v>Incluir</v>
      </c>
      <c r="J1039" s="153">
        <f>+IF(Table3[[#This Row],[Sin cuenta]]="Con Mov.",(IF(Table3[[#This Row],[Movimiento]]="Debe",Table3[[#This Row],[Importe]],IF(Table3[[#This Row],[Movimiento]]="Haber",Table3[[#This Row],[Importe]]*-1,0))),0)</f>
        <v>0</v>
      </c>
      <c r="K1039" s="145" t="str">
        <f t="shared" si="49"/>
        <v/>
      </c>
      <c r="L1039" s="145">
        <f t="shared" si="50"/>
        <v>0</v>
      </c>
      <c r="M1039" t="str">
        <f>_xlfn.XLOOKUP(Table3[[#This Row],[Cuenta]],Estructura_Balance[Nombre Cuenta ()],Estructura_Balance[Grupo],"",0)</f>
        <v/>
      </c>
      <c r="N1039" t="str">
        <f>_xlfn.XLOOKUP(Table3[[#This Row],[Cuenta]],Estructura_Balance[Nombre Cuenta ()],Estructura_Balance[Nivel 1],"",0)</f>
        <v/>
      </c>
      <c r="O1039" t="str">
        <f>_xlfn.XLOOKUP(Table3[[#This Row],[Cuenta]],Estructura_Balance[Nombre Cuenta ()],Estructura_Balance[Nivel 2],"",0)</f>
        <v/>
      </c>
      <c r="P1039" t="str">
        <f>_xlfn.XLOOKUP(Table3[[#This Row],[Cuenta]],Estructura_Balance[Nombre Cuenta ()],Estructura_Balance[Nivel 3],"",0)</f>
        <v/>
      </c>
      <c r="Q1039" t="str">
        <f>_xlfn.XLOOKUP(Table3[[#This Row],[Cuenta]],Estructura_Balance[Nombre Cuenta ()],Estructura_Balance[Nivel 4],"",0)</f>
        <v/>
      </c>
      <c r="R1039" t="str">
        <f>_xlfn.XLOOKUP(Table3[[#This Row],[Cuenta]],Table8[Nombre Cuenta ()],Table8[Nivel 1],"",0)</f>
        <v/>
      </c>
      <c r="S1039" t="str">
        <f>_xlfn.XLOOKUP(Table3[[#This Row],[Cuenta]],Table8[Nombre Cuenta ()],Table8[Nivel 2],"",0)</f>
        <v/>
      </c>
      <c r="T1039" t="str">
        <f>_xlfn.XLOOKUP(Table3[[#This Row],[Cuenta]],Table8[Nombre Cuenta ()],Table8[Nivel 3],"",0)</f>
        <v/>
      </c>
      <c r="U1039">
        <v>1753</v>
      </c>
      <c r="V1039" t="str">
        <f>_xlfn.XLOOKUP(Table3[[#This Row],[Cuenta]],Estructura_Balance[Nombre Cuenta ()],Estructura_Balance[Niveles:2],"",0)</f>
        <v/>
      </c>
      <c r="W1039" t="str">
        <f>_xlfn.XLOOKUP(Table3[[#This Row],[Cuenta]],Estructura_Balance[Nombre Cuenta ()],Estructura_Balance[Niveles:3],"",0)</f>
        <v/>
      </c>
      <c r="X1039" t="str">
        <f>_xlfn.XLOOKUP(Table3[[#This Row],[Cuenta]],Estructura_Balance[Nombre Cuenta ()],Estructura_Balance[Grupos],"Grupo 1",0)</f>
        <v>Grupo 1</v>
      </c>
      <c r="Y1039" t="str">
        <f>+Table3[[#This Row],[BS_Nivel_1]]</f>
        <v/>
      </c>
    </row>
    <row r="1040" spans="1:25" ht="15" customHeight="1">
      <c r="A1040">
        <f>+'Libro Diario'!F361</f>
        <v>0</v>
      </c>
      <c r="B1040" s="144">
        <f>VALUE(IF(+'Libro Diario'!G361="","01/01/2025",+'Libro Diario'!G361))</f>
        <v>45658</v>
      </c>
      <c r="C1040">
        <f>IF(ISNUMBER(+IF(IFERROR(VALUE(MID('Libro Diario'!D361,1,4)),0)&lt;&gt;0,'Libro Diario'!D361,0))=FALSE,'Libro Diario'!D361,0)</f>
        <v>0</v>
      </c>
      <c r="D1040" s="145" t="str">
        <f>+'Libro Diario'!E361</f>
        <v>HABER</v>
      </c>
      <c r="E1040" s="139" t="s">
        <v>446</v>
      </c>
      <c r="F1040" t="str">
        <f t="shared" si="48"/>
        <v>Sin Mov.</v>
      </c>
      <c r="G1040" t="str">
        <f>IF(+'Libro Diario'!H361=0,"",+'Libro Diario'!H361)</f>
        <v/>
      </c>
      <c r="H1040" t="str">
        <f>IF(+'Libro Diario'!I361=0,"",+'Libro Diario'!I361)</f>
        <v/>
      </c>
      <c r="I1040" t="str">
        <f>+IF(Table3[[#This Row],[Tipo Movimiento]]="Estructura Balance y PyG","Excluir","Incluir")</f>
        <v>Incluir</v>
      </c>
      <c r="J1040" s="153">
        <f>+IF(Table3[[#This Row],[Sin cuenta]]="Con Mov.",(IF(Table3[[#This Row],[Movimiento]]="Debe",Table3[[#This Row],[Importe]],IF(Table3[[#This Row],[Movimiento]]="Haber",Table3[[#This Row],[Importe]]*-1,0))),0)</f>
        <v>0</v>
      </c>
      <c r="K1040" s="145" t="str">
        <f t="shared" si="49"/>
        <v/>
      </c>
      <c r="L1040" s="145" t="str">
        <f t="shared" si="50"/>
        <v>HABER</v>
      </c>
      <c r="M1040" t="str">
        <f>_xlfn.XLOOKUP(Table3[[#This Row],[Cuenta]],Estructura_Balance[Nombre Cuenta ()],Estructura_Balance[Grupo],"",0)</f>
        <v/>
      </c>
      <c r="N1040" t="str">
        <f>_xlfn.XLOOKUP(Table3[[#This Row],[Cuenta]],Estructura_Balance[Nombre Cuenta ()],Estructura_Balance[Nivel 1],"",0)</f>
        <v/>
      </c>
      <c r="O1040" t="str">
        <f>_xlfn.XLOOKUP(Table3[[#This Row],[Cuenta]],Estructura_Balance[Nombre Cuenta ()],Estructura_Balance[Nivel 2],"",0)</f>
        <v/>
      </c>
      <c r="P1040" t="str">
        <f>_xlfn.XLOOKUP(Table3[[#This Row],[Cuenta]],Estructura_Balance[Nombre Cuenta ()],Estructura_Balance[Nivel 3],"",0)</f>
        <v/>
      </c>
      <c r="Q1040" t="str">
        <f>_xlfn.XLOOKUP(Table3[[#This Row],[Cuenta]],Estructura_Balance[Nombre Cuenta ()],Estructura_Balance[Nivel 4],"",0)</f>
        <v/>
      </c>
      <c r="R1040" t="str">
        <f>_xlfn.XLOOKUP(Table3[[#This Row],[Cuenta]],Table8[Nombre Cuenta ()],Table8[Nivel 1],"",0)</f>
        <v/>
      </c>
      <c r="S1040" t="str">
        <f>_xlfn.XLOOKUP(Table3[[#This Row],[Cuenta]],Table8[Nombre Cuenta ()],Table8[Nivel 2],"",0)</f>
        <v/>
      </c>
      <c r="T1040" t="str">
        <f>_xlfn.XLOOKUP(Table3[[#This Row],[Cuenta]],Table8[Nombre Cuenta ()],Table8[Nivel 3],"",0)</f>
        <v/>
      </c>
      <c r="U1040">
        <v>1754</v>
      </c>
      <c r="V1040" t="str">
        <f>_xlfn.XLOOKUP(Table3[[#This Row],[Cuenta]],Estructura_Balance[Nombre Cuenta ()],Estructura_Balance[Niveles:2],"",0)</f>
        <v/>
      </c>
      <c r="W1040" t="str">
        <f>_xlfn.XLOOKUP(Table3[[#This Row],[Cuenta]],Estructura_Balance[Nombre Cuenta ()],Estructura_Balance[Niveles:3],"",0)</f>
        <v/>
      </c>
      <c r="X1040" t="str">
        <f>_xlfn.XLOOKUP(Table3[[#This Row],[Cuenta]],Estructura_Balance[Nombre Cuenta ()],Estructura_Balance[Grupos],"Grupo 1",0)</f>
        <v>Grupo 1</v>
      </c>
      <c r="Y1040" t="str">
        <f>+Table3[[#This Row],[BS_Nivel_1]]</f>
        <v/>
      </c>
    </row>
    <row r="1041" spans="1:25" ht="15" customHeight="1">
      <c r="A1041">
        <f>+'Libro Diario'!F362</f>
        <v>0</v>
      </c>
      <c r="B1041" s="144">
        <f>VALUE(IF(+'Libro Diario'!G362="","01/01/2025",+'Libro Diario'!G362))</f>
        <v>45658</v>
      </c>
      <c r="C1041">
        <f>IF(ISNUMBER(+IF(IFERROR(VALUE(MID('Libro Diario'!D362,1,4)),0)&lt;&gt;0,'Libro Diario'!D362,0))=FALSE,'Libro Diario'!D362,0)</f>
        <v>0</v>
      </c>
      <c r="D1041" s="145">
        <f>+'Libro Diario'!E362</f>
        <v>0</v>
      </c>
      <c r="E1041" s="139" t="s">
        <v>446</v>
      </c>
      <c r="F1041" t="str">
        <f t="shared" si="48"/>
        <v>Sin Mov.</v>
      </c>
      <c r="G1041" t="str">
        <f>IF(+'Libro Diario'!H362=0,"",+'Libro Diario'!H362)</f>
        <v/>
      </c>
      <c r="H1041" t="str">
        <f>IF(+'Libro Diario'!I362=0,"",+'Libro Diario'!I362)</f>
        <v/>
      </c>
      <c r="I1041" t="str">
        <f>+IF(Table3[[#This Row],[Tipo Movimiento]]="Estructura Balance y PyG","Excluir","Incluir")</f>
        <v>Incluir</v>
      </c>
      <c r="J1041" s="153">
        <f>+IF(Table3[[#This Row],[Sin cuenta]]="Con Mov.",(IF(Table3[[#This Row],[Movimiento]]="Debe",Table3[[#This Row],[Importe]],IF(Table3[[#This Row],[Movimiento]]="Haber",Table3[[#This Row],[Importe]]*-1,0))),0)</f>
        <v>0</v>
      </c>
      <c r="K1041" s="145" t="str">
        <f t="shared" si="49"/>
        <v/>
      </c>
      <c r="L1041" s="145">
        <f t="shared" si="50"/>
        <v>0</v>
      </c>
      <c r="M1041" t="str">
        <f>_xlfn.XLOOKUP(Table3[[#This Row],[Cuenta]],Estructura_Balance[Nombre Cuenta ()],Estructura_Balance[Grupo],"",0)</f>
        <v/>
      </c>
      <c r="N1041" t="str">
        <f>_xlfn.XLOOKUP(Table3[[#This Row],[Cuenta]],Estructura_Balance[Nombre Cuenta ()],Estructura_Balance[Nivel 1],"",0)</f>
        <v/>
      </c>
      <c r="O1041" t="str">
        <f>_xlfn.XLOOKUP(Table3[[#This Row],[Cuenta]],Estructura_Balance[Nombre Cuenta ()],Estructura_Balance[Nivel 2],"",0)</f>
        <v/>
      </c>
      <c r="P1041" t="str">
        <f>_xlfn.XLOOKUP(Table3[[#This Row],[Cuenta]],Estructura_Balance[Nombre Cuenta ()],Estructura_Balance[Nivel 3],"",0)</f>
        <v/>
      </c>
      <c r="Q1041" t="str">
        <f>_xlfn.XLOOKUP(Table3[[#This Row],[Cuenta]],Estructura_Balance[Nombre Cuenta ()],Estructura_Balance[Nivel 4],"",0)</f>
        <v/>
      </c>
      <c r="R1041" t="str">
        <f>_xlfn.XLOOKUP(Table3[[#This Row],[Cuenta]],Table8[Nombre Cuenta ()],Table8[Nivel 1],"",0)</f>
        <v/>
      </c>
      <c r="S1041" t="str">
        <f>_xlfn.XLOOKUP(Table3[[#This Row],[Cuenta]],Table8[Nombre Cuenta ()],Table8[Nivel 2],"",0)</f>
        <v/>
      </c>
      <c r="T1041" t="str">
        <f>_xlfn.XLOOKUP(Table3[[#This Row],[Cuenta]],Table8[Nombre Cuenta ()],Table8[Nivel 3],"",0)</f>
        <v/>
      </c>
      <c r="U1041">
        <v>1755</v>
      </c>
      <c r="V1041" t="str">
        <f>_xlfn.XLOOKUP(Table3[[#This Row],[Cuenta]],Estructura_Balance[Nombre Cuenta ()],Estructura_Balance[Niveles:2],"",0)</f>
        <v/>
      </c>
      <c r="W1041" t="str">
        <f>_xlfn.XLOOKUP(Table3[[#This Row],[Cuenta]],Estructura_Balance[Nombre Cuenta ()],Estructura_Balance[Niveles:3],"",0)</f>
        <v/>
      </c>
      <c r="X1041" t="str">
        <f>_xlfn.XLOOKUP(Table3[[#This Row],[Cuenta]],Estructura_Balance[Nombre Cuenta ()],Estructura_Balance[Grupos],"Grupo 1",0)</f>
        <v>Grupo 1</v>
      </c>
      <c r="Y1041" t="str">
        <f>+Table3[[#This Row],[BS_Nivel_1]]</f>
        <v/>
      </c>
    </row>
    <row r="1042" spans="1:25" ht="15" customHeight="1">
      <c r="A1042">
        <f>+'Libro Diario'!F365</f>
        <v>0</v>
      </c>
      <c r="B1042" s="144">
        <f>VALUE(IF(+'Libro Diario'!G365="","01/01/2025",+'Libro Diario'!G365))</f>
        <v>45658</v>
      </c>
      <c r="C1042">
        <f>IF(ISNUMBER(+IF(IFERROR(VALUE(MID('Libro Diario'!D365,1,4)),0)&lt;&gt;0,'Libro Diario'!D365,0))=FALSE,'Libro Diario'!D365,0)</f>
        <v>0</v>
      </c>
      <c r="D1042" s="145">
        <f>+'Libro Diario'!E365</f>
        <v>0</v>
      </c>
      <c r="E1042" s="139" t="s">
        <v>446</v>
      </c>
      <c r="F1042" t="str">
        <f t="shared" si="48"/>
        <v>Sin Mov.</v>
      </c>
      <c r="G1042" t="str">
        <f>IF(+'Libro Diario'!H365=0,"",+'Libro Diario'!H365)</f>
        <v/>
      </c>
      <c r="H1042" t="str">
        <f>IF(+'Libro Diario'!I365=0,"",+'Libro Diario'!I365)</f>
        <v/>
      </c>
      <c r="I1042" t="str">
        <f>+IF(Table3[[#This Row],[Tipo Movimiento]]="Estructura Balance y PyG","Excluir","Incluir")</f>
        <v>Incluir</v>
      </c>
      <c r="J1042" s="153">
        <f>+IF(Table3[[#This Row],[Sin cuenta]]="Con Mov.",(IF(Table3[[#This Row],[Movimiento]]="Debe",Table3[[#This Row],[Importe]],IF(Table3[[#This Row],[Movimiento]]="Haber",Table3[[#This Row],[Importe]]*-1,0))),0)</f>
        <v>0</v>
      </c>
      <c r="K1042" s="145" t="str">
        <f t="shared" si="49"/>
        <v/>
      </c>
      <c r="L1042" s="145">
        <f t="shared" si="50"/>
        <v>0</v>
      </c>
      <c r="M1042" t="str">
        <f>_xlfn.XLOOKUP(Table3[[#This Row],[Cuenta]],Estructura_Balance[Nombre Cuenta ()],Estructura_Balance[Grupo],"",0)</f>
        <v/>
      </c>
      <c r="N1042" t="str">
        <f>_xlfn.XLOOKUP(Table3[[#This Row],[Cuenta]],Estructura_Balance[Nombre Cuenta ()],Estructura_Balance[Nivel 1],"",0)</f>
        <v/>
      </c>
      <c r="O1042" t="str">
        <f>_xlfn.XLOOKUP(Table3[[#This Row],[Cuenta]],Estructura_Balance[Nombre Cuenta ()],Estructura_Balance[Nivel 2],"",0)</f>
        <v/>
      </c>
      <c r="P1042" t="str">
        <f>_xlfn.XLOOKUP(Table3[[#This Row],[Cuenta]],Estructura_Balance[Nombre Cuenta ()],Estructura_Balance[Nivel 3],"",0)</f>
        <v/>
      </c>
      <c r="Q1042" t="str">
        <f>_xlfn.XLOOKUP(Table3[[#This Row],[Cuenta]],Estructura_Balance[Nombre Cuenta ()],Estructura_Balance[Nivel 4],"",0)</f>
        <v/>
      </c>
      <c r="R1042" t="str">
        <f>_xlfn.XLOOKUP(Table3[[#This Row],[Cuenta]],Table8[Nombre Cuenta ()],Table8[Nivel 1],"",0)</f>
        <v/>
      </c>
      <c r="S1042" t="str">
        <f>_xlfn.XLOOKUP(Table3[[#This Row],[Cuenta]],Table8[Nombre Cuenta ()],Table8[Nivel 2],"",0)</f>
        <v/>
      </c>
      <c r="T1042" t="str">
        <f>_xlfn.XLOOKUP(Table3[[#This Row],[Cuenta]],Table8[Nombre Cuenta ()],Table8[Nivel 3],"",0)</f>
        <v/>
      </c>
      <c r="U1042">
        <v>1758</v>
      </c>
      <c r="V1042" t="str">
        <f>_xlfn.XLOOKUP(Table3[[#This Row],[Cuenta]],Estructura_Balance[Nombre Cuenta ()],Estructura_Balance[Niveles:2],"",0)</f>
        <v/>
      </c>
      <c r="W1042" t="str">
        <f>_xlfn.XLOOKUP(Table3[[#This Row],[Cuenta]],Estructura_Balance[Nombre Cuenta ()],Estructura_Balance[Niveles:3],"",0)</f>
        <v/>
      </c>
      <c r="X1042" t="str">
        <f>_xlfn.XLOOKUP(Table3[[#This Row],[Cuenta]],Estructura_Balance[Nombre Cuenta ()],Estructura_Balance[Grupos],"Grupo 1",0)</f>
        <v>Grupo 1</v>
      </c>
      <c r="Y1042" t="str">
        <f>+Table3[[#This Row],[BS_Nivel_1]]</f>
        <v/>
      </c>
    </row>
    <row r="1043" spans="1:25" ht="15" customHeight="1">
      <c r="A1043">
        <f>+'Libro Diario'!F366</f>
        <v>0</v>
      </c>
      <c r="B1043" s="144">
        <f>VALUE(IF(+'Libro Diario'!G366="","01/01/2025",+'Libro Diario'!G366))</f>
        <v>45658</v>
      </c>
      <c r="C1043">
        <f>IF(ISNUMBER(+IF(IFERROR(VALUE(MID('Libro Diario'!D366,1,4)),0)&lt;&gt;0,'Libro Diario'!D366,0))=FALSE,'Libro Diario'!D366,0)</f>
        <v>0</v>
      </c>
      <c r="D1043" s="145">
        <f>+'Libro Diario'!E366</f>
        <v>0</v>
      </c>
      <c r="E1043" s="139" t="s">
        <v>446</v>
      </c>
      <c r="F1043" t="str">
        <f t="shared" si="48"/>
        <v>Sin Mov.</v>
      </c>
      <c r="G1043" t="str">
        <f>IF(+'Libro Diario'!H366=0,"",+'Libro Diario'!H366)</f>
        <v/>
      </c>
      <c r="H1043" t="str">
        <f>IF(+'Libro Diario'!I366=0,"",+'Libro Diario'!I366)</f>
        <v/>
      </c>
      <c r="I1043" t="str">
        <f>+IF(Table3[[#This Row],[Tipo Movimiento]]="Estructura Balance y PyG","Excluir","Incluir")</f>
        <v>Incluir</v>
      </c>
      <c r="J1043" s="153">
        <f>+IF(Table3[[#This Row],[Sin cuenta]]="Con Mov.",(IF(Table3[[#This Row],[Movimiento]]="Debe",Table3[[#This Row],[Importe]],IF(Table3[[#This Row],[Movimiento]]="Haber",Table3[[#This Row],[Importe]]*-1,0))),0)</f>
        <v>0</v>
      </c>
      <c r="K1043" s="145" t="str">
        <f t="shared" si="49"/>
        <v/>
      </c>
      <c r="L1043" s="145">
        <f t="shared" si="50"/>
        <v>0</v>
      </c>
      <c r="M1043" t="str">
        <f>_xlfn.XLOOKUP(Table3[[#This Row],[Cuenta]],Estructura_Balance[Nombre Cuenta ()],Estructura_Balance[Grupo],"",0)</f>
        <v/>
      </c>
      <c r="N1043" t="str">
        <f>_xlfn.XLOOKUP(Table3[[#This Row],[Cuenta]],Estructura_Balance[Nombre Cuenta ()],Estructura_Balance[Nivel 1],"",0)</f>
        <v/>
      </c>
      <c r="O1043" t="str">
        <f>_xlfn.XLOOKUP(Table3[[#This Row],[Cuenta]],Estructura_Balance[Nombre Cuenta ()],Estructura_Balance[Nivel 2],"",0)</f>
        <v/>
      </c>
      <c r="P1043" t="str">
        <f>_xlfn.XLOOKUP(Table3[[#This Row],[Cuenta]],Estructura_Balance[Nombre Cuenta ()],Estructura_Balance[Nivel 3],"",0)</f>
        <v/>
      </c>
      <c r="Q1043" t="str">
        <f>_xlfn.XLOOKUP(Table3[[#This Row],[Cuenta]],Estructura_Balance[Nombre Cuenta ()],Estructura_Balance[Nivel 4],"",0)</f>
        <v/>
      </c>
      <c r="R1043" t="str">
        <f>_xlfn.XLOOKUP(Table3[[#This Row],[Cuenta]],Table8[Nombre Cuenta ()],Table8[Nivel 1],"",0)</f>
        <v/>
      </c>
      <c r="S1043" t="str">
        <f>_xlfn.XLOOKUP(Table3[[#This Row],[Cuenta]],Table8[Nombre Cuenta ()],Table8[Nivel 2],"",0)</f>
        <v/>
      </c>
      <c r="T1043" t="str">
        <f>_xlfn.XLOOKUP(Table3[[#This Row],[Cuenta]],Table8[Nombre Cuenta ()],Table8[Nivel 3],"",0)</f>
        <v/>
      </c>
      <c r="U1043">
        <v>1759</v>
      </c>
      <c r="V1043" t="str">
        <f>_xlfn.XLOOKUP(Table3[[#This Row],[Cuenta]],Estructura_Balance[Nombre Cuenta ()],Estructura_Balance[Niveles:2],"",0)</f>
        <v/>
      </c>
      <c r="W1043" t="str">
        <f>_xlfn.XLOOKUP(Table3[[#This Row],[Cuenta]],Estructura_Balance[Nombre Cuenta ()],Estructura_Balance[Niveles:3],"",0)</f>
        <v/>
      </c>
      <c r="X1043" t="str">
        <f>_xlfn.XLOOKUP(Table3[[#This Row],[Cuenta]],Estructura_Balance[Nombre Cuenta ()],Estructura_Balance[Grupos],"Grupo 1",0)</f>
        <v>Grupo 1</v>
      </c>
      <c r="Y1043" t="str">
        <f>+Table3[[#This Row],[BS_Nivel_1]]</f>
        <v/>
      </c>
    </row>
    <row r="1044" spans="1:25" ht="15" customHeight="1">
      <c r="A1044">
        <f>+'Libro Diario'!F367</f>
        <v>0</v>
      </c>
      <c r="B1044" s="144">
        <f>VALUE(IF(+'Libro Diario'!G367="","01/01/2025",+'Libro Diario'!G367))</f>
        <v>45658</v>
      </c>
      <c r="C1044">
        <f>IF(ISNUMBER(+IF(IFERROR(VALUE(MID('Libro Diario'!D367,1,4)),0)&lt;&gt;0,'Libro Diario'!D367,0))=FALSE,'Libro Diario'!D367,0)</f>
        <v>0</v>
      </c>
      <c r="D1044" s="145">
        <f>+'Libro Diario'!E367</f>
        <v>0</v>
      </c>
      <c r="E1044" s="139" t="s">
        <v>446</v>
      </c>
      <c r="F1044" t="str">
        <f t="shared" si="48"/>
        <v>Sin Mov.</v>
      </c>
      <c r="G1044" t="str">
        <f>IF(+'Libro Diario'!H367=0,"",+'Libro Diario'!H367)</f>
        <v/>
      </c>
      <c r="H1044" t="str">
        <f>IF(+'Libro Diario'!I367=0,"",+'Libro Diario'!I367)</f>
        <v/>
      </c>
      <c r="I1044" t="str">
        <f>+IF(Table3[[#This Row],[Tipo Movimiento]]="Estructura Balance y PyG","Excluir","Incluir")</f>
        <v>Incluir</v>
      </c>
      <c r="J1044" s="153">
        <f>+IF(Table3[[#This Row],[Sin cuenta]]="Con Mov.",(IF(Table3[[#This Row],[Movimiento]]="Debe",Table3[[#This Row],[Importe]],IF(Table3[[#This Row],[Movimiento]]="Haber",Table3[[#This Row],[Importe]]*-1,0))),0)</f>
        <v>0</v>
      </c>
      <c r="K1044" s="145" t="str">
        <f t="shared" si="49"/>
        <v/>
      </c>
      <c r="L1044" s="145">
        <f t="shared" si="50"/>
        <v>0</v>
      </c>
      <c r="M1044" t="str">
        <f>_xlfn.XLOOKUP(Table3[[#This Row],[Cuenta]],Estructura_Balance[Nombre Cuenta ()],Estructura_Balance[Grupo],"",0)</f>
        <v/>
      </c>
      <c r="N1044" t="str">
        <f>_xlfn.XLOOKUP(Table3[[#This Row],[Cuenta]],Estructura_Balance[Nombre Cuenta ()],Estructura_Balance[Nivel 1],"",0)</f>
        <v/>
      </c>
      <c r="O1044" t="str">
        <f>_xlfn.XLOOKUP(Table3[[#This Row],[Cuenta]],Estructura_Balance[Nombre Cuenta ()],Estructura_Balance[Nivel 2],"",0)</f>
        <v/>
      </c>
      <c r="P1044" t="str">
        <f>_xlfn.XLOOKUP(Table3[[#This Row],[Cuenta]],Estructura_Balance[Nombre Cuenta ()],Estructura_Balance[Nivel 3],"",0)</f>
        <v/>
      </c>
      <c r="Q1044" t="str">
        <f>_xlfn.XLOOKUP(Table3[[#This Row],[Cuenta]],Estructura_Balance[Nombre Cuenta ()],Estructura_Balance[Nivel 4],"",0)</f>
        <v/>
      </c>
      <c r="R1044" t="str">
        <f>_xlfn.XLOOKUP(Table3[[#This Row],[Cuenta]],Table8[Nombre Cuenta ()],Table8[Nivel 1],"",0)</f>
        <v/>
      </c>
      <c r="S1044" t="str">
        <f>_xlfn.XLOOKUP(Table3[[#This Row],[Cuenta]],Table8[Nombre Cuenta ()],Table8[Nivel 2],"",0)</f>
        <v/>
      </c>
      <c r="T1044" t="str">
        <f>_xlfn.XLOOKUP(Table3[[#This Row],[Cuenta]],Table8[Nombre Cuenta ()],Table8[Nivel 3],"",0)</f>
        <v/>
      </c>
      <c r="U1044">
        <v>1760</v>
      </c>
      <c r="V1044" t="str">
        <f>_xlfn.XLOOKUP(Table3[[#This Row],[Cuenta]],Estructura_Balance[Nombre Cuenta ()],Estructura_Balance[Niveles:2],"",0)</f>
        <v/>
      </c>
      <c r="W1044" t="str">
        <f>_xlfn.XLOOKUP(Table3[[#This Row],[Cuenta]],Estructura_Balance[Nombre Cuenta ()],Estructura_Balance[Niveles:3],"",0)</f>
        <v/>
      </c>
      <c r="X1044" t="str">
        <f>_xlfn.XLOOKUP(Table3[[#This Row],[Cuenta]],Estructura_Balance[Nombre Cuenta ()],Estructura_Balance[Grupos],"Grupo 1",0)</f>
        <v>Grupo 1</v>
      </c>
      <c r="Y1044" t="str">
        <f>+Table3[[#This Row],[BS_Nivel_1]]</f>
        <v/>
      </c>
    </row>
    <row r="1045" spans="1:25" ht="15" customHeight="1">
      <c r="A1045">
        <f>+'Libro Diario'!F368</f>
        <v>0</v>
      </c>
      <c r="B1045" s="144">
        <f>VALUE(IF(+'Libro Diario'!G368="","01/01/2025",+'Libro Diario'!G368))</f>
        <v>45658</v>
      </c>
      <c r="C1045">
        <f>IF(ISNUMBER(+IF(IFERROR(VALUE(MID('Libro Diario'!D368,1,4)),0)&lt;&gt;0,'Libro Diario'!D368,0))=FALSE,'Libro Diario'!D368,0)</f>
        <v>0</v>
      </c>
      <c r="D1045" s="145" t="str">
        <f>+'Libro Diario'!E368</f>
        <v>HABER</v>
      </c>
      <c r="E1045" s="139" t="s">
        <v>446</v>
      </c>
      <c r="F1045" t="str">
        <f t="shared" si="48"/>
        <v>Sin Mov.</v>
      </c>
      <c r="G1045" t="str">
        <f>IF(+'Libro Diario'!H368=0,"",+'Libro Diario'!H368)</f>
        <v/>
      </c>
      <c r="H1045" t="str">
        <f>IF(+'Libro Diario'!I368=0,"",+'Libro Diario'!I368)</f>
        <v/>
      </c>
      <c r="I1045" t="str">
        <f>+IF(Table3[[#This Row],[Tipo Movimiento]]="Estructura Balance y PyG","Excluir","Incluir")</f>
        <v>Incluir</v>
      </c>
      <c r="J1045" s="153">
        <f>+IF(Table3[[#This Row],[Sin cuenta]]="Con Mov.",(IF(Table3[[#This Row],[Movimiento]]="Debe",Table3[[#This Row],[Importe]],IF(Table3[[#This Row],[Movimiento]]="Haber",Table3[[#This Row],[Importe]]*-1,0))),0)</f>
        <v>0</v>
      </c>
      <c r="K1045" s="145" t="str">
        <f t="shared" si="49"/>
        <v/>
      </c>
      <c r="L1045" s="145" t="str">
        <f t="shared" si="50"/>
        <v>HABER</v>
      </c>
      <c r="M1045" t="str">
        <f>_xlfn.XLOOKUP(Table3[[#This Row],[Cuenta]],Estructura_Balance[Nombre Cuenta ()],Estructura_Balance[Grupo],"",0)</f>
        <v/>
      </c>
      <c r="N1045" t="str">
        <f>_xlfn.XLOOKUP(Table3[[#This Row],[Cuenta]],Estructura_Balance[Nombre Cuenta ()],Estructura_Balance[Nivel 1],"",0)</f>
        <v/>
      </c>
      <c r="O1045" t="str">
        <f>_xlfn.XLOOKUP(Table3[[#This Row],[Cuenta]],Estructura_Balance[Nombre Cuenta ()],Estructura_Balance[Nivel 2],"",0)</f>
        <v/>
      </c>
      <c r="P1045" t="str">
        <f>_xlfn.XLOOKUP(Table3[[#This Row],[Cuenta]],Estructura_Balance[Nombre Cuenta ()],Estructura_Balance[Nivel 3],"",0)</f>
        <v/>
      </c>
      <c r="Q1045" t="str">
        <f>_xlfn.XLOOKUP(Table3[[#This Row],[Cuenta]],Estructura_Balance[Nombre Cuenta ()],Estructura_Balance[Nivel 4],"",0)</f>
        <v/>
      </c>
      <c r="R1045" t="str">
        <f>_xlfn.XLOOKUP(Table3[[#This Row],[Cuenta]],Table8[Nombre Cuenta ()],Table8[Nivel 1],"",0)</f>
        <v/>
      </c>
      <c r="S1045" t="str">
        <f>_xlfn.XLOOKUP(Table3[[#This Row],[Cuenta]],Table8[Nombre Cuenta ()],Table8[Nivel 2],"",0)</f>
        <v/>
      </c>
      <c r="T1045" t="str">
        <f>_xlfn.XLOOKUP(Table3[[#This Row],[Cuenta]],Table8[Nombre Cuenta ()],Table8[Nivel 3],"",0)</f>
        <v/>
      </c>
      <c r="U1045">
        <v>1761</v>
      </c>
      <c r="V1045" t="str">
        <f>_xlfn.XLOOKUP(Table3[[#This Row],[Cuenta]],Estructura_Balance[Nombre Cuenta ()],Estructura_Balance[Niveles:2],"",0)</f>
        <v/>
      </c>
      <c r="W1045" t="str">
        <f>_xlfn.XLOOKUP(Table3[[#This Row],[Cuenta]],Estructura_Balance[Nombre Cuenta ()],Estructura_Balance[Niveles:3],"",0)</f>
        <v/>
      </c>
      <c r="X1045" t="str">
        <f>_xlfn.XLOOKUP(Table3[[#This Row],[Cuenta]],Estructura_Balance[Nombre Cuenta ()],Estructura_Balance[Grupos],"Grupo 1",0)</f>
        <v>Grupo 1</v>
      </c>
      <c r="Y1045" t="str">
        <f>+Table3[[#This Row],[BS_Nivel_1]]</f>
        <v/>
      </c>
    </row>
    <row r="1046" spans="1:25" ht="15" customHeight="1">
      <c r="A1046">
        <f>+'Libro Diario'!F369</f>
        <v>0</v>
      </c>
      <c r="B1046" s="144">
        <f>VALUE(IF(+'Libro Diario'!G369="","01/01/2025",+'Libro Diario'!G369))</f>
        <v>45658</v>
      </c>
      <c r="C1046">
        <f>IF(ISNUMBER(+IF(IFERROR(VALUE(MID('Libro Diario'!D369,1,4)),0)&lt;&gt;0,'Libro Diario'!D369,0))=FALSE,'Libro Diario'!D369,0)</f>
        <v>0</v>
      </c>
      <c r="D1046" s="145">
        <f>+'Libro Diario'!E369</f>
        <v>0</v>
      </c>
      <c r="E1046" s="139" t="s">
        <v>446</v>
      </c>
      <c r="F1046" t="str">
        <f t="shared" si="48"/>
        <v>Sin Mov.</v>
      </c>
      <c r="G1046" t="str">
        <f>IF(+'Libro Diario'!H369=0,"",+'Libro Diario'!H369)</f>
        <v/>
      </c>
      <c r="H1046" t="str">
        <f>IF(+'Libro Diario'!I369=0,"",+'Libro Diario'!I369)</f>
        <v/>
      </c>
      <c r="I1046" t="str">
        <f>+IF(Table3[[#This Row],[Tipo Movimiento]]="Estructura Balance y PyG","Excluir","Incluir")</f>
        <v>Incluir</v>
      </c>
      <c r="J1046" s="153">
        <f>+IF(Table3[[#This Row],[Sin cuenta]]="Con Mov.",(IF(Table3[[#This Row],[Movimiento]]="Debe",Table3[[#This Row],[Importe]],IF(Table3[[#This Row],[Movimiento]]="Haber",Table3[[#This Row],[Importe]]*-1,0))),0)</f>
        <v>0</v>
      </c>
      <c r="K1046" s="145" t="str">
        <f t="shared" si="49"/>
        <v/>
      </c>
      <c r="L1046" s="145">
        <f t="shared" si="50"/>
        <v>0</v>
      </c>
      <c r="M1046" t="str">
        <f>_xlfn.XLOOKUP(Table3[[#This Row],[Cuenta]],Estructura_Balance[Nombre Cuenta ()],Estructura_Balance[Grupo],"",0)</f>
        <v/>
      </c>
      <c r="N1046" t="str">
        <f>_xlfn.XLOOKUP(Table3[[#This Row],[Cuenta]],Estructura_Balance[Nombre Cuenta ()],Estructura_Balance[Nivel 1],"",0)</f>
        <v/>
      </c>
      <c r="O1046" t="str">
        <f>_xlfn.XLOOKUP(Table3[[#This Row],[Cuenta]],Estructura_Balance[Nombre Cuenta ()],Estructura_Balance[Nivel 2],"",0)</f>
        <v/>
      </c>
      <c r="P1046" t="str">
        <f>_xlfn.XLOOKUP(Table3[[#This Row],[Cuenta]],Estructura_Balance[Nombre Cuenta ()],Estructura_Balance[Nivel 3],"",0)</f>
        <v/>
      </c>
      <c r="Q1046" t="str">
        <f>_xlfn.XLOOKUP(Table3[[#This Row],[Cuenta]],Estructura_Balance[Nombre Cuenta ()],Estructura_Balance[Nivel 4],"",0)</f>
        <v/>
      </c>
      <c r="R1046" t="str">
        <f>_xlfn.XLOOKUP(Table3[[#This Row],[Cuenta]],Table8[Nombre Cuenta ()],Table8[Nivel 1],"",0)</f>
        <v/>
      </c>
      <c r="S1046" t="str">
        <f>_xlfn.XLOOKUP(Table3[[#This Row],[Cuenta]],Table8[Nombre Cuenta ()],Table8[Nivel 2],"",0)</f>
        <v/>
      </c>
      <c r="T1046" t="str">
        <f>_xlfn.XLOOKUP(Table3[[#This Row],[Cuenta]],Table8[Nombre Cuenta ()],Table8[Nivel 3],"",0)</f>
        <v/>
      </c>
      <c r="U1046">
        <v>1762</v>
      </c>
      <c r="V1046" t="str">
        <f>_xlfn.XLOOKUP(Table3[[#This Row],[Cuenta]],Estructura_Balance[Nombre Cuenta ()],Estructura_Balance[Niveles:2],"",0)</f>
        <v/>
      </c>
      <c r="W1046" t="str">
        <f>_xlfn.XLOOKUP(Table3[[#This Row],[Cuenta]],Estructura_Balance[Nombre Cuenta ()],Estructura_Balance[Niveles:3],"",0)</f>
        <v/>
      </c>
      <c r="X1046" t="str">
        <f>_xlfn.XLOOKUP(Table3[[#This Row],[Cuenta]],Estructura_Balance[Nombre Cuenta ()],Estructura_Balance[Grupos],"Grupo 1",0)</f>
        <v>Grupo 1</v>
      </c>
      <c r="Y1046" t="str">
        <f>+Table3[[#This Row],[BS_Nivel_1]]</f>
        <v/>
      </c>
    </row>
    <row r="1047" spans="1:25" ht="15" customHeight="1">
      <c r="A1047">
        <f>+'Libro Diario'!F375</f>
        <v>0</v>
      </c>
      <c r="B1047" s="144">
        <f>VALUE(IF(+'Libro Diario'!G375="","01/01/2025",+'Libro Diario'!G375))</f>
        <v>45658</v>
      </c>
      <c r="C1047">
        <f>IF(ISNUMBER(+IF(IFERROR(VALUE(MID('Libro Diario'!D375,1,4)),0)&lt;&gt;0,'Libro Diario'!D375,0))=FALSE,'Libro Diario'!D375,0)</f>
        <v>0</v>
      </c>
      <c r="D1047" s="145">
        <f>+'Libro Diario'!E375</f>
        <v>0</v>
      </c>
      <c r="E1047" s="139" t="s">
        <v>446</v>
      </c>
      <c r="F1047" t="str">
        <f t="shared" si="48"/>
        <v>Sin Mov.</v>
      </c>
      <c r="G1047" t="str">
        <f>IF(+'Libro Diario'!H375=0,"",+'Libro Diario'!H375)</f>
        <v/>
      </c>
      <c r="H1047" t="str">
        <f>IF(+'Libro Diario'!I375=0,"",+'Libro Diario'!I375)</f>
        <v/>
      </c>
      <c r="I1047" t="str">
        <f>+IF(Table3[[#This Row],[Tipo Movimiento]]="Estructura Balance y PyG","Excluir","Incluir")</f>
        <v>Incluir</v>
      </c>
      <c r="J1047" s="153">
        <f>+IF(Table3[[#This Row],[Sin cuenta]]="Con Mov.",(IF(Table3[[#This Row],[Movimiento]]="Debe",Table3[[#This Row],[Importe]],IF(Table3[[#This Row],[Movimiento]]="Haber",Table3[[#This Row],[Importe]]*-1,0))),0)</f>
        <v>0</v>
      </c>
      <c r="K1047" s="145" t="str">
        <f t="shared" si="49"/>
        <v/>
      </c>
      <c r="L1047" s="145">
        <f t="shared" si="50"/>
        <v>0</v>
      </c>
      <c r="M1047" t="str">
        <f>_xlfn.XLOOKUP(Table3[[#This Row],[Cuenta]],Estructura_Balance[Nombre Cuenta ()],Estructura_Balance[Grupo],"",0)</f>
        <v/>
      </c>
      <c r="N1047" t="str">
        <f>_xlfn.XLOOKUP(Table3[[#This Row],[Cuenta]],Estructura_Balance[Nombre Cuenta ()],Estructura_Balance[Nivel 1],"",0)</f>
        <v/>
      </c>
      <c r="O1047" t="str">
        <f>_xlfn.XLOOKUP(Table3[[#This Row],[Cuenta]],Estructura_Balance[Nombre Cuenta ()],Estructura_Balance[Nivel 2],"",0)</f>
        <v/>
      </c>
      <c r="P1047" t="str">
        <f>_xlfn.XLOOKUP(Table3[[#This Row],[Cuenta]],Estructura_Balance[Nombre Cuenta ()],Estructura_Balance[Nivel 3],"",0)</f>
        <v/>
      </c>
      <c r="Q1047" t="str">
        <f>_xlfn.XLOOKUP(Table3[[#This Row],[Cuenta]],Estructura_Balance[Nombre Cuenta ()],Estructura_Balance[Nivel 4],"",0)</f>
        <v/>
      </c>
      <c r="R1047" t="str">
        <f>_xlfn.XLOOKUP(Table3[[#This Row],[Cuenta]],Table8[Nombre Cuenta ()],Table8[Nivel 1],"",0)</f>
        <v/>
      </c>
      <c r="S1047" t="str">
        <f>_xlfn.XLOOKUP(Table3[[#This Row],[Cuenta]],Table8[Nombre Cuenta ()],Table8[Nivel 2],"",0)</f>
        <v/>
      </c>
      <c r="T1047" t="str">
        <f>_xlfn.XLOOKUP(Table3[[#This Row],[Cuenta]],Table8[Nombre Cuenta ()],Table8[Nivel 3],"",0)</f>
        <v/>
      </c>
      <c r="U1047">
        <v>1768</v>
      </c>
      <c r="V1047" t="str">
        <f>_xlfn.XLOOKUP(Table3[[#This Row],[Cuenta]],Estructura_Balance[Nombre Cuenta ()],Estructura_Balance[Niveles:2],"",0)</f>
        <v/>
      </c>
      <c r="W1047" t="str">
        <f>_xlfn.XLOOKUP(Table3[[#This Row],[Cuenta]],Estructura_Balance[Nombre Cuenta ()],Estructura_Balance[Niveles:3],"",0)</f>
        <v/>
      </c>
      <c r="X1047" t="str">
        <f>_xlfn.XLOOKUP(Table3[[#This Row],[Cuenta]],Estructura_Balance[Nombre Cuenta ()],Estructura_Balance[Grupos],"Grupo 1",0)</f>
        <v>Grupo 1</v>
      </c>
      <c r="Y1047" t="str">
        <f>+Table3[[#This Row],[BS_Nivel_1]]</f>
        <v/>
      </c>
    </row>
    <row r="1048" spans="1:25" ht="15" customHeight="1">
      <c r="A1048">
        <f>+'Libro Diario'!F376</f>
        <v>0</v>
      </c>
      <c r="B1048" s="144">
        <f>VALUE(IF(+'Libro Diario'!G376="","01/01/2025",+'Libro Diario'!G376))</f>
        <v>45658</v>
      </c>
      <c r="C1048">
        <f>IF(ISNUMBER(+IF(IFERROR(VALUE(MID('Libro Diario'!D376,1,4)),0)&lt;&gt;0,'Libro Diario'!D376,0))=FALSE,'Libro Diario'!D376,0)</f>
        <v>0</v>
      </c>
      <c r="D1048" s="145">
        <f>+'Libro Diario'!E376</f>
        <v>0</v>
      </c>
      <c r="E1048" s="139" t="s">
        <v>446</v>
      </c>
      <c r="F1048" t="str">
        <f t="shared" si="48"/>
        <v>Sin Mov.</v>
      </c>
      <c r="G1048" t="str">
        <f>IF(+'Libro Diario'!H376=0,"",+'Libro Diario'!H376)</f>
        <v/>
      </c>
      <c r="H1048" t="str">
        <f>IF(+'Libro Diario'!I376=0,"",+'Libro Diario'!I376)</f>
        <v/>
      </c>
      <c r="I1048" t="str">
        <f>+IF(Table3[[#This Row],[Tipo Movimiento]]="Estructura Balance y PyG","Excluir","Incluir")</f>
        <v>Incluir</v>
      </c>
      <c r="J1048" s="153">
        <f>+IF(Table3[[#This Row],[Sin cuenta]]="Con Mov.",(IF(Table3[[#This Row],[Movimiento]]="Debe",Table3[[#This Row],[Importe]],IF(Table3[[#This Row],[Movimiento]]="Haber",Table3[[#This Row],[Importe]]*-1,0))),0)</f>
        <v>0</v>
      </c>
      <c r="K1048" s="145" t="str">
        <f t="shared" si="49"/>
        <v/>
      </c>
      <c r="L1048" s="145">
        <f t="shared" si="50"/>
        <v>0</v>
      </c>
      <c r="M1048" t="str">
        <f>_xlfn.XLOOKUP(Table3[[#This Row],[Cuenta]],Estructura_Balance[Nombre Cuenta ()],Estructura_Balance[Grupo],"",0)</f>
        <v/>
      </c>
      <c r="N1048" t="str">
        <f>_xlfn.XLOOKUP(Table3[[#This Row],[Cuenta]],Estructura_Balance[Nombre Cuenta ()],Estructura_Balance[Nivel 1],"",0)</f>
        <v/>
      </c>
      <c r="O1048" t="str">
        <f>_xlfn.XLOOKUP(Table3[[#This Row],[Cuenta]],Estructura_Balance[Nombre Cuenta ()],Estructura_Balance[Nivel 2],"",0)</f>
        <v/>
      </c>
      <c r="P1048" t="str">
        <f>_xlfn.XLOOKUP(Table3[[#This Row],[Cuenta]],Estructura_Balance[Nombre Cuenta ()],Estructura_Balance[Nivel 3],"",0)</f>
        <v/>
      </c>
      <c r="Q1048" t="str">
        <f>_xlfn.XLOOKUP(Table3[[#This Row],[Cuenta]],Estructura_Balance[Nombre Cuenta ()],Estructura_Balance[Nivel 4],"",0)</f>
        <v/>
      </c>
      <c r="R1048" t="str">
        <f>_xlfn.XLOOKUP(Table3[[#This Row],[Cuenta]],Table8[Nombre Cuenta ()],Table8[Nivel 1],"",0)</f>
        <v/>
      </c>
      <c r="S1048" t="str">
        <f>_xlfn.XLOOKUP(Table3[[#This Row],[Cuenta]],Table8[Nombre Cuenta ()],Table8[Nivel 2],"",0)</f>
        <v/>
      </c>
      <c r="T1048" t="str">
        <f>_xlfn.XLOOKUP(Table3[[#This Row],[Cuenta]],Table8[Nombre Cuenta ()],Table8[Nivel 3],"",0)</f>
        <v/>
      </c>
      <c r="U1048">
        <v>1769</v>
      </c>
      <c r="V1048" t="str">
        <f>_xlfn.XLOOKUP(Table3[[#This Row],[Cuenta]],Estructura_Balance[Nombre Cuenta ()],Estructura_Balance[Niveles:2],"",0)</f>
        <v/>
      </c>
      <c r="W1048" t="str">
        <f>_xlfn.XLOOKUP(Table3[[#This Row],[Cuenta]],Estructura_Balance[Nombre Cuenta ()],Estructura_Balance[Niveles:3],"",0)</f>
        <v/>
      </c>
      <c r="X1048" t="str">
        <f>_xlfn.XLOOKUP(Table3[[#This Row],[Cuenta]],Estructura_Balance[Nombre Cuenta ()],Estructura_Balance[Grupos],"Grupo 1",0)</f>
        <v>Grupo 1</v>
      </c>
      <c r="Y1048" t="str">
        <f>+Table3[[#This Row],[BS_Nivel_1]]</f>
        <v/>
      </c>
    </row>
    <row r="1049" spans="1:25" ht="15" customHeight="1">
      <c r="A1049">
        <f>+'Libro Diario'!F377</f>
        <v>0</v>
      </c>
      <c r="B1049" s="144">
        <f>VALUE(IF(+'Libro Diario'!G377="","01/01/2025",+'Libro Diario'!G377))</f>
        <v>45658</v>
      </c>
      <c r="C1049">
        <f>IF(ISNUMBER(+IF(IFERROR(VALUE(MID('Libro Diario'!D377,1,4)),0)&lt;&gt;0,'Libro Diario'!D377,0))=FALSE,'Libro Diario'!D377,0)</f>
        <v>0</v>
      </c>
      <c r="D1049" s="145">
        <f>+'Libro Diario'!E377</f>
        <v>0</v>
      </c>
      <c r="E1049" s="139" t="s">
        <v>446</v>
      </c>
      <c r="F1049" t="str">
        <f t="shared" si="48"/>
        <v>Sin Mov.</v>
      </c>
      <c r="G1049" t="str">
        <f>IF(+'Libro Diario'!H377=0,"",+'Libro Diario'!H377)</f>
        <v/>
      </c>
      <c r="H1049" t="str">
        <f>IF(+'Libro Diario'!I377=0,"",+'Libro Diario'!I377)</f>
        <v/>
      </c>
      <c r="I1049" t="str">
        <f>+IF(Table3[[#This Row],[Tipo Movimiento]]="Estructura Balance y PyG","Excluir","Incluir")</f>
        <v>Incluir</v>
      </c>
      <c r="J1049" s="153">
        <f>+IF(Table3[[#This Row],[Sin cuenta]]="Con Mov.",(IF(Table3[[#This Row],[Movimiento]]="Debe",Table3[[#This Row],[Importe]],IF(Table3[[#This Row],[Movimiento]]="Haber",Table3[[#This Row],[Importe]]*-1,0))),0)</f>
        <v>0</v>
      </c>
      <c r="K1049" s="145" t="str">
        <f t="shared" si="49"/>
        <v/>
      </c>
      <c r="L1049" s="145">
        <f t="shared" si="50"/>
        <v>0</v>
      </c>
      <c r="M1049" t="str">
        <f>_xlfn.XLOOKUP(Table3[[#This Row],[Cuenta]],Estructura_Balance[Nombre Cuenta ()],Estructura_Balance[Grupo],"",0)</f>
        <v/>
      </c>
      <c r="N1049" t="str">
        <f>_xlfn.XLOOKUP(Table3[[#This Row],[Cuenta]],Estructura_Balance[Nombre Cuenta ()],Estructura_Balance[Nivel 1],"",0)</f>
        <v/>
      </c>
      <c r="O1049" t="str">
        <f>_xlfn.XLOOKUP(Table3[[#This Row],[Cuenta]],Estructura_Balance[Nombre Cuenta ()],Estructura_Balance[Nivel 2],"",0)</f>
        <v/>
      </c>
      <c r="P1049" t="str">
        <f>_xlfn.XLOOKUP(Table3[[#This Row],[Cuenta]],Estructura_Balance[Nombre Cuenta ()],Estructura_Balance[Nivel 3],"",0)</f>
        <v/>
      </c>
      <c r="Q1049" t="str">
        <f>_xlfn.XLOOKUP(Table3[[#This Row],[Cuenta]],Estructura_Balance[Nombre Cuenta ()],Estructura_Balance[Nivel 4],"",0)</f>
        <v/>
      </c>
      <c r="R1049" t="str">
        <f>_xlfn.XLOOKUP(Table3[[#This Row],[Cuenta]],Table8[Nombre Cuenta ()],Table8[Nivel 1],"",0)</f>
        <v/>
      </c>
      <c r="S1049" t="str">
        <f>_xlfn.XLOOKUP(Table3[[#This Row],[Cuenta]],Table8[Nombre Cuenta ()],Table8[Nivel 2],"",0)</f>
        <v/>
      </c>
      <c r="T1049" t="str">
        <f>_xlfn.XLOOKUP(Table3[[#This Row],[Cuenta]],Table8[Nombre Cuenta ()],Table8[Nivel 3],"",0)</f>
        <v/>
      </c>
      <c r="U1049">
        <v>1770</v>
      </c>
      <c r="V1049" t="str">
        <f>_xlfn.XLOOKUP(Table3[[#This Row],[Cuenta]],Estructura_Balance[Nombre Cuenta ()],Estructura_Balance[Niveles:2],"",0)</f>
        <v/>
      </c>
      <c r="W1049" t="str">
        <f>_xlfn.XLOOKUP(Table3[[#This Row],[Cuenta]],Estructura_Balance[Nombre Cuenta ()],Estructura_Balance[Niveles:3],"",0)</f>
        <v/>
      </c>
      <c r="X1049" t="str">
        <f>_xlfn.XLOOKUP(Table3[[#This Row],[Cuenta]],Estructura_Balance[Nombre Cuenta ()],Estructura_Balance[Grupos],"Grupo 1",0)</f>
        <v>Grupo 1</v>
      </c>
      <c r="Y1049" t="str">
        <f>+Table3[[#This Row],[BS_Nivel_1]]</f>
        <v/>
      </c>
    </row>
    <row r="1050" spans="1:25" ht="15" customHeight="1">
      <c r="A1050">
        <f>+'Libro Diario'!F378</f>
        <v>0</v>
      </c>
      <c r="B1050" s="144">
        <f>VALUE(IF(+'Libro Diario'!G378="","01/01/2025",+'Libro Diario'!G378))</f>
        <v>45658</v>
      </c>
      <c r="C1050">
        <f>IF(ISNUMBER(+IF(IFERROR(VALUE(MID('Libro Diario'!D378,1,4)),0)&lt;&gt;0,'Libro Diario'!D378,0))=FALSE,'Libro Diario'!D378,0)</f>
        <v>0</v>
      </c>
      <c r="D1050" s="145" t="str">
        <f>+'Libro Diario'!E378</f>
        <v>HABER</v>
      </c>
      <c r="E1050" s="139" t="s">
        <v>446</v>
      </c>
      <c r="F1050" t="str">
        <f t="shared" si="48"/>
        <v>Sin Mov.</v>
      </c>
      <c r="G1050" t="str">
        <f>IF(+'Libro Diario'!H378=0,"",+'Libro Diario'!H378)</f>
        <v/>
      </c>
      <c r="H1050" t="str">
        <f>IF(+'Libro Diario'!I378=0,"",+'Libro Diario'!I378)</f>
        <v/>
      </c>
      <c r="I1050" t="str">
        <f>+IF(Table3[[#This Row],[Tipo Movimiento]]="Estructura Balance y PyG","Excluir","Incluir")</f>
        <v>Incluir</v>
      </c>
      <c r="J1050" s="153">
        <f>+IF(Table3[[#This Row],[Sin cuenta]]="Con Mov.",(IF(Table3[[#This Row],[Movimiento]]="Debe",Table3[[#This Row],[Importe]],IF(Table3[[#This Row],[Movimiento]]="Haber",Table3[[#This Row],[Importe]]*-1,0))),0)</f>
        <v>0</v>
      </c>
      <c r="K1050" s="145" t="str">
        <f t="shared" si="49"/>
        <v/>
      </c>
      <c r="L1050" s="145" t="str">
        <f t="shared" si="50"/>
        <v>HABER</v>
      </c>
      <c r="M1050" t="str">
        <f>_xlfn.XLOOKUP(Table3[[#This Row],[Cuenta]],Estructura_Balance[Nombre Cuenta ()],Estructura_Balance[Grupo],"",0)</f>
        <v/>
      </c>
      <c r="N1050" t="str">
        <f>_xlfn.XLOOKUP(Table3[[#This Row],[Cuenta]],Estructura_Balance[Nombre Cuenta ()],Estructura_Balance[Nivel 1],"",0)</f>
        <v/>
      </c>
      <c r="O1050" t="str">
        <f>_xlfn.XLOOKUP(Table3[[#This Row],[Cuenta]],Estructura_Balance[Nombre Cuenta ()],Estructura_Balance[Nivel 2],"",0)</f>
        <v/>
      </c>
      <c r="P1050" t="str">
        <f>_xlfn.XLOOKUP(Table3[[#This Row],[Cuenta]],Estructura_Balance[Nombre Cuenta ()],Estructura_Balance[Nivel 3],"",0)</f>
        <v/>
      </c>
      <c r="Q1050" t="str">
        <f>_xlfn.XLOOKUP(Table3[[#This Row],[Cuenta]],Estructura_Balance[Nombre Cuenta ()],Estructura_Balance[Nivel 4],"",0)</f>
        <v/>
      </c>
      <c r="R1050" t="str">
        <f>_xlfn.XLOOKUP(Table3[[#This Row],[Cuenta]],Table8[Nombre Cuenta ()],Table8[Nivel 1],"",0)</f>
        <v/>
      </c>
      <c r="S1050" t="str">
        <f>_xlfn.XLOOKUP(Table3[[#This Row],[Cuenta]],Table8[Nombre Cuenta ()],Table8[Nivel 2],"",0)</f>
        <v/>
      </c>
      <c r="T1050" t="str">
        <f>_xlfn.XLOOKUP(Table3[[#This Row],[Cuenta]],Table8[Nombre Cuenta ()],Table8[Nivel 3],"",0)</f>
        <v/>
      </c>
      <c r="U1050">
        <v>1771</v>
      </c>
      <c r="V1050" t="str">
        <f>_xlfn.XLOOKUP(Table3[[#This Row],[Cuenta]],Estructura_Balance[Nombre Cuenta ()],Estructura_Balance[Niveles:2],"",0)</f>
        <v/>
      </c>
      <c r="W1050" t="str">
        <f>_xlfn.XLOOKUP(Table3[[#This Row],[Cuenta]],Estructura_Balance[Nombre Cuenta ()],Estructura_Balance[Niveles:3],"",0)</f>
        <v/>
      </c>
      <c r="X1050" t="str">
        <f>_xlfn.XLOOKUP(Table3[[#This Row],[Cuenta]],Estructura_Balance[Nombre Cuenta ()],Estructura_Balance[Grupos],"Grupo 1",0)</f>
        <v>Grupo 1</v>
      </c>
      <c r="Y1050" t="str">
        <f>+Table3[[#This Row],[BS_Nivel_1]]</f>
        <v/>
      </c>
    </row>
    <row r="1051" spans="1:25" ht="15" customHeight="1">
      <c r="A1051">
        <f>+'Libro Diario'!F379</f>
        <v>0</v>
      </c>
      <c r="B1051" s="144">
        <f>VALUE(IF(+'Libro Diario'!G379="","01/01/2025",+'Libro Diario'!G379))</f>
        <v>45658</v>
      </c>
      <c r="C1051">
        <f>IF(ISNUMBER(+IF(IFERROR(VALUE(MID('Libro Diario'!D379,1,4)),0)&lt;&gt;0,'Libro Diario'!D379,0))=FALSE,'Libro Diario'!D379,0)</f>
        <v>0</v>
      </c>
      <c r="D1051" s="145">
        <f>+'Libro Diario'!E379</f>
        <v>0</v>
      </c>
      <c r="E1051" s="139" t="s">
        <v>446</v>
      </c>
      <c r="F1051" t="str">
        <f t="shared" si="48"/>
        <v>Sin Mov.</v>
      </c>
      <c r="G1051" t="str">
        <f>IF(+'Libro Diario'!H379=0,"",+'Libro Diario'!H379)</f>
        <v/>
      </c>
      <c r="H1051" t="str">
        <f>IF(+'Libro Diario'!I379=0,"",+'Libro Diario'!I379)</f>
        <v/>
      </c>
      <c r="I1051" t="str">
        <f>+IF(Table3[[#This Row],[Tipo Movimiento]]="Estructura Balance y PyG","Excluir","Incluir")</f>
        <v>Incluir</v>
      </c>
      <c r="J1051" s="153">
        <f>+IF(Table3[[#This Row],[Sin cuenta]]="Con Mov.",(IF(Table3[[#This Row],[Movimiento]]="Debe",Table3[[#This Row],[Importe]],IF(Table3[[#This Row],[Movimiento]]="Haber",Table3[[#This Row],[Importe]]*-1,0))),0)</f>
        <v>0</v>
      </c>
      <c r="K1051" s="145" t="str">
        <f t="shared" si="49"/>
        <v/>
      </c>
      <c r="L1051" s="145">
        <f t="shared" si="50"/>
        <v>0</v>
      </c>
      <c r="M1051" t="str">
        <f>_xlfn.XLOOKUP(Table3[[#This Row],[Cuenta]],Estructura_Balance[Nombre Cuenta ()],Estructura_Balance[Grupo],"",0)</f>
        <v/>
      </c>
      <c r="N1051" t="str">
        <f>_xlfn.XLOOKUP(Table3[[#This Row],[Cuenta]],Estructura_Balance[Nombre Cuenta ()],Estructura_Balance[Nivel 1],"",0)</f>
        <v/>
      </c>
      <c r="O1051" t="str">
        <f>_xlfn.XLOOKUP(Table3[[#This Row],[Cuenta]],Estructura_Balance[Nombre Cuenta ()],Estructura_Balance[Nivel 2],"",0)</f>
        <v/>
      </c>
      <c r="P1051" t="str">
        <f>_xlfn.XLOOKUP(Table3[[#This Row],[Cuenta]],Estructura_Balance[Nombre Cuenta ()],Estructura_Balance[Nivel 3],"",0)</f>
        <v/>
      </c>
      <c r="Q1051" t="str">
        <f>_xlfn.XLOOKUP(Table3[[#This Row],[Cuenta]],Estructura_Balance[Nombre Cuenta ()],Estructura_Balance[Nivel 4],"",0)</f>
        <v/>
      </c>
      <c r="R1051" t="str">
        <f>_xlfn.XLOOKUP(Table3[[#This Row],[Cuenta]],Table8[Nombre Cuenta ()],Table8[Nivel 1],"",0)</f>
        <v/>
      </c>
      <c r="S1051" t="str">
        <f>_xlfn.XLOOKUP(Table3[[#This Row],[Cuenta]],Table8[Nombre Cuenta ()],Table8[Nivel 2],"",0)</f>
        <v/>
      </c>
      <c r="T1051" t="str">
        <f>_xlfn.XLOOKUP(Table3[[#This Row],[Cuenta]],Table8[Nombre Cuenta ()],Table8[Nivel 3],"",0)</f>
        <v/>
      </c>
      <c r="U1051">
        <v>1772</v>
      </c>
      <c r="V1051" t="str">
        <f>_xlfn.XLOOKUP(Table3[[#This Row],[Cuenta]],Estructura_Balance[Nombre Cuenta ()],Estructura_Balance[Niveles:2],"",0)</f>
        <v/>
      </c>
      <c r="W1051" t="str">
        <f>_xlfn.XLOOKUP(Table3[[#This Row],[Cuenta]],Estructura_Balance[Nombre Cuenta ()],Estructura_Balance[Niveles:3],"",0)</f>
        <v/>
      </c>
      <c r="X1051" t="str">
        <f>_xlfn.XLOOKUP(Table3[[#This Row],[Cuenta]],Estructura_Balance[Nombre Cuenta ()],Estructura_Balance[Grupos],"Grupo 1",0)</f>
        <v>Grupo 1</v>
      </c>
      <c r="Y1051" t="str">
        <f>+Table3[[#This Row],[BS_Nivel_1]]</f>
        <v/>
      </c>
    </row>
    <row r="1052" spans="1:25" ht="15" customHeight="1">
      <c r="A1052">
        <f>+'Libro Diario'!F382</f>
        <v>0</v>
      </c>
      <c r="B1052" s="144">
        <f>VALUE(IF(+'Libro Diario'!G382="","01/01/2025",+'Libro Diario'!G382))</f>
        <v>45658</v>
      </c>
      <c r="C1052">
        <f>IF(ISNUMBER(+IF(IFERROR(VALUE(MID('Libro Diario'!D382,1,4)),0)&lt;&gt;0,'Libro Diario'!D382,0))=FALSE,'Libro Diario'!D382,0)</f>
        <v>0</v>
      </c>
      <c r="D1052" s="145">
        <f>+'Libro Diario'!E382</f>
        <v>0</v>
      </c>
      <c r="E1052" s="139" t="s">
        <v>446</v>
      </c>
      <c r="F1052" t="str">
        <f t="shared" si="48"/>
        <v>Sin Mov.</v>
      </c>
      <c r="G1052" t="str">
        <f>IF(+'Libro Diario'!H382=0,"",+'Libro Diario'!H382)</f>
        <v/>
      </c>
      <c r="H1052" t="str">
        <f>IF(+'Libro Diario'!I382=0,"",+'Libro Diario'!I382)</f>
        <v/>
      </c>
      <c r="I1052" t="str">
        <f>+IF(Table3[[#This Row],[Tipo Movimiento]]="Estructura Balance y PyG","Excluir","Incluir")</f>
        <v>Incluir</v>
      </c>
      <c r="J1052" s="153">
        <f>+IF(Table3[[#This Row],[Sin cuenta]]="Con Mov.",(IF(Table3[[#This Row],[Movimiento]]="Debe",Table3[[#This Row],[Importe]],IF(Table3[[#This Row],[Movimiento]]="Haber",Table3[[#This Row],[Importe]]*-1,0))),0)</f>
        <v>0</v>
      </c>
      <c r="K1052" s="145" t="str">
        <f t="shared" si="49"/>
        <v/>
      </c>
      <c r="L1052" s="145">
        <f t="shared" si="50"/>
        <v>0</v>
      </c>
      <c r="M1052" t="str">
        <f>_xlfn.XLOOKUP(Table3[[#This Row],[Cuenta]],Estructura_Balance[Nombre Cuenta ()],Estructura_Balance[Grupo],"",0)</f>
        <v/>
      </c>
      <c r="N1052" t="str">
        <f>_xlfn.XLOOKUP(Table3[[#This Row],[Cuenta]],Estructura_Balance[Nombre Cuenta ()],Estructura_Balance[Nivel 1],"",0)</f>
        <v/>
      </c>
      <c r="O1052" t="str">
        <f>_xlfn.XLOOKUP(Table3[[#This Row],[Cuenta]],Estructura_Balance[Nombre Cuenta ()],Estructura_Balance[Nivel 2],"",0)</f>
        <v/>
      </c>
      <c r="P1052" t="str">
        <f>_xlfn.XLOOKUP(Table3[[#This Row],[Cuenta]],Estructura_Balance[Nombre Cuenta ()],Estructura_Balance[Nivel 3],"",0)</f>
        <v/>
      </c>
      <c r="Q1052" t="str">
        <f>_xlfn.XLOOKUP(Table3[[#This Row],[Cuenta]],Estructura_Balance[Nombre Cuenta ()],Estructura_Balance[Nivel 4],"",0)</f>
        <v/>
      </c>
      <c r="R1052" t="str">
        <f>_xlfn.XLOOKUP(Table3[[#This Row],[Cuenta]],Table8[Nombre Cuenta ()],Table8[Nivel 1],"",0)</f>
        <v/>
      </c>
      <c r="S1052" t="str">
        <f>_xlfn.XLOOKUP(Table3[[#This Row],[Cuenta]],Table8[Nombre Cuenta ()],Table8[Nivel 2],"",0)</f>
        <v/>
      </c>
      <c r="T1052" t="str">
        <f>_xlfn.XLOOKUP(Table3[[#This Row],[Cuenta]],Table8[Nombre Cuenta ()],Table8[Nivel 3],"",0)</f>
        <v/>
      </c>
      <c r="U1052">
        <v>1775</v>
      </c>
      <c r="V1052" t="str">
        <f>_xlfn.XLOOKUP(Table3[[#This Row],[Cuenta]],Estructura_Balance[Nombre Cuenta ()],Estructura_Balance[Niveles:2],"",0)</f>
        <v/>
      </c>
      <c r="W1052" t="str">
        <f>_xlfn.XLOOKUP(Table3[[#This Row],[Cuenta]],Estructura_Balance[Nombre Cuenta ()],Estructura_Balance[Niveles:3],"",0)</f>
        <v/>
      </c>
      <c r="X1052" t="str">
        <f>_xlfn.XLOOKUP(Table3[[#This Row],[Cuenta]],Estructura_Balance[Nombre Cuenta ()],Estructura_Balance[Grupos],"Grupo 1",0)</f>
        <v>Grupo 1</v>
      </c>
      <c r="Y1052" t="str">
        <f>+Table3[[#This Row],[BS_Nivel_1]]</f>
        <v/>
      </c>
    </row>
    <row r="1053" spans="1:25" ht="15" customHeight="1">
      <c r="A1053">
        <f>+'Libro Diario'!F383</f>
        <v>0</v>
      </c>
      <c r="B1053" s="144">
        <f>VALUE(IF(+'Libro Diario'!G383="","01/01/2025",+'Libro Diario'!G383))</f>
        <v>45658</v>
      </c>
      <c r="C1053">
        <f>IF(ISNUMBER(+IF(IFERROR(VALUE(MID('Libro Diario'!D383,1,4)),0)&lt;&gt;0,'Libro Diario'!D383,0))=FALSE,'Libro Diario'!D383,0)</f>
        <v>0</v>
      </c>
      <c r="D1053" s="145">
        <f>+'Libro Diario'!E383</f>
        <v>0</v>
      </c>
      <c r="E1053" s="139" t="s">
        <v>446</v>
      </c>
      <c r="F1053" t="str">
        <f t="shared" si="48"/>
        <v>Sin Mov.</v>
      </c>
      <c r="G1053" t="str">
        <f>IF(+'Libro Diario'!H383=0,"",+'Libro Diario'!H383)</f>
        <v/>
      </c>
      <c r="H1053" t="str">
        <f>IF(+'Libro Diario'!I383=0,"",+'Libro Diario'!I383)</f>
        <v/>
      </c>
      <c r="I1053" t="str">
        <f>+IF(Table3[[#This Row],[Tipo Movimiento]]="Estructura Balance y PyG","Excluir","Incluir")</f>
        <v>Incluir</v>
      </c>
      <c r="J1053" s="153">
        <f>+IF(Table3[[#This Row],[Sin cuenta]]="Con Mov.",(IF(Table3[[#This Row],[Movimiento]]="Debe",Table3[[#This Row],[Importe]],IF(Table3[[#This Row],[Movimiento]]="Haber",Table3[[#This Row],[Importe]]*-1,0))),0)</f>
        <v>0</v>
      </c>
      <c r="K1053" s="145" t="str">
        <f t="shared" si="49"/>
        <v/>
      </c>
      <c r="L1053" s="145">
        <f t="shared" si="50"/>
        <v>0</v>
      </c>
      <c r="M1053" t="str">
        <f>_xlfn.XLOOKUP(Table3[[#This Row],[Cuenta]],Estructura_Balance[Nombre Cuenta ()],Estructura_Balance[Grupo],"",0)</f>
        <v/>
      </c>
      <c r="N1053" t="str">
        <f>_xlfn.XLOOKUP(Table3[[#This Row],[Cuenta]],Estructura_Balance[Nombre Cuenta ()],Estructura_Balance[Nivel 1],"",0)</f>
        <v/>
      </c>
      <c r="O1053" t="str">
        <f>_xlfn.XLOOKUP(Table3[[#This Row],[Cuenta]],Estructura_Balance[Nombre Cuenta ()],Estructura_Balance[Nivel 2],"",0)</f>
        <v/>
      </c>
      <c r="P1053" t="str">
        <f>_xlfn.XLOOKUP(Table3[[#This Row],[Cuenta]],Estructura_Balance[Nombre Cuenta ()],Estructura_Balance[Nivel 3],"",0)</f>
        <v/>
      </c>
      <c r="Q1053" t="str">
        <f>_xlfn.XLOOKUP(Table3[[#This Row],[Cuenta]],Estructura_Balance[Nombre Cuenta ()],Estructura_Balance[Nivel 4],"",0)</f>
        <v/>
      </c>
      <c r="R1053" t="str">
        <f>_xlfn.XLOOKUP(Table3[[#This Row],[Cuenta]],Table8[Nombre Cuenta ()],Table8[Nivel 1],"",0)</f>
        <v/>
      </c>
      <c r="S1053" t="str">
        <f>_xlfn.XLOOKUP(Table3[[#This Row],[Cuenta]],Table8[Nombre Cuenta ()],Table8[Nivel 2],"",0)</f>
        <v/>
      </c>
      <c r="T1053" t="str">
        <f>_xlfn.XLOOKUP(Table3[[#This Row],[Cuenta]],Table8[Nombre Cuenta ()],Table8[Nivel 3],"",0)</f>
        <v/>
      </c>
      <c r="U1053">
        <v>1776</v>
      </c>
      <c r="V1053" t="str">
        <f>_xlfn.XLOOKUP(Table3[[#This Row],[Cuenta]],Estructura_Balance[Nombre Cuenta ()],Estructura_Balance[Niveles:2],"",0)</f>
        <v/>
      </c>
      <c r="W1053" t="str">
        <f>_xlfn.XLOOKUP(Table3[[#This Row],[Cuenta]],Estructura_Balance[Nombre Cuenta ()],Estructura_Balance[Niveles:3],"",0)</f>
        <v/>
      </c>
      <c r="X1053" t="str">
        <f>_xlfn.XLOOKUP(Table3[[#This Row],[Cuenta]],Estructura_Balance[Nombre Cuenta ()],Estructura_Balance[Grupos],"Grupo 1",0)</f>
        <v>Grupo 1</v>
      </c>
      <c r="Y1053" t="str">
        <f>+Table3[[#This Row],[BS_Nivel_1]]</f>
        <v/>
      </c>
    </row>
    <row r="1054" spans="1:25" ht="15" customHeight="1">
      <c r="A1054">
        <f>+'Libro Diario'!F384</f>
        <v>0</v>
      </c>
      <c r="B1054" s="144">
        <f>VALUE(IF(+'Libro Diario'!G384="","01/01/2025",+'Libro Diario'!G384))</f>
        <v>45658</v>
      </c>
      <c r="C1054">
        <f>IF(ISNUMBER(+IF(IFERROR(VALUE(MID('Libro Diario'!D384,1,4)),0)&lt;&gt;0,'Libro Diario'!D384,0))=FALSE,'Libro Diario'!D384,0)</f>
        <v>0</v>
      </c>
      <c r="D1054" s="145">
        <f>+'Libro Diario'!E384</f>
        <v>0</v>
      </c>
      <c r="E1054" s="139" t="s">
        <v>446</v>
      </c>
      <c r="F1054" t="str">
        <f t="shared" si="48"/>
        <v>Sin Mov.</v>
      </c>
      <c r="G1054" t="str">
        <f>IF(+'Libro Diario'!H384=0,"",+'Libro Diario'!H384)</f>
        <v/>
      </c>
      <c r="H1054" t="str">
        <f>IF(+'Libro Diario'!I384=0,"",+'Libro Diario'!I384)</f>
        <v/>
      </c>
      <c r="I1054" t="str">
        <f>+IF(Table3[[#This Row],[Tipo Movimiento]]="Estructura Balance y PyG","Excluir","Incluir")</f>
        <v>Incluir</v>
      </c>
      <c r="J1054" s="153">
        <f>+IF(Table3[[#This Row],[Sin cuenta]]="Con Mov.",(IF(Table3[[#This Row],[Movimiento]]="Debe",Table3[[#This Row],[Importe]],IF(Table3[[#This Row],[Movimiento]]="Haber",Table3[[#This Row],[Importe]]*-1,0))),0)</f>
        <v>0</v>
      </c>
      <c r="K1054" s="145" t="str">
        <f t="shared" si="49"/>
        <v/>
      </c>
      <c r="L1054" s="145">
        <f t="shared" si="50"/>
        <v>0</v>
      </c>
      <c r="M1054" t="str">
        <f>_xlfn.XLOOKUP(Table3[[#This Row],[Cuenta]],Estructura_Balance[Nombre Cuenta ()],Estructura_Balance[Grupo],"",0)</f>
        <v/>
      </c>
      <c r="N1054" t="str">
        <f>_xlfn.XLOOKUP(Table3[[#This Row],[Cuenta]],Estructura_Balance[Nombre Cuenta ()],Estructura_Balance[Nivel 1],"",0)</f>
        <v/>
      </c>
      <c r="O1054" t="str">
        <f>_xlfn.XLOOKUP(Table3[[#This Row],[Cuenta]],Estructura_Balance[Nombre Cuenta ()],Estructura_Balance[Nivel 2],"",0)</f>
        <v/>
      </c>
      <c r="P1054" t="str">
        <f>_xlfn.XLOOKUP(Table3[[#This Row],[Cuenta]],Estructura_Balance[Nombre Cuenta ()],Estructura_Balance[Nivel 3],"",0)</f>
        <v/>
      </c>
      <c r="Q1054" t="str">
        <f>_xlfn.XLOOKUP(Table3[[#This Row],[Cuenta]],Estructura_Balance[Nombre Cuenta ()],Estructura_Balance[Nivel 4],"",0)</f>
        <v/>
      </c>
      <c r="R1054" t="str">
        <f>_xlfn.XLOOKUP(Table3[[#This Row],[Cuenta]],Table8[Nombre Cuenta ()],Table8[Nivel 1],"",0)</f>
        <v/>
      </c>
      <c r="S1054" t="str">
        <f>_xlfn.XLOOKUP(Table3[[#This Row],[Cuenta]],Table8[Nombre Cuenta ()],Table8[Nivel 2],"",0)</f>
        <v/>
      </c>
      <c r="T1054" t="str">
        <f>_xlfn.XLOOKUP(Table3[[#This Row],[Cuenta]],Table8[Nombre Cuenta ()],Table8[Nivel 3],"",0)</f>
        <v/>
      </c>
      <c r="U1054">
        <v>1777</v>
      </c>
      <c r="V1054" t="str">
        <f>_xlfn.XLOOKUP(Table3[[#This Row],[Cuenta]],Estructura_Balance[Nombre Cuenta ()],Estructura_Balance[Niveles:2],"",0)</f>
        <v/>
      </c>
      <c r="W1054" t="str">
        <f>_xlfn.XLOOKUP(Table3[[#This Row],[Cuenta]],Estructura_Balance[Nombre Cuenta ()],Estructura_Balance[Niveles:3],"",0)</f>
        <v/>
      </c>
      <c r="X1054" t="str">
        <f>_xlfn.XLOOKUP(Table3[[#This Row],[Cuenta]],Estructura_Balance[Nombre Cuenta ()],Estructura_Balance[Grupos],"Grupo 1",0)</f>
        <v>Grupo 1</v>
      </c>
      <c r="Y1054" t="str">
        <f>+Table3[[#This Row],[BS_Nivel_1]]</f>
        <v/>
      </c>
    </row>
    <row r="1055" spans="1:25" ht="15" customHeight="1">
      <c r="A1055">
        <f>+'Libro Diario'!F385</f>
        <v>0</v>
      </c>
      <c r="B1055" s="144">
        <f>VALUE(IF(+'Libro Diario'!G385="","01/01/2025",+'Libro Diario'!G385))</f>
        <v>45658</v>
      </c>
      <c r="C1055">
        <f>IF(ISNUMBER(+IF(IFERROR(VALUE(MID('Libro Diario'!D385,1,4)),0)&lt;&gt;0,'Libro Diario'!D385,0))=FALSE,'Libro Diario'!D385,0)</f>
        <v>0</v>
      </c>
      <c r="D1055" s="145" t="str">
        <f>+'Libro Diario'!E385</f>
        <v>HABER</v>
      </c>
      <c r="E1055" s="139" t="s">
        <v>446</v>
      </c>
      <c r="F1055" t="str">
        <f t="shared" si="48"/>
        <v>Sin Mov.</v>
      </c>
      <c r="G1055" t="str">
        <f>IF(+'Libro Diario'!H385=0,"",+'Libro Diario'!H385)</f>
        <v/>
      </c>
      <c r="H1055" t="str">
        <f>IF(+'Libro Diario'!I385=0,"",+'Libro Diario'!I385)</f>
        <v/>
      </c>
      <c r="I1055" t="str">
        <f>+IF(Table3[[#This Row],[Tipo Movimiento]]="Estructura Balance y PyG","Excluir","Incluir")</f>
        <v>Incluir</v>
      </c>
      <c r="J1055" s="153">
        <f>+IF(Table3[[#This Row],[Sin cuenta]]="Con Mov.",(IF(Table3[[#This Row],[Movimiento]]="Debe",Table3[[#This Row],[Importe]],IF(Table3[[#This Row],[Movimiento]]="Haber",Table3[[#This Row],[Importe]]*-1,0))),0)</f>
        <v>0</v>
      </c>
      <c r="K1055" s="145" t="str">
        <f t="shared" si="49"/>
        <v/>
      </c>
      <c r="L1055" s="145" t="str">
        <f t="shared" si="50"/>
        <v>HABER</v>
      </c>
      <c r="M1055" t="str">
        <f>_xlfn.XLOOKUP(Table3[[#This Row],[Cuenta]],Estructura_Balance[Nombre Cuenta ()],Estructura_Balance[Grupo],"",0)</f>
        <v/>
      </c>
      <c r="N1055" t="str">
        <f>_xlfn.XLOOKUP(Table3[[#This Row],[Cuenta]],Estructura_Balance[Nombre Cuenta ()],Estructura_Balance[Nivel 1],"",0)</f>
        <v/>
      </c>
      <c r="O1055" t="str">
        <f>_xlfn.XLOOKUP(Table3[[#This Row],[Cuenta]],Estructura_Balance[Nombre Cuenta ()],Estructura_Balance[Nivel 2],"",0)</f>
        <v/>
      </c>
      <c r="P1055" t="str">
        <f>_xlfn.XLOOKUP(Table3[[#This Row],[Cuenta]],Estructura_Balance[Nombre Cuenta ()],Estructura_Balance[Nivel 3],"",0)</f>
        <v/>
      </c>
      <c r="Q1055" t="str">
        <f>_xlfn.XLOOKUP(Table3[[#This Row],[Cuenta]],Estructura_Balance[Nombre Cuenta ()],Estructura_Balance[Nivel 4],"",0)</f>
        <v/>
      </c>
      <c r="R1055" t="str">
        <f>_xlfn.XLOOKUP(Table3[[#This Row],[Cuenta]],Table8[Nombre Cuenta ()],Table8[Nivel 1],"",0)</f>
        <v/>
      </c>
      <c r="S1055" t="str">
        <f>_xlfn.XLOOKUP(Table3[[#This Row],[Cuenta]],Table8[Nombre Cuenta ()],Table8[Nivel 2],"",0)</f>
        <v/>
      </c>
      <c r="T1055" t="str">
        <f>_xlfn.XLOOKUP(Table3[[#This Row],[Cuenta]],Table8[Nombre Cuenta ()],Table8[Nivel 3],"",0)</f>
        <v/>
      </c>
      <c r="U1055">
        <v>1778</v>
      </c>
      <c r="V1055" t="str">
        <f>_xlfn.XLOOKUP(Table3[[#This Row],[Cuenta]],Estructura_Balance[Nombre Cuenta ()],Estructura_Balance[Niveles:2],"",0)</f>
        <v/>
      </c>
      <c r="W1055" t="str">
        <f>_xlfn.XLOOKUP(Table3[[#This Row],[Cuenta]],Estructura_Balance[Nombre Cuenta ()],Estructura_Balance[Niveles:3],"",0)</f>
        <v/>
      </c>
      <c r="X1055" t="str">
        <f>_xlfn.XLOOKUP(Table3[[#This Row],[Cuenta]],Estructura_Balance[Nombre Cuenta ()],Estructura_Balance[Grupos],"Grupo 1",0)</f>
        <v>Grupo 1</v>
      </c>
      <c r="Y1055" t="str">
        <f>+Table3[[#This Row],[BS_Nivel_1]]</f>
        <v/>
      </c>
    </row>
    <row r="1056" spans="1:25" ht="15" customHeight="1">
      <c r="A1056">
        <f>+'Libro Diario'!F386</f>
        <v>0</v>
      </c>
      <c r="B1056" s="144">
        <f>VALUE(IF(+'Libro Diario'!G386="","01/01/2025",+'Libro Diario'!G386))</f>
        <v>45658</v>
      </c>
      <c r="C1056">
        <f>IF(ISNUMBER(+IF(IFERROR(VALUE(MID('Libro Diario'!D386,1,4)),0)&lt;&gt;0,'Libro Diario'!D386,0))=FALSE,'Libro Diario'!D386,0)</f>
        <v>0</v>
      </c>
      <c r="D1056" s="145">
        <f>+'Libro Diario'!E386</f>
        <v>0</v>
      </c>
      <c r="E1056" s="139" t="s">
        <v>446</v>
      </c>
      <c r="F1056" t="str">
        <f t="shared" si="48"/>
        <v>Sin Mov.</v>
      </c>
      <c r="G1056" t="str">
        <f>IF(+'Libro Diario'!H386=0,"",+'Libro Diario'!H386)</f>
        <v/>
      </c>
      <c r="H1056" t="str">
        <f>IF(+'Libro Diario'!I386=0,"",+'Libro Diario'!I386)</f>
        <v/>
      </c>
      <c r="I1056" t="str">
        <f>+IF(Table3[[#This Row],[Tipo Movimiento]]="Estructura Balance y PyG","Excluir","Incluir")</f>
        <v>Incluir</v>
      </c>
      <c r="J1056" s="153">
        <f>+IF(Table3[[#This Row],[Sin cuenta]]="Con Mov.",(IF(Table3[[#This Row],[Movimiento]]="Debe",Table3[[#This Row],[Importe]],IF(Table3[[#This Row],[Movimiento]]="Haber",Table3[[#This Row],[Importe]]*-1,0))),0)</f>
        <v>0</v>
      </c>
      <c r="K1056" s="145" t="str">
        <f t="shared" si="49"/>
        <v/>
      </c>
      <c r="L1056" s="145">
        <f t="shared" si="50"/>
        <v>0</v>
      </c>
      <c r="M1056" t="str">
        <f>_xlfn.XLOOKUP(Table3[[#This Row],[Cuenta]],Estructura_Balance[Nombre Cuenta ()],Estructura_Balance[Grupo],"",0)</f>
        <v/>
      </c>
      <c r="N1056" t="str">
        <f>_xlfn.XLOOKUP(Table3[[#This Row],[Cuenta]],Estructura_Balance[Nombre Cuenta ()],Estructura_Balance[Nivel 1],"",0)</f>
        <v/>
      </c>
      <c r="O1056" t="str">
        <f>_xlfn.XLOOKUP(Table3[[#This Row],[Cuenta]],Estructura_Balance[Nombre Cuenta ()],Estructura_Balance[Nivel 2],"",0)</f>
        <v/>
      </c>
      <c r="P1056" t="str">
        <f>_xlfn.XLOOKUP(Table3[[#This Row],[Cuenta]],Estructura_Balance[Nombre Cuenta ()],Estructura_Balance[Nivel 3],"",0)</f>
        <v/>
      </c>
      <c r="Q1056" t="str">
        <f>_xlfn.XLOOKUP(Table3[[#This Row],[Cuenta]],Estructura_Balance[Nombre Cuenta ()],Estructura_Balance[Nivel 4],"",0)</f>
        <v/>
      </c>
      <c r="R1056" t="str">
        <f>_xlfn.XLOOKUP(Table3[[#This Row],[Cuenta]],Table8[Nombre Cuenta ()],Table8[Nivel 1],"",0)</f>
        <v/>
      </c>
      <c r="S1056" t="str">
        <f>_xlfn.XLOOKUP(Table3[[#This Row],[Cuenta]],Table8[Nombre Cuenta ()],Table8[Nivel 2],"",0)</f>
        <v/>
      </c>
      <c r="T1056" t="str">
        <f>_xlfn.XLOOKUP(Table3[[#This Row],[Cuenta]],Table8[Nombre Cuenta ()],Table8[Nivel 3],"",0)</f>
        <v/>
      </c>
      <c r="U1056">
        <v>1779</v>
      </c>
      <c r="V1056" t="str">
        <f>_xlfn.XLOOKUP(Table3[[#This Row],[Cuenta]],Estructura_Balance[Nombre Cuenta ()],Estructura_Balance[Niveles:2],"",0)</f>
        <v/>
      </c>
      <c r="W1056" t="str">
        <f>_xlfn.XLOOKUP(Table3[[#This Row],[Cuenta]],Estructura_Balance[Nombre Cuenta ()],Estructura_Balance[Niveles:3],"",0)</f>
        <v/>
      </c>
      <c r="X1056" t="str">
        <f>_xlfn.XLOOKUP(Table3[[#This Row],[Cuenta]],Estructura_Balance[Nombre Cuenta ()],Estructura_Balance[Grupos],"Grupo 1",0)</f>
        <v>Grupo 1</v>
      </c>
      <c r="Y1056" t="str">
        <f>+Table3[[#This Row],[BS_Nivel_1]]</f>
        <v/>
      </c>
    </row>
    <row r="1057" spans="1:25" ht="15" customHeight="1">
      <c r="A1057">
        <f>+'Libro Diario'!F389</f>
        <v>0</v>
      </c>
      <c r="B1057" s="144">
        <f>VALUE(IF(+'Libro Diario'!G389="","01/01/2025",+'Libro Diario'!G389))</f>
        <v>45658</v>
      </c>
      <c r="C1057">
        <f>IF(ISNUMBER(+IF(IFERROR(VALUE(MID('Libro Diario'!D389,1,4)),0)&lt;&gt;0,'Libro Diario'!D389,0))=FALSE,'Libro Diario'!D389,0)</f>
        <v>0</v>
      </c>
      <c r="D1057" s="145">
        <f>+'Libro Diario'!E389</f>
        <v>0</v>
      </c>
      <c r="E1057" s="139" t="s">
        <v>446</v>
      </c>
      <c r="F1057" t="str">
        <f t="shared" si="48"/>
        <v>Sin Mov.</v>
      </c>
      <c r="G1057" t="str">
        <f>IF(+'Libro Diario'!H389=0,"",+'Libro Diario'!H389)</f>
        <v/>
      </c>
      <c r="H1057" t="str">
        <f>IF(+'Libro Diario'!I389=0,"",+'Libro Diario'!I389)</f>
        <v/>
      </c>
      <c r="I1057" t="str">
        <f>+IF(Table3[[#This Row],[Tipo Movimiento]]="Estructura Balance y PyG","Excluir","Incluir")</f>
        <v>Incluir</v>
      </c>
      <c r="J1057" s="153">
        <f>+IF(Table3[[#This Row],[Sin cuenta]]="Con Mov.",(IF(Table3[[#This Row],[Movimiento]]="Debe",Table3[[#This Row],[Importe]],IF(Table3[[#This Row],[Movimiento]]="Haber",Table3[[#This Row],[Importe]]*-1,0))),0)</f>
        <v>0</v>
      </c>
      <c r="K1057" s="145" t="str">
        <f t="shared" si="49"/>
        <v/>
      </c>
      <c r="L1057" s="145">
        <f t="shared" si="50"/>
        <v>0</v>
      </c>
      <c r="M1057" t="str">
        <f>_xlfn.XLOOKUP(Table3[[#This Row],[Cuenta]],Estructura_Balance[Nombre Cuenta ()],Estructura_Balance[Grupo],"",0)</f>
        <v/>
      </c>
      <c r="N1057" t="str">
        <f>_xlfn.XLOOKUP(Table3[[#This Row],[Cuenta]],Estructura_Balance[Nombre Cuenta ()],Estructura_Balance[Nivel 1],"",0)</f>
        <v/>
      </c>
      <c r="O1057" t="str">
        <f>_xlfn.XLOOKUP(Table3[[#This Row],[Cuenta]],Estructura_Balance[Nombre Cuenta ()],Estructura_Balance[Nivel 2],"",0)</f>
        <v/>
      </c>
      <c r="P1057" t="str">
        <f>_xlfn.XLOOKUP(Table3[[#This Row],[Cuenta]],Estructura_Balance[Nombre Cuenta ()],Estructura_Balance[Nivel 3],"",0)</f>
        <v/>
      </c>
      <c r="Q1057" t="str">
        <f>_xlfn.XLOOKUP(Table3[[#This Row],[Cuenta]],Estructura_Balance[Nombre Cuenta ()],Estructura_Balance[Nivel 4],"",0)</f>
        <v/>
      </c>
      <c r="R1057" t="str">
        <f>_xlfn.XLOOKUP(Table3[[#This Row],[Cuenta]],Table8[Nombre Cuenta ()],Table8[Nivel 1],"",0)</f>
        <v/>
      </c>
      <c r="S1057" t="str">
        <f>_xlfn.XLOOKUP(Table3[[#This Row],[Cuenta]],Table8[Nombre Cuenta ()],Table8[Nivel 2],"",0)</f>
        <v/>
      </c>
      <c r="T1057" t="str">
        <f>_xlfn.XLOOKUP(Table3[[#This Row],[Cuenta]],Table8[Nombre Cuenta ()],Table8[Nivel 3],"",0)</f>
        <v/>
      </c>
      <c r="U1057">
        <v>1782</v>
      </c>
      <c r="V1057" t="str">
        <f>_xlfn.XLOOKUP(Table3[[#This Row],[Cuenta]],Estructura_Balance[Nombre Cuenta ()],Estructura_Balance[Niveles:2],"",0)</f>
        <v/>
      </c>
      <c r="W1057" t="str">
        <f>_xlfn.XLOOKUP(Table3[[#This Row],[Cuenta]],Estructura_Balance[Nombre Cuenta ()],Estructura_Balance[Niveles:3],"",0)</f>
        <v/>
      </c>
      <c r="X1057" t="str">
        <f>_xlfn.XLOOKUP(Table3[[#This Row],[Cuenta]],Estructura_Balance[Nombre Cuenta ()],Estructura_Balance[Grupos],"Grupo 1",0)</f>
        <v>Grupo 1</v>
      </c>
      <c r="Y1057" t="str">
        <f>+Table3[[#This Row],[BS_Nivel_1]]</f>
        <v/>
      </c>
    </row>
    <row r="1058" spans="1:25" ht="15" customHeight="1">
      <c r="A1058">
        <f>+'Libro Diario'!F390</f>
        <v>0</v>
      </c>
      <c r="B1058" s="144">
        <f>VALUE(IF(+'Libro Diario'!G390="","01/01/2025",+'Libro Diario'!G390))</f>
        <v>45658</v>
      </c>
      <c r="C1058">
        <f>IF(ISNUMBER(+IF(IFERROR(VALUE(MID('Libro Diario'!D390,1,4)),0)&lt;&gt;0,'Libro Diario'!D390,0))=FALSE,'Libro Diario'!D390,0)</f>
        <v>0</v>
      </c>
      <c r="D1058" s="145">
        <f>+'Libro Diario'!E390</f>
        <v>0</v>
      </c>
      <c r="E1058" s="139" t="s">
        <v>446</v>
      </c>
      <c r="F1058" t="str">
        <f t="shared" si="48"/>
        <v>Sin Mov.</v>
      </c>
      <c r="G1058" t="str">
        <f>IF(+'Libro Diario'!H390=0,"",+'Libro Diario'!H390)</f>
        <v/>
      </c>
      <c r="H1058" t="str">
        <f>IF(+'Libro Diario'!I390=0,"",+'Libro Diario'!I390)</f>
        <v/>
      </c>
      <c r="I1058" t="str">
        <f>+IF(Table3[[#This Row],[Tipo Movimiento]]="Estructura Balance y PyG","Excluir","Incluir")</f>
        <v>Incluir</v>
      </c>
      <c r="J1058" s="153">
        <f>+IF(Table3[[#This Row],[Sin cuenta]]="Con Mov.",(IF(Table3[[#This Row],[Movimiento]]="Debe",Table3[[#This Row],[Importe]],IF(Table3[[#This Row],[Movimiento]]="Haber",Table3[[#This Row],[Importe]]*-1,0))),0)</f>
        <v>0</v>
      </c>
      <c r="K1058" s="145" t="str">
        <f t="shared" si="49"/>
        <v/>
      </c>
      <c r="L1058" s="145">
        <f t="shared" si="50"/>
        <v>0</v>
      </c>
      <c r="M1058" t="str">
        <f>_xlfn.XLOOKUP(Table3[[#This Row],[Cuenta]],Estructura_Balance[Nombre Cuenta ()],Estructura_Balance[Grupo],"",0)</f>
        <v/>
      </c>
      <c r="N1058" t="str">
        <f>_xlfn.XLOOKUP(Table3[[#This Row],[Cuenta]],Estructura_Balance[Nombre Cuenta ()],Estructura_Balance[Nivel 1],"",0)</f>
        <v/>
      </c>
      <c r="O1058" t="str">
        <f>_xlfn.XLOOKUP(Table3[[#This Row],[Cuenta]],Estructura_Balance[Nombre Cuenta ()],Estructura_Balance[Nivel 2],"",0)</f>
        <v/>
      </c>
      <c r="P1058" t="str">
        <f>_xlfn.XLOOKUP(Table3[[#This Row],[Cuenta]],Estructura_Balance[Nombre Cuenta ()],Estructura_Balance[Nivel 3],"",0)</f>
        <v/>
      </c>
      <c r="Q1058" t="str">
        <f>_xlfn.XLOOKUP(Table3[[#This Row],[Cuenta]],Estructura_Balance[Nombre Cuenta ()],Estructura_Balance[Nivel 4],"",0)</f>
        <v/>
      </c>
      <c r="R1058" t="str">
        <f>_xlfn.XLOOKUP(Table3[[#This Row],[Cuenta]],Table8[Nombre Cuenta ()],Table8[Nivel 1],"",0)</f>
        <v/>
      </c>
      <c r="S1058" t="str">
        <f>_xlfn.XLOOKUP(Table3[[#This Row],[Cuenta]],Table8[Nombre Cuenta ()],Table8[Nivel 2],"",0)</f>
        <v/>
      </c>
      <c r="T1058" t="str">
        <f>_xlfn.XLOOKUP(Table3[[#This Row],[Cuenta]],Table8[Nombre Cuenta ()],Table8[Nivel 3],"",0)</f>
        <v/>
      </c>
      <c r="U1058">
        <v>1783</v>
      </c>
      <c r="V1058" t="str">
        <f>_xlfn.XLOOKUP(Table3[[#This Row],[Cuenta]],Estructura_Balance[Nombre Cuenta ()],Estructura_Balance[Niveles:2],"",0)</f>
        <v/>
      </c>
      <c r="W1058" t="str">
        <f>_xlfn.XLOOKUP(Table3[[#This Row],[Cuenta]],Estructura_Balance[Nombre Cuenta ()],Estructura_Balance[Niveles:3],"",0)</f>
        <v/>
      </c>
      <c r="X1058" t="str">
        <f>_xlfn.XLOOKUP(Table3[[#This Row],[Cuenta]],Estructura_Balance[Nombre Cuenta ()],Estructura_Balance[Grupos],"Grupo 1",0)</f>
        <v>Grupo 1</v>
      </c>
      <c r="Y1058" t="str">
        <f>+Table3[[#This Row],[BS_Nivel_1]]</f>
        <v/>
      </c>
    </row>
    <row r="1059" spans="1:25" ht="15" customHeight="1">
      <c r="A1059">
        <f>+'Libro Diario'!F391</f>
        <v>0</v>
      </c>
      <c r="B1059" s="144">
        <f>VALUE(IF(+'Libro Diario'!G391="","01/01/2025",+'Libro Diario'!G391))</f>
        <v>45658</v>
      </c>
      <c r="C1059">
        <f>IF(ISNUMBER(+IF(IFERROR(VALUE(MID('Libro Diario'!D391,1,4)),0)&lt;&gt;0,'Libro Diario'!D391,0))=FALSE,'Libro Diario'!D391,0)</f>
        <v>0</v>
      </c>
      <c r="D1059" s="145">
        <f>+'Libro Diario'!E391</f>
        <v>0</v>
      </c>
      <c r="E1059" s="139" t="s">
        <v>446</v>
      </c>
      <c r="F1059" t="str">
        <f t="shared" si="48"/>
        <v>Sin Mov.</v>
      </c>
      <c r="G1059" t="str">
        <f>IF(+'Libro Diario'!H391=0,"",+'Libro Diario'!H391)</f>
        <v/>
      </c>
      <c r="H1059" t="str">
        <f>IF(+'Libro Diario'!I391=0,"",+'Libro Diario'!I391)</f>
        <v/>
      </c>
      <c r="I1059" t="str">
        <f>+IF(Table3[[#This Row],[Tipo Movimiento]]="Estructura Balance y PyG","Excluir","Incluir")</f>
        <v>Incluir</v>
      </c>
      <c r="J1059" s="153">
        <f>+IF(Table3[[#This Row],[Sin cuenta]]="Con Mov.",(IF(Table3[[#This Row],[Movimiento]]="Debe",Table3[[#This Row],[Importe]],IF(Table3[[#This Row],[Movimiento]]="Haber",Table3[[#This Row],[Importe]]*-1,0))),0)</f>
        <v>0</v>
      </c>
      <c r="K1059" s="145" t="str">
        <f t="shared" si="49"/>
        <v/>
      </c>
      <c r="L1059" s="145">
        <f t="shared" si="50"/>
        <v>0</v>
      </c>
      <c r="M1059" t="str">
        <f>_xlfn.XLOOKUP(Table3[[#This Row],[Cuenta]],Estructura_Balance[Nombre Cuenta ()],Estructura_Balance[Grupo],"",0)</f>
        <v/>
      </c>
      <c r="N1059" t="str">
        <f>_xlfn.XLOOKUP(Table3[[#This Row],[Cuenta]],Estructura_Balance[Nombre Cuenta ()],Estructura_Balance[Nivel 1],"",0)</f>
        <v/>
      </c>
      <c r="O1059" t="str">
        <f>_xlfn.XLOOKUP(Table3[[#This Row],[Cuenta]],Estructura_Balance[Nombre Cuenta ()],Estructura_Balance[Nivel 2],"",0)</f>
        <v/>
      </c>
      <c r="P1059" t="str">
        <f>_xlfn.XLOOKUP(Table3[[#This Row],[Cuenta]],Estructura_Balance[Nombre Cuenta ()],Estructura_Balance[Nivel 3],"",0)</f>
        <v/>
      </c>
      <c r="Q1059" t="str">
        <f>_xlfn.XLOOKUP(Table3[[#This Row],[Cuenta]],Estructura_Balance[Nombre Cuenta ()],Estructura_Balance[Nivel 4],"",0)</f>
        <v/>
      </c>
      <c r="R1059" t="str">
        <f>_xlfn.XLOOKUP(Table3[[#This Row],[Cuenta]],Table8[Nombre Cuenta ()],Table8[Nivel 1],"",0)</f>
        <v/>
      </c>
      <c r="S1059" t="str">
        <f>_xlfn.XLOOKUP(Table3[[#This Row],[Cuenta]],Table8[Nombre Cuenta ()],Table8[Nivel 2],"",0)</f>
        <v/>
      </c>
      <c r="T1059" t="str">
        <f>_xlfn.XLOOKUP(Table3[[#This Row],[Cuenta]],Table8[Nombre Cuenta ()],Table8[Nivel 3],"",0)</f>
        <v/>
      </c>
      <c r="U1059">
        <v>1784</v>
      </c>
      <c r="V1059" t="str">
        <f>_xlfn.XLOOKUP(Table3[[#This Row],[Cuenta]],Estructura_Balance[Nombre Cuenta ()],Estructura_Balance[Niveles:2],"",0)</f>
        <v/>
      </c>
      <c r="W1059" t="str">
        <f>_xlfn.XLOOKUP(Table3[[#This Row],[Cuenta]],Estructura_Balance[Nombre Cuenta ()],Estructura_Balance[Niveles:3],"",0)</f>
        <v/>
      </c>
      <c r="X1059" t="str">
        <f>_xlfn.XLOOKUP(Table3[[#This Row],[Cuenta]],Estructura_Balance[Nombre Cuenta ()],Estructura_Balance[Grupos],"Grupo 1",0)</f>
        <v>Grupo 1</v>
      </c>
      <c r="Y1059" t="str">
        <f>+Table3[[#This Row],[BS_Nivel_1]]</f>
        <v/>
      </c>
    </row>
    <row r="1060" spans="1:25" ht="15" customHeight="1">
      <c r="A1060">
        <f>+'Libro Diario'!F392</f>
        <v>0</v>
      </c>
      <c r="B1060" s="144">
        <f>VALUE(IF(+'Libro Diario'!G392="","01/01/2025",+'Libro Diario'!G392))</f>
        <v>45658</v>
      </c>
      <c r="C1060">
        <f>IF(ISNUMBER(+IF(IFERROR(VALUE(MID('Libro Diario'!D392,1,4)),0)&lt;&gt;0,'Libro Diario'!D392,0))=FALSE,'Libro Diario'!D392,0)</f>
        <v>0</v>
      </c>
      <c r="D1060" s="145" t="str">
        <f>+'Libro Diario'!E392</f>
        <v>HABER</v>
      </c>
      <c r="E1060" s="139" t="s">
        <v>446</v>
      </c>
      <c r="F1060" t="str">
        <f t="shared" si="48"/>
        <v>Sin Mov.</v>
      </c>
      <c r="G1060" t="str">
        <f>IF(+'Libro Diario'!H392=0,"",+'Libro Diario'!H392)</f>
        <v/>
      </c>
      <c r="H1060" t="str">
        <f>IF(+'Libro Diario'!I392=0,"",+'Libro Diario'!I392)</f>
        <v/>
      </c>
      <c r="I1060" t="str">
        <f>+IF(Table3[[#This Row],[Tipo Movimiento]]="Estructura Balance y PyG","Excluir","Incluir")</f>
        <v>Incluir</v>
      </c>
      <c r="J1060" s="153">
        <f>+IF(Table3[[#This Row],[Sin cuenta]]="Con Mov.",(IF(Table3[[#This Row],[Movimiento]]="Debe",Table3[[#This Row],[Importe]],IF(Table3[[#This Row],[Movimiento]]="Haber",Table3[[#This Row],[Importe]]*-1,0))),0)</f>
        <v>0</v>
      </c>
      <c r="K1060" s="145" t="str">
        <f t="shared" si="49"/>
        <v/>
      </c>
      <c r="L1060" s="145" t="str">
        <f t="shared" si="50"/>
        <v>HABER</v>
      </c>
      <c r="M1060" t="str">
        <f>_xlfn.XLOOKUP(Table3[[#This Row],[Cuenta]],Estructura_Balance[Nombre Cuenta ()],Estructura_Balance[Grupo],"",0)</f>
        <v/>
      </c>
      <c r="N1060" t="str">
        <f>_xlfn.XLOOKUP(Table3[[#This Row],[Cuenta]],Estructura_Balance[Nombre Cuenta ()],Estructura_Balance[Nivel 1],"",0)</f>
        <v/>
      </c>
      <c r="O1060" t="str">
        <f>_xlfn.XLOOKUP(Table3[[#This Row],[Cuenta]],Estructura_Balance[Nombre Cuenta ()],Estructura_Balance[Nivel 2],"",0)</f>
        <v/>
      </c>
      <c r="P1060" t="str">
        <f>_xlfn.XLOOKUP(Table3[[#This Row],[Cuenta]],Estructura_Balance[Nombre Cuenta ()],Estructura_Balance[Nivel 3],"",0)</f>
        <v/>
      </c>
      <c r="Q1060" t="str">
        <f>_xlfn.XLOOKUP(Table3[[#This Row],[Cuenta]],Estructura_Balance[Nombre Cuenta ()],Estructura_Balance[Nivel 4],"",0)</f>
        <v/>
      </c>
      <c r="R1060" t="str">
        <f>_xlfn.XLOOKUP(Table3[[#This Row],[Cuenta]],Table8[Nombre Cuenta ()],Table8[Nivel 1],"",0)</f>
        <v/>
      </c>
      <c r="S1060" t="str">
        <f>_xlfn.XLOOKUP(Table3[[#This Row],[Cuenta]],Table8[Nombre Cuenta ()],Table8[Nivel 2],"",0)</f>
        <v/>
      </c>
      <c r="T1060" t="str">
        <f>_xlfn.XLOOKUP(Table3[[#This Row],[Cuenta]],Table8[Nombre Cuenta ()],Table8[Nivel 3],"",0)</f>
        <v/>
      </c>
      <c r="U1060">
        <v>1785</v>
      </c>
      <c r="V1060" t="str">
        <f>_xlfn.XLOOKUP(Table3[[#This Row],[Cuenta]],Estructura_Balance[Nombre Cuenta ()],Estructura_Balance[Niveles:2],"",0)</f>
        <v/>
      </c>
      <c r="W1060" t="str">
        <f>_xlfn.XLOOKUP(Table3[[#This Row],[Cuenta]],Estructura_Balance[Nombre Cuenta ()],Estructura_Balance[Niveles:3],"",0)</f>
        <v/>
      </c>
      <c r="X1060" t="str">
        <f>_xlfn.XLOOKUP(Table3[[#This Row],[Cuenta]],Estructura_Balance[Nombre Cuenta ()],Estructura_Balance[Grupos],"Grupo 1",0)</f>
        <v>Grupo 1</v>
      </c>
      <c r="Y1060" t="str">
        <f>+Table3[[#This Row],[BS_Nivel_1]]</f>
        <v/>
      </c>
    </row>
    <row r="1061" spans="1:25" ht="15" customHeight="1">
      <c r="A1061">
        <f>+'Libro Diario'!F393</f>
        <v>0</v>
      </c>
      <c r="B1061" s="144">
        <f>VALUE(IF(+'Libro Diario'!G393="","01/01/2025",+'Libro Diario'!G393))</f>
        <v>45658</v>
      </c>
      <c r="C1061">
        <f>IF(ISNUMBER(+IF(IFERROR(VALUE(MID('Libro Diario'!D393,1,4)),0)&lt;&gt;0,'Libro Diario'!D393,0))=FALSE,'Libro Diario'!D393,0)</f>
        <v>0</v>
      </c>
      <c r="D1061" s="145">
        <f>+'Libro Diario'!E393</f>
        <v>0</v>
      </c>
      <c r="E1061" s="139" t="s">
        <v>446</v>
      </c>
      <c r="F1061" t="str">
        <f t="shared" si="48"/>
        <v>Sin Mov.</v>
      </c>
      <c r="G1061" t="str">
        <f>IF(+'Libro Diario'!H393=0,"",+'Libro Diario'!H393)</f>
        <v/>
      </c>
      <c r="H1061" t="str">
        <f>IF(+'Libro Diario'!I393=0,"",+'Libro Diario'!I393)</f>
        <v/>
      </c>
      <c r="I1061" t="str">
        <f>+IF(Table3[[#This Row],[Tipo Movimiento]]="Estructura Balance y PyG","Excluir","Incluir")</f>
        <v>Incluir</v>
      </c>
      <c r="J1061" s="153">
        <f>+IF(Table3[[#This Row],[Sin cuenta]]="Con Mov.",(IF(Table3[[#This Row],[Movimiento]]="Debe",Table3[[#This Row],[Importe]],IF(Table3[[#This Row],[Movimiento]]="Haber",Table3[[#This Row],[Importe]]*-1,0))),0)</f>
        <v>0</v>
      </c>
      <c r="K1061" s="145" t="str">
        <f t="shared" si="49"/>
        <v/>
      </c>
      <c r="L1061" s="145">
        <f t="shared" si="50"/>
        <v>0</v>
      </c>
      <c r="M1061" t="str">
        <f>_xlfn.XLOOKUP(Table3[[#This Row],[Cuenta]],Estructura_Balance[Nombre Cuenta ()],Estructura_Balance[Grupo],"",0)</f>
        <v/>
      </c>
      <c r="N1061" t="str">
        <f>_xlfn.XLOOKUP(Table3[[#This Row],[Cuenta]],Estructura_Balance[Nombre Cuenta ()],Estructura_Balance[Nivel 1],"",0)</f>
        <v/>
      </c>
      <c r="O1061" t="str">
        <f>_xlfn.XLOOKUP(Table3[[#This Row],[Cuenta]],Estructura_Balance[Nombre Cuenta ()],Estructura_Balance[Nivel 2],"",0)</f>
        <v/>
      </c>
      <c r="P1061" t="str">
        <f>_xlfn.XLOOKUP(Table3[[#This Row],[Cuenta]],Estructura_Balance[Nombre Cuenta ()],Estructura_Balance[Nivel 3],"",0)</f>
        <v/>
      </c>
      <c r="Q1061" t="str">
        <f>_xlfn.XLOOKUP(Table3[[#This Row],[Cuenta]],Estructura_Balance[Nombre Cuenta ()],Estructura_Balance[Nivel 4],"",0)</f>
        <v/>
      </c>
      <c r="R1061" t="str">
        <f>_xlfn.XLOOKUP(Table3[[#This Row],[Cuenta]],Table8[Nombre Cuenta ()],Table8[Nivel 1],"",0)</f>
        <v/>
      </c>
      <c r="S1061" t="str">
        <f>_xlfn.XLOOKUP(Table3[[#This Row],[Cuenta]],Table8[Nombre Cuenta ()],Table8[Nivel 2],"",0)</f>
        <v/>
      </c>
      <c r="T1061" t="str">
        <f>_xlfn.XLOOKUP(Table3[[#This Row],[Cuenta]],Table8[Nombre Cuenta ()],Table8[Nivel 3],"",0)</f>
        <v/>
      </c>
      <c r="U1061">
        <v>1786</v>
      </c>
      <c r="V1061" t="str">
        <f>_xlfn.XLOOKUP(Table3[[#This Row],[Cuenta]],Estructura_Balance[Nombre Cuenta ()],Estructura_Balance[Niveles:2],"",0)</f>
        <v/>
      </c>
      <c r="W1061" t="str">
        <f>_xlfn.XLOOKUP(Table3[[#This Row],[Cuenta]],Estructura_Balance[Nombre Cuenta ()],Estructura_Balance[Niveles:3],"",0)</f>
        <v/>
      </c>
      <c r="X1061" t="str">
        <f>_xlfn.XLOOKUP(Table3[[#This Row],[Cuenta]],Estructura_Balance[Nombre Cuenta ()],Estructura_Balance[Grupos],"Grupo 1",0)</f>
        <v>Grupo 1</v>
      </c>
      <c r="Y1061" t="str">
        <f>+Table3[[#This Row],[BS_Nivel_1]]</f>
        <v/>
      </c>
    </row>
    <row r="1062" spans="1:25" ht="15" customHeight="1">
      <c r="A1062">
        <f>+'Libro Diario'!F396</f>
        <v>0</v>
      </c>
      <c r="B1062" s="144">
        <f>VALUE(IF(+'Libro Diario'!G396="","01/01/2025",+'Libro Diario'!G396))</f>
        <v>45658</v>
      </c>
      <c r="C1062">
        <f>IF(ISNUMBER(+IF(IFERROR(VALUE(MID('Libro Diario'!D396,1,4)),0)&lt;&gt;0,'Libro Diario'!D396,0))=FALSE,'Libro Diario'!D396,0)</f>
        <v>0</v>
      </c>
      <c r="D1062" s="145">
        <f>+'Libro Diario'!E396</f>
        <v>0</v>
      </c>
      <c r="E1062" s="139" t="s">
        <v>446</v>
      </c>
      <c r="F1062" t="str">
        <f t="shared" si="48"/>
        <v>Sin Mov.</v>
      </c>
      <c r="G1062" t="str">
        <f>IF(+'Libro Diario'!H396=0,"",+'Libro Diario'!H396)</f>
        <v/>
      </c>
      <c r="H1062" t="str">
        <f>IF(+'Libro Diario'!I396=0,"",+'Libro Diario'!I396)</f>
        <v/>
      </c>
      <c r="I1062" t="str">
        <f>+IF(Table3[[#This Row],[Tipo Movimiento]]="Estructura Balance y PyG","Excluir","Incluir")</f>
        <v>Incluir</v>
      </c>
      <c r="J1062" s="153">
        <f>+IF(Table3[[#This Row],[Sin cuenta]]="Con Mov.",(IF(Table3[[#This Row],[Movimiento]]="Debe",Table3[[#This Row],[Importe]],IF(Table3[[#This Row],[Movimiento]]="Haber",Table3[[#This Row],[Importe]]*-1,0))),0)</f>
        <v>0</v>
      </c>
      <c r="K1062" s="145" t="str">
        <f t="shared" si="49"/>
        <v/>
      </c>
      <c r="L1062" s="145">
        <f t="shared" si="50"/>
        <v>0</v>
      </c>
      <c r="M1062" t="str">
        <f>_xlfn.XLOOKUP(Table3[[#This Row],[Cuenta]],Estructura_Balance[Nombre Cuenta ()],Estructura_Balance[Grupo],"",0)</f>
        <v/>
      </c>
      <c r="N1062" t="str">
        <f>_xlfn.XLOOKUP(Table3[[#This Row],[Cuenta]],Estructura_Balance[Nombre Cuenta ()],Estructura_Balance[Nivel 1],"",0)</f>
        <v/>
      </c>
      <c r="O1062" t="str">
        <f>_xlfn.XLOOKUP(Table3[[#This Row],[Cuenta]],Estructura_Balance[Nombre Cuenta ()],Estructura_Balance[Nivel 2],"",0)</f>
        <v/>
      </c>
      <c r="P1062" t="str">
        <f>_xlfn.XLOOKUP(Table3[[#This Row],[Cuenta]],Estructura_Balance[Nombre Cuenta ()],Estructura_Balance[Nivel 3],"",0)</f>
        <v/>
      </c>
      <c r="Q1062" t="str">
        <f>_xlfn.XLOOKUP(Table3[[#This Row],[Cuenta]],Estructura_Balance[Nombre Cuenta ()],Estructura_Balance[Nivel 4],"",0)</f>
        <v/>
      </c>
      <c r="R1062" t="str">
        <f>_xlfn.XLOOKUP(Table3[[#This Row],[Cuenta]],Table8[Nombre Cuenta ()],Table8[Nivel 1],"",0)</f>
        <v/>
      </c>
      <c r="S1062" t="str">
        <f>_xlfn.XLOOKUP(Table3[[#This Row],[Cuenta]],Table8[Nombre Cuenta ()],Table8[Nivel 2],"",0)</f>
        <v/>
      </c>
      <c r="T1062" t="str">
        <f>_xlfn.XLOOKUP(Table3[[#This Row],[Cuenta]],Table8[Nombre Cuenta ()],Table8[Nivel 3],"",0)</f>
        <v/>
      </c>
      <c r="U1062">
        <v>1789</v>
      </c>
      <c r="V1062" t="str">
        <f>_xlfn.XLOOKUP(Table3[[#This Row],[Cuenta]],Estructura_Balance[Nombre Cuenta ()],Estructura_Balance[Niveles:2],"",0)</f>
        <v/>
      </c>
      <c r="W1062" t="str">
        <f>_xlfn.XLOOKUP(Table3[[#This Row],[Cuenta]],Estructura_Balance[Nombre Cuenta ()],Estructura_Balance[Niveles:3],"",0)</f>
        <v/>
      </c>
      <c r="X1062" t="str">
        <f>_xlfn.XLOOKUP(Table3[[#This Row],[Cuenta]],Estructura_Balance[Nombre Cuenta ()],Estructura_Balance[Grupos],"Grupo 1",0)</f>
        <v>Grupo 1</v>
      </c>
      <c r="Y1062" t="str">
        <f>+Table3[[#This Row],[BS_Nivel_1]]</f>
        <v/>
      </c>
    </row>
    <row r="1063" spans="1:25" ht="15" customHeight="1">
      <c r="A1063">
        <f>+'Libro Diario'!F397</f>
        <v>0</v>
      </c>
      <c r="B1063" s="144">
        <f>VALUE(IF(+'Libro Diario'!G397="","01/01/2025",+'Libro Diario'!G397))</f>
        <v>45658</v>
      </c>
      <c r="C1063">
        <f>IF(ISNUMBER(+IF(IFERROR(VALUE(MID('Libro Diario'!D397,1,4)),0)&lt;&gt;0,'Libro Diario'!D397,0))=FALSE,'Libro Diario'!D397,0)</f>
        <v>0</v>
      </c>
      <c r="D1063" s="145">
        <f>+'Libro Diario'!E397</f>
        <v>0</v>
      </c>
      <c r="E1063" s="139" t="s">
        <v>446</v>
      </c>
      <c r="F1063" t="str">
        <f t="shared" si="48"/>
        <v>Sin Mov.</v>
      </c>
      <c r="G1063" t="str">
        <f>IF(+'Libro Diario'!H397=0,"",+'Libro Diario'!H397)</f>
        <v/>
      </c>
      <c r="H1063" t="str">
        <f>IF(+'Libro Diario'!I397=0,"",+'Libro Diario'!I397)</f>
        <v/>
      </c>
      <c r="I1063" t="str">
        <f>+IF(Table3[[#This Row],[Tipo Movimiento]]="Estructura Balance y PyG","Excluir","Incluir")</f>
        <v>Incluir</v>
      </c>
      <c r="J1063" s="153">
        <f>+IF(Table3[[#This Row],[Sin cuenta]]="Con Mov.",(IF(Table3[[#This Row],[Movimiento]]="Debe",Table3[[#This Row],[Importe]],IF(Table3[[#This Row],[Movimiento]]="Haber",Table3[[#This Row],[Importe]]*-1,0))),0)</f>
        <v>0</v>
      </c>
      <c r="K1063" s="145" t="str">
        <f t="shared" si="49"/>
        <v/>
      </c>
      <c r="L1063" s="145">
        <f t="shared" si="50"/>
        <v>0</v>
      </c>
      <c r="M1063" t="str">
        <f>_xlfn.XLOOKUP(Table3[[#This Row],[Cuenta]],Estructura_Balance[Nombre Cuenta ()],Estructura_Balance[Grupo],"",0)</f>
        <v/>
      </c>
      <c r="N1063" t="str">
        <f>_xlfn.XLOOKUP(Table3[[#This Row],[Cuenta]],Estructura_Balance[Nombre Cuenta ()],Estructura_Balance[Nivel 1],"",0)</f>
        <v/>
      </c>
      <c r="O1063" t="str">
        <f>_xlfn.XLOOKUP(Table3[[#This Row],[Cuenta]],Estructura_Balance[Nombre Cuenta ()],Estructura_Balance[Nivel 2],"",0)</f>
        <v/>
      </c>
      <c r="P1063" t="str">
        <f>_xlfn.XLOOKUP(Table3[[#This Row],[Cuenta]],Estructura_Balance[Nombre Cuenta ()],Estructura_Balance[Nivel 3],"",0)</f>
        <v/>
      </c>
      <c r="Q1063" t="str">
        <f>_xlfn.XLOOKUP(Table3[[#This Row],[Cuenta]],Estructura_Balance[Nombre Cuenta ()],Estructura_Balance[Nivel 4],"",0)</f>
        <v/>
      </c>
      <c r="R1063" t="str">
        <f>_xlfn.XLOOKUP(Table3[[#This Row],[Cuenta]],Table8[Nombre Cuenta ()],Table8[Nivel 1],"",0)</f>
        <v/>
      </c>
      <c r="S1063" t="str">
        <f>_xlfn.XLOOKUP(Table3[[#This Row],[Cuenta]],Table8[Nombre Cuenta ()],Table8[Nivel 2],"",0)</f>
        <v/>
      </c>
      <c r="T1063" t="str">
        <f>_xlfn.XLOOKUP(Table3[[#This Row],[Cuenta]],Table8[Nombre Cuenta ()],Table8[Nivel 3],"",0)</f>
        <v/>
      </c>
      <c r="U1063">
        <v>1790</v>
      </c>
      <c r="V1063" t="str">
        <f>_xlfn.XLOOKUP(Table3[[#This Row],[Cuenta]],Estructura_Balance[Nombre Cuenta ()],Estructura_Balance[Niveles:2],"",0)</f>
        <v/>
      </c>
      <c r="W1063" t="str">
        <f>_xlfn.XLOOKUP(Table3[[#This Row],[Cuenta]],Estructura_Balance[Nombre Cuenta ()],Estructura_Balance[Niveles:3],"",0)</f>
        <v/>
      </c>
      <c r="X1063" t="str">
        <f>_xlfn.XLOOKUP(Table3[[#This Row],[Cuenta]],Estructura_Balance[Nombre Cuenta ()],Estructura_Balance[Grupos],"Grupo 1",0)</f>
        <v>Grupo 1</v>
      </c>
      <c r="Y1063" t="str">
        <f>+Table3[[#This Row],[BS_Nivel_1]]</f>
        <v/>
      </c>
    </row>
    <row r="1064" spans="1:25" ht="15" customHeight="1">
      <c r="A1064">
        <f>+'Libro Diario'!F398</f>
        <v>0</v>
      </c>
      <c r="B1064" s="144">
        <f>VALUE(IF(+'Libro Diario'!G398="","01/01/2025",+'Libro Diario'!G398))</f>
        <v>45658</v>
      </c>
      <c r="C1064">
        <f>IF(ISNUMBER(+IF(IFERROR(VALUE(MID('Libro Diario'!D398,1,4)),0)&lt;&gt;0,'Libro Diario'!D398,0))=FALSE,'Libro Diario'!D398,0)</f>
        <v>0</v>
      </c>
      <c r="D1064" s="145">
        <f>+'Libro Diario'!E398</f>
        <v>0</v>
      </c>
      <c r="E1064" s="139" t="s">
        <v>446</v>
      </c>
      <c r="F1064" t="str">
        <f t="shared" si="48"/>
        <v>Sin Mov.</v>
      </c>
      <c r="G1064" t="str">
        <f>IF(+'Libro Diario'!H398=0,"",+'Libro Diario'!H398)</f>
        <v/>
      </c>
      <c r="H1064" t="str">
        <f>IF(+'Libro Diario'!I398=0,"",+'Libro Diario'!I398)</f>
        <v/>
      </c>
      <c r="I1064" t="str">
        <f>+IF(Table3[[#This Row],[Tipo Movimiento]]="Estructura Balance y PyG","Excluir","Incluir")</f>
        <v>Incluir</v>
      </c>
      <c r="J1064" s="153">
        <f>+IF(Table3[[#This Row],[Sin cuenta]]="Con Mov.",(IF(Table3[[#This Row],[Movimiento]]="Debe",Table3[[#This Row],[Importe]],IF(Table3[[#This Row],[Movimiento]]="Haber",Table3[[#This Row],[Importe]]*-1,0))),0)</f>
        <v>0</v>
      </c>
      <c r="K1064" s="145" t="str">
        <f t="shared" si="49"/>
        <v/>
      </c>
      <c r="L1064" s="145">
        <f t="shared" si="50"/>
        <v>0</v>
      </c>
      <c r="M1064" t="str">
        <f>_xlfn.XLOOKUP(Table3[[#This Row],[Cuenta]],Estructura_Balance[Nombre Cuenta ()],Estructura_Balance[Grupo],"",0)</f>
        <v/>
      </c>
      <c r="N1064" t="str">
        <f>_xlfn.XLOOKUP(Table3[[#This Row],[Cuenta]],Estructura_Balance[Nombre Cuenta ()],Estructura_Balance[Nivel 1],"",0)</f>
        <v/>
      </c>
      <c r="O1064" t="str">
        <f>_xlfn.XLOOKUP(Table3[[#This Row],[Cuenta]],Estructura_Balance[Nombre Cuenta ()],Estructura_Balance[Nivel 2],"",0)</f>
        <v/>
      </c>
      <c r="P1064" t="str">
        <f>_xlfn.XLOOKUP(Table3[[#This Row],[Cuenta]],Estructura_Balance[Nombre Cuenta ()],Estructura_Balance[Nivel 3],"",0)</f>
        <v/>
      </c>
      <c r="Q1064" t="str">
        <f>_xlfn.XLOOKUP(Table3[[#This Row],[Cuenta]],Estructura_Balance[Nombre Cuenta ()],Estructura_Balance[Nivel 4],"",0)</f>
        <v/>
      </c>
      <c r="R1064" t="str">
        <f>_xlfn.XLOOKUP(Table3[[#This Row],[Cuenta]],Table8[Nombre Cuenta ()],Table8[Nivel 1],"",0)</f>
        <v/>
      </c>
      <c r="S1064" t="str">
        <f>_xlfn.XLOOKUP(Table3[[#This Row],[Cuenta]],Table8[Nombre Cuenta ()],Table8[Nivel 2],"",0)</f>
        <v/>
      </c>
      <c r="T1064" t="str">
        <f>_xlfn.XLOOKUP(Table3[[#This Row],[Cuenta]],Table8[Nombre Cuenta ()],Table8[Nivel 3],"",0)</f>
        <v/>
      </c>
      <c r="U1064">
        <v>1791</v>
      </c>
      <c r="V1064" t="str">
        <f>_xlfn.XLOOKUP(Table3[[#This Row],[Cuenta]],Estructura_Balance[Nombre Cuenta ()],Estructura_Balance[Niveles:2],"",0)</f>
        <v/>
      </c>
      <c r="W1064" t="str">
        <f>_xlfn.XLOOKUP(Table3[[#This Row],[Cuenta]],Estructura_Balance[Nombre Cuenta ()],Estructura_Balance[Niveles:3],"",0)</f>
        <v/>
      </c>
      <c r="X1064" t="str">
        <f>_xlfn.XLOOKUP(Table3[[#This Row],[Cuenta]],Estructura_Balance[Nombre Cuenta ()],Estructura_Balance[Grupos],"Grupo 1",0)</f>
        <v>Grupo 1</v>
      </c>
      <c r="Y1064" t="str">
        <f>+Table3[[#This Row],[BS_Nivel_1]]</f>
        <v/>
      </c>
    </row>
    <row r="1065" spans="1:25" ht="15" customHeight="1">
      <c r="A1065">
        <f>+'Libro Diario'!F399</f>
        <v>0</v>
      </c>
      <c r="B1065" s="144">
        <f>VALUE(IF(+'Libro Diario'!G399="","01/01/2025",+'Libro Diario'!G399))</f>
        <v>45658</v>
      </c>
      <c r="C1065">
        <f>IF(ISNUMBER(+IF(IFERROR(VALUE(MID('Libro Diario'!D399,1,4)),0)&lt;&gt;0,'Libro Diario'!D399,0))=FALSE,'Libro Diario'!D399,0)</f>
        <v>0</v>
      </c>
      <c r="D1065" s="145" t="str">
        <f>+'Libro Diario'!E399</f>
        <v>HABER</v>
      </c>
      <c r="E1065" s="139" t="s">
        <v>446</v>
      </c>
      <c r="F1065" t="str">
        <f t="shared" si="48"/>
        <v>Sin Mov.</v>
      </c>
      <c r="G1065" t="str">
        <f>IF(+'Libro Diario'!H399=0,"",+'Libro Diario'!H399)</f>
        <v/>
      </c>
      <c r="H1065" t="str">
        <f>IF(+'Libro Diario'!I399=0,"",+'Libro Diario'!I399)</f>
        <v/>
      </c>
      <c r="I1065" t="str">
        <f>+IF(Table3[[#This Row],[Tipo Movimiento]]="Estructura Balance y PyG","Excluir","Incluir")</f>
        <v>Incluir</v>
      </c>
      <c r="J1065" s="153">
        <f>+IF(Table3[[#This Row],[Sin cuenta]]="Con Mov.",(IF(Table3[[#This Row],[Movimiento]]="Debe",Table3[[#This Row],[Importe]],IF(Table3[[#This Row],[Movimiento]]="Haber",Table3[[#This Row],[Importe]]*-1,0))),0)</f>
        <v>0</v>
      </c>
      <c r="K1065" s="145" t="str">
        <f t="shared" si="49"/>
        <v/>
      </c>
      <c r="L1065" s="145" t="str">
        <f t="shared" si="50"/>
        <v>HABER</v>
      </c>
      <c r="M1065" t="str">
        <f>_xlfn.XLOOKUP(Table3[[#This Row],[Cuenta]],Estructura_Balance[Nombre Cuenta ()],Estructura_Balance[Grupo],"",0)</f>
        <v/>
      </c>
      <c r="N1065" t="str">
        <f>_xlfn.XLOOKUP(Table3[[#This Row],[Cuenta]],Estructura_Balance[Nombre Cuenta ()],Estructura_Balance[Nivel 1],"",0)</f>
        <v/>
      </c>
      <c r="O1065" t="str">
        <f>_xlfn.XLOOKUP(Table3[[#This Row],[Cuenta]],Estructura_Balance[Nombre Cuenta ()],Estructura_Balance[Nivel 2],"",0)</f>
        <v/>
      </c>
      <c r="P1065" t="str">
        <f>_xlfn.XLOOKUP(Table3[[#This Row],[Cuenta]],Estructura_Balance[Nombre Cuenta ()],Estructura_Balance[Nivel 3],"",0)</f>
        <v/>
      </c>
      <c r="Q1065" t="str">
        <f>_xlfn.XLOOKUP(Table3[[#This Row],[Cuenta]],Estructura_Balance[Nombre Cuenta ()],Estructura_Balance[Nivel 4],"",0)</f>
        <v/>
      </c>
      <c r="R1065" t="str">
        <f>_xlfn.XLOOKUP(Table3[[#This Row],[Cuenta]],Table8[Nombre Cuenta ()],Table8[Nivel 1],"",0)</f>
        <v/>
      </c>
      <c r="S1065" t="str">
        <f>_xlfn.XLOOKUP(Table3[[#This Row],[Cuenta]],Table8[Nombre Cuenta ()],Table8[Nivel 2],"",0)</f>
        <v/>
      </c>
      <c r="T1065" t="str">
        <f>_xlfn.XLOOKUP(Table3[[#This Row],[Cuenta]],Table8[Nombre Cuenta ()],Table8[Nivel 3],"",0)</f>
        <v/>
      </c>
      <c r="U1065">
        <v>1792</v>
      </c>
      <c r="V1065" t="str">
        <f>_xlfn.XLOOKUP(Table3[[#This Row],[Cuenta]],Estructura_Balance[Nombre Cuenta ()],Estructura_Balance[Niveles:2],"",0)</f>
        <v/>
      </c>
      <c r="W1065" t="str">
        <f>_xlfn.XLOOKUP(Table3[[#This Row],[Cuenta]],Estructura_Balance[Nombre Cuenta ()],Estructura_Balance[Niveles:3],"",0)</f>
        <v/>
      </c>
      <c r="X1065" t="str">
        <f>_xlfn.XLOOKUP(Table3[[#This Row],[Cuenta]],Estructura_Balance[Nombre Cuenta ()],Estructura_Balance[Grupos],"Grupo 1",0)</f>
        <v>Grupo 1</v>
      </c>
      <c r="Y1065" t="str">
        <f>+Table3[[#This Row],[BS_Nivel_1]]</f>
        <v/>
      </c>
    </row>
    <row r="1066" spans="1:25" ht="15" customHeight="1">
      <c r="A1066">
        <f>+'Libro Diario'!F400</f>
        <v>0</v>
      </c>
      <c r="B1066" s="144">
        <f>VALUE(IF(+'Libro Diario'!G400="","01/01/2025",+'Libro Diario'!G400))</f>
        <v>45658</v>
      </c>
      <c r="C1066">
        <f>IF(ISNUMBER(+IF(IFERROR(VALUE(MID('Libro Diario'!D400,1,4)),0)&lt;&gt;0,'Libro Diario'!D400,0))=FALSE,'Libro Diario'!D400,0)</f>
        <v>0</v>
      </c>
      <c r="D1066" s="145">
        <f>+'Libro Diario'!E400</f>
        <v>0</v>
      </c>
      <c r="E1066" s="139" t="s">
        <v>446</v>
      </c>
      <c r="F1066" t="str">
        <f t="shared" si="48"/>
        <v>Sin Mov.</v>
      </c>
      <c r="G1066" t="str">
        <f>IF(+'Libro Diario'!H400=0,"",+'Libro Diario'!H400)</f>
        <v/>
      </c>
      <c r="H1066" t="str">
        <f>IF(+'Libro Diario'!I400=0,"",+'Libro Diario'!I400)</f>
        <v/>
      </c>
      <c r="I1066" t="str">
        <f>+IF(Table3[[#This Row],[Tipo Movimiento]]="Estructura Balance y PyG","Excluir","Incluir")</f>
        <v>Incluir</v>
      </c>
      <c r="J1066" s="153">
        <f>+IF(Table3[[#This Row],[Sin cuenta]]="Con Mov.",(IF(Table3[[#This Row],[Movimiento]]="Debe",Table3[[#This Row],[Importe]],IF(Table3[[#This Row],[Movimiento]]="Haber",Table3[[#This Row],[Importe]]*-1,0))),0)</f>
        <v>0</v>
      </c>
      <c r="K1066" s="145" t="str">
        <f t="shared" si="49"/>
        <v/>
      </c>
      <c r="L1066" s="145">
        <f t="shared" si="50"/>
        <v>0</v>
      </c>
      <c r="M1066" t="str">
        <f>_xlfn.XLOOKUP(Table3[[#This Row],[Cuenta]],Estructura_Balance[Nombre Cuenta ()],Estructura_Balance[Grupo],"",0)</f>
        <v/>
      </c>
      <c r="N1066" t="str">
        <f>_xlfn.XLOOKUP(Table3[[#This Row],[Cuenta]],Estructura_Balance[Nombre Cuenta ()],Estructura_Balance[Nivel 1],"",0)</f>
        <v/>
      </c>
      <c r="O1066" t="str">
        <f>_xlfn.XLOOKUP(Table3[[#This Row],[Cuenta]],Estructura_Balance[Nombre Cuenta ()],Estructura_Balance[Nivel 2],"",0)</f>
        <v/>
      </c>
      <c r="P1066" t="str">
        <f>_xlfn.XLOOKUP(Table3[[#This Row],[Cuenta]],Estructura_Balance[Nombre Cuenta ()],Estructura_Balance[Nivel 3],"",0)</f>
        <v/>
      </c>
      <c r="Q1066" t="str">
        <f>_xlfn.XLOOKUP(Table3[[#This Row],[Cuenta]],Estructura_Balance[Nombre Cuenta ()],Estructura_Balance[Nivel 4],"",0)</f>
        <v/>
      </c>
      <c r="R1066" t="str">
        <f>_xlfn.XLOOKUP(Table3[[#This Row],[Cuenta]],Table8[Nombre Cuenta ()],Table8[Nivel 1],"",0)</f>
        <v/>
      </c>
      <c r="S1066" t="str">
        <f>_xlfn.XLOOKUP(Table3[[#This Row],[Cuenta]],Table8[Nombre Cuenta ()],Table8[Nivel 2],"",0)</f>
        <v/>
      </c>
      <c r="T1066" t="str">
        <f>_xlfn.XLOOKUP(Table3[[#This Row],[Cuenta]],Table8[Nombre Cuenta ()],Table8[Nivel 3],"",0)</f>
        <v/>
      </c>
      <c r="U1066">
        <v>1793</v>
      </c>
      <c r="V1066" t="str">
        <f>_xlfn.XLOOKUP(Table3[[#This Row],[Cuenta]],Estructura_Balance[Nombre Cuenta ()],Estructura_Balance[Niveles:2],"",0)</f>
        <v/>
      </c>
      <c r="W1066" t="str">
        <f>_xlfn.XLOOKUP(Table3[[#This Row],[Cuenta]],Estructura_Balance[Nombre Cuenta ()],Estructura_Balance[Niveles:3],"",0)</f>
        <v/>
      </c>
      <c r="X1066" t="str">
        <f>_xlfn.XLOOKUP(Table3[[#This Row],[Cuenta]],Estructura_Balance[Nombre Cuenta ()],Estructura_Balance[Grupos],"Grupo 1",0)</f>
        <v>Grupo 1</v>
      </c>
      <c r="Y1066" t="str">
        <f>+Table3[[#This Row],[BS_Nivel_1]]</f>
        <v/>
      </c>
    </row>
    <row r="1067" spans="1:25" ht="15" customHeight="1">
      <c r="A1067">
        <f>+'Libro Diario'!F403</f>
        <v>0</v>
      </c>
      <c r="B1067" s="144">
        <f>VALUE(IF(+'Libro Diario'!G403="","01/01/2025",+'Libro Diario'!G403))</f>
        <v>45658</v>
      </c>
      <c r="C1067">
        <f>IF(ISNUMBER(+IF(IFERROR(VALUE(MID('Libro Diario'!D403,1,4)),0)&lt;&gt;0,'Libro Diario'!D403,0))=FALSE,'Libro Diario'!D403,0)</f>
        <v>0</v>
      </c>
      <c r="D1067" s="145">
        <f>+'Libro Diario'!E403</f>
        <v>0</v>
      </c>
      <c r="E1067" s="139" t="s">
        <v>446</v>
      </c>
      <c r="F1067" t="str">
        <f t="shared" si="48"/>
        <v>Sin Mov.</v>
      </c>
      <c r="G1067" t="str">
        <f>IF(+'Libro Diario'!H403=0,"",+'Libro Diario'!H403)</f>
        <v/>
      </c>
      <c r="H1067" t="str">
        <f>IF(+'Libro Diario'!I403=0,"",+'Libro Diario'!I403)</f>
        <v/>
      </c>
      <c r="I1067" t="str">
        <f>+IF(Table3[[#This Row],[Tipo Movimiento]]="Estructura Balance y PyG","Excluir","Incluir")</f>
        <v>Incluir</v>
      </c>
      <c r="J1067" s="153">
        <f>+IF(Table3[[#This Row],[Sin cuenta]]="Con Mov.",(IF(Table3[[#This Row],[Movimiento]]="Debe",Table3[[#This Row],[Importe]],IF(Table3[[#This Row],[Movimiento]]="Haber",Table3[[#This Row],[Importe]]*-1,0))),0)</f>
        <v>0</v>
      </c>
      <c r="K1067" s="145" t="str">
        <f t="shared" si="49"/>
        <v/>
      </c>
      <c r="L1067" s="145">
        <f t="shared" si="50"/>
        <v>0</v>
      </c>
      <c r="M1067" t="str">
        <f>_xlfn.XLOOKUP(Table3[[#This Row],[Cuenta]],Estructura_Balance[Nombre Cuenta ()],Estructura_Balance[Grupo],"",0)</f>
        <v/>
      </c>
      <c r="N1067" t="str">
        <f>_xlfn.XLOOKUP(Table3[[#This Row],[Cuenta]],Estructura_Balance[Nombre Cuenta ()],Estructura_Balance[Nivel 1],"",0)</f>
        <v/>
      </c>
      <c r="O1067" t="str">
        <f>_xlfn.XLOOKUP(Table3[[#This Row],[Cuenta]],Estructura_Balance[Nombre Cuenta ()],Estructura_Balance[Nivel 2],"",0)</f>
        <v/>
      </c>
      <c r="P1067" t="str">
        <f>_xlfn.XLOOKUP(Table3[[#This Row],[Cuenta]],Estructura_Balance[Nombre Cuenta ()],Estructura_Balance[Nivel 3],"",0)</f>
        <v/>
      </c>
      <c r="Q1067" t="str">
        <f>_xlfn.XLOOKUP(Table3[[#This Row],[Cuenta]],Estructura_Balance[Nombre Cuenta ()],Estructura_Balance[Nivel 4],"",0)</f>
        <v/>
      </c>
      <c r="R1067" t="str">
        <f>_xlfn.XLOOKUP(Table3[[#This Row],[Cuenta]],Table8[Nombre Cuenta ()],Table8[Nivel 1],"",0)</f>
        <v/>
      </c>
      <c r="S1067" t="str">
        <f>_xlfn.XLOOKUP(Table3[[#This Row],[Cuenta]],Table8[Nombre Cuenta ()],Table8[Nivel 2],"",0)</f>
        <v/>
      </c>
      <c r="T1067" t="str">
        <f>_xlfn.XLOOKUP(Table3[[#This Row],[Cuenta]],Table8[Nombre Cuenta ()],Table8[Nivel 3],"",0)</f>
        <v/>
      </c>
      <c r="U1067">
        <v>1796</v>
      </c>
      <c r="V1067" t="str">
        <f>_xlfn.XLOOKUP(Table3[[#This Row],[Cuenta]],Estructura_Balance[Nombre Cuenta ()],Estructura_Balance[Niveles:2],"",0)</f>
        <v/>
      </c>
      <c r="W1067" t="str">
        <f>_xlfn.XLOOKUP(Table3[[#This Row],[Cuenta]],Estructura_Balance[Nombre Cuenta ()],Estructura_Balance[Niveles:3],"",0)</f>
        <v/>
      </c>
      <c r="X1067" t="str">
        <f>_xlfn.XLOOKUP(Table3[[#This Row],[Cuenta]],Estructura_Balance[Nombre Cuenta ()],Estructura_Balance[Grupos],"Grupo 1",0)</f>
        <v>Grupo 1</v>
      </c>
      <c r="Y1067" t="str">
        <f>+Table3[[#This Row],[BS_Nivel_1]]</f>
        <v/>
      </c>
    </row>
    <row r="1068" spans="1:25" ht="15" customHeight="1">
      <c r="A1068">
        <f>+'Libro Diario'!F404</f>
        <v>0</v>
      </c>
      <c r="B1068" s="144">
        <f>VALUE(IF(+'Libro Diario'!G404="","01/01/2025",+'Libro Diario'!G404))</f>
        <v>45658</v>
      </c>
      <c r="C1068">
        <f>IF(ISNUMBER(+IF(IFERROR(VALUE(MID('Libro Diario'!D404,1,4)),0)&lt;&gt;0,'Libro Diario'!D404,0))=FALSE,'Libro Diario'!D404,0)</f>
        <v>0</v>
      </c>
      <c r="D1068" s="145">
        <f>+'Libro Diario'!E404</f>
        <v>0</v>
      </c>
      <c r="E1068" s="139" t="s">
        <v>446</v>
      </c>
      <c r="F1068" t="str">
        <f t="shared" si="48"/>
        <v>Sin Mov.</v>
      </c>
      <c r="G1068" t="str">
        <f>IF(+'Libro Diario'!H404=0,"",+'Libro Diario'!H404)</f>
        <v/>
      </c>
      <c r="H1068" t="str">
        <f>IF(+'Libro Diario'!I404=0,"",+'Libro Diario'!I404)</f>
        <v/>
      </c>
      <c r="I1068" t="str">
        <f>+IF(Table3[[#This Row],[Tipo Movimiento]]="Estructura Balance y PyG","Excluir","Incluir")</f>
        <v>Incluir</v>
      </c>
      <c r="J1068" s="153">
        <f>+IF(Table3[[#This Row],[Sin cuenta]]="Con Mov.",(IF(Table3[[#This Row],[Movimiento]]="Debe",Table3[[#This Row],[Importe]],IF(Table3[[#This Row],[Movimiento]]="Haber",Table3[[#This Row],[Importe]]*-1,0))),0)</f>
        <v>0</v>
      </c>
      <c r="K1068" s="145" t="str">
        <f t="shared" si="49"/>
        <v/>
      </c>
      <c r="L1068" s="145">
        <f t="shared" si="50"/>
        <v>0</v>
      </c>
      <c r="M1068" t="str">
        <f>_xlfn.XLOOKUP(Table3[[#This Row],[Cuenta]],Estructura_Balance[Nombre Cuenta ()],Estructura_Balance[Grupo],"",0)</f>
        <v/>
      </c>
      <c r="N1068" t="str">
        <f>_xlfn.XLOOKUP(Table3[[#This Row],[Cuenta]],Estructura_Balance[Nombre Cuenta ()],Estructura_Balance[Nivel 1],"",0)</f>
        <v/>
      </c>
      <c r="O1068" t="str">
        <f>_xlfn.XLOOKUP(Table3[[#This Row],[Cuenta]],Estructura_Balance[Nombre Cuenta ()],Estructura_Balance[Nivel 2],"",0)</f>
        <v/>
      </c>
      <c r="P1068" t="str">
        <f>_xlfn.XLOOKUP(Table3[[#This Row],[Cuenta]],Estructura_Balance[Nombre Cuenta ()],Estructura_Balance[Nivel 3],"",0)</f>
        <v/>
      </c>
      <c r="Q1068" t="str">
        <f>_xlfn.XLOOKUP(Table3[[#This Row],[Cuenta]],Estructura_Balance[Nombre Cuenta ()],Estructura_Balance[Nivel 4],"",0)</f>
        <v/>
      </c>
      <c r="R1068" t="str">
        <f>_xlfn.XLOOKUP(Table3[[#This Row],[Cuenta]],Table8[Nombre Cuenta ()],Table8[Nivel 1],"",0)</f>
        <v/>
      </c>
      <c r="S1068" t="str">
        <f>_xlfn.XLOOKUP(Table3[[#This Row],[Cuenta]],Table8[Nombre Cuenta ()],Table8[Nivel 2],"",0)</f>
        <v/>
      </c>
      <c r="T1068" t="str">
        <f>_xlfn.XLOOKUP(Table3[[#This Row],[Cuenta]],Table8[Nombre Cuenta ()],Table8[Nivel 3],"",0)</f>
        <v/>
      </c>
      <c r="U1068">
        <v>1797</v>
      </c>
      <c r="V1068" t="str">
        <f>_xlfn.XLOOKUP(Table3[[#This Row],[Cuenta]],Estructura_Balance[Nombre Cuenta ()],Estructura_Balance[Niveles:2],"",0)</f>
        <v/>
      </c>
      <c r="W1068" t="str">
        <f>_xlfn.XLOOKUP(Table3[[#This Row],[Cuenta]],Estructura_Balance[Nombre Cuenta ()],Estructura_Balance[Niveles:3],"",0)</f>
        <v/>
      </c>
      <c r="X1068" t="str">
        <f>_xlfn.XLOOKUP(Table3[[#This Row],[Cuenta]],Estructura_Balance[Nombre Cuenta ()],Estructura_Balance[Grupos],"Grupo 1",0)</f>
        <v>Grupo 1</v>
      </c>
      <c r="Y1068" t="str">
        <f>+Table3[[#This Row],[BS_Nivel_1]]</f>
        <v/>
      </c>
    </row>
    <row r="1069" spans="1:25" ht="15" customHeight="1">
      <c r="A1069">
        <f>+'Libro Diario'!F405</f>
        <v>0</v>
      </c>
      <c r="B1069" s="144">
        <f>VALUE(IF(+'Libro Diario'!G405="","01/01/2025",+'Libro Diario'!G405))</f>
        <v>45658</v>
      </c>
      <c r="C1069">
        <f>IF(ISNUMBER(+IF(IFERROR(VALUE(MID('Libro Diario'!D405,1,4)),0)&lt;&gt;0,'Libro Diario'!D405,0))=FALSE,'Libro Diario'!D405,0)</f>
        <v>0</v>
      </c>
      <c r="D1069" s="145">
        <f>+'Libro Diario'!E405</f>
        <v>0</v>
      </c>
      <c r="E1069" s="139" t="s">
        <v>446</v>
      </c>
      <c r="F1069" t="str">
        <f t="shared" si="48"/>
        <v>Sin Mov.</v>
      </c>
      <c r="G1069" t="str">
        <f>IF(+'Libro Diario'!H405=0,"",+'Libro Diario'!H405)</f>
        <v/>
      </c>
      <c r="H1069" t="str">
        <f>IF(+'Libro Diario'!I405=0,"",+'Libro Diario'!I405)</f>
        <v/>
      </c>
      <c r="I1069" t="str">
        <f>+IF(Table3[[#This Row],[Tipo Movimiento]]="Estructura Balance y PyG","Excluir","Incluir")</f>
        <v>Incluir</v>
      </c>
      <c r="J1069" s="153">
        <f>+IF(Table3[[#This Row],[Sin cuenta]]="Con Mov.",(IF(Table3[[#This Row],[Movimiento]]="Debe",Table3[[#This Row],[Importe]],IF(Table3[[#This Row],[Movimiento]]="Haber",Table3[[#This Row],[Importe]]*-1,0))),0)</f>
        <v>0</v>
      </c>
      <c r="K1069" s="145" t="str">
        <f t="shared" si="49"/>
        <v/>
      </c>
      <c r="L1069" s="145">
        <f t="shared" si="50"/>
        <v>0</v>
      </c>
      <c r="M1069" t="str">
        <f>_xlfn.XLOOKUP(Table3[[#This Row],[Cuenta]],Estructura_Balance[Nombre Cuenta ()],Estructura_Balance[Grupo],"",0)</f>
        <v/>
      </c>
      <c r="N1069" t="str">
        <f>_xlfn.XLOOKUP(Table3[[#This Row],[Cuenta]],Estructura_Balance[Nombre Cuenta ()],Estructura_Balance[Nivel 1],"",0)</f>
        <v/>
      </c>
      <c r="O1069" t="str">
        <f>_xlfn.XLOOKUP(Table3[[#This Row],[Cuenta]],Estructura_Balance[Nombre Cuenta ()],Estructura_Balance[Nivel 2],"",0)</f>
        <v/>
      </c>
      <c r="P1069" t="str">
        <f>_xlfn.XLOOKUP(Table3[[#This Row],[Cuenta]],Estructura_Balance[Nombre Cuenta ()],Estructura_Balance[Nivel 3],"",0)</f>
        <v/>
      </c>
      <c r="Q1069" t="str">
        <f>_xlfn.XLOOKUP(Table3[[#This Row],[Cuenta]],Estructura_Balance[Nombre Cuenta ()],Estructura_Balance[Nivel 4],"",0)</f>
        <v/>
      </c>
      <c r="R1069" t="str">
        <f>_xlfn.XLOOKUP(Table3[[#This Row],[Cuenta]],Table8[Nombre Cuenta ()],Table8[Nivel 1],"",0)</f>
        <v/>
      </c>
      <c r="S1069" t="str">
        <f>_xlfn.XLOOKUP(Table3[[#This Row],[Cuenta]],Table8[Nombre Cuenta ()],Table8[Nivel 2],"",0)</f>
        <v/>
      </c>
      <c r="T1069" t="str">
        <f>_xlfn.XLOOKUP(Table3[[#This Row],[Cuenta]],Table8[Nombre Cuenta ()],Table8[Nivel 3],"",0)</f>
        <v/>
      </c>
      <c r="U1069">
        <v>1798</v>
      </c>
      <c r="V1069" t="str">
        <f>_xlfn.XLOOKUP(Table3[[#This Row],[Cuenta]],Estructura_Balance[Nombre Cuenta ()],Estructura_Balance[Niveles:2],"",0)</f>
        <v/>
      </c>
      <c r="W1069" t="str">
        <f>_xlfn.XLOOKUP(Table3[[#This Row],[Cuenta]],Estructura_Balance[Nombre Cuenta ()],Estructura_Balance[Niveles:3],"",0)</f>
        <v/>
      </c>
      <c r="X1069" t="str">
        <f>_xlfn.XLOOKUP(Table3[[#This Row],[Cuenta]],Estructura_Balance[Nombre Cuenta ()],Estructura_Balance[Grupos],"Grupo 1",0)</f>
        <v>Grupo 1</v>
      </c>
      <c r="Y1069" t="str">
        <f>+Table3[[#This Row],[BS_Nivel_1]]</f>
        <v/>
      </c>
    </row>
    <row r="1070" spans="1:25" ht="15" customHeight="1">
      <c r="A1070">
        <f>+'Libro Diario'!F406</f>
        <v>0</v>
      </c>
      <c r="B1070" s="144">
        <f>VALUE(IF(+'Libro Diario'!G406="","01/01/2025",+'Libro Diario'!G406))</f>
        <v>45658</v>
      </c>
      <c r="C1070">
        <f>IF(ISNUMBER(+IF(IFERROR(VALUE(MID('Libro Diario'!D406,1,4)),0)&lt;&gt;0,'Libro Diario'!D406,0))=FALSE,'Libro Diario'!D406,0)</f>
        <v>0</v>
      </c>
      <c r="D1070" s="145" t="str">
        <f>+'Libro Diario'!E406</f>
        <v>HABER</v>
      </c>
      <c r="E1070" s="139" t="s">
        <v>446</v>
      </c>
      <c r="F1070" t="str">
        <f t="shared" si="48"/>
        <v>Sin Mov.</v>
      </c>
      <c r="G1070" t="str">
        <f>IF(+'Libro Diario'!H406=0,"",+'Libro Diario'!H406)</f>
        <v/>
      </c>
      <c r="H1070" t="str">
        <f>IF(+'Libro Diario'!I406=0,"",+'Libro Diario'!I406)</f>
        <v/>
      </c>
      <c r="I1070" t="str">
        <f>+IF(Table3[[#This Row],[Tipo Movimiento]]="Estructura Balance y PyG","Excluir","Incluir")</f>
        <v>Incluir</v>
      </c>
      <c r="J1070" s="153">
        <f>+IF(Table3[[#This Row],[Sin cuenta]]="Con Mov.",(IF(Table3[[#This Row],[Movimiento]]="Debe",Table3[[#This Row],[Importe]],IF(Table3[[#This Row],[Movimiento]]="Haber",Table3[[#This Row],[Importe]]*-1,0))),0)</f>
        <v>0</v>
      </c>
      <c r="K1070" s="145" t="str">
        <f t="shared" si="49"/>
        <v/>
      </c>
      <c r="L1070" s="145" t="str">
        <f t="shared" si="50"/>
        <v>HABER</v>
      </c>
      <c r="M1070" t="str">
        <f>_xlfn.XLOOKUP(Table3[[#This Row],[Cuenta]],Estructura_Balance[Nombre Cuenta ()],Estructura_Balance[Grupo],"",0)</f>
        <v/>
      </c>
      <c r="N1070" t="str">
        <f>_xlfn.XLOOKUP(Table3[[#This Row],[Cuenta]],Estructura_Balance[Nombre Cuenta ()],Estructura_Balance[Nivel 1],"",0)</f>
        <v/>
      </c>
      <c r="O1070" t="str">
        <f>_xlfn.XLOOKUP(Table3[[#This Row],[Cuenta]],Estructura_Balance[Nombre Cuenta ()],Estructura_Balance[Nivel 2],"",0)</f>
        <v/>
      </c>
      <c r="P1070" t="str">
        <f>_xlfn.XLOOKUP(Table3[[#This Row],[Cuenta]],Estructura_Balance[Nombre Cuenta ()],Estructura_Balance[Nivel 3],"",0)</f>
        <v/>
      </c>
      <c r="Q1070" t="str">
        <f>_xlfn.XLOOKUP(Table3[[#This Row],[Cuenta]],Estructura_Balance[Nombre Cuenta ()],Estructura_Balance[Nivel 4],"",0)</f>
        <v/>
      </c>
      <c r="R1070" t="str">
        <f>_xlfn.XLOOKUP(Table3[[#This Row],[Cuenta]],Table8[Nombre Cuenta ()],Table8[Nivel 1],"",0)</f>
        <v/>
      </c>
      <c r="S1070" t="str">
        <f>_xlfn.XLOOKUP(Table3[[#This Row],[Cuenta]],Table8[Nombre Cuenta ()],Table8[Nivel 2],"",0)</f>
        <v/>
      </c>
      <c r="T1070" t="str">
        <f>_xlfn.XLOOKUP(Table3[[#This Row],[Cuenta]],Table8[Nombre Cuenta ()],Table8[Nivel 3],"",0)</f>
        <v/>
      </c>
      <c r="U1070">
        <v>1799</v>
      </c>
      <c r="V1070" t="str">
        <f>_xlfn.XLOOKUP(Table3[[#This Row],[Cuenta]],Estructura_Balance[Nombre Cuenta ()],Estructura_Balance[Niveles:2],"",0)</f>
        <v/>
      </c>
      <c r="W1070" t="str">
        <f>_xlfn.XLOOKUP(Table3[[#This Row],[Cuenta]],Estructura_Balance[Nombre Cuenta ()],Estructura_Balance[Niveles:3],"",0)</f>
        <v/>
      </c>
      <c r="X1070" t="str">
        <f>_xlfn.XLOOKUP(Table3[[#This Row],[Cuenta]],Estructura_Balance[Nombre Cuenta ()],Estructura_Balance[Grupos],"Grupo 1",0)</f>
        <v>Grupo 1</v>
      </c>
      <c r="Y1070" t="str">
        <f>+Table3[[#This Row],[BS_Nivel_1]]</f>
        <v/>
      </c>
    </row>
    <row r="1071" spans="1:25" ht="15" customHeight="1">
      <c r="A1071">
        <f>+'Libro Diario'!F407</f>
        <v>0</v>
      </c>
      <c r="B1071" s="144">
        <f>VALUE(IF(+'Libro Diario'!G407="","01/01/2025",+'Libro Diario'!G407))</f>
        <v>45658</v>
      </c>
      <c r="C1071">
        <f>IF(ISNUMBER(+IF(IFERROR(VALUE(MID('Libro Diario'!D407,1,4)),0)&lt;&gt;0,'Libro Diario'!D407,0))=FALSE,'Libro Diario'!D407,0)</f>
        <v>0</v>
      </c>
      <c r="D1071" s="145">
        <f>+'Libro Diario'!E407</f>
        <v>0</v>
      </c>
      <c r="E1071" s="139" t="s">
        <v>446</v>
      </c>
      <c r="F1071" t="str">
        <f t="shared" si="48"/>
        <v>Sin Mov.</v>
      </c>
      <c r="G1071" t="str">
        <f>IF(+'Libro Diario'!H407=0,"",+'Libro Diario'!H407)</f>
        <v/>
      </c>
      <c r="H1071" t="str">
        <f>IF(+'Libro Diario'!I407=0,"",+'Libro Diario'!I407)</f>
        <v/>
      </c>
      <c r="I1071" t="str">
        <f>+IF(Table3[[#This Row],[Tipo Movimiento]]="Estructura Balance y PyG","Excluir","Incluir")</f>
        <v>Incluir</v>
      </c>
      <c r="J1071" s="153">
        <f>+IF(Table3[[#This Row],[Sin cuenta]]="Con Mov.",(IF(Table3[[#This Row],[Movimiento]]="Debe",Table3[[#This Row],[Importe]],IF(Table3[[#This Row],[Movimiento]]="Haber",Table3[[#This Row],[Importe]]*-1,0))),0)</f>
        <v>0</v>
      </c>
      <c r="K1071" s="145" t="str">
        <f t="shared" si="49"/>
        <v/>
      </c>
      <c r="L1071" s="145">
        <f t="shared" si="50"/>
        <v>0</v>
      </c>
      <c r="M1071" t="str">
        <f>_xlfn.XLOOKUP(Table3[[#This Row],[Cuenta]],Estructura_Balance[Nombre Cuenta ()],Estructura_Balance[Grupo],"",0)</f>
        <v/>
      </c>
      <c r="N1071" t="str">
        <f>_xlfn.XLOOKUP(Table3[[#This Row],[Cuenta]],Estructura_Balance[Nombre Cuenta ()],Estructura_Balance[Nivel 1],"",0)</f>
        <v/>
      </c>
      <c r="O1071" t="str">
        <f>_xlfn.XLOOKUP(Table3[[#This Row],[Cuenta]],Estructura_Balance[Nombre Cuenta ()],Estructura_Balance[Nivel 2],"",0)</f>
        <v/>
      </c>
      <c r="P1071" t="str">
        <f>_xlfn.XLOOKUP(Table3[[#This Row],[Cuenta]],Estructura_Balance[Nombre Cuenta ()],Estructura_Balance[Nivel 3],"",0)</f>
        <v/>
      </c>
      <c r="Q1071" t="str">
        <f>_xlfn.XLOOKUP(Table3[[#This Row],[Cuenta]],Estructura_Balance[Nombre Cuenta ()],Estructura_Balance[Nivel 4],"",0)</f>
        <v/>
      </c>
      <c r="R1071" t="str">
        <f>_xlfn.XLOOKUP(Table3[[#This Row],[Cuenta]],Table8[Nombre Cuenta ()],Table8[Nivel 1],"",0)</f>
        <v/>
      </c>
      <c r="S1071" t="str">
        <f>_xlfn.XLOOKUP(Table3[[#This Row],[Cuenta]],Table8[Nombre Cuenta ()],Table8[Nivel 2],"",0)</f>
        <v/>
      </c>
      <c r="T1071" t="str">
        <f>_xlfn.XLOOKUP(Table3[[#This Row],[Cuenta]],Table8[Nombre Cuenta ()],Table8[Nivel 3],"",0)</f>
        <v/>
      </c>
      <c r="U1071">
        <v>1800</v>
      </c>
      <c r="V1071" t="str">
        <f>_xlfn.XLOOKUP(Table3[[#This Row],[Cuenta]],Estructura_Balance[Nombre Cuenta ()],Estructura_Balance[Niveles:2],"",0)</f>
        <v/>
      </c>
      <c r="W1071" t="str">
        <f>_xlfn.XLOOKUP(Table3[[#This Row],[Cuenta]],Estructura_Balance[Nombre Cuenta ()],Estructura_Balance[Niveles:3],"",0)</f>
        <v/>
      </c>
      <c r="X1071" t="str">
        <f>_xlfn.XLOOKUP(Table3[[#This Row],[Cuenta]],Estructura_Balance[Nombre Cuenta ()],Estructura_Balance[Grupos],"Grupo 1",0)</f>
        <v>Grupo 1</v>
      </c>
      <c r="Y1071" t="str">
        <f>+Table3[[#This Row],[BS_Nivel_1]]</f>
        <v/>
      </c>
    </row>
    <row r="1072" spans="1:25" ht="15" customHeight="1">
      <c r="A1072">
        <f>+'Libro Diario'!F410</f>
        <v>0</v>
      </c>
      <c r="B1072" s="144">
        <f>VALUE(IF(+'Libro Diario'!G410="","01/01/2025",+'Libro Diario'!G410))</f>
        <v>45658</v>
      </c>
      <c r="C1072">
        <f>IF(ISNUMBER(+IF(IFERROR(VALUE(MID('Libro Diario'!D410,1,4)),0)&lt;&gt;0,'Libro Diario'!D410,0))=FALSE,'Libro Diario'!D410,0)</f>
        <v>0</v>
      </c>
      <c r="D1072" s="145">
        <f>+'Libro Diario'!E410</f>
        <v>0</v>
      </c>
      <c r="E1072" s="139" t="s">
        <v>446</v>
      </c>
      <c r="F1072" t="str">
        <f t="shared" si="48"/>
        <v>Sin Mov.</v>
      </c>
      <c r="G1072" t="str">
        <f>IF(+'Libro Diario'!H410=0,"",+'Libro Diario'!H410)</f>
        <v/>
      </c>
      <c r="H1072" t="str">
        <f>IF(+'Libro Diario'!I410=0,"",+'Libro Diario'!I410)</f>
        <v/>
      </c>
      <c r="I1072" t="str">
        <f>+IF(Table3[[#This Row],[Tipo Movimiento]]="Estructura Balance y PyG","Excluir","Incluir")</f>
        <v>Incluir</v>
      </c>
      <c r="J1072" s="153">
        <f>+IF(Table3[[#This Row],[Sin cuenta]]="Con Mov.",(IF(Table3[[#This Row],[Movimiento]]="Debe",Table3[[#This Row],[Importe]],IF(Table3[[#This Row],[Movimiento]]="Haber",Table3[[#This Row],[Importe]]*-1,0))),0)</f>
        <v>0</v>
      </c>
      <c r="K1072" s="145" t="str">
        <f t="shared" si="49"/>
        <v/>
      </c>
      <c r="L1072" s="145">
        <f t="shared" si="50"/>
        <v>0</v>
      </c>
      <c r="M1072" t="str">
        <f>_xlfn.XLOOKUP(Table3[[#This Row],[Cuenta]],Estructura_Balance[Nombre Cuenta ()],Estructura_Balance[Grupo],"",0)</f>
        <v/>
      </c>
      <c r="N1072" t="str">
        <f>_xlfn.XLOOKUP(Table3[[#This Row],[Cuenta]],Estructura_Balance[Nombre Cuenta ()],Estructura_Balance[Nivel 1],"",0)</f>
        <v/>
      </c>
      <c r="O1072" t="str">
        <f>_xlfn.XLOOKUP(Table3[[#This Row],[Cuenta]],Estructura_Balance[Nombre Cuenta ()],Estructura_Balance[Nivel 2],"",0)</f>
        <v/>
      </c>
      <c r="P1072" t="str">
        <f>_xlfn.XLOOKUP(Table3[[#This Row],[Cuenta]],Estructura_Balance[Nombre Cuenta ()],Estructura_Balance[Nivel 3],"",0)</f>
        <v/>
      </c>
      <c r="Q1072" t="str">
        <f>_xlfn.XLOOKUP(Table3[[#This Row],[Cuenta]],Estructura_Balance[Nombre Cuenta ()],Estructura_Balance[Nivel 4],"",0)</f>
        <v/>
      </c>
      <c r="R1072" t="str">
        <f>_xlfn.XLOOKUP(Table3[[#This Row],[Cuenta]],Table8[Nombre Cuenta ()],Table8[Nivel 1],"",0)</f>
        <v/>
      </c>
      <c r="S1072" t="str">
        <f>_xlfn.XLOOKUP(Table3[[#This Row],[Cuenta]],Table8[Nombre Cuenta ()],Table8[Nivel 2],"",0)</f>
        <v/>
      </c>
      <c r="T1072" t="str">
        <f>_xlfn.XLOOKUP(Table3[[#This Row],[Cuenta]],Table8[Nombre Cuenta ()],Table8[Nivel 3],"",0)</f>
        <v/>
      </c>
      <c r="U1072">
        <v>1803</v>
      </c>
      <c r="V1072" t="str">
        <f>_xlfn.XLOOKUP(Table3[[#This Row],[Cuenta]],Estructura_Balance[Nombre Cuenta ()],Estructura_Balance[Niveles:2],"",0)</f>
        <v/>
      </c>
      <c r="W1072" t="str">
        <f>_xlfn.XLOOKUP(Table3[[#This Row],[Cuenta]],Estructura_Balance[Nombre Cuenta ()],Estructura_Balance[Niveles:3],"",0)</f>
        <v/>
      </c>
      <c r="X1072" t="str">
        <f>_xlfn.XLOOKUP(Table3[[#This Row],[Cuenta]],Estructura_Balance[Nombre Cuenta ()],Estructura_Balance[Grupos],"Grupo 1",0)</f>
        <v>Grupo 1</v>
      </c>
      <c r="Y1072" t="str">
        <f>+Table3[[#This Row],[BS_Nivel_1]]</f>
        <v/>
      </c>
    </row>
    <row r="1073" spans="1:25" ht="15" customHeight="1">
      <c r="A1073">
        <f>+'Libro Diario'!F411</f>
        <v>0</v>
      </c>
      <c r="B1073" s="144">
        <f>VALUE(IF(+'Libro Diario'!G411="","01/01/2025",+'Libro Diario'!G411))</f>
        <v>45658</v>
      </c>
      <c r="C1073">
        <f>IF(ISNUMBER(+IF(IFERROR(VALUE(MID('Libro Diario'!D411,1,4)),0)&lt;&gt;0,'Libro Diario'!D411,0))=FALSE,'Libro Diario'!D411,0)</f>
        <v>0</v>
      </c>
      <c r="D1073" s="145">
        <f>+'Libro Diario'!E411</f>
        <v>0</v>
      </c>
      <c r="E1073" s="139" t="s">
        <v>446</v>
      </c>
      <c r="F1073" t="str">
        <f t="shared" si="48"/>
        <v>Sin Mov.</v>
      </c>
      <c r="G1073" t="str">
        <f>IF(+'Libro Diario'!H411=0,"",+'Libro Diario'!H411)</f>
        <v/>
      </c>
      <c r="H1073" t="str">
        <f>IF(+'Libro Diario'!I411=0,"",+'Libro Diario'!I411)</f>
        <v/>
      </c>
      <c r="I1073" t="str">
        <f>+IF(Table3[[#This Row],[Tipo Movimiento]]="Estructura Balance y PyG","Excluir","Incluir")</f>
        <v>Incluir</v>
      </c>
      <c r="J1073" s="153">
        <f>+IF(Table3[[#This Row],[Sin cuenta]]="Con Mov.",(IF(Table3[[#This Row],[Movimiento]]="Debe",Table3[[#This Row],[Importe]],IF(Table3[[#This Row],[Movimiento]]="Haber",Table3[[#This Row],[Importe]]*-1,0))),0)</f>
        <v>0</v>
      </c>
      <c r="K1073" s="145" t="str">
        <f t="shared" si="49"/>
        <v/>
      </c>
      <c r="L1073" s="145">
        <f t="shared" si="50"/>
        <v>0</v>
      </c>
      <c r="M1073" t="str">
        <f>_xlfn.XLOOKUP(Table3[[#This Row],[Cuenta]],Estructura_Balance[Nombre Cuenta ()],Estructura_Balance[Grupo],"",0)</f>
        <v/>
      </c>
      <c r="N1073" t="str">
        <f>_xlfn.XLOOKUP(Table3[[#This Row],[Cuenta]],Estructura_Balance[Nombre Cuenta ()],Estructura_Balance[Nivel 1],"",0)</f>
        <v/>
      </c>
      <c r="O1073" t="str">
        <f>_xlfn.XLOOKUP(Table3[[#This Row],[Cuenta]],Estructura_Balance[Nombre Cuenta ()],Estructura_Balance[Nivel 2],"",0)</f>
        <v/>
      </c>
      <c r="P1073" t="str">
        <f>_xlfn.XLOOKUP(Table3[[#This Row],[Cuenta]],Estructura_Balance[Nombre Cuenta ()],Estructura_Balance[Nivel 3],"",0)</f>
        <v/>
      </c>
      <c r="Q1073" t="str">
        <f>_xlfn.XLOOKUP(Table3[[#This Row],[Cuenta]],Estructura_Balance[Nombre Cuenta ()],Estructura_Balance[Nivel 4],"",0)</f>
        <v/>
      </c>
      <c r="R1073" t="str">
        <f>_xlfn.XLOOKUP(Table3[[#This Row],[Cuenta]],Table8[Nombre Cuenta ()],Table8[Nivel 1],"",0)</f>
        <v/>
      </c>
      <c r="S1073" t="str">
        <f>_xlfn.XLOOKUP(Table3[[#This Row],[Cuenta]],Table8[Nombre Cuenta ()],Table8[Nivel 2],"",0)</f>
        <v/>
      </c>
      <c r="T1073" t="str">
        <f>_xlfn.XLOOKUP(Table3[[#This Row],[Cuenta]],Table8[Nombre Cuenta ()],Table8[Nivel 3],"",0)</f>
        <v/>
      </c>
      <c r="U1073">
        <v>1804</v>
      </c>
      <c r="V1073" t="str">
        <f>_xlfn.XLOOKUP(Table3[[#This Row],[Cuenta]],Estructura_Balance[Nombre Cuenta ()],Estructura_Balance[Niveles:2],"",0)</f>
        <v/>
      </c>
      <c r="W1073" t="str">
        <f>_xlfn.XLOOKUP(Table3[[#This Row],[Cuenta]],Estructura_Balance[Nombre Cuenta ()],Estructura_Balance[Niveles:3],"",0)</f>
        <v/>
      </c>
      <c r="X1073" t="str">
        <f>_xlfn.XLOOKUP(Table3[[#This Row],[Cuenta]],Estructura_Balance[Nombre Cuenta ()],Estructura_Balance[Grupos],"Grupo 1",0)</f>
        <v>Grupo 1</v>
      </c>
      <c r="Y1073" t="str">
        <f>+Table3[[#This Row],[BS_Nivel_1]]</f>
        <v/>
      </c>
    </row>
    <row r="1074" spans="1:25" ht="15" customHeight="1">
      <c r="A1074">
        <f>+'Libro Diario'!F412</f>
        <v>0</v>
      </c>
      <c r="B1074" s="144">
        <f>VALUE(IF(+'Libro Diario'!G412="","01/01/2025",+'Libro Diario'!G412))</f>
        <v>45658</v>
      </c>
      <c r="C1074">
        <f>IF(ISNUMBER(+IF(IFERROR(VALUE(MID('Libro Diario'!D412,1,4)),0)&lt;&gt;0,'Libro Diario'!D412,0))=FALSE,'Libro Diario'!D412,0)</f>
        <v>0</v>
      </c>
      <c r="D1074" s="145">
        <f>+'Libro Diario'!E412</f>
        <v>0</v>
      </c>
      <c r="E1074" s="139" t="s">
        <v>446</v>
      </c>
      <c r="F1074" t="str">
        <f t="shared" si="48"/>
        <v>Sin Mov.</v>
      </c>
      <c r="G1074" t="str">
        <f>IF(+'Libro Diario'!H412=0,"",+'Libro Diario'!H412)</f>
        <v/>
      </c>
      <c r="H1074" t="str">
        <f>IF(+'Libro Diario'!I412=0,"",+'Libro Diario'!I412)</f>
        <v/>
      </c>
      <c r="I1074" t="str">
        <f>+IF(Table3[[#This Row],[Tipo Movimiento]]="Estructura Balance y PyG","Excluir","Incluir")</f>
        <v>Incluir</v>
      </c>
      <c r="J1074" s="153">
        <f>+IF(Table3[[#This Row],[Sin cuenta]]="Con Mov.",(IF(Table3[[#This Row],[Movimiento]]="Debe",Table3[[#This Row],[Importe]],IF(Table3[[#This Row],[Movimiento]]="Haber",Table3[[#This Row],[Importe]]*-1,0))),0)</f>
        <v>0</v>
      </c>
      <c r="K1074" s="145" t="str">
        <f t="shared" si="49"/>
        <v/>
      </c>
      <c r="L1074" s="145">
        <f t="shared" si="50"/>
        <v>0</v>
      </c>
      <c r="M1074" t="str">
        <f>_xlfn.XLOOKUP(Table3[[#This Row],[Cuenta]],Estructura_Balance[Nombre Cuenta ()],Estructura_Balance[Grupo],"",0)</f>
        <v/>
      </c>
      <c r="N1074" t="str">
        <f>_xlfn.XLOOKUP(Table3[[#This Row],[Cuenta]],Estructura_Balance[Nombre Cuenta ()],Estructura_Balance[Nivel 1],"",0)</f>
        <v/>
      </c>
      <c r="O1074" t="str">
        <f>_xlfn.XLOOKUP(Table3[[#This Row],[Cuenta]],Estructura_Balance[Nombre Cuenta ()],Estructura_Balance[Nivel 2],"",0)</f>
        <v/>
      </c>
      <c r="P1074" t="str">
        <f>_xlfn.XLOOKUP(Table3[[#This Row],[Cuenta]],Estructura_Balance[Nombre Cuenta ()],Estructura_Balance[Nivel 3],"",0)</f>
        <v/>
      </c>
      <c r="Q1074" t="str">
        <f>_xlfn.XLOOKUP(Table3[[#This Row],[Cuenta]],Estructura_Balance[Nombre Cuenta ()],Estructura_Balance[Nivel 4],"",0)</f>
        <v/>
      </c>
      <c r="R1074" t="str">
        <f>_xlfn.XLOOKUP(Table3[[#This Row],[Cuenta]],Table8[Nombre Cuenta ()],Table8[Nivel 1],"",0)</f>
        <v/>
      </c>
      <c r="S1074" t="str">
        <f>_xlfn.XLOOKUP(Table3[[#This Row],[Cuenta]],Table8[Nombre Cuenta ()],Table8[Nivel 2],"",0)</f>
        <v/>
      </c>
      <c r="T1074" t="str">
        <f>_xlfn.XLOOKUP(Table3[[#This Row],[Cuenta]],Table8[Nombre Cuenta ()],Table8[Nivel 3],"",0)</f>
        <v/>
      </c>
      <c r="U1074">
        <v>1805</v>
      </c>
      <c r="V1074" t="str">
        <f>_xlfn.XLOOKUP(Table3[[#This Row],[Cuenta]],Estructura_Balance[Nombre Cuenta ()],Estructura_Balance[Niveles:2],"",0)</f>
        <v/>
      </c>
      <c r="W1074" t="str">
        <f>_xlfn.XLOOKUP(Table3[[#This Row],[Cuenta]],Estructura_Balance[Nombre Cuenta ()],Estructura_Balance[Niveles:3],"",0)</f>
        <v/>
      </c>
      <c r="X1074" t="str">
        <f>_xlfn.XLOOKUP(Table3[[#This Row],[Cuenta]],Estructura_Balance[Nombre Cuenta ()],Estructura_Balance[Grupos],"Grupo 1",0)</f>
        <v>Grupo 1</v>
      </c>
      <c r="Y1074" t="str">
        <f>+Table3[[#This Row],[BS_Nivel_1]]</f>
        <v/>
      </c>
    </row>
    <row r="1075" spans="1:25" ht="15" customHeight="1">
      <c r="A1075">
        <f>+'Libro Diario'!F413</f>
        <v>0</v>
      </c>
      <c r="B1075" s="144">
        <f>VALUE(IF(+'Libro Diario'!G413="","01/01/2025",+'Libro Diario'!G413))</f>
        <v>45658</v>
      </c>
      <c r="C1075">
        <f>IF(ISNUMBER(+IF(IFERROR(VALUE(MID('Libro Diario'!D413,1,4)),0)&lt;&gt;0,'Libro Diario'!D413,0))=FALSE,'Libro Diario'!D413,0)</f>
        <v>0</v>
      </c>
      <c r="D1075" s="145" t="str">
        <f>+'Libro Diario'!E413</f>
        <v>HABER</v>
      </c>
      <c r="E1075" s="139" t="s">
        <v>446</v>
      </c>
      <c r="F1075" t="str">
        <f t="shared" si="48"/>
        <v>Sin Mov.</v>
      </c>
      <c r="G1075" t="str">
        <f>IF(+'Libro Diario'!H413=0,"",+'Libro Diario'!H413)</f>
        <v/>
      </c>
      <c r="H1075" t="str">
        <f>IF(+'Libro Diario'!I413=0,"",+'Libro Diario'!I413)</f>
        <v/>
      </c>
      <c r="I1075" t="str">
        <f>+IF(Table3[[#This Row],[Tipo Movimiento]]="Estructura Balance y PyG","Excluir","Incluir")</f>
        <v>Incluir</v>
      </c>
      <c r="J1075" s="153">
        <f>+IF(Table3[[#This Row],[Sin cuenta]]="Con Mov.",(IF(Table3[[#This Row],[Movimiento]]="Debe",Table3[[#This Row],[Importe]],IF(Table3[[#This Row],[Movimiento]]="Haber",Table3[[#This Row],[Importe]]*-1,0))),0)</f>
        <v>0</v>
      </c>
      <c r="K1075" s="145" t="str">
        <f t="shared" si="49"/>
        <v/>
      </c>
      <c r="L1075" s="145" t="str">
        <f t="shared" si="50"/>
        <v>HABER</v>
      </c>
      <c r="M1075" t="str">
        <f>_xlfn.XLOOKUP(Table3[[#This Row],[Cuenta]],Estructura_Balance[Nombre Cuenta ()],Estructura_Balance[Grupo],"",0)</f>
        <v/>
      </c>
      <c r="N1075" t="str">
        <f>_xlfn.XLOOKUP(Table3[[#This Row],[Cuenta]],Estructura_Balance[Nombre Cuenta ()],Estructura_Balance[Nivel 1],"",0)</f>
        <v/>
      </c>
      <c r="O1075" t="str">
        <f>_xlfn.XLOOKUP(Table3[[#This Row],[Cuenta]],Estructura_Balance[Nombre Cuenta ()],Estructura_Balance[Nivel 2],"",0)</f>
        <v/>
      </c>
      <c r="P1075" t="str">
        <f>_xlfn.XLOOKUP(Table3[[#This Row],[Cuenta]],Estructura_Balance[Nombre Cuenta ()],Estructura_Balance[Nivel 3],"",0)</f>
        <v/>
      </c>
      <c r="Q1075" t="str">
        <f>_xlfn.XLOOKUP(Table3[[#This Row],[Cuenta]],Estructura_Balance[Nombre Cuenta ()],Estructura_Balance[Nivel 4],"",0)</f>
        <v/>
      </c>
      <c r="R1075" t="str">
        <f>_xlfn.XLOOKUP(Table3[[#This Row],[Cuenta]],Table8[Nombre Cuenta ()],Table8[Nivel 1],"",0)</f>
        <v/>
      </c>
      <c r="S1075" t="str">
        <f>_xlfn.XLOOKUP(Table3[[#This Row],[Cuenta]],Table8[Nombre Cuenta ()],Table8[Nivel 2],"",0)</f>
        <v/>
      </c>
      <c r="T1075" t="str">
        <f>_xlfn.XLOOKUP(Table3[[#This Row],[Cuenta]],Table8[Nombre Cuenta ()],Table8[Nivel 3],"",0)</f>
        <v/>
      </c>
      <c r="U1075">
        <v>1806</v>
      </c>
      <c r="V1075" t="str">
        <f>_xlfn.XLOOKUP(Table3[[#This Row],[Cuenta]],Estructura_Balance[Nombre Cuenta ()],Estructura_Balance[Niveles:2],"",0)</f>
        <v/>
      </c>
      <c r="W1075" t="str">
        <f>_xlfn.XLOOKUP(Table3[[#This Row],[Cuenta]],Estructura_Balance[Nombre Cuenta ()],Estructura_Balance[Niveles:3],"",0)</f>
        <v/>
      </c>
      <c r="X1075" t="str">
        <f>_xlfn.XLOOKUP(Table3[[#This Row],[Cuenta]],Estructura_Balance[Nombre Cuenta ()],Estructura_Balance[Grupos],"Grupo 1",0)</f>
        <v>Grupo 1</v>
      </c>
      <c r="Y1075" t="str">
        <f>+Table3[[#This Row],[BS_Nivel_1]]</f>
        <v/>
      </c>
    </row>
    <row r="1076" spans="1:25" ht="15" customHeight="1">
      <c r="A1076">
        <f>+'Libro Diario'!F414</f>
        <v>0</v>
      </c>
      <c r="B1076" s="144">
        <f>VALUE(IF(+'Libro Diario'!G414="","01/01/2025",+'Libro Diario'!G414))</f>
        <v>45658</v>
      </c>
      <c r="C1076">
        <f>IF(ISNUMBER(+IF(IFERROR(VALUE(MID('Libro Diario'!D414,1,4)),0)&lt;&gt;0,'Libro Diario'!D414,0))=FALSE,'Libro Diario'!D414,0)</f>
        <v>0</v>
      </c>
      <c r="D1076" s="145">
        <f>+'Libro Diario'!E414</f>
        <v>0</v>
      </c>
      <c r="E1076" s="139" t="s">
        <v>446</v>
      </c>
      <c r="F1076" t="str">
        <f t="shared" si="48"/>
        <v>Sin Mov.</v>
      </c>
      <c r="G1076" t="str">
        <f>IF(+'Libro Diario'!H414=0,"",+'Libro Diario'!H414)</f>
        <v/>
      </c>
      <c r="H1076" t="str">
        <f>IF(+'Libro Diario'!I414=0,"",+'Libro Diario'!I414)</f>
        <v/>
      </c>
      <c r="I1076" t="str">
        <f>+IF(Table3[[#This Row],[Tipo Movimiento]]="Estructura Balance y PyG","Excluir","Incluir")</f>
        <v>Incluir</v>
      </c>
      <c r="J1076" s="153">
        <f>+IF(Table3[[#This Row],[Sin cuenta]]="Con Mov.",(IF(Table3[[#This Row],[Movimiento]]="Debe",Table3[[#This Row],[Importe]],IF(Table3[[#This Row],[Movimiento]]="Haber",Table3[[#This Row],[Importe]]*-1,0))),0)</f>
        <v>0</v>
      </c>
      <c r="K1076" s="145" t="str">
        <f t="shared" si="49"/>
        <v/>
      </c>
      <c r="L1076" s="145">
        <f t="shared" si="50"/>
        <v>0</v>
      </c>
      <c r="M1076" t="str">
        <f>_xlfn.XLOOKUP(Table3[[#This Row],[Cuenta]],Estructura_Balance[Nombre Cuenta ()],Estructura_Balance[Grupo],"",0)</f>
        <v/>
      </c>
      <c r="N1076" t="str">
        <f>_xlfn.XLOOKUP(Table3[[#This Row],[Cuenta]],Estructura_Balance[Nombre Cuenta ()],Estructura_Balance[Nivel 1],"",0)</f>
        <v/>
      </c>
      <c r="O1076" t="str">
        <f>_xlfn.XLOOKUP(Table3[[#This Row],[Cuenta]],Estructura_Balance[Nombre Cuenta ()],Estructura_Balance[Nivel 2],"",0)</f>
        <v/>
      </c>
      <c r="P1076" t="str">
        <f>_xlfn.XLOOKUP(Table3[[#This Row],[Cuenta]],Estructura_Balance[Nombre Cuenta ()],Estructura_Balance[Nivel 3],"",0)</f>
        <v/>
      </c>
      <c r="Q1076" t="str">
        <f>_xlfn.XLOOKUP(Table3[[#This Row],[Cuenta]],Estructura_Balance[Nombre Cuenta ()],Estructura_Balance[Nivel 4],"",0)</f>
        <v/>
      </c>
      <c r="R1076" t="str">
        <f>_xlfn.XLOOKUP(Table3[[#This Row],[Cuenta]],Table8[Nombre Cuenta ()],Table8[Nivel 1],"",0)</f>
        <v/>
      </c>
      <c r="S1076" t="str">
        <f>_xlfn.XLOOKUP(Table3[[#This Row],[Cuenta]],Table8[Nombre Cuenta ()],Table8[Nivel 2],"",0)</f>
        <v/>
      </c>
      <c r="T1076" t="str">
        <f>_xlfn.XLOOKUP(Table3[[#This Row],[Cuenta]],Table8[Nombre Cuenta ()],Table8[Nivel 3],"",0)</f>
        <v/>
      </c>
      <c r="U1076">
        <v>1807</v>
      </c>
      <c r="V1076" t="str">
        <f>_xlfn.XLOOKUP(Table3[[#This Row],[Cuenta]],Estructura_Balance[Nombre Cuenta ()],Estructura_Balance[Niveles:2],"",0)</f>
        <v/>
      </c>
      <c r="W1076" t="str">
        <f>_xlfn.XLOOKUP(Table3[[#This Row],[Cuenta]],Estructura_Balance[Nombre Cuenta ()],Estructura_Balance[Niveles:3],"",0)</f>
        <v/>
      </c>
      <c r="X1076" t="str">
        <f>_xlfn.XLOOKUP(Table3[[#This Row],[Cuenta]],Estructura_Balance[Nombre Cuenta ()],Estructura_Balance[Grupos],"Grupo 1",0)</f>
        <v>Grupo 1</v>
      </c>
      <c r="Y1076" t="str">
        <f>+Table3[[#This Row],[BS_Nivel_1]]</f>
        <v/>
      </c>
    </row>
    <row r="1077" spans="1:25" ht="15" customHeight="1">
      <c r="A1077">
        <f>+'Libro Diario'!F417</f>
        <v>0</v>
      </c>
      <c r="B1077" s="144">
        <f>VALUE(IF(+'Libro Diario'!G417="","01/01/2025",+'Libro Diario'!G417))</f>
        <v>45658</v>
      </c>
      <c r="C1077">
        <f>IF(ISNUMBER(+IF(IFERROR(VALUE(MID('Libro Diario'!D417,1,4)),0)&lt;&gt;0,'Libro Diario'!D417,0))=FALSE,'Libro Diario'!D417,0)</f>
        <v>0</v>
      </c>
      <c r="D1077" s="145">
        <f>+'Libro Diario'!E417</f>
        <v>0</v>
      </c>
      <c r="E1077" s="139" t="s">
        <v>446</v>
      </c>
      <c r="F1077" t="str">
        <f t="shared" si="48"/>
        <v>Sin Mov.</v>
      </c>
      <c r="G1077" t="str">
        <f>IF(+'Libro Diario'!H417=0,"",+'Libro Diario'!H417)</f>
        <v/>
      </c>
      <c r="H1077" t="str">
        <f>IF(+'Libro Diario'!I417=0,"",+'Libro Diario'!I417)</f>
        <v/>
      </c>
      <c r="I1077" t="str">
        <f>+IF(Table3[[#This Row],[Tipo Movimiento]]="Estructura Balance y PyG","Excluir","Incluir")</f>
        <v>Incluir</v>
      </c>
      <c r="J1077" s="153">
        <f>+IF(Table3[[#This Row],[Sin cuenta]]="Con Mov.",(IF(Table3[[#This Row],[Movimiento]]="Debe",Table3[[#This Row],[Importe]],IF(Table3[[#This Row],[Movimiento]]="Haber",Table3[[#This Row],[Importe]]*-1,0))),0)</f>
        <v>0</v>
      </c>
      <c r="K1077" s="145" t="str">
        <f t="shared" si="49"/>
        <v/>
      </c>
      <c r="L1077" s="145">
        <f t="shared" si="50"/>
        <v>0</v>
      </c>
      <c r="M1077" t="str">
        <f>_xlfn.XLOOKUP(Table3[[#This Row],[Cuenta]],Estructura_Balance[Nombre Cuenta ()],Estructura_Balance[Grupo],"",0)</f>
        <v/>
      </c>
      <c r="N1077" t="str">
        <f>_xlfn.XLOOKUP(Table3[[#This Row],[Cuenta]],Estructura_Balance[Nombre Cuenta ()],Estructura_Balance[Nivel 1],"",0)</f>
        <v/>
      </c>
      <c r="O1077" t="str">
        <f>_xlfn.XLOOKUP(Table3[[#This Row],[Cuenta]],Estructura_Balance[Nombre Cuenta ()],Estructura_Balance[Nivel 2],"",0)</f>
        <v/>
      </c>
      <c r="P1077" t="str">
        <f>_xlfn.XLOOKUP(Table3[[#This Row],[Cuenta]],Estructura_Balance[Nombre Cuenta ()],Estructura_Balance[Nivel 3],"",0)</f>
        <v/>
      </c>
      <c r="Q1077" t="str">
        <f>_xlfn.XLOOKUP(Table3[[#This Row],[Cuenta]],Estructura_Balance[Nombre Cuenta ()],Estructura_Balance[Nivel 4],"",0)</f>
        <v/>
      </c>
      <c r="R1077" t="str">
        <f>_xlfn.XLOOKUP(Table3[[#This Row],[Cuenta]],Table8[Nombre Cuenta ()],Table8[Nivel 1],"",0)</f>
        <v/>
      </c>
      <c r="S1077" t="str">
        <f>_xlfn.XLOOKUP(Table3[[#This Row],[Cuenta]],Table8[Nombre Cuenta ()],Table8[Nivel 2],"",0)</f>
        <v/>
      </c>
      <c r="T1077" t="str">
        <f>_xlfn.XLOOKUP(Table3[[#This Row],[Cuenta]],Table8[Nombre Cuenta ()],Table8[Nivel 3],"",0)</f>
        <v/>
      </c>
      <c r="U1077">
        <v>1810</v>
      </c>
      <c r="V1077" t="str">
        <f>_xlfn.XLOOKUP(Table3[[#This Row],[Cuenta]],Estructura_Balance[Nombre Cuenta ()],Estructura_Balance[Niveles:2],"",0)</f>
        <v/>
      </c>
      <c r="W1077" t="str">
        <f>_xlfn.XLOOKUP(Table3[[#This Row],[Cuenta]],Estructura_Balance[Nombre Cuenta ()],Estructura_Balance[Niveles:3],"",0)</f>
        <v/>
      </c>
      <c r="X1077" t="str">
        <f>_xlfn.XLOOKUP(Table3[[#This Row],[Cuenta]],Estructura_Balance[Nombre Cuenta ()],Estructura_Balance[Grupos],"Grupo 1",0)</f>
        <v>Grupo 1</v>
      </c>
      <c r="Y1077" t="str">
        <f>+Table3[[#This Row],[BS_Nivel_1]]</f>
        <v/>
      </c>
    </row>
    <row r="1078" spans="1:25" ht="15" customHeight="1">
      <c r="A1078">
        <f>+'Libro Diario'!F418</f>
        <v>0</v>
      </c>
      <c r="B1078" s="144">
        <f>VALUE(IF(+'Libro Diario'!G418="","01/01/2025",+'Libro Diario'!G418))</f>
        <v>45658</v>
      </c>
      <c r="C1078">
        <f>IF(ISNUMBER(+IF(IFERROR(VALUE(MID('Libro Diario'!D418,1,4)),0)&lt;&gt;0,'Libro Diario'!D418,0))=FALSE,'Libro Diario'!D418,0)</f>
        <v>0</v>
      </c>
      <c r="D1078" s="145">
        <f>+'Libro Diario'!E418</f>
        <v>0</v>
      </c>
      <c r="E1078" s="139" t="s">
        <v>446</v>
      </c>
      <c r="F1078" t="str">
        <f t="shared" si="48"/>
        <v>Sin Mov.</v>
      </c>
      <c r="G1078" t="str">
        <f>IF(+'Libro Diario'!H418=0,"",+'Libro Diario'!H418)</f>
        <v/>
      </c>
      <c r="H1078" t="str">
        <f>IF(+'Libro Diario'!I418=0,"",+'Libro Diario'!I418)</f>
        <v/>
      </c>
      <c r="I1078" t="str">
        <f>+IF(Table3[[#This Row],[Tipo Movimiento]]="Estructura Balance y PyG","Excluir","Incluir")</f>
        <v>Incluir</v>
      </c>
      <c r="J1078" s="153">
        <f>+IF(Table3[[#This Row],[Sin cuenta]]="Con Mov.",(IF(Table3[[#This Row],[Movimiento]]="Debe",Table3[[#This Row],[Importe]],IF(Table3[[#This Row],[Movimiento]]="Haber",Table3[[#This Row],[Importe]]*-1,0))),0)</f>
        <v>0</v>
      </c>
      <c r="K1078" s="145" t="str">
        <f t="shared" si="49"/>
        <v/>
      </c>
      <c r="L1078" s="145">
        <f t="shared" si="50"/>
        <v>0</v>
      </c>
      <c r="M1078" t="str">
        <f>_xlfn.XLOOKUP(Table3[[#This Row],[Cuenta]],Estructura_Balance[Nombre Cuenta ()],Estructura_Balance[Grupo],"",0)</f>
        <v/>
      </c>
      <c r="N1078" t="str">
        <f>_xlfn.XLOOKUP(Table3[[#This Row],[Cuenta]],Estructura_Balance[Nombre Cuenta ()],Estructura_Balance[Nivel 1],"",0)</f>
        <v/>
      </c>
      <c r="O1078" t="str">
        <f>_xlfn.XLOOKUP(Table3[[#This Row],[Cuenta]],Estructura_Balance[Nombre Cuenta ()],Estructura_Balance[Nivel 2],"",0)</f>
        <v/>
      </c>
      <c r="P1078" t="str">
        <f>_xlfn.XLOOKUP(Table3[[#This Row],[Cuenta]],Estructura_Balance[Nombre Cuenta ()],Estructura_Balance[Nivel 3],"",0)</f>
        <v/>
      </c>
      <c r="Q1078" t="str">
        <f>_xlfn.XLOOKUP(Table3[[#This Row],[Cuenta]],Estructura_Balance[Nombre Cuenta ()],Estructura_Balance[Nivel 4],"",0)</f>
        <v/>
      </c>
      <c r="R1078" t="str">
        <f>_xlfn.XLOOKUP(Table3[[#This Row],[Cuenta]],Table8[Nombre Cuenta ()],Table8[Nivel 1],"",0)</f>
        <v/>
      </c>
      <c r="S1078" t="str">
        <f>_xlfn.XLOOKUP(Table3[[#This Row],[Cuenta]],Table8[Nombre Cuenta ()],Table8[Nivel 2],"",0)</f>
        <v/>
      </c>
      <c r="T1078" t="str">
        <f>_xlfn.XLOOKUP(Table3[[#This Row],[Cuenta]],Table8[Nombre Cuenta ()],Table8[Nivel 3],"",0)</f>
        <v/>
      </c>
      <c r="U1078">
        <v>1811</v>
      </c>
      <c r="V1078" t="str">
        <f>_xlfn.XLOOKUP(Table3[[#This Row],[Cuenta]],Estructura_Balance[Nombre Cuenta ()],Estructura_Balance[Niveles:2],"",0)</f>
        <v/>
      </c>
      <c r="W1078" t="str">
        <f>_xlfn.XLOOKUP(Table3[[#This Row],[Cuenta]],Estructura_Balance[Nombre Cuenta ()],Estructura_Balance[Niveles:3],"",0)</f>
        <v/>
      </c>
      <c r="X1078" t="str">
        <f>_xlfn.XLOOKUP(Table3[[#This Row],[Cuenta]],Estructura_Balance[Nombre Cuenta ()],Estructura_Balance[Grupos],"Grupo 1",0)</f>
        <v>Grupo 1</v>
      </c>
      <c r="Y1078" t="str">
        <f>+Table3[[#This Row],[BS_Nivel_1]]</f>
        <v/>
      </c>
    </row>
    <row r="1079" spans="1:25" ht="15" customHeight="1">
      <c r="A1079">
        <f>+'Libro Diario'!F419</f>
        <v>0</v>
      </c>
      <c r="B1079" s="144">
        <f>VALUE(IF(+'Libro Diario'!G419="","01/01/2025",+'Libro Diario'!G419))</f>
        <v>45658</v>
      </c>
      <c r="C1079">
        <f>IF(ISNUMBER(+IF(IFERROR(VALUE(MID('Libro Diario'!D419,1,4)),0)&lt;&gt;0,'Libro Diario'!D419,0))=FALSE,'Libro Diario'!D419,0)</f>
        <v>0</v>
      </c>
      <c r="D1079" s="145">
        <f>+'Libro Diario'!E419</f>
        <v>0</v>
      </c>
      <c r="E1079" s="139" t="s">
        <v>446</v>
      </c>
      <c r="F1079" t="str">
        <f t="shared" si="48"/>
        <v>Sin Mov.</v>
      </c>
      <c r="G1079" t="str">
        <f>IF(+'Libro Diario'!H419=0,"",+'Libro Diario'!H419)</f>
        <v/>
      </c>
      <c r="H1079" t="str">
        <f>IF(+'Libro Diario'!I419=0,"",+'Libro Diario'!I419)</f>
        <v/>
      </c>
      <c r="I1079" t="str">
        <f>+IF(Table3[[#This Row],[Tipo Movimiento]]="Estructura Balance y PyG","Excluir","Incluir")</f>
        <v>Incluir</v>
      </c>
      <c r="J1079" s="153">
        <f>+IF(Table3[[#This Row],[Sin cuenta]]="Con Mov.",(IF(Table3[[#This Row],[Movimiento]]="Debe",Table3[[#This Row],[Importe]],IF(Table3[[#This Row],[Movimiento]]="Haber",Table3[[#This Row],[Importe]]*-1,0))),0)</f>
        <v>0</v>
      </c>
      <c r="K1079" s="145" t="str">
        <f t="shared" si="49"/>
        <v/>
      </c>
      <c r="L1079" s="145">
        <f t="shared" si="50"/>
        <v>0</v>
      </c>
      <c r="M1079" t="str">
        <f>_xlfn.XLOOKUP(Table3[[#This Row],[Cuenta]],Estructura_Balance[Nombre Cuenta ()],Estructura_Balance[Grupo],"",0)</f>
        <v/>
      </c>
      <c r="N1079" t="str">
        <f>_xlfn.XLOOKUP(Table3[[#This Row],[Cuenta]],Estructura_Balance[Nombre Cuenta ()],Estructura_Balance[Nivel 1],"",0)</f>
        <v/>
      </c>
      <c r="O1079" t="str">
        <f>_xlfn.XLOOKUP(Table3[[#This Row],[Cuenta]],Estructura_Balance[Nombre Cuenta ()],Estructura_Balance[Nivel 2],"",0)</f>
        <v/>
      </c>
      <c r="P1079" t="str">
        <f>_xlfn.XLOOKUP(Table3[[#This Row],[Cuenta]],Estructura_Balance[Nombre Cuenta ()],Estructura_Balance[Nivel 3],"",0)</f>
        <v/>
      </c>
      <c r="Q1079" t="str">
        <f>_xlfn.XLOOKUP(Table3[[#This Row],[Cuenta]],Estructura_Balance[Nombre Cuenta ()],Estructura_Balance[Nivel 4],"",0)</f>
        <v/>
      </c>
      <c r="R1079" t="str">
        <f>_xlfn.XLOOKUP(Table3[[#This Row],[Cuenta]],Table8[Nombre Cuenta ()],Table8[Nivel 1],"",0)</f>
        <v/>
      </c>
      <c r="S1079" t="str">
        <f>_xlfn.XLOOKUP(Table3[[#This Row],[Cuenta]],Table8[Nombre Cuenta ()],Table8[Nivel 2],"",0)</f>
        <v/>
      </c>
      <c r="T1079" t="str">
        <f>_xlfn.XLOOKUP(Table3[[#This Row],[Cuenta]],Table8[Nombre Cuenta ()],Table8[Nivel 3],"",0)</f>
        <v/>
      </c>
      <c r="U1079">
        <v>1812</v>
      </c>
      <c r="V1079" t="str">
        <f>_xlfn.XLOOKUP(Table3[[#This Row],[Cuenta]],Estructura_Balance[Nombre Cuenta ()],Estructura_Balance[Niveles:2],"",0)</f>
        <v/>
      </c>
      <c r="W1079" t="str">
        <f>_xlfn.XLOOKUP(Table3[[#This Row],[Cuenta]],Estructura_Balance[Nombre Cuenta ()],Estructura_Balance[Niveles:3],"",0)</f>
        <v/>
      </c>
      <c r="X1079" t="str">
        <f>_xlfn.XLOOKUP(Table3[[#This Row],[Cuenta]],Estructura_Balance[Nombre Cuenta ()],Estructura_Balance[Grupos],"Grupo 1",0)</f>
        <v>Grupo 1</v>
      </c>
      <c r="Y1079" t="str">
        <f>+Table3[[#This Row],[BS_Nivel_1]]</f>
        <v/>
      </c>
    </row>
    <row r="1080" spans="1:25" ht="15" customHeight="1">
      <c r="A1080">
        <f>+'Libro Diario'!F420</f>
        <v>0</v>
      </c>
      <c r="B1080" s="144">
        <f>VALUE(IF(+'Libro Diario'!G420="","01/01/2025",+'Libro Diario'!G420))</f>
        <v>45658</v>
      </c>
      <c r="C1080">
        <f>IF(ISNUMBER(+IF(IFERROR(VALUE(MID('Libro Diario'!D420,1,4)),0)&lt;&gt;0,'Libro Diario'!D420,0))=FALSE,'Libro Diario'!D420,0)</f>
        <v>0</v>
      </c>
      <c r="D1080" s="145" t="str">
        <f>+'Libro Diario'!E420</f>
        <v>HABER</v>
      </c>
      <c r="E1080" s="139" t="s">
        <v>446</v>
      </c>
      <c r="F1080" t="str">
        <f t="shared" si="48"/>
        <v>Sin Mov.</v>
      </c>
      <c r="G1080" t="str">
        <f>IF(+'Libro Diario'!H420=0,"",+'Libro Diario'!H420)</f>
        <v/>
      </c>
      <c r="H1080" t="str">
        <f>IF(+'Libro Diario'!I420=0,"",+'Libro Diario'!I420)</f>
        <v/>
      </c>
      <c r="I1080" t="str">
        <f>+IF(Table3[[#This Row],[Tipo Movimiento]]="Estructura Balance y PyG","Excluir","Incluir")</f>
        <v>Incluir</v>
      </c>
      <c r="J1080" s="153">
        <f>+IF(Table3[[#This Row],[Sin cuenta]]="Con Mov.",(IF(Table3[[#This Row],[Movimiento]]="Debe",Table3[[#This Row],[Importe]],IF(Table3[[#This Row],[Movimiento]]="Haber",Table3[[#This Row],[Importe]]*-1,0))),0)</f>
        <v>0</v>
      </c>
      <c r="K1080" s="145" t="str">
        <f t="shared" si="49"/>
        <v/>
      </c>
      <c r="L1080" s="145" t="str">
        <f t="shared" si="50"/>
        <v>HABER</v>
      </c>
      <c r="M1080" t="str">
        <f>_xlfn.XLOOKUP(Table3[[#This Row],[Cuenta]],Estructura_Balance[Nombre Cuenta ()],Estructura_Balance[Grupo],"",0)</f>
        <v/>
      </c>
      <c r="N1080" t="str">
        <f>_xlfn.XLOOKUP(Table3[[#This Row],[Cuenta]],Estructura_Balance[Nombre Cuenta ()],Estructura_Balance[Nivel 1],"",0)</f>
        <v/>
      </c>
      <c r="O1080" t="str">
        <f>_xlfn.XLOOKUP(Table3[[#This Row],[Cuenta]],Estructura_Balance[Nombre Cuenta ()],Estructura_Balance[Nivel 2],"",0)</f>
        <v/>
      </c>
      <c r="P1080" t="str">
        <f>_xlfn.XLOOKUP(Table3[[#This Row],[Cuenta]],Estructura_Balance[Nombre Cuenta ()],Estructura_Balance[Nivel 3],"",0)</f>
        <v/>
      </c>
      <c r="Q1080" t="str">
        <f>_xlfn.XLOOKUP(Table3[[#This Row],[Cuenta]],Estructura_Balance[Nombre Cuenta ()],Estructura_Balance[Nivel 4],"",0)</f>
        <v/>
      </c>
      <c r="R1080" t="str">
        <f>_xlfn.XLOOKUP(Table3[[#This Row],[Cuenta]],Table8[Nombre Cuenta ()],Table8[Nivel 1],"",0)</f>
        <v/>
      </c>
      <c r="S1080" t="str">
        <f>_xlfn.XLOOKUP(Table3[[#This Row],[Cuenta]],Table8[Nombre Cuenta ()],Table8[Nivel 2],"",0)</f>
        <v/>
      </c>
      <c r="T1080" t="str">
        <f>_xlfn.XLOOKUP(Table3[[#This Row],[Cuenta]],Table8[Nombre Cuenta ()],Table8[Nivel 3],"",0)</f>
        <v/>
      </c>
      <c r="U1080">
        <v>1813</v>
      </c>
      <c r="V1080" t="str">
        <f>_xlfn.XLOOKUP(Table3[[#This Row],[Cuenta]],Estructura_Balance[Nombre Cuenta ()],Estructura_Balance[Niveles:2],"",0)</f>
        <v/>
      </c>
      <c r="W1080" t="str">
        <f>_xlfn.XLOOKUP(Table3[[#This Row],[Cuenta]],Estructura_Balance[Nombre Cuenta ()],Estructura_Balance[Niveles:3],"",0)</f>
        <v/>
      </c>
      <c r="X1080" t="str">
        <f>_xlfn.XLOOKUP(Table3[[#This Row],[Cuenta]],Estructura_Balance[Nombre Cuenta ()],Estructura_Balance[Grupos],"Grupo 1",0)</f>
        <v>Grupo 1</v>
      </c>
      <c r="Y1080" t="str">
        <f>+Table3[[#This Row],[BS_Nivel_1]]</f>
        <v/>
      </c>
    </row>
    <row r="1081" spans="1:25" ht="15" customHeight="1">
      <c r="A1081">
        <f>+'Libro Diario'!F421</f>
        <v>0</v>
      </c>
      <c r="B1081" s="144">
        <f>VALUE(IF(+'Libro Diario'!G421="","01/01/2025",+'Libro Diario'!G421))</f>
        <v>45658</v>
      </c>
      <c r="C1081">
        <f>IF(ISNUMBER(+IF(IFERROR(VALUE(MID('Libro Diario'!D421,1,4)),0)&lt;&gt;0,'Libro Diario'!D421,0))=FALSE,'Libro Diario'!D421,0)</f>
        <v>0</v>
      </c>
      <c r="D1081" s="145">
        <f>+'Libro Diario'!E421</f>
        <v>0</v>
      </c>
      <c r="E1081" s="139" t="s">
        <v>446</v>
      </c>
      <c r="F1081" t="str">
        <f t="shared" si="48"/>
        <v>Sin Mov.</v>
      </c>
      <c r="G1081" t="str">
        <f>IF(+'Libro Diario'!H421=0,"",+'Libro Diario'!H421)</f>
        <v/>
      </c>
      <c r="H1081" t="str">
        <f>IF(+'Libro Diario'!I421=0,"",+'Libro Diario'!I421)</f>
        <v/>
      </c>
      <c r="I1081" t="str">
        <f>+IF(Table3[[#This Row],[Tipo Movimiento]]="Estructura Balance y PyG","Excluir","Incluir")</f>
        <v>Incluir</v>
      </c>
      <c r="J1081" s="153">
        <f>+IF(Table3[[#This Row],[Sin cuenta]]="Con Mov.",(IF(Table3[[#This Row],[Movimiento]]="Debe",Table3[[#This Row],[Importe]],IF(Table3[[#This Row],[Movimiento]]="Haber",Table3[[#This Row],[Importe]]*-1,0))),0)</f>
        <v>0</v>
      </c>
      <c r="K1081" s="145" t="str">
        <f t="shared" si="49"/>
        <v/>
      </c>
      <c r="L1081" s="145">
        <f t="shared" si="50"/>
        <v>0</v>
      </c>
      <c r="M1081" t="str">
        <f>_xlfn.XLOOKUP(Table3[[#This Row],[Cuenta]],Estructura_Balance[Nombre Cuenta ()],Estructura_Balance[Grupo],"",0)</f>
        <v/>
      </c>
      <c r="N1081" t="str">
        <f>_xlfn.XLOOKUP(Table3[[#This Row],[Cuenta]],Estructura_Balance[Nombre Cuenta ()],Estructura_Balance[Nivel 1],"",0)</f>
        <v/>
      </c>
      <c r="O1081" t="str">
        <f>_xlfn.XLOOKUP(Table3[[#This Row],[Cuenta]],Estructura_Balance[Nombre Cuenta ()],Estructura_Balance[Nivel 2],"",0)</f>
        <v/>
      </c>
      <c r="P1081" t="str">
        <f>_xlfn.XLOOKUP(Table3[[#This Row],[Cuenta]],Estructura_Balance[Nombre Cuenta ()],Estructura_Balance[Nivel 3],"",0)</f>
        <v/>
      </c>
      <c r="Q1081" t="str">
        <f>_xlfn.XLOOKUP(Table3[[#This Row],[Cuenta]],Estructura_Balance[Nombre Cuenta ()],Estructura_Balance[Nivel 4],"",0)</f>
        <v/>
      </c>
      <c r="R1081" t="str">
        <f>_xlfn.XLOOKUP(Table3[[#This Row],[Cuenta]],Table8[Nombre Cuenta ()],Table8[Nivel 1],"",0)</f>
        <v/>
      </c>
      <c r="S1081" t="str">
        <f>_xlfn.XLOOKUP(Table3[[#This Row],[Cuenta]],Table8[Nombre Cuenta ()],Table8[Nivel 2],"",0)</f>
        <v/>
      </c>
      <c r="T1081" t="str">
        <f>_xlfn.XLOOKUP(Table3[[#This Row],[Cuenta]],Table8[Nombre Cuenta ()],Table8[Nivel 3],"",0)</f>
        <v/>
      </c>
      <c r="U1081">
        <v>1814</v>
      </c>
      <c r="V1081" t="str">
        <f>_xlfn.XLOOKUP(Table3[[#This Row],[Cuenta]],Estructura_Balance[Nombre Cuenta ()],Estructura_Balance[Niveles:2],"",0)</f>
        <v/>
      </c>
      <c r="W1081" t="str">
        <f>_xlfn.XLOOKUP(Table3[[#This Row],[Cuenta]],Estructura_Balance[Nombre Cuenta ()],Estructura_Balance[Niveles:3],"",0)</f>
        <v/>
      </c>
      <c r="X1081" t="str">
        <f>_xlfn.XLOOKUP(Table3[[#This Row],[Cuenta]],Estructura_Balance[Nombre Cuenta ()],Estructura_Balance[Grupos],"Grupo 1",0)</f>
        <v>Grupo 1</v>
      </c>
      <c r="Y1081" t="str">
        <f>+Table3[[#This Row],[BS_Nivel_1]]</f>
        <v/>
      </c>
    </row>
    <row r="1082" spans="1:25" ht="15" customHeight="1">
      <c r="A1082">
        <f>+'Libro Diario'!F424</f>
        <v>0</v>
      </c>
      <c r="B1082" s="144">
        <f>VALUE(IF(+'Libro Diario'!G424="","01/01/2025",+'Libro Diario'!G424))</f>
        <v>45658</v>
      </c>
      <c r="C1082">
        <f>IF(ISNUMBER(+IF(IFERROR(VALUE(MID('Libro Diario'!D424,1,4)),0)&lt;&gt;0,'Libro Diario'!D424,0))=FALSE,'Libro Diario'!D424,0)</f>
        <v>0</v>
      </c>
      <c r="D1082" s="145">
        <f>+'Libro Diario'!E424</f>
        <v>0</v>
      </c>
      <c r="E1082" s="139" t="s">
        <v>446</v>
      </c>
      <c r="F1082" t="str">
        <f t="shared" si="48"/>
        <v>Sin Mov.</v>
      </c>
      <c r="G1082" t="str">
        <f>IF(+'Libro Diario'!H424=0,"",+'Libro Diario'!H424)</f>
        <v/>
      </c>
      <c r="H1082" t="str">
        <f>IF(+'Libro Diario'!I424=0,"",+'Libro Diario'!I424)</f>
        <v/>
      </c>
      <c r="I1082" t="str">
        <f>+IF(Table3[[#This Row],[Tipo Movimiento]]="Estructura Balance y PyG","Excluir","Incluir")</f>
        <v>Incluir</v>
      </c>
      <c r="J1082" s="153">
        <f>+IF(Table3[[#This Row],[Sin cuenta]]="Con Mov.",(IF(Table3[[#This Row],[Movimiento]]="Debe",Table3[[#This Row],[Importe]],IF(Table3[[#This Row],[Movimiento]]="Haber",Table3[[#This Row],[Importe]]*-1,0))),0)</f>
        <v>0</v>
      </c>
      <c r="K1082" s="145" t="str">
        <f t="shared" si="49"/>
        <v/>
      </c>
      <c r="L1082" s="145">
        <f t="shared" si="50"/>
        <v>0</v>
      </c>
      <c r="M1082" t="str">
        <f>_xlfn.XLOOKUP(Table3[[#This Row],[Cuenta]],Estructura_Balance[Nombre Cuenta ()],Estructura_Balance[Grupo],"",0)</f>
        <v/>
      </c>
      <c r="N1082" t="str">
        <f>_xlfn.XLOOKUP(Table3[[#This Row],[Cuenta]],Estructura_Balance[Nombre Cuenta ()],Estructura_Balance[Nivel 1],"",0)</f>
        <v/>
      </c>
      <c r="O1082" t="str">
        <f>_xlfn.XLOOKUP(Table3[[#This Row],[Cuenta]],Estructura_Balance[Nombre Cuenta ()],Estructura_Balance[Nivel 2],"",0)</f>
        <v/>
      </c>
      <c r="P1082" t="str">
        <f>_xlfn.XLOOKUP(Table3[[#This Row],[Cuenta]],Estructura_Balance[Nombre Cuenta ()],Estructura_Balance[Nivel 3],"",0)</f>
        <v/>
      </c>
      <c r="Q1082" t="str">
        <f>_xlfn.XLOOKUP(Table3[[#This Row],[Cuenta]],Estructura_Balance[Nombre Cuenta ()],Estructura_Balance[Nivel 4],"",0)</f>
        <v/>
      </c>
      <c r="R1082" t="str">
        <f>_xlfn.XLOOKUP(Table3[[#This Row],[Cuenta]],Table8[Nombre Cuenta ()],Table8[Nivel 1],"",0)</f>
        <v/>
      </c>
      <c r="S1082" t="str">
        <f>_xlfn.XLOOKUP(Table3[[#This Row],[Cuenta]],Table8[Nombre Cuenta ()],Table8[Nivel 2],"",0)</f>
        <v/>
      </c>
      <c r="T1082" t="str">
        <f>_xlfn.XLOOKUP(Table3[[#This Row],[Cuenta]],Table8[Nombre Cuenta ()],Table8[Nivel 3],"",0)</f>
        <v/>
      </c>
      <c r="U1082">
        <v>1817</v>
      </c>
      <c r="V1082" t="str">
        <f>_xlfn.XLOOKUP(Table3[[#This Row],[Cuenta]],Estructura_Balance[Nombre Cuenta ()],Estructura_Balance[Niveles:2],"",0)</f>
        <v/>
      </c>
      <c r="W1082" t="str">
        <f>_xlfn.XLOOKUP(Table3[[#This Row],[Cuenta]],Estructura_Balance[Nombre Cuenta ()],Estructura_Balance[Niveles:3],"",0)</f>
        <v/>
      </c>
      <c r="X1082" t="str">
        <f>_xlfn.XLOOKUP(Table3[[#This Row],[Cuenta]],Estructura_Balance[Nombre Cuenta ()],Estructura_Balance[Grupos],"Grupo 1",0)</f>
        <v>Grupo 1</v>
      </c>
      <c r="Y1082" t="str">
        <f>+Table3[[#This Row],[BS_Nivel_1]]</f>
        <v/>
      </c>
    </row>
    <row r="1083" spans="1:25" ht="15" customHeight="1">
      <c r="A1083">
        <f>+'Libro Diario'!F425</f>
        <v>0</v>
      </c>
      <c r="B1083" s="144">
        <f>VALUE(IF(+'Libro Diario'!G425="","01/01/2025",+'Libro Diario'!G425))</f>
        <v>45658</v>
      </c>
      <c r="C1083">
        <f>IF(ISNUMBER(+IF(IFERROR(VALUE(MID('Libro Diario'!D425,1,4)),0)&lt;&gt;0,'Libro Diario'!D425,0))=FALSE,'Libro Diario'!D425,0)</f>
        <v>0</v>
      </c>
      <c r="D1083" s="145">
        <f>+'Libro Diario'!E425</f>
        <v>0</v>
      </c>
      <c r="E1083" s="139" t="s">
        <v>446</v>
      </c>
      <c r="F1083" t="str">
        <f t="shared" si="48"/>
        <v>Sin Mov.</v>
      </c>
      <c r="G1083" t="str">
        <f>IF(+'Libro Diario'!H425=0,"",+'Libro Diario'!H425)</f>
        <v/>
      </c>
      <c r="H1083" t="str">
        <f>IF(+'Libro Diario'!I425=0,"",+'Libro Diario'!I425)</f>
        <v/>
      </c>
      <c r="I1083" t="str">
        <f>+IF(Table3[[#This Row],[Tipo Movimiento]]="Estructura Balance y PyG","Excluir","Incluir")</f>
        <v>Incluir</v>
      </c>
      <c r="J1083" s="153">
        <f>+IF(Table3[[#This Row],[Sin cuenta]]="Con Mov.",(IF(Table3[[#This Row],[Movimiento]]="Debe",Table3[[#This Row],[Importe]],IF(Table3[[#This Row],[Movimiento]]="Haber",Table3[[#This Row],[Importe]]*-1,0))),0)</f>
        <v>0</v>
      </c>
      <c r="K1083" s="145" t="str">
        <f t="shared" si="49"/>
        <v/>
      </c>
      <c r="L1083" s="145">
        <f t="shared" si="50"/>
        <v>0</v>
      </c>
      <c r="M1083" t="str">
        <f>_xlfn.XLOOKUP(Table3[[#This Row],[Cuenta]],Estructura_Balance[Nombre Cuenta ()],Estructura_Balance[Grupo],"",0)</f>
        <v/>
      </c>
      <c r="N1083" t="str">
        <f>_xlfn.XLOOKUP(Table3[[#This Row],[Cuenta]],Estructura_Balance[Nombre Cuenta ()],Estructura_Balance[Nivel 1],"",0)</f>
        <v/>
      </c>
      <c r="O1083" t="str">
        <f>_xlfn.XLOOKUP(Table3[[#This Row],[Cuenta]],Estructura_Balance[Nombre Cuenta ()],Estructura_Balance[Nivel 2],"",0)</f>
        <v/>
      </c>
      <c r="P1083" t="str">
        <f>_xlfn.XLOOKUP(Table3[[#This Row],[Cuenta]],Estructura_Balance[Nombre Cuenta ()],Estructura_Balance[Nivel 3],"",0)</f>
        <v/>
      </c>
      <c r="Q1083" t="str">
        <f>_xlfn.XLOOKUP(Table3[[#This Row],[Cuenta]],Estructura_Balance[Nombre Cuenta ()],Estructura_Balance[Nivel 4],"",0)</f>
        <v/>
      </c>
      <c r="R1083" t="str">
        <f>_xlfn.XLOOKUP(Table3[[#This Row],[Cuenta]],Table8[Nombre Cuenta ()],Table8[Nivel 1],"",0)</f>
        <v/>
      </c>
      <c r="S1083" t="str">
        <f>_xlfn.XLOOKUP(Table3[[#This Row],[Cuenta]],Table8[Nombre Cuenta ()],Table8[Nivel 2],"",0)</f>
        <v/>
      </c>
      <c r="T1083" t="str">
        <f>_xlfn.XLOOKUP(Table3[[#This Row],[Cuenta]],Table8[Nombre Cuenta ()],Table8[Nivel 3],"",0)</f>
        <v/>
      </c>
      <c r="U1083">
        <v>1818</v>
      </c>
      <c r="V1083" t="str">
        <f>_xlfn.XLOOKUP(Table3[[#This Row],[Cuenta]],Estructura_Balance[Nombre Cuenta ()],Estructura_Balance[Niveles:2],"",0)</f>
        <v/>
      </c>
      <c r="W1083" t="str">
        <f>_xlfn.XLOOKUP(Table3[[#This Row],[Cuenta]],Estructura_Balance[Nombre Cuenta ()],Estructura_Balance[Niveles:3],"",0)</f>
        <v/>
      </c>
      <c r="X1083" t="str">
        <f>_xlfn.XLOOKUP(Table3[[#This Row],[Cuenta]],Estructura_Balance[Nombre Cuenta ()],Estructura_Balance[Grupos],"Grupo 1",0)</f>
        <v>Grupo 1</v>
      </c>
      <c r="Y1083" t="str">
        <f>+Table3[[#This Row],[BS_Nivel_1]]</f>
        <v/>
      </c>
    </row>
    <row r="1084" spans="1:25" ht="15" customHeight="1">
      <c r="A1084">
        <f>+'Libro Diario'!F426</f>
        <v>0</v>
      </c>
      <c r="B1084" s="144">
        <f>VALUE(IF(+'Libro Diario'!G426="","01/01/2025",+'Libro Diario'!G426))</f>
        <v>45658</v>
      </c>
      <c r="C1084">
        <f>IF(ISNUMBER(+IF(IFERROR(VALUE(MID('Libro Diario'!D426,1,4)),0)&lt;&gt;0,'Libro Diario'!D426,0))=FALSE,'Libro Diario'!D426,0)</f>
        <v>0</v>
      </c>
      <c r="D1084" s="145">
        <f>+'Libro Diario'!E426</f>
        <v>0</v>
      </c>
      <c r="E1084" s="139" t="s">
        <v>446</v>
      </c>
      <c r="F1084" t="str">
        <f t="shared" si="48"/>
        <v>Sin Mov.</v>
      </c>
      <c r="G1084" t="str">
        <f>IF(+'Libro Diario'!H426=0,"",+'Libro Diario'!H426)</f>
        <v/>
      </c>
      <c r="H1084" t="str">
        <f>IF(+'Libro Diario'!I426=0,"",+'Libro Diario'!I426)</f>
        <v/>
      </c>
      <c r="I1084" t="str">
        <f>+IF(Table3[[#This Row],[Tipo Movimiento]]="Estructura Balance y PyG","Excluir","Incluir")</f>
        <v>Incluir</v>
      </c>
      <c r="J1084" s="153">
        <f>+IF(Table3[[#This Row],[Sin cuenta]]="Con Mov.",(IF(Table3[[#This Row],[Movimiento]]="Debe",Table3[[#This Row],[Importe]],IF(Table3[[#This Row],[Movimiento]]="Haber",Table3[[#This Row],[Importe]]*-1,0))),0)</f>
        <v>0</v>
      </c>
      <c r="K1084" s="145" t="str">
        <f t="shared" si="49"/>
        <v/>
      </c>
      <c r="L1084" s="145">
        <f t="shared" si="50"/>
        <v>0</v>
      </c>
      <c r="M1084" t="str">
        <f>_xlfn.XLOOKUP(Table3[[#This Row],[Cuenta]],Estructura_Balance[Nombre Cuenta ()],Estructura_Balance[Grupo],"",0)</f>
        <v/>
      </c>
      <c r="N1084" t="str">
        <f>_xlfn.XLOOKUP(Table3[[#This Row],[Cuenta]],Estructura_Balance[Nombre Cuenta ()],Estructura_Balance[Nivel 1],"",0)</f>
        <v/>
      </c>
      <c r="O1084" t="str">
        <f>_xlfn.XLOOKUP(Table3[[#This Row],[Cuenta]],Estructura_Balance[Nombre Cuenta ()],Estructura_Balance[Nivel 2],"",0)</f>
        <v/>
      </c>
      <c r="P1084" t="str">
        <f>_xlfn.XLOOKUP(Table3[[#This Row],[Cuenta]],Estructura_Balance[Nombre Cuenta ()],Estructura_Balance[Nivel 3],"",0)</f>
        <v/>
      </c>
      <c r="Q1084" t="str">
        <f>_xlfn.XLOOKUP(Table3[[#This Row],[Cuenta]],Estructura_Balance[Nombre Cuenta ()],Estructura_Balance[Nivel 4],"",0)</f>
        <v/>
      </c>
      <c r="R1084" t="str">
        <f>_xlfn.XLOOKUP(Table3[[#This Row],[Cuenta]],Table8[Nombre Cuenta ()],Table8[Nivel 1],"",0)</f>
        <v/>
      </c>
      <c r="S1084" t="str">
        <f>_xlfn.XLOOKUP(Table3[[#This Row],[Cuenta]],Table8[Nombre Cuenta ()],Table8[Nivel 2],"",0)</f>
        <v/>
      </c>
      <c r="T1084" t="str">
        <f>_xlfn.XLOOKUP(Table3[[#This Row],[Cuenta]],Table8[Nombre Cuenta ()],Table8[Nivel 3],"",0)</f>
        <v/>
      </c>
      <c r="U1084">
        <v>1819</v>
      </c>
      <c r="V1084" t="str">
        <f>_xlfn.XLOOKUP(Table3[[#This Row],[Cuenta]],Estructura_Balance[Nombre Cuenta ()],Estructura_Balance[Niveles:2],"",0)</f>
        <v/>
      </c>
      <c r="W1084" t="str">
        <f>_xlfn.XLOOKUP(Table3[[#This Row],[Cuenta]],Estructura_Balance[Nombre Cuenta ()],Estructura_Balance[Niveles:3],"",0)</f>
        <v/>
      </c>
      <c r="X1084" t="str">
        <f>_xlfn.XLOOKUP(Table3[[#This Row],[Cuenta]],Estructura_Balance[Nombre Cuenta ()],Estructura_Balance[Grupos],"Grupo 1",0)</f>
        <v>Grupo 1</v>
      </c>
      <c r="Y1084" t="str">
        <f>+Table3[[#This Row],[BS_Nivel_1]]</f>
        <v/>
      </c>
    </row>
    <row r="1085" spans="1:25" ht="15" customHeight="1">
      <c r="A1085">
        <f>+'Libro Diario'!F427</f>
        <v>0</v>
      </c>
      <c r="B1085" s="144">
        <f>VALUE(IF(+'Libro Diario'!G427="","01/01/2025",+'Libro Diario'!G427))</f>
        <v>45658</v>
      </c>
      <c r="C1085">
        <f>IF(ISNUMBER(+IF(IFERROR(VALUE(MID('Libro Diario'!D427,1,4)),0)&lt;&gt;0,'Libro Diario'!D427,0))=FALSE,'Libro Diario'!D427,0)</f>
        <v>0</v>
      </c>
      <c r="D1085" s="145" t="str">
        <f>+'Libro Diario'!E427</f>
        <v>HABER</v>
      </c>
      <c r="E1085" s="139" t="s">
        <v>446</v>
      </c>
      <c r="F1085" t="str">
        <f t="shared" si="48"/>
        <v>Sin Mov.</v>
      </c>
      <c r="G1085" t="str">
        <f>IF(+'Libro Diario'!H427=0,"",+'Libro Diario'!H427)</f>
        <v/>
      </c>
      <c r="H1085" t="str">
        <f>IF(+'Libro Diario'!I427=0,"",+'Libro Diario'!I427)</f>
        <v/>
      </c>
      <c r="I1085" t="str">
        <f>+IF(Table3[[#This Row],[Tipo Movimiento]]="Estructura Balance y PyG","Excluir","Incluir")</f>
        <v>Incluir</v>
      </c>
      <c r="J1085" s="153">
        <f>+IF(Table3[[#This Row],[Sin cuenta]]="Con Mov.",(IF(Table3[[#This Row],[Movimiento]]="Debe",Table3[[#This Row],[Importe]],IF(Table3[[#This Row],[Movimiento]]="Haber",Table3[[#This Row],[Importe]]*-1,0))),0)</f>
        <v>0</v>
      </c>
      <c r="K1085" s="145" t="str">
        <f t="shared" si="49"/>
        <v/>
      </c>
      <c r="L1085" s="145" t="str">
        <f t="shared" si="50"/>
        <v>HABER</v>
      </c>
      <c r="M1085" t="str">
        <f>_xlfn.XLOOKUP(Table3[[#This Row],[Cuenta]],Estructura_Balance[Nombre Cuenta ()],Estructura_Balance[Grupo],"",0)</f>
        <v/>
      </c>
      <c r="N1085" t="str">
        <f>_xlfn.XLOOKUP(Table3[[#This Row],[Cuenta]],Estructura_Balance[Nombre Cuenta ()],Estructura_Balance[Nivel 1],"",0)</f>
        <v/>
      </c>
      <c r="O1085" t="str">
        <f>_xlfn.XLOOKUP(Table3[[#This Row],[Cuenta]],Estructura_Balance[Nombre Cuenta ()],Estructura_Balance[Nivel 2],"",0)</f>
        <v/>
      </c>
      <c r="P1085" t="str">
        <f>_xlfn.XLOOKUP(Table3[[#This Row],[Cuenta]],Estructura_Balance[Nombre Cuenta ()],Estructura_Balance[Nivel 3],"",0)</f>
        <v/>
      </c>
      <c r="Q1085" t="str">
        <f>_xlfn.XLOOKUP(Table3[[#This Row],[Cuenta]],Estructura_Balance[Nombre Cuenta ()],Estructura_Balance[Nivel 4],"",0)</f>
        <v/>
      </c>
      <c r="R1085" t="str">
        <f>_xlfn.XLOOKUP(Table3[[#This Row],[Cuenta]],Table8[Nombre Cuenta ()],Table8[Nivel 1],"",0)</f>
        <v/>
      </c>
      <c r="S1085" t="str">
        <f>_xlfn.XLOOKUP(Table3[[#This Row],[Cuenta]],Table8[Nombre Cuenta ()],Table8[Nivel 2],"",0)</f>
        <v/>
      </c>
      <c r="T1085" t="str">
        <f>_xlfn.XLOOKUP(Table3[[#This Row],[Cuenta]],Table8[Nombre Cuenta ()],Table8[Nivel 3],"",0)</f>
        <v/>
      </c>
      <c r="U1085">
        <v>1820</v>
      </c>
      <c r="V1085" t="str">
        <f>_xlfn.XLOOKUP(Table3[[#This Row],[Cuenta]],Estructura_Balance[Nombre Cuenta ()],Estructura_Balance[Niveles:2],"",0)</f>
        <v/>
      </c>
      <c r="W1085" t="str">
        <f>_xlfn.XLOOKUP(Table3[[#This Row],[Cuenta]],Estructura_Balance[Nombre Cuenta ()],Estructura_Balance[Niveles:3],"",0)</f>
        <v/>
      </c>
      <c r="X1085" t="str">
        <f>_xlfn.XLOOKUP(Table3[[#This Row],[Cuenta]],Estructura_Balance[Nombre Cuenta ()],Estructura_Balance[Grupos],"Grupo 1",0)</f>
        <v>Grupo 1</v>
      </c>
      <c r="Y1085" t="str">
        <f>+Table3[[#This Row],[BS_Nivel_1]]</f>
        <v/>
      </c>
    </row>
    <row r="1086" spans="1:25" ht="15" customHeight="1">
      <c r="A1086">
        <f>+'Libro Diario'!F428</f>
        <v>0</v>
      </c>
      <c r="B1086" s="144">
        <f>VALUE(IF(+'Libro Diario'!G428="","01/01/2025",+'Libro Diario'!G428))</f>
        <v>45658</v>
      </c>
      <c r="C1086">
        <f>IF(ISNUMBER(+IF(IFERROR(VALUE(MID('Libro Diario'!D428,1,4)),0)&lt;&gt;0,'Libro Diario'!D428,0))=FALSE,'Libro Diario'!D428,0)</f>
        <v>0</v>
      </c>
      <c r="D1086" s="145">
        <f>+'Libro Diario'!E428</f>
        <v>0</v>
      </c>
      <c r="E1086" s="139" t="s">
        <v>446</v>
      </c>
      <c r="F1086" t="str">
        <f t="shared" si="48"/>
        <v>Sin Mov.</v>
      </c>
      <c r="G1086" t="str">
        <f>IF(+'Libro Diario'!H428=0,"",+'Libro Diario'!H428)</f>
        <v/>
      </c>
      <c r="H1086" t="str">
        <f>IF(+'Libro Diario'!I428=0,"",+'Libro Diario'!I428)</f>
        <v/>
      </c>
      <c r="I1086" t="str">
        <f>+IF(Table3[[#This Row],[Tipo Movimiento]]="Estructura Balance y PyG","Excluir","Incluir")</f>
        <v>Incluir</v>
      </c>
      <c r="J1086" s="153">
        <f>+IF(Table3[[#This Row],[Sin cuenta]]="Con Mov.",(IF(Table3[[#This Row],[Movimiento]]="Debe",Table3[[#This Row],[Importe]],IF(Table3[[#This Row],[Movimiento]]="Haber",Table3[[#This Row],[Importe]]*-1,0))),0)</f>
        <v>0</v>
      </c>
      <c r="K1086" s="145" t="str">
        <f t="shared" si="49"/>
        <v/>
      </c>
      <c r="L1086" s="145">
        <f t="shared" si="50"/>
        <v>0</v>
      </c>
      <c r="M1086" t="str">
        <f>_xlfn.XLOOKUP(Table3[[#This Row],[Cuenta]],Estructura_Balance[Nombre Cuenta ()],Estructura_Balance[Grupo],"",0)</f>
        <v/>
      </c>
      <c r="N1086" t="str">
        <f>_xlfn.XLOOKUP(Table3[[#This Row],[Cuenta]],Estructura_Balance[Nombre Cuenta ()],Estructura_Balance[Nivel 1],"",0)</f>
        <v/>
      </c>
      <c r="O1086" t="str">
        <f>_xlfn.XLOOKUP(Table3[[#This Row],[Cuenta]],Estructura_Balance[Nombre Cuenta ()],Estructura_Balance[Nivel 2],"",0)</f>
        <v/>
      </c>
      <c r="P1086" t="str">
        <f>_xlfn.XLOOKUP(Table3[[#This Row],[Cuenta]],Estructura_Balance[Nombre Cuenta ()],Estructura_Balance[Nivel 3],"",0)</f>
        <v/>
      </c>
      <c r="Q1086" t="str">
        <f>_xlfn.XLOOKUP(Table3[[#This Row],[Cuenta]],Estructura_Balance[Nombre Cuenta ()],Estructura_Balance[Nivel 4],"",0)</f>
        <v/>
      </c>
      <c r="R1086" t="str">
        <f>_xlfn.XLOOKUP(Table3[[#This Row],[Cuenta]],Table8[Nombre Cuenta ()],Table8[Nivel 1],"",0)</f>
        <v/>
      </c>
      <c r="S1086" t="str">
        <f>_xlfn.XLOOKUP(Table3[[#This Row],[Cuenta]],Table8[Nombre Cuenta ()],Table8[Nivel 2],"",0)</f>
        <v/>
      </c>
      <c r="T1086" t="str">
        <f>_xlfn.XLOOKUP(Table3[[#This Row],[Cuenta]],Table8[Nombre Cuenta ()],Table8[Nivel 3],"",0)</f>
        <v/>
      </c>
      <c r="U1086">
        <v>1821</v>
      </c>
      <c r="V1086" t="str">
        <f>_xlfn.XLOOKUP(Table3[[#This Row],[Cuenta]],Estructura_Balance[Nombre Cuenta ()],Estructura_Balance[Niveles:2],"",0)</f>
        <v/>
      </c>
      <c r="W1086" t="str">
        <f>_xlfn.XLOOKUP(Table3[[#This Row],[Cuenta]],Estructura_Balance[Nombre Cuenta ()],Estructura_Balance[Niveles:3],"",0)</f>
        <v/>
      </c>
      <c r="X1086" t="str">
        <f>_xlfn.XLOOKUP(Table3[[#This Row],[Cuenta]],Estructura_Balance[Nombre Cuenta ()],Estructura_Balance[Grupos],"Grupo 1",0)</f>
        <v>Grupo 1</v>
      </c>
      <c r="Y1086" t="str">
        <f>+Table3[[#This Row],[BS_Nivel_1]]</f>
        <v/>
      </c>
    </row>
    <row r="1087" spans="1:25" ht="15" customHeight="1">
      <c r="A1087">
        <f>+'Libro Diario'!F431</f>
        <v>0</v>
      </c>
      <c r="B1087" s="144">
        <f>VALUE(IF(+'Libro Diario'!G431="","01/01/2025",+'Libro Diario'!G431))</f>
        <v>45658</v>
      </c>
      <c r="C1087">
        <f>IF(ISNUMBER(+IF(IFERROR(VALUE(MID('Libro Diario'!D431,1,4)),0)&lt;&gt;0,'Libro Diario'!D431,0))=FALSE,'Libro Diario'!D431,0)</f>
        <v>0</v>
      </c>
      <c r="D1087" s="145">
        <f>+'Libro Diario'!E431</f>
        <v>0</v>
      </c>
      <c r="E1087" s="139" t="s">
        <v>446</v>
      </c>
      <c r="F1087" t="str">
        <f t="shared" si="48"/>
        <v>Sin Mov.</v>
      </c>
      <c r="G1087" t="str">
        <f>IF(+'Libro Diario'!H431=0,"",+'Libro Diario'!H431)</f>
        <v/>
      </c>
      <c r="H1087" t="str">
        <f>IF(+'Libro Diario'!I431=0,"",+'Libro Diario'!I431)</f>
        <v/>
      </c>
      <c r="I1087" t="str">
        <f>+IF(Table3[[#This Row],[Tipo Movimiento]]="Estructura Balance y PyG","Excluir","Incluir")</f>
        <v>Incluir</v>
      </c>
      <c r="J1087" s="153">
        <f>+IF(Table3[[#This Row],[Sin cuenta]]="Con Mov.",(IF(Table3[[#This Row],[Movimiento]]="Debe",Table3[[#This Row],[Importe]],IF(Table3[[#This Row],[Movimiento]]="Haber",Table3[[#This Row],[Importe]]*-1,0))),0)</f>
        <v>0</v>
      </c>
      <c r="K1087" s="145" t="str">
        <f t="shared" si="49"/>
        <v/>
      </c>
      <c r="L1087" s="145">
        <f t="shared" si="50"/>
        <v>0</v>
      </c>
      <c r="M1087" t="str">
        <f>_xlfn.XLOOKUP(Table3[[#This Row],[Cuenta]],Estructura_Balance[Nombre Cuenta ()],Estructura_Balance[Grupo],"",0)</f>
        <v/>
      </c>
      <c r="N1087" t="str">
        <f>_xlfn.XLOOKUP(Table3[[#This Row],[Cuenta]],Estructura_Balance[Nombre Cuenta ()],Estructura_Balance[Nivel 1],"",0)</f>
        <v/>
      </c>
      <c r="O1087" t="str">
        <f>_xlfn.XLOOKUP(Table3[[#This Row],[Cuenta]],Estructura_Balance[Nombre Cuenta ()],Estructura_Balance[Nivel 2],"",0)</f>
        <v/>
      </c>
      <c r="P1087" t="str">
        <f>_xlfn.XLOOKUP(Table3[[#This Row],[Cuenta]],Estructura_Balance[Nombre Cuenta ()],Estructura_Balance[Nivel 3],"",0)</f>
        <v/>
      </c>
      <c r="Q1087" t="str">
        <f>_xlfn.XLOOKUP(Table3[[#This Row],[Cuenta]],Estructura_Balance[Nombre Cuenta ()],Estructura_Balance[Nivel 4],"",0)</f>
        <v/>
      </c>
      <c r="R1087" t="str">
        <f>_xlfn.XLOOKUP(Table3[[#This Row],[Cuenta]],Table8[Nombre Cuenta ()],Table8[Nivel 1],"",0)</f>
        <v/>
      </c>
      <c r="S1087" t="str">
        <f>_xlfn.XLOOKUP(Table3[[#This Row],[Cuenta]],Table8[Nombre Cuenta ()],Table8[Nivel 2],"",0)</f>
        <v/>
      </c>
      <c r="T1087" t="str">
        <f>_xlfn.XLOOKUP(Table3[[#This Row],[Cuenta]],Table8[Nombre Cuenta ()],Table8[Nivel 3],"",0)</f>
        <v/>
      </c>
      <c r="U1087">
        <v>1824</v>
      </c>
      <c r="V1087" t="str">
        <f>_xlfn.XLOOKUP(Table3[[#This Row],[Cuenta]],Estructura_Balance[Nombre Cuenta ()],Estructura_Balance[Niveles:2],"",0)</f>
        <v/>
      </c>
      <c r="W1087" t="str">
        <f>_xlfn.XLOOKUP(Table3[[#This Row],[Cuenta]],Estructura_Balance[Nombre Cuenta ()],Estructura_Balance[Niveles:3],"",0)</f>
        <v/>
      </c>
      <c r="X1087" t="str">
        <f>_xlfn.XLOOKUP(Table3[[#This Row],[Cuenta]],Estructura_Balance[Nombre Cuenta ()],Estructura_Balance[Grupos],"Grupo 1",0)</f>
        <v>Grupo 1</v>
      </c>
      <c r="Y1087" t="str">
        <f>+Table3[[#This Row],[BS_Nivel_1]]</f>
        <v/>
      </c>
    </row>
    <row r="1088" spans="1:25" ht="15" customHeight="1">
      <c r="A1088">
        <f>+'Libro Diario'!F432</f>
        <v>0</v>
      </c>
      <c r="B1088" s="144">
        <f>VALUE(IF(+'Libro Diario'!G432="","01/01/2025",+'Libro Diario'!G432))</f>
        <v>45658</v>
      </c>
      <c r="C1088">
        <f>IF(ISNUMBER(+IF(IFERROR(VALUE(MID('Libro Diario'!D432,1,4)),0)&lt;&gt;0,'Libro Diario'!D432,0))=FALSE,'Libro Diario'!D432,0)</f>
        <v>0</v>
      </c>
      <c r="D1088" s="145">
        <f>+'Libro Diario'!E432</f>
        <v>0</v>
      </c>
      <c r="E1088" s="139" t="s">
        <v>446</v>
      </c>
      <c r="F1088" t="str">
        <f t="shared" si="48"/>
        <v>Sin Mov.</v>
      </c>
      <c r="G1088" t="str">
        <f>IF(+'Libro Diario'!H432=0,"",+'Libro Diario'!H432)</f>
        <v/>
      </c>
      <c r="H1088" t="str">
        <f>IF(+'Libro Diario'!I432=0,"",+'Libro Diario'!I432)</f>
        <v/>
      </c>
      <c r="I1088" t="str">
        <f>+IF(Table3[[#This Row],[Tipo Movimiento]]="Estructura Balance y PyG","Excluir","Incluir")</f>
        <v>Incluir</v>
      </c>
      <c r="J1088" s="153">
        <f>+IF(Table3[[#This Row],[Sin cuenta]]="Con Mov.",(IF(Table3[[#This Row],[Movimiento]]="Debe",Table3[[#This Row],[Importe]],IF(Table3[[#This Row],[Movimiento]]="Haber",Table3[[#This Row],[Importe]]*-1,0))),0)</f>
        <v>0</v>
      </c>
      <c r="K1088" s="145" t="str">
        <f t="shared" si="49"/>
        <v/>
      </c>
      <c r="L1088" s="145">
        <f t="shared" si="50"/>
        <v>0</v>
      </c>
      <c r="M1088" t="str">
        <f>_xlfn.XLOOKUP(Table3[[#This Row],[Cuenta]],Estructura_Balance[Nombre Cuenta ()],Estructura_Balance[Grupo],"",0)</f>
        <v/>
      </c>
      <c r="N1088" t="str">
        <f>_xlfn.XLOOKUP(Table3[[#This Row],[Cuenta]],Estructura_Balance[Nombre Cuenta ()],Estructura_Balance[Nivel 1],"",0)</f>
        <v/>
      </c>
      <c r="O1088" t="str">
        <f>_xlfn.XLOOKUP(Table3[[#This Row],[Cuenta]],Estructura_Balance[Nombre Cuenta ()],Estructura_Balance[Nivel 2],"",0)</f>
        <v/>
      </c>
      <c r="P1088" t="str">
        <f>_xlfn.XLOOKUP(Table3[[#This Row],[Cuenta]],Estructura_Balance[Nombre Cuenta ()],Estructura_Balance[Nivel 3],"",0)</f>
        <v/>
      </c>
      <c r="Q1088" t="str">
        <f>_xlfn.XLOOKUP(Table3[[#This Row],[Cuenta]],Estructura_Balance[Nombre Cuenta ()],Estructura_Balance[Nivel 4],"",0)</f>
        <v/>
      </c>
      <c r="R1088" t="str">
        <f>_xlfn.XLOOKUP(Table3[[#This Row],[Cuenta]],Table8[Nombre Cuenta ()],Table8[Nivel 1],"",0)</f>
        <v/>
      </c>
      <c r="S1088" t="str">
        <f>_xlfn.XLOOKUP(Table3[[#This Row],[Cuenta]],Table8[Nombre Cuenta ()],Table8[Nivel 2],"",0)</f>
        <v/>
      </c>
      <c r="T1088" t="str">
        <f>_xlfn.XLOOKUP(Table3[[#This Row],[Cuenta]],Table8[Nombre Cuenta ()],Table8[Nivel 3],"",0)</f>
        <v/>
      </c>
      <c r="U1088">
        <v>1825</v>
      </c>
      <c r="V1088" t="str">
        <f>_xlfn.XLOOKUP(Table3[[#This Row],[Cuenta]],Estructura_Balance[Nombre Cuenta ()],Estructura_Balance[Niveles:2],"",0)</f>
        <v/>
      </c>
      <c r="W1088" t="str">
        <f>_xlfn.XLOOKUP(Table3[[#This Row],[Cuenta]],Estructura_Balance[Nombre Cuenta ()],Estructura_Balance[Niveles:3],"",0)</f>
        <v/>
      </c>
      <c r="X1088" t="str">
        <f>_xlfn.XLOOKUP(Table3[[#This Row],[Cuenta]],Estructura_Balance[Nombre Cuenta ()],Estructura_Balance[Grupos],"Grupo 1",0)</f>
        <v>Grupo 1</v>
      </c>
      <c r="Y1088" t="str">
        <f>+Table3[[#This Row],[BS_Nivel_1]]</f>
        <v/>
      </c>
    </row>
    <row r="1089" spans="1:25" ht="15" customHeight="1">
      <c r="A1089">
        <f>+'Libro Diario'!F433</f>
        <v>0</v>
      </c>
      <c r="B1089" s="144">
        <f>VALUE(IF(+'Libro Diario'!G433="","01/01/2025",+'Libro Diario'!G433))</f>
        <v>45658</v>
      </c>
      <c r="C1089">
        <f>IF(ISNUMBER(+IF(IFERROR(VALUE(MID('Libro Diario'!D433,1,4)),0)&lt;&gt;0,'Libro Diario'!D433,0))=FALSE,'Libro Diario'!D433,0)</f>
        <v>0</v>
      </c>
      <c r="D1089" s="145">
        <f>+'Libro Diario'!E433</f>
        <v>0</v>
      </c>
      <c r="E1089" s="139" t="s">
        <v>446</v>
      </c>
      <c r="F1089" t="str">
        <f t="shared" si="48"/>
        <v>Sin Mov.</v>
      </c>
      <c r="G1089" t="str">
        <f>IF(+'Libro Diario'!H433=0,"",+'Libro Diario'!H433)</f>
        <v/>
      </c>
      <c r="H1089" t="str">
        <f>IF(+'Libro Diario'!I433=0,"",+'Libro Diario'!I433)</f>
        <v/>
      </c>
      <c r="I1089" t="str">
        <f>+IF(Table3[[#This Row],[Tipo Movimiento]]="Estructura Balance y PyG","Excluir","Incluir")</f>
        <v>Incluir</v>
      </c>
      <c r="J1089" s="153">
        <f>+IF(Table3[[#This Row],[Sin cuenta]]="Con Mov.",(IF(Table3[[#This Row],[Movimiento]]="Debe",Table3[[#This Row],[Importe]],IF(Table3[[#This Row],[Movimiento]]="Haber",Table3[[#This Row],[Importe]]*-1,0))),0)</f>
        <v>0</v>
      </c>
      <c r="K1089" s="145" t="str">
        <f t="shared" si="49"/>
        <v/>
      </c>
      <c r="L1089" s="145">
        <f t="shared" si="50"/>
        <v>0</v>
      </c>
      <c r="M1089" t="str">
        <f>_xlfn.XLOOKUP(Table3[[#This Row],[Cuenta]],Estructura_Balance[Nombre Cuenta ()],Estructura_Balance[Grupo],"",0)</f>
        <v/>
      </c>
      <c r="N1089" t="str">
        <f>_xlfn.XLOOKUP(Table3[[#This Row],[Cuenta]],Estructura_Balance[Nombre Cuenta ()],Estructura_Balance[Nivel 1],"",0)</f>
        <v/>
      </c>
      <c r="O1089" t="str">
        <f>_xlfn.XLOOKUP(Table3[[#This Row],[Cuenta]],Estructura_Balance[Nombre Cuenta ()],Estructura_Balance[Nivel 2],"",0)</f>
        <v/>
      </c>
      <c r="P1089" t="str">
        <f>_xlfn.XLOOKUP(Table3[[#This Row],[Cuenta]],Estructura_Balance[Nombre Cuenta ()],Estructura_Balance[Nivel 3],"",0)</f>
        <v/>
      </c>
      <c r="Q1089" t="str">
        <f>_xlfn.XLOOKUP(Table3[[#This Row],[Cuenta]],Estructura_Balance[Nombre Cuenta ()],Estructura_Balance[Nivel 4],"",0)</f>
        <v/>
      </c>
      <c r="R1089" t="str">
        <f>_xlfn.XLOOKUP(Table3[[#This Row],[Cuenta]],Table8[Nombre Cuenta ()],Table8[Nivel 1],"",0)</f>
        <v/>
      </c>
      <c r="S1089" t="str">
        <f>_xlfn.XLOOKUP(Table3[[#This Row],[Cuenta]],Table8[Nombre Cuenta ()],Table8[Nivel 2],"",0)</f>
        <v/>
      </c>
      <c r="T1089" t="str">
        <f>_xlfn.XLOOKUP(Table3[[#This Row],[Cuenta]],Table8[Nombre Cuenta ()],Table8[Nivel 3],"",0)</f>
        <v/>
      </c>
      <c r="U1089">
        <v>1826</v>
      </c>
      <c r="V1089" t="str">
        <f>_xlfn.XLOOKUP(Table3[[#This Row],[Cuenta]],Estructura_Balance[Nombre Cuenta ()],Estructura_Balance[Niveles:2],"",0)</f>
        <v/>
      </c>
      <c r="W1089" t="str">
        <f>_xlfn.XLOOKUP(Table3[[#This Row],[Cuenta]],Estructura_Balance[Nombre Cuenta ()],Estructura_Balance[Niveles:3],"",0)</f>
        <v/>
      </c>
      <c r="X1089" t="str">
        <f>_xlfn.XLOOKUP(Table3[[#This Row],[Cuenta]],Estructura_Balance[Nombre Cuenta ()],Estructura_Balance[Grupos],"Grupo 1",0)</f>
        <v>Grupo 1</v>
      </c>
      <c r="Y1089" t="str">
        <f>+Table3[[#This Row],[BS_Nivel_1]]</f>
        <v/>
      </c>
    </row>
    <row r="1090" spans="1:25" ht="15" customHeight="1">
      <c r="A1090">
        <f>+'Libro Diario'!F434</f>
        <v>0</v>
      </c>
      <c r="B1090" s="144">
        <f>VALUE(IF(+'Libro Diario'!G434="","01/01/2025",+'Libro Diario'!G434))</f>
        <v>45658</v>
      </c>
      <c r="C1090">
        <f>IF(ISNUMBER(+IF(IFERROR(VALUE(MID('Libro Diario'!D434,1,4)),0)&lt;&gt;0,'Libro Diario'!D434,0))=FALSE,'Libro Diario'!D434,0)</f>
        <v>0</v>
      </c>
      <c r="D1090" s="145" t="str">
        <f>+'Libro Diario'!E434</f>
        <v>HABER</v>
      </c>
      <c r="E1090" s="139" t="s">
        <v>446</v>
      </c>
      <c r="F1090" t="str">
        <f t="shared" si="48"/>
        <v>Sin Mov.</v>
      </c>
      <c r="G1090" t="str">
        <f>IF(+'Libro Diario'!H434=0,"",+'Libro Diario'!H434)</f>
        <v/>
      </c>
      <c r="H1090" t="str">
        <f>IF(+'Libro Diario'!I434=0,"",+'Libro Diario'!I434)</f>
        <v/>
      </c>
      <c r="I1090" t="str">
        <f>+IF(Table3[[#This Row],[Tipo Movimiento]]="Estructura Balance y PyG","Excluir","Incluir")</f>
        <v>Incluir</v>
      </c>
      <c r="J1090" s="153">
        <f>+IF(Table3[[#This Row],[Sin cuenta]]="Con Mov.",(IF(Table3[[#This Row],[Movimiento]]="Debe",Table3[[#This Row],[Importe]],IF(Table3[[#This Row],[Movimiento]]="Haber",Table3[[#This Row],[Importe]]*-1,0))),0)</f>
        <v>0</v>
      </c>
      <c r="K1090" s="145" t="str">
        <f t="shared" si="49"/>
        <v/>
      </c>
      <c r="L1090" s="145" t="str">
        <f t="shared" si="50"/>
        <v>HABER</v>
      </c>
      <c r="M1090" t="str">
        <f>_xlfn.XLOOKUP(Table3[[#This Row],[Cuenta]],Estructura_Balance[Nombre Cuenta ()],Estructura_Balance[Grupo],"",0)</f>
        <v/>
      </c>
      <c r="N1090" t="str">
        <f>_xlfn.XLOOKUP(Table3[[#This Row],[Cuenta]],Estructura_Balance[Nombre Cuenta ()],Estructura_Balance[Nivel 1],"",0)</f>
        <v/>
      </c>
      <c r="O1090" t="str">
        <f>_xlfn.XLOOKUP(Table3[[#This Row],[Cuenta]],Estructura_Balance[Nombre Cuenta ()],Estructura_Balance[Nivel 2],"",0)</f>
        <v/>
      </c>
      <c r="P1090" t="str">
        <f>_xlfn.XLOOKUP(Table3[[#This Row],[Cuenta]],Estructura_Balance[Nombre Cuenta ()],Estructura_Balance[Nivel 3],"",0)</f>
        <v/>
      </c>
      <c r="Q1090" t="str">
        <f>_xlfn.XLOOKUP(Table3[[#This Row],[Cuenta]],Estructura_Balance[Nombre Cuenta ()],Estructura_Balance[Nivel 4],"",0)</f>
        <v/>
      </c>
      <c r="R1090" t="str">
        <f>_xlfn.XLOOKUP(Table3[[#This Row],[Cuenta]],Table8[Nombre Cuenta ()],Table8[Nivel 1],"",0)</f>
        <v/>
      </c>
      <c r="S1090" t="str">
        <f>_xlfn.XLOOKUP(Table3[[#This Row],[Cuenta]],Table8[Nombre Cuenta ()],Table8[Nivel 2],"",0)</f>
        <v/>
      </c>
      <c r="T1090" t="str">
        <f>_xlfn.XLOOKUP(Table3[[#This Row],[Cuenta]],Table8[Nombre Cuenta ()],Table8[Nivel 3],"",0)</f>
        <v/>
      </c>
      <c r="U1090">
        <v>1827</v>
      </c>
      <c r="V1090" t="str">
        <f>_xlfn.XLOOKUP(Table3[[#This Row],[Cuenta]],Estructura_Balance[Nombre Cuenta ()],Estructura_Balance[Niveles:2],"",0)</f>
        <v/>
      </c>
      <c r="W1090" t="str">
        <f>_xlfn.XLOOKUP(Table3[[#This Row],[Cuenta]],Estructura_Balance[Nombre Cuenta ()],Estructura_Balance[Niveles:3],"",0)</f>
        <v/>
      </c>
      <c r="X1090" t="str">
        <f>_xlfn.XLOOKUP(Table3[[#This Row],[Cuenta]],Estructura_Balance[Nombre Cuenta ()],Estructura_Balance[Grupos],"Grupo 1",0)</f>
        <v>Grupo 1</v>
      </c>
      <c r="Y1090" t="str">
        <f>+Table3[[#This Row],[BS_Nivel_1]]</f>
        <v/>
      </c>
    </row>
    <row r="1091" spans="1:25" ht="15" customHeight="1">
      <c r="A1091">
        <f>+'Libro Diario'!F435</f>
        <v>0</v>
      </c>
      <c r="B1091" s="144">
        <f>VALUE(IF(+'Libro Diario'!G435="","01/01/2025",+'Libro Diario'!G435))</f>
        <v>45658</v>
      </c>
      <c r="C1091">
        <f>IF(ISNUMBER(+IF(IFERROR(VALUE(MID('Libro Diario'!D435,1,4)),0)&lt;&gt;0,'Libro Diario'!D435,0))=FALSE,'Libro Diario'!D435,0)</f>
        <v>0</v>
      </c>
      <c r="D1091" s="145">
        <f>+'Libro Diario'!E435</f>
        <v>0</v>
      </c>
      <c r="E1091" s="139" t="s">
        <v>446</v>
      </c>
      <c r="F1091" t="str">
        <f t="shared" ref="F1091:F1154" si="51">+IF(C1091=0,"Sin Mov.","Con Mov.")</f>
        <v>Sin Mov.</v>
      </c>
      <c r="G1091" t="str">
        <f>IF(+'Libro Diario'!H435=0,"",+'Libro Diario'!H435)</f>
        <v/>
      </c>
      <c r="H1091" t="str">
        <f>IF(+'Libro Diario'!I435=0,"",+'Libro Diario'!I435)</f>
        <v/>
      </c>
      <c r="I1091" t="str">
        <f>+IF(Table3[[#This Row],[Tipo Movimiento]]="Estructura Balance y PyG","Excluir","Incluir")</f>
        <v>Incluir</v>
      </c>
      <c r="J1091" s="153">
        <f>+IF(Table3[[#This Row],[Sin cuenta]]="Con Mov.",(IF(Table3[[#This Row],[Movimiento]]="Debe",Table3[[#This Row],[Importe]],IF(Table3[[#This Row],[Movimiento]]="Haber",Table3[[#This Row],[Importe]]*-1,0))),0)</f>
        <v>0</v>
      </c>
      <c r="K1091" s="145" t="str">
        <f t="shared" ref="K1091:K1154" si="52">+IF(E1091="Debe",D1091,"")</f>
        <v/>
      </c>
      <c r="L1091" s="145">
        <f t="shared" ref="L1091:L1154" si="53">+IF(E1091="Haber",D1091,"")</f>
        <v>0</v>
      </c>
      <c r="M1091" t="str">
        <f>_xlfn.XLOOKUP(Table3[[#This Row],[Cuenta]],Estructura_Balance[Nombre Cuenta ()],Estructura_Balance[Grupo],"",0)</f>
        <v/>
      </c>
      <c r="N1091" t="str">
        <f>_xlfn.XLOOKUP(Table3[[#This Row],[Cuenta]],Estructura_Balance[Nombre Cuenta ()],Estructura_Balance[Nivel 1],"",0)</f>
        <v/>
      </c>
      <c r="O1091" t="str">
        <f>_xlfn.XLOOKUP(Table3[[#This Row],[Cuenta]],Estructura_Balance[Nombre Cuenta ()],Estructura_Balance[Nivel 2],"",0)</f>
        <v/>
      </c>
      <c r="P1091" t="str">
        <f>_xlfn.XLOOKUP(Table3[[#This Row],[Cuenta]],Estructura_Balance[Nombre Cuenta ()],Estructura_Balance[Nivel 3],"",0)</f>
        <v/>
      </c>
      <c r="Q1091" t="str">
        <f>_xlfn.XLOOKUP(Table3[[#This Row],[Cuenta]],Estructura_Balance[Nombre Cuenta ()],Estructura_Balance[Nivel 4],"",0)</f>
        <v/>
      </c>
      <c r="R1091" t="str">
        <f>_xlfn.XLOOKUP(Table3[[#This Row],[Cuenta]],Table8[Nombre Cuenta ()],Table8[Nivel 1],"",0)</f>
        <v/>
      </c>
      <c r="S1091" t="str">
        <f>_xlfn.XLOOKUP(Table3[[#This Row],[Cuenta]],Table8[Nombre Cuenta ()],Table8[Nivel 2],"",0)</f>
        <v/>
      </c>
      <c r="T1091" t="str">
        <f>_xlfn.XLOOKUP(Table3[[#This Row],[Cuenta]],Table8[Nombre Cuenta ()],Table8[Nivel 3],"",0)</f>
        <v/>
      </c>
      <c r="U1091">
        <v>1828</v>
      </c>
      <c r="V1091" t="str">
        <f>_xlfn.XLOOKUP(Table3[[#This Row],[Cuenta]],Estructura_Balance[Nombre Cuenta ()],Estructura_Balance[Niveles:2],"",0)</f>
        <v/>
      </c>
      <c r="W1091" t="str">
        <f>_xlfn.XLOOKUP(Table3[[#This Row],[Cuenta]],Estructura_Balance[Nombre Cuenta ()],Estructura_Balance[Niveles:3],"",0)</f>
        <v/>
      </c>
      <c r="X1091" t="str">
        <f>_xlfn.XLOOKUP(Table3[[#This Row],[Cuenta]],Estructura_Balance[Nombre Cuenta ()],Estructura_Balance[Grupos],"Grupo 1",0)</f>
        <v>Grupo 1</v>
      </c>
      <c r="Y1091" t="str">
        <f>+Table3[[#This Row],[BS_Nivel_1]]</f>
        <v/>
      </c>
    </row>
    <row r="1092" spans="1:25" ht="15" customHeight="1">
      <c r="A1092">
        <f>+'Libro Diario'!F438</f>
        <v>0</v>
      </c>
      <c r="B1092" s="144">
        <f>VALUE(IF(+'Libro Diario'!G438="","01/01/2025",+'Libro Diario'!G438))</f>
        <v>45658</v>
      </c>
      <c r="C1092">
        <f>IF(ISNUMBER(+IF(IFERROR(VALUE(MID('Libro Diario'!D438,1,4)),0)&lt;&gt;0,'Libro Diario'!D438,0))=FALSE,'Libro Diario'!D438,0)</f>
        <v>0</v>
      </c>
      <c r="D1092" s="145">
        <f>+'Libro Diario'!E438</f>
        <v>0</v>
      </c>
      <c r="E1092" s="139" t="s">
        <v>446</v>
      </c>
      <c r="F1092" t="str">
        <f t="shared" si="51"/>
        <v>Sin Mov.</v>
      </c>
      <c r="G1092" t="str">
        <f>IF(+'Libro Diario'!H438=0,"",+'Libro Diario'!H438)</f>
        <v/>
      </c>
      <c r="H1092" t="str">
        <f>IF(+'Libro Diario'!I438=0,"",+'Libro Diario'!I438)</f>
        <v/>
      </c>
      <c r="I1092" t="str">
        <f>+IF(Table3[[#This Row],[Tipo Movimiento]]="Estructura Balance y PyG","Excluir","Incluir")</f>
        <v>Incluir</v>
      </c>
      <c r="J1092" s="153">
        <f>+IF(Table3[[#This Row],[Sin cuenta]]="Con Mov.",(IF(Table3[[#This Row],[Movimiento]]="Debe",Table3[[#This Row],[Importe]],IF(Table3[[#This Row],[Movimiento]]="Haber",Table3[[#This Row],[Importe]]*-1,0))),0)</f>
        <v>0</v>
      </c>
      <c r="K1092" s="145" t="str">
        <f t="shared" si="52"/>
        <v/>
      </c>
      <c r="L1092" s="145">
        <f t="shared" si="53"/>
        <v>0</v>
      </c>
      <c r="M1092" t="str">
        <f>_xlfn.XLOOKUP(Table3[[#This Row],[Cuenta]],Estructura_Balance[Nombre Cuenta ()],Estructura_Balance[Grupo],"",0)</f>
        <v/>
      </c>
      <c r="N1092" t="str">
        <f>_xlfn.XLOOKUP(Table3[[#This Row],[Cuenta]],Estructura_Balance[Nombre Cuenta ()],Estructura_Balance[Nivel 1],"",0)</f>
        <v/>
      </c>
      <c r="O1092" t="str">
        <f>_xlfn.XLOOKUP(Table3[[#This Row],[Cuenta]],Estructura_Balance[Nombre Cuenta ()],Estructura_Balance[Nivel 2],"",0)</f>
        <v/>
      </c>
      <c r="P1092" t="str">
        <f>_xlfn.XLOOKUP(Table3[[#This Row],[Cuenta]],Estructura_Balance[Nombre Cuenta ()],Estructura_Balance[Nivel 3],"",0)</f>
        <v/>
      </c>
      <c r="Q1092" t="str">
        <f>_xlfn.XLOOKUP(Table3[[#This Row],[Cuenta]],Estructura_Balance[Nombre Cuenta ()],Estructura_Balance[Nivel 4],"",0)</f>
        <v/>
      </c>
      <c r="R1092" t="str">
        <f>_xlfn.XLOOKUP(Table3[[#This Row],[Cuenta]],Table8[Nombre Cuenta ()],Table8[Nivel 1],"",0)</f>
        <v/>
      </c>
      <c r="S1092" t="str">
        <f>_xlfn.XLOOKUP(Table3[[#This Row],[Cuenta]],Table8[Nombre Cuenta ()],Table8[Nivel 2],"",0)</f>
        <v/>
      </c>
      <c r="T1092" t="str">
        <f>_xlfn.XLOOKUP(Table3[[#This Row],[Cuenta]],Table8[Nombre Cuenta ()],Table8[Nivel 3],"",0)</f>
        <v/>
      </c>
      <c r="U1092">
        <v>1831</v>
      </c>
      <c r="V1092" t="str">
        <f>_xlfn.XLOOKUP(Table3[[#This Row],[Cuenta]],Estructura_Balance[Nombre Cuenta ()],Estructura_Balance[Niveles:2],"",0)</f>
        <v/>
      </c>
      <c r="W1092" t="str">
        <f>_xlfn.XLOOKUP(Table3[[#This Row],[Cuenta]],Estructura_Balance[Nombre Cuenta ()],Estructura_Balance[Niveles:3],"",0)</f>
        <v/>
      </c>
      <c r="X1092" t="str">
        <f>_xlfn.XLOOKUP(Table3[[#This Row],[Cuenta]],Estructura_Balance[Nombre Cuenta ()],Estructura_Balance[Grupos],"Grupo 1",0)</f>
        <v>Grupo 1</v>
      </c>
      <c r="Y1092" t="str">
        <f>+Table3[[#This Row],[BS_Nivel_1]]</f>
        <v/>
      </c>
    </row>
    <row r="1093" spans="1:25" ht="15" customHeight="1">
      <c r="A1093">
        <f>+'Libro Diario'!F439</f>
        <v>0</v>
      </c>
      <c r="B1093" s="144">
        <f>VALUE(IF(+'Libro Diario'!G439="","01/01/2025",+'Libro Diario'!G439))</f>
        <v>45658</v>
      </c>
      <c r="C1093">
        <f>IF(ISNUMBER(+IF(IFERROR(VALUE(MID('Libro Diario'!D439,1,4)),0)&lt;&gt;0,'Libro Diario'!D439,0))=FALSE,'Libro Diario'!D439,0)</f>
        <v>0</v>
      </c>
      <c r="D1093" s="145">
        <f>+'Libro Diario'!E439</f>
        <v>0</v>
      </c>
      <c r="E1093" s="139" t="s">
        <v>446</v>
      </c>
      <c r="F1093" t="str">
        <f t="shared" si="51"/>
        <v>Sin Mov.</v>
      </c>
      <c r="G1093" t="str">
        <f>IF(+'Libro Diario'!H439=0,"",+'Libro Diario'!H439)</f>
        <v/>
      </c>
      <c r="H1093" t="str">
        <f>IF(+'Libro Diario'!I439=0,"",+'Libro Diario'!I439)</f>
        <v/>
      </c>
      <c r="I1093" t="str">
        <f>+IF(Table3[[#This Row],[Tipo Movimiento]]="Estructura Balance y PyG","Excluir","Incluir")</f>
        <v>Incluir</v>
      </c>
      <c r="J1093" s="153">
        <f>+IF(Table3[[#This Row],[Sin cuenta]]="Con Mov.",(IF(Table3[[#This Row],[Movimiento]]="Debe",Table3[[#This Row],[Importe]],IF(Table3[[#This Row],[Movimiento]]="Haber",Table3[[#This Row],[Importe]]*-1,0))),0)</f>
        <v>0</v>
      </c>
      <c r="K1093" s="145" t="str">
        <f t="shared" si="52"/>
        <v/>
      </c>
      <c r="L1093" s="145">
        <f t="shared" si="53"/>
        <v>0</v>
      </c>
      <c r="M1093" t="str">
        <f>_xlfn.XLOOKUP(Table3[[#This Row],[Cuenta]],Estructura_Balance[Nombre Cuenta ()],Estructura_Balance[Grupo],"",0)</f>
        <v/>
      </c>
      <c r="N1093" t="str">
        <f>_xlfn.XLOOKUP(Table3[[#This Row],[Cuenta]],Estructura_Balance[Nombre Cuenta ()],Estructura_Balance[Nivel 1],"",0)</f>
        <v/>
      </c>
      <c r="O1093" t="str">
        <f>_xlfn.XLOOKUP(Table3[[#This Row],[Cuenta]],Estructura_Balance[Nombre Cuenta ()],Estructura_Balance[Nivel 2],"",0)</f>
        <v/>
      </c>
      <c r="P1093" t="str">
        <f>_xlfn.XLOOKUP(Table3[[#This Row],[Cuenta]],Estructura_Balance[Nombre Cuenta ()],Estructura_Balance[Nivel 3],"",0)</f>
        <v/>
      </c>
      <c r="Q1093" t="str">
        <f>_xlfn.XLOOKUP(Table3[[#This Row],[Cuenta]],Estructura_Balance[Nombre Cuenta ()],Estructura_Balance[Nivel 4],"",0)</f>
        <v/>
      </c>
      <c r="R1093" t="str">
        <f>_xlfn.XLOOKUP(Table3[[#This Row],[Cuenta]],Table8[Nombre Cuenta ()],Table8[Nivel 1],"",0)</f>
        <v/>
      </c>
      <c r="S1093" t="str">
        <f>_xlfn.XLOOKUP(Table3[[#This Row],[Cuenta]],Table8[Nombre Cuenta ()],Table8[Nivel 2],"",0)</f>
        <v/>
      </c>
      <c r="T1093" t="str">
        <f>_xlfn.XLOOKUP(Table3[[#This Row],[Cuenta]],Table8[Nombre Cuenta ()],Table8[Nivel 3],"",0)</f>
        <v/>
      </c>
      <c r="U1093">
        <v>1832</v>
      </c>
      <c r="V1093" t="str">
        <f>_xlfn.XLOOKUP(Table3[[#This Row],[Cuenta]],Estructura_Balance[Nombre Cuenta ()],Estructura_Balance[Niveles:2],"",0)</f>
        <v/>
      </c>
      <c r="W1093" t="str">
        <f>_xlfn.XLOOKUP(Table3[[#This Row],[Cuenta]],Estructura_Balance[Nombre Cuenta ()],Estructura_Balance[Niveles:3],"",0)</f>
        <v/>
      </c>
      <c r="X1093" t="str">
        <f>_xlfn.XLOOKUP(Table3[[#This Row],[Cuenta]],Estructura_Balance[Nombre Cuenta ()],Estructura_Balance[Grupos],"Grupo 1",0)</f>
        <v>Grupo 1</v>
      </c>
      <c r="Y1093" t="str">
        <f>+Table3[[#This Row],[BS_Nivel_1]]</f>
        <v/>
      </c>
    </row>
    <row r="1094" spans="1:25" ht="15" customHeight="1">
      <c r="A1094">
        <f>+'Libro Diario'!F440</f>
        <v>0</v>
      </c>
      <c r="B1094" s="144">
        <f>VALUE(IF(+'Libro Diario'!G440="","01/01/2025",+'Libro Diario'!G440))</f>
        <v>45658</v>
      </c>
      <c r="C1094">
        <f>IF(ISNUMBER(+IF(IFERROR(VALUE(MID('Libro Diario'!D440,1,4)),0)&lt;&gt;0,'Libro Diario'!D440,0))=FALSE,'Libro Diario'!D440,0)</f>
        <v>0</v>
      </c>
      <c r="D1094" s="145">
        <f>+'Libro Diario'!E440</f>
        <v>0</v>
      </c>
      <c r="E1094" s="139" t="s">
        <v>446</v>
      </c>
      <c r="F1094" t="str">
        <f t="shared" si="51"/>
        <v>Sin Mov.</v>
      </c>
      <c r="G1094" t="str">
        <f>IF(+'Libro Diario'!H440=0,"",+'Libro Diario'!H440)</f>
        <v/>
      </c>
      <c r="H1094" t="str">
        <f>IF(+'Libro Diario'!I440=0,"",+'Libro Diario'!I440)</f>
        <v/>
      </c>
      <c r="I1094" t="str">
        <f>+IF(Table3[[#This Row],[Tipo Movimiento]]="Estructura Balance y PyG","Excluir","Incluir")</f>
        <v>Incluir</v>
      </c>
      <c r="J1094" s="153">
        <f>+IF(Table3[[#This Row],[Sin cuenta]]="Con Mov.",(IF(Table3[[#This Row],[Movimiento]]="Debe",Table3[[#This Row],[Importe]],IF(Table3[[#This Row],[Movimiento]]="Haber",Table3[[#This Row],[Importe]]*-1,0))),0)</f>
        <v>0</v>
      </c>
      <c r="K1094" s="145" t="str">
        <f t="shared" si="52"/>
        <v/>
      </c>
      <c r="L1094" s="145">
        <f t="shared" si="53"/>
        <v>0</v>
      </c>
      <c r="M1094" t="str">
        <f>_xlfn.XLOOKUP(Table3[[#This Row],[Cuenta]],Estructura_Balance[Nombre Cuenta ()],Estructura_Balance[Grupo],"",0)</f>
        <v/>
      </c>
      <c r="N1094" t="str">
        <f>_xlfn.XLOOKUP(Table3[[#This Row],[Cuenta]],Estructura_Balance[Nombre Cuenta ()],Estructura_Balance[Nivel 1],"",0)</f>
        <v/>
      </c>
      <c r="O1094" t="str">
        <f>_xlfn.XLOOKUP(Table3[[#This Row],[Cuenta]],Estructura_Balance[Nombre Cuenta ()],Estructura_Balance[Nivel 2],"",0)</f>
        <v/>
      </c>
      <c r="P1094" t="str">
        <f>_xlfn.XLOOKUP(Table3[[#This Row],[Cuenta]],Estructura_Balance[Nombre Cuenta ()],Estructura_Balance[Nivel 3],"",0)</f>
        <v/>
      </c>
      <c r="Q1094" t="str">
        <f>_xlfn.XLOOKUP(Table3[[#This Row],[Cuenta]],Estructura_Balance[Nombre Cuenta ()],Estructura_Balance[Nivel 4],"",0)</f>
        <v/>
      </c>
      <c r="R1094" t="str">
        <f>_xlfn.XLOOKUP(Table3[[#This Row],[Cuenta]],Table8[Nombre Cuenta ()],Table8[Nivel 1],"",0)</f>
        <v/>
      </c>
      <c r="S1094" t="str">
        <f>_xlfn.XLOOKUP(Table3[[#This Row],[Cuenta]],Table8[Nombre Cuenta ()],Table8[Nivel 2],"",0)</f>
        <v/>
      </c>
      <c r="T1094" t="str">
        <f>_xlfn.XLOOKUP(Table3[[#This Row],[Cuenta]],Table8[Nombre Cuenta ()],Table8[Nivel 3],"",0)</f>
        <v/>
      </c>
      <c r="U1094">
        <v>1833</v>
      </c>
      <c r="V1094" t="str">
        <f>_xlfn.XLOOKUP(Table3[[#This Row],[Cuenta]],Estructura_Balance[Nombre Cuenta ()],Estructura_Balance[Niveles:2],"",0)</f>
        <v/>
      </c>
      <c r="W1094" t="str">
        <f>_xlfn.XLOOKUP(Table3[[#This Row],[Cuenta]],Estructura_Balance[Nombre Cuenta ()],Estructura_Balance[Niveles:3],"",0)</f>
        <v/>
      </c>
      <c r="X1094" t="str">
        <f>_xlfn.XLOOKUP(Table3[[#This Row],[Cuenta]],Estructura_Balance[Nombre Cuenta ()],Estructura_Balance[Grupos],"Grupo 1",0)</f>
        <v>Grupo 1</v>
      </c>
      <c r="Y1094" t="str">
        <f>+Table3[[#This Row],[BS_Nivel_1]]</f>
        <v/>
      </c>
    </row>
    <row r="1095" spans="1:25" ht="15" customHeight="1">
      <c r="A1095">
        <f>+'Libro Diario'!F441</f>
        <v>0</v>
      </c>
      <c r="B1095" s="144">
        <f>VALUE(IF(+'Libro Diario'!G441="","01/01/2025",+'Libro Diario'!G441))</f>
        <v>45658</v>
      </c>
      <c r="C1095">
        <f>IF(ISNUMBER(+IF(IFERROR(VALUE(MID('Libro Diario'!D441,1,4)),0)&lt;&gt;0,'Libro Diario'!D441,0))=FALSE,'Libro Diario'!D441,0)</f>
        <v>0</v>
      </c>
      <c r="D1095" s="145" t="str">
        <f>+'Libro Diario'!E441</f>
        <v>HABER</v>
      </c>
      <c r="E1095" s="139" t="s">
        <v>446</v>
      </c>
      <c r="F1095" t="str">
        <f t="shared" si="51"/>
        <v>Sin Mov.</v>
      </c>
      <c r="G1095" t="str">
        <f>IF(+'Libro Diario'!H441=0,"",+'Libro Diario'!H441)</f>
        <v/>
      </c>
      <c r="H1095" t="str">
        <f>IF(+'Libro Diario'!I441=0,"",+'Libro Diario'!I441)</f>
        <v/>
      </c>
      <c r="I1095" t="str">
        <f>+IF(Table3[[#This Row],[Tipo Movimiento]]="Estructura Balance y PyG","Excluir","Incluir")</f>
        <v>Incluir</v>
      </c>
      <c r="J1095" s="153">
        <f>+IF(Table3[[#This Row],[Sin cuenta]]="Con Mov.",(IF(Table3[[#This Row],[Movimiento]]="Debe",Table3[[#This Row],[Importe]],IF(Table3[[#This Row],[Movimiento]]="Haber",Table3[[#This Row],[Importe]]*-1,0))),0)</f>
        <v>0</v>
      </c>
      <c r="K1095" s="145" t="str">
        <f t="shared" si="52"/>
        <v/>
      </c>
      <c r="L1095" s="145" t="str">
        <f t="shared" si="53"/>
        <v>HABER</v>
      </c>
      <c r="M1095" t="str">
        <f>_xlfn.XLOOKUP(Table3[[#This Row],[Cuenta]],Estructura_Balance[Nombre Cuenta ()],Estructura_Balance[Grupo],"",0)</f>
        <v/>
      </c>
      <c r="N1095" t="str">
        <f>_xlfn.XLOOKUP(Table3[[#This Row],[Cuenta]],Estructura_Balance[Nombre Cuenta ()],Estructura_Balance[Nivel 1],"",0)</f>
        <v/>
      </c>
      <c r="O1095" t="str">
        <f>_xlfn.XLOOKUP(Table3[[#This Row],[Cuenta]],Estructura_Balance[Nombre Cuenta ()],Estructura_Balance[Nivel 2],"",0)</f>
        <v/>
      </c>
      <c r="P1095" t="str">
        <f>_xlfn.XLOOKUP(Table3[[#This Row],[Cuenta]],Estructura_Balance[Nombre Cuenta ()],Estructura_Balance[Nivel 3],"",0)</f>
        <v/>
      </c>
      <c r="Q1095" t="str">
        <f>_xlfn.XLOOKUP(Table3[[#This Row],[Cuenta]],Estructura_Balance[Nombre Cuenta ()],Estructura_Balance[Nivel 4],"",0)</f>
        <v/>
      </c>
      <c r="R1095" t="str">
        <f>_xlfn.XLOOKUP(Table3[[#This Row],[Cuenta]],Table8[Nombre Cuenta ()],Table8[Nivel 1],"",0)</f>
        <v/>
      </c>
      <c r="S1095" t="str">
        <f>_xlfn.XLOOKUP(Table3[[#This Row],[Cuenta]],Table8[Nombre Cuenta ()],Table8[Nivel 2],"",0)</f>
        <v/>
      </c>
      <c r="T1095" t="str">
        <f>_xlfn.XLOOKUP(Table3[[#This Row],[Cuenta]],Table8[Nombre Cuenta ()],Table8[Nivel 3],"",0)</f>
        <v/>
      </c>
      <c r="U1095">
        <v>1834</v>
      </c>
      <c r="V1095" t="str">
        <f>_xlfn.XLOOKUP(Table3[[#This Row],[Cuenta]],Estructura_Balance[Nombre Cuenta ()],Estructura_Balance[Niveles:2],"",0)</f>
        <v/>
      </c>
      <c r="W1095" t="str">
        <f>_xlfn.XLOOKUP(Table3[[#This Row],[Cuenta]],Estructura_Balance[Nombre Cuenta ()],Estructura_Balance[Niveles:3],"",0)</f>
        <v/>
      </c>
      <c r="X1095" t="str">
        <f>_xlfn.XLOOKUP(Table3[[#This Row],[Cuenta]],Estructura_Balance[Nombre Cuenta ()],Estructura_Balance[Grupos],"Grupo 1",0)</f>
        <v>Grupo 1</v>
      </c>
      <c r="Y1095" t="str">
        <f>+Table3[[#This Row],[BS_Nivel_1]]</f>
        <v/>
      </c>
    </row>
    <row r="1096" spans="1:25" ht="15" customHeight="1">
      <c r="A1096">
        <f>+'Libro Diario'!F442</f>
        <v>0</v>
      </c>
      <c r="B1096" s="144">
        <f>VALUE(IF(+'Libro Diario'!G442="","01/01/2025",+'Libro Diario'!G442))</f>
        <v>45658</v>
      </c>
      <c r="C1096">
        <f>IF(ISNUMBER(+IF(IFERROR(VALUE(MID('Libro Diario'!D442,1,4)),0)&lt;&gt;0,'Libro Diario'!D442,0))=FALSE,'Libro Diario'!D442,0)</f>
        <v>0</v>
      </c>
      <c r="D1096" s="145">
        <f>+'Libro Diario'!E442</f>
        <v>0</v>
      </c>
      <c r="E1096" s="139" t="s">
        <v>446</v>
      </c>
      <c r="F1096" t="str">
        <f t="shared" si="51"/>
        <v>Sin Mov.</v>
      </c>
      <c r="G1096" t="str">
        <f>IF(+'Libro Diario'!H442=0,"",+'Libro Diario'!H442)</f>
        <v/>
      </c>
      <c r="H1096" t="str">
        <f>IF(+'Libro Diario'!I442=0,"",+'Libro Diario'!I442)</f>
        <v/>
      </c>
      <c r="I1096" t="str">
        <f>+IF(Table3[[#This Row],[Tipo Movimiento]]="Estructura Balance y PyG","Excluir","Incluir")</f>
        <v>Incluir</v>
      </c>
      <c r="J1096" s="153">
        <f>+IF(Table3[[#This Row],[Sin cuenta]]="Con Mov.",(IF(Table3[[#This Row],[Movimiento]]="Debe",Table3[[#This Row],[Importe]],IF(Table3[[#This Row],[Movimiento]]="Haber",Table3[[#This Row],[Importe]]*-1,0))),0)</f>
        <v>0</v>
      </c>
      <c r="K1096" s="145" t="str">
        <f t="shared" si="52"/>
        <v/>
      </c>
      <c r="L1096" s="145">
        <f t="shared" si="53"/>
        <v>0</v>
      </c>
      <c r="M1096" t="str">
        <f>_xlfn.XLOOKUP(Table3[[#This Row],[Cuenta]],Estructura_Balance[Nombre Cuenta ()],Estructura_Balance[Grupo],"",0)</f>
        <v/>
      </c>
      <c r="N1096" t="str">
        <f>_xlfn.XLOOKUP(Table3[[#This Row],[Cuenta]],Estructura_Balance[Nombre Cuenta ()],Estructura_Balance[Nivel 1],"",0)</f>
        <v/>
      </c>
      <c r="O1096" t="str">
        <f>_xlfn.XLOOKUP(Table3[[#This Row],[Cuenta]],Estructura_Balance[Nombre Cuenta ()],Estructura_Balance[Nivel 2],"",0)</f>
        <v/>
      </c>
      <c r="P1096" t="str">
        <f>_xlfn.XLOOKUP(Table3[[#This Row],[Cuenta]],Estructura_Balance[Nombre Cuenta ()],Estructura_Balance[Nivel 3],"",0)</f>
        <v/>
      </c>
      <c r="Q1096" t="str">
        <f>_xlfn.XLOOKUP(Table3[[#This Row],[Cuenta]],Estructura_Balance[Nombre Cuenta ()],Estructura_Balance[Nivel 4],"",0)</f>
        <v/>
      </c>
      <c r="R1096" t="str">
        <f>_xlfn.XLOOKUP(Table3[[#This Row],[Cuenta]],Table8[Nombre Cuenta ()],Table8[Nivel 1],"",0)</f>
        <v/>
      </c>
      <c r="S1096" t="str">
        <f>_xlfn.XLOOKUP(Table3[[#This Row],[Cuenta]],Table8[Nombre Cuenta ()],Table8[Nivel 2],"",0)</f>
        <v/>
      </c>
      <c r="T1096" t="str">
        <f>_xlfn.XLOOKUP(Table3[[#This Row],[Cuenta]],Table8[Nombre Cuenta ()],Table8[Nivel 3],"",0)</f>
        <v/>
      </c>
      <c r="U1096">
        <v>1835</v>
      </c>
      <c r="V1096" t="str">
        <f>_xlfn.XLOOKUP(Table3[[#This Row],[Cuenta]],Estructura_Balance[Nombre Cuenta ()],Estructura_Balance[Niveles:2],"",0)</f>
        <v/>
      </c>
      <c r="W1096" t="str">
        <f>_xlfn.XLOOKUP(Table3[[#This Row],[Cuenta]],Estructura_Balance[Nombre Cuenta ()],Estructura_Balance[Niveles:3],"",0)</f>
        <v/>
      </c>
      <c r="X1096" t="str">
        <f>_xlfn.XLOOKUP(Table3[[#This Row],[Cuenta]],Estructura_Balance[Nombre Cuenta ()],Estructura_Balance[Grupos],"Grupo 1",0)</f>
        <v>Grupo 1</v>
      </c>
      <c r="Y1096" t="str">
        <f>+Table3[[#This Row],[BS_Nivel_1]]</f>
        <v/>
      </c>
    </row>
    <row r="1097" spans="1:25" ht="15" customHeight="1">
      <c r="A1097">
        <f>+'Libro Diario'!F445</f>
        <v>0</v>
      </c>
      <c r="B1097" s="144">
        <f>VALUE(IF(+'Libro Diario'!G445="","01/01/2025",+'Libro Diario'!G445))</f>
        <v>45658</v>
      </c>
      <c r="C1097">
        <f>IF(ISNUMBER(+IF(IFERROR(VALUE(MID('Libro Diario'!D445,1,4)),0)&lt;&gt;0,'Libro Diario'!D445,0))=FALSE,'Libro Diario'!D445,0)</f>
        <v>0</v>
      </c>
      <c r="D1097" s="145">
        <f>+'Libro Diario'!E445</f>
        <v>0</v>
      </c>
      <c r="E1097" s="139" t="s">
        <v>446</v>
      </c>
      <c r="F1097" t="str">
        <f t="shared" si="51"/>
        <v>Sin Mov.</v>
      </c>
      <c r="G1097" t="str">
        <f>IF(+'Libro Diario'!H445=0,"",+'Libro Diario'!H445)</f>
        <v/>
      </c>
      <c r="H1097" t="str">
        <f>IF(+'Libro Diario'!I445=0,"",+'Libro Diario'!I445)</f>
        <v/>
      </c>
      <c r="I1097" t="str">
        <f>+IF(Table3[[#This Row],[Tipo Movimiento]]="Estructura Balance y PyG","Excluir","Incluir")</f>
        <v>Incluir</v>
      </c>
      <c r="J1097" s="153">
        <f>+IF(Table3[[#This Row],[Sin cuenta]]="Con Mov.",(IF(Table3[[#This Row],[Movimiento]]="Debe",Table3[[#This Row],[Importe]],IF(Table3[[#This Row],[Movimiento]]="Haber",Table3[[#This Row],[Importe]]*-1,0))),0)</f>
        <v>0</v>
      </c>
      <c r="K1097" s="145" t="str">
        <f t="shared" si="52"/>
        <v/>
      </c>
      <c r="L1097" s="145">
        <f t="shared" si="53"/>
        <v>0</v>
      </c>
      <c r="M1097" t="str">
        <f>_xlfn.XLOOKUP(Table3[[#This Row],[Cuenta]],Estructura_Balance[Nombre Cuenta ()],Estructura_Balance[Grupo],"",0)</f>
        <v/>
      </c>
      <c r="N1097" t="str">
        <f>_xlfn.XLOOKUP(Table3[[#This Row],[Cuenta]],Estructura_Balance[Nombre Cuenta ()],Estructura_Balance[Nivel 1],"",0)</f>
        <v/>
      </c>
      <c r="O1097" t="str">
        <f>_xlfn.XLOOKUP(Table3[[#This Row],[Cuenta]],Estructura_Balance[Nombre Cuenta ()],Estructura_Balance[Nivel 2],"",0)</f>
        <v/>
      </c>
      <c r="P1097" t="str">
        <f>_xlfn.XLOOKUP(Table3[[#This Row],[Cuenta]],Estructura_Balance[Nombre Cuenta ()],Estructura_Balance[Nivel 3],"",0)</f>
        <v/>
      </c>
      <c r="Q1097" t="str">
        <f>_xlfn.XLOOKUP(Table3[[#This Row],[Cuenta]],Estructura_Balance[Nombre Cuenta ()],Estructura_Balance[Nivel 4],"",0)</f>
        <v/>
      </c>
      <c r="R1097" t="str">
        <f>_xlfn.XLOOKUP(Table3[[#This Row],[Cuenta]],Table8[Nombre Cuenta ()],Table8[Nivel 1],"",0)</f>
        <v/>
      </c>
      <c r="S1097" t="str">
        <f>_xlfn.XLOOKUP(Table3[[#This Row],[Cuenta]],Table8[Nombre Cuenta ()],Table8[Nivel 2],"",0)</f>
        <v/>
      </c>
      <c r="T1097" t="str">
        <f>_xlfn.XLOOKUP(Table3[[#This Row],[Cuenta]],Table8[Nombre Cuenta ()],Table8[Nivel 3],"",0)</f>
        <v/>
      </c>
      <c r="U1097">
        <v>1838</v>
      </c>
      <c r="V1097" t="str">
        <f>_xlfn.XLOOKUP(Table3[[#This Row],[Cuenta]],Estructura_Balance[Nombre Cuenta ()],Estructura_Balance[Niveles:2],"",0)</f>
        <v/>
      </c>
      <c r="W1097" t="str">
        <f>_xlfn.XLOOKUP(Table3[[#This Row],[Cuenta]],Estructura_Balance[Nombre Cuenta ()],Estructura_Balance[Niveles:3],"",0)</f>
        <v/>
      </c>
      <c r="X1097" t="str">
        <f>_xlfn.XLOOKUP(Table3[[#This Row],[Cuenta]],Estructura_Balance[Nombre Cuenta ()],Estructura_Balance[Grupos],"Grupo 1",0)</f>
        <v>Grupo 1</v>
      </c>
      <c r="Y1097" t="str">
        <f>+Table3[[#This Row],[BS_Nivel_1]]</f>
        <v/>
      </c>
    </row>
    <row r="1098" spans="1:25" ht="15" customHeight="1">
      <c r="A1098">
        <f>+'Libro Diario'!F446</f>
        <v>0</v>
      </c>
      <c r="B1098" s="144">
        <f>VALUE(IF(+'Libro Diario'!G446="","01/01/2025",+'Libro Diario'!G446))</f>
        <v>45658</v>
      </c>
      <c r="C1098">
        <f>IF(ISNUMBER(+IF(IFERROR(VALUE(MID('Libro Diario'!D446,1,4)),0)&lt;&gt;0,'Libro Diario'!D446,0))=FALSE,'Libro Diario'!D446,0)</f>
        <v>0</v>
      </c>
      <c r="D1098" s="145">
        <f>+'Libro Diario'!E446</f>
        <v>0</v>
      </c>
      <c r="E1098" s="139" t="s">
        <v>446</v>
      </c>
      <c r="F1098" t="str">
        <f t="shared" si="51"/>
        <v>Sin Mov.</v>
      </c>
      <c r="G1098" t="str">
        <f>IF(+'Libro Diario'!H446=0,"",+'Libro Diario'!H446)</f>
        <v/>
      </c>
      <c r="H1098" t="str">
        <f>IF(+'Libro Diario'!I446=0,"",+'Libro Diario'!I446)</f>
        <v/>
      </c>
      <c r="I1098" t="str">
        <f>+IF(Table3[[#This Row],[Tipo Movimiento]]="Estructura Balance y PyG","Excluir","Incluir")</f>
        <v>Incluir</v>
      </c>
      <c r="J1098" s="153">
        <f>+IF(Table3[[#This Row],[Sin cuenta]]="Con Mov.",(IF(Table3[[#This Row],[Movimiento]]="Debe",Table3[[#This Row],[Importe]],IF(Table3[[#This Row],[Movimiento]]="Haber",Table3[[#This Row],[Importe]]*-1,0))),0)</f>
        <v>0</v>
      </c>
      <c r="K1098" s="145" t="str">
        <f t="shared" si="52"/>
        <v/>
      </c>
      <c r="L1098" s="145">
        <f t="shared" si="53"/>
        <v>0</v>
      </c>
      <c r="M1098" t="str">
        <f>_xlfn.XLOOKUP(Table3[[#This Row],[Cuenta]],Estructura_Balance[Nombre Cuenta ()],Estructura_Balance[Grupo],"",0)</f>
        <v/>
      </c>
      <c r="N1098" t="str">
        <f>_xlfn.XLOOKUP(Table3[[#This Row],[Cuenta]],Estructura_Balance[Nombre Cuenta ()],Estructura_Balance[Nivel 1],"",0)</f>
        <v/>
      </c>
      <c r="O1098" t="str">
        <f>_xlfn.XLOOKUP(Table3[[#This Row],[Cuenta]],Estructura_Balance[Nombre Cuenta ()],Estructura_Balance[Nivel 2],"",0)</f>
        <v/>
      </c>
      <c r="P1098" t="str">
        <f>_xlfn.XLOOKUP(Table3[[#This Row],[Cuenta]],Estructura_Balance[Nombre Cuenta ()],Estructura_Balance[Nivel 3],"",0)</f>
        <v/>
      </c>
      <c r="Q1098" t="str">
        <f>_xlfn.XLOOKUP(Table3[[#This Row],[Cuenta]],Estructura_Balance[Nombre Cuenta ()],Estructura_Balance[Nivel 4],"",0)</f>
        <v/>
      </c>
      <c r="R1098" t="str">
        <f>_xlfn.XLOOKUP(Table3[[#This Row],[Cuenta]],Table8[Nombre Cuenta ()],Table8[Nivel 1],"",0)</f>
        <v/>
      </c>
      <c r="S1098" t="str">
        <f>_xlfn.XLOOKUP(Table3[[#This Row],[Cuenta]],Table8[Nombre Cuenta ()],Table8[Nivel 2],"",0)</f>
        <v/>
      </c>
      <c r="T1098" t="str">
        <f>_xlfn.XLOOKUP(Table3[[#This Row],[Cuenta]],Table8[Nombre Cuenta ()],Table8[Nivel 3],"",0)</f>
        <v/>
      </c>
      <c r="U1098">
        <v>1839</v>
      </c>
      <c r="V1098" t="str">
        <f>_xlfn.XLOOKUP(Table3[[#This Row],[Cuenta]],Estructura_Balance[Nombre Cuenta ()],Estructura_Balance[Niveles:2],"",0)</f>
        <v/>
      </c>
      <c r="W1098" t="str">
        <f>_xlfn.XLOOKUP(Table3[[#This Row],[Cuenta]],Estructura_Balance[Nombre Cuenta ()],Estructura_Balance[Niveles:3],"",0)</f>
        <v/>
      </c>
      <c r="X1098" t="str">
        <f>_xlfn.XLOOKUP(Table3[[#This Row],[Cuenta]],Estructura_Balance[Nombre Cuenta ()],Estructura_Balance[Grupos],"Grupo 1",0)</f>
        <v>Grupo 1</v>
      </c>
      <c r="Y1098" t="str">
        <f>+Table3[[#This Row],[BS_Nivel_1]]</f>
        <v/>
      </c>
    </row>
    <row r="1099" spans="1:25" ht="15" customHeight="1">
      <c r="A1099">
        <f>+'Libro Diario'!F447</f>
        <v>0</v>
      </c>
      <c r="B1099" s="144">
        <f>VALUE(IF(+'Libro Diario'!G447="","01/01/2025",+'Libro Diario'!G447))</f>
        <v>45658</v>
      </c>
      <c r="C1099">
        <f>IF(ISNUMBER(+IF(IFERROR(VALUE(MID('Libro Diario'!D447,1,4)),0)&lt;&gt;0,'Libro Diario'!D447,0))=FALSE,'Libro Diario'!D447,0)</f>
        <v>0</v>
      </c>
      <c r="D1099" s="145">
        <f>+'Libro Diario'!E447</f>
        <v>0</v>
      </c>
      <c r="E1099" s="139" t="s">
        <v>446</v>
      </c>
      <c r="F1099" t="str">
        <f t="shared" si="51"/>
        <v>Sin Mov.</v>
      </c>
      <c r="G1099" t="str">
        <f>IF(+'Libro Diario'!H447=0,"",+'Libro Diario'!H447)</f>
        <v/>
      </c>
      <c r="H1099" t="str">
        <f>IF(+'Libro Diario'!I447=0,"",+'Libro Diario'!I447)</f>
        <v/>
      </c>
      <c r="I1099" t="str">
        <f>+IF(Table3[[#This Row],[Tipo Movimiento]]="Estructura Balance y PyG","Excluir","Incluir")</f>
        <v>Incluir</v>
      </c>
      <c r="J1099" s="153">
        <f>+IF(Table3[[#This Row],[Sin cuenta]]="Con Mov.",(IF(Table3[[#This Row],[Movimiento]]="Debe",Table3[[#This Row],[Importe]],IF(Table3[[#This Row],[Movimiento]]="Haber",Table3[[#This Row],[Importe]]*-1,0))),0)</f>
        <v>0</v>
      </c>
      <c r="K1099" s="145" t="str">
        <f t="shared" si="52"/>
        <v/>
      </c>
      <c r="L1099" s="145">
        <f t="shared" si="53"/>
        <v>0</v>
      </c>
      <c r="M1099" t="str">
        <f>_xlfn.XLOOKUP(Table3[[#This Row],[Cuenta]],Estructura_Balance[Nombre Cuenta ()],Estructura_Balance[Grupo],"",0)</f>
        <v/>
      </c>
      <c r="N1099" t="str">
        <f>_xlfn.XLOOKUP(Table3[[#This Row],[Cuenta]],Estructura_Balance[Nombre Cuenta ()],Estructura_Balance[Nivel 1],"",0)</f>
        <v/>
      </c>
      <c r="O1099" t="str">
        <f>_xlfn.XLOOKUP(Table3[[#This Row],[Cuenta]],Estructura_Balance[Nombre Cuenta ()],Estructura_Balance[Nivel 2],"",0)</f>
        <v/>
      </c>
      <c r="P1099" t="str">
        <f>_xlfn.XLOOKUP(Table3[[#This Row],[Cuenta]],Estructura_Balance[Nombre Cuenta ()],Estructura_Balance[Nivel 3],"",0)</f>
        <v/>
      </c>
      <c r="Q1099" t="str">
        <f>_xlfn.XLOOKUP(Table3[[#This Row],[Cuenta]],Estructura_Balance[Nombre Cuenta ()],Estructura_Balance[Nivel 4],"",0)</f>
        <v/>
      </c>
      <c r="R1099" t="str">
        <f>_xlfn.XLOOKUP(Table3[[#This Row],[Cuenta]],Table8[Nombre Cuenta ()],Table8[Nivel 1],"",0)</f>
        <v/>
      </c>
      <c r="S1099" t="str">
        <f>_xlfn.XLOOKUP(Table3[[#This Row],[Cuenta]],Table8[Nombre Cuenta ()],Table8[Nivel 2],"",0)</f>
        <v/>
      </c>
      <c r="T1099" t="str">
        <f>_xlfn.XLOOKUP(Table3[[#This Row],[Cuenta]],Table8[Nombre Cuenta ()],Table8[Nivel 3],"",0)</f>
        <v/>
      </c>
      <c r="U1099">
        <v>1840</v>
      </c>
      <c r="V1099" t="str">
        <f>_xlfn.XLOOKUP(Table3[[#This Row],[Cuenta]],Estructura_Balance[Nombre Cuenta ()],Estructura_Balance[Niveles:2],"",0)</f>
        <v/>
      </c>
      <c r="W1099" t="str">
        <f>_xlfn.XLOOKUP(Table3[[#This Row],[Cuenta]],Estructura_Balance[Nombre Cuenta ()],Estructura_Balance[Niveles:3],"",0)</f>
        <v/>
      </c>
      <c r="X1099" t="str">
        <f>_xlfn.XLOOKUP(Table3[[#This Row],[Cuenta]],Estructura_Balance[Nombre Cuenta ()],Estructura_Balance[Grupos],"Grupo 1",0)</f>
        <v>Grupo 1</v>
      </c>
      <c r="Y1099" t="str">
        <f>+Table3[[#This Row],[BS_Nivel_1]]</f>
        <v/>
      </c>
    </row>
    <row r="1100" spans="1:25" ht="15" customHeight="1">
      <c r="A1100">
        <f>+'Libro Diario'!F448</f>
        <v>0</v>
      </c>
      <c r="B1100" s="144">
        <f>VALUE(IF(+'Libro Diario'!G448="","01/01/2025",+'Libro Diario'!G448))</f>
        <v>45658</v>
      </c>
      <c r="C1100">
        <f>IF(ISNUMBER(+IF(IFERROR(VALUE(MID('Libro Diario'!D448,1,4)),0)&lt;&gt;0,'Libro Diario'!D448,0))=FALSE,'Libro Diario'!D448,0)</f>
        <v>0</v>
      </c>
      <c r="D1100" s="145" t="str">
        <f>+'Libro Diario'!E448</f>
        <v>HABER</v>
      </c>
      <c r="E1100" s="139" t="s">
        <v>446</v>
      </c>
      <c r="F1100" t="str">
        <f t="shared" si="51"/>
        <v>Sin Mov.</v>
      </c>
      <c r="G1100" t="str">
        <f>IF(+'Libro Diario'!H448=0,"",+'Libro Diario'!H448)</f>
        <v/>
      </c>
      <c r="H1100" t="str">
        <f>IF(+'Libro Diario'!I448=0,"",+'Libro Diario'!I448)</f>
        <v/>
      </c>
      <c r="I1100" t="str">
        <f>+IF(Table3[[#This Row],[Tipo Movimiento]]="Estructura Balance y PyG","Excluir","Incluir")</f>
        <v>Incluir</v>
      </c>
      <c r="J1100" s="153">
        <f>+IF(Table3[[#This Row],[Sin cuenta]]="Con Mov.",(IF(Table3[[#This Row],[Movimiento]]="Debe",Table3[[#This Row],[Importe]],IF(Table3[[#This Row],[Movimiento]]="Haber",Table3[[#This Row],[Importe]]*-1,0))),0)</f>
        <v>0</v>
      </c>
      <c r="K1100" s="145" t="str">
        <f t="shared" si="52"/>
        <v/>
      </c>
      <c r="L1100" s="145" t="str">
        <f t="shared" si="53"/>
        <v>HABER</v>
      </c>
      <c r="M1100" t="str">
        <f>_xlfn.XLOOKUP(Table3[[#This Row],[Cuenta]],Estructura_Balance[Nombre Cuenta ()],Estructura_Balance[Grupo],"",0)</f>
        <v/>
      </c>
      <c r="N1100" t="str">
        <f>_xlfn.XLOOKUP(Table3[[#This Row],[Cuenta]],Estructura_Balance[Nombre Cuenta ()],Estructura_Balance[Nivel 1],"",0)</f>
        <v/>
      </c>
      <c r="O1100" t="str">
        <f>_xlfn.XLOOKUP(Table3[[#This Row],[Cuenta]],Estructura_Balance[Nombre Cuenta ()],Estructura_Balance[Nivel 2],"",0)</f>
        <v/>
      </c>
      <c r="P1100" t="str">
        <f>_xlfn.XLOOKUP(Table3[[#This Row],[Cuenta]],Estructura_Balance[Nombre Cuenta ()],Estructura_Balance[Nivel 3],"",0)</f>
        <v/>
      </c>
      <c r="Q1100" t="str">
        <f>_xlfn.XLOOKUP(Table3[[#This Row],[Cuenta]],Estructura_Balance[Nombre Cuenta ()],Estructura_Balance[Nivel 4],"",0)</f>
        <v/>
      </c>
      <c r="R1100" t="str">
        <f>_xlfn.XLOOKUP(Table3[[#This Row],[Cuenta]],Table8[Nombre Cuenta ()],Table8[Nivel 1],"",0)</f>
        <v/>
      </c>
      <c r="S1100" t="str">
        <f>_xlfn.XLOOKUP(Table3[[#This Row],[Cuenta]],Table8[Nombre Cuenta ()],Table8[Nivel 2],"",0)</f>
        <v/>
      </c>
      <c r="T1100" t="str">
        <f>_xlfn.XLOOKUP(Table3[[#This Row],[Cuenta]],Table8[Nombre Cuenta ()],Table8[Nivel 3],"",0)</f>
        <v/>
      </c>
      <c r="U1100">
        <v>1841</v>
      </c>
      <c r="V1100" t="str">
        <f>_xlfn.XLOOKUP(Table3[[#This Row],[Cuenta]],Estructura_Balance[Nombre Cuenta ()],Estructura_Balance[Niveles:2],"",0)</f>
        <v/>
      </c>
      <c r="W1100" t="str">
        <f>_xlfn.XLOOKUP(Table3[[#This Row],[Cuenta]],Estructura_Balance[Nombre Cuenta ()],Estructura_Balance[Niveles:3],"",0)</f>
        <v/>
      </c>
      <c r="X1100" t="str">
        <f>_xlfn.XLOOKUP(Table3[[#This Row],[Cuenta]],Estructura_Balance[Nombre Cuenta ()],Estructura_Balance[Grupos],"Grupo 1",0)</f>
        <v>Grupo 1</v>
      </c>
      <c r="Y1100" t="str">
        <f>+Table3[[#This Row],[BS_Nivel_1]]</f>
        <v/>
      </c>
    </row>
    <row r="1101" spans="1:25" ht="15" customHeight="1">
      <c r="A1101">
        <f>+'Libro Diario'!F449</f>
        <v>0</v>
      </c>
      <c r="B1101" s="144">
        <f>VALUE(IF(+'Libro Diario'!G449="","01/01/2025",+'Libro Diario'!G449))</f>
        <v>45658</v>
      </c>
      <c r="C1101">
        <f>IF(ISNUMBER(+IF(IFERROR(VALUE(MID('Libro Diario'!D449,1,4)),0)&lt;&gt;0,'Libro Diario'!D449,0))=FALSE,'Libro Diario'!D449,0)</f>
        <v>0</v>
      </c>
      <c r="D1101" s="145">
        <f>+'Libro Diario'!E449</f>
        <v>0</v>
      </c>
      <c r="E1101" s="139" t="s">
        <v>446</v>
      </c>
      <c r="F1101" t="str">
        <f t="shared" si="51"/>
        <v>Sin Mov.</v>
      </c>
      <c r="G1101" t="str">
        <f>IF(+'Libro Diario'!H449=0,"",+'Libro Diario'!H449)</f>
        <v/>
      </c>
      <c r="H1101" t="str">
        <f>IF(+'Libro Diario'!I449=0,"",+'Libro Diario'!I449)</f>
        <v/>
      </c>
      <c r="I1101" t="str">
        <f>+IF(Table3[[#This Row],[Tipo Movimiento]]="Estructura Balance y PyG","Excluir","Incluir")</f>
        <v>Incluir</v>
      </c>
      <c r="J1101" s="153">
        <f>+IF(Table3[[#This Row],[Sin cuenta]]="Con Mov.",(IF(Table3[[#This Row],[Movimiento]]="Debe",Table3[[#This Row],[Importe]],IF(Table3[[#This Row],[Movimiento]]="Haber",Table3[[#This Row],[Importe]]*-1,0))),0)</f>
        <v>0</v>
      </c>
      <c r="K1101" s="145" t="str">
        <f t="shared" si="52"/>
        <v/>
      </c>
      <c r="L1101" s="145">
        <f t="shared" si="53"/>
        <v>0</v>
      </c>
      <c r="M1101" t="str">
        <f>_xlfn.XLOOKUP(Table3[[#This Row],[Cuenta]],Estructura_Balance[Nombre Cuenta ()],Estructura_Balance[Grupo],"",0)</f>
        <v/>
      </c>
      <c r="N1101" t="str">
        <f>_xlfn.XLOOKUP(Table3[[#This Row],[Cuenta]],Estructura_Balance[Nombre Cuenta ()],Estructura_Balance[Nivel 1],"",0)</f>
        <v/>
      </c>
      <c r="O1101" t="str">
        <f>_xlfn.XLOOKUP(Table3[[#This Row],[Cuenta]],Estructura_Balance[Nombre Cuenta ()],Estructura_Balance[Nivel 2],"",0)</f>
        <v/>
      </c>
      <c r="P1101" t="str">
        <f>_xlfn.XLOOKUP(Table3[[#This Row],[Cuenta]],Estructura_Balance[Nombre Cuenta ()],Estructura_Balance[Nivel 3],"",0)</f>
        <v/>
      </c>
      <c r="Q1101" t="str">
        <f>_xlfn.XLOOKUP(Table3[[#This Row],[Cuenta]],Estructura_Balance[Nombre Cuenta ()],Estructura_Balance[Nivel 4],"",0)</f>
        <v/>
      </c>
      <c r="R1101" t="str">
        <f>_xlfn.XLOOKUP(Table3[[#This Row],[Cuenta]],Table8[Nombre Cuenta ()],Table8[Nivel 1],"",0)</f>
        <v/>
      </c>
      <c r="S1101" t="str">
        <f>_xlfn.XLOOKUP(Table3[[#This Row],[Cuenta]],Table8[Nombre Cuenta ()],Table8[Nivel 2],"",0)</f>
        <v/>
      </c>
      <c r="T1101" t="str">
        <f>_xlfn.XLOOKUP(Table3[[#This Row],[Cuenta]],Table8[Nombre Cuenta ()],Table8[Nivel 3],"",0)</f>
        <v/>
      </c>
      <c r="U1101">
        <v>1842</v>
      </c>
      <c r="V1101" t="str">
        <f>_xlfn.XLOOKUP(Table3[[#This Row],[Cuenta]],Estructura_Balance[Nombre Cuenta ()],Estructura_Balance[Niveles:2],"",0)</f>
        <v/>
      </c>
      <c r="W1101" t="str">
        <f>_xlfn.XLOOKUP(Table3[[#This Row],[Cuenta]],Estructura_Balance[Nombre Cuenta ()],Estructura_Balance[Niveles:3],"",0)</f>
        <v/>
      </c>
      <c r="X1101" t="str">
        <f>_xlfn.XLOOKUP(Table3[[#This Row],[Cuenta]],Estructura_Balance[Nombre Cuenta ()],Estructura_Balance[Grupos],"Grupo 1",0)</f>
        <v>Grupo 1</v>
      </c>
      <c r="Y1101" t="str">
        <f>+Table3[[#This Row],[BS_Nivel_1]]</f>
        <v/>
      </c>
    </row>
    <row r="1102" spans="1:25" ht="15" customHeight="1">
      <c r="A1102">
        <f>+'Libro Diario'!F452</f>
        <v>0</v>
      </c>
      <c r="B1102" s="144">
        <f>VALUE(IF(+'Libro Diario'!G452="","01/01/2025",+'Libro Diario'!G452))</f>
        <v>45658</v>
      </c>
      <c r="C1102">
        <f>IF(ISNUMBER(+IF(IFERROR(VALUE(MID('Libro Diario'!D452,1,4)),0)&lt;&gt;0,'Libro Diario'!D452,0))=FALSE,'Libro Diario'!D452,0)</f>
        <v>0</v>
      </c>
      <c r="D1102" s="145">
        <f>+'Libro Diario'!E452</f>
        <v>0</v>
      </c>
      <c r="E1102" s="139" t="s">
        <v>446</v>
      </c>
      <c r="F1102" t="str">
        <f t="shared" si="51"/>
        <v>Sin Mov.</v>
      </c>
      <c r="G1102" t="str">
        <f>IF(+'Libro Diario'!H452=0,"",+'Libro Diario'!H452)</f>
        <v/>
      </c>
      <c r="H1102" t="str">
        <f>IF(+'Libro Diario'!I452=0,"",+'Libro Diario'!I452)</f>
        <v/>
      </c>
      <c r="I1102" t="str">
        <f>+IF(Table3[[#This Row],[Tipo Movimiento]]="Estructura Balance y PyG","Excluir","Incluir")</f>
        <v>Incluir</v>
      </c>
      <c r="J1102" s="153">
        <f>+IF(Table3[[#This Row],[Sin cuenta]]="Con Mov.",(IF(Table3[[#This Row],[Movimiento]]="Debe",Table3[[#This Row],[Importe]],IF(Table3[[#This Row],[Movimiento]]="Haber",Table3[[#This Row],[Importe]]*-1,0))),0)</f>
        <v>0</v>
      </c>
      <c r="K1102" s="145" t="str">
        <f t="shared" si="52"/>
        <v/>
      </c>
      <c r="L1102" s="145">
        <f t="shared" si="53"/>
        <v>0</v>
      </c>
      <c r="M1102" t="str">
        <f>_xlfn.XLOOKUP(Table3[[#This Row],[Cuenta]],Estructura_Balance[Nombre Cuenta ()],Estructura_Balance[Grupo],"",0)</f>
        <v/>
      </c>
      <c r="N1102" t="str">
        <f>_xlfn.XLOOKUP(Table3[[#This Row],[Cuenta]],Estructura_Balance[Nombre Cuenta ()],Estructura_Balance[Nivel 1],"",0)</f>
        <v/>
      </c>
      <c r="O1102" t="str">
        <f>_xlfn.XLOOKUP(Table3[[#This Row],[Cuenta]],Estructura_Balance[Nombre Cuenta ()],Estructura_Balance[Nivel 2],"",0)</f>
        <v/>
      </c>
      <c r="P1102" t="str">
        <f>_xlfn.XLOOKUP(Table3[[#This Row],[Cuenta]],Estructura_Balance[Nombre Cuenta ()],Estructura_Balance[Nivel 3],"",0)</f>
        <v/>
      </c>
      <c r="Q1102" t="str">
        <f>_xlfn.XLOOKUP(Table3[[#This Row],[Cuenta]],Estructura_Balance[Nombre Cuenta ()],Estructura_Balance[Nivel 4],"",0)</f>
        <v/>
      </c>
      <c r="R1102" t="str">
        <f>_xlfn.XLOOKUP(Table3[[#This Row],[Cuenta]],Table8[Nombre Cuenta ()],Table8[Nivel 1],"",0)</f>
        <v/>
      </c>
      <c r="S1102" t="str">
        <f>_xlfn.XLOOKUP(Table3[[#This Row],[Cuenta]],Table8[Nombre Cuenta ()],Table8[Nivel 2],"",0)</f>
        <v/>
      </c>
      <c r="T1102" t="str">
        <f>_xlfn.XLOOKUP(Table3[[#This Row],[Cuenta]],Table8[Nombre Cuenta ()],Table8[Nivel 3],"",0)</f>
        <v/>
      </c>
      <c r="U1102">
        <v>1845</v>
      </c>
      <c r="V1102" t="str">
        <f>_xlfn.XLOOKUP(Table3[[#This Row],[Cuenta]],Estructura_Balance[Nombre Cuenta ()],Estructura_Balance[Niveles:2],"",0)</f>
        <v/>
      </c>
      <c r="W1102" t="str">
        <f>_xlfn.XLOOKUP(Table3[[#This Row],[Cuenta]],Estructura_Balance[Nombre Cuenta ()],Estructura_Balance[Niveles:3],"",0)</f>
        <v/>
      </c>
      <c r="X1102" t="str">
        <f>_xlfn.XLOOKUP(Table3[[#This Row],[Cuenta]],Estructura_Balance[Nombre Cuenta ()],Estructura_Balance[Grupos],"Grupo 1",0)</f>
        <v>Grupo 1</v>
      </c>
      <c r="Y1102" t="str">
        <f>+Table3[[#This Row],[BS_Nivel_1]]</f>
        <v/>
      </c>
    </row>
    <row r="1103" spans="1:25" ht="15" customHeight="1">
      <c r="A1103">
        <f>+'Libro Diario'!F453</f>
        <v>0</v>
      </c>
      <c r="B1103" s="144">
        <f>VALUE(IF(+'Libro Diario'!G453="","01/01/2025",+'Libro Diario'!G453))</f>
        <v>45658</v>
      </c>
      <c r="C1103">
        <f>IF(ISNUMBER(+IF(IFERROR(VALUE(MID('Libro Diario'!D453,1,4)),0)&lt;&gt;0,'Libro Diario'!D453,0))=FALSE,'Libro Diario'!D453,0)</f>
        <v>0</v>
      </c>
      <c r="D1103" s="145">
        <f>+'Libro Diario'!E453</f>
        <v>0</v>
      </c>
      <c r="E1103" s="139" t="s">
        <v>446</v>
      </c>
      <c r="F1103" t="str">
        <f t="shared" si="51"/>
        <v>Sin Mov.</v>
      </c>
      <c r="G1103" t="str">
        <f>IF(+'Libro Diario'!H453=0,"",+'Libro Diario'!H453)</f>
        <v/>
      </c>
      <c r="H1103" t="str">
        <f>IF(+'Libro Diario'!I453=0,"",+'Libro Diario'!I453)</f>
        <v/>
      </c>
      <c r="I1103" t="str">
        <f>+IF(Table3[[#This Row],[Tipo Movimiento]]="Estructura Balance y PyG","Excluir","Incluir")</f>
        <v>Incluir</v>
      </c>
      <c r="J1103" s="153">
        <f>+IF(Table3[[#This Row],[Sin cuenta]]="Con Mov.",(IF(Table3[[#This Row],[Movimiento]]="Debe",Table3[[#This Row],[Importe]],IF(Table3[[#This Row],[Movimiento]]="Haber",Table3[[#This Row],[Importe]]*-1,0))),0)</f>
        <v>0</v>
      </c>
      <c r="K1103" s="145" t="str">
        <f t="shared" si="52"/>
        <v/>
      </c>
      <c r="L1103" s="145">
        <f t="shared" si="53"/>
        <v>0</v>
      </c>
      <c r="M1103" t="str">
        <f>_xlfn.XLOOKUP(Table3[[#This Row],[Cuenta]],Estructura_Balance[Nombre Cuenta ()],Estructura_Balance[Grupo],"",0)</f>
        <v/>
      </c>
      <c r="N1103" t="str">
        <f>_xlfn.XLOOKUP(Table3[[#This Row],[Cuenta]],Estructura_Balance[Nombre Cuenta ()],Estructura_Balance[Nivel 1],"",0)</f>
        <v/>
      </c>
      <c r="O1103" t="str">
        <f>_xlfn.XLOOKUP(Table3[[#This Row],[Cuenta]],Estructura_Balance[Nombre Cuenta ()],Estructura_Balance[Nivel 2],"",0)</f>
        <v/>
      </c>
      <c r="P1103" t="str">
        <f>_xlfn.XLOOKUP(Table3[[#This Row],[Cuenta]],Estructura_Balance[Nombre Cuenta ()],Estructura_Balance[Nivel 3],"",0)</f>
        <v/>
      </c>
      <c r="Q1103" t="str">
        <f>_xlfn.XLOOKUP(Table3[[#This Row],[Cuenta]],Estructura_Balance[Nombre Cuenta ()],Estructura_Balance[Nivel 4],"",0)</f>
        <v/>
      </c>
      <c r="R1103" t="str">
        <f>_xlfn.XLOOKUP(Table3[[#This Row],[Cuenta]],Table8[Nombre Cuenta ()],Table8[Nivel 1],"",0)</f>
        <v/>
      </c>
      <c r="S1103" t="str">
        <f>_xlfn.XLOOKUP(Table3[[#This Row],[Cuenta]],Table8[Nombre Cuenta ()],Table8[Nivel 2],"",0)</f>
        <v/>
      </c>
      <c r="T1103" t="str">
        <f>_xlfn.XLOOKUP(Table3[[#This Row],[Cuenta]],Table8[Nombre Cuenta ()],Table8[Nivel 3],"",0)</f>
        <v/>
      </c>
      <c r="U1103">
        <v>1846</v>
      </c>
      <c r="V1103" t="str">
        <f>_xlfn.XLOOKUP(Table3[[#This Row],[Cuenta]],Estructura_Balance[Nombre Cuenta ()],Estructura_Balance[Niveles:2],"",0)</f>
        <v/>
      </c>
      <c r="W1103" t="str">
        <f>_xlfn.XLOOKUP(Table3[[#This Row],[Cuenta]],Estructura_Balance[Nombre Cuenta ()],Estructura_Balance[Niveles:3],"",0)</f>
        <v/>
      </c>
      <c r="X1103" t="str">
        <f>_xlfn.XLOOKUP(Table3[[#This Row],[Cuenta]],Estructura_Balance[Nombre Cuenta ()],Estructura_Balance[Grupos],"Grupo 1",0)</f>
        <v>Grupo 1</v>
      </c>
      <c r="Y1103" t="str">
        <f>+Table3[[#This Row],[BS_Nivel_1]]</f>
        <v/>
      </c>
    </row>
    <row r="1104" spans="1:25" ht="15" customHeight="1">
      <c r="A1104">
        <f>+'Libro Diario'!F454</f>
        <v>0</v>
      </c>
      <c r="B1104" s="144">
        <f>VALUE(IF(+'Libro Diario'!G454="","01/01/2025",+'Libro Diario'!G454))</f>
        <v>45658</v>
      </c>
      <c r="C1104">
        <f>IF(ISNUMBER(+IF(IFERROR(VALUE(MID('Libro Diario'!D454,1,4)),0)&lt;&gt;0,'Libro Diario'!D454,0))=FALSE,'Libro Diario'!D454,0)</f>
        <v>0</v>
      </c>
      <c r="D1104" s="145">
        <f>+'Libro Diario'!E454</f>
        <v>0</v>
      </c>
      <c r="E1104" s="139" t="s">
        <v>446</v>
      </c>
      <c r="F1104" t="str">
        <f t="shared" si="51"/>
        <v>Sin Mov.</v>
      </c>
      <c r="G1104" t="str">
        <f>IF(+'Libro Diario'!H454=0,"",+'Libro Diario'!H454)</f>
        <v/>
      </c>
      <c r="H1104" t="str">
        <f>IF(+'Libro Diario'!I454=0,"",+'Libro Diario'!I454)</f>
        <v/>
      </c>
      <c r="I1104" t="str">
        <f>+IF(Table3[[#This Row],[Tipo Movimiento]]="Estructura Balance y PyG","Excluir","Incluir")</f>
        <v>Incluir</v>
      </c>
      <c r="J1104" s="153">
        <f>+IF(Table3[[#This Row],[Sin cuenta]]="Con Mov.",(IF(Table3[[#This Row],[Movimiento]]="Debe",Table3[[#This Row],[Importe]],IF(Table3[[#This Row],[Movimiento]]="Haber",Table3[[#This Row],[Importe]]*-1,0))),0)</f>
        <v>0</v>
      </c>
      <c r="K1104" s="145" t="str">
        <f t="shared" si="52"/>
        <v/>
      </c>
      <c r="L1104" s="145">
        <f t="shared" si="53"/>
        <v>0</v>
      </c>
      <c r="M1104" t="str">
        <f>_xlfn.XLOOKUP(Table3[[#This Row],[Cuenta]],Estructura_Balance[Nombre Cuenta ()],Estructura_Balance[Grupo],"",0)</f>
        <v/>
      </c>
      <c r="N1104" t="str">
        <f>_xlfn.XLOOKUP(Table3[[#This Row],[Cuenta]],Estructura_Balance[Nombre Cuenta ()],Estructura_Balance[Nivel 1],"",0)</f>
        <v/>
      </c>
      <c r="O1104" t="str">
        <f>_xlfn.XLOOKUP(Table3[[#This Row],[Cuenta]],Estructura_Balance[Nombre Cuenta ()],Estructura_Balance[Nivel 2],"",0)</f>
        <v/>
      </c>
      <c r="P1104" t="str">
        <f>_xlfn.XLOOKUP(Table3[[#This Row],[Cuenta]],Estructura_Balance[Nombre Cuenta ()],Estructura_Balance[Nivel 3],"",0)</f>
        <v/>
      </c>
      <c r="Q1104" t="str">
        <f>_xlfn.XLOOKUP(Table3[[#This Row],[Cuenta]],Estructura_Balance[Nombre Cuenta ()],Estructura_Balance[Nivel 4],"",0)</f>
        <v/>
      </c>
      <c r="R1104" t="str">
        <f>_xlfn.XLOOKUP(Table3[[#This Row],[Cuenta]],Table8[Nombre Cuenta ()],Table8[Nivel 1],"",0)</f>
        <v/>
      </c>
      <c r="S1104" t="str">
        <f>_xlfn.XLOOKUP(Table3[[#This Row],[Cuenta]],Table8[Nombre Cuenta ()],Table8[Nivel 2],"",0)</f>
        <v/>
      </c>
      <c r="T1104" t="str">
        <f>_xlfn.XLOOKUP(Table3[[#This Row],[Cuenta]],Table8[Nombre Cuenta ()],Table8[Nivel 3],"",0)</f>
        <v/>
      </c>
      <c r="U1104">
        <v>1847</v>
      </c>
      <c r="V1104" t="str">
        <f>_xlfn.XLOOKUP(Table3[[#This Row],[Cuenta]],Estructura_Balance[Nombre Cuenta ()],Estructura_Balance[Niveles:2],"",0)</f>
        <v/>
      </c>
      <c r="W1104" t="str">
        <f>_xlfn.XLOOKUP(Table3[[#This Row],[Cuenta]],Estructura_Balance[Nombre Cuenta ()],Estructura_Balance[Niveles:3],"",0)</f>
        <v/>
      </c>
      <c r="X1104" t="str">
        <f>_xlfn.XLOOKUP(Table3[[#This Row],[Cuenta]],Estructura_Balance[Nombre Cuenta ()],Estructura_Balance[Grupos],"Grupo 1",0)</f>
        <v>Grupo 1</v>
      </c>
      <c r="Y1104" t="str">
        <f>+Table3[[#This Row],[BS_Nivel_1]]</f>
        <v/>
      </c>
    </row>
    <row r="1105" spans="1:25" ht="15" customHeight="1">
      <c r="A1105">
        <f>+'Libro Diario'!F455</f>
        <v>0</v>
      </c>
      <c r="B1105" s="144">
        <f>VALUE(IF(+'Libro Diario'!G455="","01/01/2025",+'Libro Diario'!G455))</f>
        <v>45658</v>
      </c>
      <c r="C1105">
        <f>IF(ISNUMBER(+IF(IFERROR(VALUE(MID('Libro Diario'!D455,1,4)),0)&lt;&gt;0,'Libro Diario'!D455,0))=FALSE,'Libro Diario'!D455,0)</f>
        <v>0</v>
      </c>
      <c r="D1105" s="145" t="str">
        <f>+'Libro Diario'!E455</f>
        <v>HABER</v>
      </c>
      <c r="E1105" s="139" t="s">
        <v>446</v>
      </c>
      <c r="F1105" t="str">
        <f t="shared" si="51"/>
        <v>Sin Mov.</v>
      </c>
      <c r="G1105" t="str">
        <f>IF(+'Libro Diario'!H455=0,"",+'Libro Diario'!H455)</f>
        <v/>
      </c>
      <c r="H1105" t="str">
        <f>IF(+'Libro Diario'!I455=0,"",+'Libro Diario'!I455)</f>
        <v/>
      </c>
      <c r="I1105" t="str">
        <f>+IF(Table3[[#This Row],[Tipo Movimiento]]="Estructura Balance y PyG","Excluir","Incluir")</f>
        <v>Incluir</v>
      </c>
      <c r="J1105" s="153">
        <f>+IF(Table3[[#This Row],[Sin cuenta]]="Con Mov.",(IF(Table3[[#This Row],[Movimiento]]="Debe",Table3[[#This Row],[Importe]],IF(Table3[[#This Row],[Movimiento]]="Haber",Table3[[#This Row],[Importe]]*-1,0))),0)</f>
        <v>0</v>
      </c>
      <c r="K1105" s="145" t="str">
        <f t="shared" si="52"/>
        <v/>
      </c>
      <c r="L1105" s="145" t="str">
        <f t="shared" si="53"/>
        <v>HABER</v>
      </c>
      <c r="M1105" t="str">
        <f>_xlfn.XLOOKUP(Table3[[#This Row],[Cuenta]],Estructura_Balance[Nombre Cuenta ()],Estructura_Balance[Grupo],"",0)</f>
        <v/>
      </c>
      <c r="N1105" t="str">
        <f>_xlfn.XLOOKUP(Table3[[#This Row],[Cuenta]],Estructura_Balance[Nombre Cuenta ()],Estructura_Balance[Nivel 1],"",0)</f>
        <v/>
      </c>
      <c r="O1105" t="str">
        <f>_xlfn.XLOOKUP(Table3[[#This Row],[Cuenta]],Estructura_Balance[Nombre Cuenta ()],Estructura_Balance[Nivel 2],"",0)</f>
        <v/>
      </c>
      <c r="P1105" t="str">
        <f>_xlfn.XLOOKUP(Table3[[#This Row],[Cuenta]],Estructura_Balance[Nombre Cuenta ()],Estructura_Balance[Nivel 3],"",0)</f>
        <v/>
      </c>
      <c r="Q1105" t="str">
        <f>_xlfn.XLOOKUP(Table3[[#This Row],[Cuenta]],Estructura_Balance[Nombre Cuenta ()],Estructura_Balance[Nivel 4],"",0)</f>
        <v/>
      </c>
      <c r="R1105" t="str">
        <f>_xlfn.XLOOKUP(Table3[[#This Row],[Cuenta]],Table8[Nombre Cuenta ()],Table8[Nivel 1],"",0)</f>
        <v/>
      </c>
      <c r="S1105" t="str">
        <f>_xlfn.XLOOKUP(Table3[[#This Row],[Cuenta]],Table8[Nombre Cuenta ()],Table8[Nivel 2],"",0)</f>
        <v/>
      </c>
      <c r="T1105" t="str">
        <f>_xlfn.XLOOKUP(Table3[[#This Row],[Cuenta]],Table8[Nombre Cuenta ()],Table8[Nivel 3],"",0)</f>
        <v/>
      </c>
      <c r="U1105">
        <v>1848</v>
      </c>
      <c r="V1105" t="str">
        <f>_xlfn.XLOOKUP(Table3[[#This Row],[Cuenta]],Estructura_Balance[Nombre Cuenta ()],Estructura_Balance[Niveles:2],"",0)</f>
        <v/>
      </c>
      <c r="W1105" t="str">
        <f>_xlfn.XLOOKUP(Table3[[#This Row],[Cuenta]],Estructura_Balance[Nombre Cuenta ()],Estructura_Balance[Niveles:3],"",0)</f>
        <v/>
      </c>
      <c r="X1105" t="str">
        <f>_xlfn.XLOOKUP(Table3[[#This Row],[Cuenta]],Estructura_Balance[Nombre Cuenta ()],Estructura_Balance[Grupos],"Grupo 1",0)</f>
        <v>Grupo 1</v>
      </c>
      <c r="Y1105" t="str">
        <f>+Table3[[#This Row],[BS_Nivel_1]]</f>
        <v/>
      </c>
    </row>
    <row r="1106" spans="1:25" ht="15" customHeight="1">
      <c r="A1106">
        <f>+'Libro Diario'!F456</f>
        <v>0</v>
      </c>
      <c r="B1106" s="144">
        <f>VALUE(IF(+'Libro Diario'!G456="","01/01/2025",+'Libro Diario'!G456))</f>
        <v>45658</v>
      </c>
      <c r="C1106">
        <f>IF(ISNUMBER(+IF(IFERROR(VALUE(MID('Libro Diario'!D456,1,4)),0)&lt;&gt;0,'Libro Diario'!D456,0))=FALSE,'Libro Diario'!D456,0)</f>
        <v>0</v>
      </c>
      <c r="D1106" s="145">
        <f>+'Libro Diario'!E456</f>
        <v>0</v>
      </c>
      <c r="E1106" s="139" t="s">
        <v>446</v>
      </c>
      <c r="F1106" t="str">
        <f t="shared" si="51"/>
        <v>Sin Mov.</v>
      </c>
      <c r="G1106" t="str">
        <f>IF(+'Libro Diario'!H456=0,"",+'Libro Diario'!H456)</f>
        <v/>
      </c>
      <c r="H1106" t="str">
        <f>IF(+'Libro Diario'!I456=0,"",+'Libro Diario'!I456)</f>
        <v/>
      </c>
      <c r="I1106" t="str">
        <f>+IF(Table3[[#This Row],[Tipo Movimiento]]="Estructura Balance y PyG","Excluir","Incluir")</f>
        <v>Incluir</v>
      </c>
      <c r="J1106" s="153">
        <f>+IF(Table3[[#This Row],[Sin cuenta]]="Con Mov.",(IF(Table3[[#This Row],[Movimiento]]="Debe",Table3[[#This Row],[Importe]],IF(Table3[[#This Row],[Movimiento]]="Haber",Table3[[#This Row],[Importe]]*-1,0))),0)</f>
        <v>0</v>
      </c>
      <c r="K1106" s="145" t="str">
        <f t="shared" si="52"/>
        <v/>
      </c>
      <c r="L1106" s="145">
        <f t="shared" si="53"/>
        <v>0</v>
      </c>
      <c r="M1106" t="str">
        <f>_xlfn.XLOOKUP(Table3[[#This Row],[Cuenta]],Estructura_Balance[Nombre Cuenta ()],Estructura_Balance[Grupo],"",0)</f>
        <v/>
      </c>
      <c r="N1106" t="str">
        <f>_xlfn.XLOOKUP(Table3[[#This Row],[Cuenta]],Estructura_Balance[Nombre Cuenta ()],Estructura_Balance[Nivel 1],"",0)</f>
        <v/>
      </c>
      <c r="O1106" t="str">
        <f>_xlfn.XLOOKUP(Table3[[#This Row],[Cuenta]],Estructura_Balance[Nombre Cuenta ()],Estructura_Balance[Nivel 2],"",0)</f>
        <v/>
      </c>
      <c r="P1106" t="str">
        <f>_xlfn.XLOOKUP(Table3[[#This Row],[Cuenta]],Estructura_Balance[Nombre Cuenta ()],Estructura_Balance[Nivel 3],"",0)</f>
        <v/>
      </c>
      <c r="Q1106" t="str">
        <f>_xlfn.XLOOKUP(Table3[[#This Row],[Cuenta]],Estructura_Balance[Nombre Cuenta ()],Estructura_Balance[Nivel 4],"",0)</f>
        <v/>
      </c>
      <c r="R1106" t="str">
        <f>_xlfn.XLOOKUP(Table3[[#This Row],[Cuenta]],Table8[Nombre Cuenta ()],Table8[Nivel 1],"",0)</f>
        <v/>
      </c>
      <c r="S1106" t="str">
        <f>_xlfn.XLOOKUP(Table3[[#This Row],[Cuenta]],Table8[Nombre Cuenta ()],Table8[Nivel 2],"",0)</f>
        <v/>
      </c>
      <c r="T1106" t="str">
        <f>_xlfn.XLOOKUP(Table3[[#This Row],[Cuenta]],Table8[Nombre Cuenta ()],Table8[Nivel 3],"",0)</f>
        <v/>
      </c>
      <c r="U1106">
        <v>1849</v>
      </c>
      <c r="V1106" t="str">
        <f>_xlfn.XLOOKUP(Table3[[#This Row],[Cuenta]],Estructura_Balance[Nombre Cuenta ()],Estructura_Balance[Niveles:2],"",0)</f>
        <v/>
      </c>
      <c r="W1106" t="str">
        <f>_xlfn.XLOOKUP(Table3[[#This Row],[Cuenta]],Estructura_Balance[Nombre Cuenta ()],Estructura_Balance[Niveles:3],"",0)</f>
        <v/>
      </c>
      <c r="X1106" t="str">
        <f>_xlfn.XLOOKUP(Table3[[#This Row],[Cuenta]],Estructura_Balance[Nombre Cuenta ()],Estructura_Balance[Grupos],"Grupo 1",0)</f>
        <v>Grupo 1</v>
      </c>
      <c r="Y1106" t="str">
        <f>+Table3[[#This Row],[BS_Nivel_1]]</f>
        <v/>
      </c>
    </row>
    <row r="1107" spans="1:25" ht="15" customHeight="1">
      <c r="A1107">
        <f>+'Libro Diario'!F459</f>
        <v>0</v>
      </c>
      <c r="B1107" s="144">
        <f>VALUE(IF(+'Libro Diario'!G459="","01/01/2025",+'Libro Diario'!G459))</f>
        <v>45658</v>
      </c>
      <c r="C1107">
        <f>IF(ISNUMBER(+IF(IFERROR(VALUE(MID('Libro Diario'!D459,1,4)),0)&lt;&gt;0,'Libro Diario'!D459,0))=FALSE,'Libro Diario'!D459,0)</f>
        <v>0</v>
      </c>
      <c r="D1107" s="145">
        <f>+'Libro Diario'!E459</f>
        <v>0</v>
      </c>
      <c r="E1107" s="139" t="s">
        <v>446</v>
      </c>
      <c r="F1107" t="str">
        <f t="shared" si="51"/>
        <v>Sin Mov.</v>
      </c>
      <c r="G1107" t="str">
        <f>IF(+'Libro Diario'!H459=0,"",+'Libro Diario'!H459)</f>
        <v/>
      </c>
      <c r="H1107" t="str">
        <f>IF(+'Libro Diario'!I459=0,"",+'Libro Diario'!I459)</f>
        <v/>
      </c>
      <c r="I1107" t="str">
        <f>+IF(Table3[[#This Row],[Tipo Movimiento]]="Estructura Balance y PyG","Excluir","Incluir")</f>
        <v>Incluir</v>
      </c>
      <c r="J1107" s="153">
        <f>+IF(Table3[[#This Row],[Sin cuenta]]="Con Mov.",(IF(Table3[[#This Row],[Movimiento]]="Debe",Table3[[#This Row],[Importe]],IF(Table3[[#This Row],[Movimiento]]="Haber",Table3[[#This Row],[Importe]]*-1,0))),0)</f>
        <v>0</v>
      </c>
      <c r="K1107" s="145" t="str">
        <f t="shared" si="52"/>
        <v/>
      </c>
      <c r="L1107" s="145">
        <f t="shared" si="53"/>
        <v>0</v>
      </c>
      <c r="M1107" t="str">
        <f>_xlfn.XLOOKUP(Table3[[#This Row],[Cuenta]],Estructura_Balance[Nombre Cuenta ()],Estructura_Balance[Grupo],"",0)</f>
        <v/>
      </c>
      <c r="N1107" t="str">
        <f>_xlfn.XLOOKUP(Table3[[#This Row],[Cuenta]],Estructura_Balance[Nombre Cuenta ()],Estructura_Balance[Nivel 1],"",0)</f>
        <v/>
      </c>
      <c r="O1107" t="str">
        <f>_xlfn.XLOOKUP(Table3[[#This Row],[Cuenta]],Estructura_Balance[Nombre Cuenta ()],Estructura_Balance[Nivel 2],"",0)</f>
        <v/>
      </c>
      <c r="P1107" t="str">
        <f>_xlfn.XLOOKUP(Table3[[#This Row],[Cuenta]],Estructura_Balance[Nombre Cuenta ()],Estructura_Balance[Nivel 3],"",0)</f>
        <v/>
      </c>
      <c r="Q1107" t="str">
        <f>_xlfn.XLOOKUP(Table3[[#This Row],[Cuenta]],Estructura_Balance[Nombre Cuenta ()],Estructura_Balance[Nivel 4],"",0)</f>
        <v/>
      </c>
      <c r="R1107" t="str">
        <f>_xlfn.XLOOKUP(Table3[[#This Row],[Cuenta]],Table8[Nombre Cuenta ()],Table8[Nivel 1],"",0)</f>
        <v/>
      </c>
      <c r="S1107" t="str">
        <f>_xlfn.XLOOKUP(Table3[[#This Row],[Cuenta]],Table8[Nombre Cuenta ()],Table8[Nivel 2],"",0)</f>
        <v/>
      </c>
      <c r="T1107" t="str">
        <f>_xlfn.XLOOKUP(Table3[[#This Row],[Cuenta]],Table8[Nombre Cuenta ()],Table8[Nivel 3],"",0)</f>
        <v/>
      </c>
      <c r="U1107">
        <v>1852</v>
      </c>
      <c r="V1107" t="str">
        <f>_xlfn.XLOOKUP(Table3[[#This Row],[Cuenta]],Estructura_Balance[Nombre Cuenta ()],Estructura_Balance[Niveles:2],"",0)</f>
        <v/>
      </c>
      <c r="W1107" t="str">
        <f>_xlfn.XLOOKUP(Table3[[#This Row],[Cuenta]],Estructura_Balance[Nombre Cuenta ()],Estructura_Balance[Niveles:3],"",0)</f>
        <v/>
      </c>
      <c r="X1107" t="str">
        <f>_xlfn.XLOOKUP(Table3[[#This Row],[Cuenta]],Estructura_Balance[Nombre Cuenta ()],Estructura_Balance[Grupos],"Grupo 1",0)</f>
        <v>Grupo 1</v>
      </c>
      <c r="Y1107" t="str">
        <f>+Table3[[#This Row],[BS_Nivel_1]]</f>
        <v/>
      </c>
    </row>
    <row r="1108" spans="1:25" ht="15" customHeight="1">
      <c r="A1108">
        <f>+'Libro Diario'!F460</f>
        <v>0</v>
      </c>
      <c r="B1108" s="144">
        <f>VALUE(IF(+'Libro Diario'!G460="","01/01/2025",+'Libro Diario'!G460))</f>
        <v>45658</v>
      </c>
      <c r="C1108">
        <f>IF(ISNUMBER(+IF(IFERROR(VALUE(MID('Libro Diario'!D460,1,4)),0)&lt;&gt;0,'Libro Diario'!D460,0))=FALSE,'Libro Diario'!D460,0)</f>
        <v>0</v>
      </c>
      <c r="D1108" s="145">
        <f>+'Libro Diario'!E460</f>
        <v>0</v>
      </c>
      <c r="E1108" s="139" t="s">
        <v>446</v>
      </c>
      <c r="F1108" t="str">
        <f t="shared" si="51"/>
        <v>Sin Mov.</v>
      </c>
      <c r="G1108" t="str">
        <f>IF(+'Libro Diario'!H460=0,"",+'Libro Diario'!H460)</f>
        <v/>
      </c>
      <c r="H1108" t="str">
        <f>IF(+'Libro Diario'!I460=0,"",+'Libro Diario'!I460)</f>
        <v/>
      </c>
      <c r="I1108" t="str">
        <f>+IF(Table3[[#This Row],[Tipo Movimiento]]="Estructura Balance y PyG","Excluir","Incluir")</f>
        <v>Incluir</v>
      </c>
      <c r="J1108" s="153">
        <f>+IF(Table3[[#This Row],[Sin cuenta]]="Con Mov.",(IF(Table3[[#This Row],[Movimiento]]="Debe",Table3[[#This Row],[Importe]],IF(Table3[[#This Row],[Movimiento]]="Haber",Table3[[#This Row],[Importe]]*-1,0))),0)</f>
        <v>0</v>
      </c>
      <c r="K1108" s="145" t="str">
        <f t="shared" si="52"/>
        <v/>
      </c>
      <c r="L1108" s="145">
        <f t="shared" si="53"/>
        <v>0</v>
      </c>
      <c r="M1108" t="str">
        <f>_xlfn.XLOOKUP(Table3[[#This Row],[Cuenta]],Estructura_Balance[Nombre Cuenta ()],Estructura_Balance[Grupo],"",0)</f>
        <v/>
      </c>
      <c r="N1108" t="str">
        <f>_xlfn.XLOOKUP(Table3[[#This Row],[Cuenta]],Estructura_Balance[Nombre Cuenta ()],Estructura_Balance[Nivel 1],"",0)</f>
        <v/>
      </c>
      <c r="O1108" t="str">
        <f>_xlfn.XLOOKUP(Table3[[#This Row],[Cuenta]],Estructura_Balance[Nombre Cuenta ()],Estructura_Balance[Nivel 2],"",0)</f>
        <v/>
      </c>
      <c r="P1108" t="str">
        <f>_xlfn.XLOOKUP(Table3[[#This Row],[Cuenta]],Estructura_Balance[Nombre Cuenta ()],Estructura_Balance[Nivel 3],"",0)</f>
        <v/>
      </c>
      <c r="Q1108" t="str">
        <f>_xlfn.XLOOKUP(Table3[[#This Row],[Cuenta]],Estructura_Balance[Nombre Cuenta ()],Estructura_Balance[Nivel 4],"",0)</f>
        <v/>
      </c>
      <c r="R1108" t="str">
        <f>_xlfn.XLOOKUP(Table3[[#This Row],[Cuenta]],Table8[Nombre Cuenta ()],Table8[Nivel 1],"",0)</f>
        <v/>
      </c>
      <c r="S1108" t="str">
        <f>_xlfn.XLOOKUP(Table3[[#This Row],[Cuenta]],Table8[Nombre Cuenta ()],Table8[Nivel 2],"",0)</f>
        <v/>
      </c>
      <c r="T1108" t="str">
        <f>_xlfn.XLOOKUP(Table3[[#This Row],[Cuenta]],Table8[Nombre Cuenta ()],Table8[Nivel 3],"",0)</f>
        <v/>
      </c>
      <c r="U1108">
        <v>1853</v>
      </c>
      <c r="V1108" t="str">
        <f>_xlfn.XLOOKUP(Table3[[#This Row],[Cuenta]],Estructura_Balance[Nombre Cuenta ()],Estructura_Balance[Niveles:2],"",0)</f>
        <v/>
      </c>
      <c r="W1108" t="str">
        <f>_xlfn.XLOOKUP(Table3[[#This Row],[Cuenta]],Estructura_Balance[Nombre Cuenta ()],Estructura_Balance[Niveles:3],"",0)</f>
        <v/>
      </c>
      <c r="X1108" t="str">
        <f>_xlfn.XLOOKUP(Table3[[#This Row],[Cuenta]],Estructura_Balance[Nombre Cuenta ()],Estructura_Balance[Grupos],"Grupo 1",0)</f>
        <v>Grupo 1</v>
      </c>
      <c r="Y1108" t="str">
        <f>+Table3[[#This Row],[BS_Nivel_1]]</f>
        <v/>
      </c>
    </row>
    <row r="1109" spans="1:25" ht="15" customHeight="1">
      <c r="A1109">
        <f>+'Libro Diario'!F461</f>
        <v>0</v>
      </c>
      <c r="B1109" s="144">
        <f>VALUE(IF(+'Libro Diario'!G461="","01/01/2025",+'Libro Diario'!G461))</f>
        <v>45658</v>
      </c>
      <c r="C1109">
        <f>IF(ISNUMBER(+IF(IFERROR(VALUE(MID('Libro Diario'!D461,1,4)),0)&lt;&gt;0,'Libro Diario'!D461,0))=FALSE,'Libro Diario'!D461,0)</f>
        <v>0</v>
      </c>
      <c r="D1109" s="145">
        <f>+'Libro Diario'!E461</f>
        <v>0</v>
      </c>
      <c r="E1109" s="139" t="s">
        <v>446</v>
      </c>
      <c r="F1109" t="str">
        <f t="shared" si="51"/>
        <v>Sin Mov.</v>
      </c>
      <c r="G1109" t="str">
        <f>IF(+'Libro Diario'!H461=0,"",+'Libro Diario'!H461)</f>
        <v/>
      </c>
      <c r="H1109" t="str">
        <f>IF(+'Libro Diario'!I461=0,"",+'Libro Diario'!I461)</f>
        <v/>
      </c>
      <c r="I1109" t="str">
        <f>+IF(Table3[[#This Row],[Tipo Movimiento]]="Estructura Balance y PyG","Excluir","Incluir")</f>
        <v>Incluir</v>
      </c>
      <c r="J1109" s="153">
        <f>+IF(Table3[[#This Row],[Sin cuenta]]="Con Mov.",(IF(Table3[[#This Row],[Movimiento]]="Debe",Table3[[#This Row],[Importe]],IF(Table3[[#This Row],[Movimiento]]="Haber",Table3[[#This Row],[Importe]]*-1,0))),0)</f>
        <v>0</v>
      </c>
      <c r="K1109" s="145" t="str">
        <f t="shared" si="52"/>
        <v/>
      </c>
      <c r="L1109" s="145">
        <f t="shared" si="53"/>
        <v>0</v>
      </c>
      <c r="M1109" t="str">
        <f>_xlfn.XLOOKUP(Table3[[#This Row],[Cuenta]],Estructura_Balance[Nombre Cuenta ()],Estructura_Balance[Grupo],"",0)</f>
        <v/>
      </c>
      <c r="N1109" t="str">
        <f>_xlfn.XLOOKUP(Table3[[#This Row],[Cuenta]],Estructura_Balance[Nombre Cuenta ()],Estructura_Balance[Nivel 1],"",0)</f>
        <v/>
      </c>
      <c r="O1109" t="str">
        <f>_xlfn.XLOOKUP(Table3[[#This Row],[Cuenta]],Estructura_Balance[Nombre Cuenta ()],Estructura_Balance[Nivel 2],"",0)</f>
        <v/>
      </c>
      <c r="P1109" t="str">
        <f>_xlfn.XLOOKUP(Table3[[#This Row],[Cuenta]],Estructura_Balance[Nombre Cuenta ()],Estructura_Balance[Nivel 3],"",0)</f>
        <v/>
      </c>
      <c r="Q1109" t="str">
        <f>_xlfn.XLOOKUP(Table3[[#This Row],[Cuenta]],Estructura_Balance[Nombre Cuenta ()],Estructura_Balance[Nivel 4],"",0)</f>
        <v/>
      </c>
      <c r="R1109" t="str">
        <f>_xlfn.XLOOKUP(Table3[[#This Row],[Cuenta]],Table8[Nombre Cuenta ()],Table8[Nivel 1],"",0)</f>
        <v/>
      </c>
      <c r="S1109" t="str">
        <f>_xlfn.XLOOKUP(Table3[[#This Row],[Cuenta]],Table8[Nombre Cuenta ()],Table8[Nivel 2],"",0)</f>
        <v/>
      </c>
      <c r="T1109" t="str">
        <f>_xlfn.XLOOKUP(Table3[[#This Row],[Cuenta]],Table8[Nombre Cuenta ()],Table8[Nivel 3],"",0)</f>
        <v/>
      </c>
      <c r="U1109">
        <v>1854</v>
      </c>
      <c r="V1109" t="str">
        <f>_xlfn.XLOOKUP(Table3[[#This Row],[Cuenta]],Estructura_Balance[Nombre Cuenta ()],Estructura_Balance[Niveles:2],"",0)</f>
        <v/>
      </c>
      <c r="W1109" t="str">
        <f>_xlfn.XLOOKUP(Table3[[#This Row],[Cuenta]],Estructura_Balance[Nombre Cuenta ()],Estructura_Balance[Niveles:3],"",0)</f>
        <v/>
      </c>
      <c r="X1109" t="str">
        <f>_xlfn.XLOOKUP(Table3[[#This Row],[Cuenta]],Estructura_Balance[Nombre Cuenta ()],Estructura_Balance[Grupos],"Grupo 1",0)</f>
        <v>Grupo 1</v>
      </c>
      <c r="Y1109" t="str">
        <f>+Table3[[#This Row],[BS_Nivel_1]]</f>
        <v/>
      </c>
    </row>
    <row r="1110" spans="1:25" ht="15" customHeight="1">
      <c r="A1110">
        <f>+'Libro Diario'!F462</f>
        <v>0</v>
      </c>
      <c r="B1110" s="144">
        <f>VALUE(IF(+'Libro Diario'!G462="","01/01/2025",+'Libro Diario'!G462))</f>
        <v>45658</v>
      </c>
      <c r="C1110">
        <f>IF(ISNUMBER(+IF(IFERROR(VALUE(MID('Libro Diario'!D462,1,4)),0)&lt;&gt;0,'Libro Diario'!D462,0))=FALSE,'Libro Diario'!D462,0)</f>
        <v>0</v>
      </c>
      <c r="D1110" s="145" t="str">
        <f>+'Libro Diario'!E462</f>
        <v>HABER</v>
      </c>
      <c r="E1110" s="139" t="s">
        <v>446</v>
      </c>
      <c r="F1110" t="str">
        <f t="shared" si="51"/>
        <v>Sin Mov.</v>
      </c>
      <c r="G1110" t="str">
        <f>IF(+'Libro Diario'!H462=0,"",+'Libro Diario'!H462)</f>
        <v/>
      </c>
      <c r="H1110" t="str">
        <f>IF(+'Libro Diario'!I462=0,"",+'Libro Diario'!I462)</f>
        <v/>
      </c>
      <c r="I1110" t="str">
        <f>+IF(Table3[[#This Row],[Tipo Movimiento]]="Estructura Balance y PyG","Excluir","Incluir")</f>
        <v>Incluir</v>
      </c>
      <c r="J1110" s="153">
        <f>+IF(Table3[[#This Row],[Sin cuenta]]="Con Mov.",(IF(Table3[[#This Row],[Movimiento]]="Debe",Table3[[#This Row],[Importe]],IF(Table3[[#This Row],[Movimiento]]="Haber",Table3[[#This Row],[Importe]]*-1,0))),0)</f>
        <v>0</v>
      </c>
      <c r="K1110" s="145" t="str">
        <f t="shared" si="52"/>
        <v/>
      </c>
      <c r="L1110" s="145" t="str">
        <f t="shared" si="53"/>
        <v>HABER</v>
      </c>
      <c r="M1110" t="str">
        <f>_xlfn.XLOOKUP(Table3[[#This Row],[Cuenta]],Estructura_Balance[Nombre Cuenta ()],Estructura_Balance[Grupo],"",0)</f>
        <v/>
      </c>
      <c r="N1110" t="str">
        <f>_xlfn.XLOOKUP(Table3[[#This Row],[Cuenta]],Estructura_Balance[Nombre Cuenta ()],Estructura_Balance[Nivel 1],"",0)</f>
        <v/>
      </c>
      <c r="O1110" t="str">
        <f>_xlfn.XLOOKUP(Table3[[#This Row],[Cuenta]],Estructura_Balance[Nombre Cuenta ()],Estructura_Balance[Nivel 2],"",0)</f>
        <v/>
      </c>
      <c r="P1110" t="str">
        <f>_xlfn.XLOOKUP(Table3[[#This Row],[Cuenta]],Estructura_Balance[Nombre Cuenta ()],Estructura_Balance[Nivel 3],"",0)</f>
        <v/>
      </c>
      <c r="Q1110" t="str">
        <f>_xlfn.XLOOKUP(Table3[[#This Row],[Cuenta]],Estructura_Balance[Nombre Cuenta ()],Estructura_Balance[Nivel 4],"",0)</f>
        <v/>
      </c>
      <c r="R1110" t="str">
        <f>_xlfn.XLOOKUP(Table3[[#This Row],[Cuenta]],Table8[Nombre Cuenta ()],Table8[Nivel 1],"",0)</f>
        <v/>
      </c>
      <c r="S1110" t="str">
        <f>_xlfn.XLOOKUP(Table3[[#This Row],[Cuenta]],Table8[Nombre Cuenta ()],Table8[Nivel 2],"",0)</f>
        <v/>
      </c>
      <c r="T1110" t="str">
        <f>_xlfn.XLOOKUP(Table3[[#This Row],[Cuenta]],Table8[Nombre Cuenta ()],Table8[Nivel 3],"",0)</f>
        <v/>
      </c>
      <c r="U1110">
        <v>1855</v>
      </c>
      <c r="V1110" t="str">
        <f>_xlfn.XLOOKUP(Table3[[#This Row],[Cuenta]],Estructura_Balance[Nombre Cuenta ()],Estructura_Balance[Niveles:2],"",0)</f>
        <v/>
      </c>
      <c r="W1110" t="str">
        <f>_xlfn.XLOOKUP(Table3[[#This Row],[Cuenta]],Estructura_Balance[Nombre Cuenta ()],Estructura_Balance[Niveles:3],"",0)</f>
        <v/>
      </c>
      <c r="X1110" t="str">
        <f>_xlfn.XLOOKUP(Table3[[#This Row],[Cuenta]],Estructura_Balance[Nombre Cuenta ()],Estructura_Balance[Grupos],"Grupo 1",0)</f>
        <v>Grupo 1</v>
      </c>
      <c r="Y1110" t="str">
        <f>+Table3[[#This Row],[BS_Nivel_1]]</f>
        <v/>
      </c>
    </row>
    <row r="1111" spans="1:25" ht="15" customHeight="1">
      <c r="A1111">
        <f>+'Libro Diario'!F463</f>
        <v>0</v>
      </c>
      <c r="B1111" s="144">
        <f>VALUE(IF(+'Libro Diario'!G463="","01/01/2025",+'Libro Diario'!G463))</f>
        <v>45658</v>
      </c>
      <c r="C1111">
        <f>IF(ISNUMBER(+IF(IFERROR(VALUE(MID('Libro Diario'!D463,1,4)),0)&lt;&gt;0,'Libro Diario'!D463,0))=FALSE,'Libro Diario'!D463,0)</f>
        <v>0</v>
      </c>
      <c r="D1111" s="145">
        <f>+'Libro Diario'!E463</f>
        <v>0</v>
      </c>
      <c r="E1111" s="139" t="s">
        <v>446</v>
      </c>
      <c r="F1111" t="str">
        <f t="shared" si="51"/>
        <v>Sin Mov.</v>
      </c>
      <c r="G1111" t="str">
        <f>IF(+'Libro Diario'!H463=0,"",+'Libro Diario'!H463)</f>
        <v/>
      </c>
      <c r="H1111" t="str">
        <f>IF(+'Libro Diario'!I463=0,"",+'Libro Diario'!I463)</f>
        <v/>
      </c>
      <c r="I1111" t="str">
        <f>+IF(Table3[[#This Row],[Tipo Movimiento]]="Estructura Balance y PyG","Excluir","Incluir")</f>
        <v>Incluir</v>
      </c>
      <c r="J1111" s="153">
        <f>+IF(Table3[[#This Row],[Sin cuenta]]="Con Mov.",(IF(Table3[[#This Row],[Movimiento]]="Debe",Table3[[#This Row],[Importe]],IF(Table3[[#This Row],[Movimiento]]="Haber",Table3[[#This Row],[Importe]]*-1,0))),0)</f>
        <v>0</v>
      </c>
      <c r="K1111" s="145" t="str">
        <f t="shared" si="52"/>
        <v/>
      </c>
      <c r="L1111" s="145">
        <f t="shared" si="53"/>
        <v>0</v>
      </c>
      <c r="M1111" t="str">
        <f>_xlfn.XLOOKUP(Table3[[#This Row],[Cuenta]],Estructura_Balance[Nombre Cuenta ()],Estructura_Balance[Grupo],"",0)</f>
        <v/>
      </c>
      <c r="N1111" t="str">
        <f>_xlfn.XLOOKUP(Table3[[#This Row],[Cuenta]],Estructura_Balance[Nombre Cuenta ()],Estructura_Balance[Nivel 1],"",0)</f>
        <v/>
      </c>
      <c r="O1111" t="str">
        <f>_xlfn.XLOOKUP(Table3[[#This Row],[Cuenta]],Estructura_Balance[Nombre Cuenta ()],Estructura_Balance[Nivel 2],"",0)</f>
        <v/>
      </c>
      <c r="P1111" t="str">
        <f>_xlfn.XLOOKUP(Table3[[#This Row],[Cuenta]],Estructura_Balance[Nombre Cuenta ()],Estructura_Balance[Nivel 3],"",0)</f>
        <v/>
      </c>
      <c r="Q1111" t="str">
        <f>_xlfn.XLOOKUP(Table3[[#This Row],[Cuenta]],Estructura_Balance[Nombre Cuenta ()],Estructura_Balance[Nivel 4],"",0)</f>
        <v/>
      </c>
      <c r="R1111" t="str">
        <f>_xlfn.XLOOKUP(Table3[[#This Row],[Cuenta]],Table8[Nombre Cuenta ()],Table8[Nivel 1],"",0)</f>
        <v/>
      </c>
      <c r="S1111" t="str">
        <f>_xlfn.XLOOKUP(Table3[[#This Row],[Cuenta]],Table8[Nombre Cuenta ()],Table8[Nivel 2],"",0)</f>
        <v/>
      </c>
      <c r="T1111" t="str">
        <f>_xlfn.XLOOKUP(Table3[[#This Row],[Cuenta]],Table8[Nombre Cuenta ()],Table8[Nivel 3],"",0)</f>
        <v/>
      </c>
      <c r="U1111">
        <v>1856</v>
      </c>
      <c r="V1111" t="str">
        <f>_xlfn.XLOOKUP(Table3[[#This Row],[Cuenta]],Estructura_Balance[Nombre Cuenta ()],Estructura_Balance[Niveles:2],"",0)</f>
        <v/>
      </c>
      <c r="W1111" t="str">
        <f>_xlfn.XLOOKUP(Table3[[#This Row],[Cuenta]],Estructura_Balance[Nombre Cuenta ()],Estructura_Balance[Niveles:3],"",0)</f>
        <v/>
      </c>
      <c r="X1111" t="str">
        <f>_xlfn.XLOOKUP(Table3[[#This Row],[Cuenta]],Estructura_Balance[Nombre Cuenta ()],Estructura_Balance[Grupos],"Grupo 1",0)</f>
        <v>Grupo 1</v>
      </c>
      <c r="Y1111" t="str">
        <f>+Table3[[#This Row],[BS_Nivel_1]]</f>
        <v/>
      </c>
    </row>
    <row r="1112" spans="1:25" ht="15" customHeight="1">
      <c r="A1112">
        <f>+'Libro Diario'!F466</f>
        <v>0</v>
      </c>
      <c r="B1112" s="144">
        <f>VALUE(IF(+'Libro Diario'!G466="","01/01/2025",+'Libro Diario'!G466))</f>
        <v>45658</v>
      </c>
      <c r="C1112">
        <f>IF(ISNUMBER(+IF(IFERROR(VALUE(MID('Libro Diario'!D466,1,4)),0)&lt;&gt;0,'Libro Diario'!D466,0))=FALSE,'Libro Diario'!D466,0)</f>
        <v>0</v>
      </c>
      <c r="D1112" s="145">
        <f>+'Libro Diario'!E466</f>
        <v>0</v>
      </c>
      <c r="E1112" s="139" t="s">
        <v>446</v>
      </c>
      <c r="F1112" t="str">
        <f t="shared" si="51"/>
        <v>Sin Mov.</v>
      </c>
      <c r="G1112" t="str">
        <f>IF(+'Libro Diario'!H466=0,"",+'Libro Diario'!H466)</f>
        <v/>
      </c>
      <c r="H1112" t="str">
        <f>IF(+'Libro Diario'!I466=0,"",+'Libro Diario'!I466)</f>
        <v/>
      </c>
      <c r="I1112" t="str">
        <f>+IF(Table3[[#This Row],[Tipo Movimiento]]="Estructura Balance y PyG","Excluir","Incluir")</f>
        <v>Incluir</v>
      </c>
      <c r="J1112" s="153">
        <f>+IF(Table3[[#This Row],[Sin cuenta]]="Con Mov.",(IF(Table3[[#This Row],[Movimiento]]="Debe",Table3[[#This Row],[Importe]],IF(Table3[[#This Row],[Movimiento]]="Haber",Table3[[#This Row],[Importe]]*-1,0))),0)</f>
        <v>0</v>
      </c>
      <c r="K1112" s="145" t="str">
        <f t="shared" si="52"/>
        <v/>
      </c>
      <c r="L1112" s="145">
        <f t="shared" si="53"/>
        <v>0</v>
      </c>
      <c r="M1112" t="str">
        <f>_xlfn.XLOOKUP(Table3[[#This Row],[Cuenta]],Estructura_Balance[Nombre Cuenta ()],Estructura_Balance[Grupo],"",0)</f>
        <v/>
      </c>
      <c r="N1112" t="str">
        <f>_xlfn.XLOOKUP(Table3[[#This Row],[Cuenta]],Estructura_Balance[Nombre Cuenta ()],Estructura_Balance[Nivel 1],"",0)</f>
        <v/>
      </c>
      <c r="O1112" t="str">
        <f>_xlfn.XLOOKUP(Table3[[#This Row],[Cuenta]],Estructura_Balance[Nombre Cuenta ()],Estructura_Balance[Nivel 2],"",0)</f>
        <v/>
      </c>
      <c r="P1112" t="str">
        <f>_xlfn.XLOOKUP(Table3[[#This Row],[Cuenta]],Estructura_Balance[Nombre Cuenta ()],Estructura_Balance[Nivel 3],"",0)</f>
        <v/>
      </c>
      <c r="Q1112" t="str">
        <f>_xlfn.XLOOKUP(Table3[[#This Row],[Cuenta]],Estructura_Balance[Nombre Cuenta ()],Estructura_Balance[Nivel 4],"",0)</f>
        <v/>
      </c>
      <c r="R1112" t="str">
        <f>_xlfn.XLOOKUP(Table3[[#This Row],[Cuenta]],Table8[Nombre Cuenta ()],Table8[Nivel 1],"",0)</f>
        <v/>
      </c>
      <c r="S1112" t="str">
        <f>_xlfn.XLOOKUP(Table3[[#This Row],[Cuenta]],Table8[Nombre Cuenta ()],Table8[Nivel 2],"",0)</f>
        <v/>
      </c>
      <c r="T1112" t="str">
        <f>_xlfn.XLOOKUP(Table3[[#This Row],[Cuenta]],Table8[Nombre Cuenta ()],Table8[Nivel 3],"",0)</f>
        <v/>
      </c>
      <c r="U1112">
        <v>1859</v>
      </c>
      <c r="V1112" t="str">
        <f>_xlfn.XLOOKUP(Table3[[#This Row],[Cuenta]],Estructura_Balance[Nombre Cuenta ()],Estructura_Balance[Niveles:2],"",0)</f>
        <v/>
      </c>
      <c r="W1112" t="str">
        <f>_xlfn.XLOOKUP(Table3[[#This Row],[Cuenta]],Estructura_Balance[Nombre Cuenta ()],Estructura_Balance[Niveles:3],"",0)</f>
        <v/>
      </c>
      <c r="X1112" t="str">
        <f>_xlfn.XLOOKUP(Table3[[#This Row],[Cuenta]],Estructura_Balance[Nombre Cuenta ()],Estructura_Balance[Grupos],"Grupo 1",0)</f>
        <v>Grupo 1</v>
      </c>
      <c r="Y1112" t="str">
        <f>+Table3[[#This Row],[BS_Nivel_1]]</f>
        <v/>
      </c>
    </row>
    <row r="1113" spans="1:25" ht="15" customHeight="1">
      <c r="A1113">
        <f>+'Libro Diario'!F467</f>
        <v>0</v>
      </c>
      <c r="B1113" s="144">
        <f>VALUE(IF(+'Libro Diario'!G467="","01/01/2025",+'Libro Diario'!G467))</f>
        <v>45658</v>
      </c>
      <c r="C1113">
        <f>IF(ISNUMBER(+IF(IFERROR(VALUE(MID('Libro Diario'!D467,1,4)),0)&lt;&gt;0,'Libro Diario'!D467,0))=FALSE,'Libro Diario'!D467,0)</f>
        <v>0</v>
      </c>
      <c r="D1113" s="145">
        <f>+'Libro Diario'!E467</f>
        <v>0</v>
      </c>
      <c r="E1113" s="139" t="s">
        <v>446</v>
      </c>
      <c r="F1113" t="str">
        <f t="shared" si="51"/>
        <v>Sin Mov.</v>
      </c>
      <c r="G1113" t="str">
        <f>IF(+'Libro Diario'!H467=0,"",+'Libro Diario'!H467)</f>
        <v/>
      </c>
      <c r="H1113" t="str">
        <f>IF(+'Libro Diario'!I467=0,"",+'Libro Diario'!I467)</f>
        <v/>
      </c>
      <c r="I1113" t="str">
        <f>+IF(Table3[[#This Row],[Tipo Movimiento]]="Estructura Balance y PyG","Excluir","Incluir")</f>
        <v>Incluir</v>
      </c>
      <c r="J1113" s="153">
        <f>+IF(Table3[[#This Row],[Sin cuenta]]="Con Mov.",(IF(Table3[[#This Row],[Movimiento]]="Debe",Table3[[#This Row],[Importe]],IF(Table3[[#This Row],[Movimiento]]="Haber",Table3[[#This Row],[Importe]]*-1,0))),0)</f>
        <v>0</v>
      </c>
      <c r="K1113" s="145" t="str">
        <f t="shared" si="52"/>
        <v/>
      </c>
      <c r="L1113" s="145">
        <f t="shared" si="53"/>
        <v>0</v>
      </c>
      <c r="M1113" t="str">
        <f>_xlfn.XLOOKUP(Table3[[#This Row],[Cuenta]],Estructura_Balance[Nombre Cuenta ()],Estructura_Balance[Grupo],"",0)</f>
        <v/>
      </c>
      <c r="N1113" t="str">
        <f>_xlfn.XLOOKUP(Table3[[#This Row],[Cuenta]],Estructura_Balance[Nombre Cuenta ()],Estructura_Balance[Nivel 1],"",0)</f>
        <v/>
      </c>
      <c r="O1113" t="str">
        <f>_xlfn.XLOOKUP(Table3[[#This Row],[Cuenta]],Estructura_Balance[Nombre Cuenta ()],Estructura_Balance[Nivel 2],"",0)</f>
        <v/>
      </c>
      <c r="P1113" t="str">
        <f>_xlfn.XLOOKUP(Table3[[#This Row],[Cuenta]],Estructura_Balance[Nombre Cuenta ()],Estructura_Balance[Nivel 3],"",0)</f>
        <v/>
      </c>
      <c r="Q1113" t="str">
        <f>_xlfn.XLOOKUP(Table3[[#This Row],[Cuenta]],Estructura_Balance[Nombre Cuenta ()],Estructura_Balance[Nivel 4],"",0)</f>
        <v/>
      </c>
      <c r="R1113" t="str">
        <f>_xlfn.XLOOKUP(Table3[[#This Row],[Cuenta]],Table8[Nombre Cuenta ()],Table8[Nivel 1],"",0)</f>
        <v/>
      </c>
      <c r="S1113" t="str">
        <f>_xlfn.XLOOKUP(Table3[[#This Row],[Cuenta]],Table8[Nombre Cuenta ()],Table8[Nivel 2],"",0)</f>
        <v/>
      </c>
      <c r="T1113" t="str">
        <f>_xlfn.XLOOKUP(Table3[[#This Row],[Cuenta]],Table8[Nombre Cuenta ()],Table8[Nivel 3],"",0)</f>
        <v/>
      </c>
      <c r="U1113">
        <v>1860</v>
      </c>
      <c r="V1113" t="str">
        <f>_xlfn.XLOOKUP(Table3[[#This Row],[Cuenta]],Estructura_Balance[Nombre Cuenta ()],Estructura_Balance[Niveles:2],"",0)</f>
        <v/>
      </c>
      <c r="W1113" t="str">
        <f>_xlfn.XLOOKUP(Table3[[#This Row],[Cuenta]],Estructura_Balance[Nombre Cuenta ()],Estructura_Balance[Niveles:3],"",0)</f>
        <v/>
      </c>
      <c r="X1113" t="str">
        <f>_xlfn.XLOOKUP(Table3[[#This Row],[Cuenta]],Estructura_Balance[Nombre Cuenta ()],Estructura_Balance[Grupos],"Grupo 1",0)</f>
        <v>Grupo 1</v>
      </c>
      <c r="Y1113" t="str">
        <f>+Table3[[#This Row],[BS_Nivel_1]]</f>
        <v/>
      </c>
    </row>
    <row r="1114" spans="1:25" ht="15" customHeight="1">
      <c r="A1114">
        <f>+'Libro Diario'!F468</f>
        <v>0</v>
      </c>
      <c r="B1114" s="144">
        <f>VALUE(IF(+'Libro Diario'!G468="","01/01/2025",+'Libro Diario'!G468))</f>
        <v>45658</v>
      </c>
      <c r="C1114">
        <f>IF(ISNUMBER(+IF(IFERROR(VALUE(MID('Libro Diario'!D468,1,4)),0)&lt;&gt;0,'Libro Diario'!D468,0))=FALSE,'Libro Diario'!D468,0)</f>
        <v>0</v>
      </c>
      <c r="D1114" s="145">
        <f>+'Libro Diario'!E468</f>
        <v>0</v>
      </c>
      <c r="E1114" s="139" t="s">
        <v>446</v>
      </c>
      <c r="F1114" t="str">
        <f t="shared" si="51"/>
        <v>Sin Mov.</v>
      </c>
      <c r="G1114" t="str">
        <f>IF(+'Libro Diario'!H468=0,"",+'Libro Diario'!H468)</f>
        <v/>
      </c>
      <c r="H1114" t="str">
        <f>IF(+'Libro Diario'!I468=0,"",+'Libro Diario'!I468)</f>
        <v/>
      </c>
      <c r="I1114" t="str">
        <f>+IF(Table3[[#This Row],[Tipo Movimiento]]="Estructura Balance y PyG","Excluir","Incluir")</f>
        <v>Incluir</v>
      </c>
      <c r="J1114" s="153">
        <f>+IF(Table3[[#This Row],[Sin cuenta]]="Con Mov.",(IF(Table3[[#This Row],[Movimiento]]="Debe",Table3[[#This Row],[Importe]],IF(Table3[[#This Row],[Movimiento]]="Haber",Table3[[#This Row],[Importe]]*-1,0))),0)</f>
        <v>0</v>
      </c>
      <c r="K1114" s="145" t="str">
        <f t="shared" si="52"/>
        <v/>
      </c>
      <c r="L1114" s="145">
        <f t="shared" si="53"/>
        <v>0</v>
      </c>
      <c r="M1114" t="str">
        <f>_xlfn.XLOOKUP(Table3[[#This Row],[Cuenta]],Estructura_Balance[Nombre Cuenta ()],Estructura_Balance[Grupo],"",0)</f>
        <v/>
      </c>
      <c r="N1114" t="str">
        <f>_xlfn.XLOOKUP(Table3[[#This Row],[Cuenta]],Estructura_Balance[Nombre Cuenta ()],Estructura_Balance[Nivel 1],"",0)</f>
        <v/>
      </c>
      <c r="O1114" t="str">
        <f>_xlfn.XLOOKUP(Table3[[#This Row],[Cuenta]],Estructura_Balance[Nombre Cuenta ()],Estructura_Balance[Nivel 2],"",0)</f>
        <v/>
      </c>
      <c r="P1114" t="str">
        <f>_xlfn.XLOOKUP(Table3[[#This Row],[Cuenta]],Estructura_Balance[Nombre Cuenta ()],Estructura_Balance[Nivel 3],"",0)</f>
        <v/>
      </c>
      <c r="Q1114" t="str">
        <f>_xlfn.XLOOKUP(Table3[[#This Row],[Cuenta]],Estructura_Balance[Nombre Cuenta ()],Estructura_Balance[Nivel 4],"",0)</f>
        <v/>
      </c>
      <c r="R1114" t="str">
        <f>_xlfn.XLOOKUP(Table3[[#This Row],[Cuenta]],Table8[Nombre Cuenta ()],Table8[Nivel 1],"",0)</f>
        <v/>
      </c>
      <c r="S1114" t="str">
        <f>_xlfn.XLOOKUP(Table3[[#This Row],[Cuenta]],Table8[Nombre Cuenta ()],Table8[Nivel 2],"",0)</f>
        <v/>
      </c>
      <c r="T1114" t="str">
        <f>_xlfn.XLOOKUP(Table3[[#This Row],[Cuenta]],Table8[Nombre Cuenta ()],Table8[Nivel 3],"",0)</f>
        <v/>
      </c>
      <c r="U1114">
        <v>1861</v>
      </c>
      <c r="V1114" t="str">
        <f>_xlfn.XLOOKUP(Table3[[#This Row],[Cuenta]],Estructura_Balance[Nombre Cuenta ()],Estructura_Balance[Niveles:2],"",0)</f>
        <v/>
      </c>
      <c r="W1114" t="str">
        <f>_xlfn.XLOOKUP(Table3[[#This Row],[Cuenta]],Estructura_Balance[Nombre Cuenta ()],Estructura_Balance[Niveles:3],"",0)</f>
        <v/>
      </c>
      <c r="X1114" t="str">
        <f>_xlfn.XLOOKUP(Table3[[#This Row],[Cuenta]],Estructura_Balance[Nombre Cuenta ()],Estructura_Balance[Grupos],"Grupo 1",0)</f>
        <v>Grupo 1</v>
      </c>
      <c r="Y1114" t="str">
        <f>+Table3[[#This Row],[BS_Nivel_1]]</f>
        <v/>
      </c>
    </row>
    <row r="1115" spans="1:25" ht="15" customHeight="1">
      <c r="A1115">
        <f>+'Libro Diario'!F469</f>
        <v>0</v>
      </c>
      <c r="B1115" s="144">
        <f>VALUE(IF(+'Libro Diario'!G469="","01/01/2025",+'Libro Diario'!G469))</f>
        <v>45658</v>
      </c>
      <c r="C1115">
        <f>IF(ISNUMBER(+IF(IFERROR(VALUE(MID('Libro Diario'!D469,1,4)),0)&lt;&gt;0,'Libro Diario'!D469,0))=FALSE,'Libro Diario'!D469,0)</f>
        <v>0</v>
      </c>
      <c r="D1115" s="145" t="str">
        <f>+'Libro Diario'!E469</f>
        <v>HABER</v>
      </c>
      <c r="E1115" s="139" t="s">
        <v>446</v>
      </c>
      <c r="F1115" t="str">
        <f t="shared" si="51"/>
        <v>Sin Mov.</v>
      </c>
      <c r="G1115" t="str">
        <f>IF(+'Libro Diario'!H469=0,"",+'Libro Diario'!H469)</f>
        <v/>
      </c>
      <c r="H1115" t="str">
        <f>IF(+'Libro Diario'!I469=0,"",+'Libro Diario'!I469)</f>
        <v/>
      </c>
      <c r="I1115" t="str">
        <f>+IF(Table3[[#This Row],[Tipo Movimiento]]="Estructura Balance y PyG","Excluir","Incluir")</f>
        <v>Incluir</v>
      </c>
      <c r="J1115" s="153">
        <f>+IF(Table3[[#This Row],[Sin cuenta]]="Con Mov.",(IF(Table3[[#This Row],[Movimiento]]="Debe",Table3[[#This Row],[Importe]],IF(Table3[[#This Row],[Movimiento]]="Haber",Table3[[#This Row],[Importe]]*-1,0))),0)</f>
        <v>0</v>
      </c>
      <c r="K1115" s="145" t="str">
        <f t="shared" si="52"/>
        <v/>
      </c>
      <c r="L1115" s="145" t="str">
        <f t="shared" si="53"/>
        <v>HABER</v>
      </c>
      <c r="M1115" t="str">
        <f>_xlfn.XLOOKUP(Table3[[#This Row],[Cuenta]],Estructura_Balance[Nombre Cuenta ()],Estructura_Balance[Grupo],"",0)</f>
        <v/>
      </c>
      <c r="N1115" t="str">
        <f>_xlfn.XLOOKUP(Table3[[#This Row],[Cuenta]],Estructura_Balance[Nombre Cuenta ()],Estructura_Balance[Nivel 1],"",0)</f>
        <v/>
      </c>
      <c r="O1115" t="str">
        <f>_xlfn.XLOOKUP(Table3[[#This Row],[Cuenta]],Estructura_Balance[Nombre Cuenta ()],Estructura_Balance[Nivel 2],"",0)</f>
        <v/>
      </c>
      <c r="P1115" t="str">
        <f>_xlfn.XLOOKUP(Table3[[#This Row],[Cuenta]],Estructura_Balance[Nombre Cuenta ()],Estructura_Balance[Nivel 3],"",0)</f>
        <v/>
      </c>
      <c r="Q1115" t="str">
        <f>_xlfn.XLOOKUP(Table3[[#This Row],[Cuenta]],Estructura_Balance[Nombre Cuenta ()],Estructura_Balance[Nivel 4],"",0)</f>
        <v/>
      </c>
      <c r="R1115" t="str">
        <f>_xlfn.XLOOKUP(Table3[[#This Row],[Cuenta]],Table8[Nombre Cuenta ()],Table8[Nivel 1],"",0)</f>
        <v/>
      </c>
      <c r="S1115" t="str">
        <f>_xlfn.XLOOKUP(Table3[[#This Row],[Cuenta]],Table8[Nombre Cuenta ()],Table8[Nivel 2],"",0)</f>
        <v/>
      </c>
      <c r="T1115" t="str">
        <f>_xlfn.XLOOKUP(Table3[[#This Row],[Cuenta]],Table8[Nombre Cuenta ()],Table8[Nivel 3],"",0)</f>
        <v/>
      </c>
      <c r="U1115">
        <v>1862</v>
      </c>
      <c r="V1115" t="str">
        <f>_xlfn.XLOOKUP(Table3[[#This Row],[Cuenta]],Estructura_Balance[Nombre Cuenta ()],Estructura_Balance[Niveles:2],"",0)</f>
        <v/>
      </c>
      <c r="W1115" t="str">
        <f>_xlfn.XLOOKUP(Table3[[#This Row],[Cuenta]],Estructura_Balance[Nombre Cuenta ()],Estructura_Balance[Niveles:3],"",0)</f>
        <v/>
      </c>
      <c r="X1115" t="str">
        <f>_xlfn.XLOOKUP(Table3[[#This Row],[Cuenta]],Estructura_Balance[Nombre Cuenta ()],Estructura_Balance[Grupos],"Grupo 1",0)</f>
        <v>Grupo 1</v>
      </c>
      <c r="Y1115" t="str">
        <f>+Table3[[#This Row],[BS_Nivel_1]]</f>
        <v/>
      </c>
    </row>
    <row r="1116" spans="1:25" ht="15" customHeight="1">
      <c r="A1116">
        <f>+'Libro Diario'!F470</f>
        <v>0</v>
      </c>
      <c r="B1116" s="144">
        <f>VALUE(IF(+'Libro Diario'!G470="","01/01/2025",+'Libro Diario'!G470))</f>
        <v>45658</v>
      </c>
      <c r="C1116">
        <f>IF(ISNUMBER(+IF(IFERROR(VALUE(MID('Libro Diario'!D470,1,4)),0)&lt;&gt;0,'Libro Diario'!D470,0))=FALSE,'Libro Diario'!D470,0)</f>
        <v>0</v>
      </c>
      <c r="D1116" s="145">
        <f>+'Libro Diario'!E470</f>
        <v>0</v>
      </c>
      <c r="E1116" s="139" t="s">
        <v>446</v>
      </c>
      <c r="F1116" t="str">
        <f t="shared" si="51"/>
        <v>Sin Mov.</v>
      </c>
      <c r="G1116" t="str">
        <f>IF(+'Libro Diario'!H470=0,"",+'Libro Diario'!H470)</f>
        <v/>
      </c>
      <c r="H1116" t="str">
        <f>IF(+'Libro Diario'!I470=0,"",+'Libro Diario'!I470)</f>
        <v/>
      </c>
      <c r="I1116" t="str">
        <f>+IF(Table3[[#This Row],[Tipo Movimiento]]="Estructura Balance y PyG","Excluir","Incluir")</f>
        <v>Incluir</v>
      </c>
      <c r="J1116" s="153">
        <f>+IF(Table3[[#This Row],[Sin cuenta]]="Con Mov.",(IF(Table3[[#This Row],[Movimiento]]="Debe",Table3[[#This Row],[Importe]],IF(Table3[[#This Row],[Movimiento]]="Haber",Table3[[#This Row],[Importe]]*-1,0))),0)</f>
        <v>0</v>
      </c>
      <c r="K1116" s="145" t="str">
        <f t="shared" si="52"/>
        <v/>
      </c>
      <c r="L1116" s="145">
        <f t="shared" si="53"/>
        <v>0</v>
      </c>
      <c r="M1116" t="str">
        <f>_xlfn.XLOOKUP(Table3[[#This Row],[Cuenta]],Estructura_Balance[Nombre Cuenta ()],Estructura_Balance[Grupo],"",0)</f>
        <v/>
      </c>
      <c r="N1116" t="str">
        <f>_xlfn.XLOOKUP(Table3[[#This Row],[Cuenta]],Estructura_Balance[Nombre Cuenta ()],Estructura_Balance[Nivel 1],"",0)</f>
        <v/>
      </c>
      <c r="O1116" t="str">
        <f>_xlfn.XLOOKUP(Table3[[#This Row],[Cuenta]],Estructura_Balance[Nombre Cuenta ()],Estructura_Balance[Nivel 2],"",0)</f>
        <v/>
      </c>
      <c r="P1116" t="str">
        <f>_xlfn.XLOOKUP(Table3[[#This Row],[Cuenta]],Estructura_Balance[Nombre Cuenta ()],Estructura_Balance[Nivel 3],"",0)</f>
        <v/>
      </c>
      <c r="Q1116" t="str">
        <f>_xlfn.XLOOKUP(Table3[[#This Row],[Cuenta]],Estructura_Balance[Nombre Cuenta ()],Estructura_Balance[Nivel 4],"",0)</f>
        <v/>
      </c>
      <c r="R1116" t="str">
        <f>_xlfn.XLOOKUP(Table3[[#This Row],[Cuenta]],Table8[Nombre Cuenta ()],Table8[Nivel 1],"",0)</f>
        <v/>
      </c>
      <c r="S1116" t="str">
        <f>_xlfn.XLOOKUP(Table3[[#This Row],[Cuenta]],Table8[Nombre Cuenta ()],Table8[Nivel 2],"",0)</f>
        <v/>
      </c>
      <c r="T1116" t="str">
        <f>_xlfn.XLOOKUP(Table3[[#This Row],[Cuenta]],Table8[Nombre Cuenta ()],Table8[Nivel 3],"",0)</f>
        <v/>
      </c>
      <c r="U1116">
        <v>1863</v>
      </c>
      <c r="V1116" t="str">
        <f>_xlfn.XLOOKUP(Table3[[#This Row],[Cuenta]],Estructura_Balance[Nombre Cuenta ()],Estructura_Balance[Niveles:2],"",0)</f>
        <v/>
      </c>
      <c r="W1116" t="str">
        <f>_xlfn.XLOOKUP(Table3[[#This Row],[Cuenta]],Estructura_Balance[Nombre Cuenta ()],Estructura_Balance[Niveles:3],"",0)</f>
        <v/>
      </c>
      <c r="X1116" t="str">
        <f>_xlfn.XLOOKUP(Table3[[#This Row],[Cuenta]],Estructura_Balance[Nombre Cuenta ()],Estructura_Balance[Grupos],"Grupo 1",0)</f>
        <v>Grupo 1</v>
      </c>
      <c r="Y1116" t="str">
        <f>+Table3[[#This Row],[BS_Nivel_1]]</f>
        <v/>
      </c>
    </row>
    <row r="1117" spans="1:25" ht="15" customHeight="1">
      <c r="A1117">
        <f>+'Libro Diario'!F473</f>
        <v>0</v>
      </c>
      <c r="B1117" s="144">
        <f>VALUE(IF(+'Libro Diario'!G473="","01/01/2025",+'Libro Diario'!G473))</f>
        <v>45658</v>
      </c>
      <c r="C1117">
        <f>IF(ISNUMBER(+IF(IFERROR(VALUE(MID('Libro Diario'!D473,1,4)),0)&lt;&gt;0,'Libro Diario'!D473,0))=FALSE,'Libro Diario'!D473,0)</f>
        <v>0</v>
      </c>
      <c r="D1117" s="145">
        <f>+'Libro Diario'!E473</f>
        <v>0</v>
      </c>
      <c r="E1117" s="139" t="s">
        <v>446</v>
      </c>
      <c r="F1117" t="str">
        <f t="shared" si="51"/>
        <v>Sin Mov.</v>
      </c>
      <c r="G1117" t="str">
        <f>IF(+'Libro Diario'!H473=0,"",+'Libro Diario'!H473)</f>
        <v/>
      </c>
      <c r="H1117" t="str">
        <f>IF(+'Libro Diario'!I473=0,"",+'Libro Diario'!I473)</f>
        <v/>
      </c>
      <c r="I1117" t="str">
        <f>+IF(Table3[[#This Row],[Tipo Movimiento]]="Estructura Balance y PyG","Excluir","Incluir")</f>
        <v>Incluir</v>
      </c>
      <c r="J1117" s="153">
        <f>+IF(Table3[[#This Row],[Sin cuenta]]="Con Mov.",(IF(Table3[[#This Row],[Movimiento]]="Debe",Table3[[#This Row],[Importe]],IF(Table3[[#This Row],[Movimiento]]="Haber",Table3[[#This Row],[Importe]]*-1,0))),0)</f>
        <v>0</v>
      </c>
      <c r="K1117" s="145" t="str">
        <f t="shared" si="52"/>
        <v/>
      </c>
      <c r="L1117" s="145">
        <f t="shared" si="53"/>
        <v>0</v>
      </c>
      <c r="M1117" t="str">
        <f>_xlfn.XLOOKUP(Table3[[#This Row],[Cuenta]],Estructura_Balance[Nombre Cuenta ()],Estructura_Balance[Grupo],"",0)</f>
        <v/>
      </c>
      <c r="N1117" t="str">
        <f>_xlfn.XLOOKUP(Table3[[#This Row],[Cuenta]],Estructura_Balance[Nombre Cuenta ()],Estructura_Balance[Nivel 1],"",0)</f>
        <v/>
      </c>
      <c r="O1117" t="str">
        <f>_xlfn.XLOOKUP(Table3[[#This Row],[Cuenta]],Estructura_Balance[Nombre Cuenta ()],Estructura_Balance[Nivel 2],"",0)</f>
        <v/>
      </c>
      <c r="P1117" t="str">
        <f>_xlfn.XLOOKUP(Table3[[#This Row],[Cuenta]],Estructura_Balance[Nombre Cuenta ()],Estructura_Balance[Nivel 3],"",0)</f>
        <v/>
      </c>
      <c r="Q1117" t="str">
        <f>_xlfn.XLOOKUP(Table3[[#This Row],[Cuenta]],Estructura_Balance[Nombre Cuenta ()],Estructura_Balance[Nivel 4],"",0)</f>
        <v/>
      </c>
      <c r="R1117" t="str">
        <f>_xlfn.XLOOKUP(Table3[[#This Row],[Cuenta]],Table8[Nombre Cuenta ()],Table8[Nivel 1],"",0)</f>
        <v/>
      </c>
      <c r="S1117" t="str">
        <f>_xlfn.XLOOKUP(Table3[[#This Row],[Cuenta]],Table8[Nombre Cuenta ()],Table8[Nivel 2],"",0)</f>
        <v/>
      </c>
      <c r="T1117" t="str">
        <f>_xlfn.XLOOKUP(Table3[[#This Row],[Cuenta]],Table8[Nombre Cuenta ()],Table8[Nivel 3],"",0)</f>
        <v/>
      </c>
      <c r="U1117">
        <v>1866</v>
      </c>
      <c r="V1117" t="str">
        <f>_xlfn.XLOOKUP(Table3[[#This Row],[Cuenta]],Estructura_Balance[Nombre Cuenta ()],Estructura_Balance[Niveles:2],"",0)</f>
        <v/>
      </c>
      <c r="W1117" t="str">
        <f>_xlfn.XLOOKUP(Table3[[#This Row],[Cuenta]],Estructura_Balance[Nombre Cuenta ()],Estructura_Balance[Niveles:3],"",0)</f>
        <v/>
      </c>
      <c r="X1117" t="str">
        <f>_xlfn.XLOOKUP(Table3[[#This Row],[Cuenta]],Estructura_Balance[Nombre Cuenta ()],Estructura_Balance[Grupos],"Grupo 1",0)</f>
        <v>Grupo 1</v>
      </c>
      <c r="Y1117" t="str">
        <f>+Table3[[#This Row],[BS_Nivel_1]]</f>
        <v/>
      </c>
    </row>
    <row r="1118" spans="1:25" ht="15" customHeight="1">
      <c r="A1118">
        <f>+'Libro Diario'!F474</f>
        <v>0</v>
      </c>
      <c r="B1118" s="144">
        <f>VALUE(IF(+'Libro Diario'!G474="","01/01/2025",+'Libro Diario'!G474))</f>
        <v>45658</v>
      </c>
      <c r="C1118">
        <f>IF(ISNUMBER(+IF(IFERROR(VALUE(MID('Libro Diario'!D474,1,4)),0)&lt;&gt;0,'Libro Diario'!D474,0))=FALSE,'Libro Diario'!D474,0)</f>
        <v>0</v>
      </c>
      <c r="D1118" s="145">
        <f>+'Libro Diario'!E474</f>
        <v>0</v>
      </c>
      <c r="E1118" s="139" t="s">
        <v>446</v>
      </c>
      <c r="F1118" t="str">
        <f t="shared" si="51"/>
        <v>Sin Mov.</v>
      </c>
      <c r="G1118" t="str">
        <f>IF(+'Libro Diario'!H474=0,"",+'Libro Diario'!H474)</f>
        <v/>
      </c>
      <c r="H1118" t="str">
        <f>IF(+'Libro Diario'!I474=0,"",+'Libro Diario'!I474)</f>
        <v/>
      </c>
      <c r="I1118" t="str">
        <f>+IF(Table3[[#This Row],[Tipo Movimiento]]="Estructura Balance y PyG","Excluir","Incluir")</f>
        <v>Incluir</v>
      </c>
      <c r="J1118" s="153">
        <f>+IF(Table3[[#This Row],[Sin cuenta]]="Con Mov.",(IF(Table3[[#This Row],[Movimiento]]="Debe",Table3[[#This Row],[Importe]],IF(Table3[[#This Row],[Movimiento]]="Haber",Table3[[#This Row],[Importe]]*-1,0))),0)</f>
        <v>0</v>
      </c>
      <c r="K1118" s="145" t="str">
        <f t="shared" si="52"/>
        <v/>
      </c>
      <c r="L1118" s="145">
        <f t="shared" si="53"/>
        <v>0</v>
      </c>
      <c r="M1118" t="str">
        <f>_xlfn.XLOOKUP(Table3[[#This Row],[Cuenta]],Estructura_Balance[Nombre Cuenta ()],Estructura_Balance[Grupo],"",0)</f>
        <v/>
      </c>
      <c r="N1118" t="str">
        <f>_xlfn.XLOOKUP(Table3[[#This Row],[Cuenta]],Estructura_Balance[Nombre Cuenta ()],Estructura_Balance[Nivel 1],"",0)</f>
        <v/>
      </c>
      <c r="O1118" t="str">
        <f>_xlfn.XLOOKUP(Table3[[#This Row],[Cuenta]],Estructura_Balance[Nombre Cuenta ()],Estructura_Balance[Nivel 2],"",0)</f>
        <v/>
      </c>
      <c r="P1118" t="str">
        <f>_xlfn.XLOOKUP(Table3[[#This Row],[Cuenta]],Estructura_Balance[Nombre Cuenta ()],Estructura_Balance[Nivel 3],"",0)</f>
        <v/>
      </c>
      <c r="Q1118" t="str">
        <f>_xlfn.XLOOKUP(Table3[[#This Row],[Cuenta]],Estructura_Balance[Nombre Cuenta ()],Estructura_Balance[Nivel 4],"",0)</f>
        <v/>
      </c>
      <c r="R1118" t="str">
        <f>_xlfn.XLOOKUP(Table3[[#This Row],[Cuenta]],Table8[Nombre Cuenta ()],Table8[Nivel 1],"",0)</f>
        <v/>
      </c>
      <c r="S1118" t="str">
        <f>_xlfn.XLOOKUP(Table3[[#This Row],[Cuenta]],Table8[Nombre Cuenta ()],Table8[Nivel 2],"",0)</f>
        <v/>
      </c>
      <c r="T1118" t="str">
        <f>_xlfn.XLOOKUP(Table3[[#This Row],[Cuenta]],Table8[Nombre Cuenta ()],Table8[Nivel 3],"",0)</f>
        <v/>
      </c>
      <c r="U1118">
        <v>1867</v>
      </c>
      <c r="V1118" t="str">
        <f>_xlfn.XLOOKUP(Table3[[#This Row],[Cuenta]],Estructura_Balance[Nombre Cuenta ()],Estructura_Balance[Niveles:2],"",0)</f>
        <v/>
      </c>
      <c r="W1118" t="str">
        <f>_xlfn.XLOOKUP(Table3[[#This Row],[Cuenta]],Estructura_Balance[Nombre Cuenta ()],Estructura_Balance[Niveles:3],"",0)</f>
        <v/>
      </c>
      <c r="X1118" t="str">
        <f>_xlfn.XLOOKUP(Table3[[#This Row],[Cuenta]],Estructura_Balance[Nombre Cuenta ()],Estructura_Balance[Grupos],"Grupo 1",0)</f>
        <v>Grupo 1</v>
      </c>
      <c r="Y1118" t="str">
        <f>+Table3[[#This Row],[BS_Nivel_1]]</f>
        <v/>
      </c>
    </row>
    <row r="1119" spans="1:25" ht="15" customHeight="1">
      <c r="A1119">
        <f>+'Libro Diario'!F475</f>
        <v>0</v>
      </c>
      <c r="B1119" s="144">
        <f>VALUE(IF(+'Libro Diario'!G475="","01/01/2025",+'Libro Diario'!G475))</f>
        <v>45658</v>
      </c>
      <c r="C1119">
        <f>IF(ISNUMBER(+IF(IFERROR(VALUE(MID('Libro Diario'!D475,1,4)),0)&lt;&gt;0,'Libro Diario'!D475,0))=FALSE,'Libro Diario'!D475,0)</f>
        <v>0</v>
      </c>
      <c r="D1119" s="145">
        <f>+'Libro Diario'!E475</f>
        <v>0</v>
      </c>
      <c r="E1119" s="139" t="s">
        <v>446</v>
      </c>
      <c r="F1119" t="str">
        <f t="shared" si="51"/>
        <v>Sin Mov.</v>
      </c>
      <c r="G1119" t="str">
        <f>IF(+'Libro Diario'!H475=0,"",+'Libro Diario'!H475)</f>
        <v/>
      </c>
      <c r="H1119" t="str">
        <f>IF(+'Libro Diario'!I475=0,"",+'Libro Diario'!I475)</f>
        <v/>
      </c>
      <c r="I1119" t="str">
        <f>+IF(Table3[[#This Row],[Tipo Movimiento]]="Estructura Balance y PyG","Excluir","Incluir")</f>
        <v>Incluir</v>
      </c>
      <c r="J1119" s="153">
        <f>+IF(Table3[[#This Row],[Sin cuenta]]="Con Mov.",(IF(Table3[[#This Row],[Movimiento]]="Debe",Table3[[#This Row],[Importe]],IF(Table3[[#This Row],[Movimiento]]="Haber",Table3[[#This Row],[Importe]]*-1,0))),0)</f>
        <v>0</v>
      </c>
      <c r="K1119" s="145" t="str">
        <f t="shared" si="52"/>
        <v/>
      </c>
      <c r="L1119" s="145">
        <f t="shared" si="53"/>
        <v>0</v>
      </c>
      <c r="M1119" t="str">
        <f>_xlfn.XLOOKUP(Table3[[#This Row],[Cuenta]],Estructura_Balance[Nombre Cuenta ()],Estructura_Balance[Grupo],"",0)</f>
        <v/>
      </c>
      <c r="N1119" t="str">
        <f>_xlfn.XLOOKUP(Table3[[#This Row],[Cuenta]],Estructura_Balance[Nombre Cuenta ()],Estructura_Balance[Nivel 1],"",0)</f>
        <v/>
      </c>
      <c r="O1119" t="str">
        <f>_xlfn.XLOOKUP(Table3[[#This Row],[Cuenta]],Estructura_Balance[Nombre Cuenta ()],Estructura_Balance[Nivel 2],"",0)</f>
        <v/>
      </c>
      <c r="P1119" t="str">
        <f>_xlfn.XLOOKUP(Table3[[#This Row],[Cuenta]],Estructura_Balance[Nombre Cuenta ()],Estructura_Balance[Nivel 3],"",0)</f>
        <v/>
      </c>
      <c r="Q1119" t="str">
        <f>_xlfn.XLOOKUP(Table3[[#This Row],[Cuenta]],Estructura_Balance[Nombre Cuenta ()],Estructura_Balance[Nivel 4],"",0)</f>
        <v/>
      </c>
      <c r="R1119" t="str">
        <f>_xlfn.XLOOKUP(Table3[[#This Row],[Cuenta]],Table8[Nombre Cuenta ()],Table8[Nivel 1],"",0)</f>
        <v/>
      </c>
      <c r="S1119" t="str">
        <f>_xlfn.XLOOKUP(Table3[[#This Row],[Cuenta]],Table8[Nombre Cuenta ()],Table8[Nivel 2],"",0)</f>
        <v/>
      </c>
      <c r="T1119" t="str">
        <f>_xlfn.XLOOKUP(Table3[[#This Row],[Cuenta]],Table8[Nombre Cuenta ()],Table8[Nivel 3],"",0)</f>
        <v/>
      </c>
      <c r="U1119">
        <v>1868</v>
      </c>
      <c r="V1119" t="str">
        <f>_xlfn.XLOOKUP(Table3[[#This Row],[Cuenta]],Estructura_Balance[Nombre Cuenta ()],Estructura_Balance[Niveles:2],"",0)</f>
        <v/>
      </c>
      <c r="W1119" t="str">
        <f>_xlfn.XLOOKUP(Table3[[#This Row],[Cuenta]],Estructura_Balance[Nombre Cuenta ()],Estructura_Balance[Niveles:3],"",0)</f>
        <v/>
      </c>
      <c r="X1119" t="str">
        <f>_xlfn.XLOOKUP(Table3[[#This Row],[Cuenta]],Estructura_Balance[Nombre Cuenta ()],Estructura_Balance[Grupos],"Grupo 1",0)</f>
        <v>Grupo 1</v>
      </c>
      <c r="Y1119" t="str">
        <f>+Table3[[#This Row],[BS_Nivel_1]]</f>
        <v/>
      </c>
    </row>
    <row r="1120" spans="1:25" ht="15" customHeight="1">
      <c r="A1120">
        <f>+'Libro Diario'!F476</f>
        <v>0</v>
      </c>
      <c r="B1120" s="144">
        <f>VALUE(IF(+'Libro Diario'!G476="","01/01/2025",+'Libro Diario'!G476))</f>
        <v>45658</v>
      </c>
      <c r="C1120">
        <f>IF(ISNUMBER(+IF(IFERROR(VALUE(MID('Libro Diario'!D476,1,4)),0)&lt;&gt;0,'Libro Diario'!D476,0))=FALSE,'Libro Diario'!D476,0)</f>
        <v>0</v>
      </c>
      <c r="D1120" s="145" t="str">
        <f>+'Libro Diario'!E476</f>
        <v>HABER</v>
      </c>
      <c r="E1120" s="139" t="s">
        <v>446</v>
      </c>
      <c r="F1120" t="str">
        <f t="shared" si="51"/>
        <v>Sin Mov.</v>
      </c>
      <c r="G1120" t="str">
        <f>IF(+'Libro Diario'!H476=0,"",+'Libro Diario'!H476)</f>
        <v/>
      </c>
      <c r="H1120" t="str">
        <f>IF(+'Libro Diario'!I476=0,"",+'Libro Diario'!I476)</f>
        <v/>
      </c>
      <c r="I1120" t="str">
        <f>+IF(Table3[[#This Row],[Tipo Movimiento]]="Estructura Balance y PyG","Excluir","Incluir")</f>
        <v>Incluir</v>
      </c>
      <c r="J1120" s="153">
        <f>+IF(Table3[[#This Row],[Sin cuenta]]="Con Mov.",(IF(Table3[[#This Row],[Movimiento]]="Debe",Table3[[#This Row],[Importe]],IF(Table3[[#This Row],[Movimiento]]="Haber",Table3[[#This Row],[Importe]]*-1,0))),0)</f>
        <v>0</v>
      </c>
      <c r="K1120" s="145" t="str">
        <f t="shared" si="52"/>
        <v/>
      </c>
      <c r="L1120" s="145" t="str">
        <f t="shared" si="53"/>
        <v>HABER</v>
      </c>
      <c r="M1120" t="str">
        <f>_xlfn.XLOOKUP(Table3[[#This Row],[Cuenta]],Estructura_Balance[Nombre Cuenta ()],Estructura_Balance[Grupo],"",0)</f>
        <v/>
      </c>
      <c r="N1120" t="str">
        <f>_xlfn.XLOOKUP(Table3[[#This Row],[Cuenta]],Estructura_Balance[Nombre Cuenta ()],Estructura_Balance[Nivel 1],"",0)</f>
        <v/>
      </c>
      <c r="O1120" t="str">
        <f>_xlfn.XLOOKUP(Table3[[#This Row],[Cuenta]],Estructura_Balance[Nombre Cuenta ()],Estructura_Balance[Nivel 2],"",0)</f>
        <v/>
      </c>
      <c r="P1120" t="str">
        <f>_xlfn.XLOOKUP(Table3[[#This Row],[Cuenta]],Estructura_Balance[Nombre Cuenta ()],Estructura_Balance[Nivel 3],"",0)</f>
        <v/>
      </c>
      <c r="Q1120" t="str">
        <f>_xlfn.XLOOKUP(Table3[[#This Row],[Cuenta]],Estructura_Balance[Nombre Cuenta ()],Estructura_Balance[Nivel 4],"",0)</f>
        <v/>
      </c>
      <c r="R1120" t="str">
        <f>_xlfn.XLOOKUP(Table3[[#This Row],[Cuenta]],Table8[Nombre Cuenta ()],Table8[Nivel 1],"",0)</f>
        <v/>
      </c>
      <c r="S1120" t="str">
        <f>_xlfn.XLOOKUP(Table3[[#This Row],[Cuenta]],Table8[Nombre Cuenta ()],Table8[Nivel 2],"",0)</f>
        <v/>
      </c>
      <c r="T1120" t="str">
        <f>_xlfn.XLOOKUP(Table3[[#This Row],[Cuenta]],Table8[Nombre Cuenta ()],Table8[Nivel 3],"",0)</f>
        <v/>
      </c>
      <c r="U1120">
        <v>1869</v>
      </c>
      <c r="V1120" t="str">
        <f>_xlfn.XLOOKUP(Table3[[#This Row],[Cuenta]],Estructura_Balance[Nombre Cuenta ()],Estructura_Balance[Niveles:2],"",0)</f>
        <v/>
      </c>
      <c r="W1120" t="str">
        <f>_xlfn.XLOOKUP(Table3[[#This Row],[Cuenta]],Estructura_Balance[Nombre Cuenta ()],Estructura_Balance[Niveles:3],"",0)</f>
        <v/>
      </c>
      <c r="X1120" t="str">
        <f>_xlfn.XLOOKUP(Table3[[#This Row],[Cuenta]],Estructura_Balance[Nombre Cuenta ()],Estructura_Balance[Grupos],"Grupo 1",0)</f>
        <v>Grupo 1</v>
      </c>
      <c r="Y1120" t="str">
        <f>+Table3[[#This Row],[BS_Nivel_1]]</f>
        <v/>
      </c>
    </row>
    <row r="1121" spans="1:25" ht="15" customHeight="1">
      <c r="A1121">
        <f>+'Libro Diario'!F477</f>
        <v>0</v>
      </c>
      <c r="B1121" s="144">
        <f>VALUE(IF(+'Libro Diario'!G477="","01/01/2025",+'Libro Diario'!G477))</f>
        <v>45658</v>
      </c>
      <c r="C1121">
        <f>IF(ISNUMBER(+IF(IFERROR(VALUE(MID('Libro Diario'!D477,1,4)),0)&lt;&gt;0,'Libro Diario'!D477,0))=FALSE,'Libro Diario'!D477,0)</f>
        <v>0</v>
      </c>
      <c r="D1121" s="145">
        <f>+'Libro Diario'!E477</f>
        <v>0</v>
      </c>
      <c r="E1121" s="139" t="s">
        <v>446</v>
      </c>
      <c r="F1121" t="str">
        <f t="shared" si="51"/>
        <v>Sin Mov.</v>
      </c>
      <c r="G1121" t="str">
        <f>IF(+'Libro Diario'!H477=0,"",+'Libro Diario'!H477)</f>
        <v/>
      </c>
      <c r="H1121" t="str">
        <f>IF(+'Libro Diario'!I477=0,"",+'Libro Diario'!I477)</f>
        <v/>
      </c>
      <c r="I1121" t="str">
        <f>+IF(Table3[[#This Row],[Tipo Movimiento]]="Estructura Balance y PyG","Excluir","Incluir")</f>
        <v>Incluir</v>
      </c>
      <c r="J1121" s="153">
        <f>+IF(Table3[[#This Row],[Sin cuenta]]="Con Mov.",(IF(Table3[[#This Row],[Movimiento]]="Debe",Table3[[#This Row],[Importe]],IF(Table3[[#This Row],[Movimiento]]="Haber",Table3[[#This Row],[Importe]]*-1,0))),0)</f>
        <v>0</v>
      </c>
      <c r="K1121" s="145" t="str">
        <f t="shared" si="52"/>
        <v/>
      </c>
      <c r="L1121" s="145">
        <f t="shared" si="53"/>
        <v>0</v>
      </c>
      <c r="M1121" t="str">
        <f>_xlfn.XLOOKUP(Table3[[#This Row],[Cuenta]],Estructura_Balance[Nombre Cuenta ()],Estructura_Balance[Grupo],"",0)</f>
        <v/>
      </c>
      <c r="N1121" t="str">
        <f>_xlfn.XLOOKUP(Table3[[#This Row],[Cuenta]],Estructura_Balance[Nombre Cuenta ()],Estructura_Balance[Nivel 1],"",0)</f>
        <v/>
      </c>
      <c r="O1121" t="str">
        <f>_xlfn.XLOOKUP(Table3[[#This Row],[Cuenta]],Estructura_Balance[Nombre Cuenta ()],Estructura_Balance[Nivel 2],"",0)</f>
        <v/>
      </c>
      <c r="P1121" t="str">
        <f>_xlfn.XLOOKUP(Table3[[#This Row],[Cuenta]],Estructura_Balance[Nombre Cuenta ()],Estructura_Balance[Nivel 3],"",0)</f>
        <v/>
      </c>
      <c r="Q1121" t="str">
        <f>_xlfn.XLOOKUP(Table3[[#This Row],[Cuenta]],Estructura_Balance[Nombre Cuenta ()],Estructura_Balance[Nivel 4],"",0)</f>
        <v/>
      </c>
      <c r="R1121" t="str">
        <f>_xlfn.XLOOKUP(Table3[[#This Row],[Cuenta]],Table8[Nombre Cuenta ()],Table8[Nivel 1],"",0)</f>
        <v/>
      </c>
      <c r="S1121" t="str">
        <f>_xlfn.XLOOKUP(Table3[[#This Row],[Cuenta]],Table8[Nombre Cuenta ()],Table8[Nivel 2],"",0)</f>
        <v/>
      </c>
      <c r="T1121" t="str">
        <f>_xlfn.XLOOKUP(Table3[[#This Row],[Cuenta]],Table8[Nombre Cuenta ()],Table8[Nivel 3],"",0)</f>
        <v/>
      </c>
      <c r="U1121">
        <v>1870</v>
      </c>
      <c r="V1121" t="str">
        <f>_xlfn.XLOOKUP(Table3[[#This Row],[Cuenta]],Estructura_Balance[Nombre Cuenta ()],Estructura_Balance[Niveles:2],"",0)</f>
        <v/>
      </c>
      <c r="W1121" t="str">
        <f>_xlfn.XLOOKUP(Table3[[#This Row],[Cuenta]],Estructura_Balance[Nombre Cuenta ()],Estructura_Balance[Niveles:3],"",0)</f>
        <v/>
      </c>
      <c r="X1121" t="str">
        <f>_xlfn.XLOOKUP(Table3[[#This Row],[Cuenta]],Estructura_Balance[Nombre Cuenta ()],Estructura_Balance[Grupos],"Grupo 1",0)</f>
        <v>Grupo 1</v>
      </c>
      <c r="Y1121" t="str">
        <f>+Table3[[#This Row],[BS_Nivel_1]]</f>
        <v/>
      </c>
    </row>
    <row r="1122" spans="1:25" ht="15" customHeight="1">
      <c r="A1122">
        <f>+'Libro Diario'!F480</f>
        <v>0</v>
      </c>
      <c r="B1122" s="144">
        <f>VALUE(IF(+'Libro Diario'!G480="","01/01/2025",+'Libro Diario'!G480))</f>
        <v>45658</v>
      </c>
      <c r="C1122">
        <f>IF(ISNUMBER(+IF(IFERROR(VALUE(MID('Libro Diario'!D480,1,4)),0)&lt;&gt;0,'Libro Diario'!D480,0))=FALSE,'Libro Diario'!D480,0)</f>
        <v>0</v>
      </c>
      <c r="D1122" s="145">
        <f>+'Libro Diario'!E480</f>
        <v>0</v>
      </c>
      <c r="E1122" s="139" t="s">
        <v>446</v>
      </c>
      <c r="F1122" t="str">
        <f t="shared" si="51"/>
        <v>Sin Mov.</v>
      </c>
      <c r="G1122" t="str">
        <f>IF(+'Libro Diario'!H480=0,"",+'Libro Diario'!H480)</f>
        <v/>
      </c>
      <c r="H1122" t="str">
        <f>IF(+'Libro Diario'!I480=0,"",+'Libro Diario'!I480)</f>
        <v/>
      </c>
      <c r="I1122" t="str">
        <f>+IF(Table3[[#This Row],[Tipo Movimiento]]="Estructura Balance y PyG","Excluir","Incluir")</f>
        <v>Incluir</v>
      </c>
      <c r="J1122" s="153">
        <f>+IF(Table3[[#This Row],[Sin cuenta]]="Con Mov.",(IF(Table3[[#This Row],[Movimiento]]="Debe",Table3[[#This Row],[Importe]],IF(Table3[[#This Row],[Movimiento]]="Haber",Table3[[#This Row],[Importe]]*-1,0))),0)</f>
        <v>0</v>
      </c>
      <c r="K1122" s="145" t="str">
        <f t="shared" si="52"/>
        <v/>
      </c>
      <c r="L1122" s="145">
        <f t="shared" si="53"/>
        <v>0</v>
      </c>
      <c r="M1122" t="str">
        <f>_xlfn.XLOOKUP(Table3[[#This Row],[Cuenta]],Estructura_Balance[Nombre Cuenta ()],Estructura_Balance[Grupo],"",0)</f>
        <v/>
      </c>
      <c r="N1122" t="str">
        <f>_xlfn.XLOOKUP(Table3[[#This Row],[Cuenta]],Estructura_Balance[Nombre Cuenta ()],Estructura_Balance[Nivel 1],"",0)</f>
        <v/>
      </c>
      <c r="O1122" t="str">
        <f>_xlfn.XLOOKUP(Table3[[#This Row],[Cuenta]],Estructura_Balance[Nombre Cuenta ()],Estructura_Balance[Nivel 2],"",0)</f>
        <v/>
      </c>
      <c r="P1122" t="str">
        <f>_xlfn.XLOOKUP(Table3[[#This Row],[Cuenta]],Estructura_Balance[Nombre Cuenta ()],Estructura_Balance[Nivel 3],"",0)</f>
        <v/>
      </c>
      <c r="Q1122" t="str">
        <f>_xlfn.XLOOKUP(Table3[[#This Row],[Cuenta]],Estructura_Balance[Nombre Cuenta ()],Estructura_Balance[Nivel 4],"",0)</f>
        <v/>
      </c>
      <c r="R1122" t="str">
        <f>_xlfn.XLOOKUP(Table3[[#This Row],[Cuenta]],Table8[Nombre Cuenta ()],Table8[Nivel 1],"",0)</f>
        <v/>
      </c>
      <c r="S1122" t="str">
        <f>_xlfn.XLOOKUP(Table3[[#This Row],[Cuenta]],Table8[Nombre Cuenta ()],Table8[Nivel 2],"",0)</f>
        <v/>
      </c>
      <c r="T1122" t="str">
        <f>_xlfn.XLOOKUP(Table3[[#This Row],[Cuenta]],Table8[Nombre Cuenta ()],Table8[Nivel 3],"",0)</f>
        <v/>
      </c>
      <c r="U1122">
        <v>1873</v>
      </c>
      <c r="V1122" t="str">
        <f>_xlfn.XLOOKUP(Table3[[#This Row],[Cuenta]],Estructura_Balance[Nombre Cuenta ()],Estructura_Balance[Niveles:2],"",0)</f>
        <v/>
      </c>
      <c r="W1122" t="str">
        <f>_xlfn.XLOOKUP(Table3[[#This Row],[Cuenta]],Estructura_Balance[Nombre Cuenta ()],Estructura_Balance[Niveles:3],"",0)</f>
        <v/>
      </c>
      <c r="X1122" t="str">
        <f>_xlfn.XLOOKUP(Table3[[#This Row],[Cuenta]],Estructura_Balance[Nombre Cuenta ()],Estructura_Balance[Grupos],"Grupo 1",0)</f>
        <v>Grupo 1</v>
      </c>
      <c r="Y1122" t="str">
        <f>+Table3[[#This Row],[BS_Nivel_1]]</f>
        <v/>
      </c>
    </row>
    <row r="1123" spans="1:25" ht="15" customHeight="1">
      <c r="A1123">
        <f>+'Libro Diario'!F481</f>
        <v>0</v>
      </c>
      <c r="B1123" s="144">
        <f>VALUE(IF(+'Libro Diario'!G481="","01/01/2025",+'Libro Diario'!G481))</f>
        <v>45658</v>
      </c>
      <c r="C1123">
        <f>IF(ISNUMBER(+IF(IFERROR(VALUE(MID('Libro Diario'!D481,1,4)),0)&lt;&gt;0,'Libro Diario'!D481,0))=FALSE,'Libro Diario'!D481,0)</f>
        <v>0</v>
      </c>
      <c r="D1123" s="145">
        <f>+'Libro Diario'!E481</f>
        <v>0</v>
      </c>
      <c r="E1123" s="139" t="s">
        <v>446</v>
      </c>
      <c r="F1123" t="str">
        <f t="shared" si="51"/>
        <v>Sin Mov.</v>
      </c>
      <c r="G1123" t="str">
        <f>IF(+'Libro Diario'!H481=0,"",+'Libro Diario'!H481)</f>
        <v/>
      </c>
      <c r="H1123" t="str">
        <f>IF(+'Libro Diario'!I481=0,"",+'Libro Diario'!I481)</f>
        <v/>
      </c>
      <c r="I1123" t="str">
        <f>+IF(Table3[[#This Row],[Tipo Movimiento]]="Estructura Balance y PyG","Excluir","Incluir")</f>
        <v>Incluir</v>
      </c>
      <c r="J1123" s="153">
        <f>+IF(Table3[[#This Row],[Sin cuenta]]="Con Mov.",(IF(Table3[[#This Row],[Movimiento]]="Debe",Table3[[#This Row],[Importe]],IF(Table3[[#This Row],[Movimiento]]="Haber",Table3[[#This Row],[Importe]]*-1,0))),0)</f>
        <v>0</v>
      </c>
      <c r="K1123" s="145" t="str">
        <f t="shared" si="52"/>
        <v/>
      </c>
      <c r="L1123" s="145">
        <f t="shared" si="53"/>
        <v>0</v>
      </c>
      <c r="M1123" t="str">
        <f>_xlfn.XLOOKUP(Table3[[#This Row],[Cuenta]],Estructura_Balance[Nombre Cuenta ()],Estructura_Balance[Grupo],"",0)</f>
        <v/>
      </c>
      <c r="N1123" t="str">
        <f>_xlfn.XLOOKUP(Table3[[#This Row],[Cuenta]],Estructura_Balance[Nombre Cuenta ()],Estructura_Balance[Nivel 1],"",0)</f>
        <v/>
      </c>
      <c r="O1123" t="str">
        <f>_xlfn.XLOOKUP(Table3[[#This Row],[Cuenta]],Estructura_Balance[Nombre Cuenta ()],Estructura_Balance[Nivel 2],"",0)</f>
        <v/>
      </c>
      <c r="P1123" t="str">
        <f>_xlfn.XLOOKUP(Table3[[#This Row],[Cuenta]],Estructura_Balance[Nombre Cuenta ()],Estructura_Balance[Nivel 3],"",0)</f>
        <v/>
      </c>
      <c r="Q1123" t="str">
        <f>_xlfn.XLOOKUP(Table3[[#This Row],[Cuenta]],Estructura_Balance[Nombre Cuenta ()],Estructura_Balance[Nivel 4],"",0)</f>
        <v/>
      </c>
      <c r="R1123" t="str">
        <f>_xlfn.XLOOKUP(Table3[[#This Row],[Cuenta]],Table8[Nombre Cuenta ()],Table8[Nivel 1],"",0)</f>
        <v/>
      </c>
      <c r="S1123" t="str">
        <f>_xlfn.XLOOKUP(Table3[[#This Row],[Cuenta]],Table8[Nombre Cuenta ()],Table8[Nivel 2],"",0)</f>
        <v/>
      </c>
      <c r="T1123" t="str">
        <f>_xlfn.XLOOKUP(Table3[[#This Row],[Cuenta]],Table8[Nombre Cuenta ()],Table8[Nivel 3],"",0)</f>
        <v/>
      </c>
      <c r="U1123">
        <v>1874</v>
      </c>
      <c r="V1123" t="str">
        <f>_xlfn.XLOOKUP(Table3[[#This Row],[Cuenta]],Estructura_Balance[Nombre Cuenta ()],Estructura_Balance[Niveles:2],"",0)</f>
        <v/>
      </c>
      <c r="W1123" t="str">
        <f>_xlfn.XLOOKUP(Table3[[#This Row],[Cuenta]],Estructura_Balance[Nombre Cuenta ()],Estructura_Balance[Niveles:3],"",0)</f>
        <v/>
      </c>
      <c r="X1123" t="str">
        <f>_xlfn.XLOOKUP(Table3[[#This Row],[Cuenta]],Estructura_Balance[Nombre Cuenta ()],Estructura_Balance[Grupos],"Grupo 1",0)</f>
        <v>Grupo 1</v>
      </c>
      <c r="Y1123" t="str">
        <f>+Table3[[#This Row],[BS_Nivel_1]]</f>
        <v/>
      </c>
    </row>
    <row r="1124" spans="1:25" ht="15" customHeight="1">
      <c r="A1124">
        <f>+'Libro Diario'!F482</f>
        <v>0</v>
      </c>
      <c r="B1124" s="144">
        <f>VALUE(IF(+'Libro Diario'!G482="","01/01/2025",+'Libro Diario'!G482))</f>
        <v>45658</v>
      </c>
      <c r="C1124">
        <f>IF(ISNUMBER(+IF(IFERROR(VALUE(MID('Libro Diario'!D482,1,4)),0)&lt;&gt;0,'Libro Diario'!D482,0))=FALSE,'Libro Diario'!D482,0)</f>
        <v>0</v>
      </c>
      <c r="D1124" s="145">
        <f>+'Libro Diario'!E482</f>
        <v>0</v>
      </c>
      <c r="E1124" s="139" t="s">
        <v>446</v>
      </c>
      <c r="F1124" t="str">
        <f t="shared" si="51"/>
        <v>Sin Mov.</v>
      </c>
      <c r="G1124" t="str">
        <f>IF(+'Libro Diario'!H482=0,"",+'Libro Diario'!H482)</f>
        <v/>
      </c>
      <c r="H1124" t="str">
        <f>IF(+'Libro Diario'!I482=0,"",+'Libro Diario'!I482)</f>
        <v/>
      </c>
      <c r="I1124" t="str">
        <f>+IF(Table3[[#This Row],[Tipo Movimiento]]="Estructura Balance y PyG","Excluir","Incluir")</f>
        <v>Incluir</v>
      </c>
      <c r="J1124" s="153">
        <f>+IF(Table3[[#This Row],[Sin cuenta]]="Con Mov.",(IF(Table3[[#This Row],[Movimiento]]="Debe",Table3[[#This Row],[Importe]],IF(Table3[[#This Row],[Movimiento]]="Haber",Table3[[#This Row],[Importe]]*-1,0))),0)</f>
        <v>0</v>
      </c>
      <c r="K1124" s="145" t="str">
        <f t="shared" si="52"/>
        <v/>
      </c>
      <c r="L1124" s="145">
        <f t="shared" si="53"/>
        <v>0</v>
      </c>
      <c r="M1124" t="str">
        <f>_xlfn.XLOOKUP(Table3[[#This Row],[Cuenta]],Estructura_Balance[Nombre Cuenta ()],Estructura_Balance[Grupo],"",0)</f>
        <v/>
      </c>
      <c r="N1124" t="str">
        <f>_xlfn.XLOOKUP(Table3[[#This Row],[Cuenta]],Estructura_Balance[Nombre Cuenta ()],Estructura_Balance[Nivel 1],"",0)</f>
        <v/>
      </c>
      <c r="O1124" t="str">
        <f>_xlfn.XLOOKUP(Table3[[#This Row],[Cuenta]],Estructura_Balance[Nombre Cuenta ()],Estructura_Balance[Nivel 2],"",0)</f>
        <v/>
      </c>
      <c r="P1124" t="str">
        <f>_xlfn.XLOOKUP(Table3[[#This Row],[Cuenta]],Estructura_Balance[Nombre Cuenta ()],Estructura_Balance[Nivel 3],"",0)</f>
        <v/>
      </c>
      <c r="Q1124" t="str">
        <f>_xlfn.XLOOKUP(Table3[[#This Row],[Cuenta]],Estructura_Balance[Nombre Cuenta ()],Estructura_Balance[Nivel 4],"",0)</f>
        <v/>
      </c>
      <c r="R1124" t="str">
        <f>_xlfn.XLOOKUP(Table3[[#This Row],[Cuenta]],Table8[Nombre Cuenta ()],Table8[Nivel 1],"",0)</f>
        <v/>
      </c>
      <c r="S1124" t="str">
        <f>_xlfn.XLOOKUP(Table3[[#This Row],[Cuenta]],Table8[Nombre Cuenta ()],Table8[Nivel 2],"",0)</f>
        <v/>
      </c>
      <c r="T1124" t="str">
        <f>_xlfn.XLOOKUP(Table3[[#This Row],[Cuenta]],Table8[Nombre Cuenta ()],Table8[Nivel 3],"",0)</f>
        <v/>
      </c>
      <c r="U1124">
        <v>1875</v>
      </c>
      <c r="V1124" t="str">
        <f>_xlfn.XLOOKUP(Table3[[#This Row],[Cuenta]],Estructura_Balance[Nombre Cuenta ()],Estructura_Balance[Niveles:2],"",0)</f>
        <v/>
      </c>
      <c r="W1124" t="str">
        <f>_xlfn.XLOOKUP(Table3[[#This Row],[Cuenta]],Estructura_Balance[Nombre Cuenta ()],Estructura_Balance[Niveles:3],"",0)</f>
        <v/>
      </c>
      <c r="X1124" t="str">
        <f>_xlfn.XLOOKUP(Table3[[#This Row],[Cuenta]],Estructura_Balance[Nombre Cuenta ()],Estructura_Balance[Grupos],"Grupo 1",0)</f>
        <v>Grupo 1</v>
      </c>
      <c r="Y1124" t="str">
        <f>+Table3[[#This Row],[BS_Nivel_1]]</f>
        <v/>
      </c>
    </row>
    <row r="1125" spans="1:25" ht="15" customHeight="1">
      <c r="A1125">
        <f>+'Libro Diario'!F483</f>
        <v>0</v>
      </c>
      <c r="B1125" s="144">
        <f>VALUE(IF(+'Libro Diario'!G483="","01/01/2025",+'Libro Diario'!G483))</f>
        <v>45658</v>
      </c>
      <c r="C1125">
        <f>IF(ISNUMBER(+IF(IFERROR(VALUE(MID('Libro Diario'!D483,1,4)),0)&lt;&gt;0,'Libro Diario'!D483,0))=FALSE,'Libro Diario'!D483,0)</f>
        <v>0</v>
      </c>
      <c r="D1125" s="145" t="str">
        <f>+'Libro Diario'!E483</f>
        <v>HABER</v>
      </c>
      <c r="E1125" s="139" t="s">
        <v>446</v>
      </c>
      <c r="F1125" t="str">
        <f t="shared" si="51"/>
        <v>Sin Mov.</v>
      </c>
      <c r="G1125" t="str">
        <f>IF(+'Libro Diario'!H483=0,"",+'Libro Diario'!H483)</f>
        <v/>
      </c>
      <c r="H1125" t="str">
        <f>IF(+'Libro Diario'!I483=0,"",+'Libro Diario'!I483)</f>
        <v/>
      </c>
      <c r="I1125" t="str">
        <f>+IF(Table3[[#This Row],[Tipo Movimiento]]="Estructura Balance y PyG","Excluir","Incluir")</f>
        <v>Incluir</v>
      </c>
      <c r="J1125" s="153">
        <f>+IF(Table3[[#This Row],[Sin cuenta]]="Con Mov.",(IF(Table3[[#This Row],[Movimiento]]="Debe",Table3[[#This Row],[Importe]],IF(Table3[[#This Row],[Movimiento]]="Haber",Table3[[#This Row],[Importe]]*-1,0))),0)</f>
        <v>0</v>
      </c>
      <c r="K1125" s="145" t="str">
        <f t="shared" si="52"/>
        <v/>
      </c>
      <c r="L1125" s="145" t="str">
        <f t="shared" si="53"/>
        <v>HABER</v>
      </c>
      <c r="M1125" t="str">
        <f>_xlfn.XLOOKUP(Table3[[#This Row],[Cuenta]],Estructura_Balance[Nombre Cuenta ()],Estructura_Balance[Grupo],"",0)</f>
        <v/>
      </c>
      <c r="N1125" t="str">
        <f>_xlfn.XLOOKUP(Table3[[#This Row],[Cuenta]],Estructura_Balance[Nombre Cuenta ()],Estructura_Balance[Nivel 1],"",0)</f>
        <v/>
      </c>
      <c r="O1125" t="str">
        <f>_xlfn.XLOOKUP(Table3[[#This Row],[Cuenta]],Estructura_Balance[Nombre Cuenta ()],Estructura_Balance[Nivel 2],"",0)</f>
        <v/>
      </c>
      <c r="P1125" t="str">
        <f>_xlfn.XLOOKUP(Table3[[#This Row],[Cuenta]],Estructura_Balance[Nombre Cuenta ()],Estructura_Balance[Nivel 3],"",0)</f>
        <v/>
      </c>
      <c r="Q1125" t="str">
        <f>_xlfn.XLOOKUP(Table3[[#This Row],[Cuenta]],Estructura_Balance[Nombre Cuenta ()],Estructura_Balance[Nivel 4],"",0)</f>
        <v/>
      </c>
      <c r="R1125" t="str">
        <f>_xlfn.XLOOKUP(Table3[[#This Row],[Cuenta]],Table8[Nombre Cuenta ()],Table8[Nivel 1],"",0)</f>
        <v/>
      </c>
      <c r="S1125" t="str">
        <f>_xlfn.XLOOKUP(Table3[[#This Row],[Cuenta]],Table8[Nombre Cuenta ()],Table8[Nivel 2],"",0)</f>
        <v/>
      </c>
      <c r="T1125" t="str">
        <f>_xlfn.XLOOKUP(Table3[[#This Row],[Cuenta]],Table8[Nombre Cuenta ()],Table8[Nivel 3],"",0)</f>
        <v/>
      </c>
      <c r="U1125">
        <v>1876</v>
      </c>
      <c r="V1125" t="str">
        <f>_xlfn.XLOOKUP(Table3[[#This Row],[Cuenta]],Estructura_Balance[Nombre Cuenta ()],Estructura_Balance[Niveles:2],"",0)</f>
        <v/>
      </c>
      <c r="W1125" t="str">
        <f>_xlfn.XLOOKUP(Table3[[#This Row],[Cuenta]],Estructura_Balance[Nombre Cuenta ()],Estructura_Balance[Niveles:3],"",0)</f>
        <v/>
      </c>
      <c r="X1125" t="str">
        <f>_xlfn.XLOOKUP(Table3[[#This Row],[Cuenta]],Estructura_Balance[Nombre Cuenta ()],Estructura_Balance[Grupos],"Grupo 1",0)</f>
        <v>Grupo 1</v>
      </c>
      <c r="Y1125" t="str">
        <f>+Table3[[#This Row],[BS_Nivel_1]]</f>
        <v/>
      </c>
    </row>
    <row r="1126" spans="1:25" ht="15" customHeight="1">
      <c r="A1126">
        <f>+'Libro Diario'!F484</f>
        <v>0</v>
      </c>
      <c r="B1126" s="144">
        <f>VALUE(IF(+'Libro Diario'!G484="","01/01/2025",+'Libro Diario'!G484))</f>
        <v>45658</v>
      </c>
      <c r="C1126">
        <f>IF(ISNUMBER(+IF(IFERROR(VALUE(MID('Libro Diario'!D484,1,4)),0)&lt;&gt;0,'Libro Diario'!D484,0))=FALSE,'Libro Diario'!D484,0)</f>
        <v>0</v>
      </c>
      <c r="D1126" s="145">
        <f>+'Libro Diario'!E484</f>
        <v>0</v>
      </c>
      <c r="E1126" s="139" t="s">
        <v>446</v>
      </c>
      <c r="F1126" t="str">
        <f t="shared" si="51"/>
        <v>Sin Mov.</v>
      </c>
      <c r="G1126" t="str">
        <f>IF(+'Libro Diario'!H484=0,"",+'Libro Diario'!H484)</f>
        <v/>
      </c>
      <c r="H1126" t="str">
        <f>IF(+'Libro Diario'!I484=0,"",+'Libro Diario'!I484)</f>
        <v/>
      </c>
      <c r="I1126" t="str">
        <f>+IF(Table3[[#This Row],[Tipo Movimiento]]="Estructura Balance y PyG","Excluir","Incluir")</f>
        <v>Incluir</v>
      </c>
      <c r="J1126" s="153">
        <f>+IF(Table3[[#This Row],[Sin cuenta]]="Con Mov.",(IF(Table3[[#This Row],[Movimiento]]="Debe",Table3[[#This Row],[Importe]],IF(Table3[[#This Row],[Movimiento]]="Haber",Table3[[#This Row],[Importe]]*-1,0))),0)</f>
        <v>0</v>
      </c>
      <c r="K1126" s="145" t="str">
        <f t="shared" si="52"/>
        <v/>
      </c>
      <c r="L1126" s="145">
        <f t="shared" si="53"/>
        <v>0</v>
      </c>
      <c r="M1126" t="str">
        <f>_xlfn.XLOOKUP(Table3[[#This Row],[Cuenta]],Estructura_Balance[Nombre Cuenta ()],Estructura_Balance[Grupo],"",0)</f>
        <v/>
      </c>
      <c r="N1126" t="str">
        <f>_xlfn.XLOOKUP(Table3[[#This Row],[Cuenta]],Estructura_Balance[Nombre Cuenta ()],Estructura_Balance[Nivel 1],"",0)</f>
        <v/>
      </c>
      <c r="O1126" t="str">
        <f>_xlfn.XLOOKUP(Table3[[#This Row],[Cuenta]],Estructura_Balance[Nombre Cuenta ()],Estructura_Balance[Nivel 2],"",0)</f>
        <v/>
      </c>
      <c r="P1126" t="str">
        <f>_xlfn.XLOOKUP(Table3[[#This Row],[Cuenta]],Estructura_Balance[Nombre Cuenta ()],Estructura_Balance[Nivel 3],"",0)</f>
        <v/>
      </c>
      <c r="Q1126" t="str">
        <f>_xlfn.XLOOKUP(Table3[[#This Row],[Cuenta]],Estructura_Balance[Nombre Cuenta ()],Estructura_Balance[Nivel 4],"",0)</f>
        <v/>
      </c>
      <c r="R1126" t="str">
        <f>_xlfn.XLOOKUP(Table3[[#This Row],[Cuenta]],Table8[Nombre Cuenta ()],Table8[Nivel 1],"",0)</f>
        <v/>
      </c>
      <c r="S1126" t="str">
        <f>_xlfn.XLOOKUP(Table3[[#This Row],[Cuenta]],Table8[Nombre Cuenta ()],Table8[Nivel 2],"",0)</f>
        <v/>
      </c>
      <c r="T1126" t="str">
        <f>_xlfn.XLOOKUP(Table3[[#This Row],[Cuenta]],Table8[Nombre Cuenta ()],Table8[Nivel 3],"",0)</f>
        <v/>
      </c>
      <c r="U1126">
        <v>1877</v>
      </c>
      <c r="V1126" t="str">
        <f>_xlfn.XLOOKUP(Table3[[#This Row],[Cuenta]],Estructura_Balance[Nombre Cuenta ()],Estructura_Balance[Niveles:2],"",0)</f>
        <v/>
      </c>
      <c r="W1126" t="str">
        <f>_xlfn.XLOOKUP(Table3[[#This Row],[Cuenta]],Estructura_Balance[Nombre Cuenta ()],Estructura_Balance[Niveles:3],"",0)</f>
        <v/>
      </c>
      <c r="X1126" t="str">
        <f>_xlfn.XLOOKUP(Table3[[#This Row],[Cuenta]],Estructura_Balance[Nombre Cuenta ()],Estructura_Balance[Grupos],"Grupo 1",0)</f>
        <v>Grupo 1</v>
      </c>
      <c r="Y1126" t="str">
        <f>+Table3[[#This Row],[BS_Nivel_1]]</f>
        <v/>
      </c>
    </row>
    <row r="1127" spans="1:25" ht="15" customHeight="1">
      <c r="A1127">
        <f>+'Libro Diario'!F487</f>
        <v>0</v>
      </c>
      <c r="B1127" s="144">
        <f>VALUE(IF(+'Libro Diario'!G487="","01/01/2025",+'Libro Diario'!G487))</f>
        <v>45658</v>
      </c>
      <c r="C1127">
        <f>IF(ISNUMBER(+IF(IFERROR(VALUE(MID('Libro Diario'!D487,1,4)),0)&lt;&gt;0,'Libro Diario'!D487,0))=FALSE,'Libro Diario'!D487,0)</f>
        <v>0</v>
      </c>
      <c r="D1127" s="145">
        <f>+'Libro Diario'!E487</f>
        <v>0</v>
      </c>
      <c r="E1127" s="139" t="s">
        <v>446</v>
      </c>
      <c r="F1127" t="str">
        <f t="shared" si="51"/>
        <v>Sin Mov.</v>
      </c>
      <c r="G1127" t="str">
        <f>IF(+'Libro Diario'!H487=0,"",+'Libro Diario'!H487)</f>
        <v/>
      </c>
      <c r="H1127" t="str">
        <f>IF(+'Libro Diario'!I487=0,"",+'Libro Diario'!I487)</f>
        <v/>
      </c>
      <c r="I1127" t="str">
        <f>+IF(Table3[[#This Row],[Tipo Movimiento]]="Estructura Balance y PyG","Excluir","Incluir")</f>
        <v>Incluir</v>
      </c>
      <c r="J1127" s="153">
        <f>+IF(Table3[[#This Row],[Sin cuenta]]="Con Mov.",(IF(Table3[[#This Row],[Movimiento]]="Debe",Table3[[#This Row],[Importe]],IF(Table3[[#This Row],[Movimiento]]="Haber",Table3[[#This Row],[Importe]]*-1,0))),0)</f>
        <v>0</v>
      </c>
      <c r="K1127" s="145" t="str">
        <f t="shared" si="52"/>
        <v/>
      </c>
      <c r="L1127" s="145">
        <f t="shared" si="53"/>
        <v>0</v>
      </c>
      <c r="M1127" t="str">
        <f>_xlfn.XLOOKUP(Table3[[#This Row],[Cuenta]],Estructura_Balance[Nombre Cuenta ()],Estructura_Balance[Grupo],"",0)</f>
        <v/>
      </c>
      <c r="N1127" t="str">
        <f>_xlfn.XLOOKUP(Table3[[#This Row],[Cuenta]],Estructura_Balance[Nombre Cuenta ()],Estructura_Balance[Nivel 1],"",0)</f>
        <v/>
      </c>
      <c r="O1127" t="str">
        <f>_xlfn.XLOOKUP(Table3[[#This Row],[Cuenta]],Estructura_Balance[Nombre Cuenta ()],Estructura_Balance[Nivel 2],"",0)</f>
        <v/>
      </c>
      <c r="P1127" t="str">
        <f>_xlfn.XLOOKUP(Table3[[#This Row],[Cuenta]],Estructura_Balance[Nombre Cuenta ()],Estructura_Balance[Nivel 3],"",0)</f>
        <v/>
      </c>
      <c r="Q1127" t="str">
        <f>_xlfn.XLOOKUP(Table3[[#This Row],[Cuenta]],Estructura_Balance[Nombre Cuenta ()],Estructura_Balance[Nivel 4],"",0)</f>
        <v/>
      </c>
      <c r="R1127" t="str">
        <f>_xlfn.XLOOKUP(Table3[[#This Row],[Cuenta]],Table8[Nombre Cuenta ()],Table8[Nivel 1],"",0)</f>
        <v/>
      </c>
      <c r="S1127" t="str">
        <f>_xlfn.XLOOKUP(Table3[[#This Row],[Cuenta]],Table8[Nombre Cuenta ()],Table8[Nivel 2],"",0)</f>
        <v/>
      </c>
      <c r="T1127" t="str">
        <f>_xlfn.XLOOKUP(Table3[[#This Row],[Cuenta]],Table8[Nombre Cuenta ()],Table8[Nivel 3],"",0)</f>
        <v/>
      </c>
      <c r="U1127">
        <v>1880</v>
      </c>
      <c r="V1127" t="str">
        <f>_xlfn.XLOOKUP(Table3[[#This Row],[Cuenta]],Estructura_Balance[Nombre Cuenta ()],Estructura_Balance[Niveles:2],"",0)</f>
        <v/>
      </c>
      <c r="W1127" t="str">
        <f>_xlfn.XLOOKUP(Table3[[#This Row],[Cuenta]],Estructura_Balance[Nombre Cuenta ()],Estructura_Balance[Niveles:3],"",0)</f>
        <v/>
      </c>
      <c r="X1127" t="str">
        <f>_xlfn.XLOOKUP(Table3[[#This Row],[Cuenta]],Estructura_Balance[Nombre Cuenta ()],Estructura_Balance[Grupos],"Grupo 1",0)</f>
        <v>Grupo 1</v>
      </c>
      <c r="Y1127" t="str">
        <f>+Table3[[#This Row],[BS_Nivel_1]]</f>
        <v/>
      </c>
    </row>
    <row r="1128" spans="1:25" ht="15" customHeight="1">
      <c r="A1128">
        <f>+'Libro Diario'!F488</f>
        <v>0</v>
      </c>
      <c r="B1128" s="144">
        <f>VALUE(IF(+'Libro Diario'!G488="","01/01/2025",+'Libro Diario'!G488))</f>
        <v>45658</v>
      </c>
      <c r="C1128">
        <f>IF(ISNUMBER(+IF(IFERROR(VALUE(MID('Libro Diario'!D488,1,4)),0)&lt;&gt;0,'Libro Diario'!D488,0))=FALSE,'Libro Diario'!D488,0)</f>
        <v>0</v>
      </c>
      <c r="D1128" s="145">
        <f>+'Libro Diario'!E488</f>
        <v>0</v>
      </c>
      <c r="E1128" s="139" t="s">
        <v>446</v>
      </c>
      <c r="F1128" t="str">
        <f t="shared" si="51"/>
        <v>Sin Mov.</v>
      </c>
      <c r="G1128" t="str">
        <f>IF(+'Libro Diario'!H488=0,"",+'Libro Diario'!H488)</f>
        <v/>
      </c>
      <c r="H1128" t="str">
        <f>IF(+'Libro Diario'!I488=0,"",+'Libro Diario'!I488)</f>
        <v/>
      </c>
      <c r="I1128" t="str">
        <f>+IF(Table3[[#This Row],[Tipo Movimiento]]="Estructura Balance y PyG","Excluir","Incluir")</f>
        <v>Incluir</v>
      </c>
      <c r="J1128" s="153">
        <f>+IF(Table3[[#This Row],[Sin cuenta]]="Con Mov.",(IF(Table3[[#This Row],[Movimiento]]="Debe",Table3[[#This Row],[Importe]],IF(Table3[[#This Row],[Movimiento]]="Haber",Table3[[#This Row],[Importe]]*-1,0))),0)</f>
        <v>0</v>
      </c>
      <c r="K1128" s="145" t="str">
        <f t="shared" si="52"/>
        <v/>
      </c>
      <c r="L1128" s="145">
        <f t="shared" si="53"/>
        <v>0</v>
      </c>
      <c r="M1128" t="str">
        <f>_xlfn.XLOOKUP(Table3[[#This Row],[Cuenta]],Estructura_Balance[Nombre Cuenta ()],Estructura_Balance[Grupo],"",0)</f>
        <v/>
      </c>
      <c r="N1128" t="str">
        <f>_xlfn.XLOOKUP(Table3[[#This Row],[Cuenta]],Estructura_Balance[Nombre Cuenta ()],Estructura_Balance[Nivel 1],"",0)</f>
        <v/>
      </c>
      <c r="O1128" t="str">
        <f>_xlfn.XLOOKUP(Table3[[#This Row],[Cuenta]],Estructura_Balance[Nombre Cuenta ()],Estructura_Balance[Nivel 2],"",0)</f>
        <v/>
      </c>
      <c r="P1128" t="str">
        <f>_xlfn.XLOOKUP(Table3[[#This Row],[Cuenta]],Estructura_Balance[Nombre Cuenta ()],Estructura_Balance[Nivel 3],"",0)</f>
        <v/>
      </c>
      <c r="Q1128" t="str">
        <f>_xlfn.XLOOKUP(Table3[[#This Row],[Cuenta]],Estructura_Balance[Nombre Cuenta ()],Estructura_Balance[Nivel 4],"",0)</f>
        <v/>
      </c>
      <c r="R1128" t="str">
        <f>_xlfn.XLOOKUP(Table3[[#This Row],[Cuenta]],Table8[Nombre Cuenta ()],Table8[Nivel 1],"",0)</f>
        <v/>
      </c>
      <c r="S1128" t="str">
        <f>_xlfn.XLOOKUP(Table3[[#This Row],[Cuenta]],Table8[Nombre Cuenta ()],Table8[Nivel 2],"",0)</f>
        <v/>
      </c>
      <c r="T1128" t="str">
        <f>_xlfn.XLOOKUP(Table3[[#This Row],[Cuenta]],Table8[Nombre Cuenta ()],Table8[Nivel 3],"",0)</f>
        <v/>
      </c>
      <c r="U1128">
        <v>1881</v>
      </c>
      <c r="V1128" t="str">
        <f>_xlfn.XLOOKUP(Table3[[#This Row],[Cuenta]],Estructura_Balance[Nombre Cuenta ()],Estructura_Balance[Niveles:2],"",0)</f>
        <v/>
      </c>
      <c r="W1128" t="str">
        <f>_xlfn.XLOOKUP(Table3[[#This Row],[Cuenta]],Estructura_Balance[Nombre Cuenta ()],Estructura_Balance[Niveles:3],"",0)</f>
        <v/>
      </c>
      <c r="X1128" t="str">
        <f>_xlfn.XLOOKUP(Table3[[#This Row],[Cuenta]],Estructura_Balance[Nombre Cuenta ()],Estructura_Balance[Grupos],"Grupo 1",0)</f>
        <v>Grupo 1</v>
      </c>
      <c r="Y1128" t="str">
        <f>+Table3[[#This Row],[BS_Nivel_1]]</f>
        <v/>
      </c>
    </row>
    <row r="1129" spans="1:25" ht="15" customHeight="1">
      <c r="A1129">
        <f>+'Libro Diario'!F489</f>
        <v>0</v>
      </c>
      <c r="B1129" s="144">
        <f>VALUE(IF(+'Libro Diario'!G489="","01/01/2025",+'Libro Diario'!G489))</f>
        <v>45658</v>
      </c>
      <c r="C1129">
        <f>IF(ISNUMBER(+IF(IFERROR(VALUE(MID('Libro Diario'!D489,1,4)),0)&lt;&gt;0,'Libro Diario'!D489,0))=FALSE,'Libro Diario'!D489,0)</f>
        <v>0</v>
      </c>
      <c r="D1129" s="145">
        <f>+'Libro Diario'!E489</f>
        <v>0</v>
      </c>
      <c r="E1129" s="139" t="s">
        <v>446</v>
      </c>
      <c r="F1129" t="str">
        <f t="shared" si="51"/>
        <v>Sin Mov.</v>
      </c>
      <c r="G1129" t="str">
        <f>IF(+'Libro Diario'!H489=0,"",+'Libro Diario'!H489)</f>
        <v/>
      </c>
      <c r="H1129" t="str">
        <f>IF(+'Libro Diario'!I489=0,"",+'Libro Diario'!I489)</f>
        <v/>
      </c>
      <c r="I1129" t="str">
        <f>+IF(Table3[[#This Row],[Tipo Movimiento]]="Estructura Balance y PyG","Excluir","Incluir")</f>
        <v>Incluir</v>
      </c>
      <c r="J1129" s="153">
        <f>+IF(Table3[[#This Row],[Sin cuenta]]="Con Mov.",(IF(Table3[[#This Row],[Movimiento]]="Debe",Table3[[#This Row],[Importe]],IF(Table3[[#This Row],[Movimiento]]="Haber",Table3[[#This Row],[Importe]]*-1,0))),0)</f>
        <v>0</v>
      </c>
      <c r="K1129" s="145" t="str">
        <f t="shared" si="52"/>
        <v/>
      </c>
      <c r="L1129" s="145">
        <f t="shared" si="53"/>
        <v>0</v>
      </c>
      <c r="M1129" t="str">
        <f>_xlfn.XLOOKUP(Table3[[#This Row],[Cuenta]],Estructura_Balance[Nombre Cuenta ()],Estructura_Balance[Grupo],"",0)</f>
        <v/>
      </c>
      <c r="N1129" t="str">
        <f>_xlfn.XLOOKUP(Table3[[#This Row],[Cuenta]],Estructura_Balance[Nombre Cuenta ()],Estructura_Balance[Nivel 1],"",0)</f>
        <v/>
      </c>
      <c r="O1129" t="str">
        <f>_xlfn.XLOOKUP(Table3[[#This Row],[Cuenta]],Estructura_Balance[Nombre Cuenta ()],Estructura_Balance[Nivel 2],"",0)</f>
        <v/>
      </c>
      <c r="P1129" t="str">
        <f>_xlfn.XLOOKUP(Table3[[#This Row],[Cuenta]],Estructura_Balance[Nombre Cuenta ()],Estructura_Balance[Nivel 3],"",0)</f>
        <v/>
      </c>
      <c r="Q1129" t="str">
        <f>_xlfn.XLOOKUP(Table3[[#This Row],[Cuenta]],Estructura_Balance[Nombre Cuenta ()],Estructura_Balance[Nivel 4],"",0)</f>
        <v/>
      </c>
      <c r="R1129" t="str">
        <f>_xlfn.XLOOKUP(Table3[[#This Row],[Cuenta]],Table8[Nombre Cuenta ()],Table8[Nivel 1],"",0)</f>
        <v/>
      </c>
      <c r="S1129" t="str">
        <f>_xlfn.XLOOKUP(Table3[[#This Row],[Cuenta]],Table8[Nombre Cuenta ()],Table8[Nivel 2],"",0)</f>
        <v/>
      </c>
      <c r="T1129" t="str">
        <f>_xlfn.XLOOKUP(Table3[[#This Row],[Cuenta]],Table8[Nombre Cuenta ()],Table8[Nivel 3],"",0)</f>
        <v/>
      </c>
      <c r="U1129">
        <v>1882</v>
      </c>
      <c r="V1129" t="str">
        <f>_xlfn.XLOOKUP(Table3[[#This Row],[Cuenta]],Estructura_Balance[Nombre Cuenta ()],Estructura_Balance[Niveles:2],"",0)</f>
        <v/>
      </c>
      <c r="W1129" t="str">
        <f>_xlfn.XLOOKUP(Table3[[#This Row],[Cuenta]],Estructura_Balance[Nombre Cuenta ()],Estructura_Balance[Niveles:3],"",0)</f>
        <v/>
      </c>
      <c r="X1129" t="str">
        <f>_xlfn.XLOOKUP(Table3[[#This Row],[Cuenta]],Estructura_Balance[Nombre Cuenta ()],Estructura_Balance[Grupos],"Grupo 1",0)</f>
        <v>Grupo 1</v>
      </c>
      <c r="Y1129" t="str">
        <f>+Table3[[#This Row],[BS_Nivel_1]]</f>
        <v/>
      </c>
    </row>
    <row r="1130" spans="1:25" ht="15" customHeight="1">
      <c r="A1130">
        <f>+'Libro Diario'!F490</f>
        <v>0</v>
      </c>
      <c r="B1130" s="144">
        <f>VALUE(IF(+'Libro Diario'!G490="","01/01/2025",+'Libro Diario'!G490))</f>
        <v>45658</v>
      </c>
      <c r="C1130">
        <f>IF(ISNUMBER(+IF(IFERROR(VALUE(MID('Libro Diario'!D490,1,4)),0)&lt;&gt;0,'Libro Diario'!D490,0))=FALSE,'Libro Diario'!D490,0)</f>
        <v>0</v>
      </c>
      <c r="D1130" s="145" t="str">
        <f>+'Libro Diario'!E490</f>
        <v>HABER</v>
      </c>
      <c r="E1130" s="139" t="s">
        <v>446</v>
      </c>
      <c r="F1130" t="str">
        <f t="shared" si="51"/>
        <v>Sin Mov.</v>
      </c>
      <c r="G1130" t="str">
        <f>IF(+'Libro Diario'!H490=0,"",+'Libro Diario'!H490)</f>
        <v/>
      </c>
      <c r="H1130" t="str">
        <f>IF(+'Libro Diario'!I490=0,"",+'Libro Diario'!I490)</f>
        <v/>
      </c>
      <c r="I1130" t="str">
        <f>+IF(Table3[[#This Row],[Tipo Movimiento]]="Estructura Balance y PyG","Excluir","Incluir")</f>
        <v>Incluir</v>
      </c>
      <c r="J1130" s="153">
        <f>+IF(Table3[[#This Row],[Sin cuenta]]="Con Mov.",(IF(Table3[[#This Row],[Movimiento]]="Debe",Table3[[#This Row],[Importe]],IF(Table3[[#This Row],[Movimiento]]="Haber",Table3[[#This Row],[Importe]]*-1,0))),0)</f>
        <v>0</v>
      </c>
      <c r="K1130" s="145" t="str">
        <f t="shared" si="52"/>
        <v/>
      </c>
      <c r="L1130" s="145" t="str">
        <f t="shared" si="53"/>
        <v>HABER</v>
      </c>
      <c r="M1130" t="str">
        <f>_xlfn.XLOOKUP(Table3[[#This Row],[Cuenta]],Estructura_Balance[Nombre Cuenta ()],Estructura_Balance[Grupo],"",0)</f>
        <v/>
      </c>
      <c r="N1130" t="str">
        <f>_xlfn.XLOOKUP(Table3[[#This Row],[Cuenta]],Estructura_Balance[Nombre Cuenta ()],Estructura_Balance[Nivel 1],"",0)</f>
        <v/>
      </c>
      <c r="O1130" t="str">
        <f>_xlfn.XLOOKUP(Table3[[#This Row],[Cuenta]],Estructura_Balance[Nombre Cuenta ()],Estructura_Balance[Nivel 2],"",0)</f>
        <v/>
      </c>
      <c r="P1130" t="str">
        <f>_xlfn.XLOOKUP(Table3[[#This Row],[Cuenta]],Estructura_Balance[Nombre Cuenta ()],Estructura_Balance[Nivel 3],"",0)</f>
        <v/>
      </c>
      <c r="Q1130" t="str">
        <f>_xlfn.XLOOKUP(Table3[[#This Row],[Cuenta]],Estructura_Balance[Nombre Cuenta ()],Estructura_Balance[Nivel 4],"",0)</f>
        <v/>
      </c>
      <c r="R1130" t="str">
        <f>_xlfn.XLOOKUP(Table3[[#This Row],[Cuenta]],Table8[Nombre Cuenta ()],Table8[Nivel 1],"",0)</f>
        <v/>
      </c>
      <c r="S1130" t="str">
        <f>_xlfn.XLOOKUP(Table3[[#This Row],[Cuenta]],Table8[Nombre Cuenta ()],Table8[Nivel 2],"",0)</f>
        <v/>
      </c>
      <c r="T1130" t="str">
        <f>_xlfn.XLOOKUP(Table3[[#This Row],[Cuenta]],Table8[Nombre Cuenta ()],Table8[Nivel 3],"",0)</f>
        <v/>
      </c>
      <c r="U1130">
        <v>1883</v>
      </c>
      <c r="V1130" t="str">
        <f>_xlfn.XLOOKUP(Table3[[#This Row],[Cuenta]],Estructura_Balance[Nombre Cuenta ()],Estructura_Balance[Niveles:2],"",0)</f>
        <v/>
      </c>
      <c r="W1130" t="str">
        <f>_xlfn.XLOOKUP(Table3[[#This Row],[Cuenta]],Estructura_Balance[Nombre Cuenta ()],Estructura_Balance[Niveles:3],"",0)</f>
        <v/>
      </c>
      <c r="X1130" t="str">
        <f>_xlfn.XLOOKUP(Table3[[#This Row],[Cuenta]],Estructura_Balance[Nombre Cuenta ()],Estructura_Balance[Grupos],"Grupo 1",0)</f>
        <v>Grupo 1</v>
      </c>
      <c r="Y1130" t="str">
        <f>+Table3[[#This Row],[BS_Nivel_1]]</f>
        <v/>
      </c>
    </row>
    <row r="1131" spans="1:25" ht="15" customHeight="1">
      <c r="A1131">
        <f>+'Libro Diario'!F491</f>
        <v>0</v>
      </c>
      <c r="B1131" s="144">
        <f>VALUE(IF(+'Libro Diario'!G491="","01/01/2025",+'Libro Diario'!G491))</f>
        <v>45658</v>
      </c>
      <c r="C1131">
        <f>IF(ISNUMBER(+IF(IFERROR(VALUE(MID('Libro Diario'!D491,1,4)),0)&lt;&gt;0,'Libro Diario'!D491,0))=FALSE,'Libro Diario'!D491,0)</f>
        <v>0</v>
      </c>
      <c r="D1131" s="145">
        <f>+'Libro Diario'!E491</f>
        <v>0</v>
      </c>
      <c r="E1131" s="139" t="s">
        <v>446</v>
      </c>
      <c r="F1131" t="str">
        <f t="shared" si="51"/>
        <v>Sin Mov.</v>
      </c>
      <c r="G1131" t="str">
        <f>IF(+'Libro Diario'!H491=0,"",+'Libro Diario'!H491)</f>
        <v/>
      </c>
      <c r="H1131" t="str">
        <f>IF(+'Libro Diario'!I491=0,"",+'Libro Diario'!I491)</f>
        <v/>
      </c>
      <c r="I1131" t="str">
        <f>+IF(Table3[[#This Row],[Tipo Movimiento]]="Estructura Balance y PyG","Excluir","Incluir")</f>
        <v>Incluir</v>
      </c>
      <c r="J1131" s="153">
        <f>+IF(Table3[[#This Row],[Sin cuenta]]="Con Mov.",(IF(Table3[[#This Row],[Movimiento]]="Debe",Table3[[#This Row],[Importe]],IF(Table3[[#This Row],[Movimiento]]="Haber",Table3[[#This Row],[Importe]]*-1,0))),0)</f>
        <v>0</v>
      </c>
      <c r="K1131" s="145" t="str">
        <f t="shared" si="52"/>
        <v/>
      </c>
      <c r="L1131" s="145">
        <f t="shared" si="53"/>
        <v>0</v>
      </c>
      <c r="M1131" t="str">
        <f>_xlfn.XLOOKUP(Table3[[#This Row],[Cuenta]],Estructura_Balance[Nombre Cuenta ()],Estructura_Balance[Grupo],"",0)</f>
        <v/>
      </c>
      <c r="N1131" t="str">
        <f>_xlfn.XLOOKUP(Table3[[#This Row],[Cuenta]],Estructura_Balance[Nombre Cuenta ()],Estructura_Balance[Nivel 1],"",0)</f>
        <v/>
      </c>
      <c r="O1131" t="str">
        <f>_xlfn.XLOOKUP(Table3[[#This Row],[Cuenta]],Estructura_Balance[Nombre Cuenta ()],Estructura_Balance[Nivel 2],"",0)</f>
        <v/>
      </c>
      <c r="P1131" t="str">
        <f>_xlfn.XLOOKUP(Table3[[#This Row],[Cuenta]],Estructura_Balance[Nombre Cuenta ()],Estructura_Balance[Nivel 3],"",0)</f>
        <v/>
      </c>
      <c r="Q1131" t="str">
        <f>_xlfn.XLOOKUP(Table3[[#This Row],[Cuenta]],Estructura_Balance[Nombre Cuenta ()],Estructura_Balance[Nivel 4],"",0)</f>
        <v/>
      </c>
      <c r="R1131" t="str">
        <f>_xlfn.XLOOKUP(Table3[[#This Row],[Cuenta]],Table8[Nombre Cuenta ()],Table8[Nivel 1],"",0)</f>
        <v/>
      </c>
      <c r="S1131" t="str">
        <f>_xlfn.XLOOKUP(Table3[[#This Row],[Cuenta]],Table8[Nombre Cuenta ()],Table8[Nivel 2],"",0)</f>
        <v/>
      </c>
      <c r="T1131" t="str">
        <f>_xlfn.XLOOKUP(Table3[[#This Row],[Cuenta]],Table8[Nombre Cuenta ()],Table8[Nivel 3],"",0)</f>
        <v/>
      </c>
      <c r="U1131">
        <v>1884</v>
      </c>
      <c r="V1131" t="str">
        <f>_xlfn.XLOOKUP(Table3[[#This Row],[Cuenta]],Estructura_Balance[Nombre Cuenta ()],Estructura_Balance[Niveles:2],"",0)</f>
        <v/>
      </c>
      <c r="W1131" t="str">
        <f>_xlfn.XLOOKUP(Table3[[#This Row],[Cuenta]],Estructura_Balance[Nombre Cuenta ()],Estructura_Balance[Niveles:3],"",0)</f>
        <v/>
      </c>
      <c r="X1131" t="str">
        <f>_xlfn.XLOOKUP(Table3[[#This Row],[Cuenta]],Estructura_Balance[Nombre Cuenta ()],Estructura_Balance[Grupos],"Grupo 1",0)</f>
        <v>Grupo 1</v>
      </c>
      <c r="Y1131" t="str">
        <f>+Table3[[#This Row],[BS_Nivel_1]]</f>
        <v/>
      </c>
    </row>
    <row r="1132" spans="1:25" ht="15" customHeight="1">
      <c r="A1132">
        <f>+'Libro Diario'!F494</f>
        <v>0</v>
      </c>
      <c r="B1132" s="144">
        <f>VALUE(IF(+'Libro Diario'!G494="","01/01/2025",+'Libro Diario'!G494))</f>
        <v>45658</v>
      </c>
      <c r="C1132">
        <f>IF(ISNUMBER(+IF(IFERROR(VALUE(MID('Libro Diario'!D494,1,4)),0)&lt;&gt;0,'Libro Diario'!D494,0))=FALSE,'Libro Diario'!D494,0)</f>
        <v>0</v>
      </c>
      <c r="D1132" s="145">
        <f>+'Libro Diario'!E494</f>
        <v>0</v>
      </c>
      <c r="E1132" s="139" t="s">
        <v>446</v>
      </c>
      <c r="F1132" t="str">
        <f t="shared" si="51"/>
        <v>Sin Mov.</v>
      </c>
      <c r="G1132" t="str">
        <f>IF(+'Libro Diario'!H494=0,"",+'Libro Diario'!H494)</f>
        <v/>
      </c>
      <c r="H1132" t="str">
        <f>IF(+'Libro Diario'!I494=0,"",+'Libro Diario'!I494)</f>
        <v/>
      </c>
      <c r="I1132" t="str">
        <f>+IF(Table3[[#This Row],[Tipo Movimiento]]="Estructura Balance y PyG","Excluir","Incluir")</f>
        <v>Incluir</v>
      </c>
      <c r="J1132" s="153">
        <f>+IF(Table3[[#This Row],[Sin cuenta]]="Con Mov.",(IF(Table3[[#This Row],[Movimiento]]="Debe",Table3[[#This Row],[Importe]],IF(Table3[[#This Row],[Movimiento]]="Haber",Table3[[#This Row],[Importe]]*-1,0))),0)</f>
        <v>0</v>
      </c>
      <c r="K1132" s="145" t="str">
        <f t="shared" si="52"/>
        <v/>
      </c>
      <c r="L1132" s="145">
        <f t="shared" si="53"/>
        <v>0</v>
      </c>
      <c r="M1132" t="str">
        <f>_xlfn.XLOOKUP(Table3[[#This Row],[Cuenta]],Estructura_Balance[Nombre Cuenta ()],Estructura_Balance[Grupo],"",0)</f>
        <v/>
      </c>
      <c r="N1132" t="str">
        <f>_xlfn.XLOOKUP(Table3[[#This Row],[Cuenta]],Estructura_Balance[Nombre Cuenta ()],Estructura_Balance[Nivel 1],"",0)</f>
        <v/>
      </c>
      <c r="O1132" t="str">
        <f>_xlfn.XLOOKUP(Table3[[#This Row],[Cuenta]],Estructura_Balance[Nombre Cuenta ()],Estructura_Balance[Nivel 2],"",0)</f>
        <v/>
      </c>
      <c r="P1132" t="str">
        <f>_xlfn.XLOOKUP(Table3[[#This Row],[Cuenta]],Estructura_Balance[Nombre Cuenta ()],Estructura_Balance[Nivel 3],"",0)</f>
        <v/>
      </c>
      <c r="Q1132" t="str">
        <f>_xlfn.XLOOKUP(Table3[[#This Row],[Cuenta]],Estructura_Balance[Nombre Cuenta ()],Estructura_Balance[Nivel 4],"",0)</f>
        <v/>
      </c>
      <c r="R1132" t="str">
        <f>_xlfn.XLOOKUP(Table3[[#This Row],[Cuenta]],Table8[Nombre Cuenta ()],Table8[Nivel 1],"",0)</f>
        <v/>
      </c>
      <c r="S1132" t="str">
        <f>_xlfn.XLOOKUP(Table3[[#This Row],[Cuenta]],Table8[Nombre Cuenta ()],Table8[Nivel 2],"",0)</f>
        <v/>
      </c>
      <c r="T1132" t="str">
        <f>_xlfn.XLOOKUP(Table3[[#This Row],[Cuenta]],Table8[Nombre Cuenta ()],Table8[Nivel 3],"",0)</f>
        <v/>
      </c>
      <c r="U1132">
        <v>1887</v>
      </c>
      <c r="V1132" t="str">
        <f>_xlfn.XLOOKUP(Table3[[#This Row],[Cuenta]],Estructura_Balance[Nombre Cuenta ()],Estructura_Balance[Niveles:2],"",0)</f>
        <v/>
      </c>
      <c r="W1132" t="str">
        <f>_xlfn.XLOOKUP(Table3[[#This Row],[Cuenta]],Estructura_Balance[Nombre Cuenta ()],Estructura_Balance[Niveles:3],"",0)</f>
        <v/>
      </c>
      <c r="X1132" t="str">
        <f>_xlfn.XLOOKUP(Table3[[#This Row],[Cuenta]],Estructura_Balance[Nombre Cuenta ()],Estructura_Balance[Grupos],"Grupo 1",0)</f>
        <v>Grupo 1</v>
      </c>
      <c r="Y1132" t="str">
        <f>+Table3[[#This Row],[BS_Nivel_1]]</f>
        <v/>
      </c>
    </row>
    <row r="1133" spans="1:25" ht="15" customHeight="1">
      <c r="A1133">
        <f>+'Libro Diario'!F495</f>
        <v>0</v>
      </c>
      <c r="B1133" s="144">
        <f>VALUE(IF(+'Libro Diario'!G495="","01/01/2025",+'Libro Diario'!G495))</f>
        <v>45658</v>
      </c>
      <c r="C1133">
        <f>IF(ISNUMBER(+IF(IFERROR(VALUE(MID('Libro Diario'!D495,1,4)),0)&lt;&gt;0,'Libro Diario'!D495,0))=FALSE,'Libro Diario'!D495,0)</f>
        <v>0</v>
      </c>
      <c r="D1133" s="145">
        <f>+'Libro Diario'!E495</f>
        <v>0</v>
      </c>
      <c r="E1133" s="139" t="s">
        <v>446</v>
      </c>
      <c r="F1133" t="str">
        <f t="shared" si="51"/>
        <v>Sin Mov.</v>
      </c>
      <c r="G1133" t="str">
        <f>IF(+'Libro Diario'!H495=0,"",+'Libro Diario'!H495)</f>
        <v/>
      </c>
      <c r="H1133" t="str">
        <f>IF(+'Libro Diario'!I495=0,"",+'Libro Diario'!I495)</f>
        <v/>
      </c>
      <c r="I1133" t="str">
        <f>+IF(Table3[[#This Row],[Tipo Movimiento]]="Estructura Balance y PyG","Excluir","Incluir")</f>
        <v>Incluir</v>
      </c>
      <c r="J1133" s="153">
        <f>+IF(Table3[[#This Row],[Sin cuenta]]="Con Mov.",(IF(Table3[[#This Row],[Movimiento]]="Debe",Table3[[#This Row],[Importe]],IF(Table3[[#This Row],[Movimiento]]="Haber",Table3[[#This Row],[Importe]]*-1,0))),0)</f>
        <v>0</v>
      </c>
      <c r="K1133" s="145" t="str">
        <f t="shared" si="52"/>
        <v/>
      </c>
      <c r="L1133" s="145">
        <f t="shared" si="53"/>
        <v>0</v>
      </c>
      <c r="M1133" t="str">
        <f>_xlfn.XLOOKUP(Table3[[#This Row],[Cuenta]],Estructura_Balance[Nombre Cuenta ()],Estructura_Balance[Grupo],"",0)</f>
        <v/>
      </c>
      <c r="N1133" t="str">
        <f>_xlfn.XLOOKUP(Table3[[#This Row],[Cuenta]],Estructura_Balance[Nombre Cuenta ()],Estructura_Balance[Nivel 1],"",0)</f>
        <v/>
      </c>
      <c r="O1133" t="str">
        <f>_xlfn.XLOOKUP(Table3[[#This Row],[Cuenta]],Estructura_Balance[Nombre Cuenta ()],Estructura_Balance[Nivel 2],"",0)</f>
        <v/>
      </c>
      <c r="P1133" t="str">
        <f>_xlfn.XLOOKUP(Table3[[#This Row],[Cuenta]],Estructura_Balance[Nombre Cuenta ()],Estructura_Balance[Nivel 3],"",0)</f>
        <v/>
      </c>
      <c r="Q1133" t="str">
        <f>_xlfn.XLOOKUP(Table3[[#This Row],[Cuenta]],Estructura_Balance[Nombre Cuenta ()],Estructura_Balance[Nivel 4],"",0)</f>
        <v/>
      </c>
      <c r="R1133" t="str">
        <f>_xlfn.XLOOKUP(Table3[[#This Row],[Cuenta]],Table8[Nombre Cuenta ()],Table8[Nivel 1],"",0)</f>
        <v/>
      </c>
      <c r="S1133" t="str">
        <f>_xlfn.XLOOKUP(Table3[[#This Row],[Cuenta]],Table8[Nombre Cuenta ()],Table8[Nivel 2],"",0)</f>
        <v/>
      </c>
      <c r="T1133" t="str">
        <f>_xlfn.XLOOKUP(Table3[[#This Row],[Cuenta]],Table8[Nombre Cuenta ()],Table8[Nivel 3],"",0)</f>
        <v/>
      </c>
      <c r="U1133">
        <v>1888</v>
      </c>
      <c r="V1133" t="str">
        <f>_xlfn.XLOOKUP(Table3[[#This Row],[Cuenta]],Estructura_Balance[Nombre Cuenta ()],Estructura_Balance[Niveles:2],"",0)</f>
        <v/>
      </c>
      <c r="W1133" t="str">
        <f>_xlfn.XLOOKUP(Table3[[#This Row],[Cuenta]],Estructura_Balance[Nombre Cuenta ()],Estructura_Balance[Niveles:3],"",0)</f>
        <v/>
      </c>
      <c r="X1133" t="str">
        <f>_xlfn.XLOOKUP(Table3[[#This Row],[Cuenta]],Estructura_Balance[Nombre Cuenta ()],Estructura_Balance[Grupos],"Grupo 1",0)</f>
        <v>Grupo 1</v>
      </c>
      <c r="Y1133" t="str">
        <f>+Table3[[#This Row],[BS_Nivel_1]]</f>
        <v/>
      </c>
    </row>
    <row r="1134" spans="1:25" ht="15" customHeight="1">
      <c r="A1134">
        <f>+'Libro Diario'!F496</f>
        <v>0</v>
      </c>
      <c r="B1134" s="144">
        <f>VALUE(IF(+'Libro Diario'!G496="","01/01/2025",+'Libro Diario'!G496))</f>
        <v>45658</v>
      </c>
      <c r="C1134">
        <f>IF(ISNUMBER(+IF(IFERROR(VALUE(MID('Libro Diario'!D496,1,4)),0)&lt;&gt;0,'Libro Diario'!D496,0))=FALSE,'Libro Diario'!D496,0)</f>
        <v>0</v>
      </c>
      <c r="D1134" s="145">
        <f>+'Libro Diario'!E496</f>
        <v>0</v>
      </c>
      <c r="E1134" s="139" t="s">
        <v>446</v>
      </c>
      <c r="F1134" t="str">
        <f t="shared" si="51"/>
        <v>Sin Mov.</v>
      </c>
      <c r="G1134" t="str">
        <f>IF(+'Libro Diario'!H496=0,"",+'Libro Diario'!H496)</f>
        <v/>
      </c>
      <c r="H1134" t="str">
        <f>IF(+'Libro Diario'!I496=0,"",+'Libro Diario'!I496)</f>
        <v/>
      </c>
      <c r="I1134" t="str">
        <f>+IF(Table3[[#This Row],[Tipo Movimiento]]="Estructura Balance y PyG","Excluir","Incluir")</f>
        <v>Incluir</v>
      </c>
      <c r="J1134" s="153">
        <f>+IF(Table3[[#This Row],[Sin cuenta]]="Con Mov.",(IF(Table3[[#This Row],[Movimiento]]="Debe",Table3[[#This Row],[Importe]],IF(Table3[[#This Row],[Movimiento]]="Haber",Table3[[#This Row],[Importe]]*-1,0))),0)</f>
        <v>0</v>
      </c>
      <c r="K1134" s="145" t="str">
        <f t="shared" si="52"/>
        <v/>
      </c>
      <c r="L1134" s="145">
        <f t="shared" si="53"/>
        <v>0</v>
      </c>
      <c r="M1134" t="str">
        <f>_xlfn.XLOOKUP(Table3[[#This Row],[Cuenta]],Estructura_Balance[Nombre Cuenta ()],Estructura_Balance[Grupo],"",0)</f>
        <v/>
      </c>
      <c r="N1134" t="str">
        <f>_xlfn.XLOOKUP(Table3[[#This Row],[Cuenta]],Estructura_Balance[Nombre Cuenta ()],Estructura_Balance[Nivel 1],"",0)</f>
        <v/>
      </c>
      <c r="O1134" t="str">
        <f>_xlfn.XLOOKUP(Table3[[#This Row],[Cuenta]],Estructura_Balance[Nombre Cuenta ()],Estructura_Balance[Nivel 2],"",0)</f>
        <v/>
      </c>
      <c r="P1134" t="str">
        <f>_xlfn.XLOOKUP(Table3[[#This Row],[Cuenta]],Estructura_Balance[Nombre Cuenta ()],Estructura_Balance[Nivel 3],"",0)</f>
        <v/>
      </c>
      <c r="Q1134" t="str">
        <f>_xlfn.XLOOKUP(Table3[[#This Row],[Cuenta]],Estructura_Balance[Nombre Cuenta ()],Estructura_Balance[Nivel 4],"",0)</f>
        <v/>
      </c>
      <c r="R1134" t="str">
        <f>_xlfn.XLOOKUP(Table3[[#This Row],[Cuenta]],Table8[Nombre Cuenta ()],Table8[Nivel 1],"",0)</f>
        <v/>
      </c>
      <c r="S1134" t="str">
        <f>_xlfn.XLOOKUP(Table3[[#This Row],[Cuenta]],Table8[Nombre Cuenta ()],Table8[Nivel 2],"",0)</f>
        <v/>
      </c>
      <c r="T1134" t="str">
        <f>_xlfn.XLOOKUP(Table3[[#This Row],[Cuenta]],Table8[Nombre Cuenta ()],Table8[Nivel 3],"",0)</f>
        <v/>
      </c>
      <c r="U1134">
        <v>1889</v>
      </c>
      <c r="V1134" t="str">
        <f>_xlfn.XLOOKUP(Table3[[#This Row],[Cuenta]],Estructura_Balance[Nombre Cuenta ()],Estructura_Balance[Niveles:2],"",0)</f>
        <v/>
      </c>
      <c r="W1134" t="str">
        <f>_xlfn.XLOOKUP(Table3[[#This Row],[Cuenta]],Estructura_Balance[Nombre Cuenta ()],Estructura_Balance[Niveles:3],"",0)</f>
        <v/>
      </c>
      <c r="X1134" t="str">
        <f>_xlfn.XLOOKUP(Table3[[#This Row],[Cuenta]],Estructura_Balance[Nombre Cuenta ()],Estructura_Balance[Grupos],"Grupo 1",0)</f>
        <v>Grupo 1</v>
      </c>
      <c r="Y1134" t="str">
        <f>+Table3[[#This Row],[BS_Nivel_1]]</f>
        <v/>
      </c>
    </row>
    <row r="1135" spans="1:25" ht="15" customHeight="1">
      <c r="A1135">
        <f>+'Libro Diario'!F497</f>
        <v>0</v>
      </c>
      <c r="B1135" s="144">
        <f>VALUE(IF(+'Libro Diario'!G497="","01/01/2025",+'Libro Diario'!G497))</f>
        <v>45658</v>
      </c>
      <c r="C1135">
        <f>IF(ISNUMBER(+IF(IFERROR(VALUE(MID('Libro Diario'!D497,1,4)),0)&lt;&gt;0,'Libro Diario'!D497,0))=FALSE,'Libro Diario'!D497,0)</f>
        <v>0</v>
      </c>
      <c r="D1135" s="145" t="str">
        <f>+'Libro Diario'!E497</f>
        <v>HABER</v>
      </c>
      <c r="E1135" s="139" t="s">
        <v>446</v>
      </c>
      <c r="F1135" t="str">
        <f t="shared" si="51"/>
        <v>Sin Mov.</v>
      </c>
      <c r="G1135" t="str">
        <f>IF(+'Libro Diario'!H497=0,"",+'Libro Diario'!H497)</f>
        <v/>
      </c>
      <c r="H1135" t="str">
        <f>IF(+'Libro Diario'!I497=0,"",+'Libro Diario'!I497)</f>
        <v/>
      </c>
      <c r="I1135" t="str">
        <f>+IF(Table3[[#This Row],[Tipo Movimiento]]="Estructura Balance y PyG","Excluir","Incluir")</f>
        <v>Incluir</v>
      </c>
      <c r="J1135" s="153">
        <f>+IF(Table3[[#This Row],[Sin cuenta]]="Con Mov.",(IF(Table3[[#This Row],[Movimiento]]="Debe",Table3[[#This Row],[Importe]],IF(Table3[[#This Row],[Movimiento]]="Haber",Table3[[#This Row],[Importe]]*-1,0))),0)</f>
        <v>0</v>
      </c>
      <c r="K1135" s="145" t="str">
        <f t="shared" si="52"/>
        <v/>
      </c>
      <c r="L1135" s="145" t="str">
        <f t="shared" si="53"/>
        <v>HABER</v>
      </c>
      <c r="M1135" t="str">
        <f>_xlfn.XLOOKUP(Table3[[#This Row],[Cuenta]],Estructura_Balance[Nombre Cuenta ()],Estructura_Balance[Grupo],"",0)</f>
        <v/>
      </c>
      <c r="N1135" t="str">
        <f>_xlfn.XLOOKUP(Table3[[#This Row],[Cuenta]],Estructura_Balance[Nombre Cuenta ()],Estructura_Balance[Nivel 1],"",0)</f>
        <v/>
      </c>
      <c r="O1135" t="str">
        <f>_xlfn.XLOOKUP(Table3[[#This Row],[Cuenta]],Estructura_Balance[Nombre Cuenta ()],Estructura_Balance[Nivel 2],"",0)</f>
        <v/>
      </c>
      <c r="P1135" t="str">
        <f>_xlfn.XLOOKUP(Table3[[#This Row],[Cuenta]],Estructura_Balance[Nombre Cuenta ()],Estructura_Balance[Nivel 3],"",0)</f>
        <v/>
      </c>
      <c r="Q1135" t="str">
        <f>_xlfn.XLOOKUP(Table3[[#This Row],[Cuenta]],Estructura_Balance[Nombre Cuenta ()],Estructura_Balance[Nivel 4],"",0)</f>
        <v/>
      </c>
      <c r="R1135" t="str">
        <f>_xlfn.XLOOKUP(Table3[[#This Row],[Cuenta]],Table8[Nombre Cuenta ()],Table8[Nivel 1],"",0)</f>
        <v/>
      </c>
      <c r="S1135" t="str">
        <f>_xlfn.XLOOKUP(Table3[[#This Row],[Cuenta]],Table8[Nombre Cuenta ()],Table8[Nivel 2],"",0)</f>
        <v/>
      </c>
      <c r="T1135" t="str">
        <f>_xlfn.XLOOKUP(Table3[[#This Row],[Cuenta]],Table8[Nombre Cuenta ()],Table8[Nivel 3],"",0)</f>
        <v/>
      </c>
      <c r="U1135">
        <v>1890</v>
      </c>
      <c r="V1135" t="str">
        <f>_xlfn.XLOOKUP(Table3[[#This Row],[Cuenta]],Estructura_Balance[Nombre Cuenta ()],Estructura_Balance[Niveles:2],"",0)</f>
        <v/>
      </c>
      <c r="W1135" t="str">
        <f>_xlfn.XLOOKUP(Table3[[#This Row],[Cuenta]],Estructura_Balance[Nombre Cuenta ()],Estructura_Balance[Niveles:3],"",0)</f>
        <v/>
      </c>
      <c r="X1135" t="str">
        <f>_xlfn.XLOOKUP(Table3[[#This Row],[Cuenta]],Estructura_Balance[Nombre Cuenta ()],Estructura_Balance[Grupos],"Grupo 1",0)</f>
        <v>Grupo 1</v>
      </c>
      <c r="Y1135" t="str">
        <f>+Table3[[#This Row],[BS_Nivel_1]]</f>
        <v/>
      </c>
    </row>
    <row r="1136" spans="1:25" ht="15" customHeight="1">
      <c r="A1136">
        <f>+'Libro Diario'!F498</f>
        <v>0</v>
      </c>
      <c r="B1136" s="144">
        <f>VALUE(IF(+'Libro Diario'!G498="","01/01/2025",+'Libro Diario'!G498))</f>
        <v>45658</v>
      </c>
      <c r="C1136">
        <f>IF(ISNUMBER(+IF(IFERROR(VALUE(MID('Libro Diario'!D498,1,4)),0)&lt;&gt;0,'Libro Diario'!D498,0))=FALSE,'Libro Diario'!D498,0)</f>
        <v>0</v>
      </c>
      <c r="D1136" s="145">
        <f>+'Libro Diario'!E498</f>
        <v>0</v>
      </c>
      <c r="E1136" s="139" t="s">
        <v>446</v>
      </c>
      <c r="F1136" t="str">
        <f t="shared" si="51"/>
        <v>Sin Mov.</v>
      </c>
      <c r="G1136" t="str">
        <f>IF(+'Libro Diario'!H498=0,"",+'Libro Diario'!H498)</f>
        <v/>
      </c>
      <c r="H1136" t="str">
        <f>IF(+'Libro Diario'!I498=0,"",+'Libro Diario'!I498)</f>
        <v/>
      </c>
      <c r="I1136" t="str">
        <f>+IF(Table3[[#This Row],[Tipo Movimiento]]="Estructura Balance y PyG","Excluir","Incluir")</f>
        <v>Incluir</v>
      </c>
      <c r="J1136" s="153">
        <f>+IF(Table3[[#This Row],[Sin cuenta]]="Con Mov.",(IF(Table3[[#This Row],[Movimiento]]="Debe",Table3[[#This Row],[Importe]],IF(Table3[[#This Row],[Movimiento]]="Haber",Table3[[#This Row],[Importe]]*-1,0))),0)</f>
        <v>0</v>
      </c>
      <c r="K1136" s="145" t="str">
        <f t="shared" si="52"/>
        <v/>
      </c>
      <c r="L1136" s="145">
        <f t="shared" si="53"/>
        <v>0</v>
      </c>
      <c r="M1136" t="str">
        <f>_xlfn.XLOOKUP(Table3[[#This Row],[Cuenta]],Estructura_Balance[Nombre Cuenta ()],Estructura_Balance[Grupo],"",0)</f>
        <v/>
      </c>
      <c r="N1136" t="str">
        <f>_xlfn.XLOOKUP(Table3[[#This Row],[Cuenta]],Estructura_Balance[Nombre Cuenta ()],Estructura_Balance[Nivel 1],"",0)</f>
        <v/>
      </c>
      <c r="O1136" t="str">
        <f>_xlfn.XLOOKUP(Table3[[#This Row],[Cuenta]],Estructura_Balance[Nombre Cuenta ()],Estructura_Balance[Nivel 2],"",0)</f>
        <v/>
      </c>
      <c r="P1136" t="str">
        <f>_xlfn.XLOOKUP(Table3[[#This Row],[Cuenta]],Estructura_Balance[Nombre Cuenta ()],Estructura_Balance[Nivel 3],"",0)</f>
        <v/>
      </c>
      <c r="Q1136" t="str">
        <f>_xlfn.XLOOKUP(Table3[[#This Row],[Cuenta]],Estructura_Balance[Nombre Cuenta ()],Estructura_Balance[Nivel 4],"",0)</f>
        <v/>
      </c>
      <c r="R1136" t="str">
        <f>_xlfn.XLOOKUP(Table3[[#This Row],[Cuenta]],Table8[Nombre Cuenta ()],Table8[Nivel 1],"",0)</f>
        <v/>
      </c>
      <c r="S1136" t="str">
        <f>_xlfn.XLOOKUP(Table3[[#This Row],[Cuenta]],Table8[Nombre Cuenta ()],Table8[Nivel 2],"",0)</f>
        <v/>
      </c>
      <c r="T1136" t="str">
        <f>_xlfn.XLOOKUP(Table3[[#This Row],[Cuenta]],Table8[Nombre Cuenta ()],Table8[Nivel 3],"",0)</f>
        <v/>
      </c>
      <c r="U1136">
        <v>1891</v>
      </c>
      <c r="V1136" t="str">
        <f>_xlfn.XLOOKUP(Table3[[#This Row],[Cuenta]],Estructura_Balance[Nombre Cuenta ()],Estructura_Balance[Niveles:2],"",0)</f>
        <v/>
      </c>
      <c r="W1136" t="str">
        <f>_xlfn.XLOOKUP(Table3[[#This Row],[Cuenta]],Estructura_Balance[Nombre Cuenta ()],Estructura_Balance[Niveles:3],"",0)</f>
        <v/>
      </c>
      <c r="X1136" t="str">
        <f>_xlfn.XLOOKUP(Table3[[#This Row],[Cuenta]],Estructura_Balance[Nombre Cuenta ()],Estructura_Balance[Grupos],"Grupo 1",0)</f>
        <v>Grupo 1</v>
      </c>
      <c r="Y1136" t="str">
        <f>+Table3[[#This Row],[BS_Nivel_1]]</f>
        <v/>
      </c>
    </row>
    <row r="1137" spans="1:25" ht="15" customHeight="1">
      <c r="A1137">
        <f>+'Libro Diario'!F501</f>
        <v>0</v>
      </c>
      <c r="B1137" s="144">
        <f>VALUE(IF(+'Libro Diario'!G501="","01/01/2025",+'Libro Diario'!G501))</f>
        <v>45658</v>
      </c>
      <c r="C1137">
        <f>IF(ISNUMBER(+IF(IFERROR(VALUE(MID('Libro Diario'!D501,1,4)),0)&lt;&gt;0,'Libro Diario'!D501,0))=FALSE,'Libro Diario'!D501,0)</f>
        <v>0</v>
      </c>
      <c r="D1137" s="145">
        <f>+'Libro Diario'!E501</f>
        <v>0</v>
      </c>
      <c r="E1137" s="139" t="s">
        <v>446</v>
      </c>
      <c r="F1137" t="str">
        <f t="shared" si="51"/>
        <v>Sin Mov.</v>
      </c>
      <c r="G1137" t="str">
        <f>IF(+'Libro Diario'!H501=0,"",+'Libro Diario'!H501)</f>
        <v/>
      </c>
      <c r="H1137" t="str">
        <f>IF(+'Libro Diario'!I501=0,"",+'Libro Diario'!I501)</f>
        <v/>
      </c>
      <c r="I1137" t="str">
        <f>+IF(Table3[[#This Row],[Tipo Movimiento]]="Estructura Balance y PyG","Excluir","Incluir")</f>
        <v>Incluir</v>
      </c>
      <c r="J1137" s="153">
        <f>+IF(Table3[[#This Row],[Sin cuenta]]="Con Mov.",(IF(Table3[[#This Row],[Movimiento]]="Debe",Table3[[#This Row],[Importe]],IF(Table3[[#This Row],[Movimiento]]="Haber",Table3[[#This Row],[Importe]]*-1,0))),0)</f>
        <v>0</v>
      </c>
      <c r="K1137" s="145" t="str">
        <f t="shared" si="52"/>
        <v/>
      </c>
      <c r="L1137" s="145">
        <f t="shared" si="53"/>
        <v>0</v>
      </c>
      <c r="M1137" t="str">
        <f>_xlfn.XLOOKUP(Table3[[#This Row],[Cuenta]],Estructura_Balance[Nombre Cuenta ()],Estructura_Balance[Grupo],"",0)</f>
        <v/>
      </c>
      <c r="N1137" t="str">
        <f>_xlfn.XLOOKUP(Table3[[#This Row],[Cuenta]],Estructura_Balance[Nombre Cuenta ()],Estructura_Balance[Nivel 1],"",0)</f>
        <v/>
      </c>
      <c r="O1137" t="str">
        <f>_xlfn.XLOOKUP(Table3[[#This Row],[Cuenta]],Estructura_Balance[Nombre Cuenta ()],Estructura_Balance[Nivel 2],"",0)</f>
        <v/>
      </c>
      <c r="P1137" t="str">
        <f>_xlfn.XLOOKUP(Table3[[#This Row],[Cuenta]],Estructura_Balance[Nombre Cuenta ()],Estructura_Balance[Nivel 3],"",0)</f>
        <v/>
      </c>
      <c r="Q1137" t="str">
        <f>_xlfn.XLOOKUP(Table3[[#This Row],[Cuenta]],Estructura_Balance[Nombre Cuenta ()],Estructura_Balance[Nivel 4],"",0)</f>
        <v/>
      </c>
      <c r="R1137" t="str">
        <f>_xlfn.XLOOKUP(Table3[[#This Row],[Cuenta]],Table8[Nombre Cuenta ()],Table8[Nivel 1],"",0)</f>
        <v/>
      </c>
      <c r="S1137" t="str">
        <f>_xlfn.XLOOKUP(Table3[[#This Row],[Cuenta]],Table8[Nombre Cuenta ()],Table8[Nivel 2],"",0)</f>
        <v/>
      </c>
      <c r="T1137" t="str">
        <f>_xlfn.XLOOKUP(Table3[[#This Row],[Cuenta]],Table8[Nombre Cuenta ()],Table8[Nivel 3],"",0)</f>
        <v/>
      </c>
      <c r="U1137">
        <v>1894</v>
      </c>
      <c r="V1137" t="str">
        <f>_xlfn.XLOOKUP(Table3[[#This Row],[Cuenta]],Estructura_Balance[Nombre Cuenta ()],Estructura_Balance[Niveles:2],"",0)</f>
        <v/>
      </c>
      <c r="W1137" t="str">
        <f>_xlfn.XLOOKUP(Table3[[#This Row],[Cuenta]],Estructura_Balance[Nombre Cuenta ()],Estructura_Balance[Niveles:3],"",0)</f>
        <v/>
      </c>
      <c r="X1137" t="str">
        <f>_xlfn.XLOOKUP(Table3[[#This Row],[Cuenta]],Estructura_Balance[Nombre Cuenta ()],Estructura_Balance[Grupos],"Grupo 1",0)</f>
        <v>Grupo 1</v>
      </c>
      <c r="Y1137" t="str">
        <f>+Table3[[#This Row],[BS_Nivel_1]]</f>
        <v/>
      </c>
    </row>
    <row r="1138" spans="1:25" ht="15" customHeight="1">
      <c r="A1138">
        <f>+'Libro Diario'!F502</f>
        <v>0</v>
      </c>
      <c r="B1138" s="144">
        <f>VALUE(IF(+'Libro Diario'!G502="","01/01/2025",+'Libro Diario'!G502))</f>
        <v>45658</v>
      </c>
      <c r="C1138">
        <f>IF(ISNUMBER(+IF(IFERROR(VALUE(MID('Libro Diario'!D502,1,4)),0)&lt;&gt;0,'Libro Diario'!D502,0))=FALSE,'Libro Diario'!D502,0)</f>
        <v>0</v>
      </c>
      <c r="D1138" s="145">
        <f>+'Libro Diario'!E502</f>
        <v>0</v>
      </c>
      <c r="E1138" s="139" t="s">
        <v>446</v>
      </c>
      <c r="F1138" t="str">
        <f t="shared" si="51"/>
        <v>Sin Mov.</v>
      </c>
      <c r="G1138" t="str">
        <f>IF(+'Libro Diario'!H502=0,"",+'Libro Diario'!H502)</f>
        <v/>
      </c>
      <c r="H1138" t="str">
        <f>IF(+'Libro Diario'!I502=0,"",+'Libro Diario'!I502)</f>
        <v/>
      </c>
      <c r="I1138" t="str">
        <f>+IF(Table3[[#This Row],[Tipo Movimiento]]="Estructura Balance y PyG","Excluir","Incluir")</f>
        <v>Incluir</v>
      </c>
      <c r="J1138" s="153">
        <f>+IF(Table3[[#This Row],[Sin cuenta]]="Con Mov.",(IF(Table3[[#This Row],[Movimiento]]="Debe",Table3[[#This Row],[Importe]],IF(Table3[[#This Row],[Movimiento]]="Haber",Table3[[#This Row],[Importe]]*-1,0))),0)</f>
        <v>0</v>
      </c>
      <c r="K1138" s="145" t="str">
        <f t="shared" si="52"/>
        <v/>
      </c>
      <c r="L1138" s="145">
        <f t="shared" si="53"/>
        <v>0</v>
      </c>
      <c r="M1138" t="str">
        <f>_xlfn.XLOOKUP(Table3[[#This Row],[Cuenta]],Estructura_Balance[Nombre Cuenta ()],Estructura_Balance[Grupo],"",0)</f>
        <v/>
      </c>
      <c r="N1138" t="str">
        <f>_xlfn.XLOOKUP(Table3[[#This Row],[Cuenta]],Estructura_Balance[Nombre Cuenta ()],Estructura_Balance[Nivel 1],"",0)</f>
        <v/>
      </c>
      <c r="O1138" t="str">
        <f>_xlfn.XLOOKUP(Table3[[#This Row],[Cuenta]],Estructura_Balance[Nombre Cuenta ()],Estructura_Balance[Nivel 2],"",0)</f>
        <v/>
      </c>
      <c r="P1138" t="str">
        <f>_xlfn.XLOOKUP(Table3[[#This Row],[Cuenta]],Estructura_Balance[Nombre Cuenta ()],Estructura_Balance[Nivel 3],"",0)</f>
        <v/>
      </c>
      <c r="Q1138" t="str">
        <f>_xlfn.XLOOKUP(Table3[[#This Row],[Cuenta]],Estructura_Balance[Nombre Cuenta ()],Estructura_Balance[Nivel 4],"",0)</f>
        <v/>
      </c>
      <c r="R1138" t="str">
        <f>_xlfn.XLOOKUP(Table3[[#This Row],[Cuenta]],Table8[Nombre Cuenta ()],Table8[Nivel 1],"",0)</f>
        <v/>
      </c>
      <c r="S1138" t="str">
        <f>_xlfn.XLOOKUP(Table3[[#This Row],[Cuenta]],Table8[Nombre Cuenta ()],Table8[Nivel 2],"",0)</f>
        <v/>
      </c>
      <c r="T1138" t="str">
        <f>_xlfn.XLOOKUP(Table3[[#This Row],[Cuenta]],Table8[Nombre Cuenta ()],Table8[Nivel 3],"",0)</f>
        <v/>
      </c>
      <c r="U1138">
        <v>1895</v>
      </c>
      <c r="V1138" t="str">
        <f>_xlfn.XLOOKUP(Table3[[#This Row],[Cuenta]],Estructura_Balance[Nombre Cuenta ()],Estructura_Balance[Niveles:2],"",0)</f>
        <v/>
      </c>
      <c r="W1138" t="str">
        <f>_xlfn.XLOOKUP(Table3[[#This Row],[Cuenta]],Estructura_Balance[Nombre Cuenta ()],Estructura_Balance[Niveles:3],"",0)</f>
        <v/>
      </c>
      <c r="X1138" t="str">
        <f>_xlfn.XLOOKUP(Table3[[#This Row],[Cuenta]],Estructura_Balance[Nombre Cuenta ()],Estructura_Balance[Grupos],"Grupo 1",0)</f>
        <v>Grupo 1</v>
      </c>
      <c r="Y1138" t="str">
        <f>+Table3[[#This Row],[BS_Nivel_1]]</f>
        <v/>
      </c>
    </row>
    <row r="1139" spans="1:25" ht="15" customHeight="1">
      <c r="A1139">
        <f>+'Libro Diario'!F503</f>
        <v>0</v>
      </c>
      <c r="B1139" s="144">
        <f>VALUE(IF(+'Libro Diario'!G503="","01/01/2025",+'Libro Diario'!G503))</f>
        <v>45658</v>
      </c>
      <c r="C1139">
        <f>IF(ISNUMBER(+IF(IFERROR(VALUE(MID('Libro Diario'!D503,1,4)),0)&lt;&gt;0,'Libro Diario'!D503,0))=FALSE,'Libro Diario'!D503,0)</f>
        <v>0</v>
      </c>
      <c r="D1139" s="145">
        <f>+'Libro Diario'!E503</f>
        <v>0</v>
      </c>
      <c r="E1139" s="139" t="s">
        <v>446</v>
      </c>
      <c r="F1139" t="str">
        <f t="shared" si="51"/>
        <v>Sin Mov.</v>
      </c>
      <c r="G1139" t="str">
        <f>IF(+'Libro Diario'!H503=0,"",+'Libro Diario'!H503)</f>
        <v/>
      </c>
      <c r="H1139" t="str">
        <f>IF(+'Libro Diario'!I503=0,"",+'Libro Diario'!I503)</f>
        <v/>
      </c>
      <c r="I1139" t="str">
        <f>+IF(Table3[[#This Row],[Tipo Movimiento]]="Estructura Balance y PyG","Excluir","Incluir")</f>
        <v>Incluir</v>
      </c>
      <c r="J1139" s="153">
        <f>+IF(Table3[[#This Row],[Sin cuenta]]="Con Mov.",(IF(Table3[[#This Row],[Movimiento]]="Debe",Table3[[#This Row],[Importe]],IF(Table3[[#This Row],[Movimiento]]="Haber",Table3[[#This Row],[Importe]]*-1,0))),0)</f>
        <v>0</v>
      </c>
      <c r="K1139" s="145" t="str">
        <f t="shared" si="52"/>
        <v/>
      </c>
      <c r="L1139" s="145">
        <f t="shared" si="53"/>
        <v>0</v>
      </c>
      <c r="M1139" t="str">
        <f>_xlfn.XLOOKUP(Table3[[#This Row],[Cuenta]],Estructura_Balance[Nombre Cuenta ()],Estructura_Balance[Grupo],"",0)</f>
        <v/>
      </c>
      <c r="N1139" t="str">
        <f>_xlfn.XLOOKUP(Table3[[#This Row],[Cuenta]],Estructura_Balance[Nombre Cuenta ()],Estructura_Balance[Nivel 1],"",0)</f>
        <v/>
      </c>
      <c r="O1139" t="str">
        <f>_xlfn.XLOOKUP(Table3[[#This Row],[Cuenta]],Estructura_Balance[Nombre Cuenta ()],Estructura_Balance[Nivel 2],"",0)</f>
        <v/>
      </c>
      <c r="P1139" t="str">
        <f>_xlfn.XLOOKUP(Table3[[#This Row],[Cuenta]],Estructura_Balance[Nombre Cuenta ()],Estructura_Balance[Nivel 3],"",0)</f>
        <v/>
      </c>
      <c r="Q1139" t="str">
        <f>_xlfn.XLOOKUP(Table3[[#This Row],[Cuenta]],Estructura_Balance[Nombre Cuenta ()],Estructura_Balance[Nivel 4],"",0)</f>
        <v/>
      </c>
      <c r="R1139" t="str">
        <f>_xlfn.XLOOKUP(Table3[[#This Row],[Cuenta]],Table8[Nombre Cuenta ()],Table8[Nivel 1],"",0)</f>
        <v/>
      </c>
      <c r="S1139" t="str">
        <f>_xlfn.XLOOKUP(Table3[[#This Row],[Cuenta]],Table8[Nombre Cuenta ()],Table8[Nivel 2],"",0)</f>
        <v/>
      </c>
      <c r="T1139" t="str">
        <f>_xlfn.XLOOKUP(Table3[[#This Row],[Cuenta]],Table8[Nombre Cuenta ()],Table8[Nivel 3],"",0)</f>
        <v/>
      </c>
      <c r="U1139">
        <v>1896</v>
      </c>
      <c r="V1139" t="str">
        <f>_xlfn.XLOOKUP(Table3[[#This Row],[Cuenta]],Estructura_Balance[Nombre Cuenta ()],Estructura_Balance[Niveles:2],"",0)</f>
        <v/>
      </c>
      <c r="W1139" t="str">
        <f>_xlfn.XLOOKUP(Table3[[#This Row],[Cuenta]],Estructura_Balance[Nombre Cuenta ()],Estructura_Balance[Niveles:3],"",0)</f>
        <v/>
      </c>
      <c r="X1139" t="str">
        <f>_xlfn.XLOOKUP(Table3[[#This Row],[Cuenta]],Estructura_Balance[Nombre Cuenta ()],Estructura_Balance[Grupos],"Grupo 1",0)</f>
        <v>Grupo 1</v>
      </c>
      <c r="Y1139" t="str">
        <f>+Table3[[#This Row],[BS_Nivel_1]]</f>
        <v/>
      </c>
    </row>
    <row r="1140" spans="1:25" ht="15" customHeight="1">
      <c r="A1140">
        <f>+'Libro Diario'!F504</f>
        <v>0</v>
      </c>
      <c r="B1140" s="144">
        <f>VALUE(IF(+'Libro Diario'!G504="","01/01/2025",+'Libro Diario'!G504))</f>
        <v>45658</v>
      </c>
      <c r="C1140">
        <f>IF(ISNUMBER(+IF(IFERROR(VALUE(MID('Libro Diario'!D504,1,4)),0)&lt;&gt;0,'Libro Diario'!D504,0))=FALSE,'Libro Diario'!D504,0)</f>
        <v>0</v>
      </c>
      <c r="D1140" s="145" t="str">
        <f>+'Libro Diario'!E504</f>
        <v>HABER</v>
      </c>
      <c r="E1140" s="139" t="s">
        <v>446</v>
      </c>
      <c r="F1140" t="str">
        <f t="shared" si="51"/>
        <v>Sin Mov.</v>
      </c>
      <c r="G1140" t="str">
        <f>IF(+'Libro Diario'!H504=0,"",+'Libro Diario'!H504)</f>
        <v/>
      </c>
      <c r="H1140" t="str">
        <f>IF(+'Libro Diario'!I504=0,"",+'Libro Diario'!I504)</f>
        <v/>
      </c>
      <c r="I1140" t="str">
        <f>+IF(Table3[[#This Row],[Tipo Movimiento]]="Estructura Balance y PyG","Excluir","Incluir")</f>
        <v>Incluir</v>
      </c>
      <c r="J1140" s="153">
        <f>+IF(Table3[[#This Row],[Sin cuenta]]="Con Mov.",(IF(Table3[[#This Row],[Movimiento]]="Debe",Table3[[#This Row],[Importe]],IF(Table3[[#This Row],[Movimiento]]="Haber",Table3[[#This Row],[Importe]]*-1,0))),0)</f>
        <v>0</v>
      </c>
      <c r="K1140" s="145" t="str">
        <f t="shared" si="52"/>
        <v/>
      </c>
      <c r="L1140" s="145" t="str">
        <f t="shared" si="53"/>
        <v>HABER</v>
      </c>
      <c r="M1140" t="str">
        <f>_xlfn.XLOOKUP(Table3[[#This Row],[Cuenta]],Estructura_Balance[Nombre Cuenta ()],Estructura_Balance[Grupo],"",0)</f>
        <v/>
      </c>
      <c r="N1140" t="str">
        <f>_xlfn.XLOOKUP(Table3[[#This Row],[Cuenta]],Estructura_Balance[Nombre Cuenta ()],Estructura_Balance[Nivel 1],"",0)</f>
        <v/>
      </c>
      <c r="O1140" t="str">
        <f>_xlfn.XLOOKUP(Table3[[#This Row],[Cuenta]],Estructura_Balance[Nombre Cuenta ()],Estructura_Balance[Nivel 2],"",0)</f>
        <v/>
      </c>
      <c r="P1140" t="str">
        <f>_xlfn.XLOOKUP(Table3[[#This Row],[Cuenta]],Estructura_Balance[Nombre Cuenta ()],Estructura_Balance[Nivel 3],"",0)</f>
        <v/>
      </c>
      <c r="Q1140" t="str">
        <f>_xlfn.XLOOKUP(Table3[[#This Row],[Cuenta]],Estructura_Balance[Nombre Cuenta ()],Estructura_Balance[Nivel 4],"",0)</f>
        <v/>
      </c>
      <c r="R1140" t="str">
        <f>_xlfn.XLOOKUP(Table3[[#This Row],[Cuenta]],Table8[Nombre Cuenta ()],Table8[Nivel 1],"",0)</f>
        <v/>
      </c>
      <c r="S1140" t="str">
        <f>_xlfn.XLOOKUP(Table3[[#This Row],[Cuenta]],Table8[Nombre Cuenta ()],Table8[Nivel 2],"",0)</f>
        <v/>
      </c>
      <c r="T1140" t="str">
        <f>_xlfn.XLOOKUP(Table3[[#This Row],[Cuenta]],Table8[Nombre Cuenta ()],Table8[Nivel 3],"",0)</f>
        <v/>
      </c>
      <c r="U1140">
        <v>1897</v>
      </c>
      <c r="V1140" t="str">
        <f>_xlfn.XLOOKUP(Table3[[#This Row],[Cuenta]],Estructura_Balance[Nombre Cuenta ()],Estructura_Balance[Niveles:2],"",0)</f>
        <v/>
      </c>
      <c r="W1140" t="str">
        <f>_xlfn.XLOOKUP(Table3[[#This Row],[Cuenta]],Estructura_Balance[Nombre Cuenta ()],Estructura_Balance[Niveles:3],"",0)</f>
        <v/>
      </c>
      <c r="X1140" t="str">
        <f>_xlfn.XLOOKUP(Table3[[#This Row],[Cuenta]],Estructura_Balance[Nombre Cuenta ()],Estructura_Balance[Grupos],"Grupo 1",0)</f>
        <v>Grupo 1</v>
      </c>
      <c r="Y1140" t="str">
        <f>+Table3[[#This Row],[BS_Nivel_1]]</f>
        <v/>
      </c>
    </row>
    <row r="1141" spans="1:25" ht="15" customHeight="1">
      <c r="A1141">
        <f>+'Libro Diario'!F505</f>
        <v>0</v>
      </c>
      <c r="B1141" s="144">
        <f>VALUE(IF(+'Libro Diario'!G505="","01/01/2025",+'Libro Diario'!G505))</f>
        <v>45658</v>
      </c>
      <c r="C1141">
        <f>IF(ISNUMBER(+IF(IFERROR(VALUE(MID('Libro Diario'!D505,1,4)),0)&lt;&gt;0,'Libro Diario'!D505,0))=FALSE,'Libro Diario'!D505,0)</f>
        <v>0</v>
      </c>
      <c r="D1141" s="145">
        <f>+'Libro Diario'!E505</f>
        <v>0</v>
      </c>
      <c r="E1141" s="139" t="s">
        <v>446</v>
      </c>
      <c r="F1141" t="str">
        <f t="shared" si="51"/>
        <v>Sin Mov.</v>
      </c>
      <c r="G1141" t="str">
        <f>IF(+'Libro Diario'!H505=0,"",+'Libro Diario'!H505)</f>
        <v/>
      </c>
      <c r="H1141" t="str">
        <f>IF(+'Libro Diario'!I505=0,"",+'Libro Diario'!I505)</f>
        <v/>
      </c>
      <c r="I1141" t="str">
        <f>+IF(Table3[[#This Row],[Tipo Movimiento]]="Estructura Balance y PyG","Excluir","Incluir")</f>
        <v>Incluir</v>
      </c>
      <c r="J1141" s="153">
        <f>+IF(Table3[[#This Row],[Sin cuenta]]="Con Mov.",(IF(Table3[[#This Row],[Movimiento]]="Debe",Table3[[#This Row],[Importe]],IF(Table3[[#This Row],[Movimiento]]="Haber",Table3[[#This Row],[Importe]]*-1,0))),0)</f>
        <v>0</v>
      </c>
      <c r="K1141" s="145" t="str">
        <f t="shared" si="52"/>
        <v/>
      </c>
      <c r="L1141" s="145">
        <f t="shared" si="53"/>
        <v>0</v>
      </c>
      <c r="M1141" t="str">
        <f>_xlfn.XLOOKUP(Table3[[#This Row],[Cuenta]],Estructura_Balance[Nombre Cuenta ()],Estructura_Balance[Grupo],"",0)</f>
        <v/>
      </c>
      <c r="N1141" t="str">
        <f>_xlfn.XLOOKUP(Table3[[#This Row],[Cuenta]],Estructura_Balance[Nombre Cuenta ()],Estructura_Balance[Nivel 1],"",0)</f>
        <v/>
      </c>
      <c r="O1141" t="str">
        <f>_xlfn.XLOOKUP(Table3[[#This Row],[Cuenta]],Estructura_Balance[Nombre Cuenta ()],Estructura_Balance[Nivel 2],"",0)</f>
        <v/>
      </c>
      <c r="P1141" t="str">
        <f>_xlfn.XLOOKUP(Table3[[#This Row],[Cuenta]],Estructura_Balance[Nombre Cuenta ()],Estructura_Balance[Nivel 3],"",0)</f>
        <v/>
      </c>
      <c r="Q1141" t="str">
        <f>_xlfn.XLOOKUP(Table3[[#This Row],[Cuenta]],Estructura_Balance[Nombre Cuenta ()],Estructura_Balance[Nivel 4],"",0)</f>
        <v/>
      </c>
      <c r="R1141" t="str">
        <f>_xlfn.XLOOKUP(Table3[[#This Row],[Cuenta]],Table8[Nombre Cuenta ()],Table8[Nivel 1],"",0)</f>
        <v/>
      </c>
      <c r="S1141" t="str">
        <f>_xlfn.XLOOKUP(Table3[[#This Row],[Cuenta]],Table8[Nombre Cuenta ()],Table8[Nivel 2],"",0)</f>
        <v/>
      </c>
      <c r="T1141" t="str">
        <f>_xlfn.XLOOKUP(Table3[[#This Row],[Cuenta]],Table8[Nombre Cuenta ()],Table8[Nivel 3],"",0)</f>
        <v/>
      </c>
      <c r="U1141">
        <v>1898</v>
      </c>
      <c r="V1141" t="str">
        <f>_xlfn.XLOOKUP(Table3[[#This Row],[Cuenta]],Estructura_Balance[Nombre Cuenta ()],Estructura_Balance[Niveles:2],"",0)</f>
        <v/>
      </c>
      <c r="W1141" t="str">
        <f>_xlfn.XLOOKUP(Table3[[#This Row],[Cuenta]],Estructura_Balance[Nombre Cuenta ()],Estructura_Balance[Niveles:3],"",0)</f>
        <v/>
      </c>
      <c r="X1141" t="str">
        <f>_xlfn.XLOOKUP(Table3[[#This Row],[Cuenta]],Estructura_Balance[Nombre Cuenta ()],Estructura_Balance[Grupos],"Grupo 1",0)</f>
        <v>Grupo 1</v>
      </c>
      <c r="Y1141" t="str">
        <f>+Table3[[#This Row],[BS_Nivel_1]]</f>
        <v/>
      </c>
    </row>
    <row r="1142" spans="1:25" ht="15" customHeight="1">
      <c r="A1142">
        <f>+'Libro Diario'!F508</f>
        <v>0</v>
      </c>
      <c r="B1142" s="144">
        <f>VALUE(IF(+'Libro Diario'!G508="","01/01/2025",+'Libro Diario'!G508))</f>
        <v>45658</v>
      </c>
      <c r="C1142">
        <f>IF(ISNUMBER(+IF(IFERROR(VALUE(MID('Libro Diario'!D508,1,4)),0)&lt;&gt;0,'Libro Diario'!D508,0))=FALSE,'Libro Diario'!D508,0)</f>
        <v>0</v>
      </c>
      <c r="D1142" s="145">
        <f>+'Libro Diario'!E508</f>
        <v>0</v>
      </c>
      <c r="E1142" s="139" t="s">
        <v>446</v>
      </c>
      <c r="F1142" t="str">
        <f t="shared" si="51"/>
        <v>Sin Mov.</v>
      </c>
      <c r="G1142" t="str">
        <f>IF(+'Libro Diario'!H508=0,"",+'Libro Diario'!H508)</f>
        <v/>
      </c>
      <c r="H1142" t="str">
        <f>IF(+'Libro Diario'!I508=0,"",+'Libro Diario'!I508)</f>
        <v/>
      </c>
      <c r="I1142" t="str">
        <f>+IF(Table3[[#This Row],[Tipo Movimiento]]="Estructura Balance y PyG","Excluir","Incluir")</f>
        <v>Incluir</v>
      </c>
      <c r="J1142" s="153">
        <f>+IF(Table3[[#This Row],[Sin cuenta]]="Con Mov.",(IF(Table3[[#This Row],[Movimiento]]="Debe",Table3[[#This Row],[Importe]],IF(Table3[[#This Row],[Movimiento]]="Haber",Table3[[#This Row],[Importe]]*-1,0))),0)</f>
        <v>0</v>
      </c>
      <c r="K1142" s="145" t="str">
        <f t="shared" si="52"/>
        <v/>
      </c>
      <c r="L1142" s="145">
        <f t="shared" si="53"/>
        <v>0</v>
      </c>
      <c r="M1142" t="str">
        <f>_xlfn.XLOOKUP(Table3[[#This Row],[Cuenta]],Estructura_Balance[Nombre Cuenta ()],Estructura_Balance[Grupo],"",0)</f>
        <v/>
      </c>
      <c r="N1142" t="str">
        <f>_xlfn.XLOOKUP(Table3[[#This Row],[Cuenta]],Estructura_Balance[Nombre Cuenta ()],Estructura_Balance[Nivel 1],"",0)</f>
        <v/>
      </c>
      <c r="O1142" t="str">
        <f>_xlfn.XLOOKUP(Table3[[#This Row],[Cuenta]],Estructura_Balance[Nombre Cuenta ()],Estructura_Balance[Nivel 2],"",0)</f>
        <v/>
      </c>
      <c r="P1142" t="str">
        <f>_xlfn.XLOOKUP(Table3[[#This Row],[Cuenta]],Estructura_Balance[Nombre Cuenta ()],Estructura_Balance[Nivel 3],"",0)</f>
        <v/>
      </c>
      <c r="Q1142" t="str">
        <f>_xlfn.XLOOKUP(Table3[[#This Row],[Cuenta]],Estructura_Balance[Nombre Cuenta ()],Estructura_Balance[Nivel 4],"",0)</f>
        <v/>
      </c>
      <c r="R1142" t="str">
        <f>_xlfn.XLOOKUP(Table3[[#This Row],[Cuenta]],Table8[Nombre Cuenta ()],Table8[Nivel 1],"",0)</f>
        <v/>
      </c>
      <c r="S1142" t="str">
        <f>_xlfn.XLOOKUP(Table3[[#This Row],[Cuenta]],Table8[Nombre Cuenta ()],Table8[Nivel 2],"",0)</f>
        <v/>
      </c>
      <c r="T1142" t="str">
        <f>_xlfn.XLOOKUP(Table3[[#This Row],[Cuenta]],Table8[Nombre Cuenta ()],Table8[Nivel 3],"",0)</f>
        <v/>
      </c>
      <c r="U1142">
        <v>1901</v>
      </c>
      <c r="V1142" t="str">
        <f>_xlfn.XLOOKUP(Table3[[#This Row],[Cuenta]],Estructura_Balance[Nombre Cuenta ()],Estructura_Balance[Niveles:2],"",0)</f>
        <v/>
      </c>
      <c r="W1142" t="str">
        <f>_xlfn.XLOOKUP(Table3[[#This Row],[Cuenta]],Estructura_Balance[Nombre Cuenta ()],Estructura_Balance[Niveles:3],"",0)</f>
        <v/>
      </c>
      <c r="X1142" t="str">
        <f>_xlfn.XLOOKUP(Table3[[#This Row],[Cuenta]],Estructura_Balance[Nombre Cuenta ()],Estructura_Balance[Grupos],"Grupo 1",0)</f>
        <v>Grupo 1</v>
      </c>
      <c r="Y1142" t="str">
        <f>+Table3[[#This Row],[BS_Nivel_1]]</f>
        <v/>
      </c>
    </row>
    <row r="1143" spans="1:25" ht="15" customHeight="1">
      <c r="A1143">
        <f>+'Libro Diario'!F509</f>
        <v>0</v>
      </c>
      <c r="B1143" s="144">
        <f>VALUE(IF(+'Libro Diario'!G509="","01/01/2025",+'Libro Diario'!G509))</f>
        <v>45658</v>
      </c>
      <c r="C1143">
        <f>IF(ISNUMBER(+IF(IFERROR(VALUE(MID('Libro Diario'!D509,1,4)),0)&lt;&gt;0,'Libro Diario'!D509,0))=FALSE,'Libro Diario'!D509,0)</f>
        <v>0</v>
      </c>
      <c r="D1143" s="145">
        <f>+'Libro Diario'!E509</f>
        <v>0</v>
      </c>
      <c r="E1143" s="139" t="s">
        <v>446</v>
      </c>
      <c r="F1143" t="str">
        <f t="shared" si="51"/>
        <v>Sin Mov.</v>
      </c>
      <c r="G1143" t="str">
        <f>IF(+'Libro Diario'!H509=0,"",+'Libro Diario'!H509)</f>
        <v/>
      </c>
      <c r="H1143" t="str">
        <f>IF(+'Libro Diario'!I509=0,"",+'Libro Diario'!I509)</f>
        <v/>
      </c>
      <c r="I1143" t="str">
        <f>+IF(Table3[[#This Row],[Tipo Movimiento]]="Estructura Balance y PyG","Excluir","Incluir")</f>
        <v>Incluir</v>
      </c>
      <c r="J1143" s="153">
        <f>+IF(Table3[[#This Row],[Sin cuenta]]="Con Mov.",(IF(Table3[[#This Row],[Movimiento]]="Debe",Table3[[#This Row],[Importe]],IF(Table3[[#This Row],[Movimiento]]="Haber",Table3[[#This Row],[Importe]]*-1,0))),0)</f>
        <v>0</v>
      </c>
      <c r="K1143" s="145" t="str">
        <f t="shared" si="52"/>
        <v/>
      </c>
      <c r="L1143" s="145">
        <f t="shared" si="53"/>
        <v>0</v>
      </c>
      <c r="M1143" t="str">
        <f>_xlfn.XLOOKUP(Table3[[#This Row],[Cuenta]],Estructura_Balance[Nombre Cuenta ()],Estructura_Balance[Grupo],"",0)</f>
        <v/>
      </c>
      <c r="N1143" t="str">
        <f>_xlfn.XLOOKUP(Table3[[#This Row],[Cuenta]],Estructura_Balance[Nombre Cuenta ()],Estructura_Balance[Nivel 1],"",0)</f>
        <v/>
      </c>
      <c r="O1143" t="str">
        <f>_xlfn.XLOOKUP(Table3[[#This Row],[Cuenta]],Estructura_Balance[Nombre Cuenta ()],Estructura_Balance[Nivel 2],"",0)</f>
        <v/>
      </c>
      <c r="P1143" t="str">
        <f>_xlfn.XLOOKUP(Table3[[#This Row],[Cuenta]],Estructura_Balance[Nombre Cuenta ()],Estructura_Balance[Nivel 3],"",0)</f>
        <v/>
      </c>
      <c r="Q1143" t="str">
        <f>_xlfn.XLOOKUP(Table3[[#This Row],[Cuenta]],Estructura_Balance[Nombre Cuenta ()],Estructura_Balance[Nivel 4],"",0)</f>
        <v/>
      </c>
      <c r="R1143" t="str">
        <f>_xlfn.XLOOKUP(Table3[[#This Row],[Cuenta]],Table8[Nombre Cuenta ()],Table8[Nivel 1],"",0)</f>
        <v/>
      </c>
      <c r="S1143" t="str">
        <f>_xlfn.XLOOKUP(Table3[[#This Row],[Cuenta]],Table8[Nombre Cuenta ()],Table8[Nivel 2],"",0)</f>
        <v/>
      </c>
      <c r="T1143" t="str">
        <f>_xlfn.XLOOKUP(Table3[[#This Row],[Cuenta]],Table8[Nombre Cuenta ()],Table8[Nivel 3],"",0)</f>
        <v/>
      </c>
      <c r="U1143">
        <v>1902</v>
      </c>
      <c r="V1143" t="str">
        <f>_xlfn.XLOOKUP(Table3[[#This Row],[Cuenta]],Estructura_Balance[Nombre Cuenta ()],Estructura_Balance[Niveles:2],"",0)</f>
        <v/>
      </c>
      <c r="W1143" t="str">
        <f>_xlfn.XLOOKUP(Table3[[#This Row],[Cuenta]],Estructura_Balance[Nombre Cuenta ()],Estructura_Balance[Niveles:3],"",0)</f>
        <v/>
      </c>
      <c r="X1143" t="str">
        <f>_xlfn.XLOOKUP(Table3[[#This Row],[Cuenta]],Estructura_Balance[Nombre Cuenta ()],Estructura_Balance[Grupos],"Grupo 1",0)</f>
        <v>Grupo 1</v>
      </c>
      <c r="Y1143" t="str">
        <f>+Table3[[#This Row],[BS_Nivel_1]]</f>
        <v/>
      </c>
    </row>
    <row r="1144" spans="1:25" ht="15" customHeight="1">
      <c r="A1144">
        <f>+'Libro Diario'!F510</f>
        <v>0</v>
      </c>
      <c r="B1144" s="144">
        <f>VALUE(IF(+'Libro Diario'!G510="","01/01/2025",+'Libro Diario'!G510))</f>
        <v>45658</v>
      </c>
      <c r="C1144">
        <f>IF(ISNUMBER(+IF(IFERROR(VALUE(MID('Libro Diario'!D510,1,4)),0)&lt;&gt;0,'Libro Diario'!D510,0))=FALSE,'Libro Diario'!D510,0)</f>
        <v>0</v>
      </c>
      <c r="D1144" s="145">
        <f>+'Libro Diario'!E510</f>
        <v>0</v>
      </c>
      <c r="E1144" s="139" t="s">
        <v>446</v>
      </c>
      <c r="F1144" t="str">
        <f t="shared" si="51"/>
        <v>Sin Mov.</v>
      </c>
      <c r="G1144" t="str">
        <f>IF(+'Libro Diario'!H510=0,"",+'Libro Diario'!H510)</f>
        <v/>
      </c>
      <c r="H1144" t="str">
        <f>IF(+'Libro Diario'!I510=0,"",+'Libro Diario'!I510)</f>
        <v/>
      </c>
      <c r="I1144" t="str">
        <f>+IF(Table3[[#This Row],[Tipo Movimiento]]="Estructura Balance y PyG","Excluir","Incluir")</f>
        <v>Incluir</v>
      </c>
      <c r="J1144" s="153">
        <f>+IF(Table3[[#This Row],[Sin cuenta]]="Con Mov.",(IF(Table3[[#This Row],[Movimiento]]="Debe",Table3[[#This Row],[Importe]],IF(Table3[[#This Row],[Movimiento]]="Haber",Table3[[#This Row],[Importe]]*-1,0))),0)</f>
        <v>0</v>
      </c>
      <c r="K1144" s="145" t="str">
        <f t="shared" si="52"/>
        <v/>
      </c>
      <c r="L1144" s="145">
        <f t="shared" si="53"/>
        <v>0</v>
      </c>
      <c r="M1144" t="str">
        <f>_xlfn.XLOOKUP(Table3[[#This Row],[Cuenta]],Estructura_Balance[Nombre Cuenta ()],Estructura_Balance[Grupo],"",0)</f>
        <v/>
      </c>
      <c r="N1144" t="str">
        <f>_xlfn.XLOOKUP(Table3[[#This Row],[Cuenta]],Estructura_Balance[Nombre Cuenta ()],Estructura_Balance[Nivel 1],"",0)</f>
        <v/>
      </c>
      <c r="O1144" t="str">
        <f>_xlfn.XLOOKUP(Table3[[#This Row],[Cuenta]],Estructura_Balance[Nombre Cuenta ()],Estructura_Balance[Nivel 2],"",0)</f>
        <v/>
      </c>
      <c r="P1144" t="str">
        <f>_xlfn.XLOOKUP(Table3[[#This Row],[Cuenta]],Estructura_Balance[Nombre Cuenta ()],Estructura_Balance[Nivel 3],"",0)</f>
        <v/>
      </c>
      <c r="Q1144" t="str">
        <f>_xlfn.XLOOKUP(Table3[[#This Row],[Cuenta]],Estructura_Balance[Nombre Cuenta ()],Estructura_Balance[Nivel 4],"",0)</f>
        <v/>
      </c>
      <c r="R1144" t="str">
        <f>_xlfn.XLOOKUP(Table3[[#This Row],[Cuenta]],Table8[Nombre Cuenta ()],Table8[Nivel 1],"",0)</f>
        <v/>
      </c>
      <c r="S1144" t="str">
        <f>_xlfn.XLOOKUP(Table3[[#This Row],[Cuenta]],Table8[Nombre Cuenta ()],Table8[Nivel 2],"",0)</f>
        <v/>
      </c>
      <c r="T1144" t="str">
        <f>_xlfn.XLOOKUP(Table3[[#This Row],[Cuenta]],Table8[Nombre Cuenta ()],Table8[Nivel 3],"",0)</f>
        <v/>
      </c>
      <c r="U1144">
        <v>1903</v>
      </c>
      <c r="V1144" t="str">
        <f>_xlfn.XLOOKUP(Table3[[#This Row],[Cuenta]],Estructura_Balance[Nombre Cuenta ()],Estructura_Balance[Niveles:2],"",0)</f>
        <v/>
      </c>
      <c r="W1144" t="str">
        <f>_xlfn.XLOOKUP(Table3[[#This Row],[Cuenta]],Estructura_Balance[Nombre Cuenta ()],Estructura_Balance[Niveles:3],"",0)</f>
        <v/>
      </c>
      <c r="X1144" t="str">
        <f>_xlfn.XLOOKUP(Table3[[#This Row],[Cuenta]],Estructura_Balance[Nombre Cuenta ()],Estructura_Balance[Grupos],"Grupo 1",0)</f>
        <v>Grupo 1</v>
      </c>
      <c r="Y1144" t="str">
        <f>+Table3[[#This Row],[BS_Nivel_1]]</f>
        <v/>
      </c>
    </row>
    <row r="1145" spans="1:25" ht="15" customHeight="1">
      <c r="A1145">
        <f>+'Libro Diario'!F511</f>
        <v>0</v>
      </c>
      <c r="B1145" s="144">
        <f>VALUE(IF(+'Libro Diario'!G511="","01/01/2025",+'Libro Diario'!G511))</f>
        <v>45658</v>
      </c>
      <c r="C1145">
        <f>IF(ISNUMBER(+IF(IFERROR(VALUE(MID('Libro Diario'!D511,1,4)),0)&lt;&gt;0,'Libro Diario'!D511,0))=FALSE,'Libro Diario'!D511,0)</f>
        <v>0</v>
      </c>
      <c r="D1145" s="145" t="str">
        <f>+'Libro Diario'!E511</f>
        <v>HABER</v>
      </c>
      <c r="E1145" s="139" t="s">
        <v>446</v>
      </c>
      <c r="F1145" t="str">
        <f t="shared" si="51"/>
        <v>Sin Mov.</v>
      </c>
      <c r="G1145" t="str">
        <f>IF(+'Libro Diario'!H511=0,"",+'Libro Diario'!H511)</f>
        <v/>
      </c>
      <c r="H1145" t="str">
        <f>IF(+'Libro Diario'!I511=0,"",+'Libro Diario'!I511)</f>
        <v/>
      </c>
      <c r="I1145" t="str">
        <f>+IF(Table3[[#This Row],[Tipo Movimiento]]="Estructura Balance y PyG","Excluir","Incluir")</f>
        <v>Incluir</v>
      </c>
      <c r="J1145" s="153">
        <f>+IF(Table3[[#This Row],[Sin cuenta]]="Con Mov.",(IF(Table3[[#This Row],[Movimiento]]="Debe",Table3[[#This Row],[Importe]],IF(Table3[[#This Row],[Movimiento]]="Haber",Table3[[#This Row],[Importe]]*-1,0))),0)</f>
        <v>0</v>
      </c>
      <c r="K1145" s="145" t="str">
        <f t="shared" si="52"/>
        <v/>
      </c>
      <c r="L1145" s="145" t="str">
        <f t="shared" si="53"/>
        <v>HABER</v>
      </c>
      <c r="M1145" t="str">
        <f>_xlfn.XLOOKUP(Table3[[#This Row],[Cuenta]],Estructura_Balance[Nombre Cuenta ()],Estructura_Balance[Grupo],"",0)</f>
        <v/>
      </c>
      <c r="N1145" t="str">
        <f>_xlfn.XLOOKUP(Table3[[#This Row],[Cuenta]],Estructura_Balance[Nombre Cuenta ()],Estructura_Balance[Nivel 1],"",0)</f>
        <v/>
      </c>
      <c r="O1145" t="str">
        <f>_xlfn.XLOOKUP(Table3[[#This Row],[Cuenta]],Estructura_Balance[Nombre Cuenta ()],Estructura_Balance[Nivel 2],"",0)</f>
        <v/>
      </c>
      <c r="P1145" t="str">
        <f>_xlfn.XLOOKUP(Table3[[#This Row],[Cuenta]],Estructura_Balance[Nombre Cuenta ()],Estructura_Balance[Nivel 3],"",0)</f>
        <v/>
      </c>
      <c r="Q1145" t="str">
        <f>_xlfn.XLOOKUP(Table3[[#This Row],[Cuenta]],Estructura_Balance[Nombre Cuenta ()],Estructura_Balance[Nivel 4],"",0)</f>
        <v/>
      </c>
      <c r="R1145" t="str">
        <f>_xlfn.XLOOKUP(Table3[[#This Row],[Cuenta]],Table8[Nombre Cuenta ()],Table8[Nivel 1],"",0)</f>
        <v/>
      </c>
      <c r="S1145" t="str">
        <f>_xlfn.XLOOKUP(Table3[[#This Row],[Cuenta]],Table8[Nombre Cuenta ()],Table8[Nivel 2],"",0)</f>
        <v/>
      </c>
      <c r="T1145" t="str">
        <f>_xlfn.XLOOKUP(Table3[[#This Row],[Cuenta]],Table8[Nombre Cuenta ()],Table8[Nivel 3],"",0)</f>
        <v/>
      </c>
      <c r="U1145">
        <v>1904</v>
      </c>
      <c r="V1145" t="str">
        <f>_xlfn.XLOOKUP(Table3[[#This Row],[Cuenta]],Estructura_Balance[Nombre Cuenta ()],Estructura_Balance[Niveles:2],"",0)</f>
        <v/>
      </c>
      <c r="W1145" t="str">
        <f>_xlfn.XLOOKUP(Table3[[#This Row],[Cuenta]],Estructura_Balance[Nombre Cuenta ()],Estructura_Balance[Niveles:3],"",0)</f>
        <v/>
      </c>
      <c r="X1145" t="str">
        <f>_xlfn.XLOOKUP(Table3[[#This Row],[Cuenta]],Estructura_Balance[Nombre Cuenta ()],Estructura_Balance[Grupos],"Grupo 1",0)</f>
        <v>Grupo 1</v>
      </c>
      <c r="Y1145" t="str">
        <f>+Table3[[#This Row],[BS_Nivel_1]]</f>
        <v/>
      </c>
    </row>
    <row r="1146" spans="1:25" ht="15" customHeight="1">
      <c r="A1146">
        <f>+'Libro Diario'!F512</f>
        <v>0</v>
      </c>
      <c r="B1146" s="144">
        <f>VALUE(IF(+'Libro Diario'!G512="","01/01/2025",+'Libro Diario'!G512))</f>
        <v>45658</v>
      </c>
      <c r="C1146">
        <f>IF(ISNUMBER(+IF(IFERROR(VALUE(MID('Libro Diario'!D512,1,4)),0)&lt;&gt;0,'Libro Diario'!D512,0))=FALSE,'Libro Diario'!D512,0)</f>
        <v>0</v>
      </c>
      <c r="D1146" s="145">
        <f>+'Libro Diario'!E512</f>
        <v>0</v>
      </c>
      <c r="E1146" s="139" t="s">
        <v>446</v>
      </c>
      <c r="F1146" t="str">
        <f t="shared" si="51"/>
        <v>Sin Mov.</v>
      </c>
      <c r="G1146" t="str">
        <f>IF(+'Libro Diario'!H512=0,"",+'Libro Diario'!H512)</f>
        <v/>
      </c>
      <c r="H1146" t="str">
        <f>IF(+'Libro Diario'!I512=0,"",+'Libro Diario'!I512)</f>
        <v/>
      </c>
      <c r="I1146" t="str">
        <f>+IF(Table3[[#This Row],[Tipo Movimiento]]="Estructura Balance y PyG","Excluir","Incluir")</f>
        <v>Incluir</v>
      </c>
      <c r="J1146" s="153">
        <f>+IF(Table3[[#This Row],[Sin cuenta]]="Con Mov.",(IF(Table3[[#This Row],[Movimiento]]="Debe",Table3[[#This Row],[Importe]],IF(Table3[[#This Row],[Movimiento]]="Haber",Table3[[#This Row],[Importe]]*-1,0))),0)</f>
        <v>0</v>
      </c>
      <c r="K1146" s="145" t="str">
        <f t="shared" si="52"/>
        <v/>
      </c>
      <c r="L1146" s="145">
        <f t="shared" si="53"/>
        <v>0</v>
      </c>
      <c r="M1146" t="str">
        <f>_xlfn.XLOOKUP(Table3[[#This Row],[Cuenta]],Estructura_Balance[Nombre Cuenta ()],Estructura_Balance[Grupo],"",0)</f>
        <v/>
      </c>
      <c r="N1146" t="str">
        <f>_xlfn.XLOOKUP(Table3[[#This Row],[Cuenta]],Estructura_Balance[Nombre Cuenta ()],Estructura_Balance[Nivel 1],"",0)</f>
        <v/>
      </c>
      <c r="O1146" t="str">
        <f>_xlfn.XLOOKUP(Table3[[#This Row],[Cuenta]],Estructura_Balance[Nombre Cuenta ()],Estructura_Balance[Nivel 2],"",0)</f>
        <v/>
      </c>
      <c r="P1146" t="str">
        <f>_xlfn.XLOOKUP(Table3[[#This Row],[Cuenta]],Estructura_Balance[Nombre Cuenta ()],Estructura_Balance[Nivel 3],"",0)</f>
        <v/>
      </c>
      <c r="Q1146" t="str">
        <f>_xlfn.XLOOKUP(Table3[[#This Row],[Cuenta]],Estructura_Balance[Nombre Cuenta ()],Estructura_Balance[Nivel 4],"",0)</f>
        <v/>
      </c>
      <c r="R1146" t="str">
        <f>_xlfn.XLOOKUP(Table3[[#This Row],[Cuenta]],Table8[Nombre Cuenta ()],Table8[Nivel 1],"",0)</f>
        <v/>
      </c>
      <c r="S1146" t="str">
        <f>_xlfn.XLOOKUP(Table3[[#This Row],[Cuenta]],Table8[Nombre Cuenta ()],Table8[Nivel 2],"",0)</f>
        <v/>
      </c>
      <c r="T1146" t="str">
        <f>_xlfn.XLOOKUP(Table3[[#This Row],[Cuenta]],Table8[Nombre Cuenta ()],Table8[Nivel 3],"",0)</f>
        <v/>
      </c>
      <c r="U1146">
        <v>1905</v>
      </c>
      <c r="V1146" t="str">
        <f>_xlfn.XLOOKUP(Table3[[#This Row],[Cuenta]],Estructura_Balance[Nombre Cuenta ()],Estructura_Balance[Niveles:2],"",0)</f>
        <v/>
      </c>
      <c r="W1146" t="str">
        <f>_xlfn.XLOOKUP(Table3[[#This Row],[Cuenta]],Estructura_Balance[Nombre Cuenta ()],Estructura_Balance[Niveles:3],"",0)</f>
        <v/>
      </c>
      <c r="X1146" t="str">
        <f>_xlfn.XLOOKUP(Table3[[#This Row],[Cuenta]],Estructura_Balance[Nombre Cuenta ()],Estructura_Balance[Grupos],"Grupo 1",0)</f>
        <v>Grupo 1</v>
      </c>
      <c r="Y1146" t="str">
        <f>+Table3[[#This Row],[BS_Nivel_1]]</f>
        <v/>
      </c>
    </row>
    <row r="1147" spans="1:25" ht="15" customHeight="1">
      <c r="A1147">
        <f>+'Libro Diario'!F529</f>
        <v>0</v>
      </c>
      <c r="B1147" s="144">
        <f>VALUE(IF(+'Libro Diario'!G529="","01/01/2025",+'Libro Diario'!G529))</f>
        <v>45658</v>
      </c>
      <c r="C1147">
        <f>IF(ISNUMBER(+IF(IFERROR(VALUE(MID('Libro Diario'!D529,1,4)),0)&lt;&gt;0,'Libro Diario'!D529,0))=FALSE,'Libro Diario'!D529,0)</f>
        <v>0</v>
      </c>
      <c r="D1147" s="145">
        <f>+'Libro Diario'!E529</f>
        <v>0</v>
      </c>
      <c r="E1147" s="139" t="s">
        <v>446</v>
      </c>
      <c r="F1147" t="str">
        <f t="shared" si="51"/>
        <v>Sin Mov.</v>
      </c>
      <c r="G1147" t="str">
        <f>IF(+'Libro Diario'!H529=0,"",+'Libro Diario'!H529)</f>
        <v/>
      </c>
      <c r="H1147" t="str">
        <f>IF(+'Libro Diario'!I529=0,"",+'Libro Diario'!I529)</f>
        <v/>
      </c>
      <c r="I1147" t="str">
        <f>+IF(Table3[[#This Row],[Tipo Movimiento]]="Estructura Balance y PyG","Excluir","Incluir")</f>
        <v>Incluir</v>
      </c>
      <c r="J1147" s="153">
        <f>+IF(Table3[[#This Row],[Sin cuenta]]="Con Mov.",(IF(Table3[[#This Row],[Movimiento]]="Debe",Table3[[#This Row],[Importe]],IF(Table3[[#This Row],[Movimiento]]="Haber",Table3[[#This Row],[Importe]]*-1,0))),0)</f>
        <v>0</v>
      </c>
      <c r="K1147" s="145" t="str">
        <f t="shared" si="52"/>
        <v/>
      </c>
      <c r="L1147" s="145">
        <f t="shared" si="53"/>
        <v>0</v>
      </c>
      <c r="M1147" t="str">
        <f>_xlfn.XLOOKUP(Table3[[#This Row],[Cuenta]],Estructura_Balance[Nombre Cuenta ()],Estructura_Balance[Grupo],"",0)</f>
        <v/>
      </c>
      <c r="N1147" t="str">
        <f>_xlfn.XLOOKUP(Table3[[#This Row],[Cuenta]],Estructura_Balance[Nombre Cuenta ()],Estructura_Balance[Nivel 1],"",0)</f>
        <v/>
      </c>
      <c r="O1147" t="str">
        <f>_xlfn.XLOOKUP(Table3[[#This Row],[Cuenta]],Estructura_Balance[Nombre Cuenta ()],Estructura_Balance[Nivel 2],"",0)</f>
        <v/>
      </c>
      <c r="P1147" t="str">
        <f>_xlfn.XLOOKUP(Table3[[#This Row],[Cuenta]],Estructura_Balance[Nombre Cuenta ()],Estructura_Balance[Nivel 3],"",0)</f>
        <v/>
      </c>
      <c r="Q1147" t="str">
        <f>_xlfn.XLOOKUP(Table3[[#This Row],[Cuenta]],Estructura_Balance[Nombre Cuenta ()],Estructura_Balance[Nivel 4],"",0)</f>
        <v/>
      </c>
      <c r="R1147" t="str">
        <f>_xlfn.XLOOKUP(Table3[[#This Row],[Cuenta]],Table8[Nombre Cuenta ()],Table8[Nivel 1],"",0)</f>
        <v/>
      </c>
      <c r="S1147" t="str">
        <f>_xlfn.XLOOKUP(Table3[[#This Row],[Cuenta]],Table8[Nombre Cuenta ()],Table8[Nivel 2],"",0)</f>
        <v/>
      </c>
      <c r="T1147" t="str">
        <f>_xlfn.XLOOKUP(Table3[[#This Row],[Cuenta]],Table8[Nombre Cuenta ()],Table8[Nivel 3],"",0)</f>
        <v/>
      </c>
      <c r="U1147">
        <v>1922</v>
      </c>
      <c r="V1147" t="str">
        <f>_xlfn.XLOOKUP(Table3[[#This Row],[Cuenta]],Estructura_Balance[Nombre Cuenta ()],Estructura_Balance[Niveles:2],"",0)</f>
        <v/>
      </c>
      <c r="W1147" t="str">
        <f>_xlfn.XLOOKUP(Table3[[#This Row],[Cuenta]],Estructura_Balance[Nombre Cuenta ()],Estructura_Balance[Niveles:3],"",0)</f>
        <v/>
      </c>
      <c r="X1147" t="str">
        <f>_xlfn.XLOOKUP(Table3[[#This Row],[Cuenta]],Estructura_Balance[Nombre Cuenta ()],Estructura_Balance[Grupos],"Grupo 1",0)</f>
        <v>Grupo 1</v>
      </c>
      <c r="Y1147" t="str">
        <f>+Table3[[#This Row],[BS_Nivel_1]]</f>
        <v/>
      </c>
    </row>
    <row r="1148" spans="1:25" ht="15" customHeight="1">
      <c r="A1148">
        <f>+'Libro Diario'!F530</f>
        <v>0</v>
      </c>
      <c r="B1148" s="144">
        <f>VALUE(IF(+'Libro Diario'!G530="","01/01/2025",+'Libro Diario'!G530))</f>
        <v>45658</v>
      </c>
      <c r="C1148">
        <f>IF(ISNUMBER(+IF(IFERROR(VALUE(MID('Libro Diario'!D530,1,4)),0)&lt;&gt;0,'Libro Diario'!D530,0))=FALSE,'Libro Diario'!D530,0)</f>
        <v>0</v>
      </c>
      <c r="D1148" s="145">
        <f>+'Libro Diario'!E530</f>
        <v>0</v>
      </c>
      <c r="E1148" s="139" t="s">
        <v>446</v>
      </c>
      <c r="F1148" t="str">
        <f t="shared" si="51"/>
        <v>Sin Mov.</v>
      </c>
      <c r="G1148" t="str">
        <f>IF(+'Libro Diario'!H530=0,"",+'Libro Diario'!H530)</f>
        <v/>
      </c>
      <c r="H1148" t="str">
        <f>IF(+'Libro Diario'!I530=0,"",+'Libro Diario'!I530)</f>
        <v/>
      </c>
      <c r="I1148" t="str">
        <f>+IF(Table3[[#This Row],[Tipo Movimiento]]="Estructura Balance y PyG","Excluir","Incluir")</f>
        <v>Incluir</v>
      </c>
      <c r="J1148" s="153">
        <f>+IF(Table3[[#This Row],[Sin cuenta]]="Con Mov.",(IF(Table3[[#This Row],[Movimiento]]="Debe",Table3[[#This Row],[Importe]],IF(Table3[[#This Row],[Movimiento]]="Haber",Table3[[#This Row],[Importe]]*-1,0))),0)</f>
        <v>0</v>
      </c>
      <c r="K1148" s="145" t="str">
        <f t="shared" si="52"/>
        <v/>
      </c>
      <c r="L1148" s="145">
        <f t="shared" si="53"/>
        <v>0</v>
      </c>
      <c r="M1148" t="str">
        <f>_xlfn.XLOOKUP(Table3[[#This Row],[Cuenta]],Estructura_Balance[Nombre Cuenta ()],Estructura_Balance[Grupo],"",0)</f>
        <v/>
      </c>
      <c r="N1148" t="str">
        <f>_xlfn.XLOOKUP(Table3[[#This Row],[Cuenta]],Estructura_Balance[Nombre Cuenta ()],Estructura_Balance[Nivel 1],"",0)</f>
        <v/>
      </c>
      <c r="O1148" t="str">
        <f>_xlfn.XLOOKUP(Table3[[#This Row],[Cuenta]],Estructura_Balance[Nombre Cuenta ()],Estructura_Balance[Nivel 2],"",0)</f>
        <v/>
      </c>
      <c r="P1148" t="str">
        <f>_xlfn.XLOOKUP(Table3[[#This Row],[Cuenta]],Estructura_Balance[Nombre Cuenta ()],Estructura_Balance[Nivel 3],"",0)</f>
        <v/>
      </c>
      <c r="Q1148" t="str">
        <f>_xlfn.XLOOKUP(Table3[[#This Row],[Cuenta]],Estructura_Balance[Nombre Cuenta ()],Estructura_Balance[Nivel 4],"",0)</f>
        <v/>
      </c>
      <c r="R1148" t="str">
        <f>_xlfn.XLOOKUP(Table3[[#This Row],[Cuenta]],Table8[Nombre Cuenta ()],Table8[Nivel 1],"",0)</f>
        <v/>
      </c>
      <c r="S1148" t="str">
        <f>_xlfn.XLOOKUP(Table3[[#This Row],[Cuenta]],Table8[Nombre Cuenta ()],Table8[Nivel 2],"",0)</f>
        <v/>
      </c>
      <c r="T1148" t="str">
        <f>_xlfn.XLOOKUP(Table3[[#This Row],[Cuenta]],Table8[Nombre Cuenta ()],Table8[Nivel 3],"",0)</f>
        <v/>
      </c>
      <c r="U1148">
        <v>1923</v>
      </c>
      <c r="V1148" t="str">
        <f>_xlfn.XLOOKUP(Table3[[#This Row],[Cuenta]],Estructura_Balance[Nombre Cuenta ()],Estructura_Balance[Niveles:2],"",0)</f>
        <v/>
      </c>
      <c r="W1148" t="str">
        <f>_xlfn.XLOOKUP(Table3[[#This Row],[Cuenta]],Estructura_Balance[Nombre Cuenta ()],Estructura_Balance[Niveles:3],"",0)</f>
        <v/>
      </c>
      <c r="X1148" t="str">
        <f>_xlfn.XLOOKUP(Table3[[#This Row],[Cuenta]],Estructura_Balance[Nombre Cuenta ()],Estructura_Balance[Grupos],"Grupo 1",0)</f>
        <v>Grupo 1</v>
      </c>
      <c r="Y1148" t="str">
        <f>+Table3[[#This Row],[BS_Nivel_1]]</f>
        <v/>
      </c>
    </row>
    <row r="1149" spans="1:25" ht="15" customHeight="1">
      <c r="A1149">
        <f>+'Libro Diario'!F531</f>
        <v>0</v>
      </c>
      <c r="B1149" s="144">
        <f>VALUE(IF(+'Libro Diario'!G531="","01/01/2025",+'Libro Diario'!G531))</f>
        <v>45658</v>
      </c>
      <c r="C1149">
        <f>IF(ISNUMBER(+IF(IFERROR(VALUE(MID('Libro Diario'!D531,1,4)),0)&lt;&gt;0,'Libro Diario'!D531,0))=FALSE,'Libro Diario'!D531,0)</f>
        <v>0</v>
      </c>
      <c r="D1149" s="145">
        <f>+'Libro Diario'!E531</f>
        <v>0</v>
      </c>
      <c r="E1149" s="139" t="s">
        <v>446</v>
      </c>
      <c r="F1149" t="str">
        <f t="shared" si="51"/>
        <v>Sin Mov.</v>
      </c>
      <c r="G1149" t="str">
        <f>IF(+'Libro Diario'!H531=0,"",+'Libro Diario'!H531)</f>
        <v/>
      </c>
      <c r="H1149" t="str">
        <f>IF(+'Libro Diario'!I531=0,"",+'Libro Diario'!I531)</f>
        <v/>
      </c>
      <c r="I1149" t="str">
        <f>+IF(Table3[[#This Row],[Tipo Movimiento]]="Estructura Balance y PyG","Excluir","Incluir")</f>
        <v>Incluir</v>
      </c>
      <c r="J1149" s="153">
        <f>+IF(Table3[[#This Row],[Sin cuenta]]="Con Mov.",(IF(Table3[[#This Row],[Movimiento]]="Debe",Table3[[#This Row],[Importe]],IF(Table3[[#This Row],[Movimiento]]="Haber",Table3[[#This Row],[Importe]]*-1,0))),0)</f>
        <v>0</v>
      </c>
      <c r="K1149" s="145" t="str">
        <f t="shared" si="52"/>
        <v/>
      </c>
      <c r="L1149" s="145">
        <f t="shared" si="53"/>
        <v>0</v>
      </c>
      <c r="M1149" t="str">
        <f>_xlfn.XLOOKUP(Table3[[#This Row],[Cuenta]],Estructura_Balance[Nombre Cuenta ()],Estructura_Balance[Grupo],"",0)</f>
        <v/>
      </c>
      <c r="N1149" t="str">
        <f>_xlfn.XLOOKUP(Table3[[#This Row],[Cuenta]],Estructura_Balance[Nombre Cuenta ()],Estructura_Balance[Nivel 1],"",0)</f>
        <v/>
      </c>
      <c r="O1149" t="str">
        <f>_xlfn.XLOOKUP(Table3[[#This Row],[Cuenta]],Estructura_Balance[Nombre Cuenta ()],Estructura_Balance[Nivel 2],"",0)</f>
        <v/>
      </c>
      <c r="P1149" t="str">
        <f>_xlfn.XLOOKUP(Table3[[#This Row],[Cuenta]],Estructura_Balance[Nombre Cuenta ()],Estructura_Balance[Nivel 3],"",0)</f>
        <v/>
      </c>
      <c r="Q1149" t="str">
        <f>_xlfn.XLOOKUP(Table3[[#This Row],[Cuenta]],Estructura_Balance[Nombre Cuenta ()],Estructura_Balance[Nivel 4],"",0)</f>
        <v/>
      </c>
      <c r="R1149" t="str">
        <f>_xlfn.XLOOKUP(Table3[[#This Row],[Cuenta]],Table8[Nombre Cuenta ()],Table8[Nivel 1],"",0)</f>
        <v/>
      </c>
      <c r="S1149" t="str">
        <f>_xlfn.XLOOKUP(Table3[[#This Row],[Cuenta]],Table8[Nombre Cuenta ()],Table8[Nivel 2],"",0)</f>
        <v/>
      </c>
      <c r="T1149" t="str">
        <f>_xlfn.XLOOKUP(Table3[[#This Row],[Cuenta]],Table8[Nombre Cuenta ()],Table8[Nivel 3],"",0)</f>
        <v/>
      </c>
      <c r="U1149">
        <v>1924</v>
      </c>
      <c r="V1149" t="str">
        <f>_xlfn.XLOOKUP(Table3[[#This Row],[Cuenta]],Estructura_Balance[Nombre Cuenta ()],Estructura_Balance[Niveles:2],"",0)</f>
        <v/>
      </c>
      <c r="W1149" t="str">
        <f>_xlfn.XLOOKUP(Table3[[#This Row],[Cuenta]],Estructura_Balance[Nombre Cuenta ()],Estructura_Balance[Niveles:3],"",0)</f>
        <v/>
      </c>
      <c r="X1149" t="str">
        <f>_xlfn.XLOOKUP(Table3[[#This Row],[Cuenta]],Estructura_Balance[Nombre Cuenta ()],Estructura_Balance[Grupos],"Grupo 1",0)</f>
        <v>Grupo 1</v>
      </c>
      <c r="Y1149" t="str">
        <f>+Table3[[#This Row],[BS_Nivel_1]]</f>
        <v/>
      </c>
    </row>
    <row r="1150" spans="1:25" ht="15" customHeight="1">
      <c r="A1150">
        <f>+'Libro Diario'!F532</f>
        <v>0</v>
      </c>
      <c r="B1150" s="144">
        <f>VALUE(IF(+'Libro Diario'!G532="","01/01/2025",+'Libro Diario'!G532))</f>
        <v>45658</v>
      </c>
      <c r="C1150">
        <f>IF(ISNUMBER(+IF(IFERROR(VALUE(MID('Libro Diario'!D532,1,4)),0)&lt;&gt;0,'Libro Diario'!D532,0))=FALSE,'Libro Diario'!D532,0)</f>
        <v>0</v>
      </c>
      <c r="D1150" s="145" t="str">
        <f>+'Libro Diario'!E532</f>
        <v>HABER</v>
      </c>
      <c r="E1150" s="139" t="s">
        <v>446</v>
      </c>
      <c r="F1150" t="str">
        <f t="shared" si="51"/>
        <v>Sin Mov.</v>
      </c>
      <c r="G1150" t="str">
        <f>IF(+'Libro Diario'!H532=0,"",+'Libro Diario'!H532)</f>
        <v/>
      </c>
      <c r="H1150" t="str">
        <f>IF(+'Libro Diario'!I532=0,"",+'Libro Diario'!I532)</f>
        <v/>
      </c>
      <c r="I1150" t="str">
        <f>+IF(Table3[[#This Row],[Tipo Movimiento]]="Estructura Balance y PyG","Excluir","Incluir")</f>
        <v>Incluir</v>
      </c>
      <c r="J1150" s="153">
        <f>+IF(Table3[[#This Row],[Sin cuenta]]="Con Mov.",(IF(Table3[[#This Row],[Movimiento]]="Debe",Table3[[#This Row],[Importe]],IF(Table3[[#This Row],[Movimiento]]="Haber",Table3[[#This Row],[Importe]]*-1,0))),0)</f>
        <v>0</v>
      </c>
      <c r="K1150" s="145" t="str">
        <f t="shared" si="52"/>
        <v/>
      </c>
      <c r="L1150" s="145" t="str">
        <f t="shared" si="53"/>
        <v>HABER</v>
      </c>
      <c r="M1150" t="str">
        <f>_xlfn.XLOOKUP(Table3[[#This Row],[Cuenta]],Estructura_Balance[Nombre Cuenta ()],Estructura_Balance[Grupo],"",0)</f>
        <v/>
      </c>
      <c r="N1150" t="str">
        <f>_xlfn.XLOOKUP(Table3[[#This Row],[Cuenta]],Estructura_Balance[Nombre Cuenta ()],Estructura_Balance[Nivel 1],"",0)</f>
        <v/>
      </c>
      <c r="O1150" t="str">
        <f>_xlfn.XLOOKUP(Table3[[#This Row],[Cuenta]],Estructura_Balance[Nombre Cuenta ()],Estructura_Balance[Nivel 2],"",0)</f>
        <v/>
      </c>
      <c r="P1150" t="str">
        <f>_xlfn.XLOOKUP(Table3[[#This Row],[Cuenta]],Estructura_Balance[Nombre Cuenta ()],Estructura_Balance[Nivel 3],"",0)</f>
        <v/>
      </c>
      <c r="Q1150" t="str">
        <f>_xlfn.XLOOKUP(Table3[[#This Row],[Cuenta]],Estructura_Balance[Nombre Cuenta ()],Estructura_Balance[Nivel 4],"",0)</f>
        <v/>
      </c>
      <c r="R1150" t="str">
        <f>_xlfn.XLOOKUP(Table3[[#This Row],[Cuenta]],Table8[Nombre Cuenta ()],Table8[Nivel 1],"",0)</f>
        <v/>
      </c>
      <c r="S1150" t="str">
        <f>_xlfn.XLOOKUP(Table3[[#This Row],[Cuenta]],Table8[Nombre Cuenta ()],Table8[Nivel 2],"",0)</f>
        <v/>
      </c>
      <c r="T1150" t="str">
        <f>_xlfn.XLOOKUP(Table3[[#This Row],[Cuenta]],Table8[Nombre Cuenta ()],Table8[Nivel 3],"",0)</f>
        <v/>
      </c>
      <c r="U1150">
        <v>1925</v>
      </c>
      <c r="V1150" t="str">
        <f>_xlfn.XLOOKUP(Table3[[#This Row],[Cuenta]],Estructura_Balance[Nombre Cuenta ()],Estructura_Balance[Niveles:2],"",0)</f>
        <v/>
      </c>
      <c r="W1150" t="str">
        <f>_xlfn.XLOOKUP(Table3[[#This Row],[Cuenta]],Estructura_Balance[Nombre Cuenta ()],Estructura_Balance[Niveles:3],"",0)</f>
        <v/>
      </c>
      <c r="X1150" t="str">
        <f>_xlfn.XLOOKUP(Table3[[#This Row],[Cuenta]],Estructura_Balance[Nombre Cuenta ()],Estructura_Balance[Grupos],"Grupo 1",0)</f>
        <v>Grupo 1</v>
      </c>
      <c r="Y1150" t="str">
        <f>+Table3[[#This Row],[BS_Nivel_1]]</f>
        <v/>
      </c>
    </row>
    <row r="1151" spans="1:25" ht="15" customHeight="1">
      <c r="A1151">
        <f>+'Libro Diario'!F533</f>
        <v>0</v>
      </c>
      <c r="B1151" s="144">
        <f>VALUE(IF(+'Libro Diario'!G533="","01/01/2025",+'Libro Diario'!G533))</f>
        <v>45658</v>
      </c>
      <c r="C1151">
        <f>IF(ISNUMBER(+IF(IFERROR(VALUE(MID('Libro Diario'!D533,1,4)),0)&lt;&gt;0,'Libro Diario'!D533,0))=FALSE,'Libro Diario'!D533,0)</f>
        <v>0</v>
      </c>
      <c r="D1151" s="145">
        <f>+'Libro Diario'!E533</f>
        <v>0</v>
      </c>
      <c r="E1151" s="139" t="s">
        <v>446</v>
      </c>
      <c r="F1151" t="str">
        <f t="shared" si="51"/>
        <v>Sin Mov.</v>
      </c>
      <c r="G1151" t="str">
        <f>IF(+'Libro Diario'!H533=0,"",+'Libro Diario'!H533)</f>
        <v/>
      </c>
      <c r="H1151" t="str">
        <f>IF(+'Libro Diario'!I533=0,"",+'Libro Diario'!I533)</f>
        <v/>
      </c>
      <c r="I1151" t="str">
        <f>+IF(Table3[[#This Row],[Tipo Movimiento]]="Estructura Balance y PyG","Excluir","Incluir")</f>
        <v>Incluir</v>
      </c>
      <c r="J1151" s="153">
        <f>+IF(Table3[[#This Row],[Sin cuenta]]="Con Mov.",(IF(Table3[[#This Row],[Movimiento]]="Debe",Table3[[#This Row],[Importe]],IF(Table3[[#This Row],[Movimiento]]="Haber",Table3[[#This Row],[Importe]]*-1,0))),0)</f>
        <v>0</v>
      </c>
      <c r="K1151" s="145" t="str">
        <f t="shared" si="52"/>
        <v/>
      </c>
      <c r="L1151" s="145">
        <f t="shared" si="53"/>
        <v>0</v>
      </c>
      <c r="M1151" t="str">
        <f>_xlfn.XLOOKUP(Table3[[#This Row],[Cuenta]],Estructura_Balance[Nombre Cuenta ()],Estructura_Balance[Grupo],"",0)</f>
        <v/>
      </c>
      <c r="N1151" t="str">
        <f>_xlfn.XLOOKUP(Table3[[#This Row],[Cuenta]],Estructura_Balance[Nombre Cuenta ()],Estructura_Balance[Nivel 1],"",0)</f>
        <v/>
      </c>
      <c r="O1151" t="str">
        <f>_xlfn.XLOOKUP(Table3[[#This Row],[Cuenta]],Estructura_Balance[Nombre Cuenta ()],Estructura_Balance[Nivel 2],"",0)</f>
        <v/>
      </c>
      <c r="P1151" t="str">
        <f>_xlfn.XLOOKUP(Table3[[#This Row],[Cuenta]],Estructura_Balance[Nombre Cuenta ()],Estructura_Balance[Nivel 3],"",0)</f>
        <v/>
      </c>
      <c r="Q1151" t="str">
        <f>_xlfn.XLOOKUP(Table3[[#This Row],[Cuenta]],Estructura_Balance[Nombre Cuenta ()],Estructura_Balance[Nivel 4],"",0)</f>
        <v/>
      </c>
      <c r="R1151" t="str">
        <f>_xlfn.XLOOKUP(Table3[[#This Row],[Cuenta]],Table8[Nombre Cuenta ()],Table8[Nivel 1],"",0)</f>
        <v/>
      </c>
      <c r="S1151" t="str">
        <f>_xlfn.XLOOKUP(Table3[[#This Row],[Cuenta]],Table8[Nombre Cuenta ()],Table8[Nivel 2],"",0)</f>
        <v/>
      </c>
      <c r="T1151" t="str">
        <f>_xlfn.XLOOKUP(Table3[[#This Row],[Cuenta]],Table8[Nombre Cuenta ()],Table8[Nivel 3],"",0)</f>
        <v/>
      </c>
      <c r="U1151">
        <v>1926</v>
      </c>
      <c r="V1151" t="str">
        <f>_xlfn.XLOOKUP(Table3[[#This Row],[Cuenta]],Estructura_Balance[Nombre Cuenta ()],Estructura_Balance[Niveles:2],"",0)</f>
        <v/>
      </c>
      <c r="W1151" t="str">
        <f>_xlfn.XLOOKUP(Table3[[#This Row],[Cuenta]],Estructura_Balance[Nombre Cuenta ()],Estructura_Balance[Niveles:3],"",0)</f>
        <v/>
      </c>
      <c r="X1151" t="str">
        <f>_xlfn.XLOOKUP(Table3[[#This Row],[Cuenta]],Estructura_Balance[Nombre Cuenta ()],Estructura_Balance[Grupos],"Grupo 1",0)</f>
        <v>Grupo 1</v>
      </c>
      <c r="Y1151" t="str">
        <f>+Table3[[#This Row],[BS_Nivel_1]]</f>
        <v/>
      </c>
    </row>
    <row r="1152" spans="1:25" ht="15" customHeight="1">
      <c r="A1152">
        <f>+'Libro Diario'!F546</f>
        <v>0</v>
      </c>
      <c r="B1152" s="144">
        <f>VALUE(IF(+'Libro Diario'!G546="","01/01/2025",+'Libro Diario'!G546))</f>
        <v>45658</v>
      </c>
      <c r="C1152">
        <f>IF(ISNUMBER(+IF(IFERROR(VALUE(MID('Libro Diario'!D546,1,4)),0)&lt;&gt;0,'Libro Diario'!D546,0))=FALSE,'Libro Diario'!D546,0)</f>
        <v>0</v>
      </c>
      <c r="D1152" s="145">
        <f>+'Libro Diario'!E546</f>
        <v>0</v>
      </c>
      <c r="E1152" s="139" t="s">
        <v>446</v>
      </c>
      <c r="F1152" t="str">
        <f t="shared" si="51"/>
        <v>Sin Mov.</v>
      </c>
      <c r="G1152" t="str">
        <f>IF(+'Libro Diario'!H546=0,"",+'Libro Diario'!H546)</f>
        <v/>
      </c>
      <c r="H1152" t="str">
        <f>IF(+'Libro Diario'!I546=0,"",+'Libro Diario'!I546)</f>
        <v/>
      </c>
      <c r="I1152" t="str">
        <f>+IF(Table3[[#This Row],[Tipo Movimiento]]="Estructura Balance y PyG","Excluir","Incluir")</f>
        <v>Incluir</v>
      </c>
      <c r="J1152" s="153">
        <f>+IF(Table3[[#This Row],[Sin cuenta]]="Con Mov.",(IF(Table3[[#This Row],[Movimiento]]="Debe",Table3[[#This Row],[Importe]],IF(Table3[[#This Row],[Movimiento]]="Haber",Table3[[#This Row],[Importe]]*-1,0))),0)</f>
        <v>0</v>
      </c>
      <c r="K1152" s="145" t="str">
        <f t="shared" si="52"/>
        <v/>
      </c>
      <c r="L1152" s="145">
        <f t="shared" si="53"/>
        <v>0</v>
      </c>
      <c r="M1152" t="str">
        <f>_xlfn.XLOOKUP(Table3[[#This Row],[Cuenta]],Estructura_Balance[Nombre Cuenta ()],Estructura_Balance[Grupo],"",0)</f>
        <v/>
      </c>
      <c r="N1152" t="str">
        <f>_xlfn.XLOOKUP(Table3[[#This Row],[Cuenta]],Estructura_Balance[Nombre Cuenta ()],Estructura_Balance[Nivel 1],"",0)</f>
        <v/>
      </c>
      <c r="O1152" t="str">
        <f>_xlfn.XLOOKUP(Table3[[#This Row],[Cuenta]],Estructura_Balance[Nombre Cuenta ()],Estructura_Balance[Nivel 2],"",0)</f>
        <v/>
      </c>
      <c r="P1152" t="str">
        <f>_xlfn.XLOOKUP(Table3[[#This Row],[Cuenta]],Estructura_Balance[Nombre Cuenta ()],Estructura_Balance[Nivel 3],"",0)</f>
        <v/>
      </c>
      <c r="Q1152" t="str">
        <f>_xlfn.XLOOKUP(Table3[[#This Row],[Cuenta]],Estructura_Balance[Nombre Cuenta ()],Estructura_Balance[Nivel 4],"",0)</f>
        <v/>
      </c>
      <c r="R1152" t="str">
        <f>_xlfn.XLOOKUP(Table3[[#This Row],[Cuenta]],Table8[Nombre Cuenta ()],Table8[Nivel 1],"",0)</f>
        <v/>
      </c>
      <c r="S1152" t="str">
        <f>_xlfn.XLOOKUP(Table3[[#This Row],[Cuenta]],Table8[Nombre Cuenta ()],Table8[Nivel 2],"",0)</f>
        <v/>
      </c>
      <c r="T1152" t="str">
        <f>_xlfn.XLOOKUP(Table3[[#This Row],[Cuenta]],Table8[Nombre Cuenta ()],Table8[Nivel 3],"",0)</f>
        <v/>
      </c>
      <c r="U1152">
        <v>1939</v>
      </c>
      <c r="V1152" t="str">
        <f>_xlfn.XLOOKUP(Table3[[#This Row],[Cuenta]],Estructura_Balance[Nombre Cuenta ()],Estructura_Balance[Niveles:2],"",0)</f>
        <v/>
      </c>
      <c r="W1152" t="str">
        <f>_xlfn.XLOOKUP(Table3[[#This Row],[Cuenta]],Estructura_Balance[Nombre Cuenta ()],Estructura_Balance[Niveles:3],"",0)</f>
        <v/>
      </c>
      <c r="X1152" t="str">
        <f>_xlfn.XLOOKUP(Table3[[#This Row],[Cuenta]],Estructura_Balance[Nombre Cuenta ()],Estructura_Balance[Grupos],"Grupo 1",0)</f>
        <v>Grupo 1</v>
      </c>
      <c r="Y1152" t="str">
        <f>+Table3[[#This Row],[BS_Nivel_1]]</f>
        <v/>
      </c>
    </row>
    <row r="1153" spans="1:25" ht="15" customHeight="1">
      <c r="A1153">
        <f>+'Libro Diario'!F547</f>
        <v>0</v>
      </c>
      <c r="B1153" s="144">
        <f>VALUE(IF(+'Libro Diario'!G547="","01/01/2025",+'Libro Diario'!G547))</f>
        <v>45658</v>
      </c>
      <c r="C1153">
        <f>IF(ISNUMBER(+IF(IFERROR(VALUE(MID('Libro Diario'!D547,1,4)),0)&lt;&gt;0,'Libro Diario'!D547,0))=FALSE,'Libro Diario'!D547,0)</f>
        <v>0</v>
      </c>
      <c r="D1153" s="145">
        <f>+'Libro Diario'!E547</f>
        <v>0</v>
      </c>
      <c r="E1153" s="139" t="s">
        <v>446</v>
      </c>
      <c r="F1153" t="str">
        <f t="shared" si="51"/>
        <v>Sin Mov.</v>
      </c>
      <c r="G1153" t="str">
        <f>IF(+'Libro Diario'!H547=0,"",+'Libro Diario'!H547)</f>
        <v/>
      </c>
      <c r="H1153" t="str">
        <f>IF(+'Libro Diario'!I547=0,"",+'Libro Diario'!I547)</f>
        <v/>
      </c>
      <c r="I1153" t="str">
        <f>+IF(Table3[[#This Row],[Tipo Movimiento]]="Estructura Balance y PyG","Excluir","Incluir")</f>
        <v>Incluir</v>
      </c>
      <c r="J1153" s="153">
        <f>+IF(Table3[[#This Row],[Sin cuenta]]="Con Mov.",(IF(Table3[[#This Row],[Movimiento]]="Debe",Table3[[#This Row],[Importe]],IF(Table3[[#This Row],[Movimiento]]="Haber",Table3[[#This Row],[Importe]]*-1,0))),0)</f>
        <v>0</v>
      </c>
      <c r="K1153" s="145" t="str">
        <f t="shared" si="52"/>
        <v/>
      </c>
      <c r="L1153" s="145">
        <f t="shared" si="53"/>
        <v>0</v>
      </c>
      <c r="M1153" t="str">
        <f>_xlfn.XLOOKUP(Table3[[#This Row],[Cuenta]],Estructura_Balance[Nombre Cuenta ()],Estructura_Balance[Grupo],"",0)</f>
        <v/>
      </c>
      <c r="N1153" t="str">
        <f>_xlfn.XLOOKUP(Table3[[#This Row],[Cuenta]],Estructura_Balance[Nombre Cuenta ()],Estructura_Balance[Nivel 1],"",0)</f>
        <v/>
      </c>
      <c r="O1153" t="str">
        <f>_xlfn.XLOOKUP(Table3[[#This Row],[Cuenta]],Estructura_Balance[Nombre Cuenta ()],Estructura_Balance[Nivel 2],"",0)</f>
        <v/>
      </c>
      <c r="P1153" t="str">
        <f>_xlfn.XLOOKUP(Table3[[#This Row],[Cuenta]],Estructura_Balance[Nombre Cuenta ()],Estructura_Balance[Nivel 3],"",0)</f>
        <v/>
      </c>
      <c r="Q1153" t="str">
        <f>_xlfn.XLOOKUP(Table3[[#This Row],[Cuenta]],Estructura_Balance[Nombre Cuenta ()],Estructura_Balance[Nivel 4],"",0)</f>
        <v/>
      </c>
      <c r="R1153" t="str">
        <f>_xlfn.XLOOKUP(Table3[[#This Row],[Cuenta]],Table8[Nombre Cuenta ()],Table8[Nivel 1],"",0)</f>
        <v/>
      </c>
      <c r="S1153" t="str">
        <f>_xlfn.XLOOKUP(Table3[[#This Row],[Cuenta]],Table8[Nombre Cuenta ()],Table8[Nivel 2],"",0)</f>
        <v/>
      </c>
      <c r="T1153" t="str">
        <f>_xlfn.XLOOKUP(Table3[[#This Row],[Cuenta]],Table8[Nombre Cuenta ()],Table8[Nivel 3],"",0)</f>
        <v/>
      </c>
      <c r="U1153">
        <v>1940</v>
      </c>
      <c r="V1153" t="str">
        <f>_xlfn.XLOOKUP(Table3[[#This Row],[Cuenta]],Estructura_Balance[Nombre Cuenta ()],Estructura_Balance[Niveles:2],"",0)</f>
        <v/>
      </c>
      <c r="W1153" t="str">
        <f>_xlfn.XLOOKUP(Table3[[#This Row],[Cuenta]],Estructura_Balance[Nombre Cuenta ()],Estructura_Balance[Niveles:3],"",0)</f>
        <v/>
      </c>
      <c r="X1153" t="str">
        <f>_xlfn.XLOOKUP(Table3[[#This Row],[Cuenta]],Estructura_Balance[Nombre Cuenta ()],Estructura_Balance[Grupos],"Grupo 1",0)</f>
        <v>Grupo 1</v>
      </c>
      <c r="Y1153" t="str">
        <f>+Table3[[#This Row],[BS_Nivel_1]]</f>
        <v/>
      </c>
    </row>
    <row r="1154" spans="1:25" ht="15" customHeight="1">
      <c r="A1154">
        <f>+'Libro Diario'!F548</f>
        <v>0</v>
      </c>
      <c r="B1154" s="144">
        <f>VALUE(IF(+'Libro Diario'!G548="","01/01/2025",+'Libro Diario'!G548))</f>
        <v>45658</v>
      </c>
      <c r="C1154">
        <f>IF(ISNUMBER(+IF(IFERROR(VALUE(MID('Libro Diario'!D548,1,4)),0)&lt;&gt;0,'Libro Diario'!D548,0))=FALSE,'Libro Diario'!D548,0)</f>
        <v>0</v>
      </c>
      <c r="D1154" s="145">
        <f>+'Libro Diario'!E548</f>
        <v>0</v>
      </c>
      <c r="E1154" s="139" t="s">
        <v>446</v>
      </c>
      <c r="F1154" t="str">
        <f t="shared" si="51"/>
        <v>Sin Mov.</v>
      </c>
      <c r="G1154" t="str">
        <f>IF(+'Libro Diario'!H548=0,"",+'Libro Diario'!H548)</f>
        <v/>
      </c>
      <c r="H1154" t="str">
        <f>IF(+'Libro Diario'!I548=0,"",+'Libro Diario'!I548)</f>
        <v/>
      </c>
      <c r="I1154" t="str">
        <f>+IF(Table3[[#This Row],[Tipo Movimiento]]="Estructura Balance y PyG","Excluir","Incluir")</f>
        <v>Incluir</v>
      </c>
      <c r="J1154" s="153">
        <f>+IF(Table3[[#This Row],[Sin cuenta]]="Con Mov.",(IF(Table3[[#This Row],[Movimiento]]="Debe",Table3[[#This Row],[Importe]],IF(Table3[[#This Row],[Movimiento]]="Haber",Table3[[#This Row],[Importe]]*-1,0))),0)</f>
        <v>0</v>
      </c>
      <c r="K1154" s="145" t="str">
        <f t="shared" si="52"/>
        <v/>
      </c>
      <c r="L1154" s="145">
        <f t="shared" si="53"/>
        <v>0</v>
      </c>
      <c r="M1154" t="str">
        <f>_xlfn.XLOOKUP(Table3[[#This Row],[Cuenta]],Estructura_Balance[Nombre Cuenta ()],Estructura_Balance[Grupo],"",0)</f>
        <v/>
      </c>
      <c r="N1154" t="str">
        <f>_xlfn.XLOOKUP(Table3[[#This Row],[Cuenta]],Estructura_Balance[Nombre Cuenta ()],Estructura_Balance[Nivel 1],"",0)</f>
        <v/>
      </c>
      <c r="O1154" t="str">
        <f>_xlfn.XLOOKUP(Table3[[#This Row],[Cuenta]],Estructura_Balance[Nombre Cuenta ()],Estructura_Balance[Nivel 2],"",0)</f>
        <v/>
      </c>
      <c r="P1154" t="str">
        <f>_xlfn.XLOOKUP(Table3[[#This Row],[Cuenta]],Estructura_Balance[Nombre Cuenta ()],Estructura_Balance[Nivel 3],"",0)</f>
        <v/>
      </c>
      <c r="Q1154" t="str">
        <f>_xlfn.XLOOKUP(Table3[[#This Row],[Cuenta]],Estructura_Balance[Nombre Cuenta ()],Estructura_Balance[Nivel 4],"",0)</f>
        <v/>
      </c>
      <c r="R1154" t="str">
        <f>_xlfn.XLOOKUP(Table3[[#This Row],[Cuenta]],Table8[Nombre Cuenta ()],Table8[Nivel 1],"",0)</f>
        <v/>
      </c>
      <c r="S1154" t="str">
        <f>_xlfn.XLOOKUP(Table3[[#This Row],[Cuenta]],Table8[Nombre Cuenta ()],Table8[Nivel 2],"",0)</f>
        <v/>
      </c>
      <c r="T1154" t="str">
        <f>_xlfn.XLOOKUP(Table3[[#This Row],[Cuenta]],Table8[Nombre Cuenta ()],Table8[Nivel 3],"",0)</f>
        <v/>
      </c>
      <c r="U1154">
        <v>1941</v>
      </c>
      <c r="V1154" t="str">
        <f>_xlfn.XLOOKUP(Table3[[#This Row],[Cuenta]],Estructura_Balance[Nombre Cuenta ()],Estructura_Balance[Niveles:2],"",0)</f>
        <v/>
      </c>
      <c r="W1154" t="str">
        <f>_xlfn.XLOOKUP(Table3[[#This Row],[Cuenta]],Estructura_Balance[Nombre Cuenta ()],Estructura_Balance[Niveles:3],"",0)</f>
        <v/>
      </c>
      <c r="X1154" t="str">
        <f>_xlfn.XLOOKUP(Table3[[#This Row],[Cuenta]],Estructura_Balance[Nombre Cuenta ()],Estructura_Balance[Grupos],"Grupo 1",0)</f>
        <v>Grupo 1</v>
      </c>
      <c r="Y1154" t="str">
        <f>+Table3[[#This Row],[BS_Nivel_1]]</f>
        <v/>
      </c>
    </row>
    <row r="1155" spans="1:25" ht="15" customHeight="1">
      <c r="A1155">
        <f>+'Libro Diario'!F549</f>
        <v>0</v>
      </c>
      <c r="B1155" s="144">
        <f>VALUE(IF(+'Libro Diario'!G549="","01/01/2025",+'Libro Diario'!G549))</f>
        <v>45658</v>
      </c>
      <c r="C1155">
        <f>IF(ISNUMBER(+IF(IFERROR(VALUE(MID('Libro Diario'!D549,1,4)),0)&lt;&gt;0,'Libro Diario'!D549,0))=FALSE,'Libro Diario'!D549,0)</f>
        <v>0</v>
      </c>
      <c r="D1155" s="145" t="str">
        <f>+'Libro Diario'!E549</f>
        <v>HABER</v>
      </c>
      <c r="E1155" s="139" t="s">
        <v>446</v>
      </c>
      <c r="F1155" t="str">
        <f t="shared" ref="F1155:F1218" si="54">+IF(C1155=0,"Sin Mov.","Con Mov.")</f>
        <v>Sin Mov.</v>
      </c>
      <c r="G1155" t="str">
        <f>IF(+'Libro Diario'!H549=0,"",+'Libro Diario'!H549)</f>
        <v/>
      </c>
      <c r="H1155" t="str">
        <f>IF(+'Libro Diario'!I549=0,"",+'Libro Diario'!I549)</f>
        <v/>
      </c>
      <c r="I1155" t="str">
        <f>+IF(Table3[[#This Row],[Tipo Movimiento]]="Estructura Balance y PyG","Excluir","Incluir")</f>
        <v>Incluir</v>
      </c>
      <c r="J1155" s="153">
        <f>+IF(Table3[[#This Row],[Sin cuenta]]="Con Mov.",(IF(Table3[[#This Row],[Movimiento]]="Debe",Table3[[#This Row],[Importe]],IF(Table3[[#This Row],[Movimiento]]="Haber",Table3[[#This Row],[Importe]]*-1,0))),0)</f>
        <v>0</v>
      </c>
      <c r="K1155" s="145" t="str">
        <f t="shared" ref="K1155:K1218" si="55">+IF(E1155="Debe",D1155,"")</f>
        <v/>
      </c>
      <c r="L1155" s="145" t="str">
        <f t="shared" ref="L1155:L1218" si="56">+IF(E1155="Haber",D1155,"")</f>
        <v>HABER</v>
      </c>
      <c r="M1155" t="str">
        <f>_xlfn.XLOOKUP(Table3[[#This Row],[Cuenta]],Estructura_Balance[Nombre Cuenta ()],Estructura_Balance[Grupo],"",0)</f>
        <v/>
      </c>
      <c r="N1155" t="str">
        <f>_xlfn.XLOOKUP(Table3[[#This Row],[Cuenta]],Estructura_Balance[Nombre Cuenta ()],Estructura_Balance[Nivel 1],"",0)</f>
        <v/>
      </c>
      <c r="O1155" t="str">
        <f>_xlfn.XLOOKUP(Table3[[#This Row],[Cuenta]],Estructura_Balance[Nombre Cuenta ()],Estructura_Balance[Nivel 2],"",0)</f>
        <v/>
      </c>
      <c r="P1155" t="str">
        <f>_xlfn.XLOOKUP(Table3[[#This Row],[Cuenta]],Estructura_Balance[Nombre Cuenta ()],Estructura_Balance[Nivel 3],"",0)</f>
        <v/>
      </c>
      <c r="Q1155" t="str">
        <f>_xlfn.XLOOKUP(Table3[[#This Row],[Cuenta]],Estructura_Balance[Nombre Cuenta ()],Estructura_Balance[Nivel 4],"",0)</f>
        <v/>
      </c>
      <c r="R1155" t="str">
        <f>_xlfn.XLOOKUP(Table3[[#This Row],[Cuenta]],Table8[Nombre Cuenta ()],Table8[Nivel 1],"",0)</f>
        <v/>
      </c>
      <c r="S1155" t="str">
        <f>_xlfn.XLOOKUP(Table3[[#This Row],[Cuenta]],Table8[Nombre Cuenta ()],Table8[Nivel 2],"",0)</f>
        <v/>
      </c>
      <c r="T1155" t="str">
        <f>_xlfn.XLOOKUP(Table3[[#This Row],[Cuenta]],Table8[Nombre Cuenta ()],Table8[Nivel 3],"",0)</f>
        <v/>
      </c>
      <c r="U1155">
        <v>1942</v>
      </c>
      <c r="V1155" t="str">
        <f>_xlfn.XLOOKUP(Table3[[#This Row],[Cuenta]],Estructura_Balance[Nombre Cuenta ()],Estructura_Balance[Niveles:2],"",0)</f>
        <v/>
      </c>
      <c r="W1155" t="str">
        <f>_xlfn.XLOOKUP(Table3[[#This Row],[Cuenta]],Estructura_Balance[Nombre Cuenta ()],Estructura_Balance[Niveles:3],"",0)</f>
        <v/>
      </c>
      <c r="X1155" t="str">
        <f>_xlfn.XLOOKUP(Table3[[#This Row],[Cuenta]],Estructura_Balance[Nombre Cuenta ()],Estructura_Balance[Grupos],"Grupo 1",0)</f>
        <v>Grupo 1</v>
      </c>
      <c r="Y1155" t="str">
        <f>+Table3[[#This Row],[BS_Nivel_1]]</f>
        <v/>
      </c>
    </row>
    <row r="1156" spans="1:25" ht="15" customHeight="1">
      <c r="A1156">
        <f>+'Libro Diario'!F550</f>
        <v>0</v>
      </c>
      <c r="B1156" s="144">
        <f>VALUE(IF(+'Libro Diario'!G550="","01/01/2025",+'Libro Diario'!G550))</f>
        <v>45658</v>
      </c>
      <c r="C1156">
        <f>IF(ISNUMBER(+IF(IFERROR(VALUE(MID('Libro Diario'!D550,1,4)),0)&lt;&gt;0,'Libro Diario'!D550,0))=FALSE,'Libro Diario'!D550,0)</f>
        <v>0</v>
      </c>
      <c r="D1156" s="145">
        <f>+'Libro Diario'!E550</f>
        <v>0</v>
      </c>
      <c r="E1156" s="139" t="s">
        <v>446</v>
      </c>
      <c r="F1156" t="str">
        <f t="shared" si="54"/>
        <v>Sin Mov.</v>
      </c>
      <c r="G1156" t="str">
        <f>IF(+'Libro Diario'!H550=0,"",+'Libro Diario'!H550)</f>
        <v/>
      </c>
      <c r="H1156" t="str">
        <f>IF(+'Libro Diario'!I550=0,"",+'Libro Diario'!I550)</f>
        <v/>
      </c>
      <c r="I1156" t="str">
        <f>+IF(Table3[[#This Row],[Tipo Movimiento]]="Estructura Balance y PyG","Excluir","Incluir")</f>
        <v>Incluir</v>
      </c>
      <c r="J1156" s="153">
        <f>+IF(Table3[[#This Row],[Sin cuenta]]="Con Mov.",(IF(Table3[[#This Row],[Movimiento]]="Debe",Table3[[#This Row],[Importe]],IF(Table3[[#This Row],[Movimiento]]="Haber",Table3[[#This Row],[Importe]]*-1,0))),0)</f>
        <v>0</v>
      </c>
      <c r="K1156" s="145" t="str">
        <f t="shared" si="55"/>
        <v/>
      </c>
      <c r="L1156" s="145">
        <f t="shared" si="56"/>
        <v>0</v>
      </c>
      <c r="M1156" t="str">
        <f>_xlfn.XLOOKUP(Table3[[#This Row],[Cuenta]],Estructura_Balance[Nombre Cuenta ()],Estructura_Balance[Grupo],"",0)</f>
        <v/>
      </c>
      <c r="N1156" t="str">
        <f>_xlfn.XLOOKUP(Table3[[#This Row],[Cuenta]],Estructura_Balance[Nombre Cuenta ()],Estructura_Balance[Nivel 1],"",0)</f>
        <v/>
      </c>
      <c r="O1156" t="str">
        <f>_xlfn.XLOOKUP(Table3[[#This Row],[Cuenta]],Estructura_Balance[Nombre Cuenta ()],Estructura_Balance[Nivel 2],"",0)</f>
        <v/>
      </c>
      <c r="P1156" t="str">
        <f>_xlfn.XLOOKUP(Table3[[#This Row],[Cuenta]],Estructura_Balance[Nombre Cuenta ()],Estructura_Balance[Nivel 3],"",0)</f>
        <v/>
      </c>
      <c r="Q1156" t="str">
        <f>_xlfn.XLOOKUP(Table3[[#This Row],[Cuenta]],Estructura_Balance[Nombre Cuenta ()],Estructura_Balance[Nivel 4],"",0)</f>
        <v/>
      </c>
      <c r="R1156" t="str">
        <f>_xlfn.XLOOKUP(Table3[[#This Row],[Cuenta]],Table8[Nombre Cuenta ()],Table8[Nivel 1],"",0)</f>
        <v/>
      </c>
      <c r="S1156" t="str">
        <f>_xlfn.XLOOKUP(Table3[[#This Row],[Cuenta]],Table8[Nombre Cuenta ()],Table8[Nivel 2],"",0)</f>
        <v/>
      </c>
      <c r="T1156" t="str">
        <f>_xlfn.XLOOKUP(Table3[[#This Row],[Cuenta]],Table8[Nombre Cuenta ()],Table8[Nivel 3],"",0)</f>
        <v/>
      </c>
      <c r="U1156">
        <v>1943</v>
      </c>
      <c r="V1156" t="str">
        <f>_xlfn.XLOOKUP(Table3[[#This Row],[Cuenta]],Estructura_Balance[Nombre Cuenta ()],Estructura_Balance[Niveles:2],"",0)</f>
        <v/>
      </c>
      <c r="W1156" t="str">
        <f>_xlfn.XLOOKUP(Table3[[#This Row],[Cuenta]],Estructura_Balance[Nombre Cuenta ()],Estructura_Balance[Niveles:3],"",0)</f>
        <v/>
      </c>
      <c r="X1156" t="str">
        <f>_xlfn.XLOOKUP(Table3[[#This Row],[Cuenta]],Estructura_Balance[Nombre Cuenta ()],Estructura_Balance[Grupos],"Grupo 1",0)</f>
        <v>Grupo 1</v>
      </c>
      <c r="Y1156" t="str">
        <f>+Table3[[#This Row],[BS_Nivel_1]]</f>
        <v/>
      </c>
    </row>
    <row r="1157" spans="1:25" ht="15" customHeight="1">
      <c r="A1157">
        <f>+'Libro Diario'!F553</f>
        <v>0</v>
      </c>
      <c r="B1157" s="144">
        <f>VALUE(IF(+'Libro Diario'!G553="","01/01/2025",+'Libro Diario'!G553))</f>
        <v>45658</v>
      </c>
      <c r="C1157">
        <f>IF(ISNUMBER(+IF(IFERROR(VALUE(MID('Libro Diario'!D553,1,4)),0)&lt;&gt;0,'Libro Diario'!D553,0))=FALSE,'Libro Diario'!D553,0)</f>
        <v>0</v>
      </c>
      <c r="D1157" s="145">
        <f>+'Libro Diario'!E553</f>
        <v>0</v>
      </c>
      <c r="E1157" s="139" t="s">
        <v>446</v>
      </c>
      <c r="F1157" t="str">
        <f t="shared" si="54"/>
        <v>Sin Mov.</v>
      </c>
      <c r="G1157" t="str">
        <f>IF(+'Libro Diario'!H553=0,"",+'Libro Diario'!H553)</f>
        <v/>
      </c>
      <c r="H1157" t="str">
        <f>IF(+'Libro Diario'!I553=0,"",+'Libro Diario'!I553)</f>
        <v/>
      </c>
      <c r="I1157" t="str">
        <f>+IF(Table3[[#This Row],[Tipo Movimiento]]="Estructura Balance y PyG","Excluir","Incluir")</f>
        <v>Incluir</v>
      </c>
      <c r="J1157" s="153">
        <f>+IF(Table3[[#This Row],[Sin cuenta]]="Con Mov.",(IF(Table3[[#This Row],[Movimiento]]="Debe",Table3[[#This Row],[Importe]],IF(Table3[[#This Row],[Movimiento]]="Haber",Table3[[#This Row],[Importe]]*-1,0))),0)</f>
        <v>0</v>
      </c>
      <c r="K1157" s="145" t="str">
        <f t="shared" si="55"/>
        <v/>
      </c>
      <c r="L1157" s="145">
        <f t="shared" si="56"/>
        <v>0</v>
      </c>
      <c r="M1157" t="str">
        <f>_xlfn.XLOOKUP(Table3[[#This Row],[Cuenta]],Estructura_Balance[Nombre Cuenta ()],Estructura_Balance[Grupo],"",0)</f>
        <v/>
      </c>
      <c r="N1157" t="str">
        <f>_xlfn.XLOOKUP(Table3[[#This Row],[Cuenta]],Estructura_Balance[Nombre Cuenta ()],Estructura_Balance[Nivel 1],"",0)</f>
        <v/>
      </c>
      <c r="O1157" t="str">
        <f>_xlfn.XLOOKUP(Table3[[#This Row],[Cuenta]],Estructura_Balance[Nombre Cuenta ()],Estructura_Balance[Nivel 2],"",0)</f>
        <v/>
      </c>
      <c r="P1157" t="str">
        <f>_xlfn.XLOOKUP(Table3[[#This Row],[Cuenta]],Estructura_Balance[Nombre Cuenta ()],Estructura_Balance[Nivel 3],"",0)</f>
        <v/>
      </c>
      <c r="Q1157" t="str">
        <f>_xlfn.XLOOKUP(Table3[[#This Row],[Cuenta]],Estructura_Balance[Nombre Cuenta ()],Estructura_Balance[Nivel 4],"",0)</f>
        <v/>
      </c>
      <c r="R1157" t="str">
        <f>_xlfn.XLOOKUP(Table3[[#This Row],[Cuenta]],Table8[Nombre Cuenta ()],Table8[Nivel 1],"",0)</f>
        <v/>
      </c>
      <c r="S1157" t="str">
        <f>_xlfn.XLOOKUP(Table3[[#This Row],[Cuenta]],Table8[Nombre Cuenta ()],Table8[Nivel 2],"",0)</f>
        <v/>
      </c>
      <c r="T1157" t="str">
        <f>_xlfn.XLOOKUP(Table3[[#This Row],[Cuenta]],Table8[Nombre Cuenta ()],Table8[Nivel 3],"",0)</f>
        <v/>
      </c>
      <c r="U1157">
        <v>1946</v>
      </c>
      <c r="V1157" t="str">
        <f>_xlfn.XLOOKUP(Table3[[#This Row],[Cuenta]],Estructura_Balance[Nombre Cuenta ()],Estructura_Balance[Niveles:2],"",0)</f>
        <v/>
      </c>
      <c r="W1157" t="str">
        <f>_xlfn.XLOOKUP(Table3[[#This Row],[Cuenta]],Estructura_Balance[Nombre Cuenta ()],Estructura_Balance[Niveles:3],"",0)</f>
        <v/>
      </c>
      <c r="X1157" t="str">
        <f>_xlfn.XLOOKUP(Table3[[#This Row],[Cuenta]],Estructura_Balance[Nombre Cuenta ()],Estructura_Balance[Grupos],"Grupo 1",0)</f>
        <v>Grupo 1</v>
      </c>
      <c r="Y1157" t="str">
        <f>+Table3[[#This Row],[BS_Nivel_1]]</f>
        <v/>
      </c>
    </row>
    <row r="1158" spans="1:25" ht="15" customHeight="1">
      <c r="A1158">
        <f>+'Libro Diario'!F554</f>
        <v>0</v>
      </c>
      <c r="B1158" s="144">
        <f>VALUE(IF(+'Libro Diario'!G554="","01/01/2025",+'Libro Diario'!G554))</f>
        <v>45658</v>
      </c>
      <c r="C1158">
        <f>IF(ISNUMBER(+IF(IFERROR(VALUE(MID('Libro Diario'!D554,1,4)),0)&lt;&gt;0,'Libro Diario'!D554,0))=FALSE,'Libro Diario'!D554,0)</f>
        <v>0</v>
      </c>
      <c r="D1158" s="145">
        <f>+'Libro Diario'!E554</f>
        <v>0</v>
      </c>
      <c r="E1158" s="139" t="s">
        <v>446</v>
      </c>
      <c r="F1158" t="str">
        <f t="shared" si="54"/>
        <v>Sin Mov.</v>
      </c>
      <c r="G1158" t="str">
        <f>IF(+'Libro Diario'!H554=0,"",+'Libro Diario'!H554)</f>
        <v/>
      </c>
      <c r="H1158" t="str">
        <f>IF(+'Libro Diario'!I554=0,"",+'Libro Diario'!I554)</f>
        <v/>
      </c>
      <c r="I1158" t="str">
        <f>+IF(Table3[[#This Row],[Tipo Movimiento]]="Estructura Balance y PyG","Excluir","Incluir")</f>
        <v>Incluir</v>
      </c>
      <c r="J1158" s="153">
        <f>+IF(Table3[[#This Row],[Sin cuenta]]="Con Mov.",(IF(Table3[[#This Row],[Movimiento]]="Debe",Table3[[#This Row],[Importe]],IF(Table3[[#This Row],[Movimiento]]="Haber",Table3[[#This Row],[Importe]]*-1,0))),0)</f>
        <v>0</v>
      </c>
      <c r="K1158" s="145" t="str">
        <f t="shared" si="55"/>
        <v/>
      </c>
      <c r="L1158" s="145">
        <f t="shared" si="56"/>
        <v>0</v>
      </c>
      <c r="M1158" t="str">
        <f>_xlfn.XLOOKUP(Table3[[#This Row],[Cuenta]],Estructura_Balance[Nombre Cuenta ()],Estructura_Balance[Grupo],"",0)</f>
        <v/>
      </c>
      <c r="N1158" t="str">
        <f>_xlfn.XLOOKUP(Table3[[#This Row],[Cuenta]],Estructura_Balance[Nombre Cuenta ()],Estructura_Balance[Nivel 1],"",0)</f>
        <v/>
      </c>
      <c r="O1158" t="str">
        <f>_xlfn.XLOOKUP(Table3[[#This Row],[Cuenta]],Estructura_Balance[Nombre Cuenta ()],Estructura_Balance[Nivel 2],"",0)</f>
        <v/>
      </c>
      <c r="P1158" t="str">
        <f>_xlfn.XLOOKUP(Table3[[#This Row],[Cuenta]],Estructura_Balance[Nombre Cuenta ()],Estructura_Balance[Nivel 3],"",0)</f>
        <v/>
      </c>
      <c r="Q1158" t="str">
        <f>_xlfn.XLOOKUP(Table3[[#This Row],[Cuenta]],Estructura_Balance[Nombre Cuenta ()],Estructura_Balance[Nivel 4],"",0)</f>
        <v/>
      </c>
      <c r="R1158" t="str">
        <f>_xlfn.XLOOKUP(Table3[[#This Row],[Cuenta]],Table8[Nombre Cuenta ()],Table8[Nivel 1],"",0)</f>
        <v/>
      </c>
      <c r="S1158" t="str">
        <f>_xlfn.XLOOKUP(Table3[[#This Row],[Cuenta]],Table8[Nombre Cuenta ()],Table8[Nivel 2],"",0)</f>
        <v/>
      </c>
      <c r="T1158" t="str">
        <f>_xlfn.XLOOKUP(Table3[[#This Row],[Cuenta]],Table8[Nombre Cuenta ()],Table8[Nivel 3],"",0)</f>
        <v/>
      </c>
      <c r="U1158">
        <v>1947</v>
      </c>
      <c r="V1158" t="str">
        <f>_xlfn.XLOOKUP(Table3[[#This Row],[Cuenta]],Estructura_Balance[Nombre Cuenta ()],Estructura_Balance[Niveles:2],"",0)</f>
        <v/>
      </c>
      <c r="W1158" t="str">
        <f>_xlfn.XLOOKUP(Table3[[#This Row],[Cuenta]],Estructura_Balance[Nombre Cuenta ()],Estructura_Balance[Niveles:3],"",0)</f>
        <v/>
      </c>
      <c r="X1158" t="str">
        <f>_xlfn.XLOOKUP(Table3[[#This Row],[Cuenta]],Estructura_Balance[Nombre Cuenta ()],Estructura_Balance[Grupos],"Grupo 1",0)</f>
        <v>Grupo 1</v>
      </c>
      <c r="Y1158" t="str">
        <f>+Table3[[#This Row],[BS_Nivel_1]]</f>
        <v/>
      </c>
    </row>
    <row r="1159" spans="1:25" ht="15" customHeight="1">
      <c r="A1159">
        <f>+'Libro Diario'!F555</f>
        <v>0</v>
      </c>
      <c r="B1159" s="144">
        <f>VALUE(IF(+'Libro Diario'!G555="","01/01/2025",+'Libro Diario'!G555))</f>
        <v>45658</v>
      </c>
      <c r="C1159">
        <f>IF(ISNUMBER(+IF(IFERROR(VALUE(MID('Libro Diario'!D555,1,4)),0)&lt;&gt;0,'Libro Diario'!D555,0))=FALSE,'Libro Diario'!D555,0)</f>
        <v>0</v>
      </c>
      <c r="D1159" s="145">
        <f>+'Libro Diario'!E555</f>
        <v>0</v>
      </c>
      <c r="E1159" s="139" t="s">
        <v>446</v>
      </c>
      <c r="F1159" t="str">
        <f t="shared" si="54"/>
        <v>Sin Mov.</v>
      </c>
      <c r="G1159" t="str">
        <f>IF(+'Libro Diario'!H555=0,"",+'Libro Diario'!H555)</f>
        <v/>
      </c>
      <c r="H1159" t="str">
        <f>IF(+'Libro Diario'!I555=0,"",+'Libro Diario'!I555)</f>
        <v/>
      </c>
      <c r="I1159" t="str">
        <f>+IF(Table3[[#This Row],[Tipo Movimiento]]="Estructura Balance y PyG","Excluir","Incluir")</f>
        <v>Incluir</v>
      </c>
      <c r="J1159" s="153">
        <f>+IF(Table3[[#This Row],[Sin cuenta]]="Con Mov.",(IF(Table3[[#This Row],[Movimiento]]="Debe",Table3[[#This Row],[Importe]],IF(Table3[[#This Row],[Movimiento]]="Haber",Table3[[#This Row],[Importe]]*-1,0))),0)</f>
        <v>0</v>
      </c>
      <c r="K1159" s="145" t="str">
        <f t="shared" si="55"/>
        <v/>
      </c>
      <c r="L1159" s="145">
        <f t="shared" si="56"/>
        <v>0</v>
      </c>
      <c r="M1159" t="str">
        <f>_xlfn.XLOOKUP(Table3[[#This Row],[Cuenta]],Estructura_Balance[Nombre Cuenta ()],Estructura_Balance[Grupo],"",0)</f>
        <v/>
      </c>
      <c r="N1159" t="str">
        <f>_xlfn.XLOOKUP(Table3[[#This Row],[Cuenta]],Estructura_Balance[Nombre Cuenta ()],Estructura_Balance[Nivel 1],"",0)</f>
        <v/>
      </c>
      <c r="O1159" t="str">
        <f>_xlfn.XLOOKUP(Table3[[#This Row],[Cuenta]],Estructura_Balance[Nombre Cuenta ()],Estructura_Balance[Nivel 2],"",0)</f>
        <v/>
      </c>
      <c r="P1159" t="str">
        <f>_xlfn.XLOOKUP(Table3[[#This Row],[Cuenta]],Estructura_Balance[Nombre Cuenta ()],Estructura_Balance[Nivel 3],"",0)</f>
        <v/>
      </c>
      <c r="Q1159" t="str">
        <f>_xlfn.XLOOKUP(Table3[[#This Row],[Cuenta]],Estructura_Balance[Nombre Cuenta ()],Estructura_Balance[Nivel 4],"",0)</f>
        <v/>
      </c>
      <c r="R1159" t="str">
        <f>_xlfn.XLOOKUP(Table3[[#This Row],[Cuenta]],Table8[Nombre Cuenta ()],Table8[Nivel 1],"",0)</f>
        <v/>
      </c>
      <c r="S1159" t="str">
        <f>_xlfn.XLOOKUP(Table3[[#This Row],[Cuenta]],Table8[Nombre Cuenta ()],Table8[Nivel 2],"",0)</f>
        <v/>
      </c>
      <c r="T1159" t="str">
        <f>_xlfn.XLOOKUP(Table3[[#This Row],[Cuenta]],Table8[Nombre Cuenta ()],Table8[Nivel 3],"",0)</f>
        <v/>
      </c>
      <c r="U1159">
        <v>1948</v>
      </c>
      <c r="V1159" t="str">
        <f>_xlfn.XLOOKUP(Table3[[#This Row],[Cuenta]],Estructura_Balance[Nombre Cuenta ()],Estructura_Balance[Niveles:2],"",0)</f>
        <v/>
      </c>
      <c r="W1159" t="str">
        <f>_xlfn.XLOOKUP(Table3[[#This Row],[Cuenta]],Estructura_Balance[Nombre Cuenta ()],Estructura_Balance[Niveles:3],"",0)</f>
        <v/>
      </c>
      <c r="X1159" t="str">
        <f>_xlfn.XLOOKUP(Table3[[#This Row],[Cuenta]],Estructura_Balance[Nombre Cuenta ()],Estructura_Balance[Grupos],"Grupo 1",0)</f>
        <v>Grupo 1</v>
      </c>
      <c r="Y1159" t="str">
        <f>+Table3[[#This Row],[BS_Nivel_1]]</f>
        <v/>
      </c>
    </row>
    <row r="1160" spans="1:25" ht="15" customHeight="1">
      <c r="A1160">
        <f>+'Libro Diario'!F556</f>
        <v>0</v>
      </c>
      <c r="B1160" s="144">
        <f>VALUE(IF(+'Libro Diario'!G556="","01/01/2025",+'Libro Diario'!G556))</f>
        <v>45658</v>
      </c>
      <c r="C1160">
        <f>IF(ISNUMBER(+IF(IFERROR(VALUE(MID('Libro Diario'!D556,1,4)),0)&lt;&gt;0,'Libro Diario'!D556,0))=FALSE,'Libro Diario'!D556,0)</f>
        <v>0</v>
      </c>
      <c r="D1160" s="145" t="str">
        <f>+'Libro Diario'!E556</f>
        <v>HABER</v>
      </c>
      <c r="E1160" s="139" t="s">
        <v>446</v>
      </c>
      <c r="F1160" t="str">
        <f t="shared" si="54"/>
        <v>Sin Mov.</v>
      </c>
      <c r="G1160" t="str">
        <f>IF(+'Libro Diario'!H556=0,"",+'Libro Diario'!H556)</f>
        <v/>
      </c>
      <c r="H1160" t="str">
        <f>IF(+'Libro Diario'!I556=0,"",+'Libro Diario'!I556)</f>
        <v/>
      </c>
      <c r="I1160" t="str">
        <f>+IF(Table3[[#This Row],[Tipo Movimiento]]="Estructura Balance y PyG","Excluir","Incluir")</f>
        <v>Incluir</v>
      </c>
      <c r="J1160" s="153">
        <f>+IF(Table3[[#This Row],[Sin cuenta]]="Con Mov.",(IF(Table3[[#This Row],[Movimiento]]="Debe",Table3[[#This Row],[Importe]],IF(Table3[[#This Row],[Movimiento]]="Haber",Table3[[#This Row],[Importe]]*-1,0))),0)</f>
        <v>0</v>
      </c>
      <c r="K1160" s="145" t="str">
        <f t="shared" si="55"/>
        <v/>
      </c>
      <c r="L1160" s="145" t="str">
        <f t="shared" si="56"/>
        <v>HABER</v>
      </c>
      <c r="M1160" t="str">
        <f>_xlfn.XLOOKUP(Table3[[#This Row],[Cuenta]],Estructura_Balance[Nombre Cuenta ()],Estructura_Balance[Grupo],"",0)</f>
        <v/>
      </c>
      <c r="N1160" t="str">
        <f>_xlfn.XLOOKUP(Table3[[#This Row],[Cuenta]],Estructura_Balance[Nombre Cuenta ()],Estructura_Balance[Nivel 1],"",0)</f>
        <v/>
      </c>
      <c r="O1160" t="str">
        <f>_xlfn.XLOOKUP(Table3[[#This Row],[Cuenta]],Estructura_Balance[Nombre Cuenta ()],Estructura_Balance[Nivel 2],"",0)</f>
        <v/>
      </c>
      <c r="P1160" t="str">
        <f>_xlfn.XLOOKUP(Table3[[#This Row],[Cuenta]],Estructura_Balance[Nombre Cuenta ()],Estructura_Balance[Nivel 3],"",0)</f>
        <v/>
      </c>
      <c r="Q1160" t="str">
        <f>_xlfn.XLOOKUP(Table3[[#This Row],[Cuenta]],Estructura_Balance[Nombre Cuenta ()],Estructura_Balance[Nivel 4],"",0)</f>
        <v/>
      </c>
      <c r="R1160" t="str">
        <f>_xlfn.XLOOKUP(Table3[[#This Row],[Cuenta]],Table8[Nombre Cuenta ()],Table8[Nivel 1],"",0)</f>
        <v/>
      </c>
      <c r="S1160" t="str">
        <f>_xlfn.XLOOKUP(Table3[[#This Row],[Cuenta]],Table8[Nombre Cuenta ()],Table8[Nivel 2],"",0)</f>
        <v/>
      </c>
      <c r="T1160" t="str">
        <f>_xlfn.XLOOKUP(Table3[[#This Row],[Cuenta]],Table8[Nombre Cuenta ()],Table8[Nivel 3],"",0)</f>
        <v/>
      </c>
      <c r="U1160">
        <v>1949</v>
      </c>
      <c r="V1160" t="str">
        <f>_xlfn.XLOOKUP(Table3[[#This Row],[Cuenta]],Estructura_Balance[Nombre Cuenta ()],Estructura_Balance[Niveles:2],"",0)</f>
        <v/>
      </c>
      <c r="W1160" t="str">
        <f>_xlfn.XLOOKUP(Table3[[#This Row],[Cuenta]],Estructura_Balance[Nombre Cuenta ()],Estructura_Balance[Niveles:3],"",0)</f>
        <v/>
      </c>
      <c r="X1160" t="str">
        <f>_xlfn.XLOOKUP(Table3[[#This Row],[Cuenta]],Estructura_Balance[Nombre Cuenta ()],Estructura_Balance[Grupos],"Grupo 1",0)</f>
        <v>Grupo 1</v>
      </c>
      <c r="Y1160" t="str">
        <f>+Table3[[#This Row],[BS_Nivel_1]]</f>
        <v/>
      </c>
    </row>
    <row r="1161" spans="1:25" ht="15" customHeight="1">
      <c r="A1161">
        <f>+'Libro Diario'!F557</f>
        <v>0</v>
      </c>
      <c r="B1161" s="144">
        <f>VALUE(IF(+'Libro Diario'!G557="","01/01/2025",+'Libro Diario'!G557))</f>
        <v>45658</v>
      </c>
      <c r="C1161">
        <f>IF(ISNUMBER(+IF(IFERROR(VALUE(MID('Libro Diario'!D557,1,4)),0)&lt;&gt;0,'Libro Diario'!D557,0))=FALSE,'Libro Diario'!D557,0)</f>
        <v>0</v>
      </c>
      <c r="D1161" s="145">
        <f>+'Libro Diario'!E557</f>
        <v>0</v>
      </c>
      <c r="E1161" s="139" t="s">
        <v>446</v>
      </c>
      <c r="F1161" t="str">
        <f t="shared" si="54"/>
        <v>Sin Mov.</v>
      </c>
      <c r="G1161" t="str">
        <f>IF(+'Libro Diario'!H557=0,"",+'Libro Diario'!H557)</f>
        <v/>
      </c>
      <c r="H1161" t="str">
        <f>IF(+'Libro Diario'!I557=0,"",+'Libro Diario'!I557)</f>
        <v/>
      </c>
      <c r="I1161" t="str">
        <f>+IF(Table3[[#This Row],[Tipo Movimiento]]="Estructura Balance y PyG","Excluir","Incluir")</f>
        <v>Incluir</v>
      </c>
      <c r="J1161" s="153">
        <f>+IF(Table3[[#This Row],[Sin cuenta]]="Con Mov.",(IF(Table3[[#This Row],[Movimiento]]="Debe",Table3[[#This Row],[Importe]],IF(Table3[[#This Row],[Movimiento]]="Haber",Table3[[#This Row],[Importe]]*-1,0))),0)</f>
        <v>0</v>
      </c>
      <c r="K1161" s="145" t="str">
        <f t="shared" si="55"/>
        <v/>
      </c>
      <c r="L1161" s="145">
        <f t="shared" si="56"/>
        <v>0</v>
      </c>
      <c r="M1161" t="str">
        <f>_xlfn.XLOOKUP(Table3[[#This Row],[Cuenta]],Estructura_Balance[Nombre Cuenta ()],Estructura_Balance[Grupo],"",0)</f>
        <v/>
      </c>
      <c r="N1161" t="str">
        <f>_xlfn.XLOOKUP(Table3[[#This Row],[Cuenta]],Estructura_Balance[Nombre Cuenta ()],Estructura_Balance[Nivel 1],"",0)</f>
        <v/>
      </c>
      <c r="O1161" t="str">
        <f>_xlfn.XLOOKUP(Table3[[#This Row],[Cuenta]],Estructura_Balance[Nombre Cuenta ()],Estructura_Balance[Nivel 2],"",0)</f>
        <v/>
      </c>
      <c r="P1161" t="str">
        <f>_xlfn.XLOOKUP(Table3[[#This Row],[Cuenta]],Estructura_Balance[Nombre Cuenta ()],Estructura_Balance[Nivel 3],"",0)</f>
        <v/>
      </c>
      <c r="Q1161" t="str">
        <f>_xlfn.XLOOKUP(Table3[[#This Row],[Cuenta]],Estructura_Balance[Nombre Cuenta ()],Estructura_Balance[Nivel 4],"",0)</f>
        <v/>
      </c>
      <c r="R1161" t="str">
        <f>_xlfn.XLOOKUP(Table3[[#This Row],[Cuenta]],Table8[Nombre Cuenta ()],Table8[Nivel 1],"",0)</f>
        <v/>
      </c>
      <c r="S1161" t="str">
        <f>_xlfn.XLOOKUP(Table3[[#This Row],[Cuenta]],Table8[Nombre Cuenta ()],Table8[Nivel 2],"",0)</f>
        <v/>
      </c>
      <c r="T1161" t="str">
        <f>_xlfn.XLOOKUP(Table3[[#This Row],[Cuenta]],Table8[Nombre Cuenta ()],Table8[Nivel 3],"",0)</f>
        <v/>
      </c>
      <c r="U1161">
        <v>1950</v>
      </c>
      <c r="V1161" t="str">
        <f>_xlfn.XLOOKUP(Table3[[#This Row],[Cuenta]],Estructura_Balance[Nombre Cuenta ()],Estructura_Balance[Niveles:2],"",0)</f>
        <v/>
      </c>
      <c r="W1161" t="str">
        <f>_xlfn.XLOOKUP(Table3[[#This Row],[Cuenta]],Estructura_Balance[Nombre Cuenta ()],Estructura_Balance[Niveles:3],"",0)</f>
        <v/>
      </c>
      <c r="X1161" t="str">
        <f>_xlfn.XLOOKUP(Table3[[#This Row],[Cuenta]],Estructura_Balance[Nombre Cuenta ()],Estructura_Balance[Grupos],"Grupo 1",0)</f>
        <v>Grupo 1</v>
      </c>
      <c r="Y1161" t="str">
        <f>+Table3[[#This Row],[BS_Nivel_1]]</f>
        <v/>
      </c>
    </row>
    <row r="1162" spans="1:25" ht="15" customHeight="1">
      <c r="A1162">
        <f>+'Libro Diario'!F559</f>
        <v>0</v>
      </c>
      <c r="B1162" s="144">
        <f>VALUE(IF(+'Libro Diario'!G559="","01/01/2025",+'Libro Diario'!G559))</f>
        <v>45658</v>
      </c>
      <c r="C1162">
        <f>IF(ISNUMBER(+IF(IFERROR(VALUE(MID('Libro Diario'!D559,1,4)),0)&lt;&gt;0,'Libro Diario'!D559,0))=FALSE,'Libro Diario'!D559,0)</f>
        <v>0</v>
      </c>
      <c r="D1162" s="145">
        <f>+'Libro Diario'!E559</f>
        <v>0</v>
      </c>
      <c r="E1162" s="139" t="s">
        <v>446</v>
      </c>
      <c r="F1162" t="str">
        <f t="shared" si="54"/>
        <v>Sin Mov.</v>
      </c>
      <c r="G1162" t="str">
        <f>IF(+'Libro Diario'!H559=0,"",+'Libro Diario'!H559)</f>
        <v/>
      </c>
      <c r="H1162" t="str">
        <f>IF(+'Libro Diario'!I559=0,"",+'Libro Diario'!I559)</f>
        <v/>
      </c>
      <c r="I1162" t="str">
        <f>+IF(Table3[[#This Row],[Tipo Movimiento]]="Estructura Balance y PyG","Excluir","Incluir")</f>
        <v>Incluir</v>
      </c>
      <c r="J1162" s="153">
        <f>+IF(Table3[[#This Row],[Sin cuenta]]="Con Mov.",(IF(Table3[[#This Row],[Movimiento]]="Debe",Table3[[#This Row],[Importe]],IF(Table3[[#This Row],[Movimiento]]="Haber",Table3[[#This Row],[Importe]]*-1,0))),0)</f>
        <v>0</v>
      </c>
      <c r="K1162" s="145" t="str">
        <f t="shared" si="55"/>
        <v/>
      </c>
      <c r="L1162" s="145">
        <f t="shared" si="56"/>
        <v>0</v>
      </c>
      <c r="M1162" t="str">
        <f>_xlfn.XLOOKUP(Table3[[#This Row],[Cuenta]],Estructura_Balance[Nombre Cuenta ()],Estructura_Balance[Grupo],"",0)</f>
        <v/>
      </c>
      <c r="N1162" t="str">
        <f>_xlfn.XLOOKUP(Table3[[#This Row],[Cuenta]],Estructura_Balance[Nombre Cuenta ()],Estructura_Balance[Nivel 1],"",0)</f>
        <v/>
      </c>
      <c r="O1162" t="str">
        <f>_xlfn.XLOOKUP(Table3[[#This Row],[Cuenta]],Estructura_Balance[Nombre Cuenta ()],Estructura_Balance[Nivel 2],"",0)</f>
        <v/>
      </c>
      <c r="P1162" t="str">
        <f>_xlfn.XLOOKUP(Table3[[#This Row],[Cuenta]],Estructura_Balance[Nombre Cuenta ()],Estructura_Balance[Nivel 3],"",0)</f>
        <v/>
      </c>
      <c r="Q1162" t="str">
        <f>_xlfn.XLOOKUP(Table3[[#This Row],[Cuenta]],Estructura_Balance[Nombre Cuenta ()],Estructura_Balance[Nivel 4],"",0)</f>
        <v/>
      </c>
      <c r="R1162" t="str">
        <f>_xlfn.XLOOKUP(Table3[[#This Row],[Cuenta]],Table8[Nombre Cuenta ()],Table8[Nivel 1],"",0)</f>
        <v/>
      </c>
      <c r="S1162" t="str">
        <f>_xlfn.XLOOKUP(Table3[[#This Row],[Cuenta]],Table8[Nombre Cuenta ()],Table8[Nivel 2],"",0)</f>
        <v/>
      </c>
      <c r="T1162" t="str">
        <f>_xlfn.XLOOKUP(Table3[[#This Row],[Cuenta]],Table8[Nombre Cuenta ()],Table8[Nivel 3],"",0)</f>
        <v/>
      </c>
      <c r="U1162">
        <v>1953</v>
      </c>
      <c r="V1162" t="str">
        <f>_xlfn.XLOOKUP(Table3[[#This Row],[Cuenta]],Estructura_Balance[Nombre Cuenta ()],Estructura_Balance[Niveles:2],"",0)</f>
        <v/>
      </c>
      <c r="W1162" t="str">
        <f>_xlfn.XLOOKUP(Table3[[#This Row],[Cuenta]],Estructura_Balance[Nombre Cuenta ()],Estructura_Balance[Niveles:3],"",0)</f>
        <v/>
      </c>
      <c r="X1162" t="str">
        <f>_xlfn.XLOOKUP(Table3[[#This Row],[Cuenta]],Estructura_Balance[Nombre Cuenta ()],Estructura_Balance[Grupos],"Grupo 1",0)</f>
        <v>Grupo 1</v>
      </c>
      <c r="Y1162" t="str">
        <f>+Table3[[#This Row],[BS_Nivel_1]]</f>
        <v/>
      </c>
    </row>
    <row r="1163" spans="1:25" ht="15" customHeight="1">
      <c r="A1163">
        <f>+'Libro Diario'!F560</f>
        <v>0</v>
      </c>
      <c r="B1163" s="144">
        <f>VALUE(IF(+'Libro Diario'!G560="","01/01/2025",+'Libro Diario'!G560))</f>
        <v>45658</v>
      </c>
      <c r="C1163">
        <f>IF(ISNUMBER(+IF(IFERROR(VALUE(MID('Libro Diario'!D560,1,4)),0)&lt;&gt;0,'Libro Diario'!D560,0))=FALSE,'Libro Diario'!D560,0)</f>
        <v>0</v>
      </c>
      <c r="D1163" s="145">
        <f>+'Libro Diario'!E560</f>
        <v>0</v>
      </c>
      <c r="E1163" s="139" t="s">
        <v>446</v>
      </c>
      <c r="F1163" t="str">
        <f t="shared" si="54"/>
        <v>Sin Mov.</v>
      </c>
      <c r="G1163" t="str">
        <f>IF(+'Libro Diario'!H560=0,"",+'Libro Diario'!H560)</f>
        <v/>
      </c>
      <c r="H1163" t="str">
        <f>IF(+'Libro Diario'!I560=0,"",+'Libro Diario'!I560)</f>
        <v/>
      </c>
      <c r="I1163" t="str">
        <f>+IF(Table3[[#This Row],[Tipo Movimiento]]="Estructura Balance y PyG","Excluir","Incluir")</f>
        <v>Incluir</v>
      </c>
      <c r="J1163" s="153">
        <f>+IF(Table3[[#This Row],[Sin cuenta]]="Con Mov.",(IF(Table3[[#This Row],[Movimiento]]="Debe",Table3[[#This Row],[Importe]],IF(Table3[[#This Row],[Movimiento]]="Haber",Table3[[#This Row],[Importe]]*-1,0))),0)</f>
        <v>0</v>
      </c>
      <c r="K1163" s="145" t="str">
        <f t="shared" si="55"/>
        <v/>
      </c>
      <c r="L1163" s="145">
        <f t="shared" si="56"/>
        <v>0</v>
      </c>
      <c r="M1163" t="str">
        <f>_xlfn.XLOOKUP(Table3[[#This Row],[Cuenta]],Estructura_Balance[Nombre Cuenta ()],Estructura_Balance[Grupo],"",0)</f>
        <v/>
      </c>
      <c r="N1163" t="str">
        <f>_xlfn.XLOOKUP(Table3[[#This Row],[Cuenta]],Estructura_Balance[Nombre Cuenta ()],Estructura_Balance[Nivel 1],"",0)</f>
        <v/>
      </c>
      <c r="O1163" t="str">
        <f>_xlfn.XLOOKUP(Table3[[#This Row],[Cuenta]],Estructura_Balance[Nombre Cuenta ()],Estructura_Balance[Nivel 2],"",0)</f>
        <v/>
      </c>
      <c r="P1163" t="str">
        <f>_xlfn.XLOOKUP(Table3[[#This Row],[Cuenta]],Estructura_Balance[Nombre Cuenta ()],Estructura_Balance[Nivel 3],"",0)</f>
        <v/>
      </c>
      <c r="Q1163" t="str">
        <f>_xlfn.XLOOKUP(Table3[[#This Row],[Cuenta]],Estructura_Balance[Nombre Cuenta ()],Estructura_Balance[Nivel 4],"",0)</f>
        <v/>
      </c>
      <c r="R1163" t="str">
        <f>_xlfn.XLOOKUP(Table3[[#This Row],[Cuenta]],Table8[Nombre Cuenta ()],Table8[Nivel 1],"",0)</f>
        <v/>
      </c>
      <c r="S1163" t="str">
        <f>_xlfn.XLOOKUP(Table3[[#This Row],[Cuenta]],Table8[Nombre Cuenta ()],Table8[Nivel 2],"",0)</f>
        <v/>
      </c>
      <c r="T1163" t="str">
        <f>_xlfn.XLOOKUP(Table3[[#This Row],[Cuenta]],Table8[Nombre Cuenta ()],Table8[Nivel 3],"",0)</f>
        <v/>
      </c>
      <c r="U1163">
        <v>1954</v>
      </c>
      <c r="V1163" t="str">
        <f>_xlfn.XLOOKUP(Table3[[#This Row],[Cuenta]],Estructura_Balance[Nombre Cuenta ()],Estructura_Balance[Niveles:2],"",0)</f>
        <v/>
      </c>
      <c r="W1163" t="str">
        <f>_xlfn.XLOOKUP(Table3[[#This Row],[Cuenta]],Estructura_Balance[Nombre Cuenta ()],Estructura_Balance[Niveles:3],"",0)</f>
        <v/>
      </c>
      <c r="X1163" t="str">
        <f>_xlfn.XLOOKUP(Table3[[#This Row],[Cuenta]],Estructura_Balance[Nombre Cuenta ()],Estructura_Balance[Grupos],"Grupo 1",0)</f>
        <v>Grupo 1</v>
      </c>
      <c r="Y1163" t="str">
        <f>+Table3[[#This Row],[BS_Nivel_1]]</f>
        <v/>
      </c>
    </row>
    <row r="1164" spans="1:25" ht="15" customHeight="1">
      <c r="A1164">
        <f>+'Libro Diario'!F561</f>
        <v>0</v>
      </c>
      <c r="B1164" s="144">
        <f>VALUE(IF(+'Libro Diario'!G561="","01/01/2025",+'Libro Diario'!G561))</f>
        <v>45658</v>
      </c>
      <c r="C1164">
        <f>IF(ISNUMBER(+IF(IFERROR(VALUE(MID('Libro Diario'!D561,1,4)),0)&lt;&gt;0,'Libro Diario'!D561,0))=FALSE,'Libro Diario'!D561,0)</f>
        <v>0</v>
      </c>
      <c r="D1164" s="145">
        <f>+'Libro Diario'!E561</f>
        <v>0</v>
      </c>
      <c r="E1164" s="139" t="s">
        <v>446</v>
      </c>
      <c r="F1164" t="str">
        <f t="shared" si="54"/>
        <v>Sin Mov.</v>
      </c>
      <c r="G1164" t="str">
        <f>IF(+'Libro Diario'!H561=0,"",+'Libro Diario'!H561)</f>
        <v/>
      </c>
      <c r="H1164" t="str">
        <f>IF(+'Libro Diario'!I561=0,"",+'Libro Diario'!I561)</f>
        <v/>
      </c>
      <c r="I1164" t="str">
        <f>+IF(Table3[[#This Row],[Tipo Movimiento]]="Estructura Balance y PyG","Excluir","Incluir")</f>
        <v>Incluir</v>
      </c>
      <c r="J1164" s="153">
        <f>+IF(Table3[[#This Row],[Sin cuenta]]="Con Mov.",(IF(Table3[[#This Row],[Movimiento]]="Debe",Table3[[#This Row],[Importe]],IF(Table3[[#This Row],[Movimiento]]="Haber",Table3[[#This Row],[Importe]]*-1,0))),0)</f>
        <v>0</v>
      </c>
      <c r="K1164" s="145" t="str">
        <f t="shared" si="55"/>
        <v/>
      </c>
      <c r="L1164" s="145">
        <f t="shared" si="56"/>
        <v>0</v>
      </c>
      <c r="M1164" t="str">
        <f>_xlfn.XLOOKUP(Table3[[#This Row],[Cuenta]],Estructura_Balance[Nombre Cuenta ()],Estructura_Balance[Grupo],"",0)</f>
        <v/>
      </c>
      <c r="N1164" t="str">
        <f>_xlfn.XLOOKUP(Table3[[#This Row],[Cuenta]],Estructura_Balance[Nombre Cuenta ()],Estructura_Balance[Nivel 1],"",0)</f>
        <v/>
      </c>
      <c r="O1164" t="str">
        <f>_xlfn.XLOOKUP(Table3[[#This Row],[Cuenta]],Estructura_Balance[Nombre Cuenta ()],Estructura_Balance[Nivel 2],"",0)</f>
        <v/>
      </c>
      <c r="P1164" t="str">
        <f>_xlfn.XLOOKUP(Table3[[#This Row],[Cuenta]],Estructura_Balance[Nombre Cuenta ()],Estructura_Balance[Nivel 3],"",0)</f>
        <v/>
      </c>
      <c r="Q1164" t="str">
        <f>_xlfn.XLOOKUP(Table3[[#This Row],[Cuenta]],Estructura_Balance[Nombre Cuenta ()],Estructura_Balance[Nivel 4],"",0)</f>
        <v/>
      </c>
      <c r="R1164" t="str">
        <f>_xlfn.XLOOKUP(Table3[[#This Row],[Cuenta]],Table8[Nombre Cuenta ()],Table8[Nivel 1],"",0)</f>
        <v/>
      </c>
      <c r="S1164" t="str">
        <f>_xlfn.XLOOKUP(Table3[[#This Row],[Cuenta]],Table8[Nombre Cuenta ()],Table8[Nivel 2],"",0)</f>
        <v/>
      </c>
      <c r="T1164" t="str">
        <f>_xlfn.XLOOKUP(Table3[[#This Row],[Cuenta]],Table8[Nombre Cuenta ()],Table8[Nivel 3],"",0)</f>
        <v/>
      </c>
      <c r="U1164">
        <v>1955</v>
      </c>
      <c r="V1164" t="str">
        <f>_xlfn.XLOOKUP(Table3[[#This Row],[Cuenta]],Estructura_Balance[Nombre Cuenta ()],Estructura_Balance[Niveles:2],"",0)</f>
        <v/>
      </c>
      <c r="W1164" t="str">
        <f>_xlfn.XLOOKUP(Table3[[#This Row],[Cuenta]],Estructura_Balance[Nombre Cuenta ()],Estructura_Balance[Niveles:3],"",0)</f>
        <v/>
      </c>
      <c r="X1164" t="str">
        <f>_xlfn.XLOOKUP(Table3[[#This Row],[Cuenta]],Estructura_Balance[Nombre Cuenta ()],Estructura_Balance[Grupos],"Grupo 1",0)</f>
        <v>Grupo 1</v>
      </c>
      <c r="Y1164" t="str">
        <f>+Table3[[#This Row],[BS_Nivel_1]]</f>
        <v/>
      </c>
    </row>
    <row r="1165" spans="1:25" ht="15" customHeight="1">
      <c r="A1165">
        <f>+'Libro Diario'!F562</f>
        <v>0</v>
      </c>
      <c r="B1165" s="144">
        <f>VALUE(IF(+'Libro Diario'!G562="","01/01/2025",+'Libro Diario'!G562))</f>
        <v>45658</v>
      </c>
      <c r="C1165">
        <f>IF(ISNUMBER(+IF(IFERROR(VALUE(MID('Libro Diario'!D562,1,4)),0)&lt;&gt;0,'Libro Diario'!D562,0))=FALSE,'Libro Diario'!D562,0)</f>
        <v>0</v>
      </c>
      <c r="D1165" s="145" t="str">
        <f>+'Libro Diario'!E562</f>
        <v>HABER</v>
      </c>
      <c r="E1165" s="139" t="s">
        <v>446</v>
      </c>
      <c r="F1165" t="str">
        <f t="shared" si="54"/>
        <v>Sin Mov.</v>
      </c>
      <c r="G1165" t="str">
        <f>IF(+'Libro Diario'!H562=0,"",+'Libro Diario'!H562)</f>
        <v/>
      </c>
      <c r="H1165" t="str">
        <f>IF(+'Libro Diario'!I562=0,"",+'Libro Diario'!I562)</f>
        <v/>
      </c>
      <c r="I1165" t="str">
        <f>+IF(Table3[[#This Row],[Tipo Movimiento]]="Estructura Balance y PyG","Excluir","Incluir")</f>
        <v>Incluir</v>
      </c>
      <c r="J1165" s="153">
        <f>+IF(Table3[[#This Row],[Sin cuenta]]="Con Mov.",(IF(Table3[[#This Row],[Movimiento]]="Debe",Table3[[#This Row],[Importe]],IF(Table3[[#This Row],[Movimiento]]="Haber",Table3[[#This Row],[Importe]]*-1,0))),0)</f>
        <v>0</v>
      </c>
      <c r="K1165" s="145" t="str">
        <f t="shared" si="55"/>
        <v/>
      </c>
      <c r="L1165" s="145" t="str">
        <f t="shared" si="56"/>
        <v>HABER</v>
      </c>
      <c r="M1165" t="str">
        <f>_xlfn.XLOOKUP(Table3[[#This Row],[Cuenta]],Estructura_Balance[Nombre Cuenta ()],Estructura_Balance[Grupo],"",0)</f>
        <v/>
      </c>
      <c r="N1165" t="str">
        <f>_xlfn.XLOOKUP(Table3[[#This Row],[Cuenta]],Estructura_Balance[Nombre Cuenta ()],Estructura_Balance[Nivel 1],"",0)</f>
        <v/>
      </c>
      <c r="O1165" t="str">
        <f>_xlfn.XLOOKUP(Table3[[#This Row],[Cuenta]],Estructura_Balance[Nombre Cuenta ()],Estructura_Balance[Nivel 2],"",0)</f>
        <v/>
      </c>
      <c r="P1165" t="str">
        <f>_xlfn.XLOOKUP(Table3[[#This Row],[Cuenta]],Estructura_Balance[Nombre Cuenta ()],Estructura_Balance[Nivel 3],"",0)</f>
        <v/>
      </c>
      <c r="Q1165" t="str">
        <f>_xlfn.XLOOKUP(Table3[[#This Row],[Cuenta]],Estructura_Balance[Nombre Cuenta ()],Estructura_Balance[Nivel 4],"",0)</f>
        <v/>
      </c>
      <c r="R1165" t="str">
        <f>_xlfn.XLOOKUP(Table3[[#This Row],[Cuenta]],Table8[Nombre Cuenta ()],Table8[Nivel 1],"",0)</f>
        <v/>
      </c>
      <c r="S1165" t="str">
        <f>_xlfn.XLOOKUP(Table3[[#This Row],[Cuenta]],Table8[Nombre Cuenta ()],Table8[Nivel 2],"",0)</f>
        <v/>
      </c>
      <c r="T1165" t="str">
        <f>_xlfn.XLOOKUP(Table3[[#This Row],[Cuenta]],Table8[Nombre Cuenta ()],Table8[Nivel 3],"",0)</f>
        <v/>
      </c>
      <c r="U1165">
        <v>1956</v>
      </c>
      <c r="V1165" t="str">
        <f>_xlfn.XLOOKUP(Table3[[#This Row],[Cuenta]],Estructura_Balance[Nombre Cuenta ()],Estructura_Balance[Niveles:2],"",0)</f>
        <v/>
      </c>
      <c r="W1165" t="str">
        <f>_xlfn.XLOOKUP(Table3[[#This Row],[Cuenta]],Estructura_Balance[Nombre Cuenta ()],Estructura_Balance[Niveles:3],"",0)</f>
        <v/>
      </c>
      <c r="X1165" t="str">
        <f>_xlfn.XLOOKUP(Table3[[#This Row],[Cuenta]],Estructura_Balance[Nombre Cuenta ()],Estructura_Balance[Grupos],"Grupo 1",0)</f>
        <v>Grupo 1</v>
      </c>
      <c r="Y1165" t="str">
        <f>+Table3[[#This Row],[BS_Nivel_1]]</f>
        <v/>
      </c>
    </row>
    <row r="1166" spans="1:25" ht="15" customHeight="1">
      <c r="A1166">
        <f>+'Libro Diario'!F563</f>
        <v>0</v>
      </c>
      <c r="B1166" s="144">
        <f>VALUE(IF(+'Libro Diario'!G563="","01/01/2025",+'Libro Diario'!G563))</f>
        <v>45658</v>
      </c>
      <c r="C1166">
        <f>IF(ISNUMBER(+IF(IFERROR(VALUE(MID('Libro Diario'!D563,1,4)),0)&lt;&gt;0,'Libro Diario'!D563,0))=FALSE,'Libro Diario'!D563,0)</f>
        <v>0</v>
      </c>
      <c r="D1166" s="145">
        <f>+'Libro Diario'!E563</f>
        <v>0</v>
      </c>
      <c r="E1166" s="139" t="s">
        <v>446</v>
      </c>
      <c r="F1166" t="str">
        <f t="shared" si="54"/>
        <v>Sin Mov.</v>
      </c>
      <c r="G1166" t="str">
        <f>IF(+'Libro Diario'!H563=0,"",+'Libro Diario'!H563)</f>
        <v/>
      </c>
      <c r="H1166" t="str">
        <f>IF(+'Libro Diario'!I563=0,"",+'Libro Diario'!I563)</f>
        <v/>
      </c>
      <c r="I1166" t="str">
        <f>+IF(Table3[[#This Row],[Tipo Movimiento]]="Estructura Balance y PyG","Excluir","Incluir")</f>
        <v>Incluir</v>
      </c>
      <c r="J1166" s="153">
        <f>+IF(Table3[[#This Row],[Sin cuenta]]="Con Mov.",(IF(Table3[[#This Row],[Movimiento]]="Debe",Table3[[#This Row],[Importe]],IF(Table3[[#This Row],[Movimiento]]="Haber",Table3[[#This Row],[Importe]]*-1,0))),0)</f>
        <v>0</v>
      </c>
      <c r="K1166" s="145" t="str">
        <f t="shared" si="55"/>
        <v/>
      </c>
      <c r="L1166" s="145">
        <f t="shared" si="56"/>
        <v>0</v>
      </c>
      <c r="M1166" t="str">
        <f>_xlfn.XLOOKUP(Table3[[#This Row],[Cuenta]],Estructura_Balance[Nombre Cuenta ()],Estructura_Balance[Grupo],"",0)</f>
        <v/>
      </c>
      <c r="N1166" t="str">
        <f>_xlfn.XLOOKUP(Table3[[#This Row],[Cuenta]],Estructura_Balance[Nombre Cuenta ()],Estructura_Balance[Nivel 1],"",0)</f>
        <v/>
      </c>
      <c r="O1166" t="str">
        <f>_xlfn.XLOOKUP(Table3[[#This Row],[Cuenta]],Estructura_Balance[Nombre Cuenta ()],Estructura_Balance[Nivel 2],"",0)</f>
        <v/>
      </c>
      <c r="P1166" t="str">
        <f>_xlfn.XLOOKUP(Table3[[#This Row],[Cuenta]],Estructura_Balance[Nombre Cuenta ()],Estructura_Balance[Nivel 3],"",0)</f>
        <v/>
      </c>
      <c r="Q1166" t="str">
        <f>_xlfn.XLOOKUP(Table3[[#This Row],[Cuenta]],Estructura_Balance[Nombre Cuenta ()],Estructura_Balance[Nivel 4],"",0)</f>
        <v/>
      </c>
      <c r="R1166" t="str">
        <f>_xlfn.XLOOKUP(Table3[[#This Row],[Cuenta]],Table8[Nombre Cuenta ()],Table8[Nivel 1],"",0)</f>
        <v/>
      </c>
      <c r="S1166" t="str">
        <f>_xlfn.XLOOKUP(Table3[[#This Row],[Cuenta]],Table8[Nombre Cuenta ()],Table8[Nivel 2],"",0)</f>
        <v/>
      </c>
      <c r="T1166" t="str">
        <f>_xlfn.XLOOKUP(Table3[[#This Row],[Cuenta]],Table8[Nombre Cuenta ()],Table8[Nivel 3],"",0)</f>
        <v/>
      </c>
      <c r="U1166">
        <v>1957</v>
      </c>
      <c r="V1166" t="str">
        <f>_xlfn.XLOOKUP(Table3[[#This Row],[Cuenta]],Estructura_Balance[Nombre Cuenta ()],Estructura_Balance[Niveles:2],"",0)</f>
        <v/>
      </c>
      <c r="W1166" t="str">
        <f>_xlfn.XLOOKUP(Table3[[#This Row],[Cuenta]],Estructura_Balance[Nombre Cuenta ()],Estructura_Balance[Niveles:3],"",0)</f>
        <v/>
      </c>
      <c r="X1166" t="str">
        <f>_xlfn.XLOOKUP(Table3[[#This Row],[Cuenta]],Estructura_Balance[Nombre Cuenta ()],Estructura_Balance[Grupos],"Grupo 1",0)</f>
        <v>Grupo 1</v>
      </c>
      <c r="Y1166" t="str">
        <f>+Table3[[#This Row],[BS_Nivel_1]]</f>
        <v/>
      </c>
    </row>
    <row r="1167" spans="1:25" ht="15" customHeight="1">
      <c r="A1167">
        <f>+'Libro Diario'!F587</f>
        <v>0</v>
      </c>
      <c r="B1167" s="144">
        <f>VALUE(IF(+'Libro Diario'!G587="","01/01/2025",+'Libro Diario'!G587))</f>
        <v>45658</v>
      </c>
      <c r="C1167">
        <f>IF(ISNUMBER(+IF(IFERROR(VALUE(MID('Libro Diario'!D587,1,4)),0)&lt;&gt;0,'Libro Diario'!D587,0))=FALSE,'Libro Diario'!D587,0)</f>
        <v>0</v>
      </c>
      <c r="D1167" s="145">
        <f>+'Libro Diario'!E587</f>
        <v>0</v>
      </c>
      <c r="E1167" s="139" t="s">
        <v>446</v>
      </c>
      <c r="F1167" t="str">
        <f t="shared" si="54"/>
        <v>Sin Mov.</v>
      </c>
      <c r="G1167" t="str">
        <f>IF(+'Libro Diario'!H587=0,"",+'Libro Diario'!H587)</f>
        <v/>
      </c>
      <c r="H1167" t="str">
        <f>IF(+'Libro Diario'!I587=0,"",+'Libro Diario'!I587)</f>
        <v/>
      </c>
      <c r="I1167" t="str">
        <f>+IF(Table3[[#This Row],[Tipo Movimiento]]="Estructura Balance y PyG","Excluir","Incluir")</f>
        <v>Incluir</v>
      </c>
      <c r="J1167" s="153">
        <f>+IF(Table3[[#This Row],[Sin cuenta]]="Con Mov.",(IF(Table3[[#This Row],[Movimiento]]="Debe",Table3[[#This Row],[Importe]],IF(Table3[[#This Row],[Movimiento]]="Haber",Table3[[#This Row],[Importe]]*-1,0))),0)</f>
        <v>0</v>
      </c>
      <c r="K1167" s="145" t="str">
        <f t="shared" si="55"/>
        <v/>
      </c>
      <c r="L1167" s="145">
        <f t="shared" si="56"/>
        <v>0</v>
      </c>
      <c r="M1167" t="str">
        <f>_xlfn.XLOOKUP(Table3[[#This Row],[Cuenta]],Estructura_Balance[Nombre Cuenta ()],Estructura_Balance[Grupo],"",0)</f>
        <v/>
      </c>
      <c r="N1167" t="str">
        <f>_xlfn.XLOOKUP(Table3[[#This Row],[Cuenta]],Estructura_Balance[Nombre Cuenta ()],Estructura_Balance[Nivel 1],"",0)</f>
        <v/>
      </c>
      <c r="O1167" t="str">
        <f>_xlfn.XLOOKUP(Table3[[#This Row],[Cuenta]],Estructura_Balance[Nombre Cuenta ()],Estructura_Balance[Nivel 2],"",0)</f>
        <v/>
      </c>
      <c r="P1167" t="str">
        <f>_xlfn.XLOOKUP(Table3[[#This Row],[Cuenta]],Estructura_Balance[Nombre Cuenta ()],Estructura_Balance[Nivel 3],"",0)</f>
        <v/>
      </c>
      <c r="Q1167" t="str">
        <f>_xlfn.XLOOKUP(Table3[[#This Row],[Cuenta]],Estructura_Balance[Nombre Cuenta ()],Estructura_Balance[Nivel 4],"",0)</f>
        <v/>
      </c>
      <c r="R1167" t="str">
        <f>_xlfn.XLOOKUP(Table3[[#This Row],[Cuenta]],Table8[Nombre Cuenta ()],Table8[Nivel 1],"",0)</f>
        <v/>
      </c>
      <c r="S1167" t="str">
        <f>_xlfn.XLOOKUP(Table3[[#This Row],[Cuenta]],Table8[Nombre Cuenta ()],Table8[Nivel 2],"",0)</f>
        <v/>
      </c>
      <c r="T1167" t="str">
        <f>_xlfn.XLOOKUP(Table3[[#This Row],[Cuenta]],Table8[Nombre Cuenta ()],Table8[Nivel 3],"",0)</f>
        <v/>
      </c>
      <c r="U1167">
        <v>1981</v>
      </c>
      <c r="V1167" t="str">
        <f>_xlfn.XLOOKUP(Table3[[#This Row],[Cuenta]],Estructura_Balance[Nombre Cuenta ()],Estructura_Balance[Niveles:2],"",0)</f>
        <v/>
      </c>
      <c r="W1167" t="str">
        <f>_xlfn.XLOOKUP(Table3[[#This Row],[Cuenta]],Estructura_Balance[Nombre Cuenta ()],Estructura_Balance[Niveles:3],"",0)</f>
        <v/>
      </c>
      <c r="X1167" t="str">
        <f>_xlfn.XLOOKUP(Table3[[#This Row],[Cuenta]],Estructura_Balance[Nombre Cuenta ()],Estructura_Balance[Grupos],"Grupo 1",0)</f>
        <v>Grupo 1</v>
      </c>
      <c r="Y1167" t="str">
        <f>+Table3[[#This Row],[BS_Nivel_1]]</f>
        <v/>
      </c>
    </row>
    <row r="1168" spans="1:25" ht="15" customHeight="1">
      <c r="A1168">
        <f>+'Libro Diario'!F588</f>
        <v>0</v>
      </c>
      <c r="B1168" s="144">
        <f>VALUE(IF(+'Libro Diario'!G588="","01/01/2025",+'Libro Diario'!G588))</f>
        <v>45658</v>
      </c>
      <c r="C1168">
        <f>IF(ISNUMBER(+IF(IFERROR(VALUE(MID('Libro Diario'!D588,1,4)),0)&lt;&gt;0,'Libro Diario'!D588,0))=FALSE,'Libro Diario'!D588,0)</f>
        <v>0</v>
      </c>
      <c r="D1168" s="145">
        <f>+'Libro Diario'!E588</f>
        <v>0</v>
      </c>
      <c r="E1168" s="139" t="s">
        <v>446</v>
      </c>
      <c r="F1168" t="str">
        <f t="shared" si="54"/>
        <v>Sin Mov.</v>
      </c>
      <c r="G1168" t="str">
        <f>IF(+'Libro Diario'!H588=0,"",+'Libro Diario'!H588)</f>
        <v/>
      </c>
      <c r="H1168" t="str">
        <f>IF(+'Libro Diario'!I588=0,"",+'Libro Diario'!I588)</f>
        <v/>
      </c>
      <c r="I1168" t="str">
        <f>+IF(Table3[[#This Row],[Tipo Movimiento]]="Estructura Balance y PyG","Excluir","Incluir")</f>
        <v>Incluir</v>
      </c>
      <c r="J1168" s="153">
        <f>+IF(Table3[[#This Row],[Sin cuenta]]="Con Mov.",(IF(Table3[[#This Row],[Movimiento]]="Debe",Table3[[#This Row],[Importe]],IF(Table3[[#This Row],[Movimiento]]="Haber",Table3[[#This Row],[Importe]]*-1,0))),0)</f>
        <v>0</v>
      </c>
      <c r="K1168" s="145" t="str">
        <f t="shared" si="55"/>
        <v/>
      </c>
      <c r="L1168" s="145">
        <f t="shared" si="56"/>
        <v>0</v>
      </c>
      <c r="M1168" t="str">
        <f>_xlfn.XLOOKUP(Table3[[#This Row],[Cuenta]],Estructura_Balance[Nombre Cuenta ()],Estructura_Balance[Grupo],"",0)</f>
        <v/>
      </c>
      <c r="N1168" t="str">
        <f>_xlfn.XLOOKUP(Table3[[#This Row],[Cuenta]],Estructura_Balance[Nombre Cuenta ()],Estructura_Balance[Nivel 1],"",0)</f>
        <v/>
      </c>
      <c r="O1168" t="str">
        <f>_xlfn.XLOOKUP(Table3[[#This Row],[Cuenta]],Estructura_Balance[Nombre Cuenta ()],Estructura_Balance[Nivel 2],"",0)</f>
        <v/>
      </c>
      <c r="P1168" t="str">
        <f>_xlfn.XLOOKUP(Table3[[#This Row],[Cuenta]],Estructura_Balance[Nombre Cuenta ()],Estructura_Balance[Nivel 3],"",0)</f>
        <v/>
      </c>
      <c r="Q1168" t="str">
        <f>_xlfn.XLOOKUP(Table3[[#This Row],[Cuenta]],Estructura_Balance[Nombre Cuenta ()],Estructura_Balance[Nivel 4],"",0)</f>
        <v/>
      </c>
      <c r="R1168" t="str">
        <f>_xlfn.XLOOKUP(Table3[[#This Row],[Cuenta]],Table8[Nombre Cuenta ()],Table8[Nivel 1],"",0)</f>
        <v/>
      </c>
      <c r="S1168" t="str">
        <f>_xlfn.XLOOKUP(Table3[[#This Row],[Cuenta]],Table8[Nombre Cuenta ()],Table8[Nivel 2],"",0)</f>
        <v/>
      </c>
      <c r="T1168" t="str">
        <f>_xlfn.XLOOKUP(Table3[[#This Row],[Cuenta]],Table8[Nombre Cuenta ()],Table8[Nivel 3],"",0)</f>
        <v/>
      </c>
      <c r="U1168">
        <v>1982</v>
      </c>
      <c r="V1168" t="str">
        <f>_xlfn.XLOOKUP(Table3[[#This Row],[Cuenta]],Estructura_Balance[Nombre Cuenta ()],Estructura_Balance[Niveles:2],"",0)</f>
        <v/>
      </c>
      <c r="W1168" t="str">
        <f>_xlfn.XLOOKUP(Table3[[#This Row],[Cuenta]],Estructura_Balance[Nombre Cuenta ()],Estructura_Balance[Niveles:3],"",0)</f>
        <v/>
      </c>
      <c r="X1168" t="str">
        <f>_xlfn.XLOOKUP(Table3[[#This Row],[Cuenta]],Estructura_Balance[Nombre Cuenta ()],Estructura_Balance[Grupos],"Grupo 1",0)</f>
        <v>Grupo 1</v>
      </c>
      <c r="Y1168" t="str">
        <f>+Table3[[#This Row],[BS_Nivel_1]]</f>
        <v/>
      </c>
    </row>
    <row r="1169" spans="1:25" ht="15" customHeight="1">
      <c r="A1169">
        <f>+'Libro Diario'!F589</f>
        <v>0</v>
      </c>
      <c r="B1169" s="144">
        <f>VALUE(IF(+'Libro Diario'!G589="","01/01/2025",+'Libro Diario'!G589))</f>
        <v>45658</v>
      </c>
      <c r="C1169">
        <f>IF(ISNUMBER(+IF(IFERROR(VALUE(MID('Libro Diario'!D589,1,4)),0)&lt;&gt;0,'Libro Diario'!D589,0))=FALSE,'Libro Diario'!D589,0)</f>
        <v>0</v>
      </c>
      <c r="D1169" s="145">
        <f>+'Libro Diario'!E589</f>
        <v>0</v>
      </c>
      <c r="E1169" s="139" t="s">
        <v>446</v>
      </c>
      <c r="F1169" t="str">
        <f t="shared" si="54"/>
        <v>Sin Mov.</v>
      </c>
      <c r="G1169" t="str">
        <f>IF(+'Libro Diario'!H589=0,"",+'Libro Diario'!H589)</f>
        <v/>
      </c>
      <c r="H1169" t="str">
        <f>IF(+'Libro Diario'!I589=0,"",+'Libro Diario'!I589)</f>
        <v/>
      </c>
      <c r="I1169" t="str">
        <f>+IF(Table3[[#This Row],[Tipo Movimiento]]="Estructura Balance y PyG","Excluir","Incluir")</f>
        <v>Incluir</v>
      </c>
      <c r="J1169" s="153">
        <f>+IF(Table3[[#This Row],[Sin cuenta]]="Con Mov.",(IF(Table3[[#This Row],[Movimiento]]="Debe",Table3[[#This Row],[Importe]],IF(Table3[[#This Row],[Movimiento]]="Haber",Table3[[#This Row],[Importe]]*-1,0))),0)</f>
        <v>0</v>
      </c>
      <c r="K1169" s="145" t="str">
        <f t="shared" si="55"/>
        <v/>
      </c>
      <c r="L1169" s="145">
        <f t="shared" si="56"/>
        <v>0</v>
      </c>
      <c r="M1169" t="str">
        <f>_xlfn.XLOOKUP(Table3[[#This Row],[Cuenta]],Estructura_Balance[Nombre Cuenta ()],Estructura_Balance[Grupo],"",0)</f>
        <v/>
      </c>
      <c r="N1169" t="str">
        <f>_xlfn.XLOOKUP(Table3[[#This Row],[Cuenta]],Estructura_Balance[Nombre Cuenta ()],Estructura_Balance[Nivel 1],"",0)</f>
        <v/>
      </c>
      <c r="O1169" t="str">
        <f>_xlfn.XLOOKUP(Table3[[#This Row],[Cuenta]],Estructura_Balance[Nombre Cuenta ()],Estructura_Balance[Nivel 2],"",0)</f>
        <v/>
      </c>
      <c r="P1169" t="str">
        <f>_xlfn.XLOOKUP(Table3[[#This Row],[Cuenta]],Estructura_Balance[Nombre Cuenta ()],Estructura_Balance[Nivel 3],"",0)</f>
        <v/>
      </c>
      <c r="Q1169" t="str">
        <f>_xlfn.XLOOKUP(Table3[[#This Row],[Cuenta]],Estructura_Balance[Nombre Cuenta ()],Estructura_Balance[Nivel 4],"",0)</f>
        <v/>
      </c>
      <c r="R1169" t="str">
        <f>_xlfn.XLOOKUP(Table3[[#This Row],[Cuenta]],Table8[Nombre Cuenta ()],Table8[Nivel 1],"",0)</f>
        <v/>
      </c>
      <c r="S1169" t="str">
        <f>_xlfn.XLOOKUP(Table3[[#This Row],[Cuenta]],Table8[Nombre Cuenta ()],Table8[Nivel 2],"",0)</f>
        <v/>
      </c>
      <c r="T1169" t="str">
        <f>_xlfn.XLOOKUP(Table3[[#This Row],[Cuenta]],Table8[Nombre Cuenta ()],Table8[Nivel 3],"",0)</f>
        <v/>
      </c>
      <c r="U1169">
        <v>1983</v>
      </c>
      <c r="V1169" t="str">
        <f>_xlfn.XLOOKUP(Table3[[#This Row],[Cuenta]],Estructura_Balance[Nombre Cuenta ()],Estructura_Balance[Niveles:2],"",0)</f>
        <v/>
      </c>
      <c r="W1169" t="str">
        <f>_xlfn.XLOOKUP(Table3[[#This Row],[Cuenta]],Estructura_Balance[Nombre Cuenta ()],Estructura_Balance[Niveles:3],"",0)</f>
        <v/>
      </c>
      <c r="X1169" t="str">
        <f>_xlfn.XLOOKUP(Table3[[#This Row],[Cuenta]],Estructura_Balance[Nombre Cuenta ()],Estructura_Balance[Grupos],"Grupo 1",0)</f>
        <v>Grupo 1</v>
      </c>
      <c r="Y1169" t="str">
        <f>+Table3[[#This Row],[BS_Nivel_1]]</f>
        <v/>
      </c>
    </row>
    <row r="1170" spans="1:25" ht="15" customHeight="1">
      <c r="A1170">
        <f>+'Libro Diario'!F590</f>
        <v>0</v>
      </c>
      <c r="B1170" s="144">
        <f>VALUE(IF(+'Libro Diario'!G590="","01/01/2025",+'Libro Diario'!G590))</f>
        <v>45658</v>
      </c>
      <c r="C1170">
        <f>IF(ISNUMBER(+IF(IFERROR(VALUE(MID('Libro Diario'!D590,1,4)),0)&lt;&gt;0,'Libro Diario'!D590,0))=FALSE,'Libro Diario'!D590,0)</f>
        <v>0</v>
      </c>
      <c r="D1170" s="145" t="str">
        <f>+'Libro Diario'!E590</f>
        <v>HABER</v>
      </c>
      <c r="E1170" s="139" t="s">
        <v>446</v>
      </c>
      <c r="F1170" t="str">
        <f t="shared" si="54"/>
        <v>Sin Mov.</v>
      </c>
      <c r="G1170" t="str">
        <f>IF(+'Libro Diario'!H590=0,"",+'Libro Diario'!H590)</f>
        <v/>
      </c>
      <c r="H1170" t="str">
        <f>IF(+'Libro Diario'!I590=0,"",+'Libro Diario'!I590)</f>
        <v/>
      </c>
      <c r="I1170" t="str">
        <f>+IF(Table3[[#This Row],[Tipo Movimiento]]="Estructura Balance y PyG","Excluir","Incluir")</f>
        <v>Incluir</v>
      </c>
      <c r="J1170" s="153">
        <f>+IF(Table3[[#This Row],[Sin cuenta]]="Con Mov.",(IF(Table3[[#This Row],[Movimiento]]="Debe",Table3[[#This Row],[Importe]],IF(Table3[[#This Row],[Movimiento]]="Haber",Table3[[#This Row],[Importe]]*-1,0))),0)</f>
        <v>0</v>
      </c>
      <c r="K1170" s="145" t="str">
        <f t="shared" si="55"/>
        <v/>
      </c>
      <c r="L1170" s="145" t="str">
        <f t="shared" si="56"/>
        <v>HABER</v>
      </c>
      <c r="M1170" t="str">
        <f>_xlfn.XLOOKUP(Table3[[#This Row],[Cuenta]],Estructura_Balance[Nombre Cuenta ()],Estructura_Balance[Grupo],"",0)</f>
        <v/>
      </c>
      <c r="N1170" t="str">
        <f>_xlfn.XLOOKUP(Table3[[#This Row],[Cuenta]],Estructura_Balance[Nombre Cuenta ()],Estructura_Balance[Nivel 1],"",0)</f>
        <v/>
      </c>
      <c r="O1170" t="str">
        <f>_xlfn.XLOOKUP(Table3[[#This Row],[Cuenta]],Estructura_Balance[Nombre Cuenta ()],Estructura_Balance[Nivel 2],"",0)</f>
        <v/>
      </c>
      <c r="P1170" t="str">
        <f>_xlfn.XLOOKUP(Table3[[#This Row],[Cuenta]],Estructura_Balance[Nombre Cuenta ()],Estructura_Balance[Nivel 3],"",0)</f>
        <v/>
      </c>
      <c r="Q1170" t="str">
        <f>_xlfn.XLOOKUP(Table3[[#This Row],[Cuenta]],Estructura_Balance[Nombre Cuenta ()],Estructura_Balance[Nivel 4],"",0)</f>
        <v/>
      </c>
      <c r="R1170" t="str">
        <f>_xlfn.XLOOKUP(Table3[[#This Row],[Cuenta]],Table8[Nombre Cuenta ()],Table8[Nivel 1],"",0)</f>
        <v/>
      </c>
      <c r="S1170" t="str">
        <f>_xlfn.XLOOKUP(Table3[[#This Row],[Cuenta]],Table8[Nombre Cuenta ()],Table8[Nivel 2],"",0)</f>
        <v/>
      </c>
      <c r="T1170" t="str">
        <f>_xlfn.XLOOKUP(Table3[[#This Row],[Cuenta]],Table8[Nombre Cuenta ()],Table8[Nivel 3],"",0)</f>
        <v/>
      </c>
      <c r="U1170">
        <v>1984</v>
      </c>
      <c r="V1170" t="str">
        <f>_xlfn.XLOOKUP(Table3[[#This Row],[Cuenta]],Estructura_Balance[Nombre Cuenta ()],Estructura_Balance[Niveles:2],"",0)</f>
        <v/>
      </c>
      <c r="W1170" t="str">
        <f>_xlfn.XLOOKUP(Table3[[#This Row],[Cuenta]],Estructura_Balance[Nombre Cuenta ()],Estructura_Balance[Niveles:3],"",0)</f>
        <v/>
      </c>
      <c r="X1170" t="str">
        <f>_xlfn.XLOOKUP(Table3[[#This Row],[Cuenta]],Estructura_Balance[Nombre Cuenta ()],Estructura_Balance[Grupos],"Grupo 1",0)</f>
        <v>Grupo 1</v>
      </c>
      <c r="Y1170" t="str">
        <f>+Table3[[#This Row],[BS_Nivel_1]]</f>
        <v/>
      </c>
    </row>
    <row r="1171" spans="1:25" ht="15" customHeight="1">
      <c r="A1171">
        <f>+'Libro Diario'!F591</f>
        <v>0</v>
      </c>
      <c r="B1171" s="144">
        <f>VALUE(IF(+'Libro Diario'!G591="","01/01/2025",+'Libro Diario'!G591))</f>
        <v>45658</v>
      </c>
      <c r="C1171">
        <f>IF(ISNUMBER(+IF(IFERROR(VALUE(MID('Libro Diario'!D591,1,4)),0)&lt;&gt;0,'Libro Diario'!D591,0))=FALSE,'Libro Diario'!D591,0)</f>
        <v>0</v>
      </c>
      <c r="D1171" s="145">
        <f>+'Libro Diario'!E591</f>
        <v>0</v>
      </c>
      <c r="E1171" s="139" t="s">
        <v>446</v>
      </c>
      <c r="F1171" t="str">
        <f t="shared" si="54"/>
        <v>Sin Mov.</v>
      </c>
      <c r="G1171" t="str">
        <f>IF(+'Libro Diario'!H591=0,"",+'Libro Diario'!H591)</f>
        <v/>
      </c>
      <c r="H1171" t="str">
        <f>IF(+'Libro Diario'!I591=0,"",+'Libro Diario'!I591)</f>
        <v/>
      </c>
      <c r="I1171" t="str">
        <f>+IF(Table3[[#This Row],[Tipo Movimiento]]="Estructura Balance y PyG","Excluir","Incluir")</f>
        <v>Incluir</v>
      </c>
      <c r="J1171" s="153">
        <f>+IF(Table3[[#This Row],[Sin cuenta]]="Con Mov.",(IF(Table3[[#This Row],[Movimiento]]="Debe",Table3[[#This Row],[Importe]],IF(Table3[[#This Row],[Movimiento]]="Haber",Table3[[#This Row],[Importe]]*-1,0))),0)</f>
        <v>0</v>
      </c>
      <c r="K1171" s="145" t="str">
        <f t="shared" si="55"/>
        <v/>
      </c>
      <c r="L1171" s="145">
        <f t="shared" si="56"/>
        <v>0</v>
      </c>
      <c r="M1171" t="str">
        <f>_xlfn.XLOOKUP(Table3[[#This Row],[Cuenta]],Estructura_Balance[Nombre Cuenta ()],Estructura_Balance[Grupo],"",0)</f>
        <v/>
      </c>
      <c r="N1171" t="str">
        <f>_xlfn.XLOOKUP(Table3[[#This Row],[Cuenta]],Estructura_Balance[Nombre Cuenta ()],Estructura_Balance[Nivel 1],"",0)</f>
        <v/>
      </c>
      <c r="O1171" t="str">
        <f>_xlfn.XLOOKUP(Table3[[#This Row],[Cuenta]],Estructura_Balance[Nombre Cuenta ()],Estructura_Balance[Nivel 2],"",0)</f>
        <v/>
      </c>
      <c r="P1171" t="str">
        <f>_xlfn.XLOOKUP(Table3[[#This Row],[Cuenta]],Estructura_Balance[Nombre Cuenta ()],Estructura_Balance[Nivel 3],"",0)</f>
        <v/>
      </c>
      <c r="Q1171" t="str">
        <f>_xlfn.XLOOKUP(Table3[[#This Row],[Cuenta]],Estructura_Balance[Nombre Cuenta ()],Estructura_Balance[Nivel 4],"",0)</f>
        <v/>
      </c>
      <c r="R1171" t="str">
        <f>_xlfn.XLOOKUP(Table3[[#This Row],[Cuenta]],Table8[Nombre Cuenta ()],Table8[Nivel 1],"",0)</f>
        <v/>
      </c>
      <c r="S1171" t="str">
        <f>_xlfn.XLOOKUP(Table3[[#This Row],[Cuenta]],Table8[Nombre Cuenta ()],Table8[Nivel 2],"",0)</f>
        <v/>
      </c>
      <c r="T1171" t="str">
        <f>_xlfn.XLOOKUP(Table3[[#This Row],[Cuenta]],Table8[Nombre Cuenta ()],Table8[Nivel 3],"",0)</f>
        <v/>
      </c>
      <c r="U1171">
        <v>1985</v>
      </c>
      <c r="V1171" t="str">
        <f>_xlfn.XLOOKUP(Table3[[#This Row],[Cuenta]],Estructura_Balance[Nombre Cuenta ()],Estructura_Balance[Niveles:2],"",0)</f>
        <v/>
      </c>
      <c r="W1171" t="str">
        <f>_xlfn.XLOOKUP(Table3[[#This Row],[Cuenta]],Estructura_Balance[Nombre Cuenta ()],Estructura_Balance[Niveles:3],"",0)</f>
        <v/>
      </c>
      <c r="X1171" t="str">
        <f>_xlfn.XLOOKUP(Table3[[#This Row],[Cuenta]],Estructura_Balance[Nombre Cuenta ()],Estructura_Balance[Grupos],"Grupo 1",0)</f>
        <v>Grupo 1</v>
      </c>
      <c r="Y1171" t="str">
        <f>+Table3[[#This Row],[BS_Nivel_1]]</f>
        <v/>
      </c>
    </row>
    <row r="1172" spans="1:25" ht="15" customHeight="1">
      <c r="A1172">
        <f>+'Libro Diario'!F592</f>
        <v>67</v>
      </c>
      <c r="B1172" s="144">
        <f>VALUE(IF(+'Libro Diario'!G592="","01/01/2025",+'Libro Diario'!G592))</f>
        <v>0</v>
      </c>
      <c r="C1172">
        <f>IF(ISNUMBER(+IF(IFERROR(VALUE(MID('Libro Diario'!D592,1,4)),0)&lt;&gt;0,'Libro Diario'!D592,0))=FALSE,'Libro Diario'!D592,0)</f>
        <v>0</v>
      </c>
      <c r="D1172" s="145">
        <f>+'Libro Diario'!E592</f>
        <v>0</v>
      </c>
      <c r="E1172" s="139" t="s">
        <v>446</v>
      </c>
      <c r="F1172" t="str">
        <f t="shared" si="54"/>
        <v>Sin Mov.</v>
      </c>
      <c r="G1172" t="str">
        <f>IF(+'Libro Diario'!H592=0,"",+'Libro Diario'!H592)</f>
        <v>Operaciones del Ejercicio</v>
      </c>
      <c r="H1172" t="str">
        <f>IF(+'Libro Diario'!I592=0,"",+'Libro Diario'!I592)</f>
        <v/>
      </c>
      <c r="I1172" t="str">
        <f>+IF(Table3[[#This Row],[Tipo Movimiento]]="Estructura Balance y PyG","Excluir","Incluir")</f>
        <v>Incluir</v>
      </c>
      <c r="J1172" s="153">
        <f>+IF(Table3[[#This Row],[Sin cuenta]]="Con Mov.",(IF(Table3[[#This Row],[Movimiento]]="Debe",Table3[[#This Row],[Importe]],IF(Table3[[#This Row],[Movimiento]]="Haber",Table3[[#This Row],[Importe]]*-1,0))),0)</f>
        <v>0</v>
      </c>
      <c r="K1172" s="145" t="str">
        <f t="shared" si="55"/>
        <v/>
      </c>
      <c r="L1172" s="145">
        <f t="shared" si="56"/>
        <v>0</v>
      </c>
      <c r="M1172" t="str">
        <f>_xlfn.XLOOKUP(Table3[[#This Row],[Cuenta]],Estructura_Balance[Nombre Cuenta ()],Estructura_Balance[Grupo],"",0)</f>
        <v/>
      </c>
      <c r="N1172" t="str">
        <f>_xlfn.XLOOKUP(Table3[[#This Row],[Cuenta]],Estructura_Balance[Nombre Cuenta ()],Estructura_Balance[Nivel 1],"",0)</f>
        <v/>
      </c>
      <c r="O1172" t="str">
        <f>_xlfn.XLOOKUP(Table3[[#This Row],[Cuenta]],Estructura_Balance[Nombre Cuenta ()],Estructura_Balance[Nivel 2],"",0)</f>
        <v/>
      </c>
      <c r="P1172" t="str">
        <f>_xlfn.XLOOKUP(Table3[[#This Row],[Cuenta]],Estructura_Balance[Nombre Cuenta ()],Estructura_Balance[Nivel 3],"",0)</f>
        <v/>
      </c>
      <c r="Q1172" t="str">
        <f>_xlfn.XLOOKUP(Table3[[#This Row],[Cuenta]],Estructura_Balance[Nombre Cuenta ()],Estructura_Balance[Nivel 4],"",0)</f>
        <v/>
      </c>
      <c r="R1172" t="str">
        <f>_xlfn.XLOOKUP(Table3[[#This Row],[Cuenta]],Table8[Nombre Cuenta ()],Table8[Nivel 1],"",0)</f>
        <v/>
      </c>
      <c r="S1172" t="str">
        <f>_xlfn.XLOOKUP(Table3[[#This Row],[Cuenta]],Table8[Nombre Cuenta ()],Table8[Nivel 2],"",0)</f>
        <v/>
      </c>
      <c r="T1172" t="str">
        <f>_xlfn.XLOOKUP(Table3[[#This Row],[Cuenta]],Table8[Nombre Cuenta ()],Table8[Nivel 3],"",0)</f>
        <v/>
      </c>
      <c r="U1172">
        <v>1986</v>
      </c>
      <c r="V1172" t="str">
        <f>_xlfn.XLOOKUP(Table3[[#This Row],[Cuenta]],Estructura_Balance[Nombre Cuenta ()],Estructura_Balance[Niveles:2],"",0)</f>
        <v/>
      </c>
      <c r="W1172" t="str">
        <f>_xlfn.XLOOKUP(Table3[[#This Row],[Cuenta]],Estructura_Balance[Nombre Cuenta ()],Estructura_Balance[Niveles:3],"",0)</f>
        <v/>
      </c>
      <c r="X1172" t="str">
        <f>_xlfn.XLOOKUP(Table3[[#This Row],[Cuenta]],Estructura_Balance[Nombre Cuenta ()],Estructura_Balance[Grupos],"Grupo 1",0)</f>
        <v>Grupo 1</v>
      </c>
      <c r="Y1172" t="str">
        <f>+Table3[[#This Row],[BS_Nivel_1]]</f>
        <v/>
      </c>
    </row>
    <row r="1173" spans="1:25" ht="15" customHeight="1">
      <c r="A1173">
        <f>+'Libro Diario'!F593</f>
        <v>67</v>
      </c>
      <c r="B1173" s="144">
        <f>VALUE(IF(+'Libro Diario'!G593="","01/01/2025",+'Libro Diario'!G593))</f>
        <v>0</v>
      </c>
      <c r="C1173">
        <f>IF(ISNUMBER(+IF(IFERROR(VALUE(MID('Libro Diario'!D593,1,4)),0)&lt;&gt;0,'Libro Diario'!D593,0))=FALSE,'Libro Diario'!D593,0)</f>
        <v>0</v>
      </c>
      <c r="D1173" s="145">
        <f>+'Libro Diario'!E593</f>
        <v>0</v>
      </c>
      <c r="E1173" s="139" t="s">
        <v>446</v>
      </c>
      <c r="F1173" t="str">
        <f t="shared" si="54"/>
        <v>Sin Mov.</v>
      </c>
      <c r="G1173" t="str">
        <f>IF(+'Libro Diario'!H593=0,"",+'Libro Diario'!H593)</f>
        <v>Operaciones del Ejercicio</v>
      </c>
      <c r="H1173" t="str">
        <f>IF(+'Libro Diario'!I593=0,"",+'Libro Diario'!I593)</f>
        <v/>
      </c>
      <c r="I1173" t="str">
        <f>+IF(Table3[[#This Row],[Tipo Movimiento]]="Estructura Balance y PyG","Excluir","Incluir")</f>
        <v>Incluir</v>
      </c>
      <c r="J1173" s="153">
        <f>+IF(Table3[[#This Row],[Sin cuenta]]="Con Mov.",(IF(Table3[[#This Row],[Movimiento]]="Debe",Table3[[#This Row],[Importe]],IF(Table3[[#This Row],[Movimiento]]="Haber",Table3[[#This Row],[Importe]]*-1,0))),0)</f>
        <v>0</v>
      </c>
      <c r="K1173" s="145" t="str">
        <f t="shared" si="55"/>
        <v/>
      </c>
      <c r="L1173" s="145">
        <f t="shared" si="56"/>
        <v>0</v>
      </c>
      <c r="M1173" t="str">
        <f>_xlfn.XLOOKUP(Table3[[#This Row],[Cuenta]],Estructura_Balance[Nombre Cuenta ()],Estructura_Balance[Grupo],"",0)</f>
        <v/>
      </c>
      <c r="N1173" t="str">
        <f>_xlfn.XLOOKUP(Table3[[#This Row],[Cuenta]],Estructura_Balance[Nombre Cuenta ()],Estructura_Balance[Nivel 1],"",0)</f>
        <v/>
      </c>
      <c r="O1173" t="str">
        <f>_xlfn.XLOOKUP(Table3[[#This Row],[Cuenta]],Estructura_Balance[Nombre Cuenta ()],Estructura_Balance[Nivel 2],"",0)</f>
        <v/>
      </c>
      <c r="P1173" t="str">
        <f>_xlfn.XLOOKUP(Table3[[#This Row],[Cuenta]],Estructura_Balance[Nombre Cuenta ()],Estructura_Balance[Nivel 3],"",0)</f>
        <v/>
      </c>
      <c r="Q1173" t="str">
        <f>_xlfn.XLOOKUP(Table3[[#This Row],[Cuenta]],Estructura_Balance[Nombre Cuenta ()],Estructura_Balance[Nivel 4],"",0)</f>
        <v/>
      </c>
      <c r="R1173" t="str">
        <f>_xlfn.XLOOKUP(Table3[[#This Row],[Cuenta]],Table8[Nombre Cuenta ()],Table8[Nivel 1],"",0)</f>
        <v/>
      </c>
      <c r="S1173" t="str">
        <f>_xlfn.XLOOKUP(Table3[[#This Row],[Cuenta]],Table8[Nombre Cuenta ()],Table8[Nivel 2],"",0)</f>
        <v/>
      </c>
      <c r="T1173" t="str">
        <f>_xlfn.XLOOKUP(Table3[[#This Row],[Cuenta]],Table8[Nombre Cuenta ()],Table8[Nivel 3],"",0)</f>
        <v/>
      </c>
      <c r="U1173">
        <v>1987</v>
      </c>
      <c r="V1173" t="str">
        <f>_xlfn.XLOOKUP(Table3[[#This Row],[Cuenta]],Estructura_Balance[Nombre Cuenta ()],Estructura_Balance[Niveles:2],"",0)</f>
        <v/>
      </c>
      <c r="W1173" t="str">
        <f>_xlfn.XLOOKUP(Table3[[#This Row],[Cuenta]],Estructura_Balance[Nombre Cuenta ()],Estructura_Balance[Niveles:3],"",0)</f>
        <v/>
      </c>
      <c r="X1173" t="str">
        <f>_xlfn.XLOOKUP(Table3[[#This Row],[Cuenta]],Estructura_Balance[Nombre Cuenta ()],Estructura_Balance[Grupos],"Grupo 1",0)</f>
        <v>Grupo 1</v>
      </c>
      <c r="Y1173" t="str">
        <f>+Table3[[#This Row],[BS_Nivel_1]]</f>
        <v/>
      </c>
    </row>
    <row r="1174" spans="1:25" ht="15" customHeight="1">
      <c r="A1174">
        <f>+'Libro Diario'!F594</f>
        <v>0</v>
      </c>
      <c r="B1174" s="144">
        <f>VALUE(IF(+'Libro Diario'!G594="","01/01/2025",+'Libro Diario'!G594))</f>
        <v>45658</v>
      </c>
      <c r="C1174">
        <f>IF(ISNUMBER(+IF(IFERROR(VALUE(MID('Libro Diario'!D594,1,4)),0)&lt;&gt;0,'Libro Diario'!D594,0))=FALSE,'Libro Diario'!D594,0)</f>
        <v>0</v>
      </c>
      <c r="D1174" s="145">
        <f>+'Libro Diario'!E594</f>
        <v>0</v>
      </c>
      <c r="E1174" s="139" t="s">
        <v>446</v>
      </c>
      <c r="F1174" t="str">
        <f t="shared" si="54"/>
        <v>Sin Mov.</v>
      </c>
      <c r="G1174" t="str">
        <f>IF(+'Libro Diario'!H594=0,"",+'Libro Diario'!H594)</f>
        <v/>
      </c>
      <c r="H1174" t="str">
        <f>IF(+'Libro Diario'!I594=0,"",+'Libro Diario'!I594)</f>
        <v/>
      </c>
      <c r="I1174" t="str">
        <f>+IF(Table3[[#This Row],[Tipo Movimiento]]="Estructura Balance y PyG","Excluir","Incluir")</f>
        <v>Incluir</v>
      </c>
      <c r="J1174" s="153">
        <f>+IF(Table3[[#This Row],[Sin cuenta]]="Con Mov.",(IF(Table3[[#This Row],[Movimiento]]="Debe",Table3[[#This Row],[Importe]],IF(Table3[[#This Row],[Movimiento]]="Haber",Table3[[#This Row],[Importe]]*-1,0))),0)</f>
        <v>0</v>
      </c>
      <c r="K1174" s="145" t="str">
        <f t="shared" si="55"/>
        <v/>
      </c>
      <c r="L1174" s="145">
        <f t="shared" si="56"/>
        <v>0</v>
      </c>
      <c r="M1174" t="str">
        <f>_xlfn.XLOOKUP(Table3[[#This Row],[Cuenta]],Estructura_Balance[Nombre Cuenta ()],Estructura_Balance[Grupo],"",0)</f>
        <v/>
      </c>
      <c r="N1174" t="str">
        <f>_xlfn.XLOOKUP(Table3[[#This Row],[Cuenta]],Estructura_Balance[Nombre Cuenta ()],Estructura_Balance[Nivel 1],"",0)</f>
        <v/>
      </c>
      <c r="O1174" t="str">
        <f>_xlfn.XLOOKUP(Table3[[#This Row],[Cuenta]],Estructura_Balance[Nombre Cuenta ()],Estructura_Balance[Nivel 2],"",0)</f>
        <v/>
      </c>
      <c r="P1174" t="str">
        <f>_xlfn.XLOOKUP(Table3[[#This Row],[Cuenta]],Estructura_Balance[Nombre Cuenta ()],Estructura_Balance[Nivel 3],"",0)</f>
        <v/>
      </c>
      <c r="Q1174" t="str">
        <f>_xlfn.XLOOKUP(Table3[[#This Row],[Cuenta]],Estructura_Balance[Nombre Cuenta ()],Estructura_Balance[Nivel 4],"",0)</f>
        <v/>
      </c>
      <c r="R1174" t="str">
        <f>_xlfn.XLOOKUP(Table3[[#This Row],[Cuenta]],Table8[Nombre Cuenta ()],Table8[Nivel 1],"",0)</f>
        <v/>
      </c>
      <c r="S1174" t="str">
        <f>_xlfn.XLOOKUP(Table3[[#This Row],[Cuenta]],Table8[Nombre Cuenta ()],Table8[Nivel 2],"",0)</f>
        <v/>
      </c>
      <c r="T1174" t="str">
        <f>_xlfn.XLOOKUP(Table3[[#This Row],[Cuenta]],Table8[Nombre Cuenta ()],Table8[Nivel 3],"",0)</f>
        <v/>
      </c>
      <c r="U1174">
        <v>1988</v>
      </c>
      <c r="V1174" t="str">
        <f>_xlfn.XLOOKUP(Table3[[#This Row],[Cuenta]],Estructura_Balance[Nombre Cuenta ()],Estructura_Balance[Niveles:2],"",0)</f>
        <v/>
      </c>
      <c r="W1174" t="str">
        <f>_xlfn.XLOOKUP(Table3[[#This Row],[Cuenta]],Estructura_Balance[Nombre Cuenta ()],Estructura_Balance[Niveles:3],"",0)</f>
        <v/>
      </c>
      <c r="X1174" t="str">
        <f>_xlfn.XLOOKUP(Table3[[#This Row],[Cuenta]],Estructura_Balance[Nombre Cuenta ()],Estructura_Balance[Grupos],"Grupo 1",0)</f>
        <v>Grupo 1</v>
      </c>
      <c r="Y1174" t="str">
        <f>+Table3[[#This Row],[BS_Nivel_1]]</f>
        <v/>
      </c>
    </row>
    <row r="1175" spans="1:25" ht="15" customHeight="1">
      <c r="A1175">
        <f>+'Libro Diario'!F595</f>
        <v>0</v>
      </c>
      <c r="B1175" s="144">
        <f>VALUE(IF(+'Libro Diario'!G595="","01/01/2025",+'Libro Diario'!G595))</f>
        <v>45658</v>
      </c>
      <c r="C1175">
        <f>IF(ISNUMBER(+IF(IFERROR(VALUE(MID('Libro Diario'!D595,1,4)),0)&lt;&gt;0,'Libro Diario'!D595,0))=FALSE,'Libro Diario'!D595,0)</f>
        <v>0</v>
      </c>
      <c r="D1175" s="145">
        <f>+'Libro Diario'!E595</f>
        <v>0</v>
      </c>
      <c r="E1175" s="139" t="s">
        <v>446</v>
      </c>
      <c r="F1175" t="str">
        <f t="shared" si="54"/>
        <v>Sin Mov.</v>
      </c>
      <c r="G1175" t="str">
        <f>IF(+'Libro Diario'!H595=0,"",+'Libro Diario'!H595)</f>
        <v/>
      </c>
      <c r="H1175" t="str">
        <f>IF(+'Libro Diario'!I595=0,"",+'Libro Diario'!I595)</f>
        <v/>
      </c>
      <c r="I1175" t="str">
        <f>+IF(Table3[[#This Row],[Tipo Movimiento]]="Estructura Balance y PyG","Excluir","Incluir")</f>
        <v>Incluir</v>
      </c>
      <c r="J1175" s="153">
        <f>+IF(Table3[[#This Row],[Sin cuenta]]="Con Mov.",(IF(Table3[[#This Row],[Movimiento]]="Debe",Table3[[#This Row],[Importe]],IF(Table3[[#This Row],[Movimiento]]="Haber",Table3[[#This Row],[Importe]]*-1,0))),0)</f>
        <v>0</v>
      </c>
      <c r="K1175" s="145" t="str">
        <f t="shared" si="55"/>
        <v/>
      </c>
      <c r="L1175" s="145">
        <f t="shared" si="56"/>
        <v>0</v>
      </c>
      <c r="M1175" t="str">
        <f>_xlfn.XLOOKUP(Table3[[#This Row],[Cuenta]],Estructura_Balance[Nombre Cuenta ()],Estructura_Balance[Grupo],"",0)</f>
        <v/>
      </c>
      <c r="N1175" t="str">
        <f>_xlfn.XLOOKUP(Table3[[#This Row],[Cuenta]],Estructura_Balance[Nombre Cuenta ()],Estructura_Balance[Nivel 1],"",0)</f>
        <v/>
      </c>
      <c r="O1175" t="str">
        <f>_xlfn.XLOOKUP(Table3[[#This Row],[Cuenta]],Estructura_Balance[Nombre Cuenta ()],Estructura_Balance[Nivel 2],"",0)</f>
        <v/>
      </c>
      <c r="P1175" t="str">
        <f>_xlfn.XLOOKUP(Table3[[#This Row],[Cuenta]],Estructura_Balance[Nombre Cuenta ()],Estructura_Balance[Nivel 3],"",0)</f>
        <v/>
      </c>
      <c r="Q1175" t="str">
        <f>_xlfn.XLOOKUP(Table3[[#This Row],[Cuenta]],Estructura_Balance[Nombre Cuenta ()],Estructura_Balance[Nivel 4],"",0)</f>
        <v/>
      </c>
      <c r="R1175" t="str">
        <f>_xlfn.XLOOKUP(Table3[[#This Row],[Cuenta]],Table8[Nombre Cuenta ()],Table8[Nivel 1],"",0)</f>
        <v/>
      </c>
      <c r="S1175" t="str">
        <f>_xlfn.XLOOKUP(Table3[[#This Row],[Cuenta]],Table8[Nombre Cuenta ()],Table8[Nivel 2],"",0)</f>
        <v/>
      </c>
      <c r="T1175" t="str">
        <f>_xlfn.XLOOKUP(Table3[[#This Row],[Cuenta]],Table8[Nombre Cuenta ()],Table8[Nivel 3],"",0)</f>
        <v/>
      </c>
      <c r="U1175">
        <v>1989</v>
      </c>
      <c r="V1175" t="str">
        <f>_xlfn.XLOOKUP(Table3[[#This Row],[Cuenta]],Estructura_Balance[Nombre Cuenta ()],Estructura_Balance[Niveles:2],"",0)</f>
        <v/>
      </c>
      <c r="W1175" t="str">
        <f>_xlfn.XLOOKUP(Table3[[#This Row],[Cuenta]],Estructura_Balance[Nombre Cuenta ()],Estructura_Balance[Niveles:3],"",0)</f>
        <v/>
      </c>
      <c r="X1175" t="str">
        <f>_xlfn.XLOOKUP(Table3[[#This Row],[Cuenta]],Estructura_Balance[Nombre Cuenta ()],Estructura_Balance[Grupos],"Grupo 1",0)</f>
        <v>Grupo 1</v>
      </c>
      <c r="Y1175" t="str">
        <f>+Table3[[#This Row],[BS_Nivel_1]]</f>
        <v/>
      </c>
    </row>
    <row r="1176" spans="1:25" ht="15" customHeight="1">
      <c r="A1176">
        <f>+'Libro Diario'!F596</f>
        <v>0</v>
      </c>
      <c r="B1176" s="144">
        <f>VALUE(IF(+'Libro Diario'!G596="","01/01/2025",+'Libro Diario'!G596))</f>
        <v>45658</v>
      </c>
      <c r="C1176">
        <f>IF(ISNUMBER(+IF(IFERROR(VALUE(MID('Libro Diario'!D596,1,4)),0)&lt;&gt;0,'Libro Diario'!D596,0))=FALSE,'Libro Diario'!D596,0)</f>
        <v>0</v>
      </c>
      <c r="D1176" s="145">
        <f>+'Libro Diario'!E596</f>
        <v>0</v>
      </c>
      <c r="E1176" s="139" t="s">
        <v>446</v>
      </c>
      <c r="F1176" t="str">
        <f t="shared" si="54"/>
        <v>Sin Mov.</v>
      </c>
      <c r="G1176" t="str">
        <f>IF(+'Libro Diario'!H596=0,"",+'Libro Diario'!H596)</f>
        <v/>
      </c>
      <c r="H1176" t="str">
        <f>IF(+'Libro Diario'!I596=0,"",+'Libro Diario'!I596)</f>
        <v/>
      </c>
      <c r="I1176" t="str">
        <f>+IF(Table3[[#This Row],[Tipo Movimiento]]="Estructura Balance y PyG","Excluir","Incluir")</f>
        <v>Incluir</v>
      </c>
      <c r="J1176" s="153">
        <f>+IF(Table3[[#This Row],[Sin cuenta]]="Con Mov.",(IF(Table3[[#This Row],[Movimiento]]="Debe",Table3[[#This Row],[Importe]],IF(Table3[[#This Row],[Movimiento]]="Haber",Table3[[#This Row],[Importe]]*-1,0))),0)</f>
        <v>0</v>
      </c>
      <c r="K1176" s="145" t="str">
        <f t="shared" si="55"/>
        <v/>
      </c>
      <c r="L1176" s="145">
        <f t="shared" si="56"/>
        <v>0</v>
      </c>
      <c r="M1176" t="str">
        <f>_xlfn.XLOOKUP(Table3[[#This Row],[Cuenta]],Estructura_Balance[Nombre Cuenta ()],Estructura_Balance[Grupo],"",0)</f>
        <v/>
      </c>
      <c r="N1176" t="str">
        <f>_xlfn.XLOOKUP(Table3[[#This Row],[Cuenta]],Estructura_Balance[Nombre Cuenta ()],Estructura_Balance[Nivel 1],"",0)</f>
        <v/>
      </c>
      <c r="O1176" t="str">
        <f>_xlfn.XLOOKUP(Table3[[#This Row],[Cuenta]],Estructura_Balance[Nombre Cuenta ()],Estructura_Balance[Nivel 2],"",0)</f>
        <v/>
      </c>
      <c r="P1176" t="str">
        <f>_xlfn.XLOOKUP(Table3[[#This Row],[Cuenta]],Estructura_Balance[Nombre Cuenta ()],Estructura_Balance[Nivel 3],"",0)</f>
        <v/>
      </c>
      <c r="Q1176" t="str">
        <f>_xlfn.XLOOKUP(Table3[[#This Row],[Cuenta]],Estructura_Balance[Nombre Cuenta ()],Estructura_Balance[Nivel 4],"",0)</f>
        <v/>
      </c>
      <c r="R1176" t="str">
        <f>_xlfn.XLOOKUP(Table3[[#This Row],[Cuenta]],Table8[Nombre Cuenta ()],Table8[Nivel 1],"",0)</f>
        <v/>
      </c>
      <c r="S1176" t="str">
        <f>_xlfn.XLOOKUP(Table3[[#This Row],[Cuenta]],Table8[Nombre Cuenta ()],Table8[Nivel 2],"",0)</f>
        <v/>
      </c>
      <c r="T1176" t="str">
        <f>_xlfn.XLOOKUP(Table3[[#This Row],[Cuenta]],Table8[Nombre Cuenta ()],Table8[Nivel 3],"",0)</f>
        <v/>
      </c>
      <c r="U1176">
        <v>1990</v>
      </c>
      <c r="V1176" t="str">
        <f>_xlfn.XLOOKUP(Table3[[#This Row],[Cuenta]],Estructura_Balance[Nombre Cuenta ()],Estructura_Balance[Niveles:2],"",0)</f>
        <v/>
      </c>
      <c r="W1176" t="str">
        <f>_xlfn.XLOOKUP(Table3[[#This Row],[Cuenta]],Estructura_Balance[Nombre Cuenta ()],Estructura_Balance[Niveles:3],"",0)</f>
        <v/>
      </c>
      <c r="X1176" t="str">
        <f>_xlfn.XLOOKUP(Table3[[#This Row],[Cuenta]],Estructura_Balance[Nombre Cuenta ()],Estructura_Balance[Grupos],"Grupo 1",0)</f>
        <v>Grupo 1</v>
      </c>
      <c r="Y1176" t="str">
        <f>+Table3[[#This Row],[BS_Nivel_1]]</f>
        <v/>
      </c>
    </row>
    <row r="1177" spans="1:25" ht="15" customHeight="1">
      <c r="A1177">
        <f>+'Libro Diario'!F597</f>
        <v>0</v>
      </c>
      <c r="B1177" s="144">
        <f>VALUE(IF(+'Libro Diario'!G597="","01/01/2025",+'Libro Diario'!G597))</f>
        <v>45658</v>
      </c>
      <c r="C1177">
        <f>IF(ISNUMBER(+IF(IFERROR(VALUE(MID('Libro Diario'!D597,1,4)),0)&lt;&gt;0,'Libro Diario'!D597,0))=FALSE,'Libro Diario'!D597,0)</f>
        <v>0</v>
      </c>
      <c r="D1177" s="145" t="str">
        <f>+'Libro Diario'!E597</f>
        <v>HABER</v>
      </c>
      <c r="E1177" s="139" t="s">
        <v>446</v>
      </c>
      <c r="F1177" t="str">
        <f t="shared" si="54"/>
        <v>Sin Mov.</v>
      </c>
      <c r="G1177" t="str">
        <f>IF(+'Libro Diario'!H597=0,"",+'Libro Diario'!H597)</f>
        <v/>
      </c>
      <c r="H1177" t="str">
        <f>IF(+'Libro Diario'!I597=0,"",+'Libro Diario'!I597)</f>
        <v/>
      </c>
      <c r="I1177" t="str">
        <f>+IF(Table3[[#This Row],[Tipo Movimiento]]="Estructura Balance y PyG","Excluir","Incluir")</f>
        <v>Incluir</v>
      </c>
      <c r="J1177" s="153">
        <f>+IF(Table3[[#This Row],[Sin cuenta]]="Con Mov.",(IF(Table3[[#This Row],[Movimiento]]="Debe",Table3[[#This Row],[Importe]],IF(Table3[[#This Row],[Movimiento]]="Haber",Table3[[#This Row],[Importe]]*-1,0))),0)</f>
        <v>0</v>
      </c>
      <c r="K1177" s="145" t="str">
        <f t="shared" si="55"/>
        <v/>
      </c>
      <c r="L1177" s="145" t="str">
        <f t="shared" si="56"/>
        <v>HABER</v>
      </c>
      <c r="M1177" t="str">
        <f>_xlfn.XLOOKUP(Table3[[#This Row],[Cuenta]],Estructura_Balance[Nombre Cuenta ()],Estructura_Balance[Grupo],"",0)</f>
        <v/>
      </c>
      <c r="N1177" t="str">
        <f>_xlfn.XLOOKUP(Table3[[#This Row],[Cuenta]],Estructura_Balance[Nombre Cuenta ()],Estructura_Balance[Nivel 1],"",0)</f>
        <v/>
      </c>
      <c r="O1177" t="str">
        <f>_xlfn.XLOOKUP(Table3[[#This Row],[Cuenta]],Estructura_Balance[Nombre Cuenta ()],Estructura_Balance[Nivel 2],"",0)</f>
        <v/>
      </c>
      <c r="P1177" t="str">
        <f>_xlfn.XLOOKUP(Table3[[#This Row],[Cuenta]],Estructura_Balance[Nombre Cuenta ()],Estructura_Balance[Nivel 3],"",0)</f>
        <v/>
      </c>
      <c r="Q1177" t="str">
        <f>_xlfn.XLOOKUP(Table3[[#This Row],[Cuenta]],Estructura_Balance[Nombre Cuenta ()],Estructura_Balance[Nivel 4],"",0)</f>
        <v/>
      </c>
      <c r="R1177" t="str">
        <f>_xlfn.XLOOKUP(Table3[[#This Row],[Cuenta]],Table8[Nombre Cuenta ()],Table8[Nivel 1],"",0)</f>
        <v/>
      </c>
      <c r="S1177" t="str">
        <f>_xlfn.XLOOKUP(Table3[[#This Row],[Cuenta]],Table8[Nombre Cuenta ()],Table8[Nivel 2],"",0)</f>
        <v/>
      </c>
      <c r="T1177" t="str">
        <f>_xlfn.XLOOKUP(Table3[[#This Row],[Cuenta]],Table8[Nombre Cuenta ()],Table8[Nivel 3],"",0)</f>
        <v/>
      </c>
      <c r="U1177">
        <v>1991</v>
      </c>
      <c r="V1177" t="str">
        <f>_xlfn.XLOOKUP(Table3[[#This Row],[Cuenta]],Estructura_Balance[Nombre Cuenta ()],Estructura_Balance[Niveles:2],"",0)</f>
        <v/>
      </c>
      <c r="W1177" t="str">
        <f>_xlfn.XLOOKUP(Table3[[#This Row],[Cuenta]],Estructura_Balance[Nombre Cuenta ()],Estructura_Balance[Niveles:3],"",0)</f>
        <v/>
      </c>
      <c r="X1177" t="str">
        <f>_xlfn.XLOOKUP(Table3[[#This Row],[Cuenta]],Estructura_Balance[Nombre Cuenta ()],Estructura_Balance[Grupos],"Grupo 1",0)</f>
        <v>Grupo 1</v>
      </c>
      <c r="Y1177" t="str">
        <f>+Table3[[#This Row],[BS_Nivel_1]]</f>
        <v/>
      </c>
    </row>
    <row r="1178" spans="1:25" ht="15" customHeight="1">
      <c r="A1178">
        <f>+'Libro Diario'!F598</f>
        <v>0</v>
      </c>
      <c r="B1178" s="144">
        <f>VALUE(IF(+'Libro Diario'!G598="","01/01/2025",+'Libro Diario'!G598))</f>
        <v>45658</v>
      </c>
      <c r="C1178">
        <f>IF(ISNUMBER(+IF(IFERROR(VALUE(MID('Libro Diario'!D598,1,4)),0)&lt;&gt;0,'Libro Diario'!D598,0))=FALSE,'Libro Diario'!D598,0)</f>
        <v>0</v>
      </c>
      <c r="D1178" s="145">
        <f>+'Libro Diario'!E598</f>
        <v>0</v>
      </c>
      <c r="E1178" s="139" t="s">
        <v>446</v>
      </c>
      <c r="F1178" t="str">
        <f t="shared" si="54"/>
        <v>Sin Mov.</v>
      </c>
      <c r="G1178" t="str">
        <f>IF(+'Libro Diario'!H598=0,"",+'Libro Diario'!H598)</f>
        <v/>
      </c>
      <c r="H1178" t="str">
        <f>IF(+'Libro Diario'!I598=0,"",+'Libro Diario'!I598)</f>
        <v/>
      </c>
      <c r="I1178" t="str">
        <f>+IF(Table3[[#This Row],[Tipo Movimiento]]="Estructura Balance y PyG","Excluir","Incluir")</f>
        <v>Incluir</v>
      </c>
      <c r="J1178" s="153">
        <f>+IF(Table3[[#This Row],[Sin cuenta]]="Con Mov.",(IF(Table3[[#This Row],[Movimiento]]="Debe",Table3[[#This Row],[Importe]],IF(Table3[[#This Row],[Movimiento]]="Haber",Table3[[#This Row],[Importe]]*-1,0))),0)</f>
        <v>0</v>
      </c>
      <c r="K1178" s="145" t="str">
        <f t="shared" si="55"/>
        <v/>
      </c>
      <c r="L1178" s="145">
        <f t="shared" si="56"/>
        <v>0</v>
      </c>
      <c r="M1178" t="str">
        <f>_xlfn.XLOOKUP(Table3[[#This Row],[Cuenta]],Estructura_Balance[Nombre Cuenta ()],Estructura_Balance[Grupo],"",0)</f>
        <v/>
      </c>
      <c r="N1178" t="str">
        <f>_xlfn.XLOOKUP(Table3[[#This Row],[Cuenta]],Estructura_Balance[Nombre Cuenta ()],Estructura_Balance[Nivel 1],"",0)</f>
        <v/>
      </c>
      <c r="O1178" t="str">
        <f>_xlfn.XLOOKUP(Table3[[#This Row],[Cuenta]],Estructura_Balance[Nombre Cuenta ()],Estructura_Balance[Nivel 2],"",0)</f>
        <v/>
      </c>
      <c r="P1178" t="str">
        <f>_xlfn.XLOOKUP(Table3[[#This Row],[Cuenta]],Estructura_Balance[Nombre Cuenta ()],Estructura_Balance[Nivel 3],"",0)</f>
        <v/>
      </c>
      <c r="Q1178" t="str">
        <f>_xlfn.XLOOKUP(Table3[[#This Row],[Cuenta]],Estructura_Balance[Nombre Cuenta ()],Estructura_Balance[Nivel 4],"",0)</f>
        <v/>
      </c>
      <c r="R1178" t="str">
        <f>_xlfn.XLOOKUP(Table3[[#This Row],[Cuenta]],Table8[Nombre Cuenta ()],Table8[Nivel 1],"",0)</f>
        <v/>
      </c>
      <c r="S1178" t="str">
        <f>_xlfn.XLOOKUP(Table3[[#This Row],[Cuenta]],Table8[Nombre Cuenta ()],Table8[Nivel 2],"",0)</f>
        <v/>
      </c>
      <c r="T1178" t="str">
        <f>_xlfn.XLOOKUP(Table3[[#This Row],[Cuenta]],Table8[Nombre Cuenta ()],Table8[Nivel 3],"",0)</f>
        <v/>
      </c>
      <c r="U1178">
        <v>1992</v>
      </c>
      <c r="V1178" t="str">
        <f>_xlfn.XLOOKUP(Table3[[#This Row],[Cuenta]],Estructura_Balance[Nombre Cuenta ()],Estructura_Balance[Niveles:2],"",0)</f>
        <v/>
      </c>
      <c r="W1178" t="str">
        <f>_xlfn.XLOOKUP(Table3[[#This Row],[Cuenta]],Estructura_Balance[Nombre Cuenta ()],Estructura_Balance[Niveles:3],"",0)</f>
        <v/>
      </c>
      <c r="X1178" t="str">
        <f>_xlfn.XLOOKUP(Table3[[#This Row],[Cuenta]],Estructura_Balance[Nombre Cuenta ()],Estructura_Balance[Grupos],"Grupo 1",0)</f>
        <v>Grupo 1</v>
      </c>
      <c r="Y1178" t="str">
        <f>+Table3[[#This Row],[BS_Nivel_1]]</f>
        <v/>
      </c>
    </row>
    <row r="1179" spans="1:25" ht="15" customHeight="1">
      <c r="A1179">
        <f>+'Libro Diario'!F599</f>
        <v>68</v>
      </c>
      <c r="B1179" s="144">
        <f>VALUE(IF(+'Libro Diario'!G599="","01/01/2025",+'Libro Diario'!G599))</f>
        <v>0</v>
      </c>
      <c r="C1179">
        <f>IF(ISNUMBER(+IF(IFERROR(VALUE(MID('Libro Diario'!D599,1,4)),0)&lt;&gt;0,'Libro Diario'!D599,0))=FALSE,'Libro Diario'!D599,0)</f>
        <v>0</v>
      </c>
      <c r="D1179" s="145">
        <f>+'Libro Diario'!E599</f>
        <v>0</v>
      </c>
      <c r="E1179" s="139" t="s">
        <v>446</v>
      </c>
      <c r="F1179" t="str">
        <f t="shared" si="54"/>
        <v>Sin Mov.</v>
      </c>
      <c r="G1179" t="str">
        <f>IF(+'Libro Diario'!H599=0,"",+'Libro Diario'!H599)</f>
        <v>Ajuste por Periodificación</v>
      </c>
      <c r="H1179" t="str">
        <f>IF(+'Libro Diario'!I599=0,"",+'Libro Diario'!I599)</f>
        <v/>
      </c>
      <c r="I1179" t="str">
        <f>+IF(Table3[[#This Row],[Tipo Movimiento]]="Estructura Balance y PyG","Excluir","Incluir")</f>
        <v>Incluir</v>
      </c>
      <c r="J1179" s="153">
        <f>+IF(Table3[[#This Row],[Sin cuenta]]="Con Mov.",(IF(Table3[[#This Row],[Movimiento]]="Debe",Table3[[#This Row],[Importe]],IF(Table3[[#This Row],[Movimiento]]="Haber",Table3[[#This Row],[Importe]]*-1,0))),0)</f>
        <v>0</v>
      </c>
      <c r="K1179" s="145" t="str">
        <f t="shared" si="55"/>
        <v/>
      </c>
      <c r="L1179" s="145">
        <f t="shared" si="56"/>
        <v>0</v>
      </c>
      <c r="M1179" t="str">
        <f>_xlfn.XLOOKUP(Table3[[#This Row],[Cuenta]],Estructura_Balance[Nombre Cuenta ()],Estructura_Balance[Grupo],"",0)</f>
        <v/>
      </c>
      <c r="N1179" t="str">
        <f>_xlfn.XLOOKUP(Table3[[#This Row],[Cuenta]],Estructura_Balance[Nombre Cuenta ()],Estructura_Balance[Nivel 1],"",0)</f>
        <v/>
      </c>
      <c r="O1179" t="str">
        <f>_xlfn.XLOOKUP(Table3[[#This Row],[Cuenta]],Estructura_Balance[Nombre Cuenta ()],Estructura_Balance[Nivel 2],"",0)</f>
        <v/>
      </c>
      <c r="P1179" t="str">
        <f>_xlfn.XLOOKUP(Table3[[#This Row],[Cuenta]],Estructura_Balance[Nombre Cuenta ()],Estructura_Balance[Nivel 3],"",0)</f>
        <v/>
      </c>
      <c r="Q1179" t="str">
        <f>_xlfn.XLOOKUP(Table3[[#This Row],[Cuenta]],Estructura_Balance[Nombre Cuenta ()],Estructura_Balance[Nivel 4],"",0)</f>
        <v/>
      </c>
      <c r="R1179" t="str">
        <f>_xlfn.XLOOKUP(Table3[[#This Row],[Cuenta]],Table8[Nombre Cuenta ()],Table8[Nivel 1],"",0)</f>
        <v/>
      </c>
      <c r="S1179" t="str">
        <f>_xlfn.XLOOKUP(Table3[[#This Row],[Cuenta]],Table8[Nombre Cuenta ()],Table8[Nivel 2],"",0)</f>
        <v/>
      </c>
      <c r="T1179" t="str">
        <f>_xlfn.XLOOKUP(Table3[[#This Row],[Cuenta]],Table8[Nombre Cuenta ()],Table8[Nivel 3],"",0)</f>
        <v/>
      </c>
      <c r="U1179">
        <v>1993</v>
      </c>
      <c r="V1179" t="str">
        <f>_xlfn.XLOOKUP(Table3[[#This Row],[Cuenta]],Estructura_Balance[Nombre Cuenta ()],Estructura_Balance[Niveles:2],"",0)</f>
        <v/>
      </c>
      <c r="W1179" t="str">
        <f>_xlfn.XLOOKUP(Table3[[#This Row],[Cuenta]],Estructura_Balance[Nombre Cuenta ()],Estructura_Balance[Niveles:3],"",0)</f>
        <v/>
      </c>
      <c r="X1179" t="str">
        <f>_xlfn.XLOOKUP(Table3[[#This Row],[Cuenta]],Estructura_Balance[Nombre Cuenta ()],Estructura_Balance[Grupos],"Grupo 1",0)</f>
        <v>Grupo 1</v>
      </c>
      <c r="Y1179" t="str">
        <f>+Table3[[#This Row],[BS_Nivel_1]]</f>
        <v/>
      </c>
    </row>
    <row r="1180" spans="1:25" ht="15" customHeight="1">
      <c r="A1180">
        <f>+'Libro Diario'!F600</f>
        <v>68</v>
      </c>
      <c r="B1180" s="144">
        <f>VALUE(IF(+'Libro Diario'!G600="","01/01/2025",+'Libro Diario'!G600))</f>
        <v>0</v>
      </c>
      <c r="C1180">
        <f>IF(ISNUMBER(+IF(IFERROR(VALUE(MID('Libro Diario'!D600,1,4)),0)&lt;&gt;0,'Libro Diario'!D600,0))=FALSE,'Libro Diario'!D600,0)</f>
        <v>0</v>
      </c>
      <c r="D1180" s="145">
        <f>+'Libro Diario'!E600</f>
        <v>0</v>
      </c>
      <c r="E1180" s="139" t="s">
        <v>446</v>
      </c>
      <c r="F1180" t="str">
        <f t="shared" si="54"/>
        <v>Sin Mov.</v>
      </c>
      <c r="G1180" t="str">
        <f>IF(+'Libro Diario'!H600=0,"",+'Libro Diario'!H600)</f>
        <v>Ajuste por Periodificación</v>
      </c>
      <c r="H1180" t="str">
        <f>IF(+'Libro Diario'!I600=0,"",+'Libro Diario'!I600)</f>
        <v/>
      </c>
      <c r="I1180" t="str">
        <f>+IF(Table3[[#This Row],[Tipo Movimiento]]="Estructura Balance y PyG","Excluir","Incluir")</f>
        <v>Incluir</v>
      </c>
      <c r="J1180" s="153">
        <f>+IF(Table3[[#This Row],[Sin cuenta]]="Con Mov.",(IF(Table3[[#This Row],[Movimiento]]="Debe",Table3[[#This Row],[Importe]],IF(Table3[[#This Row],[Movimiento]]="Haber",Table3[[#This Row],[Importe]]*-1,0))),0)</f>
        <v>0</v>
      </c>
      <c r="K1180" s="145" t="str">
        <f t="shared" si="55"/>
        <v/>
      </c>
      <c r="L1180" s="145">
        <f t="shared" si="56"/>
        <v>0</v>
      </c>
      <c r="M1180" t="str">
        <f>_xlfn.XLOOKUP(Table3[[#This Row],[Cuenta]],Estructura_Balance[Nombre Cuenta ()],Estructura_Balance[Grupo],"",0)</f>
        <v/>
      </c>
      <c r="N1180" t="str">
        <f>_xlfn.XLOOKUP(Table3[[#This Row],[Cuenta]],Estructura_Balance[Nombre Cuenta ()],Estructura_Balance[Nivel 1],"",0)</f>
        <v/>
      </c>
      <c r="O1180" t="str">
        <f>_xlfn.XLOOKUP(Table3[[#This Row],[Cuenta]],Estructura_Balance[Nombre Cuenta ()],Estructura_Balance[Nivel 2],"",0)</f>
        <v/>
      </c>
      <c r="P1180" t="str">
        <f>_xlfn.XLOOKUP(Table3[[#This Row],[Cuenta]],Estructura_Balance[Nombre Cuenta ()],Estructura_Balance[Nivel 3],"",0)</f>
        <v/>
      </c>
      <c r="Q1180" t="str">
        <f>_xlfn.XLOOKUP(Table3[[#This Row],[Cuenta]],Estructura_Balance[Nombre Cuenta ()],Estructura_Balance[Nivel 4],"",0)</f>
        <v/>
      </c>
      <c r="R1180" t="str">
        <f>_xlfn.XLOOKUP(Table3[[#This Row],[Cuenta]],Table8[Nombre Cuenta ()],Table8[Nivel 1],"",0)</f>
        <v/>
      </c>
      <c r="S1180" t="str">
        <f>_xlfn.XLOOKUP(Table3[[#This Row],[Cuenta]],Table8[Nombre Cuenta ()],Table8[Nivel 2],"",0)</f>
        <v/>
      </c>
      <c r="T1180" t="str">
        <f>_xlfn.XLOOKUP(Table3[[#This Row],[Cuenta]],Table8[Nombre Cuenta ()],Table8[Nivel 3],"",0)</f>
        <v/>
      </c>
      <c r="U1180">
        <v>1994</v>
      </c>
      <c r="V1180" t="str">
        <f>_xlfn.XLOOKUP(Table3[[#This Row],[Cuenta]],Estructura_Balance[Nombre Cuenta ()],Estructura_Balance[Niveles:2],"",0)</f>
        <v/>
      </c>
      <c r="W1180" t="str">
        <f>_xlfn.XLOOKUP(Table3[[#This Row],[Cuenta]],Estructura_Balance[Nombre Cuenta ()],Estructura_Balance[Niveles:3],"",0)</f>
        <v/>
      </c>
      <c r="X1180" t="str">
        <f>_xlfn.XLOOKUP(Table3[[#This Row],[Cuenta]],Estructura_Balance[Nombre Cuenta ()],Estructura_Balance[Grupos],"Grupo 1",0)</f>
        <v>Grupo 1</v>
      </c>
      <c r="Y1180" t="str">
        <f>+Table3[[#This Row],[BS_Nivel_1]]</f>
        <v/>
      </c>
    </row>
    <row r="1181" spans="1:25" ht="15" customHeight="1">
      <c r="A1181">
        <f>+'Libro Diario'!F601</f>
        <v>0</v>
      </c>
      <c r="B1181" s="144">
        <f>VALUE(IF(+'Libro Diario'!G601="","01/01/2025",+'Libro Diario'!G601))</f>
        <v>45658</v>
      </c>
      <c r="C1181">
        <f>IF(ISNUMBER(+IF(IFERROR(VALUE(MID('Libro Diario'!D601,1,4)),0)&lt;&gt;0,'Libro Diario'!D601,0))=FALSE,'Libro Diario'!D601,0)</f>
        <v>0</v>
      </c>
      <c r="D1181" s="145">
        <f>+'Libro Diario'!E601</f>
        <v>0</v>
      </c>
      <c r="E1181" s="139" t="s">
        <v>446</v>
      </c>
      <c r="F1181" t="str">
        <f t="shared" si="54"/>
        <v>Sin Mov.</v>
      </c>
      <c r="G1181" t="str">
        <f>IF(+'Libro Diario'!H601=0,"",+'Libro Diario'!H601)</f>
        <v/>
      </c>
      <c r="H1181" t="str">
        <f>IF(+'Libro Diario'!I601=0,"",+'Libro Diario'!I601)</f>
        <v/>
      </c>
      <c r="I1181" t="str">
        <f>+IF(Table3[[#This Row],[Tipo Movimiento]]="Estructura Balance y PyG","Excluir","Incluir")</f>
        <v>Incluir</v>
      </c>
      <c r="J1181" s="153">
        <f>+IF(Table3[[#This Row],[Sin cuenta]]="Con Mov.",(IF(Table3[[#This Row],[Movimiento]]="Debe",Table3[[#This Row],[Importe]],IF(Table3[[#This Row],[Movimiento]]="Haber",Table3[[#This Row],[Importe]]*-1,0))),0)</f>
        <v>0</v>
      </c>
      <c r="K1181" s="145" t="str">
        <f t="shared" si="55"/>
        <v/>
      </c>
      <c r="L1181" s="145">
        <f t="shared" si="56"/>
        <v>0</v>
      </c>
      <c r="M1181" t="str">
        <f>_xlfn.XLOOKUP(Table3[[#This Row],[Cuenta]],Estructura_Balance[Nombre Cuenta ()],Estructura_Balance[Grupo],"",0)</f>
        <v/>
      </c>
      <c r="N1181" t="str">
        <f>_xlfn.XLOOKUP(Table3[[#This Row],[Cuenta]],Estructura_Balance[Nombre Cuenta ()],Estructura_Balance[Nivel 1],"",0)</f>
        <v/>
      </c>
      <c r="O1181" t="str">
        <f>_xlfn.XLOOKUP(Table3[[#This Row],[Cuenta]],Estructura_Balance[Nombre Cuenta ()],Estructura_Balance[Nivel 2],"",0)</f>
        <v/>
      </c>
      <c r="P1181" t="str">
        <f>_xlfn.XLOOKUP(Table3[[#This Row],[Cuenta]],Estructura_Balance[Nombre Cuenta ()],Estructura_Balance[Nivel 3],"",0)</f>
        <v/>
      </c>
      <c r="Q1181" t="str">
        <f>_xlfn.XLOOKUP(Table3[[#This Row],[Cuenta]],Estructura_Balance[Nombre Cuenta ()],Estructura_Balance[Nivel 4],"",0)</f>
        <v/>
      </c>
      <c r="R1181" t="str">
        <f>_xlfn.XLOOKUP(Table3[[#This Row],[Cuenta]],Table8[Nombre Cuenta ()],Table8[Nivel 1],"",0)</f>
        <v/>
      </c>
      <c r="S1181" t="str">
        <f>_xlfn.XLOOKUP(Table3[[#This Row],[Cuenta]],Table8[Nombre Cuenta ()],Table8[Nivel 2],"",0)</f>
        <v/>
      </c>
      <c r="T1181" t="str">
        <f>_xlfn.XLOOKUP(Table3[[#This Row],[Cuenta]],Table8[Nombre Cuenta ()],Table8[Nivel 3],"",0)</f>
        <v/>
      </c>
      <c r="U1181">
        <v>1995</v>
      </c>
      <c r="V1181" t="str">
        <f>_xlfn.XLOOKUP(Table3[[#This Row],[Cuenta]],Estructura_Balance[Nombre Cuenta ()],Estructura_Balance[Niveles:2],"",0)</f>
        <v/>
      </c>
      <c r="W1181" t="str">
        <f>_xlfn.XLOOKUP(Table3[[#This Row],[Cuenta]],Estructura_Balance[Nombre Cuenta ()],Estructura_Balance[Niveles:3],"",0)</f>
        <v/>
      </c>
      <c r="X1181" t="str">
        <f>_xlfn.XLOOKUP(Table3[[#This Row],[Cuenta]],Estructura_Balance[Nombre Cuenta ()],Estructura_Balance[Grupos],"Grupo 1",0)</f>
        <v>Grupo 1</v>
      </c>
      <c r="Y1181" t="str">
        <f>+Table3[[#This Row],[BS_Nivel_1]]</f>
        <v/>
      </c>
    </row>
    <row r="1182" spans="1:25" ht="15" customHeight="1">
      <c r="A1182">
        <f>+'Libro Diario'!F602</f>
        <v>0</v>
      </c>
      <c r="B1182" s="144">
        <f>VALUE(IF(+'Libro Diario'!G602="","01/01/2025",+'Libro Diario'!G602))</f>
        <v>45658</v>
      </c>
      <c r="C1182">
        <f>IF(ISNUMBER(+IF(IFERROR(VALUE(MID('Libro Diario'!D602,1,4)),0)&lt;&gt;0,'Libro Diario'!D602,0))=FALSE,'Libro Diario'!D602,0)</f>
        <v>0</v>
      </c>
      <c r="D1182" s="145">
        <f>+'Libro Diario'!E602</f>
        <v>0</v>
      </c>
      <c r="E1182" s="139" t="s">
        <v>446</v>
      </c>
      <c r="F1182" t="str">
        <f t="shared" si="54"/>
        <v>Sin Mov.</v>
      </c>
      <c r="G1182" t="str">
        <f>IF(+'Libro Diario'!H602=0,"",+'Libro Diario'!H602)</f>
        <v/>
      </c>
      <c r="H1182" t="str">
        <f>IF(+'Libro Diario'!I602=0,"",+'Libro Diario'!I602)</f>
        <v/>
      </c>
      <c r="I1182" t="str">
        <f>+IF(Table3[[#This Row],[Tipo Movimiento]]="Estructura Balance y PyG","Excluir","Incluir")</f>
        <v>Incluir</v>
      </c>
      <c r="J1182" s="153">
        <f>+IF(Table3[[#This Row],[Sin cuenta]]="Con Mov.",(IF(Table3[[#This Row],[Movimiento]]="Debe",Table3[[#This Row],[Importe]],IF(Table3[[#This Row],[Movimiento]]="Haber",Table3[[#This Row],[Importe]]*-1,0))),0)</f>
        <v>0</v>
      </c>
      <c r="K1182" s="145" t="str">
        <f t="shared" si="55"/>
        <v/>
      </c>
      <c r="L1182" s="145">
        <f t="shared" si="56"/>
        <v>0</v>
      </c>
      <c r="M1182" t="str">
        <f>_xlfn.XLOOKUP(Table3[[#This Row],[Cuenta]],Estructura_Balance[Nombre Cuenta ()],Estructura_Balance[Grupo],"",0)</f>
        <v/>
      </c>
      <c r="N1182" t="str">
        <f>_xlfn.XLOOKUP(Table3[[#This Row],[Cuenta]],Estructura_Balance[Nombre Cuenta ()],Estructura_Balance[Nivel 1],"",0)</f>
        <v/>
      </c>
      <c r="O1182" t="str">
        <f>_xlfn.XLOOKUP(Table3[[#This Row],[Cuenta]],Estructura_Balance[Nombre Cuenta ()],Estructura_Balance[Nivel 2],"",0)</f>
        <v/>
      </c>
      <c r="P1182" t="str">
        <f>_xlfn.XLOOKUP(Table3[[#This Row],[Cuenta]],Estructura_Balance[Nombre Cuenta ()],Estructura_Balance[Nivel 3],"",0)</f>
        <v/>
      </c>
      <c r="Q1182" t="str">
        <f>_xlfn.XLOOKUP(Table3[[#This Row],[Cuenta]],Estructura_Balance[Nombre Cuenta ()],Estructura_Balance[Nivel 4],"",0)</f>
        <v/>
      </c>
      <c r="R1182" t="str">
        <f>_xlfn.XLOOKUP(Table3[[#This Row],[Cuenta]],Table8[Nombre Cuenta ()],Table8[Nivel 1],"",0)</f>
        <v/>
      </c>
      <c r="S1182" t="str">
        <f>_xlfn.XLOOKUP(Table3[[#This Row],[Cuenta]],Table8[Nombre Cuenta ()],Table8[Nivel 2],"",0)</f>
        <v/>
      </c>
      <c r="T1182" t="str">
        <f>_xlfn.XLOOKUP(Table3[[#This Row],[Cuenta]],Table8[Nombre Cuenta ()],Table8[Nivel 3],"",0)</f>
        <v/>
      </c>
      <c r="U1182">
        <v>1996</v>
      </c>
      <c r="V1182" t="str">
        <f>_xlfn.XLOOKUP(Table3[[#This Row],[Cuenta]],Estructura_Balance[Nombre Cuenta ()],Estructura_Balance[Niveles:2],"",0)</f>
        <v/>
      </c>
      <c r="W1182" t="str">
        <f>_xlfn.XLOOKUP(Table3[[#This Row],[Cuenta]],Estructura_Balance[Nombre Cuenta ()],Estructura_Balance[Niveles:3],"",0)</f>
        <v/>
      </c>
      <c r="X1182" t="str">
        <f>_xlfn.XLOOKUP(Table3[[#This Row],[Cuenta]],Estructura_Balance[Nombre Cuenta ()],Estructura_Balance[Grupos],"Grupo 1",0)</f>
        <v>Grupo 1</v>
      </c>
      <c r="Y1182" t="str">
        <f>+Table3[[#This Row],[BS_Nivel_1]]</f>
        <v/>
      </c>
    </row>
    <row r="1183" spans="1:25" ht="15" customHeight="1">
      <c r="A1183">
        <f>+'Libro Diario'!F603</f>
        <v>0</v>
      </c>
      <c r="B1183" s="144">
        <f>VALUE(IF(+'Libro Diario'!G603="","01/01/2025",+'Libro Diario'!G603))</f>
        <v>45658</v>
      </c>
      <c r="C1183">
        <f>IF(ISNUMBER(+IF(IFERROR(VALUE(MID('Libro Diario'!D603,1,4)),0)&lt;&gt;0,'Libro Diario'!D603,0))=FALSE,'Libro Diario'!D603,0)</f>
        <v>0</v>
      </c>
      <c r="D1183" s="145">
        <f>+'Libro Diario'!E603</f>
        <v>0</v>
      </c>
      <c r="E1183" s="139" t="s">
        <v>446</v>
      </c>
      <c r="F1183" t="str">
        <f t="shared" si="54"/>
        <v>Sin Mov.</v>
      </c>
      <c r="G1183" t="str">
        <f>IF(+'Libro Diario'!H603=0,"",+'Libro Diario'!H603)</f>
        <v/>
      </c>
      <c r="H1183" t="str">
        <f>IF(+'Libro Diario'!I603=0,"",+'Libro Diario'!I603)</f>
        <v/>
      </c>
      <c r="I1183" t="str">
        <f>+IF(Table3[[#This Row],[Tipo Movimiento]]="Estructura Balance y PyG","Excluir","Incluir")</f>
        <v>Incluir</v>
      </c>
      <c r="J1183" s="153">
        <f>+IF(Table3[[#This Row],[Sin cuenta]]="Con Mov.",(IF(Table3[[#This Row],[Movimiento]]="Debe",Table3[[#This Row],[Importe]],IF(Table3[[#This Row],[Movimiento]]="Haber",Table3[[#This Row],[Importe]]*-1,0))),0)</f>
        <v>0</v>
      </c>
      <c r="K1183" s="145" t="str">
        <f t="shared" si="55"/>
        <v/>
      </c>
      <c r="L1183" s="145">
        <f t="shared" si="56"/>
        <v>0</v>
      </c>
      <c r="M1183" t="str">
        <f>_xlfn.XLOOKUP(Table3[[#This Row],[Cuenta]],Estructura_Balance[Nombre Cuenta ()],Estructura_Balance[Grupo],"",0)</f>
        <v/>
      </c>
      <c r="N1183" t="str">
        <f>_xlfn.XLOOKUP(Table3[[#This Row],[Cuenta]],Estructura_Balance[Nombre Cuenta ()],Estructura_Balance[Nivel 1],"",0)</f>
        <v/>
      </c>
      <c r="O1183" t="str">
        <f>_xlfn.XLOOKUP(Table3[[#This Row],[Cuenta]],Estructura_Balance[Nombre Cuenta ()],Estructura_Balance[Nivel 2],"",0)</f>
        <v/>
      </c>
      <c r="P1183" t="str">
        <f>_xlfn.XLOOKUP(Table3[[#This Row],[Cuenta]],Estructura_Balance[Nombre Cuenta ()],Estructura_Balance[Nivel 3],"",0)</f>
        <v/>
      </c>
      <c r="Q1183" t="str">
        <f>_xlfn.XLOOKUP(Table3[[#This Row],[Cuenta]],Estructura_Balance[Nombre Cuenta ()],Estructura_Balance[Nivel 4],"",0)</f>
        <v/>
      </c>
      <c r="R1183" t="str">
        <f>_xlfn.XLOOKUP(Table3[[#This Row],[Cuenta]],Table8[Nombre Cuenta ()],Table8[Nivel 1],"",0)</f>
        <v/>
      </c>
      <c r="S1183" t="str">
        <f>_xlfn.XLOOKUP(Table3[[#This Row],[Cuenta]],Table8[Nombre Cuenta ()],Table8[Nivel 2],"",0)</f>
        <v/>
      </c>
      <c r="T1183" t="str">
        <f>_xlfn.XLOOKUP(Table3[[#This Row],[Cuenta]],Table8[Nombre Cuenta ()],Table8[Nivel 3],"",0)</f>
        <v/>
      </c>
      <c r="U1183">
        <v>1997</v>
      </c>
      <c r="V1183" t="str">
        <f>_xlfn.XLOOKUP(Table3[[#This Row],[Cuenta]],Estructura_Balance[Nombre Cuenta ()],Estructura_Balance[Niveles:2],"",0)</f>
        <v/>
      </c>
      <c r="W1183" t="str">
        <f>_xlfn.XLOOKUP(Table3[[#This Row],[Cuenta]],Estructura_Balance[Nombre Cuenta ()],Estructura_Balance[Niveles:3],"",0)</f>
        <v/>
      </c>
      <c r="X1183" t="str">
        <f>_xlfn.XLOOKUP(Table3[[#This Row],[Cuenta]],Estructura_Balance[Nombre Cuenta ()],Estructura_Balance[Grupos],"Grupo 1",0)</f>
        <v>Grupo 1</v>
      </c>
      <c r="Y1183" t="str">
        <f>+Table3[[#This Row],[BS_Nivel_1]]</f>
        <v/>
      </c>
    </row>
    <row r="1184" spans="1:25" ht="15" customHeight="1">
      <c r="A1184">
        <f>+'Libro Diario'!F604</f>
        <v>0</v>
      </c>
      <c r="B1184" s="144">
        <f>VALUE(IF(+'Libro Diario'!G604="","01/01/2025",+'Libro Diario'!G604))</f>
        <v>45658</v>
      </c>
      <c r="C1184">
        <f>IF(ISNUMBER(+IF(IFERROR(VALUE(MID('Libro Diario'!D604,1,4)),0)&lt;&gt;0,'Libro Diario'!D604,0))=FALSE,'Libro Diario'!D604,0)</f>
        <v>0</v>
      </c>
      <c r="D1184" s="145" t="str">
        <f>+'Libro Diario'!E604</f>
        <v>HABER</v>
      </c>
      <c r="E1184" s="139" t="s">
        <v>446</v>
      </c>
      <c r="F1184" t="str">
        <f t="shared" si="54"/>
        <v>Sin Mov.</v>
      </c>
      <c r="G1184" t="str">
        <f>IF(+'Libro Diario'!H604=0,"",+'Libro Diario'!H604)</f>
        <v/>
      </c>
      <c r="H1184" t="str">
        <f>IF(+'Libro Diario'!I604=0,"",+'Libro Diario'!I604)</f>
        <v/>
      </c>
      <c r="I1184" t="str">
        <f>+IF(Table3[[#This Row],[Tipo Movimiento]]="Estructura Balance y PyG","Excluir","Incluir")</f>
        <v>Incluir</v>
      </c>
      <c r="J1184" s="153">
        <f>+IF(Table3[[#This Row],[Sin cuenta]]="Con Mov.",(IF(Table3[[#This Row],[Movimiento]]="Debe",Table3[[#This Row],[Importe]],IF(Table3[[#This Row],[Movimiento]]="Haber",Table3[[#This Row],[Importe]]*-1,0))),0)</f>
        <v>0</v>
      </c>
      <c r="K1184" s="145" t="str">
        <f t="shared" si="55"/>
        <v/>
      </c>
      <c r="L1184" s="145" t="str">
        <f t="shared" si="56"/>
        <v>HABER</v>
      </c>
      <c r="M1184" t="str">
        <f>_xlfn.XLOOKUP(Table3[[#This Row],[Cuenta]],Estructura_Balance[Nombre Cuenta ()],Estructura_Balance[Grupo],"",0)</f>
        <v/>
      </c>
      <c r="N1184" t="str">
        <f>_xlfn.XLOOKUP(Table3[[#This Row],[Cuenta]],Estructura_Balance[Nombre Cuenta ()],Estructura_Balance[Nivel 1],"",0)</f>
        <v/>
      </c>
      <c r="O1184" t="str">
        <f>_xlfn.XLOOKUP(Table3[[#This Row],[Cuenta]],Estructura_Balance[Nombre Cuenta ()],Estructura_Balance[Nivel 2],"",0)</f>
        <v/>
      </c>
      <c r="P1184" t="str">
        <f>_xlfn.XLOOKUP(Table3[[#This Row],[Cuenta]],Estructura_Balance[Nombre Cuenta ()],Estructura_Balance[Nivel 3],"",0)</f>
        <v/>
      </c>
      <c r="Q1184" t="str">
        <f>_xlfn.XLOOKUP(Table3[[#This Row],[Cuenta]],Estructura_Balance[Nombre Cuenta ()],Estructura_Balance[Nivel 4],"",0)</f>
        <v/>
      </c>
      <c r="R1184" t="str">
        <f>_xlfn.XLOOKUP(Table3[[#This Row],[Cuenta]],Table8[Nombre Cuenta ()],Table8[Nivel 1],"",0)</f>
        <v/>
      </c>
      <c r="S1184" t="str">
        <f>_xlfn.XLOOKUP(Table3[[#This Row],[Cuenta]],Table8[Nombre Cuenta ()],Table8[Nivel 2],"",0)</f>
        <v/>
      </c>
      <c r="T1184" t="str">
        <f>_xlfn.XLOOKUP(Table3[[#This Row],[Cuenta]],Table8[Nombre Cuenta ()],Table8[Nivel 3],"",0)</f>
        <v/>
      </c>
      <c r="U1184">
        <v>1998</v>
      </c>
      <c r="V1184" t="str">
        <f>_xlfn.XLOOKUP(Table3[[#This Row],[Cuenta]],Estructura_Balance[Nombre Cuenta ()],Estructura_Balance[Niveles:2],"",0)</f>
        <v/>
      </c>
      <c r="W1184" t="str">
        <f>_xlfn.XLOOKUP(Table3[[#This Row],[Cuenta]],Estructura_Balance[Nombre Cuenta ()],Estructura_Balance[Niveles:3],"",0)</f>
        <v/>
      </c>
      <c r="X1184" t="str">
        <f>_xlfn.XLOOKUP(Table3[[#This Row],[Cuenta]],Estructura_Balance[Nombre Cuenta ()],Estructura_Balance[Grupos],"Grupo 1",0)</f>
        <v>Grupo 1</v>
      </c>
      <c r="Y1184" t="str">
        <f>+Table3[[#This Row],[BS_Nivel_1]]</f>
        <v/>
      </c>
    </row>
    <row r="1185" spans="1:25" ht="15" customHeight="1">
      <c r="A1185">
        <f>+'Libro Diario'!F605</f>
        <v>0</v>
      </c>
      <c r="B1185" s="144">
        <f>VALUE(IF(+'Libro Diario'!G605="","01/01/2025",+'Libro Diario'!G605))</f>
        <v>45658</v>
      </c>
      <c r="C1185">
        <f>IF(ISNUMBER(+IF(IFERROR(VALUE(MID('Libro Diario'!D605,1,4)),0)&lt;&gt;0,'Libro Diario'!D605,0))=FALSE,'Libro Diario'!D605,0)</f>
        <v>0</v>
      </c>
      <c r="D1185" s="145">
        <f>+'Libro Diario'!E605</f>
        <v>0</v>
      </c>
      <c r="E1185" s="139" t="s">
        <v>446</v>
      </c>
      <c r="F1185" t="str">
        <f t="shared" si="54"/>
        <v>Sin Mov.</v>
      </c>
      <c r="G1185" t="str">
        <f>IF(+'Libro Diario'!H605=0,"",+'Libro Diario'!H605)</f>
        <v/>
      </c>
      <c r="H1185" t="str">
        <f>IF(+'Libro Diario'!I605=0,"",+'Libro Diario'!I605)</f>
        <v/>
      </c>
      <c r="I1185" t="str">
        <f>+IF(Table3[[#This Row],[Tipo Movimiento]]="Estructura Balance y PyG","Excluir","Incluir")</f>
        <v>Incluir</v>
      </c>
      <c r="J1185" s="153">
        <f>+IF(Table3[[#This Row],[Sin cuenta]]="Con Mov.",(IF(Table3[[#This Row],[Movimiento]]="Debe",Table3[[#This Row],[Importe]],IF(Table3[[#This Row],[Movimiento]]="Haber",Table3[[#This Row],[Importe]]*-1,0))),0)</f>
        <v>0</v>
      </c>
      <c r="K1185" s="145" t="str">
        <f t="shared" si="55"/>
        <v/>
      </c>
      <c r="L1185" s="145">
        <f t="shared" si="56"/>
        <v>0</v>
      </c>
      <c r="M1185" t="str">
        <f>_xlfn.XLOOKUP(Table3[[#This Row],[Cuenta]],Estructura_Balance[Nombre Cuenta ()],Estructura_Balance[Grupo],"",0)</f>
        <v/>
      </c>
      <c r="N1185" t="str">
        <f>_xlfn.XLOOKUP(Table3[[#This Row],[Cuenta]],Estructura_Balance[Nombre Cuenta ()],Estructura_Balance[Nivel 1],"",0)</f>
        <v/>
      </c>
      <c r="O1185" t="str">
        <f>_xlfn.XLOOKUP(Table3[[#This Row],[Cuenta]],Estructura_Balance[Nombre Cuenta ()],Estructura_Balance[Nivel 2],"",0)</f>
        <v/>
      </c>
      <c r="P1185" t="str">
        <f>_xlfn.XLOOKUP(Table3[[#This Row],[Cuenta]],Estructura_Balance[Nombre Cuenta ()],Estructura_Balance[Nivel 3],"",0)</f>
        <v/>
      </c>
      <c r="Q1185" t="str">
        <f>_xlfn.XLOOKUP(Table3[[#This Row],[Cuenta]],Estructura_Balance[Nombre Cuenta ()],Estructura_Balance[Nivel 4],"",0)</f>
        <v/>
      </c>
      <c r="R1185" t="str">
        <f>_xlfn.XLOOKUP(Table3[[#This Row],[Cuenta]],Table8[Nombre Cuenta ()],Table8[Nivel 1],"",0)</f>
        <v/>
      </c>
      <c r="S1185" t="str">
        <f>_xlfn.XLOOKUP(Table3[[#This Row],[Cuenta]],Table8[Nombre Cuenta ()],Table8[Nivel 2],"",0)</f>
        <v/>
      </c>
      <c r="T1185" t="str">
        <f>_xlfn.XLOOKUP(Table3[[#This Row],[Cuenta]],Table8[Nombre Cuenta ()],Table8[Nivel 3],"",0)</f>
        <v/>
      </c>
      <c r="U1185">
        <v>46</v>
      </c>
      <c r="V1185" t="str">
        <f>_xlfn.XLOOKUP(Table3[[#This Row],[Cuenta]],Estructura_Balance[Nombre Cuenta ()],Estructura_Balance[Niveles:2],"",0)</f>
        <v/>
      </c>
      <c r="W1185" t="str">
        <f>_xlfn.XLOOKUP(Table3[[#This Row],[Cuenta]],Estructura_Balance[Nombre Cuenta ()],Estructura_Balance[Niveles:3],"",0)</f>
        <v/>
      </c>
      <c r="X1185" t="str">
        <f>_xlfn.XLOOKUP(Table3[[#This Row],[Cuenta]],Estructura_Balance[Nombre Cuenta ()],Estructura_Balance[Grupos],"Grupo 1",0)</f>
        <v>Grupo 1</v>
      </c>
      <c r="Y1185" t="str">
        <f>+Table3[[#This Row],[BS_Nivel_1]]</f>
        <v/>
      </c>
    </row>
    <row r="1186" spans="1:25" ht="15" customHeight="1">
      <c r="A1186">
        <f>+'Libro Diario'!F606</f>
        <v>69</v>
      </c>
      <c r="B1186" s="144">
        <f>VALUE(IF(+'Libro Diario'!G606="","01/01/2025",+'Libro Diario'!G606))</f>
        <v>0</v>
      </c>
      <c r="C1186">
        <f>IF(ISNUMBER(+IF(IFERROR(VALUE(MID('Libro Diario'!D606,1,4)),0)&lt;&gt;0,'Libro Diario'!D606,0))=FALSE,'Libro Diario'!D606,0)</f>
        <v>0</v>
      </c>
      <c r="D1186" s="145">
        <f>+'Libro Diario'!E606</f>
        <v>0</v>
      </c>
      <c r="E1186" s="139" t="s">
        <v>446</v>
      </c>
      <c r="F1186" t="str">
        <f t="shared" si="54"/>
        <v>Sin Mov.</v>
      </c>
      <c r="G1186" t="str">
        <f>IF(+'Libro Diario'!H606=0,"",+'Libro Diario'!H606)</f>
        <v>Ajuste por Reclasificación</v>
      </c>
      <c r="H1186" t="str">
        <f>IF(+'Libro Diario'!I606=0,"",+'Libro Diario'!I606)</f>
        <v/>
      </c>
      <c r="I1186" t="str">
        <f>+IF(Table3[[#This Row],[Tipo Movimiento]]="Estructura Balance y PyG","Excluir","Incluir")</f>
        <v>Incluir</v>
      </c>
      <c r="J1186" s="153">
        <f>+IF(Table3[[#This Row],[Sin cuenta]]="Con Mov.",(IF(Table3[[#This Row],[Movimiento]]="Debe",Table3[[#This Row],[Importe]],IF(Table3[[#This Row],[Movimiento]]="Haber",Table3[[#This Row],[Importe]]*-1,0))),0)</f>
        <v>0</v>
      </c>
      <c r="K1186" s="145" t="str">
        <f t="shared" si="55"/>
        <v/>
      </c>
      <c r="L1186" s="145">
        <f t="shared" si="56"/>
        <v>0</v>
      </c>
      <c r="M1186" t="str">
        <f>_xlfn.XLOOKUP(Table3[[#This Row],[Cuenta]],Estructura_Balance[Nombre Cuenta ()],Estructura_Balance[Grupo],"",0)</f>
        <v/>
      </c>
      <c r="N1186" t="str">
        <f>_xlfn.XLOOKUP(Table3[[#This Row],[Cuenta]],Estructura_Balance[Nombre Cuenta ()],Estructura_Balance[Nivel 1],"",0)</f>
        <v/>
      </c>
      <c r="O1186" t="str">
        <f>_xlfn.XLOOKUP(Table3[[#This Row],[Cuenta]],Estructura_Balance[Nombre Cuenta ()],Estructura_Balance[Nivel 2],"",0)</f>
        <v/>
      </c>
      <c r="P1186" t="str">
        <f>_xlfn.XLOOKUP(Table3[[#This Row],[Cuenta]],Estructura_Balance[Nombre Cuenta ()],Estructura_Balance[Nivel 3],"",0)</f>
        <v/>
      </c>
      <c r="Q1186" t="str">
        <f>_xlfn.XLOOKUP(Table3[[#This Row],[Cuenta]],Estructura_Balance[Nombre Cuenta ()],Estructura_Balance[Nivel 4],"",0)</f>
        <v/>
      </c>
      <c r="R1186" t="str">
        <f>_xlfn.XLOOKUP(Table3[[#This Row],[Cuenta]],Table8[Nombre Cuenta ()],Table8[Nivel 1],"",0)</f>
        <v/>
      </c>
      <c r="S1186" t="str">
        <f>_xlfn.XLOOKUP(Table3[[#This Row],[Cuenta]],Table8[Nombre Cuenta ()],Table8[Nivel 2],"",0)</f>
        <v/>
      </c>
      <c r="T1186" t="str">
        <f>_xlfn.XLOOKUP(Table3[[#This Row],[Cuenta]],Table8[Nombre Cuenta ()],Table8[Nivel 3],"",0)</f>
        <v/>
      </c>
      <c r="U1186">
        <v>47</v>
      </c>
      <c r="V1186" t="str">
        <f>_xlfn.XLOOKUP(Table3[[#This Row],[Cuenta]],Estructura_Balance[Nombre Cuenta ()],Estructura_Balance[Niveles:2],"",0)</f>
        <v/>
      </c>
      <c r="W1186" t="str">
        <f>_xlfn.XLOOKUP(Table3[[#This Row],[Cuenta]],Estructura_Balance[Nombre Cuenta ()],Estructura_Balance[Niveles:3],"",0)</f>
        <v/>
      </c>
      <c r="X1186" t="str">
        <f>_xlfn.XLOOKUP(Table3[[#This Row],[Cuenta]],Estructura_Balance[Nombre Cuenta ()],Estructura_Balance[Grupos],"Grupo 1",0)</f>
        <v>Grupo 1</v>
      </c>
      <c r="Y1186" t="str">
        <f>+Table3[[#This Row],[BS_Nivel_1]]</f>
        <v/>
      </c>
    </row>
    <row r="1187" spans="1:25" ht="15" customHeight="1">
      <c r="A1187">
        <f>+'Libro Diario'!F607</f>
        <v>69</v>
      </c>
      <c r="B1187" s="144">
        <f>VALUE(IF(+'Libro Diario'!G607="","01/01/2025",+'Libro Diario'!G607))</f>
        <v>0</v>
      </c>
      <c r="C1187">
        <f>IF(ISNUMBER(+IF(IFERROR(VALUE(MID('Libro Diario'!D607,1,4)),0)&lt;&gt;0,'Libro Diario'!D607,0))=FALSE,'Libro Diario'!D607,0)</f>
        <v>0</v>
      </c>
      <c r="D1187" s="145">
        <f>+'Libro Diario'!E607</f>
        <v>0</v>
      </c>
      <c r="E1187" s="139" t="s">
        <v>446</v>
      </c>
      <c r="F1187" t="str">
        <f t="shared" si="54"/>
        <v>Sin Mov.</v>
      </c>
      <c r="G1187" t="str">
        <f>IF(+'Libro Diario'!H607=0,"",+'Libro Diario'!H607)</f>
        <v>Ajuste por Reclasificación</v>
      </c>
      <c r="H1187" t="str">
        <f>IF(+'Libro Diario'!I607=0,"",+'Libro Diario'!I607)</f>
        <v/>
      </c>
      <c r="I1187" t="str">
        <f>+IF(Table3[[#This Row],[Tipo Movimiento]]="Estructura Balance y PyG","Excluir","Incluir")</f>
        <v>Incluir</v>
      </c>
      <c r="J1187" s="153">
        <f>+IF(Table3[[#This Row],[Sin cuenta]]="Con Mov.",(IF(Table3[[#This Row],[Movimiento]]="Debe",Table3[[#This Row],[Importe]],IF(Table3[[#This Row],[Movimiento]]="Haber",Table3[[#This Row],[Importe]]*-1,0))),0)</f>
        <v>0</v>
      </c>
      <c r="K1187" s="145" t="str">
        <f t="shared" si="55"/>
        <v/>
      </c>
      <c r="L1187" s="145">
        <f t="shared" si="56"/>
        <v>0</v>
      </c>
      <c r="M1187" t="str">
        <f>_xlfn.XLOOKUP(Table3[[#This Row],[Cuenta]],Estructura_Balance[Nombre Cuenta ()],Estructura_Balance[Grupo],"",0)</f>
        <v/>
      </c>
      <c r="N1187" t="str">
        <f>_xlfn.XLOOKUP(Table3[[#This Row],[Cuenta]],Estructura_Balance[Nombre Cuenta ()],Estructura_Balance[Nivel 1],"",0)</f>
        <v/>
      </c>
      <c r="O1187" t="str">
        <f>_xlfn.XLOOKUP(Table3[[#This Row],[Cuenta]],Estructura_Balance[Nombre Cuenta ()],Estructura_Balance[Nivel 2],"",0)</f>
        <v/>
      </c>
      <c r="P1187" t="str">
        <f>_xlfn.XLOOKUP(Table3[[#This Row],[Cuenta]],Estructura_Balance[Nombre Cuenta ()],Estructura_Balance[Nivel 3],"",0)</f>
        <v/>
      </c>
      <c r="Q1187" t="str">
        <f>_xlfn.XLOOKUP(Table3[[#This Row],[Cuenta]],Estructura_Balance[Nombre Cuenta ()],Estructura_Balance[Nivel 4],"",0)</f>
        <v/>
      </c>
      <c r="R1187" t="str">
        <f>_xlfn.XLOOKUP(Table3[[#This Row],[Cuenta]],Table8[Nombre Cuenta ()],Table8[Nivel 1],"",0)</f>
        <v/>
      </c>
      <c r="S1187" t="str">
        <f>_xlfn.XLOOKUP(Table3[[#This Row],[Cuenta]],Table8[Nombre Cuenta ()],Table8[Nivel 2],"",0)</f>
        <v/>
      </c>
      <c r="T1187" t="str">
        <f>_xlfn.XLOOKUP(Table3[[#This Row],[Cuenta]],Table8[Nombre Cuenta ()],Table8[Nivel 3],"",0)</f>
        <v/>
      </c>
      <c r="U1187">
        <v>48</v>
      </c>
      <c r="V1187" t="str">
        <f>_xlfn.XLOOKUP(Table3[[#This Row],[Cuenta]],Estructura_Balance[Nombre Cuenta ()],Estructura_Balance[Niveles:2],"",0)</f>
        <v/>
      </c>
      <c r="W1187" t="str">
        <f>_xlfn.XLOOKUP(Table3[[#This Row],[Cuenta]],Estructura_Balance[Nombre Cuenta ()],Estructura_Balance[Niveles:3],"",0)</f>
        <v/>
      </c>
      <c r="X1187" t="str">
        <f>_xlfn.XLOOKUP(Table3[[#This Row],[Cuenta]],Estructura_Balance[Nombre Cuenta ()],Estructura_Balance[Grupos],"Grupo 1",0)</f>
        <v>Grupo 1</v>
      </c>
      <c r="Y1187" t="str">
        <f>+Table3[[#This Row],[BS_Nivel_1]]</f>
        <v/>
      </c>
    </row>
    <row r="1188" spans="1:25" ht="15" customHeight="1">
      <c r="A1188">
        <f>+'Libro Diario'!F608</f>
        <v>0</v>
      </c>
      <c r="B1188" s="144">
        <f>VALUE(IF(+'Libro Diario'!G608="","01/01/2025",+'Libro Diario'!G608))</f>
        <v>45658</v>
      </c>
      <c r="C1188">
        <f>IF(ISNUMBER(+IF(IFERROR(VALUE(MID('Libro Diario'!D608,1,4)),0)&lt;&gt;0,'Libro Diario'!D608,0))=FALSE,'Libro Diario'!D608,0)</f>
        <v>0</v>
      </c>
      <c r="D1188" s="145">
        <f>+'Libro Diario'!E608</f>
        <v>0</v>
      </c>
      <c r="E1188" s="139" t="s">
        <v>446</v>
      </c>
      <c r="F1188" t="str">
        <f t="shared" si="54"/>
        <v>Sin Mov.</v>
      </c>
      <c r="G1188" t="str">
        <f>IF(+'Libro Diario'!H608=0,"",+'Libro Diario'!H608)</f>
        <v/>
      </c>
      <c r="H1188" t="str">
        <f>IF(+'Libro Diario'!I608=0,"",+'Libro Diario'!I608)</f>
        <v/>
      </c>
      <c r="I1188" t="str">
        <f>+IF(Table3[[#This Row],[Tipo Movimiento]]="Estructura Balance y PyG","Excluir","Incluir")</f>
        <v>Incluir</v>
      </c>
      <c r="J1188" s="153">
        <f>+IF(Table3[[#This Row],[Sin cuenta]]="Con Mov.",(IF(Table3[[#This Row],[Movimiento]]="Debe",Table3[[#This Row],[Importe]],IF(Table3[[#This Row],[Movimiento]]="Haber",Table3[[#This Row],[Importe]]*-1,0))),0)</f>
        <v>0</v>
      </c>
      <c r="K1188" s="145" t="str">
        <f t="shared" si="55"/>
        <v/>
      </c>
      <c r="L1188" s="145">
        <f t="shared" si="56"/>
        <v>0</v>
      </c>
      <c r="M1188" t="str">
        <f>_xlfn.XLOOKUP(Table3[[#This Row],[Cuenta]],Estructura_Balance[Nombre Cuenta ()],Estructura_Balance[Grupo],"",0)</f>
        <v/>
      </c>
      <c r="N1188" t="str">
        <f>_xlfn.XLOOKUP(Table3[[#This Row],[Cuenta]],Estructura_Balance[Nombre Cuenta ()],Estructura_Balance[Nivel 1],"",0)</f>
        <v/>
      </c>
      <c r="O1188" t="str">
        <f>_xlfn.XLOOKUP(Table3[[#This Row],[Cuenta]],Estructura_Balance[Nombre Cuenta ()],Estructura_Balance[Nivel 2],"",0)</f>
        <v/>
      </c>
      <c r="P1188" t="str">
        <f>_xlfn.XLOOKUP(Table3[[#This Row],[Cuenta]],Estructura_Balance[Nombre Cuenta ()],Estructura_Balance[Nivel 3],"",0)</f>
        <v/>
      </c>
      <c r="Q1188" t="str">
        <f>_xlfn.XLOOKUP(Table3[[#This Row],[Cuenta]],Estructura_Balance[Nombre Cuenta ()],Estructura_Balance[Nivel 4],"",0)</f>
        <v/>
      </c>
      <c r="R1188" t="str">
        <f>_xlfn.XLOOKUP(Table3[[#This Row],[Cuenta]],Table8[Nombre Cuenta ()],Table8[Nivel 1],"",0)</f>
        <v/>
      </c>
      <c r="S1188" t="str">
        <f>_xlfn.XLOOKUP(Table3[[#This Row],[Cuenta]],Table8[Nombre Cuenta ()],Table8[Nivel 2],"",0)</f>
        <v/>
      </c>
      <c r="T1188" t="str">
        <f>_xlfn.XLOOKUP(Table3[[#This Row],[Cuenta]],Table8[Nombre Cuenta ()],Table8[Nivel 3],"",0)</f>
        <v/>
      </c>
      <c r="U1188">
        <v>49</v>
      </c>
      <c r="V1188" t="str">
        <f>_xlfn.XLOOKUP(Table3[[#This Row],[Cuenta]],Estructura_Balance[Nombre Cuenta ()],Estructura_Balance[Niveles:2],"",0)</f>
        <v/>
      </c>
      <c r="W1188" t="str">
        <f>_xlfn.XLOOKUP(Table3[[#This Row],[Cuenta]],Estructura_Balance[Nombre Cuenta ()],Estructura_Balance[Niveles:3],"",0)</f>
        <v/>
      </c>
      <c r="X1188" t="str">
        <f>_xlfn.XLOOKUP(Table3[[#This Row],[Cuenta]],Estructura_Balance[Nombre Cuenta ()],Estructura_Balance[Grupos],"Grupo 1",0)</f>
        <v>Grupo 1</v>
      </c>
      <c r="Y1188" t="str">
        <f>+Table3[[#This Row],[BS_Nivel_1]]</f>
        <v/>
      </c>
    </row>
    <row r="1189" spans="1:25" ht="15" customHeight="1">
      <c r="A1189">
        <f>+'Libro Diario'!F609</f>
        <v>0</v>
      </c>
      <c r="B1189" s="144">
        <f>VALUE(IF(+'Libro Diario'!G609="","01/01/2025",+'Libro Diario'!G609))</f>
        <v>45658</v>
      </c>
      <c r="C1189">
        <f>IF(ISNUMBER(+IF(IFERROR(VALUE(MID('Libro Diario'!D609,1,4)),0)&lt;&gt;0,'Libro Diario'!D609,0))=FALSE,'Libro Diario'!D609,0)</f>
        <v>0</v>
      </c>
      <c r="D1189" s="145">
        <f>+'Libro Diario'!E609</f>
        <v>0</v>
      </c>
      <c r="E1189" s="139" t="s">
        <v>446</v>
      </c>
      <c r="F1189" t="str">
        <f t="shared" si="54"/>
        <v>Sin Mov.</v>
      </c>
      <c r="G1189" t="str">
        <f>IF(+'Libro Diario'!H609=0,"",+'Libro Diario'!H609)</f>
        <v/>
      </c>
      <c r="H1189" t="str">
        <f>IF(+'Libro Diario'!I609=0,"",+'Libro Diario'!I609)</f>
        <v/>
      </c>
      <c r="I1189" t="str">
        <f>+IF(Table3[[#This Row],[Tipo Movimiento]]="Estructura Balance y PyG","Excluir","Incluir")</f>
        <v>Incluir</v>
      </c>
      <c r="J1189" s="153">
        <f>+IF(Table3[[#This Row],[Sin cuenta]]="Con Mov.",(IF(Table3[[#This Row],[Movimiento]]="Debe",Table3[[#This Row],[Importe]],IF(Table3[[#This Row],[Movimiento]]="Haber",Table3[[#This Row],[Importe]]*-1,0))),0)</f>
        <v>0</v>
      </c>
      <c r="K1189" s="145" t="str">
        <f t="shared" si="55"/>
        <v/>
      </c>
      <c r="L1189" s="145">
        <f t="shared" si="56"/>
        <v>0</v>
      </c>
      <c r="M1189" t="str">
        <f>_xlfn.XLOOKUP(Table3[[#This Row],[Cuenta]],Estructura_Balance[Nombre Cuenta ()],Estructura_Balance[Grupo],"",0)</f>
        <v/>
      </c>
      <c r="N1189" t="str">
        <f>_xlfn.XLOOKUP(Table3[[#This Row],[Cuenta]],Estructura_Balance[Nombre Cuenta ()],Estructura_Balance[Nivel 1],"",0)</f>
        <v/>
      </c>
      <c r="O1189" t="str">
        <f>_xlfn.XLOOKUP(Table3[[#This Row],[Cuenta]],Estructura_Balance[Nombre Cuenta ()],Estructura_Balance[Nivel 2],"",0)</f>
        <v/>
      </c>
      <c r="P1189" t="str">
        <f>_xlfn.XLOOKUP(Table3[[#This Row],[Cuenta]],Estructura_Balance[Nombre Cuenta ()],Estructura_Balance[Nivel 3],"",0)</f>
        <v/>
      </c>
      <c r="Q1189" t="str">
        <f>_xlfn.XLOOKUP(Table3[[#This Row],[Cuenta]],Estructura_Balance[Nombre Cuenta ()],Estructura_Balance[Nivel 4],"",0)</f>
        <v/>
      </c>
      <c r="R1189" t="str">
        <f>_xlfn.XLOOKUP(Table3[[#This Row],[Cuenta]],Table8[Nombre Cuenta ()],Table8[Nivel 1],"",0)</f>
        <v/>
      </c>
      <c r="S1189" t="str">
        <f>_xlfn.XLOOKUP(Table3[[#This Row],[Cuenta]],Table8[Nombre Cuenta ()],Table8[Nivel 2],"",0)</f>
        <v/>
      </c>
      <c r="T1189" t="str">
        <f>_xlfn.XLOOKUP(Table3[[#This Row],[Cuenta]],Table8[Nombre Cuenta ()],Table8[Nivel 3],"",0)</f>
        <v/>
      </c>
      <c r="U1189">
        <v>50</v>
      </c>
      <c r="V1189" t="str">
        <f>_xlfn.XLOOKUP(Table3[[#This Row],[Cuenta]],Estructura_Balance[Nombre Cuenta ()],Estructura_Balance[Niveles:2],"",0)</f>
        <v/>
      </c>
      <c r="W1189" t="str">
        <f>_xlfn.XLOOKUP(Table3[[#This Row],[Cuenta]],Estructura_Balance[Nombre Cuenta ()],Estructura_Balance[Niveles:3],"",0)</f>
        <v/>
      </c>
      <c r="X1189" t="str">
        <f>_xlfn.XLOOKUP(Table3[[#This Row],[Cuenta]],Estructura_Balance[Nombre Cuenta ()],Estructura_Balance[Grupos],"Grupo 1",0)</f>
        <v>Grupo 1</v>
      </c>
      <c r="Y1189" t="str">
        <f>+Table3[[#This Row],[BS_Nivel_1]]</f>
        <v/>
      </c>
    </row>
    <row r="1190" spans="1:25" ht="15" customHeight="1">
      <c r="A1190">
        <f>+'Libro Diario'!F610</f>
        <v>0</v>
      </c>
      <c r="B1190" s="144">
        <f>VALUE(IF(+'Libro Diario'!G610="","01/01/2025",+'Libro Diario'!G610))</f>
        <v>45658</v>
      </c>
      <c r="C1190">
        <f>IF(ISNUMBER(+IF(IFERROR(VALUE(MID('Libro Diario'!D610,1,4)),0)&lt;&gt;0,'Libro Diario'!D610,0))=FALSE,'Libro Diario'!D610,0)</f>
        <v>0</v>
      </c>
      <c r="D1190" s="145">
        <f>+'Libro Diario'!E610</f>
        <v>0</v>
      </c>
      <c r="E1190" s="139" t="s">
        <v>446</v>
      </c>
      <c r="F1190" t="str">
        <f t="shared" si="54"/>
        <v>Sin Mov.</v>
      </c>
      <c r="G1190" t="str">
        <f>IF(+'Libro Diario'!H610=0,"",+'Libro Diario'!H610)</f>
        <v/>
      </c>
      <c r="H1190" t="str">
        <f>IF(+'Libro Diario'!I610=0,"",+'Libro Diario'!I610)</f>
        <v/>
      </c>
      <c r="I1190" t="str">
        <f>+IF(Table3[[#This Row],[Tipo Movimiento]]="Estructura Balance y PyG","Excluir","Incluir")</f>
        <v>Incluir</v>
      </c>
      <c r="J1190" s="153">
        <f>+IF(Table3[[#This Row],[Sin cuenta]]="Con Mov.",(IF(Table3[[#This Row],[Movimiento]]="Debe",Table3[[#This Row],[Importe]],IF(Table3[[#This Row],[Movimiento]]="Haber",Table3[[#This Row],[Importe]]*-1,0))),0)</f>
        <v>0</v>
      </c>
      <c r="K1190" s="145" t="str">
        <f t="shared" si="55"/>
        <v/>
      </c>
      <c r="L1190" s="145">
        <f t="shared" si="56"/>
        <v>0</v>
      </c>
      <c r="M1190" t="str">
        <f>_xlfn.XLOOKUP(Table3[[#This Row],[Cuenta]],Estructura_Balance[Nombre Cuenta ()],Estructura_Balance[Grupo],"",0)</f>
        <v/>
      </c>
      <c r="N1190" t="str">
        <f>_xlfn.XLOOKUP(Table3[[#This Row],[Cuenta]],Estructura_Balance[Nombre Cuenta ()],Estructura_Balance[Nivel 1],"",0)</f>
        <v/>
      </c>
      <c r="O1190" t="str">
        <f>_xlfn.XLOOKUP(Table3[[#This Row],[Cuenta]],Estructura_Balance[Nombre Cuenta ()],Estructura_Balance[Nivel 2],"",0)</f>
        <v/>
      </c>
      <c r="P1190" t="str">
        <f>_xlfn.XLOOKUP(Table3[[#This Row],[Cuenta]],Estructura_Balance[Nombre Cuenta ()],Estructura_Balance[Nivel 3],"",0)</f>
        <v/>
      </c>
      <c r="Q1190" t="str">
        <f>_xlfn.XLOOKUP(Table3[[#This Row],[Cuenta]],Estructura_Balance[Nombre Cuenta ()],Estructura_Balance[Nivel 4],"",0)</f>
        <v/>
      </c>
      <c r="R1190" t="str">
        <f>_xlfn.XLOOKUP(Table3[[#This Row],[Cuenta]],Table8[Nombre Cuenta ()],Table8[Nivel 1],"",0)</f>
        <v/>
      </c>
      <c r="S1190" t="str">
        <f>_xlfn.XLOOKUP(Table3[[#This Row],[Cuenta]],Table8[Nombre Cuenta ()],Table8[Nivel 2],"",0)</f>
        <v/>
      </c>
      <c r="T1190" t="str">
        <f>_xlfn.XLOOKUP(Table3[[#This Row],[Cuenta]],Table8[Nombre Cuenta ()],Table8[Nivel 3],"",0)</f>
        <v/>
      </c>
      <c r="U1190">
        <v>51</v>
      </c>
      <c r="V1190" t="str">
        <f>_xlfn.XLOOKUP(Table3[[#This Row],[Cuenta]],Estructura_Balance[Nombre Cuenta ()],Estructura_Balance[Niveles:2],"",0)</f>
        <v/>
      </c>
      <c r="W1190" t="str">
        <f>_xlfn.XLOOKUP(Table3[[#This Row],[Cuenta]],Estructura_Balance[Nombre Cuenta ()],Estructura_Balance[Niveles:3],"",0)</f>
        <v/>
      </c>
      <c r="X1190" t="str">
        <f>_xlfn.XLOOKUP(Table3[[#This Row],[Cuenta]],Estructura_Balance[Nombre Cuenta ()],Estructura_Balance[Grupos],"Grupo 1",0)</f>
        <v>Grupo 1</v>
      </c>
      <c r="Y1190" t="str">
        <f>+Table3[[#This Row],[BS_Nivel_1]]</f>
        <v/>
      </c>
    </row>
    <row r="1191" spans="1:25" ht="15" customHeight="1">
      <c r="A1191">
        <f>+'Libro Diario'!F611</f>
        <v>0</v>
      </c>
      <c r="B1191" s="144">
        <f>VALUE(IF(+'Libro Diario'!G611="","01/01/2025",+'Libro Diario'!G611))</f>
        <v>45658</v>
      </c>
      <c r="C1191">
        <f>IF(ISNUMBER(+IF(IFERROR(VALUE(MID('Libro Diario'!D611,1,4)),0)&lt;&gt;0,'Libro Diario'!D611,0))=FALSE,'Libro Diario'!D611,0)</f>
        <v>0</v>
      </c>
      <c r="D1191" s="145" t="str">
        <f>+'Libro Diario'!E611</f>
        <v>HABER</v>
      </c>
      <c r="E1191" s="139" t="s">
        <v>446</v>
      </c>
      <c r="F1191" t="str">
        <f t="shared" si="54"/>
        <v>Sin Mov.</v>
      </c>
      <c r="G1191" t="str">
        <f>IF(+'Libro Diario'!H611=0,"",+'Libro Diario'!H611)</f>
        <v/>
      </c>
      <c r="H1191" t="str">
        <f>IF(+'Libro Diario'!I611=0,"",+'Libro Diario'!I611)</f>
        <v/>
      </c>
      <c r="I1191" t="str">
        <f>+IF(Table3[[#This Row],[Tipo Movimiento]]="Estructura Balance y PyG","Excluir","Incluir")</f>
        <v>Incluir</v>
      </c>
      <c r="J1191" s="153">
        <f>+IF(Table3[[#This Row],[Sin cuenta]]="Con Mov.",(IF(Table3[[#This Row],[Movimiento]]="Debe",Table3[[#This Row],[Importe]],IF(Table3[[#This Row],[Movimiento]]="Haber",Table3[[#This Row],[Importe]]*-1,0))),0)</f>
        <v>0</v>
      </c>
      <c r="K1191" s="145" t="str">
        <f t="shared" si="55"/>
        <v/>
      </c>
      <c r="L1191" s="145" t="str">
        <f t="shared" si="56"/>
        <v>HABER</v>
      </c>
      <c r="M1191" t="str">
        <f>_xlfn.XLOOKUP(Table3[[#This Row],[Cuenta]],Estructura_Balance[Nombre Cuenta ()],Estructura_Balance[Grupo],"",0)</f>
        <v/>
      </c>
      <c r="N1191" t="str">
        <f>_xlfn.XLOOKUP(Table3[[#This Row],[Cuenta]],Estructura_Balance[Nombre Cuenta ()],Estructura_Balance[Nivel 1],"",0)</f>
        <v/>
      </c>
      <c r="O1191" t="str">
        <f>_xlfn.XLOOKUP(Table3[[#This Row],[Cuenta]],Estructura_Balance[Nombre Cuenta ()],Estructura_Balance[Nivel 2],"",0)</f>
        <v/>
      </c>
      <c r="P1191" t="str">
        <f>_xlfn.XLOOKUP(Table3[[#This Row],[Cuenta]],Estructura_Balance[Nombre Cuenta ()],Estructura_Balance[Nivel 3],"",0)</f>
        <v/>
      </c>
      <c r="Q1191" t="str">
        <f>_xlfn.XLOOKUP(Table3[[#This Row],[Cuenta]],Estructura_Balance[Nombre Cuenta ()],Estructura_Balance[Nivel 4],"",0)</f>
        <v/>
      </c>
      <c r="R1191" t="str">
        <f>_xlfn.XLOOKUP(Table3[[#This Row],[Cuenta]],Table8[Nombre Cuenta ()],Table8[Nivel 1],"",0)</f>
        <v/>
      </c>
      <c r="S1191" t="str">
        <f>_xlfn.XLOOKUP(Table3[[#This Row],[Cuenta]],Table8[Nombre Cuenta ()],Table8[Nivel 2],"",0)</f>
        <v/>
      </c>
      <c r="T1191" t="str">
        <f>_xlfn.XLOOKUP(Table3[[#This Row],[Cuenta]],Table8[Nombre Cuenta ()],Table8[Nivel 3],"",0)</f>
        <v/>
      </c>
      <c r="U1191">
        <v>52</v>
      </c>
      <c r="V1191" t="str">
        <f>_xlfn.XLOOKUP(Table3[[#This Row],[Cuenta]],Estructura_Balance[Nombre Cuenta ()],Estructura_Balance[Niveles:2],"",0)</f>
        <v/>
      </c>
      <c r="W1191" t="str">
        <f>_xlfn.XLOOKUP(Table3[[#This Row],[Cuenta]],Estructura_Balance[Nombre Cuenta ()],Estructura_Balance[Niveles:3],"",0)</f>
        <v/>
      </c>
      <c r="X1191" t="str">
        <f>_xlfn.XLOOKUP(Table3[[#This Row],[Cuenta]],Estructura_Balance[Nombre Cuenta ()],Estructura_Balance[Grupos],"Grupo 1",0)</f>
        <v>Grupo 1</v>
      </c>
      <c r="Y1191" t="str">
        <f>+Table3[[#This Row],[BS_Nivel_1]]</f>
        <v/>
      </c>
    </row>
    <row r="1192" spans="1:25" ht="15" customHeight="1">
      <c r="A1192">
        <f>+'Libro Diario'!F612</f>
        <v>0</v>
      </c>
      <c r="B1192" s="144">
        <f>VALUE(IF(+'Libro Diario'!G612="","01/01/2025",+'Libro Diario'!G612))</f>
        <v>45658</v>
      </c>
      <c r="C1192">
        <f>IF(ISNUMBER(+IF(IFERROR(VALUE(MID('Libro Diario'!D612,1,4)),0)&lt;&gt;0,'Libro Diario'!D612,0))=FALSE,'Libro Diario'!D612,0)</f>
        <v>0</v>
      </c>
      <c r="D1192" s="145">
        <f>+'Libro Diario'!E612</f>
        <v>0</v>
      </c>
      <c r="E1192" s="139" t="s">
        <v>446</v>
      </c>
      <c r="F1192" t="str">
        <f t="shared" si="54"/>
        <v>Sin Mov.</v>
      </c>
      <c r="G1192" t="str">
        <f>IF(+'Libro Diario'!H612=0,"",+'Libro Diario'!H612)</f>
        <v/>
      </c>
      <c r="H1192" t="str">
        <f>IF(+'Libro Diario'!I612=0,"",+'Libro Diario'!I612)</f>
        <v/>
      </c>
      <c r="I1192" t="str">
        <f>+IF(Table3[[#This Row],[Tipo Movimiento]]="Estructura Balance y PyG","Excluir","Incluir")</f>
        <v>Incluir</v>
      </c>
      <c r="J1192" s="153">
        <f>+IF(Table3[[#This Row],[Sin cuenta]]="Con Mov.",(IF(Table3[[#This Row],[Movimiento]]="Debe",Table3[[#This Row],[Importe]],IF(Table3[[#This Row],[Movimiento]]="Haber",Table3[[#This Row],[Importe]]*-1,0))),0)</f>
        <v>0</v>
      </c>
      <c r="K1192" s="145" t="str">
        <f t="shared" si="55"/>
        <v/>
      </c>
      <c r="L1192" s="145">
        <f t="shared" si="56"/>
        <v>0</v>
      </c>
      <c r="M1192" t="str">
        <f>_xlfn.XLOOKUP(Table3[[#This Row],[Cuenta]],Estructura_Balance[Nombre Cuenta ()],Estructura_Balance[Grupo],"",0)</f>
        <v/>
      </c>
      <c r="N1192" t="str">
        <f>_xlfn.XLOOKUP(Table3[[#This Row],[Cuenta]],Estructura_Balance[Nombre Cuenta ()],Estructura_Balance[Nivel 1],"",0)</f>
        <v/>
      </c>
      <c r="O1192" t="str">
        <f>_xlfn.XLOOKUP(Table3[[#This Row],[Cuenta]],Estructura_Balance[Nombre Cuenta ()],Estructura_Balance[Nivel 2],"",0)</f>
        <v/>
      </c>
      <c r="P1192" t="str">
        <f>_xlfn.XLOOKUP(Table3[[#This Row],[Cuenta]],Estructura_Balance[Nombre Cuenta ()],Estructura_Balance[Nivel 3],"",0)</f>
        <v/>
      </c>
      <c r="Q1192" t="str">
        <f>_xlfn.XLOOKUP(Table3[[#This Row],[Cuenta]],Estructura_Balance[Nombre Cuenta ()],Estructura_Balance[Nivel 4],"",0)</f>
        <v/>
      </c>
      <c r="R1192" t="str">
        <f>_xlfn.XLOOKUP(Table3[[#This Row],[Cuenta]],Table8[Nombre Cuenta ()],Table8[Nivel 1],"",0)</f>
        <v/>
      </c>
      <c r="S1192" t="str">
        <f>_xlfn.XLOOKUP(Table3[[#This Row],[Cuenta]],Table8[Nombre Cuenta ()],Table8[Nivel 2],"",0)</f>
        <v/>
      </c>
      <c r="T1192" t="str">
        <f>_xlfn.XLOOKUP(Table3[[#This Row],[Cuenta]],Table8[Nombre Cuenta ()],Table8[Nivel 3],"",0)</f>
        <v/>
      </c>
      <c r="U1192">
        <v>53</v>
      </c>
      <c r="V1192" t="str">
        <f>_xlfn.XLOOKUP(Table3[[#This Row],[Cuenta]],Estructura_Balance[Nombre Cuenta ()],Estructura_Balance[Niveles:2],"",0)</f>
        <v/>
      </c>
      <c r="W1192" t="str">
        <f>_xlfn.XLOOKUP(Table3[[#This Row],[Cuenta]],Estructura_Balance[Nombre Cuenta ()],Estructura_Balance[Niveles:3],"",0)</f>
        <v/>
      </c>
      <c r="X1192" t="str">
        <f>_xlfn.XLOOKUP(Table3[[#This Row],[Cuenta]],Estructura_Balance[Nombre Cuenta ()],Estructura_Balance[Grupos],"Grupo 1",0)</f>
        <v>Grupo 1</v>
      </c>
      <c r="Y1192" t="str">
        <f>+Table3[[#This Row],[BS_Nivel_1]]</f>
        <v/>
      </c>
    </row>
    <row r="1193" spans="1:25" ht="15" customHeight="1">
      <c r="A1193">
        <f>+'Libro Diario'!F613</f>
        <v>70</v>
      </c>
      <c r="B1193" s="144">
        <f>VALUE(IF(+'Libro Diario'!G613="","01/01/2025",+'Libro Diario'!G613))</f>
        <v>0</v>
      </c>
      <c r="C1193">
        <f>IF(ISNUMBER(+IF(IFERROR(VALUE(MID('Libro Diario'!D613,1,4)),0)&lt;&gt;0,'Libro Diario'!D613,0))=FALSE,'Libro Diario'!D613,0)</f>
        <v>0</v>
      </c>
      <c r="D1193" s="145">
        <f>+'Libro Diario'!E613</f>
        <v>0</v>
      </c>
      <c r="E1193" s="139" t="s">
        <v>446</v>
      </c>
      <c r="F1193" t="str">
        <f t="shared" si="54"/>
        <v>Sin Mov.</v>
      </c>
      <c r="G1193" t="str">
        <f>IF(+'Libro Diario'!H613=0,"",+'Libro Diario'!H613)</f>
        <v>Regularización de Existencias</v>
      </c>
      <c r="H1193" t="str">
        <f>IF(+'Libro Diario'!I613=0,"",+'Libro Diario'!I613)</f>
        <v/>
      </c>
      <c r="I1193" t="str">
        <f>+IF(Table3[[#This Row],[Tipo Movimiento]]="Estructura Balance y PyG","Excluir","Incluir")</f>
        <v>Incluir</v>
      </c>
      <c r="J1193" s="153">
        <f>+IF(Table3[[#This Row],[Sin cuenta]]="Con Mov.",(IF(Table3[[#This Row],[Movimiento]]="Debe",Table3[[#This Row],[Importe]],IF(Table3[[#This Row],[Movimiento]]="Haber",Table3[[#This Row],[Importe]]*-1,0))),0)</f>
        <v>0</v>
      </c>
      <c r="K1193" s="145" t="str">
        <f t="shared" si="55"/>
        <v/>
      </c>
      <c r="L1193" s="145">
        <f t="shared" si="56"/>
        <v>0</v>
      </c>
      <c r="M1193" t="str">
        <f>_xlfn.XLOOKUP(Table3[[#This Row],[Cuenta]],Estructura_Balance[Nombre Cuenta ()],Estructura_Balance[Grupo],"",0)</f>
        <v/>
      </c>
      <c r="N1193" t="str">
        <f>_xlfn.XLOOKUP(Table3[[#This Row],[Cuenta]],Estructura_Balance[Nombre Cuenta ()],Estructura_Balance[Nivel 1],"",0)</f>
        <v/>
      </c>
      <c r="O1193" t="str">
        <f>_xlfn.XLOOKUP(Table3[[#This Row],[Cuenta]],Estructura_Balance[Nombre Cuenta ()],Estructura_Balance[Nivel 2],"",0)</f>
        <v/>
      </c>
      <c r="P1193" t="str">
        <f>_xlfn.XLOOKUP(Table3[[#This Row],[Cuenta]],Estructura_Balance[Nombre Cuenta ()],Estructura_Balance[Nivel 3],"",0)</f>
        <v/>
      </c>
      <c r="Q1193" t="str">
        <f>_xlfn.XLOOKUP(Table3[[#This Row],[Cuenta]],Estructura_Balance[Nombre Cuenta ()],Estructura_Balance[Nivel 4],"",0)</f>
        <v/>
      </c>
      <c r="R1193" t="str">
        <f>_xlfn.XLOOKUP(Table3[[#This Row],[Cuenta]],Table8[Nombre Cuenta ()],Table8[Nivel 1],"",0)</f>
        <v/>
      </c>
      <c r="S1193" t="str">
        <f>_xlfn.XLOOKUP(Table3[[#This Row],[Cuenta]],Table8[Nombre Cuenta ()],Table8[Nivel 2],"",0)</f>
        <v/>
      </c>
      <c r="T1193" t="str">
        <f>_xlfn.XLOOKUP(Table3[[#This Row],[Cuenta]],Table8[Nombre Cuenta ()],Table8[Nivel 3],"",0)</f>
        <v/>
      </c>
      <c r="U1193">
        <v>54</v>
      </c>
      <c r="V1193" t="str">
        <f>_xlfn.XLOOKUP(Table3[[#This Row],[Cuenta]],Estructura_Balance[Nombre Cuenta ()],Estructura_Balance[Niveles:2],"",0)</f>
        <v/>
      </c>
      <c r="W1193" t="str">
        <f>_xlfn.XLOOKUP(Table3[[#This Row],[Cuenta]],Estructura_Balance[Nombre Cuenta ()],Estructura_Balance[Niveles:3],"",0)</f>
        <v/>
      </c>
      <c r="X1193" t="str">
        <f>_xlfn.XLOOKUP(Table3[[#This Row],[Cuenta]],Estructura_Balance[Nombre Cuenta ()],Estructura_Balance[Grupos],"Grupo 1",0)</f>
        <v>Grupo 1</v>
      </c>
      <c r="Y1193" t="str">
        <f>+Table3[[#This Row],[BS_Nivel_1]]</f>
        <v/>
      </c>
    </row>
    <row r="1194" spans="1:25" ht="15" customHeight="1">
      <c r="A1194">
        <f>+'Libro Diario'!F614</f>
        <v>70</v>
      </c>
      <c r="B1194" s="144">
        <f>VALUE(IF(+'Libro Diario'!G614="","01/01/2025",+'Libro Diario'!G614))</f>
        <v>0</v>
      </c>
      <c r="C1194">
        <f>IF(ISNUMBER(+IF(IFERROR(VALUE(MID('Libro Diario'!D614,1,4)),0)&lt;&gt;0,'Libro Diario'!D614,0))=FALSE,'Libro Diario'!D614,0)</f>
        <v>0</v>
      </c>
      <c r="D1194" s="145">
        <f>+'Libro Diario'!E614</f>
        <v>0</v>
      </c>
      <c r="E1194" s="139" t="s">
        <v>446</v>
      </c>
      <c r="F1194" t="str">
        <f t="shared" si="54"/>
        <v>Sin Mov.</v>
      </c>
      <c r="G1194" t="str">
        <f>IF(+'Libro Diario'!H614=0,"",+'Libro Diario'!H614)</f>
        <v>Regularización de Existencias</v>
      </c>
      <c r="H1194" t="str">
        <f>IF(+'Libro Diario'!I614=0,"",+'Libro Diario'!I614)</f>
        <v/>
      </c>
      <c r="I1194" t="str">
        <f>+IF(Table3[[#This Row],[Tipo Movimiento]]="Estructura Balance y PyG","Excluir","Incluir")</f>
        <v>Incluir</v>
      </c>
      <c r="J1194" s="153">
        <f>+IF(Table3[[#This Row],[Sin cuenta]]="Con Mov.",(IF(Table3[[#This Row],[Movimiento]]="Debe",Table3[[#This Row],[Importe]],IF(Table3[[#This Row],[Movimiento]]="Haber",Table3[[#This Row],[Importe]]*-1,0))),0)</f>
        <v>0</v>
      </c>
      <c r="K1194" s="145" t="str">
        <f t="shared" si="55"/>
        <v/>
      </c>
      <c r="L1194" s="145">
        <f t="shared" si="56"/>
        <v>0</v>
      </c>
      <c r="M1194" t="str">
        <f>_xlfn.XLOOKUP(Table3[[#This Row],[Cuenta]],Estructura_Balance[Nombre Cuenta ()],Estructura_Balance[Grupo],"",0)</f>
        <v/>
      </c>
      <c r="N1194" t="str">
        <f>_xlfn.XLOOKUP(Table3[[#This Row],[Cuenta]],Estructura_Balance[Nombre Cuenta ()],Estructura_Balance[Nivel 1],"",0)</f>
        <v/>
      </c>
      <c r="O1194" t="str">
        <f>_xlfn.XLOOKUP(Table3[[#This Row],[Cuenta]],Estructura_Balance[Nombre Cuenta ()],Estructura_Balance[Nivel 2],"",0)</f>
        <v/>
      </c>
      <c r="P1194" t="str">
        <f>_xlfn.XLOOKUP(Table3[[#This Row],[Cuenta]],Estructura_Balance[Nombre Cuenta ()],Estructura_Balance[Nivel 3],"",0)</f>
        <v/>
      </c>
      <c r="Q1194" t="str">
        <f>_xlfn.XLOOKUP(Table3[[#This Row],[Cuenta]],Estructura_Balance[Nombre Cuenta ()],Estructura_Balance[Nivel 4],"",0)</f>
        <v/>
      </c>
      <c r="R1194" t="str">
        <f>_xlfn.XLOOKUP(Table3[[#This Row],[Cuenta]],Table8[Nombre Cuenta ()],Table8[Nivel 1],"",0)</f>
        <v/>
      </c>
      <c r="S1194" t="str">
        <f>_xlfn.XLOOKUP(Table3[[#This Row],[Cuenta]],Table8[Nombre Cuenta ()],Table8[Nivel 2],"",0)</f>
        <v/>
      </c>
      <c r="T1194" t="str">
        <f>_xlfn.XLOOKUP(Table3[[#This Row],[Cuenta]],Table8[Nombre Cuenta ()],Table8[Nivel 3],"",0)</f>
        <v/>
      </c>
      <c r="U1194">
        <v>55</v>
      </c>
      <c r="V1194" t="str">
        <f>_xlfn.XLOOKUP(Table3[[#This Row],[Cuenta]],Estructura_Balance[Nombre Cuenta ()],Estructura_Balance[Niveles:2],"",0)</f>
        <v/>
      </c>
      <c r="W1194" t="str">
        <f>_xlfn.XLOOKUP(Table3[[#This Row],[Cuenta]],Estructura_Balance[Nombre Cuenta ()],Estructura_Balance[Niveles:3],"",0)</f>
        <v/>
      </c>
      <c r="X1194" t="str">
        <f>_xlfn.XLOOKUP(Table3[[#This Row],[Cuenta]],Estructura_Balance[Nombre Cuenta ()],Estructura_Balance[Grupos],"Grupo 1",0)</f>
        <v>Grupo 1</v>
      </c>
      <c r="Y1194" t="str">
        <f>+Table3[[#This Row],[BS_Nivel_1]]</f>
        <v/>
      </c>
    </row>
    <row r="1195" spans="1:25" ht="15" customHeight="1">
      <c r="A1195">
        <f>+'Libro Diario'!F615</f>
        <v>0</v>
      </c>
      <c r="B1195" s="144">
        <f>VALUE(IF(+'Libro Diario'!G615="","01/01/2025",+'Libro Diario'!G615))</f>
        <v>45658</v>
      </c>
      <c r="C1195">
        <f>IF(ISNUMBER(+IF(IFERROR(VALUE(MID('Libro Diario'!D615,1,4)),0)&lt;&gt;0,'Libro Diario'!D615,0))=FALSE,'Libro Diario'!D615,0)</f>
        <v>0</v>
      </c>
      <c r="D1195" s="145">
        <f>+'Libro Diario'!E615</f>
        <v>0</v>
      </c>
      <c r="E1195" s="139" t="s">
        <v>446</v>
      </c>
      <c r="F1195" t="str">
        <f t="shared" si="54"/>
        <v>Sin Mov.</v>
      </c>
      <c r="G1195" t="str">
        <f>IF(+'Libro Diario'!H615=0,"",+'Libro Diario'!H615)</f>
        <v/>
      </c>
      <c r="H1195" t="str">
        <f>IF(+'Libro Diario'!I615=0,"",+'Libro Diario'!I615)</f>
        <v/>
      </c>
      <c r="I1195" t="str">
        <f>+IF(Table3[[#This Row],[Tipo Movimiento]]="Estructura Balance y PyG","Excluir","Incluir")</f>
        <v>Incluir</v>
      </c>
      <c r="J1195" s="153">
        <f>+IF(Table3[[#This Row],[Sin cuenta]]="Con Mov.",(IF(Table3[[#This Row],[Movimiento]]="Debe",Table3[[#This Row],[Importe]],IF(Table3[[#This Row],[Movimiento]]="Haber",Table3[[#This Row],[Importe]]*-1,0))),0)</f>
        <v>0</v>
      </c>
      <c r="K1195" s="145" t="str">
        <f t="shared" si="55"/>
        <v/>
      </c>
      <c r="L1195" s="145">
        <f t="shared" si="56"/>
        <v>0</v>
      </c>
      <c r="M1195" t="str">
        <f>_xlfn.XLOOKUP(Table3[[#This Row],[Cuenta]],Estructura_Balance[Nombre Cuenta ()],Estructura_Balance[Grupo],"",0)</f>
        <v/>
      </c>
      <c r="N1195" t="str">
        <f>_xlfn.XLOOKUP(Table3[[#This Row],[Cuenta]],Estructura_Balance[Nombre Cuenta ()],Estructura_Balance[Nivel 1],"",0)</f>
        <v/>
      </c>
      <c r="O1195" t="str">
        <f>_xlfn.XLOOKUP(Table3[[#This Row],[Cuenta]],Estructura_Balance[Nombre Cuenta ()],Estructura_Balance[Nivel 2],"",0)</f>
        <v/>
      </c>
      <c r="P1195" t="str">
        <f>_xlfn.XLOOKUP(Table3[[#This Row],[Cuenta]],Estructura_Balance[Nombre Cuenta ()],Estructura_Balance[Nivel 3],"",0)</f>
        <v/>
      </c>
      <c r="Q1195" t="str">
        <f>_xlfn.XLOOKUP(Table3[[#This Row],[Cuenta]],Estructura_Balance[Nombre Cuenta ()],Estructura_Balance[Nivel 4],"",0)</f>
        <v/>
      </c>
      <c r="R1195" t="str">
        <f>_xlfn.XLOOKUP(Table3[[#This Row],[Cuenta]],Table8[Nombre Cuenta ()],Table8[Nivel 1],"",0)</f>
        <v/>
      </c>
      <c r="S1195" t="str">
        <f>_xlfn.XLOOKUP(Table3[[#This Row],[Cuenta]],Table8[Nombre Cuenta ()],Table8[Nivel 2],"",0)</f>
        <v/>
      </c>
      <c r="T1195" t="str">
        <f>_xlfn.XLOOKUP(Table3[[#This Row],[Cuenta]],Table8[Nombre Cuenta ()],Table8[Nivel 3],"",0)</f>
        <v/>
      </c>
      <c r="U1195">
        <v>56</v>
      </c>
      <c r="V1195" t="str">
        <f>_xlfn.XLOOKUP(Table3[[#This Row],[Cuenta]],Estructura_Balance[Nombre Cuenta ()],Estructura_Balance[Niveles:2],"",0)</f>
        <v/>
      </c>
      <c r="W1195" t="str">
        <f>_xlfn.XLOOKUP(Table3[[#This Row],[Cuenta]],Estructura_Balance[Nombre Cuenta ()],Estructura_Balance[Niveles:3],"",0)</f>
        <v/>
      </c>
      <c r="X1195" t="str">
        <f>_xlfn.XLOOKUP(Table3[[#This Row],[Cuenta]],Estructura_Balance[Nombre Cuenta ()],Estructura_Balance[Grupos],"Grupo 1",0)</f>
        <v>Grupo 1</v>
      </c>
      <c r="Y1195" t="str">
        <f>+Table3[[#This Row],[BS_Nivel_1]]</f>
        <v/>
      </c>
    </row>
    <row r="1196" spans="1:25" ht="15" customHeight="1">
      <c r="A1196">
        <f>+'Libro Diario'!F616</f>
        <v>0</v>
      </c>
      <c r="B1196" s="144">
        <f>VALUE(IF(+'Libro Diario'!G616="","01/01/2025",+'Libro Diario'!G616))</f>
        <v>45658</v>
      </c>
      <c r="C1196">
        <f>IF(ISNUMBER(+IF(IFERROR(VALUE(MID('Libro Diario'!D616,1,4)),0)&lt;&gt;0,'Libro Diario'!D616,0))=FALSE,'Libro Diario'!D616,0)</f>
        <v>0</v>
      </c>
      <c r="D1196" s="145">
        <f>+'Libro Diario'!E616</f>
        <v>0</v>
      </c>
      <c r="E1196" s="139" t="s">
        <v>446</v>
      </c>
      <c r="F1196" t="str">
        <f t="shared" si="54"/>
        <v>Sin Mov.</v>
      </c>
      <c r="G1196" t="str">
        <f>IF(+'Libro Diario'!H616=0,"",+'Libro Diario'!H616)</f>
        <v/>
      </c>
      <c r="H1196" t="str">
        <f>IF(+'Libro Diario'!I616=0,"",+'Libro Diario'!I616)</f>
        <v/>
      </c>
      <c r="I1196" t="str">
        <f>+IF(Table3[[#This Row],[Tipo Movimiento]]="Estructura Balance y PyG","Excluir","Incluir")</f>
        <v>Incluir</v>
      </c>
      <c r="J1196" s="153">
        <f>+IF(Table3[[#This Row],[Sin cuenta]]="Con Mov.",(IF(Table3[[#This Row],[Movimiento]]="Debe",Table3[[#This Row],[Importe]],IF(Table3[[#This Row],[Movimiento]]="Haber",Table3[[#This Row],[Importe]]*-1,0))),0)</f>
        <v>0</v>
      </c>
      <c r="K1196" s="145" t="str">
        <f t="shared" si="55"/>
        <v/>
      </c>
      <c r="L1196" s="145">
        <f t="shared" si="56"/>
        <v>0</v>
      </c>
      <c r="M1196" t="str">
        <f>_xlfn.XLOOKUP(Table3[[#This Row],[Cuenta]],Estructura_Balance[Nombre Cuenta ()],Estructura_Balance[Grupo],"",0)</f>
        <v/>
      </c>
      <c r="N1196" t="str">
        <f>_xlfn.XLOOKUP(Table3[[#This Row],[Cuenta]],Estructura_Balance[Nombre Cuenta ()],Estructura_Balance[Nivel 1],"",0)</f>
        <v/>
      </c>
      <c r="O1196" t="str">
        <f>_xlfn.XLOOKUP(Table3[[#This Row],[Cuenta]],Estructura_Balance[Nombre Cuenta ()],Estructura_Balance[Nivel 2],"",0)</f>
        <v/>
      </c>
      <c r="P1196" t="str">
        <f>_xlfn.XLOOKUP(Table3[[#This Row],[Cuenta]],Estructura_Balance[Nombre Cuenta ()],Estructura_Balance[Nivel 3],"",0)</f>
        <v/>
      </c>
      <c r="Q1196" t="str">
        <f>_xlfn.XLOOKUP(Table3[[#This Row],[Cuenta]],Estructura_Balance[Nombre Cuenta ()],Estructura_Balance[Nivel 4],"",0)</f>
        <v/>
      </c>
      <c r="R1196" t="str">
        <f>_xlfn.XLOOKUP(Table3[[#This Row],[Cuenta]],Table8[Nombre Cuenta ()],Table8[Nivel 1],"",0)</f>
        <v/>
      </c>
      <c r="S1196" t="str">
        <f>_xlfn.XLOOKUP(Table3[[#This Row],[Cuenta]],Table8[Nombre Cuenta ()],Table8[Nivel 2],"",0)</f>
        <v/>
      </c>
      <c r="T1196" t="str">
        <f>_xlfn.XLOOKUP(Table3[[#This Row],[Cuenta]],Table8[Nombre Cuenta ()],Table8[Nivel 3],"",0)</f>
        <v/>
      </c>
      <c r="U1196">
        <v>57</v>
      </c>
      <c r="V1196" t="str">
        <f>_xlfn.XLOOKUP(Table3[[#This Row],[Cuenta]],Estructura_Balance[Nombre Cuenta ()],Estructura_Balance[Niveles:2],"",0)</f>
        <v/>
      </c>
      <c r="W1196" t="str">
        <f>_xlfn.XLOOKUP(Table3[[#This Row],[Cuenta]],Estructura_Balance[Nombre Cuenta ()],Estructura_Balance[Niveles:3],"",0)</f>
        <v/>
      </c>
      <c r="X1196" t="str">
        <f>_xlfn.XLOOKUP(Table3[[#This Row],[Cuenta]],Estructura_Balance[Nombre Cuenta ()],Estructura_Balance[Grupos],"Grupo 1",0)</f>
        <v>Grupo 1</v>
      </c>
      <c r="Y1196" t="str">
        <f>+Table3[[#This Row],[BS_Nivel_1]]</f>
        <v/>
      </c>
    </row>
    <row r="1197" spans="1:25" ht="15" customHeight="1">
      <c r="A1197">
        <f>+'Libro Diario'!F617</f>
        <v>0</v>
      </c>
      <c r="B1197" s="144">
        <f>VALUE(IF(+'Libro Diario'!G617="","01/01/2025",+'Libro Diario'!G617))</f>
        <v>45658</v>
      </c>
      <c r="C1197">
        <f>IF(ISNUMBER(+IF(IFERROR(VALUE(MID('Libro Diario'!D617,1,4)),0)&lt;&gt;0,'Libro Diario'!D617,0))=FALSE,'Libro Diario'!D617,0)</f>
        <v>0</v>
      </c>
      <c r="D1197" s="145">
        <f>+'Libro Diario'!E617</f>
        <v>0</v>
      </c>
      <c r="E1197" s="139" t="s">
        <v>446</v>
      </c>
      <c r="F1197" t="str">
        <f t="shared" si="54"/>
        <v>Sin Mov.</v>
      </c>
      <c r="G1197" t="str">
        <f>IF(+'Libro Diario'!H617=0,"",+'Libro Diario'!H617)</f>
        <v/>
      </c>
      <c r="H1197" t="str">
        <f>IF(+'Libro Diario'!I617=0,"",+'Libro Diario'!I617)</f>
        <v/>
      </c>
      <c r="I1197" t="str">
        <f>+IF(Table3[[#This Row],[Tipo Movimiento]]="Estructura Balance y PyG","Excluir","Incluir")</f>
        <v>Incluir</v>
      </c>
      <c r="J1197" s="153">
        <f>+IF(Table3[[#This Row],[Sin cuenta]]="Con Mov.",(IF(Table3[[#This Row],[Movimiento]]="Debe",Table3[[#This Row],[Importe]],IF(Table3[[#This Row],[Movimiento]]="Haber",Table3[[#This Row],[Importe]]*-1,0))),0)</f>
        <v>0</v>
      </c>
      <c r="K1197" s="145" t="str">
        <f t="shared" si="55"/>
        <v/>
      </c>
      <c r="L1197" s="145">
        <f t="shared" si="56"/>
        <v>0</v>
      </c>
      <c r="M1197" t="str">
        <f>_xlfn.XLOOKUP(Table3[[#This Row],[Cuenta]],Estructura_Balance[Nombre Cuenta ()],Estructura_Balance[Grupo],"",0)</f>
        <v/>
      </c>
      <c r="N1197" t="str">
        <f>_xlfn.XLOOKUP(Table3[[#This Row],[Cuenta]],Estructura_Balance[Nombre Cuenta ()],Estructura_Balance[Nivel 1],"",0)</f>
        <v/>
      </c>
      <c r="O1197" t="str">
        <f>_xlfn.XLOOKUP(Table3[[#This Row],[Cuenta]],Estructura_Balance[Nombre Cuenta ()],Estructura_Balance[Nivel 2],"",0)</f>
        <v/>
      </c>
      <c r="P1197" t="str">
        <f>_xlfn.XLOOKUP(Table3[[#This Row],[Cuenta]],Estructura_Balance[Nombre Cuenta ()],Estructura_Balance[Nivel 3],"",0)</f>
        <v/>
      </c>
      <c r="Q1197" t="str">
        <f>_xlfn.XLOOKUP(Table3[[#This Row],[Cuenta]],Estructura_Balance[Nombre Cuenta ()],Estructura_Balance[Nivel 4],"",0)</f>
        <v/>
      </c>
      <c r="R1197" t="str">
        <f>_xlfn.XLOOKUP(Table3[[#This Row],[Cuenta]],Table8[Nombre Cuenta ()],Table8[Nivel 1],"",0)</f>
        <v/>
      </c>
      <c r="S1197" t="str">
        <f>_xlfn.XLOOKUP(Table3[[#This Row],[Cuenta]],Table8[Nombre Cuenta ()],Table8[Nivel 2],"",0)</f>
        <v/>
      </c>
      <c r="T1197" t="str">
        <f>_xlfn.XLOOKUP(Table3[[#This Row],[Cuenta]],Table8[Nombre Cuenta ()],Table8[Nivel 3],"",0)</f>
        <v/>
      </c>
      <c r="U1197">
        <v>58</v>
      </c>
      <c r="V1197" t="str">
        <f>_xlfn.XLOOKUP(Table3[[#This Row],[Cuenta]],Estructura_Balance[Nombre Cuenta ()],Estructura_Balance[Niveles:2],"",0)</f>
        <v/>
      </c>
      <c r="W1197" t="str">
        <f>_xlfn.XLOOKUP(Table3[[#This Row],[Cuenta]],Estructura_Balance[Nombre Cuenta ()],Estructura_Balance[Niveles:3],"",0)</f>
        <v/>
      </c>
      <c r="X1197" t="str">
        <f>_xlfn.XLOOKUP(Table3[[#This Row],[Cuenta]],Estructura_Balance[Nombre Cuenta ()],Estructura_Balance[Grupos],"Grupo 1",0)</f>
        <v>Grupo 1</v>
      </c>
      <c r="Y1197" t="str">
        <f>+Table3[[#This Row],[BS_Nivel_1]]</f>
        <v/>
      </c>
    </row>
    <row r="1198" spans="1:25" ht="15" customHeight="1">
      <c r="A1198">
        <f>+'Libro Diario'!F618</f>
        <v>0</v>
      </c>
      <c r="B1198" s="144">
        <f>VALUE(IF(+'Libro Diario'!G618="","01/01/2025",+'Libro Diario'!G618))</f>
        <v>45658</v>
      </c>
      <c r="C1198">
        <f>IF(ISNUMBER(+IF(IFERROR(VALUE(MID('Libro Diario'!D618,1,4)),0)&lt;&gt;0,'Libro Diario'!D618,0))=FALSE,'Libro Diario'!D618,0)</f>
        <v>0</v>
      </c>
      <c r="D1198" s="145" t="str">
        <f>+'Libro Diario'!E618</f>
        <v>HABER</v>
      </c>
      <c r="E1198" s="139" t="s">
        <v>446</v>
      </c>
      <c r="F1198" t="str">
        <f t="shared" si="54"/>
        <v>Sin Mov.</v>
      </c>
      <c r="G1198" t="str">
        <f>IF(+'Libro Diario'!H618=0,"",+'Libro Diario'!H618)</f>
        <v/>
      </c>
      <c r="H1198" t="str">
        <f>IF(+'Libro Diario'!I618=0,"",+'Libro Diario'!I618)</f>
        <v/>
      </c>
      <c r="I1198" t="str">
        <f>+IF(Table3[[#This Row],[Tipo Movimiento]]="Estructura Balance y PyG","Excluir","Incluir")</f>
        <v>Incluir</v>
      </c>
      <c r="J1198" s="153">
        <f>+IF(Table3[[#This Row],[Sin cuenta]]="Con Mov.",(IF(Table3[[#This Row],[Movimiento]]="Debe",Table3[[#This Row],[Importe]],IF(Table3[[#This Row],[Movimiento]]="Haber",Table3[[#This Row],[Importe]]*-1,0))),0)</f>
        <v>0</v>
      </c>
      <c r="K1198" s="145" t="str">
        <f t="shared" si="55"/>
        <v/>
      </c>
      <c r="L1198" s="145" t="str">
        <f t="shared" si="56"/>
        <v>HABER</v>
      </c>
      <c r="M1198" t="str">
        <f>_xlfn.XLOOKUP(Table3[[#This Row],[Cuenta]],Estructura_Balance[Nombre Cuenta ()],Estructura_Balance[Grupo],"",0)</f>
        <v/>
      </c>
      <c r="N1198" t="str">
        <f>_xlfn.XLOOKUP(Table3[[#This Row],[Cuenta]],Estructura_Balance[Nombre Cuenta ()],Estructura_Balance[Nivel 1],"",0)</f>
        <v/>
      </c>
      <c r="O1198" t="str">
        <f>_xlfn.XLOOKUP(Table3[[#This Row],[Cuenta]],Estructura_Balance[Nombre Cuenta ()],Estructura_Balance[Nivel 2],"",0)</f>
        <v/>
      </c>
      <c r="P1198" t="str">
        <f>_xlfn.XLOOKUP(Table3[[#This Row],[Cuenta]],Estructura_Balance[Nombre Cuenta ()],Estructura_Balance[Nivel 3],"",0)</f>
        <v/>
      </c>
      <c r="Q1198" t="str">
        <f>_xlfn.XLOOKUP(Table3[[#This Row],[Cuenta]],Estructura_Balance[Nombre Cuenta ()],Estructura_Balance[Nivel 4],"",0)</f>
        <v/>
      </c>
      <c r="R1198" t="str">
        <f>_xlfn.XLOOKUP(Table3[[#This Row],[Cuenta]],Table8[Nombre Cuenta ()],Table8[Nivel 1],"",0)</f>
        <v/>
      </c>
      <c r="S1198" t="str">
        <f>_xlfn.XLOOKUP(Table3[[#This Row],[Cuenta]],Table8[Nombre Cuenta ()],Table8[Nivel 2],"",0)</f>
        <v/>
      </c>
      <c r="T1198" t="str">
        <f>_xlfn.XLOOKUP(Table3[[#This Row],[Cuenta]],Table8[Nombre Cuenta ()],Table8[Nivel 3],"",0)</f>
        <v/>
      </c>
      <c r="U1198">
        <v>59</v>
      </c>
      <c r="V1198" t="str">
        <f>_xlfn.XLOOKUP(Table3[[#This Row],[Cuenta]],Estructura_Balance[Nombre Cuenta ()],Estructura_Balance[Niveles:2],"",0)</f>
        <v/>
      </c>
      <c r="W1198" t="str">
        <f>_xlfn.XLOOKUP(Table3[[#This Row],[Cuenta]],Estructura_Balance[Nombre Cuenta ()],Estructura_Balance[Niveles:3],"",0)</f>
        <v/>
      </c>
      <c r="X1198" t="str">
        <f>_xlfn.XLOOKUP(Table3[[#This Row],[Cuenta]],Estructura_Balance[Nombre Cuenta ()],Estructura_Balance[Grupos],"Grupo 1",0)</f>
        <v>Grupo 1</v>
      </c>
      <c r="Y1198" t="str">
        <f>+Table3[[#This Row],[BS_Nivel_1]]</f>
        <v/>
      </c>
    </row>
    <row r="1199" spans="1:25" ht="15" customHeight="1">
      <c r="A1199">
        <f>+'Libro Diario'!F619</f>
        <v>0</v>
      </c>
      <c r="B1199" s="144">
        <f>VALUE(IF(+'Libro Diario'!G619="","01/01/2025",+'Libro Diario'!G619))</f>
        <v>45658</v>
      </c>
      <c r="C1199">
        <f>IF(ISNUMBER(+IF(IFERROR(VALUE(MID('Libro Diario'!D619,1,4)),0)&lt;&gt;0,'Libro Diario'!D619,0))=FALSE,'Libro Diario'!D619,0)</f>
        <v>0</v>
      </c>
      <c r="D1199" s="145">
        <f>+'Libro Diario'!E619</f>
        <v>0</v>
      </c>
      <c r="E1199" s="139" t="s">
        <v>446</v>
      </c>
      <c r="F1199" t="str">
        <f t="shared" si="54"/>
        <v>Sin Mov.</v>
      </c>
      <c r="G1199" t="str">
        <f>IF(+'Libro Diario'!H619=0,"",+'Libro Diario'!H619)</f>
        <v/>
      </c>
      <c r="H1199" t="str">
        <f>IF(+'Libro Diario'!I619=0,"",+'Libro Diario'!I619)</f>
        <v/>
      </c>
      <c r="I1199" t="str">
        <f>+IF(Table3[[#This Row],[Tipo Movimiento]]="Estructura Balance y PyG","Excluir","Incluir")</f>
        <v>Incluir</v>
      </c>
      <c r="J1199" s="153">
        <f>+IF(Table3[[#This Row],[Sin cuenta]]="Con Mov.",(IF(Table3[[#This Row],[Movimiento]]="Debe",Table3[[#This Row],[Importe]],IF(Table3[[#This Row],[Movimiento]]="Haber",Table3[[#This Row],[Importe]]*-1,0))),0)</f>
        <v>0</v>
      </c>
      <c r="K1199" s="145" t="str">
        <f t="shared" si="55"/>
        <v/>
      </c>
      <c r="L1199" s="145">
        <f t="shared" si="56"/>
        <v>0</v>
      </c>
      <c r="M1199" t="str">
        <f>_xlfn.XLOOKUP(Table3[[#This Row],[Cuenta]],Estructura_Balance[Nombre Cuenta ()],Estructura_Balance[Grupo],"",0)</f>
        <v/>
      </c>
      <c r="N1199" t="str">
        <f>_xlfn.XLOOKUP(Table3[[#This Row],[Cuenta]],Estructura_Balance[Nombre Cuenta ()],Estructura_Balance[Nivel 1],"",0)</f>
        <v/>
      </c>
      <c r="O1199" t="str">
        <f>_xlfn.XLOOKUP(Table3[[#This Row],[Cuenta]],Estructura_Balance[Nombre Cuenta ()],Estructura_Balance[Nivel 2],"",0)</f>
        <v/>
      </c>
      <c r="P1199" t="str">
        <f>_xlfn.XLOOKUP(Table3[[#This Row],[Cuenta]],Estructura_Balance[Nombre Cuenta ()],Estructura_Balance[Nivel 3],"",0)</f>
        <v/>
      </c>
      <c r="Q1199" t="str">
        <f>_xlfn.XLOOKUP(Table3[[#This Row],[Cuenta]],Estructura_Balance[Nombre Cuenta ()],Estructura_Balance[Nivel 4],"",0)</f>
        <v/>
      </c>
      <c r="R1199" t="str">
        <f>_xlfn.XLOOKUP(Table3[[#This Row],[Cuenta]],Table8[Nombre Cuenta ()],Table8[Nivel 1],"",0)</f>
        <v/>
      </c>
      <c r="S1199" t="str">
        <f>_xlfn.XLOOKUP(Table3[[#This Row],[Cuenta]],Table8[Nombre Cuenta ()],Table8[Nivel 2],"",0)</f>
        <v/>
      </c>
      <c r="T1199" t="str">
        <f>_xlfn.XLOOKUP(Table3[[#This Row],[Cuenta]],Table8[Nombre Cuenta ()],Table8[Nivel 3],"",0)</f>
        <v/>
      </c>
      <c r="U1199">
        <v>60</v>
      </c>
      <c r="V1199" t="str">
        <f>_xlfn.XLOOKUP(Table3[[#This Row],[Cuenta]],Estructura_Balance[Nombre Cuenta ()],Estructura_Balance[Niveles:2],"",0)</f>
        <v/>
      </c>
      <c r="W1199" t="str">
        <f>_xlfn.XLOOKUP(Table3[[#This Row],[Cuenta]],Estructura_Balance[Nombre Cuenta ()],Estructura_Balance[Niveles:3],"",0)</f>
        <v/>
      </c>
      <c r="X1199" t="str">
        <f>_xlfn.XLOOKUP(Table3[[#This Row],[Cuenta]],Estructura_Balance[Nombre Cuenta ()],Estructura_Balance[Grupos],"Grupo 1",0)</f>
        <v>Grupo 1</v>
      </c>
      <c r="Y1199" t="str">
        <f>+Table3[[#This Row],[BS_Nivel_1]]</f>
        <v/>
      </c>
    </row>
    <row r="1200" spans="1:25" ht="15" customHeight="1">
      <c r="A1200">
        <f>+'Libro Diario'!F620</f>
        <v>71</v>
      </c>
      <c r="B1200" s="144">
        <f>VALUE(IF(+'Libro Diario'!G620="","01/01/2025",+'Libro Diario'!G620))</f>
        <v>0</v>
      </c>
      <c r="C1200">
        <f>IF(ISNUMBER(+IF(IFERROR(VALUE(MID('Libro Diario'!D620,1,4)),0)&lt;&gt;0,'Libro Diario'!D620,0))=FALSE,'Libro Diario'!D620,0)</f>
        <v>0</v>
      </c>
      <c r="D1200" s="145">
        <f>+'Libro Diario'!E620</f>
        <v>0</v>
      </c>
      <c r="E1200" s="139" t="s">
        <v>446</v>
      </c>
      <c r="F1200" t="str">
        <f t="shared" si="54"/>
        <v>Sin Mov.</v>
      </c>
      <c r="G1200" t="str">
        <f>IF(+'Libro Diario'!H620=0,"",+'Libro Diario'!H620)</f>
        <v>Corrección Valorativa - Amortización</v>
      </c>
      <c r="H1200" t="str">
        <f>IF(+'Libro Diario'!I620=0,"",+'Libro Diario'!I620)</f>
        <v/>
      </c>
      <c r="I1200" t="str">
        <f>+IF(Table3[[#This Row],[Tipo Movimiento]]="Estructura Balance y PyG","Excluir","Incluir")</f>
        <v>Incluir</v>
      </c>
      <c r="J1200" s="153">
        <f>+IF(Table3[[#This Row],[Sin cuenta]]="Con Mov.",(IF(Table3[[#This Row],[Movimiento]]="Debe",Table3[[#This Row],[Importe]],IF(Table3[[#This Row],[Movimiento]]="Haber",Table3[[#This Row],[Importe]]*-1,0))),0)</f>
        <v>0</v>
      </c>
      <c r="K1200" s="145" t="str">
        <f t="shared" si="55"/>
        <v/>
      </c>
      <c r="L1200" s="145">
        <f t="shared" si="56"/>
        <v>0</v>
      </c>
      <c r="M1200" t="str">
        <f>_xlfn.XLOOKUP(Table3[[#This Row],[Cuenta]],Estructura_Balance[Nombre Cuenta ()],Estructura_Balance[Grupo],"",0)</f>
        <v/>
      </c>
      <c r="N1200" t="str">
        <f>_xlfn.XLOOKUP(Table3[[#This Row],[Cuenta]],Estructura_Balance[Nombre Cuenta ()],Estructura_Balance[Nivel 1],"",0)</f>
        <v/>
      </c>
      <c r="O1200" t="str">
        <f>_xlfn.XLOOKUP(Table3[[#This Row],[Cuenta]],Estructura_Balance[Nombre Cuenta ()],Estructura_Balance[Nivel 2],"",0)</f>
        <v/>
      </c>
      <c r="P1200" t="str">
        <f>_xlfn.XLOOKUP(Table3[[#This Row],[Cuenta]],Estructura_Balance[Nombre Cuenta ()],Estructura_Balance[Nivel 3],"",0)</f>
        <v/>
      </c>
      <c r="Q1200" t="str">
        <f>_xlfn.XLOOKUP(Table3[[#This Row],[Cuenta]],Estructura_Balance[Nombre Cuenta ()],Estructura_Balance[Nivel 4],"",0)</f>
        <v/>
      </c>
      <c r="R1200" t="str">
        <f>_xlfn.XLOOKUP(Table3[[#This Row],[Cuenta]],Table8[Nombre Cuenta ()],Table8[Nivel 1],"",0)</f>
        <v/>
      </c>
      <c r="S1200" t="str">
        <f>_xlfn.XLOOKUP(Table3[[#This Row],[Cuenta]],Table8[Nombre Cuenta ()],Table8[Nivel 2],"",0)</f>
        <v/>
      </c>
      <c r="T1200" t="str">
        <f>_xlfn.XLOOKUP(Table3[[#This Row],[Cuenta]],Table8[Nombre Cuenta ()],Table8[Nivel 3],"",0)</f>
        <v/>
      </c>
      <c r="U1200">
        <v>61</v>
      </c>
      <c r="V1200" t="str">
        <f>_xlfn.XLOOKUP(Table3[[#This Row],[Cuenta]],Estructura_Balance[Nombre Cuenta ()],Estructura_Balance[Niveles:2],"",0)</f>
        <v/>
      </c>
      <c r="W1200" t="str">
        <f>_xlfn.XLOOKUP(Table3[[#This Row],[Cuenta]],Estructura_Balance[Nombre Cuenta ()],Estructura_Balance[Niveles:3],"",0)</f>
        <v/>
      </c>
      <c r="X1200" t="str">
        <f>_xlfn.XLOOKUP(Table3[[#This Row],[Cuenta]],Estructura_Balance[Nombre Cuenta ()],Estructura_Balance[Grupos],"Grupo 1",0)</f>
        <v>Grupo 1</v>
      </c>
      <c r="Y1200" t="str">
        <f>+Table3[[#This Row],[BS_Nivel_1]]</f>
        <v/>
      </c>
    </row>
    <row r="1201" spans="1:25" ht="15" customHeight="1">
      <c r="A1201">
        <f>+'Libro Diario'!F621</f>
        <v>71</v>
      </c>
      <c r="B1201" s="144">
        <f>VALUE(IF(+'Libro Diario'!G621="","01/01/2025",+'Libro Diario'!G621))</f>
        <v>0</v>
      </c>
      <c r="C1201">
        <f>IF(ISNUMBER(+IF(IFERROR(VALUE(MID('Libro Diario'!D621,1,4)),0)&lt;&gt;0,'Libro Diario'!D621,0))=FALSE,'Libro Diario'!D621,0)</f>
        <v>0</v>
      </c>
      <c r="D1201" s="145">
        <f>+'Libro Diario'!E621</f>
        <v>0</v>
      </c>
      <c r="E1201" s="139" t="s">
        <v>446</v>
      </c>
      <c r="F1201" t="str">
        <f t="shared" si="54"/>
        <v>Sin Mov.</v>
      </c>
      <c r="G1201" t="str">
        <f>IF(+'Libro Diario'!H621=0,"",+'Libro Diario'!H621)</f>
        <v>Corrección Valorativa - Amortización</v>
      </c>
      <c r="H1201" t="str">
        <f>IF(+'Libro Diario'!I621=0,"",+'Libro Diario'!I621)</f>
        <v/>
      </c>
      <c r="I1201" t="str">
        <f>+IF(Table3[[#This Row],[Tipo Movimiento]]="Estructura Balance y PyG","Excluir","Incluir")</f>
        <v>Incluir</v>
      </c>
      <c r="J1201" s="153">
        <f>+IF(Table3[[#This Row],[Sin cuenta]]="Con Mov.",(IF(Table3[[#This Row],[Movimiento]]="Debe",Table3[[#This Row],[Importe]],IF(Table3[[#This Row],[Movimiento]]="Haber",Table3[[#This Row],[Importe]]*-1,0))),0)</f>
        <v>0</v>
      </c>
      <c r="K1201" s="145" t="str">
        <f t="shared" si="55"/>
        <v/>
      </c>
      <c r="L1201" s="145">
        <f t="shared" si="56"/>
        <v>0</v>
      </c>
      <c r="M1201" t="str">
        <f>_xlfn.XLOOKUP(Table3[[#This Row],[Cuenta]],Estructura_Balance[Nombre Cuenta ()],Estructura_Balance[Grupo],"",0)</f>
        <v/>
      </c>
      <c r="N1201" t="str">
        <f>_xlfn.XLOOKUP(Table3[[#This Row],[Cuenta]],Estructura_Balance[Nombre Cuenta ()],Estructura_Balance[Nivel 1],"",0)</f>
        <v/>
      </c>
      <c r="O1201" t="str">
        <f>_xlfn.XLOOKUP(Table3[[#This Row],[Cuenta]],Estructura_Balance[Nombre Cuenta ()],Estructura_Balance[Nivel 2],"",0)</f>
        <v/>
      </c>
      <c r="P1201" t="str">
        <f>_xlfn.XLOOKUP(Table3[[#This Row],[Cuenta]],Estructura_Balance[Nombre Cuenta ()],Estructura_Balance[Nivel 3],"",0)</f>
        <v/>
      </c>
      <c r="Q1201" t="str">
        <f>_xlfn.XLOOKUP(Table3[[#This Row],[Cuenta]],Estructura_Balance[Nombre Cuenta ()],Estructura_Balance[Nivel 4],"",0)</f>
        <v/>
      </c>
      <c r="R1201" t="str">
        <f>_xlfn.XLOOKUP(Table3[[#This Row],[Cuenta]],Table8[Nombre Cuenta ()],Table8[Nivel 1],"",0)</f>
        <v/>
      </c>
      <c r="S1201" t="str">
        <f>_xlfn.XLOOKUP(Table3[[#This Row],[Cuenta]],Table8[Nombre Cuenta ()],Table8[Nivel 2],"",0)</f>
        <v/>
      </c>
      <c r="T1201" t="str">
        <f>_xlfn.XLOOKUP(Table3[[#This Row],[Cuenta]],Table8[Nombre Cuenta ()],Table8[Nivel 3],"",0)</f>
        <v/>
      </c>
      <c r="U1201">
        <v>62</v>
      </c>
      <c r="V1201" t="str">
        <f>_xlfn.XLOOKUP(Table3[[#This Row],[Cuenta]],Estructura_Balance[Nombre Cuenta ()],Estructura_Balance[Niveles:2],"",0)</f>
        <v/>
      </c>
      <c r="W1201" t="str">
        <f>_xlfn.XLOOKUP(Table3[[#This Row],[Cuenta]],Estructura_Balance[Nombre Cuenta ()],Estructura_Balance[Niveles:3],"",0)</f>
        <v/>
      </c>
      <c r="X1201" t="str">
        <f>_xlfn.XLOOKUP(Table3[[#This Row],[Cuenta]],Estructura_Balance[Nombre Cuenta ()],Estructura_Balance[Grupos],"Grupo 1",0)</f>
        <v>Grupo 1</v>
      </c>
      <c r="Y1201" t="str">
        <f>+Table3[[#This Row],[BS_Nivel_1]]</f>
        <v/>
      </c>
    </row>
    <row r="1202" spans="1:25" ht="15" customHeight="1">
      <c r="A1202">
        <f>+'Libro Diario'!F622</f>
        <v>0</v>
      </c>
      <c r="B1202" s="144">
        <f>VALUE(IF(+'Libro Diario'!G622="","01/01/2025",+'Libro Diario'!G622))</f>
        <v>45658</v>
      </c>
      <c r="C1202">
        <f>IF(ISNUMBER(+IF(IFERROR(VALUE(MID('Libro Diario'!D622,1,4)),0)&lt;&gt;0,'Libro Diario'!D622,0))=FALSE,'Libro Diario'!D622,0)</f>
        <v>0</v>
      </c>
      <c r="D1202" s="145">
        <f>+'Libro Diario'!E622</f>
        <v>0</v>
      </c>
      <c r="E1202" s="139" t="s">
        <v>446</v>
      </c>
      <c r="F1202" t="str">
        <f t="shared" si="54"/>
        <v>Sin Mov.</v>
      </c>
      <c r="G1202" t="str">
        <f>IF(+'Libro Diario'!H622=0,"",+'Libro Diario'!H622)</f>
        <v/>
      </c>
      <c r="H1202" t="str">
        <f>IF(+'Libro Diario'!I622=0,"",+'Libro Diario'!I622)</f>
        <v/>
      </c>
      <c r="I1202" t="str">
        <f>+IF(Table3[[#This Row],[Tipo Movimiento]]="Estructura Balance y PyG","Excluir","Incluir")</f>
        <v>Incluir</v>
      </c>
      <c r="J1202" s="153">
        <f>+IF(Table3[[#This Row],[Sin cuenta]]="Con Mov.",(IF(Table3[[#This Row],[Movimiento]]="Debe",Table3[[#This Row],[Importe]],IF(Table3[[#This Row],[Movimiento]]="Haber",Table3[[#This Row],[Importe]]*-1,0))),0)</f>
        <v>0</v>
      </c>
      <c r="K1202" s="145" t="str">
        <f t="shared" si="55"/>
        <v/>
      </c>
      <c r="L1202" s="145">
        <f t="shared" si="56"/>
        <v>0</v>
      </c>
      <c r="M1202" t="str">
        <f>_xlfn.XLOOKUP(Table3[[#This Row],[Cuenta]],Estructura_Balance[Nombre Cuenta ()],Estructura_Balance[Grupo],"",0)</f>
        <v/>
      </c>
      <c r="N1202" t="str">
        <f>_xlfn.XLOOKUP(Table3[[#This Row],[Cuenta]],Estructura_Balance[Nombre Cuenta ()],Estructura_Balance[Nivel 1],"",0)</f>
        <v/>
      </c>
      <c r="O1202" t="str">
        <f>_xlfn.XLOOKUP(Table3[[#This Row],[Cuenta]],Estructura_Balance[Nombre Cuenta ()],Estructura_Balance[Nivel 2],"",0)</f>
        <v/>
      </c>
      <c r="P1202" t="str">
        <f>_xlfn.XLOOKUP(Table3[[#This Row],[Cuenta]],Estructura_Balance[Nombre Cuenta ()],Estructura_Balance[Nivel 3],"",0)</f>
        <v/>
      </c>
      <c r="Q1202" t="str">
        <f>_xlfn.XLOOKUP(Table3[[#This Row],[Cuenta]],Estructura_Balance[Nombre Cuenta ()],Estructura_Balance[Nivel 4],"",0)</f>
        <v/>
      </c>
      <c r="R1202" t="str">
        <f>_xlfn.XLOOKUP(Table3[[#This Row],[Cuenta]],Table8[Nombre Cuenta ()],Table8[Nivel 1],"",0)</f>
        <v/>
      </c>
      <c r="S1202" t="str">
        <f>_xlfn.XLOOKUP(Table3[[#This Row],[Cuenta]],Table8[Nombre Cuenta ()],Table8[Nivel 2],"",0)</f>
        <v/>
      </c>
      <c r="T1202" t="str">
        <f>_xlfn.XLOOKUP(Table3[[#This Row],[Cuenta]],Table8[Nombre Cuenta ()],Table8[Nivel 3],"",0)</f>
        <v/>
      </c>
      <c r="U1202">
        <v>63</v>
      </c>
      <c r="V1202" t="str">
        <f>_xlfn.XLOOKUP(Table3[[#This Row],[Cuenta]],Estructura_Balance[Nombre Cuenta ()],Estructura_Balance[Niveles:2],"",0)</f>
        <v/>
      </c>
      <c r="W1202" t="str">
        <f>_xlfn.XLOOKUP(Table3[[#This Row],[Cuenta]],Estructura_Balance[Nombre Cuenta ()],Estructura_Balance[Niveles:3],"",0)</f>
        <v/>
      </c>
      <c r="X1202" t="str">
        <f>_xlfn.XLOOKUP(Table3[[#This Row],[Cuenta]],Estructura_Balance[Nombre Cuenta ()],Estructura_Balance[Grupos],"Grupo 1",0)</f>
        <v>Grupo 1</v>
      </c>
      <c r="Y1202" t="str">
        <f>+Table3[[#This Row],[BS_Nivel_1]]</f>
        <v/>
      </c>
    </row>
    <row r="1203" spans="1:25" ht="15" customHeight="1">
      <c r="A1203">
        <f>+'Libro Diario'!F623</f>
        <v>0</v>
      </c>
      <c r="B1203" s="144">
        <f>VALUE(IF(+'Libro Diario'!G623="","01/01/2025",+'Libro Diario'!G623))</f>
        <v>45658</v>
      </c>
      <c r="C1203">
        <f>IF(ISNUMBER(+IF(IFERROR(VALUE(MID('Libro Diario'!D623,1,4)),0)&lt;&gt;0,'Libro Diario'!D623,0))=FALSE,'Libro Diario'!D623,0)</f>
        <v>0</v>
      </c>
      <c r="D1203" s="145">
        <f>+'Libro Diario'!E623</f>
        <v>0</v>
      </c>
      <c r="E1203" s="139" t="s">
        <v>446</v>
      </c>
      <c r="F1203" t="str">
        <f t="shared" si="54"/>
        <v>Sin Mov.</v>
      </c>
      <c r="G1203" t="str">
        <f>IF(+'Libro Diario'!H623=0,"",+'Libro Diario'!H623)</f>
        <v/>
      </c>
      <c r="H1203" t="str">
        <f>IF(+'Libro Diario'!I623=0,"",+'Libro Diario'!I623)</f>
        <v/>
      </c>
      <c r="I1203" t="str">
        <f>+IF(Table3[[#This Row],[Tipo Movimiento]]="Estructura Balance y PyG","Excluir","Incluir")</f>
        <v>Incluir</v>
      </c>
      <c r="J1203" s="153">
        <f>+IF(Table3[[#This Row],[Sin cuenta]]="Con Mov.",(IF(Table3[[#This Row],[Movimiento]]="Debe",Table3[[#This Row],[Importe]],IF(Table3[[#This Row],[Movimiento]]="Haber",Table3[[#This Row],[Importe]]*-1,0))),0)</f>
        <v>0</v>
      </c>
      <c r="K1203" s="145" t="str">
        <f t="shared" si="55"/>
        <v/>
      </c>
      <c r="L1203" s="145">
        <f t="shared" si="56"/>
        <v>0</v>
      </c>
      <c r="M1203" t="str">
        <f>_xlfn.XLOOKUP(Table3[[#This Row],[Cuenta]],Estructura_Balance[Nombre Cuenta ()],Estructura_Balance[Grupo],"",0)</f>
        <v/>
      </c>
      <c r="N1203" t="str">
        <f>_xlfn.XLOOKUP(Table3[[#This Row],[Cuenta]],Estructura_Balance[Nombre Cuenta ()],Estructura_Balance[Nivel 1],"",0)</f>
        <v/>
      </c>
      <c r="O1203" t="str">
        <f>_xlfn.XLOOKUP(Table3[[#This Row],[Cuenta]],Estructura_Balance[Nombre Cuenta ()],Estructura_Balance[Nivel 2],"",0)</f>
        <v/>
      </c>
      <c r="P1203" t="str">
        <f>_xlfn.XLOOKUP(Table3[[#This Row],[Cuenta]],Estructura_Balance[Nombre Cuenta ()],Estructura_Balance[Nivel 3],"",0)</f>
        <v/>
      </c>
      <c r="Q1203" t="str">
        <f>_xlfn.XLOOKUP(Table3[[#This Row],[Cuenta]],Estructura_Balance[Nombre Cuenta ()],Estructura_Balance[Nivel 4],"",0)</f>
        <v/>
      </c>
      <c r="R1203" t="str">
        <f>_xlfn.XLOOKUP(Table3[[#This Row],[Cuenta]],Table8[Nombre Cuenta ()],Table8[Nivel 1],"",0)</f>
        <v/>
      </c>
      <c r="S1203" t="str">
        <f>_xlfn.XLOOKUP(Table3[[#This Row],[Cuenta]],Table8[Nombre Cuenta ()],Table8[Nivel 2],"",0)</f>
        <v/>
      </c>
      <c r="T1203" t="str">
        <f>_xlfn.XLOOKUP(Table3[[#This Row],[Cuenta]],Table8[Nombre Cuenta ()],Table8[Nivel 3],"",0)</f>
        <v/>
      </c>
      <c r="U1203">
        <v>64</v>
      </c>
      <c r="V1203" t="str">
        <f>_xlfn.XLOOKUP(Table3[[#This Row],[Cuenta]],Estructura_Balance[Nombre Cuenta ()],Estructura_Balance[Niveles:2],"",0)</f>
        <v/>
      </c>
      <c r="W1203" t="str">
        <f>_xlfn.XLOOKUP(Table3[[#This Row],[Cuenta]],Estructura_Balance[Nombre Cuenta ()],Estructura_Balance[Niveles:3],"",0)</f>
        <v/>
      </c>
      <c r="X1203" t="str">
        <f>_xlfn.XLOOKUP(Table3[[#This Row],[Cuenta]],Estructura_Balance[Nombre Cuenta ()],Estructura_Balance[Grupos],"Grupo 1",0)</f>
        <v>Grupo 1</v>
      </c>
      <c r="Y1203" t="str">
        <f>+Table3[[#This Row],[BS_Nivel_1]]</f>
        <v/>
      </c>
    </row>
    <row r="1204" spans="1:25" ht="15" customHeight="1">
      <c r="A1204">
        <f>+'Libro Diario'!F624</f>
        <v>0</v>
      </c>
      <c r="B1204" s="144">
        <f>VALUE(IF(+'Libro Diario'!G624="","01/01/2025",+'Libro Diario'!G624))</f>
        <v>45658</v>
      </c>
      <c r="C1204">
        <f>IF(ISNUMBER(+IF(IFERROR(VALUE(MID('Libro Diario'!D624,1,4)),0)&lt;&gt;0,'Libro Diario'!D624,0))=FALSE,'Libro Diario'!D624,0)</f>
        <v>0</v>
      </c>
      <c r="D1204" s="145">
        <f>+'Libro Diario'!E624</f>
        <v>0</v>
      </c>
      <c r="E1204" s="139" t="s">
        <v>446</v>
      </c>
      <c r="F1204" t="str">
        <f t="shared" si="54"/>
        <v>Sin Mov.</v>
      </c>
      <c r="G1204" t="str">
        <f>IF(+'Libro Diario'!H624=0,"",+'Libro Diario'!H624)</f>
        <v/>
      </c>
      <c r="H1204" t="str">
        <f>IF(+'Libro Diario'!I624=0,"",+'Libro Diario'!I624)</f>
        <v/>
      </c>
      <c r="I1204" t="str">
        <f>+IF(Table3[[#This Row],[Tipo Movimiento]]="Estructura Balance y PyG","Excluir","Incluir")</f>
        <v>Incluir</v>
      </c>
      <c r="J1204" s="153">
        <f>+IF(Table3[[#This Row],[Sin cuenta]]="Con Mov.",(IF(Table3[[#This Row],[Movimiento]]="Debe",Table3[[#This Row],[Importe]],IF(Table3[[#This Row],[Movimiento]]="Haber",Table3[[#This Row],[Importe]]*-1,0))),0)</f>
        <v>0</v>
      </c>
      <c r="K1204" s="145" t="str">
        <f t="shared" si="55"/>
        <v/>
      </c>
      <c r="L1204" s="145">
        <f t="shared" si="56"/>
        <v>0</v>
      </c>
      <c r="M1204" t="str">
        <f>_xlfn.XLOOKUP(Table3[[#This Row],[Cuenta]],Estructura_Balance[Nombre Cuenta ()],Estructura_Balance[Grupo],"",0)</f>
        <v/>
      </c>
      <c r="N1204" t="str">
        <f>_xlfn.XLOOKUP(Table3[[#This Row],[Cuenta]],Estructura_Balance[Nombre Cuenta ()],Estructura_Balance[Nivel 1],"",0)</f>
        <v/>
      </c>
      <c r="O1204" t="str">
        <f>_xlfn.XLOOKUP(Table3[[#This Row],[Cuenta]],Estructura_Balance[Nombre Cuenta ()],Estructura_Balance[Nivel 2],"",0)</f>
        <v/>
      </c>
      <c r="P1204" t="str">
        <f>_xlfn.XLOOKUP(Table3[[#This Row],[Cuenta]],Estructura_Balance[Nombre Cuenta ()],Estructura_Balance[Nivel 3],"",0)</f>
        <v/>
      </c>
      <c r="Q1204" t="str">
        <f>_xlfn.XLOOKUP(Table3[[#This Row],[Cuenta]],Estructura_Balance[Nombre Cuenta ()],Estructura_Balance[Nivel 4],"",0)</f>
        <v/>
      </c>
      <c r="R1204" t="str">
        <f>_xlfn.XLOOKUP(Table3[[#This Row],[Cuenta]],Table8[Nombre Cuenta ()],Table8[Nivel 1],"",0)</f>
        <v/>
      </c>
      <c r="S1204" t="str">
        <f>_xlfn.XLOOKUP(Table3[[#This Row],[Cuenta]],Table8[Nombre Cuenta ()],Table8[Nivel 2],"",0)</f>
        <v/>
      </c>
      <c r="T1204" t="str">
        <f>_xlfn.XLOOKUP(Table3[[#This Row],[Cuenta]],Table8[Nombre Cuenta ()],Table8[Nivel 3],"",0)</f>
        <v/>
      </c>
      <c r="U1204">
        <v>1044</v>
      </c>
      <c r="V1204" t="str">
        <f>_xlfn.XLOOKUP(Table3[[#This Row],[Cuenta]],Estructura_Balance[Nombre Cuenta ()],Estructura_Balance[Niveles:2],"",0)</f>
        <v/>
      </c>
      <c r="W1204" t="str">
        <f>_xlfn.XLOOKUP(Table3[[#This Row],[Cuenta]],Estructura_Balance[Nombre Cuenta ()],Estructura_Balance[Niveles:3],"",0)</f>
        <v/>
      </c>
      <c r="X1204" t="str">
        <f>_xlfn.XLOOKUP(Table3[[#This Row],[Cuenta]],Estructura_Balance[Nombre Cuenta ()],Estructura_Balance[Grupos],"Grupo 1",0)</f>
        <v>Grupo 1</v>
      </c>
      <c r="Y1204" t="str">
        <f>+Table3[[#This Row],[BS_Nivel_1]]</f>
        <v/>
      </c>
    </row>
    <row r="1205" spans="1:25" ht="15" customHeight="1">
      <c r="A1205">
        <f>+'Libro Diario'!F625</f>
        <v>0</v>
      </c>
      <c r="B1205" s="144">
        <f>VALUE(IF(+'Libro Diario'!G625="","01/01/2025",+'Libro Diario'!G625))</f>
        <v>45658</v>
      </c>
      <c r="C1205">
        <f>IF(ISNUMBER(+IF(IFERROR(VALUE(MID('Libro Diario'!D625,1,4)),0)&lt;&gt;0,'Libro Diario'!D625,0))=FALSE,'Libro Diario'!D625,0)</f>
        <v>0</v>
      </c>
      <c r="D1205" s="145" t="str">
        <f>+'Libro Diario'!E625</f>
        <v>HABER</v>
      </c>
      <c r="E1205" s="139" t="s">
        <v>446</v>
      </c>
      <c r="F1205" t="str">
        <f t="shared" si="54"/>
        <v>Sin Mov.</v>
      </c>
      <c r="G1205" t="str">
        <f>IF(+'Libro Diario'!H625=0,"",+'Libro Diario'!H625)</f>
        <v/>
      </c>
      <c r="H1205" t="str">
        <f>IF(+'Libro Diario'!I625=0,"",+'Libro Diario'!I625)</f>
        <v/>
      </c>
      <c r="I1205" t="str">
        <f>+IF(Table3[[#This Row],[Tipo Movimiento]]="Estructura Balance y PyG","Excluir","Incluir")</f>
        <v>Incluir</v>
      </c>
      <c r="J1205" s="153">
        <f>+IF(Table3[[#This Row],[Sin cuenta]]="Con Mov.",(IF(Table3[[#This Row],[Movimiento]]="Debe",Table3[[#This Row],[Importe]],IF(Table3[[#This Row],[Movimiento]]="Haber",Table3[[#This Row],[Importe]]*-1,0))),0)</f>
        <v>0</v>
      </c>
      <c r="K1205" s="145" t="str">
        <f t="shared" si="55"/>
        <v/>
      </c>
      <c r="L1205" s="145" t="str">
        <f t="shared" si="56"/>
        <v>HABER</v>
      </c>
      <c r="M1205" t="str">
        <f>_xlfn.XLOOKUP(Table3[[#This Row],[Cuenta]],Estructura_Balance[Nombre Cuenta ()],Estructura_Balance[Grupo],"",0)</f>
        <v/>
      </c>
      <c r="N1205" t="str">
        <f>_xlfn.XLOOKUP(Table3[[#This Row],[Cuenta]],Estructura_Balance[Nombre Cuenta ()],Estructura_Balance[Nivel 1],"",0)</f>
        <v/>
      </c>
      <c r="O1205" t="str">
        <f>_xlfn.XLOOKUP(Table3[[#This Row],[Cuenta]],Estructura_Balance[Nombre Cuenta ()],Estructura_Balance[Nivel 2],"",0)</f>
        <v/>
      </c>
      <c r="P1205" t="str">
        <f>_xlfn.XLOOKUP(Table3[[#This Row],[Cuenta]],Estructura_Balance[Nombre Cuenta ()],Estructura_Balance[Nivel 3],"",0)</f>
        <v/>
      </c>
      <c r="Q1205" t="str">
        <f>_xlfn.XLOOKUP(Table3[[#This Row],[Cuenta]],Estructura_Balance[Nombre Cuenta ()],Estructura_Balance[Nivel 4],"",0)</f>
        <v/>
      </c>
      <c r="R1205" t="str">
        <f>_xlfn.XLOOKUP(Table3[[#This Row],[Cuenta]],Table8[Nombre Cuenta ()],Table8[Nivel 1],"",0)</f>
        <v/>
      </c>
      <c r="S1205" t="str">
        <f>_xlfn.XLOOKUP(Table3[[#This Row],[Cuenta]],Table8[Nombre Cuenta ()],Table8[Nivel 2],"",0)</f>
        <v/>
      </c>
      <c r="T1205" t="str">
        <f>_xlfn.XLOOKUP(Table3[[#This Row],[Cuenta]],Table8[Nombre Cuenta ()],Table8[Nivel 3],"",0)</f>
        <v/>
      </c>
      <c r="U1205">
        <v>1045</v>
      </c>
      <c r="V1205" t="str">
        <f>_xlfn.XLOOKUP(Table3[[#This Row],[Cuenta]],Estructura_Balance[Nombre Cuenta ()],Estructura_Balance[Niveles:2],"",0)</f>
        <v/>
      </c>
      <c r="W1205" t="str">
        <f>_xlfn.XLOOKUP(Table3[[#This Row],[Cuenta]],Estructura_Balance[Nombre Cuenta ()],Estructura_Balance[Niveles:3],"",0)</f>
        <v/>
      </c>
      <c r="X1205" t="str">
        <f>_xlfn.XLOOKUP(Table3[[#This Row],[Cuenta]],Estructura_Balance[Nombre Cuenta ()],Estructura_Balance[Grupos],"Grupo 1",0)</f>
        <v>Grupo 1</v>
      </c>
      <c r="Y1205" t="str">
        <f>+Table3[[#This Row],[BS_Nivel_1]]</f>
        <v/>
      </c>
    </row>
    <row r="1206" spans="1:25" ht="15" customHeight="1">
      <c r="A1206">
        <f>+'Libro Diario'!F626</f>
        <v>0</v>
      </c>
      <c r="B1206" s="144">
        <f>VALUE(IF(+'Libro Diario'!G626="","01/01/2025",+'Libro Diario'!G626))</f>
        <v>45658</v>
      </c>
      <c r="C1206">
        <f>IF(ISNUMBER(+IF(IFERROR(VALUE(MID('Libro Diario'!D626,1,4)),0)&lt;&gt;0,'Libro Diario'!D626,0))=FALSE,'Libro Diario'!D626,0)</f>
        <v>0</v>
      </c>
      <c r="D1206" s="145">
        <f>+'Libro Diario'!E626</f>
        <v>0</v>
      </c>
      <c r="E1206" s="139" t="s">
        <v>446</v>
      </c>
      <c r="F1206" t="str">
        <f t="shared" si="54"/>
        <v>Sin Mov.</v>
      </c>
      <c r="G1206" t="str">
        <f>IF(+'Libro Diario'!H626=0,"",+'Libro Diario'!H626)</f>
        <v/>
      </c>
      <c r="H1206" t="str">
        <f>IF(+'Libro Diario'!I626=0,"",+'Libro Diario'!I626)</f>
        <v/>
      </c>
      <c r="I1206" t="str">
        <f>+IF(Table3[[#This Row],[Tipo Movimiento]]="Estructura Balance y PyG","Excluir","Incluir")</f>
        <v>Incluir</v>
      </c>
      <c r="J1206" s="153">
        <f>+IF(Table3[[#This Row],[Sin cuenta]]="Con Mov.",(IF(Table3[[#This Row],[Movimiento]]="Debe",Table3[[#This Row],[Importe]],IF(Table3[[#This Row],[Movimiento]]="Haber",Table3[[#This Row],[Importe]]*-1,0))),0)</f>
        <v>0</v>
      </c>
      <c r="K1206" s="145" t="str">
        <f t="shared" si="55"/>
        <v/>
      </c>
      <c r="L1206" s="145">
        <f t="shared" si="56"/>
        <v>0</v>
      </c>
      <c r="M1206" t="str">
        <f>_xlfn.XLOOKUP(Table3[[#This Row],[Cuenta]],Estructura_Balance[Nombre Cuenta ()],Estructura_Balance[Grupo],"",0)</f>
        <v/>
      </c>
      <c r="N1206" t="str">
        <f>_xlfn.XLOOKUP(Table3[[#This Row],[Cuenta]],Estructura_Balance[Nombre Cuenta ()],Estructura_Balance[Nivel 1],"",0)</f>
        <v/>
      </c>
      <c r="O1206" t="str">
        <f>_xlfn.XLOOKUP(Table3[[#This Row],[Cuenta]],Estructura_Balance[Nombre Cuenta ()],Estructura_Balance[Nivel 2],"",0)</f>
        <v/>
      </c>
      <c r="P1206" t="str">
        <f>_xlfn.XLOOKUP(Table3[[#This Row],[Cuenta]],Estructura_Balance[Nombre Cuenta ()],Estructura_Balance[Nivel 3],"",0)</f>
        <v/>
      </c>
      <c r="Q1206" t="str">
        <f>_xlfn.XLOOKUP(Table3[[#This Row],[Cuenta]],Estructura_Balance[Nombre Cuenta ()],Estructura_Balance[Nivel 4],"",0)</f>
        <v/>
      </c>
      <c r="R1206" t="str">
        <f>_xlfn.XLOOKUP(Table3[[#This Row],[Cuenta]],Table8[Nombre Cuenta ()],Table8[Nivel 1],"",0)</f>
        <v/>
      </c>
      <c r="S1206" t="str">
        <f>_xlfn.XLOOKUP(Table3[[#This Row],[Cuenta]],Table8[Nombre Cuenta ()],Table8[Nivel 2],"",0)</f>
        <v/>
      </c>
      <c r="T1206" t="str">
        <f>_xlfn.XLOOKUP(Table3[[#This Row],[Cuenta]],Table8[Nombre Cuenta ()],Table8[Nivel 3],"",0)</f>
        <v/>
      </c>
      <c r="U1206">
        <v>1046</v>
      </c>
      <c r="V1206" t="str">
        <f>_xlfn.XLOOKUP(Table3[[#This Row],[Cuenta]],Estructura_Balance[Nombre Cuenta ()],Estructura_Balance[Niveles:2],"",0)</f>
        <v/>
      </c>
      <c r="W1206" t="str">
        <f>_xlfn.XLOOKUP(Table3[[#This Row],[Cuenta]],Estructura_Balance[Nombre Cuenta ()],Estructura_Balance[Niveles:3],"",0)</f>
        <v/>
      </c>
      <c r="X1206" t="str">
        <f>_xlfn.XLOOKUP(Table3[[#This Row],[Cuenta]],Estructura_Balance[Nombre Cuenta ()],Estructura_Balance[Grupos],"Grupo 1",0)</f>
        <v>Grupo 1</v>
      </c>
      <c r="Y1206" t="str">
        <f>+Table3[[#This Row],[BS_Nivel_1]]</f>
        <v/>
      </c>
    </row>
    <row r="1207" spans="1:25" ht="15" customHeight="1">
      <c r="A1207">
        <f>+'Libro Diario'!F627</f>
        <v>72</v>
      </c>
      <c r="B1207" s="144">
        <f>VALUE(IF(+'Libro Diario'!G627="","01/01/2025",+'Libro Diario'!G627))</f>
        <v>0</v>
      </c>
      <c r="C1207">
        <f>IF(ISNUMBER(+IF(IFERROR(VALUE(MID('Libro Diario'!D627,1,4)),0)&lt;&gt;0,'Libro Diario'!D627,0))=FALSE,'Libro Diario'!D627,0)</f>
        <v>0</v>
      </c>
      <c r="D1207" s="145">
        <f>+'Libro Diario'!E627</f>
        <v>0</v>
      </c>
      <c r="E1207" s="139" t="s">
        <v>446</v>
      </c>
      <c r="F1207" t="str">
        <f t="shared" si="54"/>
        <v>Sin Mov.</v>
      </c>
      <c r="G1207" t="str">
        <f>IF(+'Libro Diario'!H627=0,"",+'Libro Diario'!H627)</f>
        <v>Corrección Valorativa - Deterioro de Valor</v>
      </c>
      <c r="H1207" t="str">
        <f>IF(+'Libro Diario'!I627=0,"",+'Libro Diario'!I627)</f>
        <v/>
      </c>
      <c r="I1207" t="str">
        <f>+IF(Table3[[#This Row],[Tipo Movimiento]]="Estructura Balance y PyG","Excluir","Incluir")</f>
        <v>Incluir</v>
      </c>
      <c r="J1207" s="153">
        <f>+IF(Table3[[#This Row],[Sin cuenta]]="Con Mov.",(IF(Table3[[#This Row],[Movimiento]]="Debe",Table3[[#This Row],[Importe]],IF(Table3[[#This Row],[Movimiento]]="Haber",Table3[[#This Row],[Importe]]*-1,0))),0)</f>
        <v>0</v>
      </c>
      <c r="K1207" s="145" t="str">
        <f t="shared" si="55"/>
        <v/>
      </c>
      <c r="L1207" s="145">
        <f t="shared" si="56"/>
        <v>0</v>
      </c>
      <c r="M1207" t="str">
        <f>_xlfn.XLOOKUP(Table3[[#This Row],[Cuenta]],Estructura_Balance[Nombre Cuenta ()],Estructura_Balance[Grupo],"",0)</f>
        <v/>
      </c>
      <c r="N1207" t="str">
        <f>_xlfn.XLOOKUP(Table3[[#This Row],[Cuenta]],Estructura_Balance[Nombre Cuenta ()],Estructura_Balance[Nivel 1],"",0)</f>
        <v/>
      </c>
      <c r="O1207" t="str">
        <f>_xlfn.XLOOKUP(Table3[[#This Row],[Cuenta]],Estructura_Balance[Nombre Cuenta ()],Estructura_Balance[Nivel 2],"",0)</f>
        <v/>
      </c>
      <c r="P1207" t="str">
        <f>_xlfn.XLOOKUP(Table3[[#This Row],[Cuenta]],Estructura_Balance[Nombre Cuenta ()],Estructura_Balance[Nivel 3],"",0)</f>
        <v/>
      </c>
      <c r="Q1207" t="str">
        <f>_xlfn.XLOOKUP(Table3[[#This Row],[Cuenta]],Estructura_Balance[Nombre Cuenta ()],Estructura_Balance[Nivel 4],"",0)</f>
        <v/>
      </c>
      <c r="R1207" t="str">
        <f>_xlfn.XLOOKUP(Table3[[#This Row],[Cuenta]],Table8[Nombre Cuenta ()],Table8[Nivel 1],"",0)</f>
        <v/>
      </c>
      <c r="S1207" t="str">
        <f>_xlfn.XLOOKUP(Table3[[#This Row],[Cuenta]],Table8[Nombre Cuenta ()],Table8[Nivel 2],"",0)</f>
        <v/>
      </c>
      <c r="T1207" t="str">
        <f>_xlfn.XLOOKUP(Table3[[#This Row],[Cuenta]],Table8[Nombre Cuenta ()],Table8[Nivel 3],"",0)</f>
        <v/>
      </c>
      <c r="U1207">
        <v>1047</v>
      </c>
      <c r="V1207" t="str">
        <f>_xlfn.XLOOKUP(Table3[[#This Row],[Cuenta]],Estructura_Balance[Nombre Cuenta ()],Estructura_Balance[Niveles:2],"",0)</f>
        <v/>
      </c>
      <c r="W1207" t="str">
        <f>_xlfn.XLOOKUP(Table3[[#This Row],[Cuenta]],Estructura_Balance[Nombre Cuenta ()],Estructura_Balance[Niveles:3],"",0)</f>
        <v/>
      </c>
      <c r="X1207" t="str">
        <f>_xlfn.XLOOKUP(Table3[[#This Row],[Cuenta]],Estructura_Balance[Nombre Cuenta ()],Estructura_Balance[Grupos],"Grupo 1",0)</f>
        <v>Grupo 1</v>
      </c>
      <c r="Y1207" t="str">
        <f>+Table3[[#This Row],[BS_Nivel_1]]</f>
        <v/>
      </c>
    </row>
    <row r="1208" spans="1:25" ht="15" customHeight="1">
      <c r="A1208">
        <f>+'Libro Diario'!F628</f>
        <v>72</v>
      </c>
      <c r="B1208" s="144">
        <f>VALUE(IF(+'Libro Diario'!G628="","01/01/2025",+'Libro Diario'!G628))</f>
        <v>0</v>
      </c>
      <c r="C1208">
        <f>IF(ISNUMBER(+IF(IFERROR(VALUE(MID('Libro Diario'!D628,1,4)),0)&lt;&gt;0,'Libro Diario'!D628,0))=FALSE,'Libro Diario'!D628,0)</f>
        <v>0</v>
      </c>
      <c r="D1208" s="145">
        <f>+'Libro Diario'!E628</f>
        <v>0</v>
      </c>
      <c r="E1208" s="139" t="s">
        <v>446</v>
      </c>
      <c r="F1208" t="str">
        <f t="shared" si="54"/>
        <v>Sin Mov.</v>
      </c>
      <c r="G1208" t="str">
        <f>IF(+'Libro Diario'!H628=0,"",+'Libro Diario'!H628)</f>
        <v>Corrección Valorativa - Deterioro de Valor</v>
      </c>
      <c r="H1208" t="str">
        <f>IF(+'Libro Diario'!I628=0,"",+'Libro Diario'!I628)</f>
        <v/>
      </c>
      <c r="I1208" t="str">
        <f>+IF(Table3[[#This Row],[Tipo Movimiento]]="Estructura Balance y PyG","Excluir","Incluir")</f>
        <v>Incluir</v>
      </c>
      <c r="J1208" s="153">
        <f>+IF(Table3[[#This Row],[Sin cuenta]]="Con Mov.",(IF(Table3[[#This Row],[Movimiento]]="Debe",Table3[[#This Row],[Importe]],IF(Table3[[#This Row],[Movimiento]]="Haber",Table3[[#This Row],[Importe]]*-1,0))),0)</f>
        <v>0</v>
      </c>
      <c r="K1208" s="145" t="str">
        <f t="shared" si="55"/>
        <v/>
      </c>
      <c r="L1208" s="145">
        <f t="shared" si="56"/>
        <v>0</v>
      </c>
      <c r="M1208" t="str">
        <f>_xlfn.XLOOKUP(Table3[[#This Row],[Cuenta]],Estructura_Balance[Nombre Cuenta ()],Estructura_Balance[Grupo],"",0)</f>
        <v/>
      </c>
      <c r="N1208" t="str">
        <f>_xlfn.XLOOKUP(Table3[[#This Row],[Cuenta]],Estructura_Balance[Nombre Cuenta ()],Estructura_Balance[Nivel 1],"",0)</f>
        <v/>
      </c>
      <c r="O1208" t="str">
        <f>_xlfn.XLOOKUP(Table3[[#This Row],[Cuenta]],Estructura_Balance[Nombre Cuenta ()],Estructura_Balance[Nivel 2],"",0)</f>
        <v/>
      </c>
      <c r="P1208" t="str">
        <f>_xlfn.XLOOKUP(Table3[[#This Row],[Cuenta]],Estructura_Balance[Nombre Cuenta ()],Estructura_Balance[Nivel 3],"",0)</f>
        <v/>
      </c>
      <c r="Q1208" t="str">
        <f>_xlfn.XLOOKUP(Table3[[#This Row],[Cuenta]],Estructura_Balance[Nombre Cuenta ()],Estructura_Balance[Nivel 4],"",0)</f>
        <v/>
      </c>
      <c r="R1208" t="str">
        <f>_xlfn.XLOOKUP(Table3[[#This Row],[Cuenta]],Table8[Nombre Cuenta ()],Table8[Nivel 1],"",0)</f>
        <v/>
      </c>
      <c r="S1208" t="str">
        <f>_xlfn.XLOOKUP(Table3[[#This Row],[Cuenta]],Table8[Nombre Cuenta ()],Table8[Nivel 2],"",0)</f>
        <v/>
      </c>
      <c r="T1208" t="str">
        <f>_xlfn.XLOOKUP(Table3[[#This Row],[Cuenta]],Table8[Nombre Cuenta ()],Table8[Nivel 3],"",0)</f>
        <v/>
      </c>
      <c r="U1208">
        <v>1048</v>
      </c>
      <c r="V1208" t="str">
        <f>_xlfn.XLOOKUP(Table3[[#This Row],[Cuenta]],Estructura_Balance[Nombre Cuenta ()],Estructura_Balance[Niveles:2],"",0)</f>
        <v/>
      </c>
      <c r="W1208" t="str">
        <f>_xlfn.XLOOKUP(Table3[[#This Row],[Cuenta]],Estructura_Balance[Nombre Cuenta ()],Estructura_Balance[Niveles:3],"",0)</f>
        <v/>
      </c>
      <c r="X1208" t="str">
        <f>_xlfn.XLOOKUP(Table3[[#This Row],[Cuenta]],Estructura_Balance[Nombre Cuenta ()],Estructura_Balance[Grupos],"Grupo 1",0)</f>
        <v>Grupo 1</v>
      </c>
      <c r="Y1208" t="str">
        <f>+Table3[[#This Row],[BS_Nivel_1]]</f>
        <v/>
      </c>
    </row>
    <row r="1209" spans="1:25" ht="15" customHeight="1">
      <c r="A1209">
        <f>+'Libro Diario'!F629</f>
        <v>0</v>
      </c>
      <c r="B1209" s="144">
        <f>VALUE(IF(+'Libro Diario'!G629="","01/01/2025",+'Libro Diario'!G629))</f>
        <v>45658</v>
      </c>
      <c r="C1209">
        <f>IF(ISNUMBER(+IF(IFERROR(VALUE(MID('Libro Diario'!D629,1,4)),0)&lt;&gt;0,'Libro Diario'!D629,0))=FALSE,'Libro Diario'!D629,0)</f>
        <v>0</v>
      </c>
      <c r="D1209" s="145">
        <f>+'Libro Diario'!E629</f>
        <v>0</v>
      </c>
      <c r="E1209" s="139" t="s">
        <v>446</v>
      </c>
      <c r="F1209" t="str">
        <f t="shared" si="54"/>
        <v>Sin Mov.</v>
      </c>
      <c r="G1209" t="str">
        <f>IF(+'Libro Diario'!H629=0,"",+'Libro Diario'!H629)</f>
        <v/>
      </c>
      <c r="H1209" t="str">
        <f>IF(+'Libro Diario'!I629=0,"",+'Libro Diario'!I629)</f>
        <v/>
      </c>
      <c r="I1209" t="str">
        <f>+IF(Table3[[#This Row],[Tipo Movimiento]]="Estructura Balance y PyG","Excluir","Incluir")</f>
        <v>Incluir</v>
      </c>
      <c r="J1209" s="153">
        <f>+IF(Table3[[#This Row],[Sin cuenta]]="Con Mov.",(IF(Table3[[#This Row],[Movimiento]]="Debe",Table3[[#This Row],[Importe]],IF(Table3[[#This Row],[Movimiento]]="Haber",Table3[[#This Row],[Importe]]*-1,0))),0)</f>
        <v>0</v>
      </c>
      <c r="K1209" s="145" t="str">
        <f t="shared" si="55"/>
        <v/>
      </c>
      <c r="L1209" s="145">
        <f t="shared" si="56"/>
        <v>0</v>
      </c>
      <c r="M1209" t="str">
        <f>_xlfn.XLOOKUP(Table3[[#This Row],[Cuenta]],Estructura_Balance[Nombre Cuenta ()],Estructura_Balance[Grupo],"",0)</f>
        <v/>
      </c>
      <c r="N1209" t="str">
        <f>_xlfn.XLOOKUP(Table3[[#This Row],[Cuenta]],Estructura_Balance[Nombre Cuenta ()],Estructura_Balance[Nivel 1],"",0)</f>
        <v/>
      </c>
      <c r="O1209" t="str">
        <f>_xlfn.XLOOKUP(Table3[[#This Row],[Cuenta]],Estructura_Balance[Nombre Cuenta ()],Estructura_Balance[Nivel 2],"",0)</f>
        <v/>
      </c>
      <c r="P1209" t="str">
        <f>_xlfn.XLOOKUP(Table3[[#This Row],[Cuenta]],Estructura_Balance[Nombre Cuenta ()],Estructura_Balance[Nivel 3],"",0)</f>
        <v/>
      </c>
      <c r="Q1209" t="str">
        <f>_xlfn.XLOOKUP(Table3[[#This Row],[Cuenta]],Estructura_Balance[Nombre Cuenta ()],Estructura_Balance[Nivel 4],"",0)</f>
        <v/>
      </c>
      <c r="R1209" t="str">
        <f>_xlfn.XLOOKUP(Table3[[#This Row],[Cuenta]],Table8[Nombre Cuenta ()],Table8[Nivel 1],"",0)</f>
        <v/>
      </c>
      <c r="S1209" t="str">
        <f>_xlfn.XLOOKUP(Table3[[#This Row],[Cuenta]],Table8[Nombre Cuenta ()],Table8[Nivel 2],"",0)</f>
        <v/>
      </c>
      <c r="T1209" t="str">
        <f>_xlfn.XLOOKUP(Table3[[#This Row],[Cuenta]],Table8[Nombre Cuenta ()],Table8[Nivel 3],"",0)</f>
        <v/>
      </c>
      <c r="U1209">
        <v>1049</v>
      </c>
      <c r="V1209" t="str">
        <f>_xlfn.XLOOKUP(Table3[[#This Row],[Cuenta]],Estructura_Balance[Nombre Cuenta ()],Estructura_Balance[Niveles:2],"",0)</f>
        <v/>
      </c>
      <c r="W1209" t="str">
        <f>_xlfn.XLOOKUP(Table3[[#This Row],[Cuenta]],Estructura_Balance[Nombre Cuenta ()],Estructura_Balance[Niveles:3],"",0)</f>
        <v/>
      </c>
      <c r="X1209" t="str">
        <f>_xlfn.XLOOKUP(Table3[[#This Row],[Cuenta]],Estructura_Balance[Nombre Cuenta ()],Estructura_Balance[Grupos],"Grupo 1",0)</f>
        <v>Grupo 1</v>
      </c>
      <c r="Y1209" t="str">
        <f>+Table3[[#This Row],[BS_Nivel_1]]</f>
        <v/>
      </c>
    </row>
    <row r="1210" spans="1:25" ht="15" customHeight="1">
      <c r="A1210">
        <f>+'Libro Diario'!F630</f>
        <v>0</v>
      </c>
      <c r="B1210" s="144">
        <f>VALUE(IF(+'Libro Diario'!G630="","01/01/2025",+'Libro Diario'!G630))</f>
        <v>45658</v>
      </c>
      <c r="C1210">
        <f>IF(ISNUMBER(+IF(IFERROR(VALUE(MID('Libro Diario'!D630,1,4)),0)&lt;&gt;0,'Libro Diario'!D630,0))=FALSE,'Libro Diario'!D630,0)</f>
        <v>0</v>
      </c>
      <c r="D1210" s="145">
        <f>+'Libro Diario'!E630</f>
        <v>0</v>
      </c>
      <c r="E1210" s="139" t="s">
        <v>446</v>
      </c>
      <c r="F1210" t="str">
        <f t="shared" si="54"/>
        <v>Sin Mov.</v>
      </c>
      <c r="G1210" t="str">
        <f>IF(+'Libro Diario'!H630=0,"",+'Libro Diario'!H630)</f>
        <v/>
      </c>
      <c r="H1210" t="str">
        <f>IF(+'Libro Diario'!I630=0,"",+'Libro Diario'!I630)</f>
        <v/>
      </c>
      <c r="I1210" t="str">
        <f>+IF(Table3[[#This Row],[Tipo Movimiento]]="Estructura Balance y PyG","Excluir","Incluir")</f>
        <v>Incluir</v>
      </c>
      <c r="J1210" s="153">
        <f>+IF(Table3[[#This Row],[Sin cuenta]]="Con Mov.",(IF(Table3[[#This Row],[Movimiento]]="Debe",Table3[[#This Row],[Importe]],IF(Table3[[#This Row],[Movimiento]]="Haber",Table3[[#This Row],[Importe]]*-1,0))),0)</f>
        <v>0</v>
      </c>
      <c r="K1210" s="145" t="str">
        <f t="shared" si="55"/>
        <v/>
      </c>
      <c r="L1210" s="145">
        <f t="shared" si="56"/>
        <v>0</v>
      </c>
      <c r="M1210" t="str">
        <f>_xlfn.XLOOKUP(Table3[[#This Row],[Cuenta]],Estructura_Balance[Nombre Cuenta ()],Estructura_Balance[Grupo],"",0)</f>
        <v/>
      </c>
      <c r="N1210" t="str">
        <f>_xlfn.XLOOKUP(Table3[[#This Row],[Cuenta]],Estructura_Balance[Nombre Cuenta ()],Estructura_Balance[Nivel 1],"",0)</f>
        <v/>
      </c>
      <c r="O1210" t="str">
        <f>_xlfn.XLOOKUP(Table3[[#This Row],[Cuenta]],Estructura_Balance[Nombre Cuenta ()],Estructura_Balance[Nivel 2],"",0)</f>
        <v/>
      </c>
      <c r="P1210" t="str">
        <f>_xlfn.XLOOKUP(Table3[[#This Row],[Cuenta]],Estructura_Balance[Nombre Cuenta ()],Estructura_Balance[Nivel 3],"",0)</f>
        <v/>
      </c>
      <c r="Q1210" t="str">
        <f>_xlfn.XLOOKUP(Table3[[#This Row],[Cuenta]],Estructura_Balance[Nombre Cuenta ()],Estructura_Balance[Nivel 4],"",0)</f>
        <v/>
      </c>
      <c r="R1210" t="str">
        <f>_xlfn.XLOOKUP(Table3[[#This Row],[Cuenta]],Table8[Nombre Cuenta ()],Table8[Nivel 1],"",0)</f>
        <v/>
      </c>
      <c r="S1210" t="str">
        <f>_xlfn.XLOOKUP(Table3[[#This Row],[Cuenta]],Table8[Nombre Cuenta ()],Table8[Nivel 2],"",0)</f>
        <v/>
      </c>
      <c r="T1210" t="str">
        <f>_xlfn.XLOOKUP(Table3[[#This Row],[Cuenta]],Table8[Nombre Cuenta ()],Table8[Nivel 3],"",0)</f>
        <v/>
      </c>
      <c r="U1210">
        <v>1050</v>
      </c>
      <c r="V1210" t="str">
        <f>_xlfn.XLOOKUP(Table3[[#This Row],[Cuenta]],Estructura_Balance[Nombre Cuenta ()],Estructura_Balance[Niveles:2],"",0)</f>
        <v/>
      </c>
      <c r="W1210" t="str">
        <f>_xlfn.XLOOKUP(Table3[[#This Row],[Cuenta]],Estructura_Balance[Nombre Cuenta ()],Estructura_Balance[Niveles:3],"",0)</f>
        <v/>
      </c>
      <c r="X1210" t="str">
        <f>_xlfn.XLOOKUP(Table3[[#This Row],[Cuenta]],Estructura_Balance[Nombre Cuenta ()],Estructura_Balance[Grupos],"Grupo 1",0)</f>
        <v>Grupo 1</v>
      </c>
      <c r="Y1210" t="str">
        <f>+Table3[[#This Row],[BS_Nivel_1]]</f>
        <v/>
      </c>
    </row>
    <row r="1211" spans="1:25" ht="15" customHeight="1">
      <c r="A1211">
        <f>+'Libro Diario'!F631</f>
        <v>0</v>
      </c>
      <c r="B1211" s="144">
        <f>VALUE(IF(+'Libro Diario'!G631="","01/01/2025",+'Libro Diario'!G631))</f>
        <v>45658</v>
      </c>
      <c r="C1211">
        <f>IF(ISNUMBER(+IF(IFERROR(VALUE(MID('Libro Diario'!D631,1,4)),0)&lt;&gt;0,'Libro Diario'!D631,0))=FALSE,'Libro Diario'!D631,0)</f>
        <v>0</v>
      </c>
      <c r="D1211" s="145">
        <f>+'Libro Diario'!E631</f>
        <v>0</v>
      </c>
      <c r="E1211" s="139" t="s">
        <v>446</v>
      </c>
      <c r="F1211" t="str">
        <f t="shared" si="54"/>
        <v>Sin Mov.</v>
      </c>
      <c r="G1211" t="str">
        <f>IF(+'Libro Diario'!H631=0,"",+'Libro Diario'!H631)</f>
        <v/>
      </c>
      <c r="H1211" t="str">
        <f>IF(+'Libro Diario'!I631=0,"",+'Libro Diario'!I631)</f>
        <v/>
      </c>
      <c r="I1211" t="str">
        <f>+IF(Table3[[#This Row],[Tipo Movimiento]]="Estructura Balance y PyG","Excluir","Incluir")</f>
        <v>Incluir</v>
      </c>
      <c r="J1211" s="153">
        <f>+IF(Table3[[#This Row],[Sin cuenta]]="Con Mov.",(IF(Table3[[#This Row],[Movimiento]]="Debe",Table3[[#This Row],[Importe]],IF(Table3[[#This Row],[Movimiento]]="Haber",Table3[[#This Row],[Importe]]*-1,0))),0)</f>
        <v>0</v>
      </c>
      <c r="K1211" s="145" t="str">
        <f t="shared" si="55"/>
        <v/>
      </c>
      <c r="L1211" s="145">
        <f t="shared" si="56"/>
        <v>0</v>
      </c>
      <c r="M1211" t="str">
        <f>_xlfn.XLOOKUP(Table3[[#This Row],[Cuenta]],Estructura_Balance[Nombre Cuenta ()],Estructura_Balance[Grupo],"",0)</f>
        <v/>
      </c>
      <c r="N1211" t="str">
        <f>_xlfn.XLOOKUP(Table3[[#This Row],[Cuenta]],Estructura_Balance[Nombre Cuenta ()],Estructura_Balance[Nivel 1],"",0)</f>
        <v/>
      </c>
      <c r="O1211" t="str">
        <f>_xlfn.XLOOKUP(Table3[[#This Row],[Cuenta]],Estructura_Balance[Nombre Cuenta ()],Estructura_Balance[Nivel 2],"",0)</f>
        <v/>
      </c>
      <c r="P1211" t="str">
        <f>_xlfn.XLOOKUP(Table3[[#This Row],[Cuenta]],Estructura_Balance[Nombre Cuenta ()],Estructura_Balance[Nivel 3],"",0)</f>
        <v/>
      </c>
      <c r="Q1211" t="str">
        <f>_xlfn.XLOOKUP(Table3[[#This Row],[Cuenta]],Estructura_Balance[Nombre Cuenta ()],Estructura_Balance[Nivel 4],"",0)</f>
        <v/>
      </c>
      <c r="R1211" t="str">
        <f>_xlfn.XLOOKUP(Table3[[#This Row],[Cuenta]],Table8[Nombre Cuenta ()],Table8[Nivel 1],"",0)</f>
        <v/>
      </c>
      <c r="S1211" t="str">
        <f>_xlfn.XLOOKUP(Table3[[#This Row],[Cuenta]],Table8[Nombre Cuenta ()],Table8[Nivel 2],"",0)</f>
        <v/>
      </c>
      <c r="T1211" t="str">
        <f>_xlfn.XLOOKUP(Table3[[#This Row],[Cuenta]],Table8[Nombre Cuenta ()],Table8[Nivel 3],"",0)</f>
        <v/>
      </c>
      <c r="U1211">
        <v>1051</v>
      </c>
      <c r="V1211" t="str">
        <f>_xlfn.XLOOKUP(Table3[[#This Row],[Cuenta]],Estructura_Balance[Nombre Cuenta ()],Estructura_Balance[Niveles:2],"",0)</f>
        <v/>
      </c>
      <c r="W1211" t="str">
        <f>_xlfn.XLOOKUP(Table3[[#This Row],[Cuenta]],Estructura_Balance[Nombre Cuenta ()],Estructura_Balance[Niveles:3],"",0)</f>
        <v/>
      </c>
      <c r="X1211" t="str">
        <f>_xlfn.XLOOKUP(Table3[[#This Row],[Cuenta]],Estructura_Balance[Nombre Cuenta ()],Estructura_Balance[Grupos],"Grupo 1",0)</f>
        <v>Grupo 1</v>
      </c>
      <c r="Y1211" t="str">
        <f>+Table3[[#This Row],[BS_Nivel_1]]</f>
        <v/>
      </c>
    </row>
    <row r="1212" spans="1:25" ht="15" customHeight="1">
      <c r="A1212">
        <f>+'Libro Diario'!F632</f>
        <v>0</v>
      </c>
      <c r="B1212" s="144">
        <f>VALUE(IF(+'Libro Diario'!G632="","01/01/2025",+'Libro Diario'!G632))</f>
        <v>45658</v>
      </c>
      <c r="C1212">
        <f>IF(ISNUMBER(+IF(IFERROR(VALUE(MID('Libro Diario'!D632,1,4)),0)&lt;&gt;0,'Libro Diario'!D632,0))=FALSE,'Libro Diario'!D632,0)</f>
        <v>0</v>
      </c>
      <c r="D1212" s="145" t="str">
        <f>+'Libro Diario'!E632</f>
        <v>HABER</v>
      </c>
      <c r="E1212" s="139" t="s">
        <v>446</v>
      </c>
      <c r="F1212" t="str">
        <f t="shared" si="54"/>
        <v>Sin Mov.</v>
      </c>
      <c r="G1212" t="str">
        <f>IF(+'Libro Diario'!H632=0,"",+'Libro Diario'!H632)</f>
        <v/>
      </c>
      <c r="H1212" t="str">
        <f>IF(+'Libro Diario'!I632=0,"",+'Libro Diario'!I632)</f>
        <v/>
      </c>
      <c r="I1212" t="str">
        <f>+IF(Table3[[#This Row],[Tipo Movimiento]]="Estructura Balance y PyG","Excluir","Incluir")</f>
        <v>Incluir</v>
      </c>
      <c r="J1212" s="153">
        <f>+IF(Table3[[#This Row],[Sin cuenta]]="Con Mov.",(IF(Table3[[#This Row],[Movimiento]]="Debe",Table3[[#This Row],[Importe]],IF(Table3[[#This Row],[Movimiento]]="Haber",Table3[[#This Row],[Importe]]*-1,0))),0)</f>
        <v>0</v>
      </c>
      <c r="K1212" s="145" t="str">
        <f t="shared" si="55"/>
        <v/>
      </c>
      <c r="L1212" s="145" t="str">
        <f t="shared" si="56"/>
        <v>HABER</v>
      </c>
      <c r="M1212" t="str">
        <f>_xlfn.XLOOKUP(Table3[[#This Row],[Cuenta]],Estructura_Balance[Nombre Cuenta ()],Estructura_Balance[Grupo],"",0)</f>
        <v/>
      </c>
      <c r="N1212" t="str">
        <f>_xlfn.XLOOKUP(Table3[[#This Row],[Cuenta]],Estructura_Balance[Nombre Cuenta ()],Estructura_Balance[Nivel 1],"",0)</f>
        <v/>
      </c>
      <c r="O1212" t="str">
        <f>_xlfn.XLOOKUP(Table3[[#This Row],[Cuenta]],Estructura_Balance[Nombre Cuenta ()],Estructura_Balance[Nivel 2],"",0)</f>
        <v/>
      </c>
      <c r="P1212" t="str">
        <f>_xlfn.XLOOKUP(Table3[[#This Row],[Cuenta]],Estructura_Balance[Nombre Cuenta ()],Estructura_Balance[Nivel 3],"",0)</f>
        <v/>
      </c>
      <c r="Q1212" t="str">
        <f>_xlfn.XLOOKUP(Table3[[#This Row],[Cuenta]],Estructura_Balance[Nombre Cuenta ()],Estructura_Balance[Nivel 4],"",0)</f>
        <v/>
      </c>
      <c r="R1212" t="str">
        <f>_xlfn.XLOOKUP(Table3[[#This Row],[Cuenta]],Table8[Nombre Cuenta ()],Table8[Nivel 1],"",0)</f>
        <v/>
      </c>
      <c r="S1212" t="str">
        <f>_xlfn.XLOOKUP(Table3[[#This Row],[Cuenta]],Table8[Nombre Cuenta ()],Table8[Nivel 2],"",0)</f>
        <v/>
      </c>
      <c r="T1212" t="str">
        <f>_xlfn.XLOOKUP(Table3[[#This Row],[Cuenta]],Table8[Nombre Cuenta ()],Table8[Nivel 3],"",0)</f>
        <v/>
      </c>
      <c r="U1212">
        <v>1052</v>
      </c>
      <c r="V1212" t="str">
        <f>_xlfn.XLOOKUP(Table3[[#This Row],[Cuenta]],Estructura_Balance[Nombre Cuenta ()],Estructura_Balance[Niveles:2],"",0)</f>
        <v/>
      </c>
      <c r="W1212" t="str">
        <f>_xlfn.XLOOKUP(Table3[[#This Row],[Cuenta]],Estructura_Balance[Nombre Cuenta ()],Estructura_Balance[Niveles:3],"",0)</f>
        <v/>
      </c>
      <c r="X1212" t="str">
        <f>_xlfn.XLOOKUP(Table3[[#This Row],[Cuenta]],Estructura_Balance[Nombre Cuenta ()],Estructura_Balance[Grupos],"Grupo 1",0)</f>
        <v>Grupo 1</v>
      </c>
      <c r="Y1212" t="str">
        <f>+Table3[[#This Row],[BS_Nivel_1]]</f>
        <v/>
      </c>
    </row>
    <row r="1213" spans="1:25" ht="15" customHeight="1">
      <c r="A1213">
        <f>+'Libro Diario'!F633</f>
        <v>0</v>
      </c>
      <c r="B1213" s="144">
        <f>VALUE(IF(+'Libro Diario'!G633="","01/01/2025",+'Libro Diario'!G633))</f>
        <v>45658</v>
      </c>
      <c r="C1213">
        <f>IF(ISNUMBER(+IF(IFERROR(VALUE(MID('Libro Diario'!D633,1,4)),0)&lt;&gt;0,'Libro Diario'!D633,0))=FALSE,'Libro Diario'!D633,0)</f>
        <v>0</v>
      </c>
      <c r="D1213" s="145">
        <f>+'Libro Diario'!E633</f>
        <v>0</v>
      </c>
      <c r="E1213" s="139" t="s">
        <v>446</v>
      </c>
      <c r="F1213" t="str">
        <f t="shared" si="54"/>
        <v>Sin Mov.</v>
      </c>
      <c r="G1213" t="str">
        <f>IF(+'Libro Diario'!H633=0,"",+'Libro Diario'!H633)</f>
        <v/>
      </c>
      <c r="H1213" t="str">
        <f>IF(+'Libro Diario'!I633=0,"",+'Libro Diario'!I633)</f>
        <v/>
      </c>
      <c r="I1213" t="str">
        <f>+IF(Table3[[#This Row],[Tipo Movimiento]]="Estructura Balance y PyG","Excluir","Incluir")</f>
        <v>Incluir</v>
      </c>
      <c r="J1213" s="153">
        <f>+IF(Table3[[#This Row],[Sin cuenta]]="Con Mov.",(IF(Table3[[#This Row],[Movimiento]]="Debe",Table3[[#This Row],[Importe]],IF(Table3[[#This Row],[Movimiento]]="Haber",Table3[[#This Row],[Importe]]*-1,0))),0)</f>
        <v>0</v>
      </c>
      <c r="K1213" s="145" t="str">
        <f t="shared" si="55"/>
        <v/>
      </c>
      <c r="L1213" s="145">
        <f t="shared" si="56"/>
        <v>0</v>
      </c>
      <c r="M1213" t="str">
        <f>_xlfn.XLOOKUP(Table3[[#This Row],[Cuenta]],Estructura_Balance[Nombre Cuenta ()],Estructura_Balance[Grupo],"",0)</f>
        <v/>
      </c>
      <c r="N1213" t="str">
        <f>_xlfn.XLOOKUP(Table3[[#This Row],[Cuenta]],Estructura_Balance[Nombre Cuenta ()],Estructura_Balance[Nivel 1],"",0)</f>
        <v/>
      </c>
      <c r="O1213" t="str">
        <f>_xlfn.XLOOKUP(Table3[[#This Row],[Cuenta]],Estructura_Balance[Nombre Cuenta ()],Estructura_Balance[Nivel 2],"",0)</f>
        <v/>
      </c>
      <c r="P1213" t="str">
        <f>_xlfn.XLOOKUP(Table3[[#This Row],[Cuenta]],Estructura_Balance[Nombre Cuenta ()],Estructura_Balance[Nivel 3],"",0)</f>
        <v/>
      </c>
      <c r="Q1213" t="str">
        <f>_xlfn.XLOOKUP(Table3[[#This Row],[Cuenta]],Estructura_Balance[Nombre Cuenta ()],Estructura_Balance[Nivel 4],"",0)</f>
        <v/>
      </c>
      <c r="R1213" t="str">
        <f>_xlfn.XLOOKUP(Table3[[#This Row],[Cuenta]],Table8[Nombre Cuenta ()],Table8[Nivel 1],"",0)</f>
        <v/>
      </c>
      <c r="S1213" t="str">
        <f>_xlfn.XLOOKUP(Table3[[#This Row],[Cuenta]],Table8[Nombre Cuenta ()],Table8[Nivel 2],"",0)</f>
        <v/>
      </c>
      <c r="T1213" t="str">
        <f>_xlfn.XLOOKUP(Table3[[#This Row],[Cuenta]],Table8[Nombre Cuenta ()],Table8[Nivel 3],"",0)</f>
        <v/>
      </c>
      <c r="U1213">
        <v>1053</v>
      </c>
      <c r="V1213" t="str">
        <f>_xlfn.XLOOKUP(Table3[[#This Row],[Cuenta]],Estructura_Balance[Nombre Cuenta ()],Estructura_Balance[Niveles:2],"",0)</f>
        <v/>
      </c>
      <c r="W1213" t="str">
        <f>_xlfn.XLOOKUP(Table3[[#This Row],[Cuenta]],Estructura_Balance[Nombre Cuenta ()],Estructura_Balance[Niveles:3],"",0)</f>
        <v/>
      </c>
      <c r="X1213" t="str">
        <f>_xlfn.XLOOKUP(Table3[[#This Row],[Cuenta]],Estructura_Balance[Nombre Cuenta ()],Estructura_Balance[Grupos],"Grupo 1",0)</f>
        <v>Grupo 1</v>
      </c>
      <c r="Y1213" t="str">
        <f>+Table3[[#This Row],[BS_Nivel_1]]</f>
        <v/>
      </c>
    </row>
    <row r="1214" spans="1:25" ht="15" customHeight="1">
      <c r="A1214">
        <f>+'Libro Diario'!F634</f>
        <v>73</v>
      </c>
      <c r="B1214" s="144">
        <f>VALUE(IF(+'Libro Diario'!G634="","01/01/2025",+'Libro Diario'!G634))</f>
        <v>0</v>
      </c>
      <c r="C1214">
        <f>IF(ISNUMBER(+IF(IFERROR(VALUE(MID('Libro Diario'!D634,1,4)),0)&lt;&gt;0,'Libro Diario'!D634,0))=FALSE,'Libro Diario'!D634,0)</f>
        <v>0</v>
      </c>
      <c r="D1214" s="145">
        <f>+'Libro Diario'!E634</f>
        <v>0</v>
      </c>
      <c r="E1214" s="139" t="s">
        <v>446</v>
      </c>
      <c r="F1214" t="str">
        <f t="shared" si="54"/>
        <v>Sin Mov.</v>
      </c>
      <c r="G1214" t="str">
        <f>IF(+'Libro Diario'!H634=0,"",+'Libro Diario'!H634)</f>
        <v>Provisiones</v>
      </c>
      <c r="H1214" t="str">
        <f>IF(+'Libro Diario'!I634=0,"",+'Libro Diario'!I634)</f>
        <v/>
      </c>
      <c r="I1214" t="str">
        <f>+IF(Table3[[#This Row],[Tipo Movimiento]]="Estructura Balance y PyG","Excluir","Incluir")</f>
        <v>Incluir</v>
      </c>
      <c r="J1214" s="153">
        <f>+IF(Table3[[#This Row],[Sin cuenta]]="Con Mov.",(IF(Table3[[#This Row],[Movimiento]]="Debe",Table3[[#This Row],[Importe]],IF(Table3[[#This Row],[Movimiento]]="Haber",Table3[[#This Row],[Importe]]*-1,0))),0)</f>
        <v>0</v>
      </c>
      <c r="K1214" s="145" t="str">
        <f t="shared" si="55"/>
        <v/>
      </c>
      <c r="L1214" s="145">
        <f t="shared" si="56"/>
        <v>0</v>
      </c>
      <c r="M1214" t="str">
        <f>_xlfn.XLOOKUP(Table3[[#This Row],[Cuenta]],Estructura_Balance[Nombre Cuenta ()],Estructura_Balance[Grupo],"",0)</f>
        <v/>
      </c>
      <c r="N1214" t="str">
        <f>_xlfn.XLOOKUP(Table3[[#This Row],[Cuenta]],Estructura_Balance[Nombre Cuenta ()],Estructura_Balance[Nivel 1],"",0)</f>
        <v/>
      </c>
      <c r="O1214" t="str">
        <f>_xlfn.XLOOKUP(Table3[[#This Row],[Cuenta]],Estructura_Balance[Nombre Cuenta ()],Estructura_Balance[Nivel 2],"",0)</f>
        <v/>
      </c>
      <c r="P1214" t="str">
        <f>_xlfn.XLOOKUP(Table3[[#This Row],[Cuenta]],Estructura_Balance[Nombre Cuenta ()],Estructura_Balance[Nivel 3],"",0)</f>
        <v/>
      </c>
      <c r="Q1214" t="str">
        <f>_xlfn.XLOOKUP(Table3[[#This Row],[Cuenta]],Estructura_Balance[Nombre Cuenta ()],Estructura_Balance[Nivel 4],"",0)</f>
        <v/>
      </c>
      <c r="R1214" t="str">
        <f>_xlfn.XLOOKUP(Table3[[#This Row],[Cuenta]],Table8[Nombre Cuenta ()],Table8[Nivel 1],"",0)</f>
        <v/>
      </c>
      <c r="S1214" t="str">
        <f>_xlfn.XLOOKUP(Table3[[#This Row],[Cuenta]],Table8[Nombre Cuenta ()],Table8[Nivel 2],"",0)</f>
        <v/>
      </c>
      <c r="T1214" t="str">
        <f>_xlfn.XLOOKUP(Table3[[#This Row],[Cuenta]],Table8[Nombre Cuenta ()],Table8[Nivel 3],"",0)</f>
        <v/>
      </c>
      <c r="U1214">
        <v>1054</v>
      </c>
      <c r="V1214" t="str">
        <f>_xlfn.XLOOKUP(Table3[[#This Row],[Cuenta]],Estructura_Balance[Nombre Cuenta ()],Estructura_Balance[Niveles:2],"",0)</f>
        <v/>
      </c>
      <c r="W1214" t="str">
        <f>_xlfn.XLOOKUP(Table3[[#This Row],[Cuenta]],Estructura_Balance[Nombre Cuenta ()],Estructura_Balance[Niveles:3],"",0)</f>
        <v/>
      </c>
      <c r="X1214" t="str">
        <f>_xlfn.XLOOKUP(Table3[[#This Row],[Cuenta]],Estructura_Balance[Nombre Cuenta ()],Estructura_Balance[Grupos],"Grupo 1",0)</f>
        <v>Grupo 1</v>
      </c>
      <c r="Y1214" t="str">
        <f>+Table3[[#This Row],[BS_Nivel_1]]</f>
        <v/>
      </c>
    </row>
    <row r="1215" spans="1:25" ht="15" customHeight="1">
      <c r="A1215">
        <f>+'Libro Diario'!F635</f>
        <v>73</v>
      </c>
      <c r="B1215" s="144">
        <f>VALUE(IF(+'Libro Diario'!G635="","01/01/2025",+'Libro Diario'!G635))</f>
        <v>0</v>
      </c>
      <c r="C1215">
        <f>IF(ISNUMBER(+IF(IFERROR(VALUE(MID('Libro Diario'!D635,1,4)),0)&lt;&gt;0,'Libro Diario'!D635,0))=FALSE,'Libro Diario'!D635,0)</f>
        <v>0</v>
      </c>
      <c r="D1215" s="145">
        <f>+'Libro Diario'!E635</f>
        <v>0</v>
      </c>
      <c r="E1215" s="139" t="s">
        <v>446</v>
      </c>
      <c r="F1215" t="str">
        <f t="shared" si="54"/>
        <v>Sin Mov.</v>
      </c>
      <c r="G1215" t="str">
        <f>IF(+'Libro Diario'!H635=0,"",+'Libro Diario'!H635)</f>
        <v>Provisiones</v>
      </c>
      <c r="H1215" t="str">
        <f>IF(+'Libro Diario'!I635=0,"",+'Libro Diario'!I635)</f>
        <v/>
      </c>
      <c r="I1215" t="str">
        <f>+IF(Table3[[#This Row],[Tipo Movimiento]]="Estructura Balance y PyG","Excluir","Incluir")</f>
        <v>Incluir</v>
      </c>
      <c r="J1215" s="153">
        <f>+IF(Table3[[#This Row],[Sin cuenta]]="Con Mov.",(IF(Table3[[#This Row],[Movimiento]]="Debe",Table3[[#This Row],[Importe]],IF(Table3[[#This Row],[Movimiento]]="Haber",Table3[[#This Row],[Importe]]*-1,0))),0)</f>
        <v>0</v>
      </c>
      <c r="K1215" s="145" t="str">
        <f t="shared" si="55"/>
        <v/>
      </c>
      <c r="L1215" s="145">
        <f t="shared" si="56"/>
        <v>0</v>
      </c>
      <c r="M1215" t="str">
        <f>_xlfn.XLOOKUP(Table3[[#This Row],[Cuenta]],Estructura_Balance[Nombre Cuenta ()],Estructura_Balance[Grupo],"",0)</f>
        <v/>
      </c>
      <c r="N1215" t="str">
        <f>_xlfn.XLOOKUP(Table3[[#This Row],[Cuenta]],Estructura_Balance[Nombre Cuenta ()],Estructura_Balance[Nivel 1],"",0)</f>
        <v/>
      </c>
      <c r="O1215" t="str">
        <f>_xlfn.XLOOKUP(Table3[[#This Row],[Cuenta]],Estructura_Balance[Nombre Cuenta ()],Estructura_Balance[Nivel 2],"",0)</f>
        <v/>
      </c>
      <c r="P1215" t="str">
        <f>_xlfn.XLOOKUP(Table3[[#This Row],[Cuenta]],Estructura_Balance[Nombre Cuenta ()],Estructura_Balance[Nivel 3],"",0)</f>
        <v/>
      </c>
      <c r="Q1215" t="str">
        <f>_xlfn.XLOOKUP(Table3[[#This Row],[Cuenta]],Estructura_Balance[Nombre Cuenta ()],Estructura_Balance[Nivel 4],"",0)</f>
        <v/>
      </c>
      <c r="R1215" t="str">
        <f>_xlfn.XLOOKUP(Table3[[#This Row],[Cuenta]],Table8[Nombre Cuenta ()],Table8[Nivel 1],"",0)</f>
        <v/>
      </c>
      <c r="S1215" t="str">
        <f>_xlfn.XLOOKUP(Table3[[#This Row],[Cuenta]],Table8[Nombre Cuenta ()],Table8[Nivel 2],"",0)</f>
        <v/>
      </c>
      <c r="T1215" t="str">
        <f>_xlfn.XLOOKUP(Table3[[#This Row],[Cuenta]],Table8[Nombre Cuenta ()],Table8[Nivel 3],"",0)</f>
        <v/>
      </c>
      <c r="U1215">
        <v>1055</v>
      </c>
      <c r="V1215" t="str">
        <f>_xlfn.XLOOKUP(Table3[[#This Row],[Cuenta]],Estructura_Balance[Nombre Cuenta ()],Estructura_Balance[Niveles:2],"",0)</f>
        <v/>
      </c>
      <c r="W1215" t="str">
        <f>_xlfn.XLOOKUP(Table3[[#This Row],[Cuenta]],Estructura_Balance[Nombre Cuenta ()],Estructura_Balance[Niveles:3],"",0)</f>
        <v/>
      </c>
      <c r="X1215" t="str">
        <f>_xlfn.XLOOKUP(Table3[[#This Row],[Cuenta]],Estructura_Balance[Nombre Cuenta ()],Estructura_Balance[Grupos],"Grupo 1",0)</f>
        <v>Grupo 1</v>
      </c>
      <c r="Y1215" t="str">
        <f>+Table3[[#This Row],[BS_Nivel_1]]</f>
        <v/>
      </c>
    </row>
    <row r="1216" spans="1:25" ht="15" customHeight="1">
      <c r="A1216">
        <f>+'Libro Diario'!F636</f>
        <v>0</v>
      </c>
      <c r="B1216" s="144">
        <f>VALUE(IF(+'Libro Diario'!G636="","01/01/2025",+'Libro Diario'!G636))</f>
        <v>45658</v>
      </c>
      <c r="C1216">
        <f>IF(ISNUMBER(+IF(IFERROR(VALUE(MID('Libro Diario'!D636,1,4)),0)&lt;&gt;0,'Libro Diario'!D636,0))=FALSE,'Libro Diario'!D636,0)</f>
        <v>0</v>
      </c>
      <c r="D1216" s="145">
        <f>+'Libro Diario'!E636</f>
        <v>0</v>
      </c>
      <c r="E1216" s="139" t="s">
        <v>446</v>
      </c>
      <c r="F1216" t="str">
        <f t="shared" si="54"/>
        <v>Sin Mov.</v>
      </c>
      <c r="G1216" t="str">
        <f>IF(+'Libro Diario'!H636=0,"",+'Libro Diario'!H636)</f>
        <v/>
      </c>
      <c r="H1216" t="str">
        <f>IF(+'Libro Diario'!I636=0,"",+'Libro Diario'!I636)</f>
        <v/>
      </c>
      <c r="I1216" t="str">
        <f>+IF(Table3[[#This Row],[Tipo Movimiento]]="Estructura Balance y PyG","Excluir","Incluir")</f>
        <v>Incluir</v>
      </c>
      <c r="J1216" s="153">
        <f>+IF(Table3[[#This Row],[Sin cuenta]]="Con Mov.",(IF(Table3[[#This Row],[Movimiento]]="Debe",Table3[[#This Row],[Importe]],IF(Table3[[#This Row],[Movimiento]]="Haber",Table3[[#This Row],[Importe]]*-1,0))),0)</f>
        <v>0</v>
      </c>
      <c r="K1216" s="145" t="str">
        <f t="shared" si="55"/>
        <v/>
      </c>
      <c r="L1216" s="145">
        <f t="shared" si="56"/>
        <v>0</v>
      </c>
      <c r="M1216" t="str">
        <f>_xlfn.XLOOKUP(Table3[[#This Row],[Cuenta]],Estructura_Balance[Nombre Cuenta ()],Estructura_Balance[Grupo],"",0)</f>
        <v/>
      </c>
      <c r="N1216" t="str">
        <f>_xlfn.XLOOKUP(Table3[[#This Row],[Cuenta]],Estructura_Balance[Nombre Cuenta ()],Estructura_Balance[Nivel 1],"",0)</f>
        <v/>
      </c>
      <c r="O1216" t="str">
        <f>_xlfn.XLOOKUP(Table3[[#This Row],[Cuenta]],Estructura_Balance[Nombre Cuenta ()],Estructura_Balance[Nivel 2],"",0)</f>
        <v/>
      </c>
      <c r="P1216" t="str">
        <f>_xlfn.XLOOKUP(Table3[[#This Row],[Cuenta]],Estructura_Balance[Nombre Cuenta ()],Estructura_Balance[Nivel 3],"",0)</f>
        <v/>
      </c>
      <c r="Q1216" t="str">
        <f>_xlfn.XLOOKUP(Table3[[#This Row],[Cuenta]],Estructura_Balance[Nombre Cuenta ()],Estructura_Balance[Nivel 4],"",0)</f>
        <v/>
      </c>
      <c r="R1216" t="str">
        <f>_xlfn.XLOOKUP(Table3[[#This Row],[Cuenta]],Table8[Nombre Cuenta ()],Table8[Nivel 1],"",0)</f>
        <v/>
      </c>
      <c r="S1216" t="str">
        <f>_xlfn.XLOOKUP(Table3[[#This Row],[Cuenta]],Table8[Nombre Cuenta ()],Table8[Nivel 2],"",0)</f>
        <v/>
      </c>
      <c r="T1216" t="str">
        <f>_xlfn.XLOOKUP(Table3[[#This Row],[Cuenta]],Table8[Nombre Cuenta ()],Table8[Nivel 3],"",0)</f>
        <v/>
      </c>
      <c r="U1216">
        <v>1056</v>
      </c>
      <c r="V1216" t="str">
        <f>_xlfn.XLOOKUP(Table3[[#This Row],[Cuenta]],Estructura_Balance[Nombre Cuenta ()],Estructura_Balance[Niveles:2],"",0)</f>
        <v/>
      </c>
      <c r="W1216" t="str">
        <f>_xlfn.XLOOKUP(Table3[[#This Row],[Cuenta]],Estructura_Balance[Nombre Cuenta ()],Estructura_Balance[Niveles:3],"",0)</f>
        <v/>
      </c>
      <c r="X1216" t="str">
        <f>_xlfn.XLOOKUP(Table3[[#This Row],[Cuenta]],Estructura_Balance[Nombre Cuenta ()],Estructura_Balance[Grupos],"Grupo 1",0)</f>
        <v>Grupo 1</v>
      </c>
      <c r="Y1216" t="str">
        <f>+Table3[[#This Row],[BS_Nivel_1]]</f>
        <v/>
      </c>
    </row>
    <row r="1217" spans="1:25" ht="15" customHeight="1">
      <c r="A1217">
        <f>+'Libro Diario'!F637</f>
        <v>0</v>
      </c>
      <c r="B1217" s="144">
        <f>VALUE(IF(+'Libro Diario'!G637="","01/01/2025",+'Libro Diario'!G637))</f>
        <v>45658</v>
      </c>
      <c r="C1217">
        <f>IF(ISNUMBER(+IF(IFERROR(VALUE(MID('Libro Diario'!D637,1,4)),0)&lt;&gt;0,'Libro Diario'!D637,0))=FALSE,'Libro Diario'!D637,0)</f>
        <v>0</v>
      </c>
      <c r="D1217" s="145">
        <f>+'Libro Diario'!E637</f>
        <v>0</v>
      </c>
      <c r="E1217" s="139" t="s">
        <v>446</v>
      </c>
      <c r="F1217" t="str">
        <f t="shared" si="54"/>
        <v>Sin Mov.</v>
      </c>
      <c r="G1217" t="str">
        <f>IF(+'Libro Diario'!H637=0,"",+'Libro Diario'!H637)</f>
        <v/>
      </c>
      <c r="H1217" t="str">
        <f>IF(+'Libro Diario'!I637=0,"",+'Libro Diario'!I637)</f>
        <v/>
      </c>
      <c r="I1217" t="str">
        <f>+IF(Table3[[#This Row],[Tipo Movimiento]]="Estructura Balance y PyG","Excluir","Incluir")</f>
        <v>Incluir</v>
      </c>
      <c r="J1217" s="153">
        <f>+IF(Table3[[#This Row],[Sin cuenta]]="Con Mov.",(IF(Table3[[#This Row],[Movimiento]]="Debe",Table3[[#This Row],[Importe]],IF(Table3[[#This Row],[Movimiento]]="Haber",Table3[[#This Row],[Importe]]*-1,0))),0)</f>
        <v>0</v>
      </c>
      <c r="K1217" s="145" t="str">
        <f t="shared" si="55"/>
        <v/>
      </c>
      <c r="L1217" s="145">
        <f t="shared" si="56"/>
        <v>0</v>
      </c>
      <c r="M1217" t="str">
        <f>_xlfn.XLOOKUP(Table3[[#This Row],[Cuenta]],Estructura_Balance[Nombre Cuenta ()],Estructura_Balance[Grupo],"",0)</f>
        <v/>
      </c>
      <c r="N1217" t="str">
        <f>_xlfn.XLOOKUP(Table3[[#This Row],[Cuenta]],Estructura_Balance[Nombre Cuenta ()],Estructura_Balance[Nivel 1],"",0)</f>
        <v/>
      </c>
      <c r="O1217" t="str">
        <f>_xlfn.XLOOKUP(Table3[[#This Row],[Cuenta]],Estructura_Balance[Nombre Cuenta ()],Estructura_Balance[Nivel 2],"",0)</f>
        <v/>
      </c>
      <c r="P1217" t="str">
        <f>_xlfn.XLOOKUP(Table3[[#This Row],[Cuenta]],Estructura_Balance[Nombre Cuenta ()],Estructura_Balance[Nivel 3],"",0)</f>
        <v/>
      </c>
      <c r="Q1217" t="str">
        <f>_xlfn.XLOOKUP(Table3[[#This Row],[Cuenta]],Estructura_Balance[Nombre Cuenta ()],Estructura_Balance[Nivel 4],"",0)</f>
        <v/>
      </c>
      <c r="R1217" t="str">
        <f>_xlfn.XLOOKUP(Table3[[#This Row],[Cuenta]],Table8[Nombre Cuenta ()],Table8[Nivel 1],"",0)</f>
        <v/>
      </c>
      <c r="S1217" t="str">
        <f>_xlfn.XLOOKUP(Table3[[#This Row],[Cuenta]],Table8[Nombre Cuenta ()],Table8[Nivel 2],"",0)</f>
        <v/>
      </c>
      <c r="T1217" t="str">
        <f>_xlfn.XLOOKUP(Table3[[#This Row],[Cuenta]],Table8[Nombre Cuenta ()],Table8[Nivel 3],"",0)</f>
        <v/>
      </c>
      <c r="U1217">
        <v>1057</v>
      </c>
      <c r="V1217" t="str">
        <f>_xlfn.XLOOKUP(Table3[[#This Row],[Cuenta]],Estructura_Balance[Nombre Cuenta ()],Estructura_Balance[Niveles:2],"",0)</f>
        <v/>
      </c>
      <c r="W1217" t="str">
        <f>_xlfn.XLOOKUP(Table3[[#This Row],[Cuenta]],Estructura_Balance[Nombre Cuenta ()],Estructura_Balance[Niveles:3],"",0)</f>
        <v/>
      </c>
      <c r="X1217" t="str">
        <f>_xlfn.XLOOKUP(Table3[[#This Row],[Cuenta]],Estructura_Balance[Nombre Cuenta ()],Estructura_Balance[Grupos],"Grupo 1",0)</f>
        <v>Grupo 1</v>
      </c>
      <c r="Y1217" t="str">
        <f>+Table3[[#This Row],[BS_Nivel_1]]</f>
        <v/>
      </c>
    </row>
    <row r="1218" spans="1:25" ht="15" customHeight="1">
      <c r="A1218">
        <f>+'Libro Diario'!F638</f>
        <v>0</v>
      </c>
      <c r="B1218" s="144">
        <f>VALUE(IF(+'Libro Diario'!G638="","01/01/2025",+'Libro Diario'!G638))</f>
        <v>45658</v>
      </c>
      <c r="C1218">
        <f>IF(ISNUMBER(+IF(IFERROR(VALUE(MID('Libro Diario'!D638,1,4)),0)&lt;&gt;0,'Libro Diario'!D638,0))=FALSE,'Libro Diario'!D638,0)</f>
        <v>0</v>
      </c>
      <c r="D1218" s="145">
        <f>+'Libro Diario'!E638</f>
        <v>0</v>
      </c>
      <c r="E1218" s="139" t="s">
        <v>446</v>
      </c>
      <c r="F1218" t="str">
        <f t="shared" si="54"/>
        <v>Sin Mov.</v>
      </c>
      <c r="G1218" t="str">
        <f>IF(+'Libro Diario'!H638=0,"",+'Libro Diario'!H638)</f>
        <v/>
      </c>
      <c r="H1218" t="str">
        <f>IF(+'Libro Diario'!I638=0,"",+'Libro Diario'!I638)</f>
        <v/>
      </c>
      <c r="I1218" t="str">
        <f>+IF(Table3[[#This Row],[Tipo Movimiento]]="Estructura Balance y PyG","Excluir","Incluir")</f>
        <v>Incluir</v>
      </c>
      <c r="J1218" s="153">
        <f>+IF(Table3[[#This Row],[Sin cuenta]]="Con Mov.",(IF(Table3[[#This Row],[Movimiento]]="Debe",Table3[[#This Row],[Importe]],IF(Table3[[#This Row],[Movimiento]]="Haber",Table3[[#This Row],[Importe]]*-1,0))),0)</f>
        <v>0</v>
      </c>
      <c r="K1218" s="145" t="str">
        <f t="shared" si="55"/>
        <v/>
      </c>
      <c r="L1218" s="145">
        <f t="shared" si="56"/>
        <v>0</v>
      </c>
      <c r="M1218" t="str">
        <f>_xlfn.XLOOKUP(Table3[[#This Row],[Cuenta]],Estructura_Balance[Nombre Cuenta ()],Estructura_Balance[Grupo],"",0)</f>
        <v/>
      </c>
      <c r="N1218" t="str">
        <f>_xlfn.XLOOKUP(Table3[[#This Row],[Cuenta]],Estructura_Balance[Nombre Cuenta ()],Estructura_Balance[Nivel 1],"",0)</f>
        <v/>
      </c>
      <c r="O1218" t="str">
        <f>_xlfn.XLOOKUP(Table3[[#This Row],[Cuenta]],Estructura_Balance[Nombre Cuenta ()],Estructura_Balance[Nivel 2],"",0)</f>
        <v/>
      </c>
      <c r="P1218" t="str">
        <f>_xlfn.XLOOKUP(Table3[[#This Row],[Cuenta]],Estructura_Balance[Nombre Cuenta ()],Estructura_Balance[Nivel 3],"",0)</f>
        <v/>
      </c>
      <c r="Q1218" t="str">
        <f>_xlfn.XLOOKUP(Table3[[#This Row],[Cuenta]],Estructura_Balance[Nombre Cuenta ()],Estructura_Balance[Nivel 4],"",0)</f>
        <v/>
      </c>
      <c r="R1218" t="str">
        <f>_xlfn.XLOOKUP(Table3[[#This Row],[Cuenta]],Table8[Nombre Cuenta ()],Table8[Nivel 1],"",0)</f>
        <v/>
      </c>
      <c r="S1218" t="str">
        <f>_xlfn.XLOOKUP(Table3[[#This Row],[Cuenta]],Table8[Nombre Cuenta ()],Table8[Nivel 2],"",0)</f>
        <v/>
      </c>
      <c r="T1218" t="str">
        <f>_xlfn.XLOOKUP(Table3[[#This Row],[Cuenta]],Table8[Nombre Cuenta ()],Table8[Nivel 3],"",0)</f>
        <v/>
      </c>
      <c r="U1218">
        <v>1058</v>
      </c>
      <c r="V1218" t="str">
        <f>_xlfn.XLOOKUP(Table3[[#This Row],[Cuenta]],Estructura_Balance[Nombre Cuenta ()],Estructura_Balance[Niveles:2],"",0)</f>
        <v/>
      </c>
      <c r="W1218" t="str">
        <f>_xlfn.XLOOKUP(Table3[[#This Row],[Cuenta]],Estructura_Balance[Nombre Cuenta ()],Estructura_Balance[Niveles:3],"",0)</f>
        <v/>
      </c>
      <c r="X1218" t="str">
        <f>_xlfn.XLOOKUP(Table3[[#This Row],[Cuenta]],Estructura_Balance[Nombre Cuenta ()],Estructura_Balance[Grupos],"Grupo 1",0)</f>
        <v>Grupo 1</v>
      </c>
      <c r="Y1218" t="str">
        <f>+Table3[[#This Row],[BS_Nivel_1]]</f>
        <v/>
      </c>
    </row>
    <row r="1219" spans="1:25" ht="15" customHeight="1">
      <c r="A1219">
        <f>+'Libro Diario'!F639</f>
        <v>0</v>
      </c>
      <c r="B1219" s="144">
        <f>VALUE(IF(+'Libro Diario'!G639="","01/01/2025",+'Libro Diario'!G639))</f>
        <v>45658</v>
      </c>
      <c r="C1219">
        <f>IF(ISNUMBER(+IF(IFERROR(VALUE(MID('Libro Diario'!D639,1,4)),0)&lt;&gt;0,'Libro Diario'!D639,0))=FALSE,'Libro Diario'!D639,0)</f>
        <v>0</v>
      </c>
      <c r="D1219" s="145" t="str">
        <f>+'Libro Diario'!E639</f>
        <v>HABER</v>
      </c>
      <c r="E1219" s="139" t="s">
        <v>446</v>
      </c>
      <c r="F1219" t="str">
        <f t="shared" ref="F1219:F1282" si="57">+IF(C1219=0,"Sin Mov.","Con Mov.")</f>
        <v>Sin Mov.</v>
      </c>
      <c r="G1219" t="str">
        <f>IF(+'Libro Diario'!H639=0,"",+'Libro Diario'!H639)</f>
        <v/>
      </c>
      <c r="H1219" t="str">
        <f>IF(+'Libro Diario'!I639=0,"",+'Libro Diario'!I639)</f>
        <v/>
      </c>
      <c r="I1219" t="str">
        <f>+IF(Table3[[#This Row],[Tipo Movimiento]]="Estructura Balance y PyG","Excluir","Incluir")</f>
        <v>Incluir</v>
      </c>
      <c r="J1219" s="153">
        <f>+IF(Table3[[#This Row],[Sin cuenta]]="Con Mov.",(IF(Table3[[#This Row],[Movimiento]]="Debe",Table3[[#This Row],[Importe]],IF(Table3[[#This Row],[Movimiento]]="Haber",Table3[[#This Row],[Importe]]*-1,0))),0)</f>
        <v>0</v>
      </c>
      <c r="K1219" s="145" t="str">
        <f t="shared" ref="K1219:K1282" si="58">+IF(E1219="Debe",D1219,"")</f>
        <v/>
      </c>
      <c r="L1219" s="145" t="str">
        <f t="shared" ref="L1219:L1282" si="59">+IF(E1219="Haber",D1219,"")</f>
        <v>HABER</v>
      </c>
      <c r="M1219" t="str">
        <f>_xlfn.XLOOKUP(Table3[[#This Row],[Cuenta]],Estructura_Balance[Nombre Cuenta ()],Estructura_Balance[Grupo],"",0)</f>
        <v/>
      </c>
      <c r="N1219" t="str">
        <f>_xlfn.XLOOKUP(Table3[[#This Row],[Cuenta]],Estructura_Balance[Nombre Cuenta ()],Estructura_Balance[Nivel 1],"",0)</f>
        <v/>
      </c>
      <c r="O1219" t="str">
        <f>_xlfn.XLOOKUP(Table3[[#This Row],[Cuenta]],Estructura_Balance[Nombre Cuenta ()],Estructura_Balance[Nivel 2],"",0)</f>
        <v/>
      </c>
      <c r="P1219" t="str">
        <f>_xlfn.XLOOKUP(Table3[[#This Row],[Cuenta]],Estructura_Balance[Nombre Cuenta ()],Estructura_Balance[Nivel 3],"",0)</f>
        <v/>
      </c>
      <c r="Q1219" t="str">
        <f>_xlfn.XLOOKUP(Table3[[#This Row],[Cuenta]],Estructura_Balance[Nombre Cuenta ()],Estructura_Balance[Nivel 4],"",0)</f>
        <v/>
      </c>
      <c r="R1219" t="str">
        <f>_xlfn.XLOOKUP(Table3[[#This Row],[Cuenta]],Table8[Nombre Cuenta ()],Table8[Nivel 1],"",0)</f>
        <v/>
      </c>
      <c r="S1219" t="str">
        <f>_xlfn.XLOOKUP(Table3[[#This Row],[Cuenta]],Table8[Nombre Cuenta ()],Table8[Nivel 2],"",0)</f>
        <v/>
      </c>
      <c r="T1219" t="str">
        <f>_xlfn.XLOOKUP(Table3[[#This Row],[Cuenta]],Table8[Nombre Cuenta ()],Table8[Nivel 3],"",0)</f>
        <v/>
      </c>
      <c r="U1219">
        <v>1059</v>
      </c>
      <c r="V1219" t="str">
        <f>_xlfn.XLOOKUP(Table3[[#This Row],[Cuenta]],Estructura_Balance[Nombre Cuenta ()],Estructura_Balance[Niveles:2],"",0)</f>
        <v/>
      </c>
      <c r="W1219" t="str">
        <f>_xlfn.XLOOKUP(Table3[[#This Row],[Cuenta]],Estructura_Balance[Nombre Cuenta ()],Estructura_Balance[Niveles:3],"",0)</f>
        <v/>
      </c>
      <c r="X1219" t="str">
        <f>_xlfn.XLOOKUP(Table3[[#This Row],[Cuenta]],Estructura_Balance[Nombre Cuenta ()],Estructura_Balance[Grupos],"Grupo 1",0)</f>
        <v>Grupo 1</v>
      </c>
      <c r="Y1219" t="str">
        <f>+Table3[[#This Row],[BS_Nivel_1]]</f>
        <v/>
      </c>
    </row>
    <row r="1220" spans="1:25" ht="15" customHeight="1">
      <c r="A1220">
        <f>+'Libro Diario'!F640</f>
        <v>0</v>
      </c>
      <c r="B1220" s="144">
        <f>VALUE(IF(+'Libro Diario'!G640="","01/01/2025",+'Libro Diario'!G640))</f>
        <v>45658</v>
      </c>
      <c r="C1220">
        <f>IF(ISNUMBER(+IF(IFERROR(VALUE(MID('Libro Diario'!D640,1,4)),0)&lt;&gt;0,'Libro Diario'!D640,0))=FALSE,'Libro Diario'!D640,0)</f>
        <v>0</v>
      </c>
      <c r="D1220" s="145">
        <f>+'Libro Diario'!E640</f>
        <v>0</v>
      </c>
      <c r="E1220" s="139" t="s">
        <v>446</v>
      </c>
      <c r="F1220" t="str">
        <f t="shared" si="57"/>
        <v>Sin Mov.</v>
      </c>
      <c r="G1220" t="str">
        <f>IF(+'Libro Diario'!H640=0,"",+'Libro Diario'!H640)</f>
        <v/>
      </c>
      <c r="H1220" t="str">
        <f>IF(+'Libro Diario'!I640=0,"",+'Libro Diario'!I640)</f>
        <v/>
      </c>
      <c r="I1220" t="str">
        <f>+IF(Table3[[#This Row],[Tipo Movimiento]]="Estructura Balance y PyG","Excluir","Incluir")</f>
        <v>Incluir</v>
      </c>
      <c r="J1220" s="153">
        <f>+IF(Table3[[#This Row],[Sin cuenta]]="Con Mov.",(IF(Table3[[#This Row],[Movimiento]]="Debe",Table3[[#This Row],[Importe]],IF(Table3[[#This Row],[Movimiento]]="Haber",Table3[[#This Row],[Importe]]*-1,0))),0)</f>
        <v>0</v>
      </c>
      <c r="K1220" s="145" t="str">
        <f t="shared" si="58"/>
        <v/>
      </c>
      <c r="L1220" s="145">
        <f t="shared" si="59"/>
        <v>0</v>
      </c>
      <c r="M1220" t="str">
        <f>_xlfn.XLOOKUP(Table3[[#This Row],[Cuenta]],Estructura_Balance[Nombre Cuenta ()],Estructura_Balance[Grupo],"",0)</f>
        <v/>
      </c>
      <c r="N1220" t="str">
        <f>_xlfn.XLOOKUP(Table3[[#This Row],[Cuenta]],Estructura_Balance[Nombre Cuenta ()],Estructura_Balance[Nivel 1],"",0)</f>
        <v/>
      </c>
      <c r="O1220" t="str">
        <f>_xlfn.XLOOKUP(Table3[[#This Row],[Cuenta]],Estructura_Balance[Nombre Cuenta ()],Estructura_Balance[Nivel 2],"",0)</f>
        <v/>
      </c>
      <c r="P1220" t="str">
        <f>_xlfn.XLOOKUP(Table3[[#This Row],[Cuenta]],Estructura_Balance[Nombre Cuenta ()],Estructura_Balance[Nivel 3],"",0)</f>
        <v/>
      </c>
      <c r="Q1220" t="str">
        <f>_xlfn.XLOOKUP(Table3[[#This Row],[Cuenta]],Estructura_Balance[Nombre Cuenta ()],Estructura_Balance[Nivel 4],"",0)</f>
        <v/>
      </c>
      <c r="R1220" t="str">
        <f>_xlfn.XLOOKUP(Table3[[#This Row],[Cuenta]],Table8[Nombre Cuenta ()],Table8[Nivel 1],"",0)</f>
        <v/>
      </c>
      <c r="S1220" t="str">
        <f>_xlfn.XLOOKUP(Table3[[#This Row],[Cuenta]],Table8[Nombre Cuenta ()],Table8[Nivel 2],"",0)</f>
        <v/>
      </c>
      <c r="T1220" t="str">
        <f>_xlfn.XLOOKUP(Table3[[#This Row],[Cuenta]],Table8[Nombre Cuenta ()],Table8[Nivel 3],"",0)</f>
        <v/>
      </c>
      <c r="U1220">
        <v>1060</v>
      </c>
      <c r="V1220" t="str">
        <f>_xlfn.XLOOKUP(Table3[[#This Row],[Cuenta]],Estructura_Balance[Nombre Cuenta ()],Estructura_Balance[Niveles:2],"",0)</f>
        <v/>
      </c>
      <c r="W1220" t="str">
        <f>_xlfn.XLOOKUP(Table3[[#This Row],[Cuenta]],Estructura_Balance[Nombre Cuenta ()],Estructura_Balance[Niveles:3],"",0)</f>
        <v/>
      </c>
      <c r="X1220" t="str">
        <f>_xlfn.XLOOKUP(Table3[[#This Row],[Cuenta]],Estructura_Balance[Nombre Cuenta ()],Estructura_Balance[Grupos],"Grupo 1",0)</f>
        <v>Grupo 1</v>
      </c>
      <c r="Y1220" t="str">
        <f>+Table3[[#This Row],[BS_Nivel_1]]</f>
        <v/>
      </c>
    </row>
    <row r="1221" spans="1:25" ht="15" customHeight="1">
      <c r="A1221">
        <f>+'Libro Diario'!F641</f>
        <v>74</v>
      </c>
      <c r="B1221" s="144">
        <f>VALUE(IF(+'Libro Diario'!G641="","01/01/2025",+'Libro Diario'!G641))</f>
        <v>0</v>
      </c>
      <c r="C1221">
        <f>IF(ISNUMBER(+IF(IFERROR(VALUE(MID('Libro Diario'!D641,1,4)),0)&lt;&gt;0,'Libro Diario'!D641,0))=FALSE,'Libro Diario'!D641,0)</f>
        <v>0</v>
      </c>
      <c r="D1221" s="145">
        <f>+'Libro Diario'!E641</f>
        <v>0</v>
      </c>
      <c r="E1221" s="139" t="s">
        <v>446</v>
      </c>
      <c r="F1221" t="str">
        <f t="shared" si="57"/>
        <v>Sin Mov.</v>
      </c>
      <c r="G1221" t="str">
        <f>IF(+'Libro Diario'!H641=0,"",+'Libro Diario'!H641)</f>
        <v>Ajuste a Valor Razonable</v>
      </c>
      <c r="H1221" t="str">
        <f>IF(+'Libro Diario'!I641=0,"",+'Libro Diario'!I641)</f>
        <v/>
      </c>
      <c r="I1221" t="str">
        <f>+IF(Table3[[#This Row],[Tipo Movimiento]]="Estructura Balance y PyG","Excluir","Incluir")</f>
        <v>Incluir</v>
      </c>
      <c r="J1221" s="153">
        <f>+IF(Table3[[#This Row],[Sin cuenta]]="Con Mov.",(IF(Table3[[#This Row],[Movimiento]]="Debe",Table3[[#This Row],[Importe]],IF(Table3[[#This Row],[Movimiento]]="Haber",Table3[[#This Row],[Importe]]*-1,0))),0)</f>
        <v>0</v>
      </c>
      <c r="K1221" s="145" t="str">
        <f t="shared" si="58"/>
        <v/>
      </c>
      <c r="L1221" s="145">
        <f t="shared" si="59"/>
        <v>0</v>
      </c>
      <c r="M1221" t="str">
        <f>_xlfn.XLOOKUP(Table3[[#This Row],[Cuenta]],Estructura_Balance[Nombre Cuenta ()],Estructura_Balance[Grupo],"",0)</f>
        <v/>
      </c>
      <c r="N1221" t="str">
        <f>_xlfn.XLOOKUP(Table3[[#This Row],[Cuenta]],Estructura_Balance[Nombre Cuenta ()],Estructura_Balance[Nivel 1],"",0)</f>
        <v/>
      </c>
      <c r="O1221" t="str">
        <f>_xlfn.XLOOKUP(Table3[[#This Row],[Cuenta]],Estructura_Balance[Nombre Cuenta ()],Estructura_Balance[Nivel 2],"",0)</f>
        <v/>
      </c>
      <c r="P1221" t="str">
        <f>_xlfn.XLOOKUP(Table3[[#This Row],[Cuenta]],Estructura_Balance[Nombre Cuenta ()],Estructura_Balance[Nivel 3],"",0)</f>
        <v/>
      </c>
      <c r="Q1221" t="str">
        <f>_xlfn.XLOOKUP(Table3[[#This Row],[Cuenta]],Estructura_Balance[Nombre Cuenta ()],Estructura_Balance[Nivel 4],"",0)</f>
        <v/>
      </c>
      <c r="R1221" t="str">
        <f>_xlfn.XLOOKUP(Table3[[#This Row],[Cuenta]],Table8[Nombre Cuenta ()],Table8[Nivel 1],"",0)</f>
        <v/>
      </c>
      <c r="S1221" t="str">
        <f>_xlfn.XLOOKUP(Table3[[#This Row],[Cuenta]],Table8[Nombre Cuenta ()],Table8[Nivel 2],"",0)</f>
        <v/>
      </c>
      <c r="T1221" t="str">
        <f>_xlfn.XLOOKUP(Table3[[#This Row],[Cuenta]],Table8[Nombre Cuenta ()],Table8[Nivel 3],"",0)</f>
        <v/>
      </c>
      <c r="U1221">
        <v>1061</v>
      </c>
      <c r="V1221" t="str">
        <f>_xlfn.XLOOKUP(Table3[[#This Row],[Cuenta]],Estructura_Balance[Nombre Cuenta ()],Estructura_Balance[Niveles:2],"",0)</f>
        <v/>
      </c>
      <c r="W1221" t="str">
        <f>_xlfn.XLOOKUP(Table3[[#This Row],[Cuenta]],Estructura_Balance[Nombre Cuenta ()],Estructura_Balance[Niveles:3],"",0)</f>
        <v/>
      </c>
      <c r="X1221" t="str">
        <f>_xlfn.XLOOKUP(Table3[[#This Row],[Cuenta]],Estructura_Balance[Nombre Cuenta ()],Estructura_Balance[Grupos],"Grupo 1",0)</f>
        <v>Grupo 1</v>
      </c>
      <c r="Y1221" t="str">
        <f>+Table3[[#This Row],[BS_Nivel_1]]</f>
        <v/>
      </c>
    </row>
    <row r="1222" spans="1:25" ht="15" customHeight="1">
      <c r="A1222">
        <f>+'Libro Diario'!F642</f>
        <v>74</v>
      </c>
      <c r="B1222" s="144">
        <f>VALUE(IF(+'Libro Diario'!G642="","01/01/2025",+'Libro Diario'!G642))</f>
        <v>0</v>
      </c>
      <c r="C1222">
        <f>IF(ISNUMBER(+IF(IFERROR(VALUE(MID('Libro Diario'!D642,1,4)),0)&lt;&gt;0,'Libro Diario'!D642,0))=FALSE,'Libro Diario'!D642,0)</f>
        <v>0</v>
      </c>
      <c r="D1222" s="145">
        <f>+'Libro Diario'!E642</f>
        <v>0</v>
      </c>
      <c r="E1222" s="139" t="s">
        <v>446</v>
      </c>
      <c r="F1222" t="str">
        <f t="shared" si="57"/>
        <v>Sin Mov.</v>
      </c>
      <c r="G1222" t="str">
        <f>IF(+'Libro Diario'!H642=0,"",+'Libro Diario'!H642)</f>
        <v>Ajuste a Valor Razonable</v>
      </c>
      <c r="H1222" t="str">
        <f>IF(+'Libro Diario'!I642=0,"",+'Libro Diario'!I642)</f>
        <v/>
      </c>
      <c r="I1222" t="str">
        <f>+IF(Table3[[#This Row],[Tipo Movimiento]]="Estructura Balance y PyG","Excluir","Incluir")</f>
        <v>Incluir</v>
      </c>
      <c r="J1222" s="153">
        <f>+IF(Table3[[#This Row],[Sin cuenta]]="Con Mov.",(IF(Table3[[#This Row],[Movimiento]]="Debe",Table3[[#This Row],[Importe]],IF(Table3[[#This Row],[Movimiento]]="Haber",Table3[[#This Row],[Importe]]*-1,0))),0)</f>
        <v>0</v>
      </c>
      <c r="K1222" s="145" t="str">
        <f t="shared" si="58"/>
        <v/>
      </c>
      <c r="L1222" s="145">
        <f t="shared" si="59"/>
        <v>0</v>
      </c>
      <c r="M1222" t="str">
        <f>_xlfn.XLOOKUP(Table3[[#This Row],[Cuenta]],Estructura_Balance[Nombre Cuenta ()],Estructura_Balance[Grupo],"",0)</f>
        <v/>
      </c>
      <c r="N1222" t="str">
        <f>_xlfn.XLOOKUP(Table3[[#This Row],[Cuenta]],Estructura_Balance[Nombre Cuenta ()],Estructura_Balance[Nivel 1],"",0)</f>
        <v/>
      </c>
      <c r="O1222" t="str">
        <f>_xlfn.XLOOKUP(Table3[[#This Row],[Cuenta]],Estructura_Balance[Nombre Cuenta ()],Estructura_Balance[Nivel 2],"",0)</f>
        <v/>
      </c>
      <c r="P1222" t="str">
        <f>_xlfn.XLOOKUP(Table3[[#This Row],[Cuenta]],Estructura_Balance[Nombre Cuenta ()],Estructura_Balance[Nivel 3],"",0)</f>
        <v/>
      </c>
      <c r="Q1222" t="str">
        <f>_xlfn.XLOOKUP(Table3[[#This Row],[Cuenta]],Estructura_Balance[Nombre Cuenta ()],Estructura_Balance[Nivel 4],"",0)</f>
        <v/>
      </c>
      <c r="R1222" t="str">
        <f>_xlfn.XLOOKUP(Table3[[#This Row],[Cuenta]],Table8[Nombre Cuenta ()],Table8[Nivel 1],"",0)</f>
        <v/>
      </c>
      <c r="S1222" t="str">
        <f>_xlfn.XLOOKUP(Table3[[#This Row],[Cuenta]],Table8[Nombre Cuenta ()],Table8[Nivel 2],"",0)</f>
        <v/>
      </c>
      <c r="T1222" t="str">
        <f>_xlfn.XLOOKUP(Table3[[#This Row],[Cuenta]],Table8[Nombre Cuenta ()],Table8[Nivel 3],"",0)</f>
        <v/>
      </c>
      <c r="U1222">
        <v>1062</v>
      </c>
      <c r="V1222" t="str">
        <f>_xlfn.XLOOKUP(Table3[[#This Row],[Cuenta]],Estructura_Balance[Nombre Cuenta ()],Estructura_Balance[Niveles:2],"",0)</f>
        <v/>
      </c>
      <c r="W1222" t="str">
        <f>_xlfn.XLOOKUP(Table3[[#This Row],[Cuenta]],Estructura_Balance[Nombre Cuenta ()],Estructura_Balance[Niveles:3],"",0)</f>
        <v/>
      </c>
      <c r="X1222" t="str">
        <f>_xlfn.XLOOKUP(Table3[[#This Row],[Cuenta]],Estructura_Balance[Nombre Cuenta ()],Estructura_Balance[Grupos],"Grupo 1",0)</f>
        <v>Grupo 1</v>
      </c>
      <c r="Y1222" t="str">
        <f>+Table3[[#This Row],[BS_Nivel_1]]</f>
        <v/>
      </c>
    </row>
    <row r="1223" spans="1:25" ht="15" customHeight="1">
      <c r="A1223">
        <f>+'Libro Diario'!F643</f>
        <v>0</v>
      </c>
      <c r="B1223" s="144">
        <f>VALUE(IF(+'Libro Diario'!G643="","01/01/2025",+'Libro Diario'!G643))</f>
        <v>45658</v>
      </c>
      <c r="C1223">
        <f>IF(ISNUMBER(+IF(IFERROR(VALUE(MID('Libro Diario'!D643,1,4)),0)&lt;&gt;0,'Libro Diario'!D643,0))=FALSE,'Libro Diario'!D643,0)</f>
        <v>0</v>
      </c>
      <c r="D1223" s="145">
        <f>+'Libro Diario'!E643</f>
        <v>0</v>
      </c>
      <c r="E1223" s="139" t="s">
        <v>446</v>
      </c>
      <c r="F1223" t="str">
        <f t="shared" si="57"/>
        <v>Sin Mov.</v>
      </c>
      <c r="G1223" t="str">
        <f>IF(+'Libro Diario'!H643=0,"",+'Libro Diario'!H643)</f>
        <v/>
      </c>
      <c r="H1223" t="str">
        <f>IF(+'Libro Diario'!I643=0,"",+'Libro Diario'!I643)</f>
        <v/>
      </c>
      <c r="I1223" t="str">
        <f>+IF(Table3[[#This Row],[Tipo Movimiento]]="Estructura Balance y PyG","Excluir","Incluir")</f>
        <v>Incluir</v>
      </c>
      <c r="J1223" s="153">
        <f>+IF(Table3[[#This Row],[Sin cuenta]]="Con Mov.",(IF(Table3[[#This Row],[Movimiento]]="Debe",Table3[[#This Row],[Importe]],IF(Table3[[#This Row],[Movimiento]]="Haber",Table3[[#This Row],[Importe]]*-1,0))),0)</f>
        <v>0</v>
      </c>
      <c r="K1223" s="145" t="str">
        <f t="shared" si="58"/>
        <v/>
      </c>
      <c r="L1223" s="145">
        <f t="shared" si="59"/>
        <v>0</v>
      </c>
      <c r="M1223" t="str">
        <f>_xlfn.XLOOKUP(Table3[[#This Row],[Cuenta]],Estructura_Balance[Nombre Cuenta ()],Estructura_Balance[Grupo],"",0)</f>
        <v/>
      </c>
      <c r="N1223" t="str">
        <f>_xlfn.XLOOKUP(Table3[[#This Row],[Cuenta]],Estructura_Balance[Nombre Cuenta ()],Estructura_Balance[Nivel 1],"",0)</f>
        <v/>
      </c>
      <c r="O1223" t="str">
        <f>_xlfn.XLOOKUP(Table3[[#This Row],[Cuenta]],Estructura_Balance[Nombre Cuenta ()],Estructura_Balance[Nivel 2],"",0)</f>
        <v/>
      </c>
      <c r="P1223" t="str">
        <f>_xlfn.XLOOKUP(Table3[[#This Row],[Cuenta]],Estructura_Balance[Nombre Cuenta ()],Estructura_Balance[Nivel 3],"",0)</f>
        <v/>
      </c>
      <c r="Q1223" t="str">
        <f>_xlfn.XLOOKUP(Table3[[#This Row],[Cuenta]],Estructura_Balance[Nombre Cuenta ()],Estructura_Balance[Nivel 4],"",0)</f>
        <v/>
      </c>
      <c r="R1223" t="str">
        <f>_xlfn.XLOOKUP(Table3[[#This Row],[Cuenta]],Table8[Nombre Cuenta ()],Table8[Nivel 1],"",0)</f>
        <v/>
      </c>
      <c r="S1223" t="str">
        <f>_xlfn.XLOOKUP(Table3[[#This Row],[Cuenta]],Table8[Nombre Cuenta ()],Table8[Nivel 2],"",0)</f>
        <v/>
      </c>
      <c r="T1223" t="str">
        <f>_xlfn.XLOOKUP(Table3[[#This Row],[Cuenta]],Table8[Nombre Cuenta ()],Table8[Nivel 3],"",0)</f>
        <v/>
      </c>
      <c r="U1223">
        <v>70</v>
      </c>
      <c r="V1223" t="str">
        <f>_xlfn.XLOOKUP(Table3[[#This Row],[Cuenta]],Estructura_Balance[Nombre Cuenta ()],Estructura_Balance[Niveles:2],"",0)</f>
        <v/>
      </c>
      <c r="W1223" t="str">
        <f>_xlfn.XLOOKUP(Table3[[#This Row],[Cuenta]],Estructura_Balance[Nombre Cuenta ()],Estructura_Balance[Niveles:3],"",0)</f>
        <v/>
      </c>
      <c r="X1223" t="str">
        <f>_xlfn.XLOOKUP(Table3[[#This Row],[Cuenta]],Estructura_Balance[Nombre Cuenta ()],Estructura_Balance[Grupos],"Grupo 1",0)</f>
        <v>Grupo 1</v>
      </c>
      <c r="Y1223" t="str">
        <f>+Table3[[#This Row],[BS_Nivel_1]]</f>
        <v/>
      </c>
    </row>
    <row r="1224" spans="1:25" ht="15" customHeight="1">
      <c r="A1224">
        <f>+'Libro Diario'!F644</f>
        <v>0</v>
      </c>
      <c r="B1224" s="144">
        <f>VALUE(IF(+'Libro Diario'!G644="","01/01/2025",+'Libro Diario'!G644))</f>
        <v>45658</v>
      </c>
      <c r="C1224">
        <f>IF(ISNUMBER(+IF(IFERROR(VALUE(MID('Libro Diario'!D644,1,4)),0)&lt;&gt;0,'Libro Diario'!D644,0))=FALSE,'Libro Diario'!D644,0)</f>
        <v>0</v>
      </c>
      <c r="D1224" s="145">
        <f>+'Libro Diario'!E644</f>
        <v>0</v>
      </c>
      <c r="E1224" s="139" t="s">
        <v>446</v>
      </c>
      <c r="F1224" t="str">
        <f t="shared" si="57"/>
        <v>Sin Mov.</v>
      </c>
      <c r="G1224" t="str">
        <f>IF(+'Libro Diario'!H644=0,"",+'Libro Diario'!H644)</f>
        <v/>
      </c>
      <c r="H1224" t="str">
        <f>IF(+'Libro Diario'!I644=0,"",+'Libro Diario'!I644)</f>
        <v/>
      </c>
      <c r="I1224" t="str">
        <f>+IF(Table3[[#This Row],[Tipo Movimiento]]="Estructura Balance y PyG","Excluir","Incluir")</f>
        <v>Incluir</v>
      </c>
      <c r="J1224" s="153">
        <f>+IF(Table3[[#This Row],[Sin cuenta]]="Con Mov.",(IF(Table3[[#This Row],[Movimiento]]="Debe",Table3[[#This Row],[Importe]],IF(Table3[[#This Row],[Movimiento]]="Haber",Table3[[#This Row],[Importe]]*-1,0))),0)</f>
        <v>0</v>
      </c>
      <c r="K1224" s="145" t="str">
        <f t="shared" si="58"/>
        <v/>
      </c>
      <c r="L1224" s="145">
        <f t="shared" si="59"/>
        <v>0</v>
      </c>
      <c r="M1224" t="str">
        <f>_xlfn.XLOOKUP(Table3[[#This Row],[Cuenta]],Estructura_Balance[Nombre Cuenta ()],Estructura_Balance[Grupo],"",0)</f>
        <v/>
      </c>
      <c r="N1224" t="str">
        <f>_xlfn.XLOOKUP(Table3[[#This Row],[Cuenta]],Estructura_Balance[Nombre Cuenta ()],Estructura_Balance[Nivel 1],"",0)</f>
        <v/>
      </c>
      <c r="O1224" t="str">
        <f>_xlfn.XLOOKUP(Table3[[#This Row],[Cuenta]],Estructura_Balance[Nombre Cuenta ()],Estructura_Balance[Nivel 2],"",0)</f>
        <v/>
      </c>
      <c r="P1224" t="str">
        <f>_xlfn.XLOOKUP(Table3[[#This Row],[Cuenta]],Estructura_Balance[Nombre Cuenta ()],Estructura_Balance[Nivel 3],"",0)</f>
        <v/>
      </c>
      <c r="Q1224" t="str">
        <f>_xlfn.XLOOKUP(Table3[[#This Row],[Cuenta]],Estructura_Balance[Nombre Cuenta ()],Estructura_Balance[Nivel 4],"",0)</f>
        <v/>
      </c>
      <c r="R1224" t="str">
        <f>_xlfn.XLOOKUP(Table3[[#This Row],[Cuenta]],Table8[Nombre Cuenta ()],Table8[Nivel 1],"",0)</f>
        <v/>
      </c>
      <c r="S1224" t="str">
        <f>_xlfn.XLOOKUP(Table3[[#This Row],[Cuenta]],Table8[Nombre Cuenta ()],Table8[Nivel 2],"",0)</f>
        <v/>
      </c>
      <c r="T1224" t="str">
        <f>_xlfn.XLOOKUP(Table3[[#This Row],[Cuenta]],Table8[Nombre Cuenta ()],Table8[Nivel 3],"",0)</f>
        <v/>
      </c>
      <c r="U1224">
        <v>71</v>
      </c>
      <c r="V1224" t="str">
        <f>_xlfn.XLOOKUP(Table3[[#This Row],[Cuenta]],Estructura_Balance[Nombre Cuenta ()],Estructura_Balance[Niveles:2],"",0)</f>
        <v/>
      </c>
      <c r="W1224" t="str">
        <f>_xlfn.XLOOKUP(Table3[[#This Row],[Cuenta]],Estructura_Balance[Nombre Cuenta ()],Estructura_Balance[Niveles:3],"",0)</f>
        <v/>
      </c>
      <c r="X1224" t="str">
        <f>_xlfn.XLOOKUP(Table3[[#This Row],[Cuenta]],Estructura_Balance[Nombre Cuenta ()],Estructura_Balance[Grupos],"Grupo 1",0)</f>
        <v>Grupo 1</v>
      </c>
      <c r="Y1224" t="str">
        <f>+Table3[[#This Row],[BS_Nivel_1]]</f>
        <v/>
      </c>
    </row>
    <row r="1225" spans="1:25" ht="15" customHeight="1">
      <c r="A1225">
        <f>+'Libro Diario'!F645</f>
        <v>0</v>
      </c>
      <c r="B1225" s="144">
        <f>VALUE(IF(+'Libro Diario'!G645="","01/01/2025",+'Libro Diario'!G645))</f>
        <v>45658</v>
      </c>
      <c r="C1225">
        <f>IF(ISNUMBER(+IF(IFERROR(VALUE(MID('Libro Diario'!D645,1,4)),0)&lt;&gt;0,'Libro Diario'!D645,0))=FALSE,'Libro Diario'!D645,0)</f>
        <v>0</v>
      </c>
      <c r="D1225" s="145">
        <f>+'Libro Diario'!E645</f>
        <v>0</v>
      </c>
      <c r="E1225" s="139" t="s">
        <v>446</v>
      </c>
      <c r="F1225" t="str">
        <f t="shared" si="57"/>
        <v>Sin Mov.</v>
      </c>
      <c r="G1225" t="str">
        <f>IF(+'Libro Diario'!H645=0,"",+'Libro Diario'!H645)</f>
        <v/>
      </c>
      <c r="H1225" t="str">
        <f>IF(+'Libro Diario'!I645=0,"",+'Libro Diario'!I645)</f>
        <v/>
      </c>
      <c r="I1225" t="str">
        <f>+IF(Table3[[#This Row],[Tipo Movimiento]]="Estructura Balance y PyG","Excluir","Incluir")</f>
        <v>Incluir</v>
      </c>
      <c r="J1225" s="153">
        <f>+IF(Table3[[#This Row],[Sin cuenta]]="Con Mov.",(IF(Table3[[#This Row],[Movimiento]]="Debe",Table3[[#This Row],[Importe]],IF(Table3[[#This Row],[Movimiento]]="Haber",Table3[[#This Row],[Importe]]*-1,0))),0)</f>
        <v>0</v>
      </c>
      <c r="K1225" s="145" t="str">
        <f t="shared" si="58"/>
        <v/>
      </c>
      <c r="L1225" s="145">
        <f t="shared" si="59"/>
        <v>0</v>
      </c>
      <c r="M1225" t="str">
        <f>_xlfn.XLOOKUP(Table3[[#This Row],[Cuenta]],Estructura_Balance[Nombre Cuenta ()],Estructura_Balance[Grupo],"",0)</f>
        <v/>
      </c>
      <c r="N1225" t="str">
        <f>_xlfn.XLOOKUP(Table3[[#This Row],[Cuenta]],Estructura_Balance[Nombre Cuenta ()],Estructura_Balance[Nivel 1],"",0)</f>
        <v/>
      </c>
      <c r="O1225" t="str">
        <f>_xlfn.XLOOKUP(Table3[[#This Row],[Cuenta]],Estructura_Balance[Nombre Cuenta ()],Estructura_Balance[Nivel 2],"",0)</f>
        <v/>
      </c>
      <c r="P1225" t="str">
        <f>_xlfn.XLOOKUP(Table3[[#This Row],[Cuenta]],Estructura_Balance[Nombre Cuenta ()],Estructura_Balance[Nivel 3],"",0)</f>
        <v/>
      </c>
      <c r="Q1225" t="str">
        <f>_xlfn.XLOOKUP(Table3[[#This Row],[Cuenta]],Estructura_Balance[Nombre Cuenta ()],Estructura_Balance[Nivel 4],"",0)</f>
        <v/>
      </c>
      <c r="R1225" t="str">
        <f>_xlfn.XLOOKUP(Table3[[#This Row],[Cuenta]],Table8[Nombre Cuenta ()],Table8[Nivel 1],"",0)</f>
        <v/>
      </c>
      <c r="S1225" t="str">
        <f>_xlfn.XLOOKUP(Table3[[#This Row],[Cuenta]],Table8[Nombre Cuenta ()],Table8[Nivel 2],"",0)</f>
        <v/>
      </c>
      <c r="T1225" t="str">
        <f>_xlfn.XLOOKUP(Table3[[#This Row],[Cuenta]],Table8[Nombre Cuenta ()],Table8[Nivel 3],"",0)</f>
        <v/>
      </c>
      <c r="U1225">
        <v>1068</v>
      </c>
      <c r="V1225" t="str">
        <f>_xlfn.XLOOKUP(Table3[[#This Row],[Cuenta]],Estructura_Balance[Nombre Cuenta ()],Estructura_Balance[Niveles:2],"",0)</f>
        <v/>
      </c>
      <c r="W1225" t="str">
        <f>_xlfn.XLOOKUP(Table3[[#This Row],[Cuenta]],Estructura_Balance[Nombre Cuenta ()],Estructura_Balance[Niveles:3],"",0)</f>
        <v/>
      </c>
      <c r="X1225" t="str">
        <f>_xlfn.XLOOKUP(Table3[[#This Row],[Cuenta]],Estructura_Balance[Nombre Cuenta ()],Estructura_Balance[Grupos],"Grupo 1",0)</f>
        <v>Grupo 1</v>
      </c>
      <c r="Y1225" t="str">
        <f>+Table3[[#This Row],[BS_Nivel_1]]</f>
        <v/>
      </c>
    </row>
    <row r="1226" spans="1:25" ht="15" customHeight="1">
      <c r="A1226">
        <f>+'Libro Diario'!F646</f>
        <v>0</v>
      </c>
      <c r="B1226" s="144">
        <f>VALUE(IF(+'Libro Diario'!G646="","01/01/2025",+'Libro Diario'!G646))</f>
        <v>45658</v>
      </c>
      <c r="C1226">
        <f>IF(ISNUMBER(+IF(IFERROR(VALUE(MID('Libro Diario'!D646,1,4)),0)&lt;&gt;0,'Libro Diario'!D646,0))=FALSE,'Libro Diario'!D646,0)</f>
        <v>0</v>
      </c>
      <c r="D1226" s="145" t="str">
        <f>+'Libro Diario'!E646</f>
        <v>HABER</v>
      </c>
      <c r="E1226" s="139" t="s">
        <v>446</v>
      </c>
      <c r="F1226" t="str">
        <f t="shared" si="57"/>
        <v>Sin Mov.</v>
      </c>
      <c r="G1226" t="str">
        <f>IF(+'Libro Diario'!H646=0,"",+'Libro Diario'!H646)</f>
        <v/>
      </c>
      <c r="H1226" t="str">
        <f>IF(+'Libro Diario'!I646=0,"",+'Libro Diario'!I646)</f>
        <v/>
      </c>
      <c r="I1226" t="str">
        <f>+IF(Table3[[#This Row],[Tipo Movimiento]]="Estructura Balance y PyG","Excluir","Incluir")</f>
        <v>Incluir</v>
      </c>
      <c r="J1226" s="153">
        <f>+IF(Table3[[#This Row],[Sin cuenta]]="Con Mov.",(IF(Table3[[#This Row],[Movimiento]]="Debe",Table3[[#This Row],[Importe]],IF(Table3[[#This Row],[Movimiento]]="Haber",Table3[[#This Row],[Importe]]*-1,0))),0)</f>
        <v>0</v>
      </c>
      <c r="K1226" s="145" t="str">
        <f t="shared" si="58"/>
        <v/>
      </c>
      <c r="L1226" s="145" t="str">
        <f t="shared" si="59"/>
        <v>HABER</v>
      </c>
      <c r="M1226" t="str">
        <f>_xlfn.XLOOKUP(Table3[[#This Row],[Cuenta]],Estructura_Balance[Nombre Cuenta ()],Estructura_Balance[Grupo],"",0)</f>
        <v/>
      </c>
      <c r="N1226" t="str">
        <f>_xlfn.XLOOKUP(Table3[[#This Row],[Cuenta]],Estructura_Balance[Nombre Cuenta ()],Estructura_Balance[Nivel 1],"",0)</f>
        <v/>
      </c>
      <c r="O1226" t="str">
        <f>_xlfn.XLOOKUP(Table3[[#This Row],[Cuenta]],Estructura_Balance[Nombre Cuenta ()],Estructura_Balance[Nivel 2],"",0)</f>
        <v/>
      </c>
      <c r="P1226" t="str">
        <f>_xlfn.XLOOKUP(Table3[[#This Row],[Cuenta]],Estructura_Balance[Nombre Cuenta ()],Estructura_Balance[Nivel 3],"",0)</f>
        <v/>
      </c>
      <c r="Q1226" t="str">
        <f>_xlfn.XLOOKUP(Table3[[#This Row],[Cuenta]],Estructura_Balance[Nombre Cuenta ()],Estructura_Balance[Nivel 4],"",0)</f>
        <v/>
      </c>
      <c r="R1226" t="str">
        <f>_xlfn.XLOOKUP(Table3[[#This Row],[Cuenta]],Table8[Nombre Cuenta ()],Table8[Nivel 1],"",0)</f>
        <v/>
      </c>
      <c r="S1226" t="str">
        <f>_xlfn.XLOOKUP(Table3[[#This Row],[Cuenta]],Table8[Nombre Cuenta ()],Table8[Nivel 2],"",0)</f>
        <v/>
      </c>
      <c r="T1226" t="str">
        <f>_xlfn.XLOOKUP(Table3[[#This Row],[Cuenta]],Table8[Nombre Cuenta ()],Table8[Nivel 3],"",0)</f>
        <v/>
      </c>
      <c r="U1226">
        <v>1069</v>
      </c>
      <c r="V1226" t="str">
        <f>_xlfn.XLOOKUP(Table3[[#This Row],[Cuenta]],Estructura_Balance[Nombre Cuenta ()],Estructura_Balance[Niveles:2],"",0)</f>
        <v/>
      </c>
      <c r="W1226" t="str">
        <f>_xlfn.XLOOKUP(Table3[[#This Row],[Cuenta]],Estructura_Balance[Nombre Cuenta ()],Estructura_Balance[Niveles:3],"",0)</f>
        <v/>
      </c>
      <c r="X1226" t="str">
        <f>_xlfn.XLOOKUP(Table3[[#This Row],[Cuenta]],Estructura_Balance[Nombre Cuenta ()],Estructura_Balance[Grupos],"Grupo 1",0)</f>
        <v>Grupo 1</v>
      </c>
      <c r="Y1226" t="str">
        <f>+Table3[[#This Row],[BS_Nivel_1]]</f>
        <v/>
      </c>
    </row>
    <row r="1227" spans="1:25" ht="15" customHeight="1">
      <c r="A1227">
        <f>+'Libro Diario'!F647</f>
        <v>0</v>
      </c>
      <c r="B1227" s="144">
        <f>VALUE(IF(+'Libro Diario'!G647="","01/01/2025",+'Libro Diario'!G647))</f>
        <v>45658</v>
      </c>
      <c r="C1227">
        <f>IF(ISNUMBER(+IF(IFERROR(VALUE(MID('Libro Diario'!D647,1,4)),0)&lt;&gt;0,'Libro Diario'!D647,0))=FALSE,'Libro Diario'!D647,0)</f>
        <v>0</v>
      </c>
      <c r="D1227" s="145">
        <f>+'Libro Diario'!E647</f>
        <v>0</v>
      </c>
      <c r="E1227" s="139" t="s">
        <v>446</v>
      </c>
      <c r="F1227" t="str">
        <f t="shared" si="57"/>
        <v>Sin Mov.</v>
      </c>
      <c r="G1227" t="str">
        <f>IF(+'Libro Diario'!H647=0,"",+'Libro Diario'!H647)</f>
        <v/>
      </c>
      <c r="H1227" t="str">
        <f>IF(+'Libro Diario'!I647=0,"",+'Libro Diario'!I647)</f>
        <v/>
      </c>
      <c r="I1227" t="str">
        <f>+IF(Table3[[#This Row],[Tipo Movimiento]]="Estructura Balance y PyG","Excluir","Incluir")</f>
        <v>Incluir</v>
      </c>
      <c r="J1227" s="153">
        <f>+IF(Table3[[#This Row],[Sin cuenta]]="Con Mov.",(IF(Table3[[#This Row],[Movimiento]]="Debe",Table3[[#This Row],[Importe]],IF(Table3[[#This Row],[Movimiento]]="Haber",Table3[[#This Row],[Importe]]*-1,0))),0)</f>
        <v>0</v>
      </c>
      <c r="K1227" s="145" t="str">
        <f t="shared" si="58"/>
        <v/>
      </c>
      <c r="L1227" s="145">
        <f t="shared" si="59"/>
        <v>0</v>
      </c>
      <c r="M1227" t="str">
        <f>_xlfn.XLOOKUP(Table3[[#This Row],[Cuenta]],Estructura_Balance[Nombre Cuenta ()],Estructura_Balance[Grupo],"",0)</f>
        <v/>
      </c>
      <c r="N1227" t="str">
        <f>_xlfn.XLOOKUP(Table3[[#This Row],[Cuenta]],Estructura_Balance[Nombre Cuenta ()],Estructura_Balance[Nivel 1],"",0)</f>
        <v/>
      </c>
      <c r="O1227" t="str">
        <f>_xlfn.XLOOKUP(Table3[[#This Row],[Cuenta]],Estructura_Balance[Nombre Cuenta ()],Estructura_Balance[Nivel 2],"",0)</f>
        <v/>
      </c>
      <c r="P1227" t="str">
        <f>_xlfn.XLOOKUP(Table3[[#This Row],[Cuenta]],Estructura_Balance[Nombre Cuenta ()],Estructura_Balance[Nivel 3],"",0)</f>
        <v/>
      </c>
      <c r="Q1227" t="str">
        <f>_xlfn.XLOOKUP(Table3[[#This Row],[Cuenta]],Estructura_Balance[Nombre Cuenta ()],Estructura_Balance[Nivel 4],"",0)</f>
        <v/>
      </c>
      <c r="R1227" t="str">
        <f>_xlfn.XLOOKUP(Table3[[#This Row],[Cuenta]],Table8[Nombre Cuenta ()],Table8[Nivel 1],"",0)</f>
        <v/>
      </c>
      <c r="S1227" t="str">
        <f>_xlfn.XLOOKUP(Table3[[#This Row],[Cuenta]],Table8[Nombre Cuenta ()],Table8[Nivel 2],"",0)</f>
        <v/>
      </c>
      <c r="T1227" t="str">
        <f>_xlfn.XLOOKUP(Table3[[#This Row],[Cuenta]],Table8[Nombre Cuenta ()],Table8[Nivel 3],"",0)</f>
        <v/>
      </c>
      <c r="U1227">
        <v>77</v>
      </c>
      <c r="V1227" t="str">
        <f>_xlfn.XLOOKUP(Table3[[#This Row],[Cuenta]],Estructura_Balance[Nombre Cuenta ()],Estructura_Balance[Niveles:2],"",0)</f>
        <v/>
      </c>
      <c r="W1227" t="str">
        <f>_xlfn.XLOOKUP(Table3[[#This Row],[Cuenta]],Estructura_Balance[Nombre Cuenta ()],Estructura_Balance[Niveles:3],"",0)</f>
        <v/>
      </c>
      <c r="X1227" t="str">
        <f>_xlfn.XLOOKUP(Table3[[#This Row],[Cuenta]],Estructura_Balance[Nombre Cuenta ()],Estructura_Balance[Grupos],"Grupo 1",0)</f>
        <v>Grupo 1</v>
      </c>
      <c r="Y1227" t="str">
        <f>+Table3[[#This Row],[BS_Nivel_1]]</f>
        <v/>
      </c>
    </row>
    <row r="1228" spans="1:25" ht="15" customHeight="1">
      <c r="A1228">
        <f>+'Libro Diario'!F648</f>
        <v>75</v>
      </c>
      <c r="B1228" s="144">
        <f>VALUE(IF(+'Libro Diario'!G648="","01/01/2025",+'Libro Diario'!G648))</f>
        <v>0</v>
      </c>
      <c r="C1228">
        <f>IF(ISNUMBER(+IF(IFERROR(VALUE(MID('Libro Diario'!D648,1,4)),0)&lt;&gt;0,'Libro Diario'!D648,0))=FALSE,'Libro Diario'!D648,0)</f>
        <v>0</v>
      </c>
      <c r="D1228" s="145">
        <f>+'Libro Diario'!E648</f>
        <v>0</v>
      </c>
      <c r="E1228" s="139" t="s">
        <v>446</v>
      </c>
      <c r="F1228" t="str">
        <f t="shared" si="57"/>
        <v>Sin Mov.</v>
      </c>
      <c r="G1228" t="str">
        <f>IF(+'Libro Diario'!H648=0,"",+'Libro Diario'!H648)</f>
        <v>Asiento de Apertura</v>
      </c>
      <c r="H1228" t="str">
        <f>IF(+'Libro Diario'!I648=0,"",+'Libro Diario'!I648)</f>
        <v/>
      </c>
      <c r="I1228" t="str">
        <f>+IF(Table3[[#This Row],[Tipo Movimiento]]="Estructura Balance y PyG","Excluir","Incluir")</f>
        <v>Incluir</v>
      </c>
      <c r="J1228" s="153">
        <f>+IF(Table3[[#This Row],[Sin cuenta]]="Con Mov.",(IF(Table3[[#This Row],[Movimiento]]="Debe",Table3[[#This Row],[Importe]],IF(Table3[[#This Row],[Movimiento]]="Haber",Table3[[#This Row],[Importe]]*-1,0))),0)</f>
        <v>0</v>
      </c>
      <c r="K1228" s="145" t="str">
        <f t="shared" si="58"/>
        <v/>
      </c>
      <c r="L1228" s="145">
        <f t="shared" si="59"/>
        <v>0</v>
      </c>
      <c r="M1228" t="str">
        <f>_xlfn.XLOOKUP(Table3[[#This Row],[Cuenta]],Estructura_Balance[Nombre Cuenta ()],Estructura_Balance[Grupo],"",0)</f>
        <v/>
      </c>
      <c r="N1228" t="str">
        <f>_xlfn.XLOOKUP(Table3[[#This Row],[Cuenta]],Estructura_Balance[Nombre Cuenta ()],Estructura_Balance[Nivel 1],"",0)</f>
        <v/>
      </c>
      <c r="O1228" t="str">
        <f>_xlfn.XLOOKUP(Table3[[#This Row],[Cuenta]],Estructura_Balance[Nombre Cuenta ()],Estructura_Balance[Nivel 2],"",0)</f>
        <v/>
      </c>
      <c r="P1228" t="str">
        <f>_xlfn.XLOOKUP(Table3[[#This Row],[Cuenta]],Estructura_Balance[Nombre Cuenta ()],Estructura_Balance[Nivel 3],"",0)</f>
        <v/>
      </c>
      <c r="Q1228" t="str">
        <f>_xlfn.XLOOKUP(Table3[[#This Row],[Cuenta]],Estructura_Balance[Nombre Cuenta ()],Estructura_Balance[Nivel 4],"",0)</f>
        <v/>
      </c>
      <c r="R1228" t="str">
        <f>_xlfn.XLOOKUP(Table3[[#This Row],[Cuenta]],Table8[Nombre Cuenta ()],Table8[Nivel 1],"",0)</f>
        <v/>
      </c>
      <c r="S1228" t="str">
        <f>_xlfn.XLOOKUP(Table3[[#This Row],[Cuenta]],Table8[Nombre Cuenta ()],Table8[Nivel 2],"",0)</f>
        <v/>
      </c>
      <c r="T1228" t="str">
        <f>_xlfn.XLOOKUP(Table3[[#This Row],[Cuenta]],Table8[Nombre Cuenta ()],Table8[Nivel 3],"",0)</f>
        <v/>
      </c>
      <c r="U1228">
        <v>78</v>
      </c>
      <c r="V1228" t="str">
        <f>_xlfn.XLOOKUP(Table3[[#This Row],[Cuenta]],Estructura_Balance[Nombre Cuenta ()],Estructura_Balance[Niveles:2],"",0)</f>
        <v/>
      </c>
      <c r="W1228" t="str">
        <f>_xlfn.XLOOKUP(Table3[[#This Row],[Cuenta]],Estructura_Balance[Nombre Cuenta ()],Estructura_Balance[Niveles:3],"",0)</f>
        <v/>
      </c>
      <c r="X1228" t="str">
        <f>_xlfn.XLOOKUP(Table3[[#This Row],[Cuenta]],Estructura_Balance[Nombre Cuenta ()],Estructura_Balance[Grupos],"Grupo 1",0)</f>
        <v>Grupo 1</v>
      </c>
      <c r="Y1228" t="str">
        <f>+Table3[[#This Row],[BS_Nivel_1]]</f>
        <v/>
      </c>
    </row>
    <row r="1229" spans="1:25" ht="15" customHeight="1">
      <c r="A1229">
        <f>+'Libro Diario'!F649</f>
        <v>75</v>
      </c>
      <c r="B1229" s="144">
        <f>VALUE(IF(+'Libro Diario'!G649="","01/01/2025",+'Libro Diario'!G649))</f>
        <v>0</v>
      </c>
      <c r="C1229">
        <f>IF(ISNUMBER(+IF(IFERROR(VALUE(MID('Libro Diario'!D649,1,4)),0)&lt;&gt;0,'Libro Diario'!D649,0))=FALSE,'Libro Diario'!D649,0)</f>
        <v>0</v>
      </c>
      <c r="D1229" s="145">
        <f>+'Libro Diario'!E649</f>
        <v>0</v>
      </c>
      <c r="E1229" s="139" t="s">
        <v>446</v>
      </c>
      <c r="F1229" t="str">
        <f t="shared" si="57"/>
        <v>Sin Mov.</v>
      </c>
      <c r="G1229" t="str">
        <f>IF(+'Libro Diario'!H649=0,"",+'Libro Diario'!H649)</f>
        <v>Asiento de Apertura</v>
      </c>
      <c r="H1229" t="str">
        <f>IF(+'Libro Diario'!I649=0,"",+'Libro Diario'!I649)</f>
        <v/>
      </c>
      <c r="I1229" t="str">
        <f>+IF(Table3[[#This Row],[Tipo Movimiento]]="Estructura Balance y PyG","Excluir","Incluir")</f>
        <v>Incluir</v>
      </c>
      <c r="J1229" s="153">
        <f>+IF(Table3[[#This Row],[Sin cuenta]]="Con Mov.",(IF(Table3[[#This Row],[Movimiento]]="Debe",Table3[[#This Row],[Importe]],IF(Table3[[#This Row],[Movimiento]]="Haber",Table3[[#This Row],[Importe]]*-1,0))),0)</f>
        <v>0</v>
      </c>
      <c r="K1229" s="145" t="str">
        <f t="shared" si="58"/>
        <v/>
      </c>
      <c r="L1229" s="145">
        <f t="shared" si="59"/>
        <v>0</v>
      </c>
      <c r="M1229" t="str">
        <f>_xlfn.XLOOKUP(Table3[[#This Row],[Cuenta]],Estructura_Balance[Nombre Cuenta ()],Estructura_Balance[Grupo],"",0)</f>
        <v/>
      </c>
      <c r="N1229" t="str">
        <f>_xlfn.XLOOKUP(Table3[[#This Row],[Cuenta]],Estructura_Balance[Nombre Cuenta ()],Estructura_Balance[Nivel 1],"",0)</f>
        <v/>
      </c>
      <c r="O1229" t="str">
        <f>_xlfn.XLOOKUP(Table3[[#This Row],[Cuenta]],Estructura_Balance[Nombre Cuenta ()],Estructura_Balance[Nivel 2],"",0)</f>
        <v/>
      </c>
      <c r="P1229" t="str">
        <f>_xlfn.XLOOKUP(Table3[[#This Row],[Cuenta]],Estructura_Balance[Nombre Cuenta ()],Estructura_Balance[Nivel 3],"",0)</f>
        <v/>
      </c>
      <c r="Q1229" t="str">
        <f>_xlfn.XLOOKUP(Table3[[#This Row],[Cuenta]],Estructura_Balance[Nombre Cuenta ()],Estructura_Balance[Nivel 4],"",0)</f>
        <v/>
      </c>
      <c r="R1229" t="str">
        <f>_xlfn.XLOOKUP(Table3[[#This Row],[Cuenta]],Table8[Nombre Cuenta ()],Table8[Nivel 1],"",0)</f>
        <v/>
      </c>
      <c r="S1229" t="str">
        <f>_xlfn.XLOOKUP(Table3[[#This Row],[Cuenta]],Table8[Nombre Cuenta ()],Table8[Nivel 2],"",0)</f>
        <v/>
      </c>
      <c r="T1229" t="str">
        <f>_xlfn.XLOOKUP(Table3[[#This Row],[Cuenta]],Table8[Nombre Cuenta ()],Table8[Nivel 3],"",0)</f>
        <v/>
      </c>
      <c r="U1229">
        <v>1075</v>
      </c>
      <c r="V1229" t="str">
        <f>_xlfn.XLOOKUP(Table3[[#This Row],[Cuenta]],Estructura_Balance[Nombre Cuenta ()],Estructura_Balance[Niveles:2],"",0)</f>
        <v/>
      </c>
      <c r="W1229" t="str">
        <f>_xlfn.XLOOKUP(Table3[[#This Row],[Cuenta]],Estructura_Balance[Nombre Cuenta ()],Estructura_Balance[Niveles:3],"",0)</f>
        <v/>
      </c>
      <c r="X1229" t="str">
        <f>_xlfn.XLOOKUP(Table3[[#This Row],[Cuenta]],Estructura_Balance[Nombre Cuenta ()],Estructura_Balance[Grupos],"Grupo 1",0)</f>
        <v>Grupo 1</v>
      </c>
      <c r="Y1229" t="str">
        <f>+Table3[[#This Row],[BS_Nivel_1]]</f>
        <v/>
      </c>
    </row>
    <row r="1230" spans="1:25" ht="15" customHeight="1">
      <c r="A1230">
        <f>+'Libro Diario'!F650</f>
        <v>0</v>
      </c>
      <c r="B1230" s="144">
        <f>VALUE(IF(+'Libro Diario'!G650="","01/01/2025",+'Libro Diario'!G650))</f>
        <v>45658</v>
      </c>
      <c r="C1230">
        <f>IF(ISNUMBER(+IF(IFERROR(VALUE(MID('Libro Diario'!D650,1,4)),0)&lt;&gt;0,'Libro Diario'!D650,0))=FALSE,'Libro Diario'!D650,0)</f>
        <v>0</v>
      </c>
      <c r="D1230" s="145">
        <f>+'Libro Diario'!E650</f>
        <v>0</v>
      </c>
      <c r="E1230" s="139" t="s">
        <v>446</v>
      </c>
      <c r="F1230" t="str">
        <f t="shared" si="57"/>
        <v>Sin Mov.</v>
      </c>
      <c r="G1230" t="str">
        <f>IF(+'Libro Diario'!H650=0,"",+'Libro Diario'!H650)</f>
        <v/>
      </c>
      <c r="H1230" t="str">
        <f>IF(+'Libro Diario'!I650=0,"",+'Libro Diario'!I650)</f>
        <v/>
      </c>
      <c r="I1230" t="str">
        <f>+IF(Table3[[#This Row],[Tipo Movimiento]]="Estructura Balance y PyG","Excluir","Incluir")</f>
        <v>Incluir</v>
      </c>
      <c r="J1230" s="153">
        <f>+IF(Table3[[#This Row],[Sin cuenta]]="Con Mov.",(IF(Table3[[#This Row],[Movimiento]]="Debe",Table3[[#This Row],[Importe]],IF(Table3[[#This Row],[Movimiento]]="Haber",Table3[[#This Row],[Importe]]*-1,0))),0)</f>
        <v>0</v>
      </c>
      <c r="K1230" s="145" t="str">
        <f t="shared" si="58"/>
        <v/>
      </c>
      <c r="L1230" s="145">
        <f t="shared" si="59"/>
        <v>0</v>
      </c>
      <c r="M1230" t="str">
        <f>_xlfn.XLOOKUP(Table3[[#This Row],[Cuenta]],Estructura_Balance[Nombre Cuenta ()],Estructura_Balance[Grupo],"",0)</f>
        <v/>
      </c>
      <c r="N1230" t="str">
        <f>_xlfn.XLOOKUP(Table3[[#This Row],[Cuenta]],Estructura_Balance[Nombre Cuenta ()],Estructura_Balance[Nivel 1],"",0)</f>
        <v/>
      </c>
      <c r="O1230" t="str">
        <f>_xlfn.XLOOKUP(Table3[[#This Row],[Cuenta]],Estructura_Balance[Nombre Cuenta ()],Estructura_Balance[Nivel 2],"",0)</f>
        <v/>
      </c>
      <c r="P1230" t="str">
        <f>_xlfn.XLOOKUP(Table3[[#This Row],[Cuenta]],Estructura_Balance[Nombre Cuenta ()],Estructura_Balance[Nivel 3],"",0)</f>
        <v/>
      </c>
      <c r="Q1230" t="str">
        <f>_xlfn.XLOOKUP(Table3[[#This Row],[Cuenta]],Estructura_Balance[Nombre Cuenta ()],Estructura_Balance[Nivel 4],"",0)</f>
        <v/>
      </c>
      <c r="R1230" t="str">
        <f>_xlfn.XLOOKUP(Table3[[#This Row],[Cuenta]],Table8[Nombre Cuenta ()],Table8[Nivel 1],"",0)</f>
        <v/>
      </c>
      <c r="S1230" t="str">
        <f>_xlfn.XLOOKUP(Table3[[#This Row],[Cuenta]],Table8[Nombre Cuenta ()],Table8[Nivel 2],"",0)</f>
        <v/>
      </c>
      <c r="T1230" t="str">
        <f>_xlfn.XLOOKUP(Table3[[#This Row],[Cuenta]],Table8[Nombre Cuenta ()],Table8[Nivel 3],"",0)</f>
        <v/>
      </c>
      <c r="U1230">
        <v>1076</v>
      </c>
      <c r="V1230" t="str">
        <f>_xlfn.XLOOKUP(Table3[[#This Row],[Cuenta]],Estructura_Balance[Nombre Cuenta ()],Estructura_Balance[Niveles:2],"",0)</f>
        <v/>
      </c>
      <c r="W1230" t="str">
        <f>_xlfn.XLOOKUP(Table3[[#This Row],[Cuenta]],Estructura_Balance[Nombre Cuenta ()],Estructura_Balance[Niveles:3],"",0)</f>
        <v/>
      </c>
      <c r="X1230" t="str">
        <f>_xlfn.XLOOKUP(Table3[[#This Row],[Cuenta]],Estructura_Balance[Nombre Cuenta ()],Estructura_Balance[Grupos],"Grupo 1",0)</f>
        <v>Grupo 1</v>
      </c>
      <c r="Y1230" t="str">
        <f>+Table3[[#This Row],[BS_Nivel_1]]</f>
        <v/>
      </c>
    </row>
    <row r="1231" spans="1:25" ht="15" customHeight="1">
      <c r="A1231">
        <f>+'Libro Diario'!F651</f>
        <v>0</v>
      </c>
      <c r="B1231" s="144">
        <f>VALUE(IF(+'Libro Diario'!G651="","01/01/2025",+'Libro Diario'!G651))</f>
        <v>45658</v>
      </c>
      <c r="C1231">
        <f>IF(ISNUMBER(+IF(IFERROR(VALUE(MID('Libro Diario'!D651,1,4)),0)&lt;&gt;0,'Libro Diario'!D651,0))=FALSE,'Libro Diario'!D651,0)</f>
        <v>0</v>
      </c>
      <c r="D1231" s="145">
        <f>+'Libro Diario'!E651</f>
        <v>0</v>
      </c>
      <c r="E1231" s="139" t="s">
        <v>446</v>
      </c>
      <c r="F1231" t="str">
        <f t="shared" si="57"/>
        <v>Sin Mov.</v>
      </c>
      <c r="G1231" t="str">
        <f>IF(+'Libro Diario'!H651=0,"",+'Libro Diario'!H651)</f>
        <v/>
      </c>
      <c r="H1231" t="str">
        <f>IF(+'Libro Diario'!I651=0,"",+'Libro Diario'!I651)</f>
        <v/>
      </c>
      <c r="I1231" t="str">
        <f>+IF(Table3[[#This Row],[Tipo Movimiento]]="Estructura Balance y PyG","Excluir","Incluir")</f>
        <v>Incluir</v>
      </c>
      <c r="J1231" s="153">
        <f>+IF(Table3[[#This Row],[Sin cuenta]]="Con Mov.",(IF(Table3[[#This Row],[Movimiento]]="Debe",Table3[[#This Row],[Importe]],IF(Table3[[#This Row],[Movimiento]]="Haber",Table3[[#This Row],[Importe]]*-1,0))),0)</f>
        <v>0</v>
      </c>
      <c r="K1231" s="145" t="str">
        <f t="shared" si="58"/>
        <v/>
      </c>
      <c r="L1231" s="145">
        <f t="shared" si="59"/>
        <v>0</v>
      </c>
      <c r="M1231" t="str">
        <f>_xlfn.XLOOKUP(Table3[[#This Row],[Cuenta]],Estructura_Balance[Nombre Cuenta ()],Estructura_Balance[Grupo],"",0)</f>
        <v/>
      </c>
      <c r="N1231" t="str">
        <f>_xlfn.XLOOKUP(Table3[[#This Row],[Cuenta]],Estructura_Balance[Nombre Cuenta ()],Estructura_Balance[Nivel 1],"",0)</f>
        <v/>
      </c>
      <c r="O1231" t="str">
        <f>_xlfn.XLOOKUP(Table3[[#This Row],[Cuenta]],Estructura_Balance[Nombre Cuenta ()],Estructura_Balance[Nivel 2],"",0)</f>
        <v/>
      </c>
      <c r="P1231" t="str">
        <f>_xlfn.XLOOKUP(Table3[[#This Row],[Cuenta]],Estructura_Balance[Nombre Cuenta ()],Estructura_Balance[Nivel 3],"",0)</f>
        <v/>
      </c>
      <c r="Q1231" t="str">
        <f>_xlfn.XLOOKUP(Table3[[#This Row],[Cuenta]],Estructura_Balance[Nombre Cuenta ()],Estructura_Balance[Nivel 4],"",0)</f>
        <v/>
      </c>
      <c r="R1231" t="str">
        <f>_xlfn.XLOOKUP(Table3[[#This Row],[Cuenta]],Table8[Nombre Cuenta ()],Table8[Nivel 1],"",0)</f>
        <v/>
      </c>
      <c r="S1231" t="str">
        <f>_xlfn.XLOOKUP(Table3[[#This Row],[Cuenta]],Table8[Nombre Cuenta ()],Table8[Nivel 2],"",0)</f>
        <v/>
      </c>
      <c r="T1231" t="str">
        <f>_xlfn.XLOOKUP(Table3[[#This Row],[Cuenta]],Table8[Nombre Cuenta ()],Table8[Nivel 3],"",0)</f>
        <v/>
      </c>
      <c r="U1231">
        <v>84</v>
      </c>
      <c r="V1231" t="str">
        <f>_xlfn.XLOOKUP(Table3[[#This Row],[Cuenta]],Estructura_Balance[Nombre Cuenta ()],Estructura_Balance[Niveles:2],"",0)</f>
        <v/>
      </c>
      <c r="W1231" t="str">
        <f>_xlfn.XLOOKUP(Table3[[#This Row],[Cuenta]],Estructura_Balance[Nombre Cuenta ()],Estructura_Balance[Niveles:3],"",0)</f>
        <v/>
      </c>
      <c r="X1231" t="str">
        <f>_xlfn.XLOOKUP(Table3[[#This Row],[Cuenta]],Estructura_Balance[Nombre Cuenta ()],Estructura_Balance[Grupos],"Grupo 1",0)</f>
        <v>Grupo 1</v>
      </c>
      <c r="Y1231" t="str">
        <f>+Table3[[#This Row],[BS_Nivel_1]]</f>
        <v/>
      </c>
    </row>
    <row r="1232" spans="1:25" ht="15" customHeight="1">
      <c r="A1232">
        <f>+'Libro Diario'!F652</f>
        <v>0</v>
      </c>
      <c r="B1232" s="144">
        <f>VALUE(IF(+'Libro Diario'!G652="","01/01/2025",+'Libro Diario'!G652))</f>
        <v>45658</v>
      </c>
      <c r="C1232">
        <f>IF(ISNUMBER(+IF(IFERROR(VALUE(MID('Libro Diario'!D652,1,4)),0)&lt;&gt;0,'Libro Diario'!D652,0))=FALSE,'Libro Diario'!D652,0)</f>
        <v>0</v>
      </c>
      <c r="D1232" s="145">
        <f>+'Libro Diario'!E652</f>
        <v>0</v>
      </c>
      <c r="E1232" s="139" t="s">
        <v>446</v>
      </c>
      <c r="F1232" t="str">
        <f t="shared" si="57"/>
        <v>Sin Mov.</v>
      </c>
      <c r="G1232" t="str">
        <f>IF(+'Libro Diario'!H652=0,"",+'Libro Diario'!H652)</f>
        <v/>
      </c>
      <c r="H1232" t="str">
        <f>IF(+'Libro Diario'!I652=0,"",+'Libro Diario'!I652)</f>
        <v/>
      </c>
      <c r="I1232" t="str">
        <f>+IF(Table3[[#This Row],[Tipo Movimiento]]="Estructura Balance y PyG","Excluir","Incluir")</f>
        <v>Incluir</v>
      </c>
      <c r="J1232" s="153">
        <f>+IF(Table3[[#This Row],[Sin cuenta]]="Con Mov.",(IF(Table3[[#This Row],[Movimiento]]="Debe",Table3[[#This Row],[Importe]],IF(Table3[[#This Row],[Movimiento]]="Haber",Table3[[#This Row],[Importe]]*-1,0))),0)</f>
        <v>0</v>
      </c>
      <c r="K1232" s="145" t="str">
        <f t="shared" si="58"/>
        <v/>
      </c>
      <c r="L1232" s="145">
        <f t="shared" si="59"/>
        <v>0</v>
      </c>
      <c r="M1232" t="str">
        <f>_xlfn.XLOOKUP(Table3[[#This Row],[Cuenta]],Estructura_Balance[Nombre Cuenta ()],Estructura_Balance[Grupo],"",0)</f>
        <v/>
      </c>
      <c r="N1232" t="str">
        <f>_xlfn.XLOOKUP(Table3[[#This Row],[Cuenta]],Estructura_Balance[Nombre Cuenta ()],Estructura_Balance[Nivel 1],"",0)</f>
        <v/>
      </c>
      <c r="O1232" t="str">
        <f>_xlfn.XLOOKUP(Table3[[#This Row],[Cuenta]],Estructura_Balance[Nombre Cuenta ()],Estructura_Balance[Nivel 2],"",0)</f>
        <v/>
      </c>
      <c r="P1232" t="str">
        <f>_xlfn.XLOOKUP(Table3[[#This Row],[Cuenta]],Estructura_Balance[Nombre Cuenta ()],Estructura_Balance[Nivel 3],"",0)</f>
        <v/>
      </c>
      <c r="Q1232" t="str">
        <f>_xlfn.XLOOKUP(Table3[[#This Row],[Cuenta]],Estructura_Balance[Nombre Cuenta ()],Estructura_Balance[Nivel 4],"",0)</f>
        <v/>
      </c>
      <c r="R1232" t="str">
        <f>_xlfn.XLOOKUP(Table3[[#This Row],[Cuenta]],Table8[Nombre Cuenta ()],Table8[Nivel 1],"",0)</f>
        <v/>
      </c>
      <c r="S1232" t="str">
        <f>_xlfn.XLOOKUP(Table3[[#This Row],[Cuenta]],Table8[Nombre Cuenta ()],Table8[Nivel 2],"",0)</f>
        <v/>
      </c>
      <c r="T1232" t="str">
        <f>_xlfn.XLOOKUP(Table3[[#This Row],[Cuenta]],Table8[Nombre Cuenta ()],Table8[Nivel 3],"",0)</f>
        <v/>
      </c>
      <c r="U1232">
        <v>85</v>
      </c>
      <c r="V1232" t="str">
        <f>_xlfn.XLOOKUP(Table3[[#This Row],[Cuenta]],Estructura_Balance[Nombre Cuenta ()],Estructura_Balance[Niveles:2],"",0)</f>
        <v/>
      </c>
      <c r="W1232" t="str">
        <f>_xlfn.XLOOKUP(Table3[[#This Row],[Cuenta]],Estructura_Balance[Nombre Cuenta ()],Estructura_Balance[Niveles:3],"",0)</f>
        <v/>
      </c>
      <c r="X1232" t="str">
        <f>_xlfn.XLOOKUP(Table3[[#This Row],[Cuenta]],Estructura_Balance[Nombre Cuenta ()],Estructura_Balance[Grupos],"Grupo 1",0)</f>
        <v>Grupo 1</v>
      </c>
      <c r="Y1232" t="str">
        <f>+Table3[[#This Row],[BS_Nivel_1]]</f>
        <v/>
      </c>
    </row>
    <row r="1233" spans="1:25" ht="15" customHeight="1">
      <c r="A1233">
        <f>+'Libro Diario'!F653</f>
        <v>0</v>
      </c>
      <c r="B1233" s="144">
        <f>VALUE(IF(+'Libro Diario'!G653="","01/01/2025",+'Libro Diario'!G653))</f>
        <v>45658</v>
      </c>
      <c r="C1233">
        <f>IF(ISNUMBER(+IF(IFERROR(VALUE(MID('Libro Diario'!D653,1,4)),0)&lt;&gt;0,'Libro Diario'!D653,0))=FALSE,'Libro Diario'!D653,0)</f>
        <v>0</v>
      </c>
      <c r="D1233" s="145" t="str">
        <f>+'Libro Diario'!E653</f>
        <v>HABER</v>
      </c>
      <c r="E1233" s="139" t="s">
        <v>446</v>
      </c>
      <c r="F1233" t="str">
        <f t="shared" si="57"/>
        <v>Sin Mov.</v>
      </c>
      <c r="G1233" t="str">
        <f>IF(+'Libro Diario'!H653=0,"",+'Libro Diario'!H653)</f>
        <v/>
      </c>
      <c r="H1233" t="str">
        <f>IF(+'Libro Diario'!I653=0,"",+'Libro Diario'!I653)</f>
        <v/>
      </c>
      <c r="I1233" t="str">
        <f>+IF(Table3[[#This Row],[Tipo Movimiento]]="Estructura Balance y PyG","Excluir","Incluir")</f>
        <v>Incluir</v>
      </c>
      <c r="J1233" s="153">
        <f>+IF(Table3[[#This Row],[Sin cuenta]]="Con Mov.",(IF(Table3[[#This Row],[Movimiento]]="Debe",Table3[[#This Row],[Importe]],IF(Table3[[#This Row],[Movimiento]]="Haber",Table3[[#This Row],[Importe]]*-1,0))),0)</f>
        <v>0</v>
      </c>
      <c r="K1233" s="145" t="str">
        <f t="shared" si="58"/>
        <v/>
      </c>
      <c r="L1233" s="145" t="str">
        <f t="shared" si="59"/>
        <v>HABER</v>
      </c>
      <c r="M1233" t="str">
        <f>_xlfn.XLOOKUP(Table3[[#This Row],[Cuenta]],Estructura_Balance[Nombre Cuenta ()],Estructura_Balance[Grupo],"",0)</f>
        <v/>
      </c>
      <c r="N1233" t="str">
        <f>_xlfn.XLOOKUP(Table3[[#This Row],[Cuenta]],Estructura_Balance[Nombre Cuenta ()],Estructura_Balance[Nivel 1],"",0)</f>
        <v/>
      </c>
      <c r="O1233" t="str">
        <f>_xlfn.XLOOKUP(Table3[[#This Row],[Cuenta]],Estructura_Balance[Nombre Cuenta ()],Estructura_Balance[Nivel 2],"",0)</f>
        <v/>
      </c>
      <c r="P1233" t="str">
        <f>_xlfn.XLOOKUP(Table3[[#This Row],[Cuenta]],Estructura_Balance[Nombre Cuenta ()],Estructura_Balance[Nivel 3],"",0)</f>
        <v/>
      </c>
      <c r="Q1233" t="str">
        <f>_xlfn.XLOOKUP(Table3[[#This Row],[Cuenta]],Estructura_Balance[Nombre Cuenta ()],Estructura_Balance[Nivel 4],"",0)</f>
        <v/>
      </c>
      <c r="R1233" t="str">
        <f>_xlfn.XLOOKUP(Table3[[#This Row],[Cuenta]],Table8[Nombre Cuenta ()],Table8[Nivel 1],"",0)</f>
        <v/>
      </c>
      <c r="S1233" t="str">
        <f>_xlfn.XLOOKUP(Table3[[#This Row],[Cuenta]],Table8[Nombre Cuenta ()],Table8[Nivel 2],"",0)</f>
        <v/>
      </c>
      <c r="T1233" t="str">
        <f>_xlfn.XLOOKUP(Table3[[#This Row],[Cuenta]],Table8[Nombre Cuenta ()],Table8[Nivel 3],"",0)</f>
        <v/>
      </c>
      <c r="U1233">
        <v>1082</v>
      </c>
      <c r="V1233" t="str">
        <f>_xlfn.XLOOKUP(Table3[[#This Row],[Cuenta]],Estructura_Balance[Nombre Cuenta ()],Estructura_Balance[Niveles:2],"",0)</f>
        <v/>
      </c>
      <c r="W1233" t="str">
        <f>_xlfn.XLOOKUP(Table3[[#This Row],[Cuenta]],Estructura_Balance[Nombre Cuenta ()],Estructura_Balance[Niveles:3],"",0)</f>
        <v/>
      </c>
      <c r="X1233" t="str">
        <f>_xlfn.XLOOKUP(Table3[[#This Row],[Cuenta]],Estructura_Balance[Nombre Cuenta ()],Estructura_Balance[Grupos],"Grupo 1",0)</f>
        <v>Grupo 1</v>
      </c>
      <c r="Y1233" t="str">
        <f>+Table3[[#This Row],[BS_Nivel_1]]</f>
        <v/>
      </c>
    </row>
    <row r="1234" spans="1:25" ht="15" customHeight="1">
      <c r="A1234">
        <f>+'Libro Diario'!F654</f>
        <v>0</v>
      </c>
      <c r="B1234" s="144">
        <f>VALUE(IF(+'Libro Diario'!G654="","01/01/2025",+'Libro Diario'!G654))</f>
        <v>45658</v>
      </c>
      <c r="C1234">
        <f>IF(ISNUMBER(+IF(IFERROR(VALUE(MID('Libro Diario'!D654,1,4)),0)&lt;&gt;0,'Libro Diario'!D654,0))=FALSE,'Libro Diario'!D654,0)</f>
        <v>0</v>
      </c>
      <c r="D1234" s="145">
        <f>+'Libro Diario'!E654</f>
        <v>0</v>
      </c>
      <c r="E1234" s="139" t="s">
        <v>446</v>
      </c>
      <c r="F1234" t="str">
        <f t="shared" si="57"/>
        <v>Sin Mov.</v>
      </c>
      <c r="G1234" t="str">
        <f>IF(+'Libro Diario'!H654=0,"",+'Libro Diario'!H654)</f>
        <v/>
      </c>
      <c r="H1234" t="str">
        <f>IF(+'Libro Diario'!I654=0,"",+'Libro Diario'!I654)</f>
        <v/>
      </c>
      <c r="I1234" t="str">
        <f>+IF(Table3[[#This Row],[Tipo Movimiento]]="Estructura Balance y PyG","Excluir","Incluir")</f>
        <v>Incluir</v>
      </c>
      <c r="J1234" s="153">
        <f>+IF(Table3[[#This Row],[Sin cuenta]]="Con Mov.",(IF(Table3[[#This Row],[Movimiento]]="Debe",Table3[[#This Row],[Importe]],IF(Table3[[#This Row],[Movimiento]]="Haber",Table3[[#This Row],[Importe]]*-1,0))),0)</f>
        <v>0</v>
      </c>
      <c r="K1234" s="145" t="str">
        <f t="shared" si="58"/>
        <v/>
      </c>
      <c r="L1234" s="145">
        <f t="shared" si="59"/>
        <v>0</v>
      </c>
      <c r="M1234" t="str">
        <f>_xlfn.XLOOKUP(Table3[[#This Row],[Cuenta]],Estructura_Balance[Nombre Cuenta ()],Estructura_Balance[Grupo],"",0)</f>
        <v/>
      </c>
      <c r="N1234" t="str">
        <f>_xlfn.XLOOKUP(Table3[[#This Row],[Cuenta]],Estructura_Balance[Nombre Cuenta ()],Estructura_Balance[Nivel 1],"",0)</f>
        <v/>
      </c>
      <c r="O1234" t="str">
        <f>_xlfn.XLOOKUP(Table3[[#This Row],[Cuenta]],Estructura_Balance[Nombre Cuenta ()],Estructura_Balance[Nivel 2],"",0)</f>
        <v/>
      </c>
      <c r="P1234" t="str">
        <f>_xlfn.XLOOKUP(Table3[[#This Row],[Cuenta]],Estructura_Balance[Nombre Cuenta ()],Estructura_Balance[Nivel 3],"",0)</f>
        <v/>
      </c>
      <c r="Q1234" t="str">
        <f>_xlfn.XLOOKUP(Table3[[#This Row],[Cuenta]],Estructura_Balance[Nombre Cuenta ()],Estructura_Balance[Nivel 4],"",0)</f>
        <v/>
      </c>
      <c r="R1234" t="str">
        <f>_xlfn.XLOOKUP(Table3[[#This Row],[Cuenta]],Table8[Nombre Cuenta ()],Table8[Nivel 1],"",0)</f>
        <v/>
      </c>
      <c r="S1234" t="str">
        <f>_xlfn.XLOOKUP(Table3[[#This Row],[Cuenta]],Table8[Nombre Cuenta ()],Table8[Nivel 2],"",0)</f>
        <v/>
      </c>
      <c r="T1234" t="str">
        <f>_xlfn.XLOOKUP(Table3[[#This Row],[Cuenta]],Table8[Nombre Cuenta ()],Table8[Nivel 3],"",0)</f>
        <v/>
      </c>
      <c r="U1234">
        <v>1083</v>
      </c>
      <c r="V1234" t="str">
        <f>_xlfn.XLOOKUP(Table3[[#This Row],[Cuenta]],Estructura_Balance[Nombre Cuenta ()],Estructura_Balance[Niveles:2],"",0)</f>
        <v/>
      </c>
      <c r="W1234" t="str">
        <f>_xlfn.XLOOKUP(Table3[[#This Row],[Cuenta]],Estructura_Balance[Nombre Cuenta ()],Estructura_Balance[Niveles:3],"",0)</f>
        <v/>
      </c>
      <c r="X1234" t="str">
        <f>_xlfn.XLOOKUP(Table3[[#This Row],[Cuenta]],Estructura_Balance[Nombre Cuenta ()],Estructura_Balance[Grupos],"Grupo 1",0)</f>
        <v>Grupo 1</v>
      </c>
      <c r="Y1234" t="str">
        <f>+Table3[[#This Row],[BS_Nivel_1]]</f>
        <v/>
      </c>
    </row>
    <row r="1235" spans="1:25" ht="15" customHeight="1">
      <c r="A1235">
        <f>+'Libro Diario'!F655</f>
        <v>76</v>
      </c>
      <c r="B1235" s="144">
        <f>VALUE(IF(+'Libro Diario'!G655="","01/01/2025",+'Libro Diario'!G655))</f>
        <v>0</v>
      </c>
      <c r="C1235">
        <f>IF(ISNUMBER(+IF(IFERROR(VALUE(MID('Libro Diario'!D655,1,4)),0)&lt;&gt;0,'Libro Diario'!D655,0))=FALSE,'Libro Diario'!D655,0)</f>
        <v>0</v>
      </c>
      <c r="D1235" s="145">
        <f>+'Libro Diario'!E655</f>
        <v>0</v>
      </c>
      <c r="E1235" s="139" t="s">
        <v>446</v>
      </c>
      <c r="F1235" t="str">
        <f t="shared" si="57"/>
        <v>Sin Mov.</v>
      </c>
      <c r="G1235" t="str">
        <f>IF(+'Libro Diario'!H655=0,"",+'Libro Diario'!H655)</f>
        <v>Determinación de Resultado Contable</v>
      </c>
      <c r="H1235" t="str">
        <f>IF(+'Libro Diario'!I655=0,"",+'Libro Diario'!I655)</f>
        <v/>
      </c>
      <c r="I1235" t="str">
        <f>+IF(Table3[[#This Row],[Tipo Movimiento]]="Estructura Balance y PyG","Excluir","Incluir")</f>
        <v>Incluir</v>
      </c>
      <c r="J1235" s="153">
        <f>+IF(Table3[[#This Row],[Sin cuenta]]="Con Mov.",(IF(Table3[[#This Row],[Movimiento]]="Debe",Table3[[#This Row],[Importe]],IF(Table3[[#This Row],[Movimiento]]="Haber",Table3[[#This Row],[Importe]]*-1,0))),0)</f>
        <v>0</v>
      </c>
      <c r="K1235" s="145" t="str">
        <f t="shared" si="58"/>
        <v/>
      </c>
      <c r="L1235" s="145">
        <f t="shared" si="59"/>
        <v>0</v>
      </c>
      <c r="M1235" t="str">
        <f>_xlfn.XLOOKUP(Table3[[#This Row],[Cuenta]],Estructura_Balance[Nombre Cuenta ()],Estructura_Balance[Grupo],"",0)</f>
        <v/>
      </c>
      <c r="N1235" t="str">
        <f>_xlfn.XLOOKUP(Table3[[#This Row],[Cuenta]],Estructura_Balance[Nombre Cuenta ()],Estructura_Balance[Nivel 1],"",0)</f>
        <v/>
      </c>
      <c r="O1235" t="str">
        <f>_xlfn.XLOOKUP(Table3[[#This Row],[Cuenta]],Estructura_Balance[Nombre Cuenta ()],Estructura_Balance[Nivel 2],"",0)</f>
        <v/>
      </c>
      <c r="P1235" t="str">
        <f>_xlfn.XLOOKUP(Table3[[#This Row],[Cuenta]],Estructura_Balance[Nombre Cuenta ()],Estructura_Balance[Nivel 3],"",0)</f>
        <v/>
      </c>
      <c r="Q1235" t="str">
        <f>_xlfn.XLOOKUP(Table3[[#This Row],[Cuenta]],Estructura_Balance[Nombre Cuenta ()],Estructura_Balance[Nivel 4],"",0)</f>
        <v/>
      </c>
      <c r="R1235" t="str">
        <f>_xlfn.XLOOKUP(Table3[[#This Row],[Cuenta]],Table8[Nombre Cuenta ()],Table8[Nivel 1],"",0)</f>
        <v/>
      </c>
      <c r="S1235" t="str">
        <f>_xlfn.XLOOKUP(Table3[[#This Row],[Cuenta]],Table8[Nombre Cuenta ()],Table8[Nivel 2],"",0)</f>
        <v/>
      </c>
      <c r="T1235" t="str">
        <f>_xlfn.XLOOKUP(Table3[[#This Row],[Cuenta]],Table8[Nombre Cuenta ()],Table8[Nivel 3],"",0)</f>
        <v/>
      </c>
      <c r="U1235">
        <v>91</v>
      </c>
      <c r="V1235" t="str">
        <f>_xlfn.XLOOKUP(Table3[[#This Row],[Cuenta]],Estructura_Balance[Nombre Cuenta ()],Estructura_Balance[Niveles:2],"",0)</f>
        <v/>
      </c>
      <c r="W1235" t="str">
        <f>_xlfn.XLOOKUP(Table3[[#This Row],[Cuenta]],Estructura_Balance[Nombre Cuenta ()],Estructura_Balance[Niveles:3],"",0)</f>
        <v/>
      </c>
      <c r="X1235" t="str">
        <f>_xlfn.XLOOKUP(Table3[[#This Row],[Cuenta]],Estructura_Balance[Nombre Cuenta ()],Estructura_Balance[Grupos],"Grupo 1",0)</f>
        <v>Grupo 1</v>
      </c>
      <c r="Y1235" t="str">
        <f>+Table3[[#This Row],[BS_Nivel_1]]</f>
        <v/>
      </c>
    </row>
    <row r="1236" spans="1:25" ht="15" customHeight="1">
      <c r="A1236">
        <f>+'Libro Diario'!F656</f>
        <v>76</v>
      </c>
      <c r="B1236" s="144">
        <f>VALUE(IF(+'Libro Diario'!G656="","01/01/2025",+'Libro Diario'!G656))</f>
        <v>0</v>
      </c>
      <c r="C1236">
        <f>IF(ISNUMBER(+IF(IFERROR(VALUE(MID('Libro Diario'!D656,1,4)),0)&lt;&gt;0,'Libro Diario'!D656,0))=FALSE,'Libro Diario'!D656,0)</f>
        <v>0</v>
      </c>
      <c r="D1236" s="145">
        <f>+'Libro Diario'!E656</f>
        <v>0</v>
      </c>
      <c r="E1236" s="139" t="s">
        <v>446</v>
      </c>
      <c r="F1236" t="str">
        <f t="shared" si="57"/>
        <v>Sin Mov.</v>
      </c>
      <c r="G1236" t="str">
        <f>IF(+'Libro Diario'!H656=0,"",+'Libro Diario'!H656)</f>
        <v>Determinación de Resultado Contable</v>
      </c>
      <c r="H1236" t="str">
        <f>IF(+'Libro Diario'!I656=0,"",+'Libro Diario'!I656)</f>
        <v/>
      </c>
      <c r="I1236" t="str">
        <f>+IF(Table3[[#This Row],[Tipo Movimiento]]="Estructura Balance y PyG","Excluir","Incluir")</f>
        <v>Incluir</v>
      </c>
      <c r="J1236" s="153">
        <f>+IF(Table3[[#This Row],[Sin cuenta]]="Con Mov.",(IF(Table3[[#This Row],[Movimiento]]="Debe",Table3[[#This Row],[Importe]],IF(Table3[[#This Row],[Movimiento]]="Haber",Table3[[#This Row],[Importe]]*-1,0))),0)</f>
        <v>0</v>
      </c>
      <c r="K1236" s="145" t="str">
        <f t="shared" si="58"/>
        <v/>
      </c>
      <c r="L1236" s="145">
        <f t="shared" si="59"/>
        <v>0</v>
      </c>
      <c r="M1236" t="str">
        <f>_xlfn.XLOOKUP(Table3[[#This Row],[Cuenta]],Estructura_Balance[Nombre Cuenta ()],Estructura_Balance[Grupo],"",0)</f>
        <v/>
      </c>
      <c r="N1236" t="str">
        <f>_xlfn.XLOOKUP(Table3[[#This Row],[Cuenta]],Estructura_Balance[Nombre Cuenta ()],Estructura_Balance[Nivel 1],"",0)</f>
        <v/>
      </c>
      <c r="O1236" t="str">
        <f>_xlfn.XLOOKUP(Table3[[#This Row],[Cuenta]],Estructura_Balance[Nombre Cuenta ()],Estructura_Balance[Nivel 2],"",0)</f>
        <v/>
      </c>
      <c r="P1236" t="str">
        <f>_xlfn.XLOOKUP(Table3[[#This Row],[Cuenta]],Estructura_Balance[Nombre Cuenta ()],Estructura_Balance[Nivel 3],"",0)</f>
        <v/>
      </c>
      <c r="Q1236" t="str">
        <f>_xlfn.XLOOKUP(Table3[[#This Row],[Cuenta]],Estructura_Balance[Nombre Cuenta ()],Estructura_Balance[Nivel 4],"",0)</f>
        <v/>
      </c>
      <c r="R1236" t="str">
        <f>_xlfn.XLOOKUP(Table3[[#This Row],[Cuenta]],Table8[Nombre Cuenta ()],Table8[Nivel 1],"",0)</f>
        <v/>
      </c>
      <c r="S1236" t="str">
        <f>_xlfn.XLOOKUP(Table3[[#This Row],[Cuenta]],Table8[Nombre Cuenta ()],Table8[Nivel 2],"",0)</f>
        <v/>
      </c>
      <c r="T1236" t="str">
        <f>_xlfn.XLOOKUP(Table3[[#This Row],[Cuenta]],Table8[Nombre Cuenta ()],Table8[Nivel 3],"",0)</f>
        <v/>
      </c>
      <c r="U1236">
        <v>92</v>
      </c>
      <c r="V1236" t="str">
        <f>_xlfn.XLOOKUP(Table3[[#This Row],[Cuenta]],Estructura_Balance[Nombre Cuenta ()],Estructura_Balance[Niveles:2],"",0)</f>
        <v/>
      </c>
      <c r="W1236" t="str">
        <f>_xlfn.XLOOKUP(Table3[[#This Row],[Cuenta]],Estructura_Balance[Nombre Cuenta ()],Estructura_Balance[Niveles:3],"",0)</f>
        <v/>
      </c>
      <c r="X1236" t="str">
        <f>_xlfn.XLOOKUP(Table3[[#This Row],[Cuenta]],Estructura_Balance[Nombre Cuenta ()],Estructura_Balance[Grupos],"Grupo 1",0)</f>
        <v>Grupo 1</v>
      </c>
      <c r="Y1236" t="str">
        <f>+Table3[[#This Row],[BS_Nivel_1]]</f>
        <v/>
      </c>
    </row>
    <row r="1237" spans="1:25" ht="15" customHeight="1">
      <c r="A1237">
        <f>+'Libro Diario'!F657</f>
        <v>0</v>
      </c>
      <c r="B1237" s="144">
        <f>VALUE(IF(+'Libro Diario'!G657="","01/01/2025",+'Libro Diario'!G657))</f>
        <v>45658</v>
      </c>
      <c r="C1237">
        <f>IF(ISNUMBER(+IF(IFERROR(VALUE(MID('Libro Diario'!D657,1,4)),0)&lt;&gt;0,'Libro Diario'!D657,0))=FALSE,'Libro Diario'!D657,0)</f>
        <v>0</v>
      </c>
      <c r="D1237" s="145">
        <f>+'Libro Diario'!E657</f>
        <v>0</v>
      </c>
      <c r="E1237" s="139" t="s">
        <v>446</v>
      </c>
      <c r="F1237" t="str">
        <f t="shared" si="57"/>
        <v>Sin Mov.</v>
      </c>
      <c r="G1237" t="str">
        <f>IF(+'Libro Diario'!H657=0,"",+'Libro Diario'!H657)</f>
        <v/>
      </c>
      <c r="H1237" t="str">
        <f>IF(+'Libro Diario'!I657=0,"",+'Libro Diario'!I657)</f>
        <v/>
      </c>
      <c r="I1237" t="str">
        <f>+IF(Table3[[#This Row],[Tipo Movimiento]]="Estructura Balance y PyG","Excluir","Incluir")</f>
        <v>Incluir</v>
      </c>
      <c r="J1237" s="153">
        <f>+IF(Table3[[#This Row],[Sin cuenta]]="Con Mov.",(IF(Table3[[#This Row],[Movimiento]]="Debe",Table3[[#This Row],[Importe]],IF(Table3[[#This Row],[Movimiento]]="Haber",Table3[[#This Row],[Importe]]*-1,0))),0)</f>
        <v>0</v>
      </c>
      <c r="K1237" s="145" t="str">
        <f t="shared" si="58"/>
        <v/>
      </c>
      <c r="L1237" s="145">
        <f t="shared" si="59"/>
        <v>0</v>
      </c>
      <c r="M1237" t="str">
        <f>_xlfn.XLOOKUP(Table3[[#This Row],[Cuenta]],Estructura_Balance[Nombre Cuenta ()],Estructura_Balance[Grupo],"",0)</f>
        <v/>
      </c>
      <c r="N1237" t="str">
        <f>_xlfn.XLOOKUP(Table3[[#This Row],[Cuenta]],Estructura_Balance[Nombre Cuenta ()],Estructura_Balance[Nivel 1],"",0)</f>
        <v/>
      </c>
      <c r="O1237" t="str">
        <f>_xlfn.XLOOKUP(Table3[[#This Row],[Cuenta]],Estructura_Balance[Nombre Cuenta ()],Estructura_Balance[Nivel 2],"",0)</f>
        <v/>
      </c>
      <c r="P1237" t="str">
        <f>_xlfn.XLOOKUP(Table3[[#This Row],[Cuenta]],Estructura_Balance[Nombre Cuenta ()],Estructura_Balance[Nivel 3],"",0)</f>
        <v/>
      </c>
      <c r="Q1237" t="str">
        <f>_xlfn.XLOOKUP(Table3[[#This Row],[Cuenta]],Estructura_Balance[Nombre Cuenta ()],Estructura_Balance[Nivel 4],"",0)</f>
        <v/>
      </c>
      <c r="R1237" t="str">
        <f>_xlfn.XLOOKUP(Table3[[#This Row],[Cuenta]],Table8[Nombre Cuenta ()],Table8[Nivel 1],"",0)</f>
        <v/>
      </c>
      <c r="S1237" t="str">
        <f>_xlfn.XLOOKUP(Table3[[#This Row],[Cuenta]],Table8[Nombre Cuenta ()],Table8[Nivel 2],"",0)</f>
        <v/>
      </c>
      <c r="T1237" t="str">
        <f>_xlfn.XLOOKUP(Table3[[#This Row],[Cuenta]],Table8[Nombre Cuenta ()],Table8[Nivel 3],"",0)</f>
        <v/>
      </c>
      <c r="U1237">
        <v>93</v>
      </c>
      <c r="V1237" t="str">
        <f>_xlfn.XLOOKUP(Table3[[#This Row],[Cuenta]],Estructura_Balance[Nombre Cuenta ()],Estructura_Balance[Niveles:2],"",0)</f>
        <v/>
      </c>
      <c r="W1237" t="str">
        <f>_xlfn.XLOOKUP(Table3[[#This Row],[Cuenta]],Estructura_Balance[Nombre Cuenta ()],Estructura_Balance[Niveles:3],"",0)</f>
        <v/>
      </c>
      <c r="X1237" t="str">
        <f>_xlfn.XLOOKUP(Table3[[#This Row],[Cuenta]],Estructura_Balance[Nombre Cuenta ()],Estructura_Balance[Grupos],"Grupo 1",0)</f>
        <v>Grupo 1</v>
      </c>
      <c r="Y1237" t="str">
        <f>+Table3[[#This Row],[BS_Nivel_1]]</f>
        <v/>
      </c>
    </row>
    <row r="1238" spans="1:25" ht="15" customHeight="1">
      <c r="A1238">
        <f>+'Libro Diario'!F658</f>
        <v>0</v>
      </c>
      <c r="B1238" s="144">
        <f>VALUE(IF(+'Libro Diario'!G658="","01/01/2025",+'Libro Diario'!G658))</f>
        <v>45658</v>
      </c>
      <c r="C1238">
        <f>IF(ISNUMBER(+IF(IFERROR(VALUE(MID('Libro Diario'!D658,1,4)),0)&lt;&gt;0,'Libro Diario'!D658,0))=FALSE,'Libro Diario'!D658,0)</f>
        <v>0</v>
      </c>
      <c r="D1238" s="145">
        <f>+'Libro Diario'!E658</f>
        <v>0</v>
      </c>
      <c r="E1238" s="139" t="s">
        <v>446</v>
      </c>
      <c r="F1238" t="str">
        <f t="shared" si="57"/>
        <v>Sin Mov.</v>
      </c>
      <c r="G1238" t="str">
        <f>IF(+'Libro Diario'!H658=0,"",+'Libro Diario'!H658)</f>
        <v/>
      </c>
      <c r="H1238" t="str">
        <f>IF(+'Libro Diario'!I658=0,"",+'Libro Diario'!I658)</f>
        <v/>
      </c>
      <c r="I1238" t="str">
        <f>+IF(Table3[[#This Row],[Tipo Movimiento]]="Estructura Balance y PyG","Excluir","Incluir")</f>
        <v>Incluir</v>
      </c>
      <c r="J1238" s="153">
        <f>+IF(Table3[[#This Row],[Sin cuenta]]="Con Mov.",(IF(Table3[[#This Row],[Movimiento]]="Debe",Table3[[#This Row],[Importe]],IF(Table3[[#This Row],[Movimiento]]="Haber",Table3[[#This Row],[Importe]]*-1,0))),0)</f>
        <v>0</v>
      </c>
      <c r="K1238" s="145" t="str">
        <f t="shared" si="58"/>
        <v/>
      </c>
      <c r="L1238" s="145">
        <f t="shared" si="59"/>
        <v>0</v>
      </c>
      <c r="M1238" t="str">
        <f>_xlfn.XLOOKUP(Table3[[#This Row],[Cuenta]],Estructura_Balance[Nombre Cuenta ()],Estructura_Balance[Grupo],"",0)</f>
        <v/>
      </c>
      <c r="N1238" t="str">
        <f>_xlfn.XLOOKUP(Table3[[#This Row],[Cuenta]],Estructura_Balance[Nombre Cuenta ()],Estructura_Balance[Nivel 1],"",0)</f>
        <v/>
      </c>
      <c r="O1238" t="str">
        <f>_xlfn.XLOOKUP(Table3[[#This Row],[Cuenta]],Estructura_Balance[Nombre Cuenta ()],Estructura_Balance[Nivel 2],"",0)</f>
        <v/>
      </c>
      <c r="P1238" t="str">
        <f>_xlfn.XLOOKUP(Table3[[#This Row],[Cuenta]],Estructura_Balance[Nombre Cuenta ()],Estructura_Balance[Nivel 3],"",0)</f>
        <v/>
      </c>
      <c r="Q1238" t="str">
        <f>_xlfn.XLOOKUP(Table3[[#This Row],[Cuenta]],Estructura_Balance[Nombre Cuenta ()],Estructura_Balance[Nivel 4],"",0)</f>
        <v/>
      </c>
      <c r="R1238" t="str">
        <f>_xlfn.XLOOKUP(Table3[[#This Row],[Cuenta]],Table8[Nombre Cuenta ()],Table8[Nivel 1],"",0)</f>
        <v/>
      </c>
      <c r="S1238" t="str">
        <f>_xlfn.XLOOKUP(Table3[[#This Row],[Cuenta]],Table8[Nombre Cuenta ()],Table8[Nivel 2],"",0)</f>
        <v/>
      </c>
      <c r="T1238" t="str">
        <f>_xlfn.XLOOKUP(Table3[[#This Row],[Cuenta]],Table8[Nombre Cuenta ()],Table8[Nivel 3],"",0)</f>
        <v/>
      </c>
      <c r="U1238">
        <v>1089</v>
      </c>
      <c r="V1238" t="str">
        <f>_xlfn.XLOOKUP(Table3[[#This Row],[Cuenta]],Estructura_Balance[Nombre Cuenta ()],Estructura_Balance[Niveles:2],"",0)</f>
        <v/>
      </c>
      <c r="W1238" t="str">
        <f>_xlfn.XLOOKUP(Table3[[#This Row],[Cuenta]],Estructura_Balance[Nombre Cuenta ()],Estructura_Balance[Niveles:3],"",0)</f>
        <v/>
      </c>
      <c r="X1238" t="str">
        <f>_xlfn.XLOOKUP(Table3[[#This Row],[Cuenta]],Estructura_Balance[Nombre Cuenta ()],Estructura_Balance[Grupos],"Grupo 1",0)</f>
        <v>Grupo 1</v>
      </c>
      <c r="Y1238" t="str">
        <f>+Table3[[#This Row],[BS_Nivel_1]]</f>
        <v/>
      </c>
    </row>
    <row r="1239" spans="1:25" ht="15" customHeight="1">
      <c r="A1239">
        <f>+'Libro Diario'!F659</f>
        <v>0</v>
      </c>
      <c r="B1239" s="144">
        <f>VALUE(IF(+'Libro Diario'!G659="","01/01/2025",+'Libro Diario'!G659))</f>
        <v>45658</v>
      </c>
      <c r="C1239">
        <f>IF(ISNUMBER(+IF(IFERROR(VALUE(MID('Libro Diario'!D659,1,4)),0)&lt;&gt;0,'Libro Diario'!D659,0))=FALSE,'Libro Diario'!D659,0)</f>
        <v>0</v>
      </c>
      <c r="D1239" s="145">
        <f>+'Libro Diario'!E659</f>
        <v>0</v>
      </c>
      <c r="E1239" s="139" t="s">
        <v>446</v>
      </c>
      <c r="F1239" t="str">
        <f t="shared" si="57"/>
        <v>Sin Mov.</v>
      </c>
      <c r="G1239" t="str">
        <f>IF(+'Libro Diario'!H659=0,"",+'Libro Diario'!H659)</f>
        <v/>
      </c>
      <c r="H1239" t="str">
        <f>IF(+'Libro Diario'!I659=0,"",+'Libro Diario'!I659)</f>
        <v/>
      </c>
      <c r="I1239" t="str">
        <f>+IF(Table3[[#This Row],[Tipo Movimiento]]="Estructura Balance y PyG","Excluir","Incluir")</f>
        <v>Incluir</v>
      </c>
      <c r="J1239" s="153">
        <f>+IF(Table3[[#This Row],[Sin cuenta]]="Con Mov.",(IF(Table3[[#This Row],[Movimiento]]="Debe",Table3[[#This Row],[Importe]],IF(Table3[[#This Row],[Movimiento]]="Haber",Table3[[#This Row],[Importe]]*-1,0))),0)</f>
        <v>0</v>
      </c>
      <c r="K1239" s="145" t="str">
        <f t="shared" si="58"/>
        <v/>
      </c>
      <c r="L1239" s="145">
        <f t="shared" si="59"/>
        <v>0</v>
      </c>
      <c r="M1239" t="str">
        <f>_xlfn.XLOOKUP(Table3[[#This Row],[Cuenta]],Estructura_Balance[Nombre Cuenta ()],Estructura_Balance[Grupo],"",0)</f>
        <v/>
      </c>
      <c r="N1239" t="str">
        <f>_xlfn.XLOOKUP(Table3[[#This Row],[Cuenta]],Estructura_Balance[Nombre Cuenta ()],Estructura_Balance[Nivel 1],"",0)</f>
        <v/>
      </c>
      <c r="O1239" t="str">
        <f>_xlfn.XLOOKUP(Table3[[#This Row],[Cuenta]],Estructura_Balance[Nombre Cuenta ()],Estructura_Balance[Nivel 2],"",0)</f>
        <v/>
      </c>
      <c r="P1239" t="str">
        <f>_xlfn.XLOOKUP(Table3[[#This Row],[Cuenta]],Estructura_Balance[Nombre Cuenta ()],Estructura_Balance[Nivel 3],"",0)</f>
        <v/>
      </c>
      <c r="Q1239" t="str">
        <f>_xlfn.XLOOKUP(Table3[[#This Row],[Cuenta]],Estructura_Balance[Nombre Cuenta ()],Estructura_Balance[Nivel 4],"",0)</f>
        <v/>
      </c>
      <c r="R1239" t="str">
        <f>_xlfn.XLOOKUP(Table3[[#This Row],[Cuenta]],Table8[Nombre Cuenta ()],Table8[Nivel 1],"",0)</f>
        <v/>
      </c>
      <c r="S1239" t="str">
        <f>_xlfn.XLOOKUP(Table3[[#This Row],[Cuenta]],Table8[Nombre Cuenta ()],Table8[Nivel 2],"",0)</f>
        <v/>
      </c>
      <c r="T1239" t="str">
        <f>_xlfn.XLOOKUP(Table3[[#This Row],[Cuenta]],Table8[Nombre Cuenta ()],Table8[Nivel 3],"",0)</f>
        <v/>
      </c>
      <c r="U1239">
        <v>1090</v>
      </c>
      <c r="V1239" t="str">
        <f>_xlfn.XLOOKUP(Table3[[#This Row],[Cuenta]],Estructura_Balance[Nombre Cuenta ()],Estructura_Balance[Niveles:2],"",0)</f>
        <v/>
      </c>
      <c r="W1239" t="str">
        <f>_xlfn.XLOOKUP(Table3[[#This Row],[Cuenta]],Estructura_Balance[Nombre Cuenta ()],Estructura_Balance[Niveles:3],"",0)</f>
        <v/>
      </c>
      <c r="X1239" t="str">
        <f>_xlfn.XLOOKUP(Table3[[#This Row],[Cuenta]],Estructura_Balance[Nombre Cuenta ()],Estructura_Balance[Grupos],"Grupo 1",0)</f>
        <v>Grupo 1</v>
      </c>
      <c r="Y1239" t="str">
        <f>+Table3[[#This Row],[BS_Nivel_1]]</f>
        <v/>
      </c>
    </row>
    <row r="1240" spans="1:25" ht="15" customHeight="1">
      <c r="A1240">
        <f>+'Libro Diario'!F660</f>
        <v>0</v>
      </c>
      <c r="B1240" s="144">
        <f>VALUE(IF(+'Libro Diario'!G660="","01/01/2025",+'Libro Diario'!G660))</f>
        <v>45658</v>
      </c>
      <c r="C1240">
        <f>IF(ISNUMBER(+IF(IFERROR(VALUE(MID('Libro Diario'!D660,1,4)),0)&lt;&gt;0,'Libro Diario'!D660,0))=FALSE,'Libro Diario'!D660,0)</f>
        <v>0</v>
      </c>
      <c r="D1240" s="145" t="str">
        <f>+'Libro Diario'!E660</f>
        <v>HABER</v>
      </c>
      <c r="E1240" s="139" t="s">
        <v>446</v>
      </c>
      <c r="F1240" t="str">
        <f t="shared" si="57"/>
        <v>Sin Mov.</v>
      </c>
      <c r="G1240" t="str">
        <f>IF(+'Libro Diario'!H660=0,"",+'Libro Diario'!H660)</f>
        <v/>
      </c>
      <c r="H1240" t="str">
        <f>IF(+'Libro Diario'!I660=0,"",+'Libro Diario'!I660)</f>
        <v/>
      </c>
      <c r="I1240" t="str">
        <f>+IF(Table3[[#This Row],[Tipo Movimiento]]="Estructura Balance y PyG","Excluir","Incluir")</f>
        <v>Incluir</v>
      </c>
      <c r="J1240" s="153">
        <f>+IF(Table3[[#This Row],[Sin cuenta]]="Con Mov.",(IF(Table3[[#This Row],[Movimiento]]="Debe",Table3[[#This Row],[Importe]],IF(Table3[[#This Row],[Movimiento]]="Haber",Table3[[#This Row],[Importe]]*-1,0))),0)</f>
        <v>0</v>
      </c>
      <c r="K1240" s="145" t="str">
        <f t="shared" si="58"/>
        <v/>
      </c>
      <c r="L1240" s="145" t="str">
        <f t="shared" si="59"/>
        <v>HABER</v>
      </c>
      <c r="M1240" t="str">
        <f>_xlfn.XLOOKUP(Table3[[#This Row],[Cuenta]],Estructura_Balance[Nombre Cuenta ()],Estructura_Balance[Grupo],"",0)</f>
        <v/>
      </c>
      <c r="N1240" t="str">
        <f>_xlfn.XLOOKUP(Table3[[#This Row],[Cuenta]],Estructura_Balance[Nombre Cuenta ()],Estructura_Balance[Nivel 1],"",0)</f>
        <v/>
      </c>
      <c r="O1240" t="str">
        <f>_xlfn.XLOOKUP(Table3[[#This Row],[Cuenta]],Estructura_Balance[Nombre Cuenta ()],Estructura_Balance[Nivel 2],"",0)</f>
        <v/>
      </c>
      <c r="P1240" t="str">
        <f>_xlfn.XLOOKUP(Table3[[#This Row],[Cuenta]],Estructura_Balance[Nombre Cuenta ()],Estructura_Balance[Nivel 3],"",0)</f>
        <v/>
      </c>
      <c r="Q1240" t="str">
        <f>_xlfn.XLOOKUP(Table3[[#This Row],[Cuenta]],Estructura_Balance[Nombre Cuenta ()],Estructura_Balance[Nivel 4],"",0)</f>
        <v/>
      </c>
      <c r="R1240" t="str">
        <f>_xlfn.XLOOKUP(Table3[[#This Row],[Cuenta]],Table8[Nombre Cuenta ()],Table8[Nivel 1],"",0)</f>
        <v/>
      </c>
      <c r="S1240" t="str">
        <f>_xlfn.XLOOKUP(Table3[[#This Row],[Cuenta]],Table8[Nombre Cuenta ()],Table8[Nivel 2],"",0)</f>
        <v/>
      </c>
      <c r="T1240" t="str">
        <f>_xlfn.XLOOKUP(Table3[[#This Row],[Cuenta]],Table8[Nombre Cuenta ()],Table8[Nivel 3],"",0)</f>
        <v/>
      </c>
      <c r="U1240">
        <v>1091</v>
      </c>
      <c r="V1240" t="str">
        <f>_xlfn.XLOOKUP(Table3[[#This Row],[Cuenta]],Estructura_Balance[Nombre Cuenta ()],Estructura_Balance[Niveles:2],"",0)</f>
        <v/>
      </c>
      <c r="W1240" t="str">
        <f>_xlfn.XLOOKUP(Table3[[#This Row],[Cuenta]],Estructura_Balance[Nombre Cuenta ()],Estructura_Balance[Niveles:3],"",0)</f>
        <v/>
      </c>
      <c r="X1240" t="str">
        <f>_xlfn.XLOOKUP(Table3[[#This Row],[Cuenta]],Estructura_Balance[Nombre Cuenta ()],Estructura_Balance[Grupos],"Grupo 1",0)</f>
        <v>Grupo 1</v>
      </c>
      <c r="Y1240" t="str">
        <f>+Table3[[#This Row],[BS_Nivel_1]]</f>
        <v/>
      </c>
    </row>
    <row r="1241" spans="1:25" ht="15" customHeight="1">
      <c r="A1241">
        <f>+'Libro Diario'!F661</f>
        <v>0</v>
      </c>
      <c r="B1241" s="144">
        <f>VALUE(IF(+'Libro Diario'!G661="","01/01/2025",+'Libro Diario'!G661))</f>
        <v>45658</v>
      </c>
      <c r="C1241">
        <f>IF(ISNUMBER(+IF(IFERROR(VALUE(MID('Libro Diario'!D661,1,4)),0)&lt;&gt;0,'Libro Diario'!D661,0))=FALSE,'Libro Diario'!D661,0)</f>
        <v>0</v>
      </c>
      <c r="D1241" s="145">
        <f>+'Libro Diario'!E661</f>
        <v>0</v>
      </c>
      <c r="E1241" s="139" t="s">
        <v>446</v>
      </c>
      <c r="F1241" t="str">
        <f t="shared" si="57"/>
        <v>Sin Mov.</v>
      </c>
      <c r="G1241" t="str">
        <f>IF(+'Libro Diario'!H661=0,"",+'Libro Diario'!H661)</f>
        <v/>
      </c>
      <c r="H1241" t="str">
        <f>IF(+'Libro Diario'!I661=0,"",+'Libro Diario'!I661)</f>
        <v/>
      </c>
      <c r="I1241" t="str">
        <f>+IF(Table3[[#This Row],[Tipo Movimiento]]="Estructura Balance y PyG","Excluir","Incluir")</f>
        <v>Incluir</v>
      </c>
      <c r="J1241" s="153">
        <f>+IF(Table3[[#This Row],[Sin cuenta]]="Con Mov.",(IF(Table3[[#This Row],[Movimiento]]="Debe",Table3[[#This Row],[Importe]],IF(Table3[[#This Row],[Movimiento]]="Haber",Table3[[#This Row],[Importe]]*-1,0))),0)</f>
        <v>0</v>
      </c>
      <c r="K1241" s="145" t="str">
        <f t="shared" si="58"/>
        <v/>
      </c>
      <c r="L1241" s="145">
        <f t="shared" si="59"/>
        <v>0</v>
      </c>
      <c r="M1241" t="str">
        <f>_xlfn.XLOOKUP(Table3[[#This Row],[Cuenta]],Estructura_Balance[Nombre Cuenta ()],Estructura_Balance[Grupo],"",0)</f>
        <v/>
      </c>
      <c r="N1241" t="str">
        <f>_xlfn.XLOOKUP(Table3[[#This Row],[Cuenta]],Estructura_Balance[Nombre Cuenta ()],Estructura_Balance[Nivel 1],"",0)</f>
        <v/>
      </c>
      <c r="O1241" t="str">
        <f>_xlfn.XLOOKUP(Table3[[#This Row],[Cuenta]],Estructura_Balance[Nombre Cuenta ()],Estructura_Balance[Nivel 2],"",0)</f>
        <v/>
      </c>
      <c r="P1241" t="str">
        <f>_xlfn.XLOOKUP(Table3[[#This Row],[Cuenta]],Estructura_Balance[Nombre Cuenta ()],Estructura_Balance[Nivel 3],"",0)</f>
        <v/>
      </c>
      <c r="Q1241" t="str">
        <f>_xlfn.XLOOKUP(Table3[[#This Row],[Cuenta]],Estructura_Balance[Nombre Cuenta ()],Estructura_Balance[Nivel 4],"",0)</f>
        <v/>
      </c>
      <c r="R1241" t="str">
        <f>_xlfn.XLOOKUP(Table3[[#This Row],[Cuenta]],Table8[Nombre Cuenta ()],Table8[Nivel 1],"",0)</f>
        <v/>
      </c>
      <c r="S1241" t="str">
        <f>_xlfn.XLOOKUP(Table3[[#This Row],[Cuenta]],Table8[Nombre Cuenta ()],Table8[Nivel 2],"",0)</f>
        <v/>
      </c>
      <c r="T1241" t="str">
        <f>_xlfn.XLOOKUP(Table3[[#This Row],[Cuenta]],Table8[Nombre Cuenta ()],Table8[Nivel 3],"",0)</f>
        <v/>
      </c>
      <c r="U1241">
        <v>99</v>
      </c>
      <c r="V1241" t="str">
        <f>_xlfn.XLOOKUP(Table3[[#This Row],[Cuenta]],Estructura_Balance[Nombre Cuenta ()],Estructura_Balance[Niveles:2],"",0)</f>
        <v/>
      </c>
      <c r="W1241" t="str">
        <f>_xlfn.XLOOKUP(Table3[[#This Row],[Cuenta]],Estructura_Balance[Nombre Cuenta ()],Estructura_Balance[Niveles:3],"",0)</f>
        <v/>
      </c>
      <c r="X1241" t="str">
        <f>_xlfn.XLOOKUP(Table3[[#This Row],[Cuenta]],Estructura_Balance[Nombre Cuenta ()],Estructura_Balance[Grupos],"Grupo 1",0)</f>
        <v>Grupo 1</v>
      </c>
      <c r="Y1241" t="str">
        <f>+Table3[[#This Row],[BS_Nivel_1]]</f>
        <v/>
      </c>
    </row>
    <row r="1242" spans="1:25" ht="15" customHeight="1">
      <c r="A1242">
        <f>+'Libro Diario'!F662</f>
        <v>77</v>
      </c>
      <c r="B1242" s="144">
        <f>VALUE(IF(+'Libro Diario'!G662="","01/01/2025",+'Libro Diario'!G662))</f>
        <v>0</v>
      </c>
      <c r="C1242">
        <f>IF(ISNUMBER(+IF(IFERROR(VALUE(MID('Libro Diario'!D662,1,4)),0)&lt;&gt;0,'Libro Diario'!D662,0))=FALSE,'Libro Diario'!D662,0)</f>
        <v>0</v>
      </c>
      <c r="D1242" s="145">
        <f>+'Libro Diario'!E662</f>
        <v>0</v>
      </c>
      <c r="E1242" s="139" t="s">
        <v>446</v>
      </c>
      <c r="F1242" t="str">
        <f t="shared" si="57"/>
        <v>Sin Mov.</v>
      </c>
      <c r="G1242" t="str">
        <f>IF(+'Libro Diario'!H662=0,"",+'Libro Diario'!H662)</f>
        <v>Impuesto de Sociedades</v>
      </c>
      <c r="H1242" t="str">
        <f>IF(+'Libro Diario'!I662=0,"",+'Libro Diario'!I662)</f>
        <v/>
      </c>
      <c r="I1242" t="str">
        <f>+IF(Table3[[#This Row],[Tipo Movimiento]]="Estructura Balance y PyG","Excluir","Incluir")</f>
        <v>Incluir</v>
      </c>
      <c r="J1242" s="153">
        <f>+IF(Table3[[#This Row],[Sin cuenta]]="Con Mov.",(IF(Table3[[#This Row],[Movimiento]]="Debe",Table3[[#This Row],[Importe]],IF(Table3[[#This Row],[Movimiento]]="Haber",Table3[[#This Row],[Importe]]*-1,0))),0)</f>
        <v>0</v>
      </c>
      <c r="K1242" s="145" t="str">
        <f t="shared" si="58"/>
        <v/>
      </c>
      <c r="L1242" s="145">
        <f t="shared" si="59"/>
        <v>0</v>
      </c>
      <c r="M1242" t="str">
        <f>_xlfn.XLOOKUP(Table3[[#This Row],[Cuenta]],Estructura_Balance[Nombre Cuenta ()],Estructura_Balance[Grupo],"",0)</f>
        <v/>
      </c>
      <c r="N1242" t="str">
        <f>_xlfn.XLOOKUP(Table3[[#This Row],[Cuenta]],Estructura_Balance[Nombre Cuenta ()],Estructura_Balance[Nivel 1],"",0)</f>
        <v/>
      </c>
      <c r="O1242" t="str">
        <f>_xlfn.XLOOKUP(Table3[[#This Row],[Cuenta]],Estructura_Balance[Nombre Cuenta ()],Estructura_Balance[Nivel 2],"",0)</f>
        <v/>
      </c>
      <c r="P1242" t="str">
        <f>_xlfn.XLOOKUP(Table3[[#This Row],[Cuenta]],Estructura_Balance[Nombre Cuenta ()],Estructura_Balance[Nivel 3],"",0)</f>
        <v/>
      </c>
      <c r="Q1242" t="str">
        <f>_xlfn.XLOOKUP(Table3[[#This Row],[Cuenta]],Estructura_Balance[Nombre Cuenta ()],Estructura_Balance[Nivel 4],"",0)</f>
        <v/>
      </c>
      <c r="R1242" t="str">
        <f>_xlfn.XLOOKUP(Table3[[#This Row],[Cuenta]],Table8[Nombre Cuenta ()],Table8[Nivel 1],"",0)</f>
        <v/>
      </c>
      <c r="S1242" t="str">
        <f>_xlfn.XLOOKUP(Table3[[#This Row],[Cuenta]],Table8[Nombre Cuenta ()],Table8[Nivel 2],"",0)</f>
        <v/>
      </c>
      <c r="T1242" t="str">
        <f>_xlfn.XLOOKUP(Table3[[#This Row],[Cuenta]],Table8[Nombre Cuenta ()],Table8[Nivel 3],"",0)</f>
        <v/>
      </c>
      <c r="U1242">
        <v>100</v>
      </c>
      <c r="V1242" t="str">
        <f>_xlfn.XLOOKUP(Table3[[#This Row],[Cuenta]],Estructura_Balance[Nombre Cuenta ()],Estructura_Balance[Niveles:2],"",0)</f>
        <v/>
      </c>
      <c r="W1242" t="str">
        <f>_xlfn.XLOOKUP(Table3[[#This Row],[Cuenta]],Estructura_Balance[Nombre Cuenta ()],Estructura_Balance[Niveles:3],"",0)</f>
        <v/>
      </c>
      <c r="X1242" t="str">
        <f>_xlfn.XLOOKUP(Table3[[#This Row],[Cuenta]],Estructura_Balance[Nombre Cuenta ()],Estructura_Balance[Grupos],"Grupo 1",0)</f>
        <v>Grupo 1</v>
      </c>
      <c r="Y1242" t="str">
        <f>+Table3[[#This Row],[BS_Nivel_1]]</f>
        <v/>
      </c>
    </row>
    <row r="1243" spans="1:25" ht="15" customHeight="1">
      <c r="A1243">
        <f>+'Libro Diario'!F663</f>
        <v>77</v>
      </c>
      <c r="B1243" s="144">
        <f>VALUE(IF(+'Libro Diario'!G663="","01/01/2025",+'Libro Diario'!G663))</f>
        <v>0</v>
      </c>
      <c r="C1243">
        <f>IF(ISNUMBER(+IF(IFERROR(VALUE(MID('Libro Diario'!D663,1,4)),0)&lt;&gt;0,'Libro Diario'!D663,0))=FALSE,'Libro Diario'!D663,0)</f>
        <v>0</v>
      </c>
      <c r="D1243" s="145">
        <f>+'Libro Diario'!E663</f>
        <v>0</v>
      </c>
      <c r="E1243" s="139" t="s">
        <v>446</v>
      </c>
      <c r="F1243" t="str">
        <f t="shared" si="57"/>
        <v>Sin Mov.</v>
      </c>
      <c r="G1243" t="str">
        <f>IF(+'Libro Diario'!H663=0,"",+'Libro Diario'!H663)</f>
        <v>Impuesto de Sociedades</v>
      </c>
      <c r="H1243" t="str">
        <f>IF(+'Libro Diario'!I663=0,"",+'Libro Diario'!I663)</f>
        <v/>
      </c>
      <c r="I1243" t="str">
        <f>+IF(Table3[[#This Row],[Tipo Movimiento]]="Estructura Balance y PyG","Excluir","Incluir")</f>
        <v>Incluir</v>
      </c>
      <c r="J1243" s="153">
        <f>+IF(Table3[[#This Row],[Sin cuenta]]="Con Mov.",(IF(Table3[[#This Row],[Movimiento]]="Debe",Table3[[#This Row],[Importe]],IF(Table3[[#This Row],[Movimiento]]="Haber",Table3[[#This Row],[Importe]]*-1,0))),0)</f>
        <v>0</v>
      </c>
      <c r="K1243" s="145" t="str">
        <f t="shared" si="58"/>
        <v/>
      </c>
      <c r="L1243" s="145">
        <f t="shared" si="59"/>
        <v>0</v>
      </c>
      <c r="M1243" t="str">
        <f>_xlfn.XLOOKUP(Table3[[#This Row],[Cuenta]],Estructura_Balance[Nombre Cuenta ()],Estructura_Balance[Grupo],"",0)</f>
        <v/>
      </c>
      <c r="N1243" t="str">
        <f>_xlfn.XLOOKUP(Table3[[#This Row],[Cuenta]],Estructura_Balance[Nombre Cuenta ()],Estructura_Balance[Nivel 1],"",0)</f>
        <v/>
      </c>
      <c r="O1243" t="str">
        <f>_xlfn.XLOOKUP(Table3[[#This Row],[Cuenta]],Estructura_Balance[Nombre Cuenta ()],Estructura_Balance[Nivel 2],"",0)</f>
        <v/>
      </c>
      <c r="P1243" t="str">
        <f>_xlfn.XLOOKUP(Table3[[#This Row],[Cuenta]],Estructura_Balance[Nombre Cuenta ()],Estructura_Balance[Nivel 3],"",0)</f>
        <v/>
      </c>
      <c r="Q1243" t="str">
        <f>_xlfn.XLOOKUP(Table3[[#This Row],[Cuenta]],Estructura_Balance[Nombre Cuenta ()],Estructura_Balance[Nivel 4],"",0)</f>
        <v/>
      </c>
      <c r="R1243" t="str">
        <f>_xlfn.XLOOKUP(Table3[[#This Row],[Cuenta]],Table8[Nombre Cuenta ()],Table8[Nivel 1],"",0)</f>
        <v/>
      </c>
      <c r="S1243" t="str">
        <f>_xlfn.XLOOKUP(Table3[[#This Row],[Cuenta]],Table8[Nombre Cuenta ()],Table8[Nivel 2],"",0)</f>
        <v/>
      </c>
      <c r="T1243" t="str">
        <f>_xlfn.XLOOKUP(Table3[[#This Row],[Cuenta]],Table8[Nombre Cuenta ()],Table8[Nivel 3],"",0)</f>
        <v/>
      </c>
      <c r="U1243">
        <v>101</v>
      </c>
      <c r="V1243" t="str">
        <f>_xlfn.XLOOKUP(Table3[[#This Row],[Cuenta]],Estructura_Balance[Nombre Cuenta ()],Estructura_Balance[Niveles:2],"",0)</f>
        <v/>
      </c>
      <c r="W1243" t="str">
        <f>_xlfn.XLOOKUP(Table3[[#This Row],[Cuenta]],Estructura_Balance[Nombre Cuenta ()],Estructura_Balance[Niveles:3],"",0)</f>
        <v/>
      </c>
      <c r="X1243" t="str">
        <f>_xlfn.XLOOKUP(Table3[[#This Row],[Cuenta]],Estructura_Balance[Nombre Cuenta ()],Estructura_Balance[Grupos],"Grupo 1",0)</f>
        <v>Grupo 1</v>
      </c>
      <c r="Y1243" t="str">
        <f>+Table3[[#This Row],[BS_Nivel_1]]</f>
        <v/>
      </c>
    </row>
    <row r="1244" spans="1:25" ht="15" customHeight="1">
      <c r="A1244">
        <f>+'Libro Diario'!F664</f>
        <v>0</v>
      </c>
      <c r="B1244" s="144">
        <f>VALUE(IF(+'Libro Diario'!G664="","01/01/2025",+'Libro Diario'!G664))</f>
        <v>45658</v>
      </c>
      <c r="C1244">
        <f>IF(ISNUMBER(+IF(IFERROR(VALUE(MID('Libro Diario'!D664,1,4)),0)&lt;&gt;0,'Libro Diario'!D664,0))=FALSE,'Libro Diario'!D664,0)</f>
        <v>0</v>
      </c>
      <c r="D1244" s="145">
        <f>+'Libro Diario'!E664</f>
        <v>0</v>
      </c>
      <c r="E1244" s="139" t="s">
        <v>446</v>
      </c>
      <c r="F1244" t="str">
        <f t="shared" si="57"/>
        <v>Sin Mov.</v>
      </c>
      <c r="G1244" t="str">
        <f>IF(+'Libro Diario'!H664=0,"",+'Libro Diario'!H664)</f>
        <v/>
      </c>
      <c r="H1244" t="str">
        <f>IF(+'Libro Diario'!I664=0,"",+'Libro Diario'!I664)</f>
        <v/>
      </c>
      <c r="I1244" t="str">
        <f>+IF(Table3[[#This Row],[Tipo Movimiento]]="Estructura Balance y PyG","Excluir","Incluir")</f>
        <v>Incluir</v>
      </c>
      <c r="J1244" s="153">
        <f>+IF(Table3[[#This Row],[Sin cuenta]]="Con Mov.",(IF(Table3[[#This Row],[Movimiento]]="Debe",Table3[[#This Row],[Importe]],IF(Table3[[#This Row],[Movimiento]]="Haber",Table3[[#This Row],[Importe]]*-1,0))),0)</f>
        <v>0</v>
      </c>
      <c r="K1244" s="145" t="str">
        <f t="shared" si="58"/>
        <v/>
      </c>
      <c r="L1244" s="145">
        <f t="shared" si="59"/>
        <v>0</v>
      </c>
      <c r="M1244" t="str">
        <f>_xlfn.XLOOKUP(Table3[[#This Row],[Cuenta]],Estructura_Balance[Nombre Cuenta ()],Estructura_Balance[Grupo],"",0)</f>
        <v/>
      </c>
      <c r="N1244" t="str">
        <f>_xlfn.XLOOKUP(Table3[[#This Row],[Cuenta]],Estructura_Balance[Nombre Cuenta ()],Estructura_Balance[Nivel 1],"",0)</f>
        <v/>
      </c>
      <c r="O1244" t="str">
        <f>_xlfn.XLOOKUP(Table3[[#This Row],[Cuenta]],Estructura_Balance[Nombre Cuenta ()],Estructura_Balance[Nivel 2],"",0)</f>
        <v/>
      </c>
      <c r="P1244" t="str">
        <f>_xlfn.XLOOKUP(Table3[[#This Row],[Cuenta]],Estructura_Balance[Nombre Cuenta ()],Estructura_Balance[Nivel 3],"",0)</f>
        <v/>
      </c>
      <c r="Q1244" t="str">
        <f>_xlfn.XLOOKUP(Table3[[#This Row],[Cuenta]],Estructura_Balance[Nombre Cuenta ()],Estructura_Balance[Nivel 4],"",0)</f>
        <v/>
      </c>
      <c r="R1244" t="str">
        <f>_xlfn.XLOOKUP(Table3[[#This Row],[Cuenta]],Table8[Nombre Cuenta ()],Table8[Nivel 1],"",0)</f>
        <v/>
      </c>
      <c r="S1244" t="str">
        <f>_xlfn.XLOOKUP(Table3[[#This Row],[Cuenta]],Table8[Nombre Cuenta ()],Table8[Nivel 2],"",0)</f>
        <v/>
      </c>
      <c r="T1244" t="str">
        <f>_xlfn.XLOOKUP(Table3[[#This Row],[Cuenta]],Table8[Nombre Cuenta ()],Table8[Nivel 3],"",0)</f>
        <v/>
      </c>
      <c r="U1244">
        <v>1097</v>
      </c>
      <c r="V1244" t="str">
        <f>_xlfn.XLOOKUP(Table3[[#This Row],[Cuenta]],Estructura_Balance[Nombre Cuenta ()],Estructura_Balance[Niveles:2],"",0)</f>
        <v/>
      </c>
      <c r="W1244" t="str">
        <f>_xlfn.XLOOKUP(Table3[[#This Row],[Cuenta]],Estructura_Balance[Nombre Cuenta ()],Estructura_Balance[Niveles:3],"",0)</f>
        <v/>
      </c>
      <c r="X1244" t="str">
        <f>_xlfn.XLOOKUP(Table3[[#This Row],[Cuenta]],Estructura_Balance[Nombre Cuenta ()],Estructura_Balance[Grupos],"Grupo 1",0)</f>
        <v>Grupo 1</v>
      </c>
      <c r="Y1244" t="str">
        <f>+Table3[[#This Row],[BS_Nivel_1]]</f>
        <v/>
      </c>
    </row>
    <row r="1245" spans="1:25" ht="15" customHeight="1">
      <c r="A1245">
        <f>+'Libro Diario'!F665</f>
        <v>0</v>
      </c>
      <c r="B1245" s="144">
        <f>VALUE(IF(+'Libro Diario'!G665="","01/01/2025",+'Libro Diario'!G665))</f>
        <v>45658</v>
      </c>
      <c r="C1245">
        <f>IF(ISNUMBER(+IF(IFERROR(VALUE(MID('Libro Diario'!D665,1,4)),0)&lt;&gt;0,'Libro Diario'!D665,0))=FALSE,'Libro Diario'!D665,0)</f>
        <v>0</v>
      </c>
      <c r="D1245" s="145">
        <f>+'Libro Diario'!E665</f>
        <v>0</v>
      </c>
      <c r="E1245" s="139" t="s">
        <v>446</v>
      </c>
      <c r="F1245" t="str">
        <f t="shared" si="57"/>
        <v>Sin Mov.</v>
      </c>
      <c r="G1245" t="str">
        <f>IF(+'Libro Diario'!H665=0,"",+'Libro Diario'!H665)</f>
        <v/>
      </c>
      <c r="H1245" t="str">
        <f>IF(+'Libro Diario'!I665=0,"",+'Libro Diario'!I665)</f>
        <v/>
      </c>
      <c r="I1245" t="str">
        <f>+IF(Table3[[#This Row],[Tipo Movimiento]]="Estructura Balance y PyG","Excluir","Incluir")</f>
        <v>Incluir</v>
      </c>
      <c r="J1245" s="153">
        <f>+IF(Table3[[#This Row],[Sin cuenta]]="Con Mov.",(IF(Table3[[#This Row],[Movimiento]]="Debe",Table3[[#This Row],[Importe]],IF(Table3[[#This Row],[Movimiento]]="Haber",Table3[[#This Row],[Importe]]*-1,0))),0)</f>
        <v>0</v>
      </c>
      <c r="K1245" s="145" t="str">
        <f t="shared" si="58"/>
        <v/>
      </c>
      <c r="L1245" s="145">
        <f t="shared" si="59"/>
        <v>0</v>
      </c>
      <c r="M1245" t="str">
        <f>_xlfn.XLOOKUP(Table3[[#This Row],[Cuenta]],Estructura_Balance[Nombre Cuenta ()],Estructura_Balance[Grupo],"",0)</f>
        <v/>
      </c>
      <c r="N1245" t="str">
        <f>_xlfn.XLOOKUP(Table3[[#This Row],[Cuenta]],Estructura_Balance[Nombre Cuenta ()],Estructura_Balance[Nivel 1],"",0)</f>
        <v/>
      </c>
      <c r="O1245" t="str">
        <f>_xlfn.XLOOKUP(Table3[[#This Row],[Cuenta]],Estructura_Balance[Nombre Cuenta ()],Estructura_Balance[Nivel 2],"",0)</f>
        <v/>
      </c>
      <c r="P1245" t="str">
        <f>_xlfn.XLOOKUP(Table3[[#This Row],[Cuenta]],Estructura_Balance[Nombre Cuenta ()],Estructura_Balance[Nivel 3],"",0)</f>
        <v/>
      </c>
      <c r="Q1245" t="str">
        <f>_xlfn.XLOOKUP(Table3[[#This Row],[Cuenta]],Estructura_Balance[Nombre Cuenta ()],Estructura_Balance[Nivel 4],"",0)</f>
        <v/>
      </c>
      <c r="R1245" t="str">
        <f>_xlfn.XLOOKUP(Table3[[#This Row],[Cuenta]],Table8[Nombre Cuenta ()],Table8[Nivel 1],"",0)</f>
        <v/>
      </c>
      <c r="S1245" t="str">
        <f>_xlfn.XLOOKUP(Table3[[#This Row],[Cuenta]],Table8[Nombre Cuenta ()],Table8[Nivel 2],"",0)</f>
        <v/>
      </c>
      <c r="T1245" t="str">
        <f>_xlfn.XLOOKUP(Table3[[#This Row],[Cuenta]],Table8[Nombre Cuenta ()],Table8[Nivel 3],"",0)</f>
        <v/>
      </c>
      <c r="U1245">
        <v>1098</v>
      </c>
      <c r="V1245" t="str">
        <f>_xlfn.XLOOKUP(Table3[[#This Row],[Cuenta]],Estructura_Balance[Nombre Cuenta ()],Estructura_Balance[Niveles:2],"",0)</f>
        <v/>
      </c>
      <c r="W1245" t="str">
        <f>_xlfn.XLOOKUP(Table3[[#This Row],[Cuenta]],Estructura_Balance[Nombre Cuenta ()],Estructura_Balance[Niveles:3],"",0)</f>
        <v/>
      </c>
      <c r="X1245" t="str">
        <f>_xlfn.XLOOKUP(Table3[[#This Row],[Cuenta]],Estructura_Balance[Nombre Cuenta ()],Estructura_Balance[Grupos],"Grupo 1",0)</f>
        <v>Grupo 1</v>
      </c>
      <c r="Y1245" t="str">
        <f>+Table3[[#This Row],[BS_Nivel_1]]</f>
        <v/>
      </c>
    </row>
    <row r="1246" spans="1:25" ht="15" customHeight="1">
      <c r="A1246">
        <f>+'Libro Diario'!F666</f>
        <v>0</v>
      </c>
      <c r="B1246" s="144">
        <f>VALUE(IF(+'Libro Diario'!G666="","01/01/2025",+'Libro Diario'!G666))</f>
        <v>45658</v>
      </c>
      <c r="C1246">
        <f>IF(ISNUMBER(+IF(IFERROR(VALUE(MID('Libro Diario'!D666,1,4)),0)&lt;&gt;0,'Libro Diario'!D666,0))=FALSE,'Libro Diario'!D666,0)</f>
        <v>0</v>
      </c>
      <c r="D1246" s="145">
        <f>+'Libro Diario'!E666</f>
        <v>0</v>
      </c>
      <c r="E1246" s="139" t="s">
        <v>446</v>
      </c>
      <c r="F1246" t="str">
        <f t="shared" si="57"/>
        <v>Sin Mov.</v>
      </c>
      <c r="G1246" t="str">
        <f>IF(+'Libro Diario'!H666=0,"",+'Libro Diario'!H666)</f>
        <v/>
      </c>
      <c r="H1246" t="str">
        <f>IF(+'Libro Diario'!I666=0,"",+'Libro Diario'!I666)</f>
        <v/>
      </c>
      <c r="I1246" t="str">
        <f>+IF(Table3[[#This Row],[Tipo Movimiento]]="Estructura Balance y PyG","Excluir","Incluir")</f>
        <v>Incluir</v>
      </c>
      <c r="J1246" s="153">
        <f>+IF(Table3[[#This Row],[Sin cuenta]]="Con Mov.",(IF(Table3[[#This Row],[Movimiento]]="Debe",Table3[[#This Row],[Importe]],IF(Table3[[#This Row],[Movimiento]]="Haber",Table3[[#This Row],[Importe]]*-1,0))),0)</f>
        <v>0</v>
      </c>
      <c r="K1246" s="145" t="str">
        <f t="shared" si="58"/>
        <v/>
      </c>
      <c r="L1246" s="145">
        <f t="shared" si="59"/>
        <v>0</v>
      </c>
      <c r="M1246" t="str">
        <f>_xlfn.XLOOKUP(Table3[[#This Row],[Cuenta]],Estructura_Balance[Nombre Cuenta ()],Estructura_Balance[Grupo],"",0)</f>
        <v/>
      </c>
      <c r="N1246" t="str">
        <f>_xlfn.XLOOKUP(Table3[[#This Row],[Cuenta]],Estructura_Balance[Nombre Cuenta ()],Estructura_Balance[Nivel 1],"",0)</f>
        <v/>
      </c>
      <c r="O1246" t="str">
        <f>_xlfn.XLOOKUP(Table3[[#This Row],[Cuenta]],Estructura_Balance[Nombre Cuenta ()],Estructura_Balance[Nivel 2],"",0)</f>
        <v/>
      </c>
      <c r="P1246" t="str">
        <f>_xlfn.XLOOKUP(Table3[[#This Row],[Cuenta]],Estructura_Balance[Nombre Cuenta ()],Estructura_Balance[Nivel 3],"",0)</f>
        <v/>
      </c>
      <c r="Q1246" t="str">
        <f>_xlfn.XLOOKUP(Table3[[#This Row],[Cuenta]],Estructura_Balance[Nombre Cuenta ()],Estructura_Balance[Nivel 4],"",0)</f>
        <v/>
      </c>
      <c r="R1246" t="str">
        <f>_xlfn.XLOOKUP(Table3[[#This Row],[Cuenta]],Table8[Nombre Cuenta ()],Table8[Nivel 1],"",0)</f>
        <v/>
      </c>
      <c r="S1246" t="str">
        <f>_xlfn.XLOOKUP(Table3[[#This Row],[Cuenta]],Table8[Nombre Cuenta ()],Table8[Nivel 2],"",0)</f>
        <v/>
      </c>
      <c r="T1246" t="str">
        <f>_xlfn.XLOOKUP(Table3[[#This Row],[Cuenta]],Table8[Nombre Cuenta ()],Table8[Nivel 3],"",0)</f>
        <v/>
      </c>
      <c r="U1246">
        <v>1099</v>
      </c>
      <c r="V1246" t="str">
        <f>_xlfn.XLOOKUP(Table3[[#This Row],[Cuenta]],Estructura_Balance[Nombre Cuenta ()],Estructura_Balance[Niveles:2],"",0)</f>
        <v/>
      </c>
      <c r="W1246" t="str">
        <f>_xlfn.XLOOKUP(Table3[[#This Row],[Cuenta]],Estructura_Balance[Nombre Cuenta ()],Estructura_Balance[Niveles:3],"",0)</f>
        <v/>
      </c>
      <c r="X1246" t="str">
        <f>_xlfn.XLOOKUP(Table3[[#This Row],[Cuenta]],Estructura_Balance[Nombre Cuenta ()],Estructura_Balance[Grupos],"Grupo 1",0)</f>
        <v>Grupo 1</v>
      </c>
      <c r="Y1246" t="str">
        <f>+Table3[[#This Row],[BS_Nivel_1]]</f>
        <v/>
      </c>
    </row>
    <row r="1247" spans="1:25" ht="15" customHeight="1">
      <c r="A1247">
        <f>+'Libro Diario'!F667</f>
        <v>0</v>
      </c>
      <c r="B1247" s="144">
        <f>VALUE(IF(+'Libro Diario'!G667="","01/01/2025",+'Libro Diario'!G667))</f>
        <v>45658</v>
      </c>
      <c r="C1247">
        <f>IF(ISNUMBER(+IF(IFERROR(VALUE(MID('Libro Diario'!D667,1,4)),0)&lt;&gt;0,'Libro Diario'!D667,0))=FALSE,'Libro Diario'!D667,0)</f>
        <v>0</v>
      </c>
      <c r="D1247" s="145" t="str">
        <f>+'Libro Diario'!E667</f>
        <v>HABER</v>
      </c>
      <c r="E1247" s="139" t="s">
        <v>446</v>
      </c>
      <c r="F1247" t="str">
        <f t="shared" si="57"/>
        <v>Sin Mov.</v>
      </c>
      <c r="G1247" t="str">
        <f>IF(+'Libro Diario'!H667=0,"",+'Libro Diario'!H667)</f>
        <v/>
      </c>
      <c r="H1247" t="str">
        <f>IF(+'Libro Diario'!I667=0,"",+'Libro Diario'!I667)</f>
        <v/>
      </c>
      <c r="I1247" t="str">
        <f>+IF(Table3[[#This Row],[Tipo Movimiento]]="Estructura Balance y PyG","Excluir","Incluir")</f>
        <v>Incluir</v>
      </c>
      <c r="J1247" s="153">
        <f>+IF(Table3[[#This Row],[Sin cuenta]]="Con Mov.",(IF(Table3[[#This Row],[Movimiento]]="Debe",Table3[[#This Row],[Importe]],IF(Table3[[#This Row],[Movimiento]]="Haber",Table3[[#This Row],[Importe]]*-1,0))),0)</f>
        <v>0</v>
      </c>
      <c r="K1247" s="145" t="str">
        <f t="shared" si="58"/>
        <v/>
      </c>
      <c r="L1247" s="145" t="str">
        <f t="shared" si="59"/>
        <v>HABER</v>
      </c>
      <c r="M1247" t="str">
        <f>_xlfn.XLOOKUP(Table3[[#This Row],[Cuenta]],Estructura_Balance[Nombre Cuenta ()],Estructura_Balance[Grupo],"",0)</f>
        <v/>
      </c>
      <c r="N1247" t="str">
        <f>_xlfn.XLOOKUP(Table3[[#This Row],[Cuenta]],Estructura_Balance[Nombre Cuenta ()],Estructura_Balance[Nivel 1],"",0)</f>
        <v/>
      </c>
      <c r="O1247" t="str">
        <f>_xlfn.XLOOKUP(Table3[[#This Row],[Cuenta]],Estructura_Balance[Nombre Cuenta ()],Estructura_Balance[Nivel 2],"",0)</f>
        <v/>
      </c>
      <c r="P1247" t="str">
        <f>_xlfn.XLOOKUP(Table3[[#This Row],[Cuenta]],Estructura_Balance[Nombre Cuenta ()],Estructura_Balance[Nivel 3],"",0)</f>
        <v/>
      </c>
      <c r="Q1247" t="str">
        <f>_xlfn.XLOOKUP(Table3[[#This Row],[Cuenta]],Estructura_Balance[Nombre Cuenta ()],Estructura_Balance[Nivel 4],"",0)</f>
        <v/>
      </c>
      <c r="R1247" t="str">
        <f>_xlfn.XLOOKUP(Table3[[#This Row],[Cuenta]],Table8[Nombre Cuenta ()],Table8[Nivel 1],"",0)</f>
        <v/>
      </c>
      <c r="S1247" t="str">
        <f>_xlfn.XLOOKUP(Table3[[#This Row],[Cuenta]],Table8[Nombre Cuenta ()],Table8[Nivel 2],"",0)</f>
        <v/>
      </c>
      <c r="T1247" t="str">
        <f>_xlfn.XLOOKUP(Table3[[#This Row],[Cuenta]],Table8[Nombre Cuenta ()],Table8[Nivel 3],"",0)</f>
        <v/>
      </c>
      <c r="U1247">
        <v>107</v>
      </c>
      <c r="V1247" t="str">
        <f>_xlfn.XLOOKUP(Table3[[#This Row],[Cuenta]],Estructura_Balance[Nombre Cuenta ()],Estructura_Balance[Niveles:2],"",0)</f>
        <v/>
      </c>
      <c r="W1247" t="str">
        <f>_xlfn.XLOOKUP(Table3[[#This Row],[Cuenta]],Estructura_Balance[Nombre Cuenta ()],Estructura_Balance[Niveles:3],"",0)</f>
        <v/>
      </c>
      <c r="X1247" t="str">
        <f>_xlfn.XLOOKUP(Table3[[#This Row],[Cuenta]],Estructura_Balance[Nombre Cuenta ()],Estructura_Balance[Grupos],"Grupo 1",0)</f>
        <v>Grupo 1</v>
      </c>
      <c r="Y1247" t="str">
        <f>+Table3[[#This Row],[BS_Nivel_1]]</f>
        <v/>
      </c>
    </row>
    <row r="1248" spans="1:25" ht="15" customHeight="1">
      <c r="A1248">
        <f>+'Libro Diario'!F668</f>
        <v>0</v>
      </c>
      <c r="B1248" s="144">
        <f>VALUE(IF(+'Libro Diario'!G668="","01/01/2025",+'Libro Diario'!G668))</f>
        <v>45658</v>
      </c>
      <c r="C1248">
        <f>IF(ISNUMBER(+IF(IFERROR(VALUE(MID('Libro Diario'!D668,1,4)),0)&lt;&gt;0,'Libro Diario'!D668,0))=FALSE,'Libro Diario'!D668,0)</f>
        <v>0</v>
      </c>
      <c r="D1248" s="145">
        <f>+'Libro Diario'!E668</f>
        <v>0</v>
      </c>
      <c r="E1248" s="139" t="s">
        <v>446</v>
      </c>
      <c r="F1248" t="str">
        <f t="shared" si="57"/>
        <v>Sin Mov.</v>
      </c>
      <c r="G1248" t="str">
        <f>IF(+'Libro Diario'!H668=0,"",+'Libro Diario'!H668)</f>
        <v/>
      </c>
      <c r="H1248" t="str">
        <f>IF(+'Libro Diario'!I668=0,"",+'Libro Diario'!I668)</f>
        <v/>
      </c>
      <c r="I1248" t="str">
        <f>+IF(Table3[[#This Row],[Tipo Movimiento]]="Estructura Balance y PyG","Excluir","Incluir")</f>
        <v>Incluir</v>
      </c>
      <c r="J1248" s="153">
        <f>+IF(Table3[[#This Row],[Sin cuenta]]="Con Mov.",(IF(Table3[[#This Row],[Movimiento]]="Debe",Table3[[#This Row],[Importe]],IF(Table3[[#This Row],[Movimiento]]="Haber",Table3[[#This Row],[Importe]]*-1,0))),0)</f>
        <v>0</v>
      </c>
      <c r="K1248" s="145" t="str">
        <f t="shared" si="58"/>
        <v/>
      </c>
      <c r="L1248" s="145">
        <f t="shared" si="59"/>
        <v>0</v>
      </c>
      <c r="M1248" t="str">
        <f>_xlfn.XLOOKUP(Table3[[#This Row],[Cuenta]],Estructura_Balance[Nombre Cuenta ()],Estructura_Balance[Grupo],"",0)</f>
        <v/>
      </c>
      <c r="N1248" t="str">
        <f>_xlfn.XLOOKUP(Table3[[#This Row],[Cuenta]],Estructura_Balance[Nombre Cuenta ()],Estructura_Balance[Nivel 1],"",0)</f>
        <v/>
      </c>
      <c r="O1248" t="str">
        <f>_xlfn.XLOOKUP(Table3[[#This Row],[Cuenta]],Estructura_Balance[Nombre Cuenta ()],Estructura_Balance[Nivel 2],"",0)</f>
        <v/>
      </c>
      <c r="P1248" t="str">
        <f>_xlfn.XLOOKUP(Table3[[#This Row],[Cuenta]],Estructura_Balance[Nombre Cuenta ()],Estructura_Balance[Nivel 3],"",0)</f>
        <v/>
      </c>
      <c r="Q1248" t="str">
        <f>_xlfn.XLOOKUP(Table3[[#This Row],[Cuenta]],Estructura_Balance[Nombre Cuenta ()],Estructura_Balance[Nivel 4],"",0)</f>
        <v/>
      </c>
      <c r="R1248" t="str">
        <f>_xlfn.XLOOKUP(Table3[[#This Row],[Cuenta]],Table8[Nombre Cuenta ()],Table8[Nivel 1],"",0)</f>
        <v/>
      </c>
      <c r="S1248" t="str">
        <f>_xlfn.XLOOKUP(Table3[[#This Row],[Cuenta]],Table8[Nombre Cuenta ()],Table8[Nivel 2],"",0)</f>
        <v/>
      </c>
      <c r="T1248" t="str">
        <f>_xlfn.XLOOKUP(Table3[[#This Row],[Cuenta]],Table8[Nombre Cuenta ()],Table8[Nivel 3],"",0)</f>
        <v/>
      </c>
      <c r="U1248">
        <v>108</v>
      </c>
      <c r="V1248" t="str">
        <f>_xlfn.XLOOKUP(Table3[[#This Row],[Cuenta]],Estructura_Balance[Nombre Cuenta ()],Estructura_Balance[Niveles:2],"",0)</f>
        <v/>
      </c>
      <c r="W1248" t="str">
        <f>_xlfn.XLOOKUP(Table3[[#This Row],[Cuenta]],Estructura_Balance[Nombre Cuenta ()],Estructura_Balance[Niveles:3],"",0)</f>
        <v/>
      </c>
      <c r="X1248" t="str">
        <f>_xlfn.XLOOKUP(Table3[[#This Row],[Cuenta]],Estructura_Balance[Nombre Cuenta ()],Estructura_Balance[Grupos],"Grupo 1",0)</f>
        <v>Grupo 1</v>
      </c>
      <c r="Y1248" t="str">
        <f>+Table3[[#This Row],[BS_Nivel_1]]</f>
        <v/>
      </c>
    </row>
    <row r="1249" spans="1:25" ht="15" customHeight="1">
      <c r="A1249">
        <f>+'Libro Diario'!F669</f>
        <v>78</v>
      </c>
      <c r="B1249" s="144">
        <f>VALUE(IF(+'Libro Diario'!G669="","01/01/2025",+'Libro Diario'!G669))</f>
        <v>0</v>
      </c>
      <c r="C1249">
        <f>IF(ISNUMBER(+IF(IFERROR(VALUE(MID('Libro Diario'!D669,1,4)),0)&lt;&gt;0,'Libro Diario'!D669,0))=FALSE,'Libro Diario'!D669,0)</f>
        <v>0</v>
      </c>
      <c r="D1249" s="145">
        <f>+'Libro Diario'!E669</f>
        <v>0</v>
      </c>
      <c r="E1249" s="139" t="s">
        <v>446</v>
      </c>
      <c r="F1249" t="str">
        <f t="shared" si="57"/>
        <v>Sin Mov.</v>
      </c>
      <c r="G1249" t="str">
        <f>IF(+'Libro Diario'!H669=0,"",+'Libro Diario'!H669)</f>
        <v>Asiento de Cierre</v>
      </c>
      <c r="H1249" t="str">
        <f>IF(+'Libro Diario'!I669=0,"",+'Libro Diario'!I669)</f>
        <v/>
      </c>
      <c r="I1249" t="str">
        <f>+IF(Table3[[#This Row],[Tipo Movimiento]]="Estructura Balance y PyG","Excluir","Incluir")</f>
        <v>Incluir</v>
      </c>
      <c r="J1249" s="153">
        <f>+IF(Table3[[#This Row],[Sin cuenta]]="Con Mov.",(IF(Table3[[#This Row],[Movimiento]]="Debe",Table3[[#This Row],[Importe]],IF(Table3[[#This Row],[Movimiento]]="Haber",Table3[[#This Row],[Importe]]*-1,0))),0)</f>
        <v>0</v>
      </c>
      <c r="K1249" s="145" t="str">
        <f t="shared" si="58"/>
        <v/>
      </c>
      <c r="L1249" s="145">
        <f t="shared" si="59"/>
        <v>0</v>
      </c>
      <c r="M1249" t="str">
        <f>_xlfn.XLOOKUP(Table3[[#This Row],[Cuenta]],Estructura_Balance[Nombre Cuenta ()],Estructura_Balance[Grupo],"",0)</f>
        <v/>
      </c>
      <c r="N1249" t="str">
        <f>_xlfn.XLOOKUP(Table3[[#This Row],[Cuenta]],Estructura_Balance[Nombre Cuenta ()],Estructura_Balance[Nivel 1],"",0)</f>
        <v/>
      </c>
      <c r="O1249" t="str">
        <f>_xlfn.XLOOKUP(Table3[[#This Row],[Cuenta]],Estructura_Balance[Nombre Cuenta ()],Estructura_Balance[Nivel 2],"",0)</f>
        <v/>
      </c>
      <c r="P1249" t="str">
        <f>_xlfn.XLOOKUP(Table3[[#This Row],[Cuenta]],Estructura_Balance[Nombre Cuenta ()],Estructura_Balance[Nivel 3],"",0)</f>
        <v/>
      </c>
      <c r="Q1249" t="str">
        <f>_xlfn.XLOOKUP(Table3[[#This Row],[Cuenta]],Estructura_Balance[Nombre Cuenta ()],Estructura_Balance[Nivel 4],"",0)</f>
        <v/>
      </c>
      <c r="R1249" t="str">
        <f>_xlfn.XLOOKUP(Table3[[#This Row],[Cuenta]],Table8[Nombre Cuenta ()],Table8[Nivel 1],"",0)</f>
        <v/>
      </c>
      <c r="S1249" t="str">
        <f>_xlfn.XLOOKUP(Table3[[#This Row],[Cuenta]],Table8[Nombre Cuenta ()],Table8[Nivel 2],"",0)</f>
        <v/>
      </c>
      <c r="T1249" t="str">
        <f>_xlfn.XLOOKUP(Table3[[#This Row],[Cuenta]],Table8[Nombre Cuenta ()],Table8[Nivel 3],"",0)</f>
        <v/>
      </c>
      <c r="U1249">
        <v>1105</v>
      </c>
      <c r="V1249" t="str">
        <f>_xlfn.XLOOKUP(Table3[[#This Row],[Cuenta]],Estructura_Balance[Nombre Cuenta ()],Estructura_Balance[Niveles:2],"",0)</f>
        <v/>
      </c>
      <c r="W1249" t="str">
        <f>_xlfn.XLOOKUP(Table3[[#This Row],[Cuenta]],Estructura_Balance[Nombre Cuenta ()],Estructura_Balance[Niveles:3],"",0)</f>
        <v/>
      </c>
      <c r="X1249" t="str">
        <f>_xlfn.XLOOKUP(Table3[[#This Row],[Cuenta]],Estructura_Balance[Nombre Cuenta ()],Estructura_Balance[Grupos],"Grupo 1",0)</f>
        <v>Grupo 1</v>
      </c>
      <c r="Y1249" t="str">
        <f>+Table3[[#This Row],[BS_Nivel_1]]</f>
        <v/>
      </c>
    </row>
    <row r="1250" spans="1:25" ht="15" customHeight="1">
      <c r="A1250">
        <f>+'Libro Diario'!F670</f>
        <v>78</v>
      </c>
      <c r="B1250" s="144">
        <f>VALUE(IF(+'Libro Diario'!G670="","01/01/2025",+'Libro Diario'!G670))</f>
        <v>0</v>
      </c>
      <c r="C1250">
        <f>IF(ISNUMBER(+IF(IFERROR(VALUE(MID('Libro Diario'!D670,1,4)),0)&lt;&gt;0,'Libro Diario'!D670,0))=FALSE,'Libro Diario'!D670,0)</f>
        <v>0</v>
      </c>
      <c r="D1250" s="145">
        <f>+'Libro Diario'!E670</f>
        <v>0</v>
      </c>
      <c r="E1250" s="139" t="s">
        <v>446</v>
      </c>
      <c r="F1250" t="str">
        <f t="shared" si="57"/>
        <v>Sin Mov.</v>
      </c>
      <c r="G1250" t="str">
        <f>IF(+'Libro Diario'!H670=0,"",+'Libro Diario'!H670)</f>
        <v>Asiento de Cierre</v>
      </c>
      <c r="H1250" t="str">
        <f>IF(+'Libro Diario'!I670=0,"",+'Libro Diario'!I670)</f>
        <v/>
      </c>
      <c r="I1250" t="str">
        <f>+IF(Table3[[#This Row],[Tipo Movimiento]]="Estructura Balance y PyG","Excluir","Incluir")</f>
        <v>Incluir</v>
      </c>
      <c r="J1250" s="153">
        <f>+IF(Table3[[#This Row],[Sin cuenta]]="Con Mov.",(IF(Table3[[#This Row],[Movimiento]]="Debe",Table3[[#This Row],[Importe]],IF(Table3[[#This Row],[Movimiento]]="Haber",Table3[[#This Row],[Importe]]*-1,0))),0)</f>
        <v>0</v>
      </c>
      <c r="K1250" s="145" t="str">
        <f t="shared" si="58"/>
        <v/>
      </c>
      <c r="L1250" s="145">
        <f t="shared" si="59"/>
        <v>0</v>
      </c>
      <c r="M1250" t="str">
        <f>_xlfn.XLOOKUP(Table3[[#This Row],[Cuenta]],Estructura_Balance[Nombre Cuenta ()],Estructura_Balance[Grupo],"",0)</f>
        <v/>
      </c>
      <c r="N1250" t="str">
        <f>_xlfn.XLOOKUP(Table3[[#This Row],[Cuenta]],Estructura_Balance[Nombre Cuenta ()],Estructura_Balance[Nivel 1],"",0)</f>
        <v/>
      </c>
      <c r="O1250" t="str">
        <f>_xlfn.XLOOKUP(Table3[[#This Row],[Cuenta]],Estructura_Balance[Nombre Cuenta ()],Estructura_Balance[Nivel 2],"",0)</f>
        <v/>
      </c>
      <c r="P1250" t="str">
        <f>_xlfn.XLOOKUP(Table3[[#This Row],[Cuenta]],Estructura_Balance[Nombre Cuenta ()],Estructura_Balance[Nivel 3],"",0)</f>
        <v/>
      </c>
      <c r="Q1250" t="str">
        <f>_xlfn.XLOOKUP(Table3[[#This Row],[Cuenta]],Estructura_Balance[Nombre Cuenta ()],Estructura_Balance[Nivel 4],"",0)</f>
        <v/>
      </c>
      <c r="R1250" t="str">
        <f>_xlfn.XLOOKUP(Table3[[#This Row],[Cuenta]],Table8[Nombre Cuenta ()],Table8[Nivel 1],"",0)</f>
        <v/>
      </c>
      <c r="S1250" t="str">
        <f>_xlfn.XLOOKUP(Table3[[#This Row],[Cuenta]],Table8[Nombre Cuenta ()],Table8[Nivel 2],"",0)</f>
        <v/>
      </c>
      <c r="T1250" t="str">
        <f>_xlfn.XLOOKUP(Table3[[#This Row],[Cuenta]],Table8[Nombre Cuenta ()],Table8[Nivel 3],"",0)</f>
        <v/>
      </c>
      <c r="U1250">
        <v>1106</v>
      </c>
      <c r="V1250" t="str">
        <f>_xlfn.XLOOKUP(Table3[[#This Row],[Cuenta]],Estructura_Balance[Nombre Cuenta ()],Estructura_Balance[Niveles:2],"",0)</f>
        <v/>
      </c>
      <c r="W1250" t="str">
        <f>_xlfn.XLOOKUP(Table3[[#This Row],[Cuenta]],Estructura_Balance[Nombre Cuenta ()],Estructura_Balance[Niveles:3],"",0)</f>
        <v/>
      </c>
      <c r="X1250" t="str">
        <f>_xlfn.XLOOKUP(Table3[[#This Row],[Cuenta]],Estructura_Balance[Nombre Cuenta ()],Estructura_Balance[Grupos],"Grupo 1",0)</f>
        <v>Grupo 1</v>
      </c>
      <c r="Y1250" t="str">
        <f>+Table3[[#This Row],[BS_Nivel_1]]</f>
        <v/>
      </c>
    </row>
    <row r="1251" spans="1:25" ht="15" customHeight="1">
      <c r="A1251">
        <f>+'Libro Diario'!F671</f>
        <v>0</v>
      </c>
      <c r="B1251" s="144">
        <f>VALUE(IF(+'Libro Diario'!G671="","01/01/2025",+'Libro Diario'!G671))</f>
        <v>45658</v>
      </c>
      <c r="C1251">
        <f>IF(ISNUMBER(+IF(IFERROR(VALUE(MID('Libro Diario'!D671,1,4)),0)&lt;&gt;0,'Libro Diario'!D671,0))=FALSE,'Libro Diario'!D671,0)</f>
        <v>0</v>
      </c>
      <c r="D1251" s="145">
        <f>+'Libro Diario'!E671</f>
        <v>0</v>
      </c>
      <c r="E1251" s="139" t="s">
        <v>446</v>
      </c>
      <c r="F1251" t="str">
        <f t="shared" si="57"/>
        <v>Sin Mov.</v>
      </c>
      <c r="G1251" t="str">
        <f>IF(+'Libro Diario'!H671=0,"",+'Libro Diario'!H671)</f>
        <v/>
      </c>
      <c r="H1251" t="str">
        <f>IF(+'Libro Diario'!I671=0,"",+'Libro Diario'!I671)</f>
        <v/>
      </c>
      <c r="I1251" t="str">
        <f>+IF(Table3[[#This Row],[Tipo Movimiento]]="Estructura Balance y PyG","Excluir","Incluir")</f>
        <v>Incluir</v>
      </c>
      <c r="J1251" s="153">
        <f>+IF(Table3[[#This Row],[Sin cuenta]]="Con Mov.",(IF(Table3[[#This Row],[Movimiento]]="Debe",Table3[[#This Row],[Importe]],IF(Table3[[#This Row],[Movimiento]]="Haber",Table3[[#This Row],[Importe]]*-1,0))),0)</f>
        <v>0</v>
      </c>
      <c r="K1251" s="145" t="str">
        <f t="shared" si="58"/>
        <v/>
      </c>
      <c r="L1251" s="145">
        <f t="shared" si="59"/>
        <v>0</v>
      </c>
      <c r="M1251" t="str">
        <f>_xlfn.XLOOKUP(Table3[[#This Row],[Cuenta]],Estructura_Balance[Nombre Cuenta ()],Estructura_Balance[Grupo],"",0)</f>
        <v/>
      </c>
      <c r="N1251" t="str">
        <f>_xlfn.XLOOKUP(Table3[[#This Row],[Cuenta]],Estructura_Balance[Nombre Cuenta ()],Estructura_Balance[Nivel 1],"",0)</f>
        <v/>
      </c>
      <c r="O1251" t="str">
        <f>_xlfn.XLOOKUP(Table3[[#This Row],[Cuenta]],Estructura_Balance[Nombre Cuenta ()],Estructura_Balance[Nivel 2],"",0)</f>
        <v/>
      </c>
      <c r="P1251" t="str">
        <f>_xlfn.XLOOKUP(Table3[[#This Row],[Cuenta]],Estructura_Balance[Nombre Cuenta ()],Estructura_Balance[Nivel 3],"",0)</f>
        <v/>
      </c>
      <c r="Q1251" t="str">
        <f>_xlfn.XLOOKUP(Table3[[#This Row],[Cuenta]],Estructura_Balance[Nombre Cuenta ()],Estructura_Balance[Nivel 4],"",0)</f>
        <v/>
      </c>
      <c r="R1251" t="str">
        <f>_xlfn.XLOOKUP(Table3[[#This Row],[Cuenta]],Table8[Nombre Cuenta ()],Table8[Nivel 1],"",0)</f>
        <v/>
      </c>
      <c r="S1251" t="str">
        <f>_xlfn.XLOOKUP(Table3[[#This Row],[Cuenta]],Table8[Nombre Cuenta ()],Table8[Nivel 2],"",0)</f>
        <v/>
      </c>
      <c r="T1251" t="str">
        <f>_xlfn.XLOOKUP(Table3[[#This Row],[Cuenta]],Table8[Nombre Cuenta ()],Table8[Nivel 3],"",0)</f>
        <v/>
      </c>
      <c r="U1251">
        <v>114</v>
      </c>
      <c r="V1251" t="str">
        <f>_xlfn.XLOOKUP(Table3[[#This Row],[Cuenta]],Estructura_Balance[Nombre Cuenta ()],Estructura_Balance[Niveles:2],"",0)</f>
        <v/>
      </c>
      <c r="W1251" t="str">
        <f>_xlfn.XLOOKUP(Table3[[#This Row],[Cuenta]],Estructura_Balance[Nombre Cuenta ()],Estructura_Balance[Niveles:3],"",0)</f>
        <v/>
      </c>
      <c r="X1251" t="str">
        <f>_xlfn.XLOOKUP(Table3[[#This Row],[Cuenta]],Estructura_Balance[Nombre Cuenta ()],Estructura_Balance[Grupos],"Grupo 1",0)</f>
        <v>Grupo 1</v>
      </c>
      <c r="Y1251" t="str">
        <f>+Table3[[#This Row],[BS_Nivel_1]]</f>
        <v/>
      </c>
    </row>
    <row r="1252" spans="1:25" ht="15" customHeight="1">
      <c r="A1252">
        <f>+'Libro Diario'!F672</f>
        <v>0</v>
      </c>
      <c r="B1252" s="144">
        <f>VALUE(IF(+'Libro Diario'!G672="","01/01/2025",+'Libro Diario'!G672))</f>
        <v>45658</v>
      </c>
      <c r="C1252">
        <f>IF(ISNUMBER(+IF(IFERROR(VALUE(MID('Libro Diario'!D672,1,4)),0)&lt;&gt;0,'Libro Diario'!D672,0))=FALSE,'Libro Diario'!D672,0)</f>
        <v>0</v>
      </c>
      <c r="D1252" s="145">
        <f>+'Libro Diario'!E672</f>
        <v>0</v>
      </c>
      <c r="E1252" s="139" t="s">
        <v>446</v>
      </c>
      <c r="F1252" t="str">
        <f t="shared" si="57"/>
        <v>Sin Mov.</v>
      </c>
      <c r="G1252" t="str">
        <f>IF(+'Libro Diario'!H672=0,"",+'Libro Diario'!H672)</f>
        <v/>
      </c>
      <c r="H1252" t="str">
        <f>IF(+'Libro Diario'!I672=0,"",+'Libro Diario'!I672)</f>
        <v/>
      </c>
      <c r="I1252" t="str">
        <f>+IF(Table3[[#This Row],[Tipo Movimiento]]="Estructura Balance y PyG","Excluir","Incluir")</f>
        <v>Incluir</v>
      </c>
      <c r="J1252" s="153">
        <f>+IF(Table3[[#This Row],[Sin cuenta]]="Con Mov.",(IF(Table3[[#This Row],[Movimiento]]="Debe",Table3[[#This Row],[Importe]],IF(Table3[[#This Row],[Movimiento]]="Haber",Table3[[#This Row],[Importe]]*-1,0))),0)</f>
        <v>0</v>
      </c>
      <c r="K1252" s="145" t="str">
        <f t="shared" si="58"/>
        <v/>
      </c>
      <c r="L1252" s="145">
        <f t="shared" si="59"/>
        <v>0</v>
      </c>
      <c r="M1252" t="str">
        <f>_xlfn.XLOOKUP(Table3[[#This Row],[Cuenta]],Estructura_Balance[Nombre Cuenta ()],Estructura_Balance[Grupo],"",0)</f>
        <v/>
      </c>
      <c r="N1252" t="str">
        <f>_xlfn.XLOOKUP(Table3[[#This Row],[Cuenta]],Estructura_Balance[Nombre Cuenta ()],Estructura_Balance[Nivel 1],"",0)</f>
        <v/>
      </c>
      <c r="O1252" t="str">
        <f>_xlfn.XLOOKUP(Table3[[#This Row],[Cuenta]],Estructura_Balance[Nombre Cuenta ()],Estructura_Balance[Nivel 2],"",0)</f>
        <v/>
      </c>
      <c r="P1252" t="str">
        <f>_xlfn.XLOOKUP(Table3[[#This Row],[Cuenta]],Estructura_Balance[Nombre Cuenta ()],Estructura_Balance[Nivel 3],"",0)</f>
        <v/>
      </c>
      <c r="Q1252" t="str">
        <f>_xlfn.XLOOKUP(Table3[[#This Row],[Cuenta]],Estructura_Balance[Nombre Cuenta ()],Estructura_Balance[Nivel 4],"",0)</f>
        <v/>
      </c>
      <c r="R1252" t="str">
        <f>_xlfn.XLOOKUP(Table3[[#This Row],[Cuenta]],Table8[Nombre Cuenta ()],Table8[Nivel 1],"",0)</f>
        <v/>
      </c>
      <c r="S1252" t="str">
        <f>_xlfn.XLOOKUP(Table3[[#This Row],[Cuenta]],Table8[Nombre Cuenta ()],Table8[Nivel 2],"",0)</f>
        <v/>
      </c>
      <c r="T1252" t="str">
        <f>_xlfn.XLOOKUP(Table3[[#This Row],[Cuenta]],Table8[Nombre Cuenta ()],Table8[Nivel 3],"",0)</f>
        <v/>
      </c>
      <c r="U1252">
        <v>115</v>
      </c>
      <c r="V1252" t="str">
        <f>_xlfn.XLOOKUP(Table3[[#This Row],[Cuenta]],Estructura_Balance[Nombre Cuenta ()],Estructura_Balance[Niveles:2],"",0)</f>
        <v/>
      </c>
      <c r="W1252" t="str">
        <f>_xlfn.XLOOKUP(Table3[[#This Row],[Cuenta]],Estructura_Balance[Nombre Cuenta ()],Estructura_Balance[Niveles:3],"",0)</f>
        <v/>
      </c>
      <c r="X1252" t="str">
        <f>_xlfn.XLOOKUP(Table3[[#This Row],[Cuenta]],Estructura_Balance[Nombre Cuenta ()],Estructura_Balance[Grupos],"Grupo 1",0)</f>
        <v>Grupo 1</v>
      </c>
      <c r="Y1252" t="str">
        <f>+Table3[[#This Row],[BS_Nivel_1]]</f>
        <v/>
      </c>
    </row>
    <row r="1253" spans="1:25" ht="15" customHeight="1">
      <c r="A1253">
        <f>+'Libro Diario'!F673</f>
        <v>0</v>
      </c>
      <c r="B1253" s="144">
        <f>VALUE(IF(+'Libro Diario'!G673="","01/01/2025",+'Libro Diario'!G673))</f>
        <v>45658</v>
      </c>
      <c r="C1253">
        <f>IF(ISNUMBER(+IF(IFERROR(VALUE(MID('Libro Diario'!D673,1,4)),0)&lt;&gt;0,'Libro Diario'!D673,0))=FALSE,'Libro Diario'!D673,0)</f>
        <v>0</v>
      </c>
      <c r="D1253" s="145">
        <f>+'Libro Diario'!E673</f>
        <v>0</v>
      </c>
      <c r="E1253" s="139" t="s">
        <v>446</v>
      </c>
      <c r="F1253" t="str">
        <f t="shared" si="57"/>
        <v>Sin Mov.</v>
      </c>
      <c r="G1253" t="str">
        <f>IF(+'Libro Diario'!H673=0,"",+'Libro Diario'!H673)</f>
        <v/>
      </c>
      <c r="H1253" t="str">
        <f>IF(+'Libro Diario'!I673=0,"",+'Libro Diario'!I673)</f>
        <v/>
      </c>
      <c r="I1253" t="str">
        <f>+IF(Table3[[#This Row],[Tipo Movimiento]]="Estructura Balance y PyG","Excluir","Incluir")</f>
        <v>Incluir</v>
      </c>
      <c r="J1253" s="153">
        <f>+IF(Table3[[#This Row],[Sin cuenta]]="Con Mov.",(IF(Table3[[#This Row],[Movimiento]]="Debe",Table3[[#This Row],[Importe]],IF(Table3[[#This Row],[Movimiento]]="Haber",Table3[[#This Row],[Importe]]*-1,0))),0)</f>
        <v>0</v>
      </c>
      <c r="K1253" s="145" t="str">
        <f t="shared" si="58"/>
        <v/>
      </c>
      <c r="L1253" s="145">
        <f t="shared" si="59"/>
        <v>0</v>
      </c>
      <c r="M1253" t="str">
        <f>_xlfn.XLOOKUP(Table3[[#This Row],[Cuenta]],Estructura_Balance[Nombre Cuenta ()],Estructura_Balance[Grupo],"",0)</f>
        <v/>
      </c>
      <c r="N1253" t="str">
        <f>_xlfn.XLOOKUP(Table3[[#This Row],[Cuenta]],Estructura_Balance[Nombre Cuenta ()],Estructura_Balance[Nivel 1],"",0)</f>
        <v/>
      </c>
      <c r="O1253" t="str">
        <f>_xlfn.XLOOKUP(Table3[[#This Row],[Cuenta]],Estructura_Balance[Nombre Cuenta ()],Estructura_Balance[Nivel 2],"",0)</f>
        <v/>
      </c>
      <c r="P1253" t="str">
        <f>_xlfn.XLOOKUP(Table3[[#This Row],[Cuenta]],Estructura_Balance[Nombre Cuenta ()],Estructura_Balance[Nivel 3],"",0)</f>
        <v/>
      </c>
      <c r="Q1253" t="str">
        <f>_xlfn.XLOOKUP(Table3[[#This Row],[Cuenta]],Estructura_Balance[Nombre Cuenta ()],Estructura_Balance[Nivel 4],"",0)</f>
        <v/>
      </c>
      <c r="R1253" t="str">
        <f>_xlfn.XLOOKUP(Table3[[#This Row],[Cuenta]],Table8[Nombre Cuenta ()],Table8[Nivel 1],"",0)</f>
        <v/>
      </c>
      <c r="S1253" t="str">
        <f>_xlfn.XLOOKUP(Table3[[#This Row],[Cuenta]],Table8[Nombre Cuenta ()],Table8[Nivel 2],"",0)</f>
        <v/>
      </c>
      <c r="T1253" t="str">
        <f>_xlfn.XLOOKUP(Table3[[#This Row],[Cuenta]],Table8[Nombre Cuenta ()],Table8[Nivel 3],"",0)</f>
        <v/>
      </c>
      <c r="U1253">
        <v>1112</v>
      </c>
      <c r="V1253" t="str">
        <f>_xlfn.XLOOKUP(Table3[[#This Row],[Cuenta]],Estructura_Balance[Nombre Cuenta ()],Estructura_Balance[Niveles:2],"",0)</f>
        <v/>
      </c>
      <c r="W1253" t="str">
        <f>_xlfn.XLOOKUP(Table3[[#This Row],[Cuenta]],Estructura_Balance[Nombre Cuenta ()],Estructura_Balance[Niveles:3],"",0)</f>
        <v/>
      </c>
      <c r="X1253" t="str">
        <f>_xlfn.XLOOKUP(Table3[[#This Row],[Cuenta]],Estructura_Balance[Nombre Cuenta ()],Estructura_Balance[Grupos],"Grupo 1",0)</f>
        <v>Grupo 1</v>
      </c>
      <c r="Y1253" t="str">
        <f>+Table3[[#This Row],[BS_Nivel_1]]</f>
        <v/>
      </c>
    </row>
    <row r="1254" spans="1:25" ht="15" customHeight="1">
      <c r="A1254">
        <f>+'Libro Diario'!F674</f>
        <v>0</v>
      </c>
      <c r="B1254" s="144">
        <f>VALUE(IF(+'Libro Diario'!G674="","01/01/2025",+'Libro Diario'!G674))</f>
        <v>45658</v>
      </c>
      <c r="C1254">
        <f>IF(ISNUMBER(+IF(IFERROR(VALUE(MID('Libro Diario'!D674,1,4)),0)&lt;&gt;0,'Libro Diario'!D674,0))=FALSE,'Libro Diario'!D674,0)</f>
        <v>0</v>
      </c>
      <c r="D1254" s="145" t="str">
        <f>+'Libro Diario'!E674</f>
        <v>HABER</v>
      </c>
      <c r="E1254" s="139" t="s">
        <v>446</v>
      </c>
      <c r="F1254" t="str">
        <f t="shared" si="57"/>
        <v>Sin Mov.</v>
      </c>
      <c r="G1254" t="str">
        <f>IF(+'Libro Diario'!H674=0,"",+'Libro Diario'!H674)</f>
        <v/>
      </c>
      <c r="H1254" t="str">
        <f>IF(+'Libro Diario'!I674=0,"",+'Libro Diario'!I674)</f>
        <v/>
      </c>
      <c r="I1254" t="str">
        <f>+IF(Table3[[#This Row],[Tipo Movimiento]]="Estructura Balance y PyG","Excluir","Incluir")</f>
        <v>Incluir</v>
      </c>
      <c r="J1254" s="153">
        <f>+IF(Table3[[#This Row],[Sin cuenta]]="Con Mov.",(IF(Table3[[#This Row],[Movimiento]]="Debe",Table3[[#This Row],[Importe]],IF(Table3[[#This Row],[Movimiento]]="Haber",Table3[[#This Row],[Importe]]*-1,0))),0)</f>
        <v>0</v>
      </c>
      <c r="K1254" s="145" t="str">
        <f t="shared" si="58"/>
        <v/>
      </c>
      <c r="L1254" s="145" t="str">
        <f t="shared" si="59"/>
        <v>HABER</v>
      </c>
      <c r="M1254" t="str">
        <f>_xlfn.XLOOKUP(Table3[[#This Row],[Cuenta]],Estructura_Balance[Nombre Cuenta ()],Estructura_Balance[Grupo],"",0)</f>
        <v/>
      </c>
      <c r="N1254" t="str">
        <f>_xlfn.XLOOKUP(Table3[[#This Row],[Cuenta]],Estructura_Balance[Nombre Cuenta ()],Estructura_Balance[Nivel 1],"",0)</f>
        <v/>
      </c>
      <c r="O1254" t="str">
        <f>_xlfn.XLOOKUP(Table3[[#This Row],[Cuenta]],Estructura_Balance[Nombre Cuenta ()],Estructura_Balance[Nivel 2],"",0)</f>
        <v/>
      </c>
      <c r="P1254" t="str">
        <f>_xlfn.XLOOKUP(Table3[[#This Row],[Cuenta]],Estructura_Balance[Nombre Cuenta ()],Estructura_Balance[Nivel 3],"",0)</f>
        <v/>
      </c>
      <c r="Q1254" t="str">
        <f>_xlfn.XLOOKUP(Table3[[#This Row],[Cuenta]],Estructura_Balance[Nombre Cuenta ()],Estructura_Balance[Nivel 4],"",0)</f>
        <v/>
      </c>
      <c r="R1254" t="str">
        <f>_xlfn.XLOOKUP(Table3[[#This Row],[Cuenta]],Table8[Nombre Cuenta ()],Table8[Nivel 1],"",0)</f>
        <v/>
      </c>
      <c r="S1254" t="str">
        <f>_xlfn.XLOOKUP(Table3[[#This Row],[Cuenta]],Table8[Nombre Cuenta ()],Table8[Nivel 2],"",0)</f>
        <v/>
      </c>
      <c r="T1254" t="str">
        <f>_xlfn.XLOOKUP(Table3[[#This Row],[Cuenta]],Table8[Nombre Cuenta ()],Table8[Nivel 3],"",0)</f>
        <v/>
      </c>
      <c r="U1254">
        <v>1113</v>
      </c>
      <c r="V1254" t="str">
        <f>_xlfn.XLOOKUP(Table3[[#This Row],[Cuenta]],Estructura_Balance[Nombre Cuenta ()],Estructura_Balance[Niveles:2],"",0)</f>
        <v/>
      </c>
      <c r="W1254" t="str">
        <f>_xlfn.XLOOKUP(Table3[[#This Row],[Cuenta]],Estructura_Balance[Nombre Cuenta ()],Estructura_Balance[Niveles:3],"",0)</f>
        <v/>
      </c>
      <c r="X1254" t="str">
        <f>_xlfn.XLOOKUP(Table3[[#This Row],[Cuenta]],Estructura_Balance[Nombre Cuenta ()],Estructura_Balance[Grupos],"Grupo 1",0)</f>
        <v>Grupo 1</v>
      </c>
      <c r="Y1254" t="str">
        <f>+Table3[[#This Row],[BS_Nivel_1]]</f>
        <v/>
      </c>
    </row>
    <row r="1255" spans="1:25" ht="15" customHeight="1">
      <c r="A1255">
        <f>+'Libro Diario'!F675</f>
        <v>0</v>
      </c>
      <c r="B1255" s="144">
        <f>VALUE(IF(+'Libro Diario'!G675="","01/01/2025",+'Libro Diario'!G675))</f>
        <v>45658</v>
      </c>
      <c r="C1255">
        <f>IF(ISNUMBER(+IF(IFERROR(VALUE(MID('Libro Diario'!D675,1,4)),0)&lt;&gt;0,'Libro Diario'!D675,0))=FALSE,'Libro Diario'!D675,0)</f>
        <v>0</v>
      </c>
      <c r="D1255" s="145">
        <f>+'Libro Diario'!E675</f>
        <v>0</v>
      </c>
      <c r="E1255" s="139" t="s">
        <v>446</v>
      </c>
      <c r="F1255" t="str">
        <f t="shared" si="57"/>
        <v>Sin Mov.</v>
      </c>
      <c r="G1255" t="str">
        <f>IF(+'Libro Diario'!H675=0,"",+'Libro Diario'!H675)</f>
        <v/>
      </c>
      <c r="H1255" t="str">
        <f>IF(+'Libro Diario'!I675=0,"",+'Libro Diario'!I675)</f>
        <v/>
      </c>
      <c r="I1255" t="str">
        <f>+IF(Table3[[#This Row],[Tipo Movimiento]]="Estructura Balance y PyG","Excluir","Incluir")</f>
        <v>Incluir</v>
      </c>
      <c r="J1255" s="153">
        <f>+IF(Table3[[#This Row],[Sin cuenta]]="Con Mov.",(IF(Table3[[#This Row],[Movimiento]]="Debe",Table3[[#This Row],[Importe]],IF(Table3[[#This Row],[Movimiento]]="Haber",Table3[[#This Row],[Importe]]*-1,0))),0)</f>
        <v>0</v>
      </c>
      <c r="K1255" s="145" t="str">
        <f t="shared" si="58"/>
        <v/>
      </c>
      <c r="L1255" s="145">
        <f t="shared" si="59"/>
        <v>0</v>
      </c>
      <c r="M1255" t="str">
        <f>_xlfn.XLOOKUP(Table3[[#This Row],[Cuenta]],Estructura_Balance[Nombre Cuenta ()],Estructura_Balance[Grupo],"",0)</f>
        <v/>
      </c>
      <c r="N1255" t="str">
        <f>_xlfn.XLOOKUP(Table3[[#This Row],[Cuenta]],Estructura_Balance[Nombre Cuenta ()],Estructura_Balance[Nivel 1],"",0)</f>
        <v/>
      </c>
      <c r="O1255" t="str">
        <f>_xlfn.XLOOKUP(Table3[[#This Row],[Cuenta]],Estructura_Balance[Nombre Cuenta ()],Estructura_Balance[Nivel 2],"",0)</f>
        <v/>
      </c>
      <c r="P1255" t="str">
        <f>_xlfn.XLOOKUP(Table3[[#This Row],[Cuenta]],Estructura_Balance[Nombre Cuenta ()],Estructura_Balance[Nivel 3],"",0)</f>
        <v/>
      </c>
      <c r="Q1255" t="str">
        <f>_xlfn.XLOOKUP(Table3[[#This Row],[Cuenta]],Estructura_Balance[Nombre Cuenta ()],Estructura_Balance[Nivel 4],"",0)</f>
        <v/>
      </c>
      <c r="R1255" t="str">
        <f>_xlfn.XLOOKUP(Table3[[#This Row],[Cuenta]],Table8[Nombre Cuenta ()],Table8[Nivel 1],"",0)</f>
        <v/>
      </c>
      <c r="S1255" t="str">
        <f>_xlfn.XLOOKUP(Table3[[#This Row],[Cuenta]],Table8[Nombre Cuenta ()],Table8[Nivel 2],"",0)</f>
        <v/>
      </c>
      <c r="T1255" t="str">
        <f>_xlfn.XLOOKUP(Table3[[#This Row],[Cuenta]],Table8[Nombre Cuenta ()],Table8[Nivel 3],"",0)</f>
        <v/>
      </c>
      <c r="U1255">
        <v>121</v>
      </c>
      <c r="V1255" t="str">
        <f>_xlfn.XLOOKUP(Table3[[#This Row],[Cuenta]],Estructura_Balance[Nombre Cuenta ()],Estructura_Balance[Niveles:2],"",0)</f>
        <v/>
      </c>
      <c r="W1255" t="str">
        <f>_xlfn.XLOOKUP(Table3[[#This Row],[Cuenta]],Estructura_Balance[Nombre Cuenta ()],Estructura_Balance[Niveles:3],"",0)</f>
        <v/>
      </c>
      <c r="X1255" t="str">
        <f>_xlfn.XLOOKUP(Table3[[#This Row],[Cuenta]],Estructura_Balance[Nombre Cuenta ()],Estructura_Balance[Grupos],"Grupo 1",0)</f>
        <v>Grupo 1</v>
      </c>
      <c r="Y1255" t="str">
        <f>+Table3[[#This Row],[BS_Nivel_1]]</f>
        <v/>
      </c>
    </row>
    <row r="1256" spans="1:25" ht="15" customHeight="1">
      <c r="A1256">
        <f>+'Libro Diario'!F676</f>
        <v>79</v>
      </c>
      <c r="B1256" s="144">
        <f>VALUE(IF(+'Libro Diario'!G676="","01/01/2025",+'Libro Diario'!G676))</f>
        <v>0</v>
      </c>
      <c r="C1256">
        <f>IF(ISNUMBER(+IF(IFERROR(VALUE(MID('Libro Diario'!D676,1,4)),0)&lt;&gt;0,'Libro Diario'!D676,0))=FALSE,'Libro Diario'!D676,0)</f>
        <v>0</v>
      </c>
      <c r="D1256" s="145">
        <f>+'Libro Diario'!E676</f>
        <v>0</v>
      </c>
      <c r="E1256" s="139" t="s">
        <v>446</v>
      </c>
      <c r="F1256" t="str">
        <f t="shared" si="57"/>
        <v>Sin Mov.</v>
      </c>
      <c r="G1256" t="str">
        <f>IF(+'Libro Diario'!H676=0,"",+'Libro Diario'!H676)</f>
        <v/>
      </c>
      <c r="H1256" t="str">
        <f>IF(+'Libro Diario'!I676=0,"",+'Libro Diario'!I676)</f>
        <v/>
      </c>
      <c r="I1256" t="str">
        <f>+IF(Table3[[#This Row],[Tipo Movimiento]]="Estructura Balance y PyG","Excluir","Incluir")</f>
        <v>Incluir</v>
      </c>
      <c r="J1256" s="153">
        <f>+IF(Table3[[#This Row],[Sin cuenta]]="Con Mov.",(IF(Table3[[#This Row],[Movimiento]]="Debe",Table3[[#This Row],[Importe]],IF(Table3[[#This Row],[Movimiento]]="Haber",Table3[[#This Row],[Importe]]*-1,0))),0)</f>
        <v>0</v>
      </c>
      <c r="K1256" s="145" t="str">
        <f t="shared" si="58"/>
        <v/>
      </c>
      <c r="L1256" s="145">
        <f t="shared" si="59"/>
        <v>0</v>
      </c>
      <c r="M1256" t="str">
        <f>_xlfn.XLOOKUP(Table3[[#This Row],[Cuenta]],Estructura_Balance[Nombre Cuenta ()],Estructura_Balance[Grupo],"",0)</f>
        <v/>
      </c>
      <c r="N1256" t="str">
        <f>_xlfn.XLOOKUP(Table3[[#This Row],[Cuenta]],Estructura_Balance[Nombre Cuenta ()],Estructura_Balance[Nivel 1],"",0)</f>
        <v/>
      </c>
      <c r="O1256" t="str">
        <f>_xlfn.XLOOKUP(Table3[[#This Row],[Cuenta]],Estructura_Balance[Nombre Cuenta ()],Estructura_Balance[Nivel 2],"",0)</f>
        <v/>
      </c>
      <c r="P1256" t="str">
        <f>_xlfn.XLOOKUP(Table3[[#This Row],[Cuenta]],Estructura_Balance[Nombre Cuenta ()],Estructura_Balance[Nivel 3],"",0)</f>
        <v/>
      </c>
      <c r="Q1256" t="str">
        <f>_xlfn.XLOOKUP(Table3[[#This Row],[Cuenta]],Estructura_Balance[Nombre Cuenta ()],Estructura_Balance[Nivel 4],"",0)</f>
        <v/>
      </c>
      <c r="R1256" t="str">
        <f>_xlfn.XLOOKUP(Table3[[#This Row],[Cuenta]],Table8[Nombre Cuenta ()],Table8[Nivel 1],"",0)</f>
        <v/>
      </c>
      <c r="S1256" t="str">
        <f>_xlfn.XLOOKUP(Table3[[#This Row],[Cuenta]],Table8[Nombre Cuenta ()],Table8[Nivel 2],"",0)</f>
        <v/>
      </c>
      <c r="T1256" t="str">
        <f>_xlfn.XLOOKUP(Table3[[#This Row],[Cuenta]],Table8[Nombre Cuenta ()],Table8[Nivel 3],"",0)</f>
        <v/>
      </c>
      <c r="U1256">
        <v>122</v>
      </c>
      <c r="V1256" t="str">
        <f>_xlfn.XLOOKUP(Table3[[#This Row],[Cuenta]],Estructura_Balance[Nombre Cuenta ()],Estructura_Balance[Niveles:2],"",0)</f>
        <v/>
      </c>
      <c r="W1256" t="str">
        <f>_xlfn.XLOOKUP(Table3[[#This Row],[Cuenta]],Estructura_Balance[Nombre Cuenta ()],Estructura_Balance[Niveles:3],"",0)</f>
        <v/>
      </c>
      <c r="X1256" t="str">
        <f>_xlfn.XLOOKUP(Table3[[#This Row],[Cuenta]],Estructura_Balance[Nombre Cuenta ()],Estructura_Balance[Grupos],"Grupo 1",0)</f>
        <v>Grupo 1</v>
      </c>
      <c r="Y1256" t="str">
        <f>+Table3[[#This Row],[BS_Nivel_1]]</f>
        <v/>
      </c>
    </row>
    <row r="1257" spans="1:25" ht="15" customHeight="1">
      <c r="A1257">
        <f>+'Libro Diario'!F677</f>
        <v>79</v>
      </c>
      <c r="B1257" s="144">
        <f>VALUE(IF(+'Libro Diario'!G677="","01/01/2025",+'Libro Diario'!G677))</f>
        <v>0</v>
      </c>
      <c r="C1257">
        <f>IF(ISNUMBER(+IF(IFERROR(VALUE(MID('Libro Diario'!D677,1,4)),0)&lt;&gt;0,'Libro Diario'!D677,0))=FALSE,'Libro Diario'!D677,0)</f>
        <v>0</v>
      </c>
      <c r="D1257" s="145">
        <f>+'Libro Diario'!E677</f>
        <v>0</v>
      </c>
      <c r="E1257" s="139" t="s">
        <v>446</v>
      </c>
      <c r="F1257" t="str">
        <f t="shared" si="57"/>
        <v>Sin Mov.</v>
      </c>
      <c r="G1257" t="str">
        <f>IF(+'Libro Diario'!H677=0,"",+'Libro Diario'!H677)</f>
        <v/>
      </c>
      <c r="H1257" t="str">
        <f>IF(+'Libro Diario'!I677=0,"",+'Libro Diario'!I677)</f>
        <v/>
      </c>
      <c r="I1257" t="str">
        <f>+IF(Table3[[#This Row],[Tipo Movimiento]]="Estructura Balance y PyG","Excluir","Incluir")</f>
        <v>Incluir</v>
      </c>
      <c r="J1257" s="153">
        <f>+IF(Table3[[#This Row],[Sin cuenta]]="Con Mov.",(IF(Table3[[#This Row],[Movimiento]]="Debe",Table3[[#This Row],[Importe]],IF(Table3[[#This Row],[Movimiento]]="Haber",Table3[[#This Row],[Importe]]*-1,0))),0)</f>
        <v>0</v>
      </c>
      <c r="K1257" s="145" t="str">
        <f t="shared" si="58"/>
        <v/>
      </c>
      <c r="L1257" s="145">
        <f t="shared" si="59"/>
        <v>0</v>
      </c>
      <c r="M1257" t="str">
        <f>_xlfn.XLOOKUP(Table3[[#This Row],[Cuenta]],Estructura_Balance[Nombre Cuenta ()],Estructura_Balance[Grupo],"",0)</f>
        <v/>
      </c>
      <c r="N1257" t="str">
        <f>_xlfn.XLOOKUP(Table3[[#This Row],[Cuenta]],Estructura_Balance[Nombre Cuenta ()],Estructura_Balance[Nivel 1],"",0)</f>
        <v/>
      </c>
      <c r="O1257" t="str">
        <f>_xlfn.XLOOKUP(Table3[[#This Row],[Cuenta]],Estructura_Balance[Nombre Cuenta ()],Estructura_Balance[Nivel 2],"",0)</f>
        <v/>
      </c>
      <c r="P1257" t="str">
        <f>_xlfn.XLOOKUP(Table3[[#This Row],[Cuenta]],Estructura_Balance[Nombre Cuenta ()],Estructura_Balance[Nivel 3],"",0)</f>
        <v/>
      </c>
      <c r="Q1257" t="str">
        <f>_xlfn.XLOOKUP(Table3[[#This Row],[Cuenta]],Estructura_Balance[Nombre Cuenta ()],Estructura_Balance[Nivel 4],"",0)</f>
        <v/>
      </c>
      <c r="R1257" t="str">
        <f>_xlfn.XLOOKUP(Table3[[#This Row],[Cuenta]],Table8[Nombre Cuenta ()],Table8[Nivel 1],"",0)</f>
        <v/>
      </c>
      <c r="S1257" t="str">
        <f>_xlfn.XLOOKUP(Table3[[#This Row],[Cuenta]],Table8[Nombre Cuenta ()],Table8[Nivel 2],"",0)</f>
        <v/>
      </c>
      <c r="T1257" t="str">
        <f>_xlfn.XLOOKUP(Table3[[#This Row],[Cuenta]],Table8[Nombre Cuenta ()],Table8[Nivel 3],"",0)</f>
        <v/>
      </c>
      <c r="U1257">
        <v>1119</v>
      </c>
      <c r="V1257" t="str">
        <f>_xlfn.XLOOKUP(Table3[[#This Row],[Cuenta]],Estructura_Balance[Nombre Cuenta ()],Estructura_Balance[Niveles:2],"",0)</f>
        <v/>
      </c>
      <c r="W1257" t="str">
        <f>_xlfn.XLOOKUP(Table3[[#This Row],[Cuenta]],Estructura_Balance[Nombre Cuenta ()],Estructura_Balance[Niveles:3],"",0)</f>
        <v/>
      </c>
      <c r="X1257" t="str">
        <f>_xlfn.XLOOKUP(Table3[[#This Row],[Cuenta]],Estructura_Balance[Nombre Cuenta ()],Estructura_Balance[Grupos],"Grupo 1",0)</f>
        <v>Grupo 1</v>
      </c>
      <c r="Y1257" t="str">
        <f>+Table3[[#This Row],[BS_Nivel_1]]</f>
        <v/>
      </c>
    </row>
    <row r="1258" spans="1:25" ht="15" customHeight="1">
      <c r="A1258">
        <f>+'Libro Diario'!F678</f>
        <v>0</v>
      </c>
      <c r="B1258" s="144">
        <f>VALUE(IF(+'Libro Diario'!G678="","01/01/2025",+'Libro Diario'!G678))</f>
        <v>45658</v>
      </c>
      <c r="C1258">
        <f>IF(ISNUMBER(+IF(IFERROR(VALUE(MID('Libro Diario'!D678,1,4)),0)&lt;&gt;0,'Libro Diario'!D678,0))=FALSE,'Libro Diario'!D678,0)</f>
        <v>0</v>
      </c>
      <c r="D1258" s="145">
        <f>+'Libro Diario'!E678</f>
        <v>0</v>
      </c>
      <c r="E1258" s="139" t="s">
        <v>446</v>
      </c>
      <c r="F1258" t="str">
        <f t="shared" si="57"/>
        <v>Sin Mov.</v>
      </c>
      <c r="G1258" t="str">
        <f>IF(+'Libro Diario'!H678=0,"",+'Libro Diario'!H678)</f>
        <v/>
      </c>
      <c r="H1258" t="str">
        <f>IF(+'Libro Diario'!I678=0,"",+'Libro Diario'!I678)</f>
        <v/>
      </c>
      <c r="I1258" t="str">
        <f>+IF(Table3[[#This Row],[Tipo Movimiento]]="Estructura Balance y PyG","Excluir","Incluir")</f>
        <v>Incluir</v>
      </c>
      <c r="J1258" s="153">
        <f>+IF(Table3[[#This Row],[Sin cuenta]]="Con Mov.",(IF(Table3[[#This Row],[Movimiento]]="Debe",Table3[[#This Row],[Importe]],IF(Table3[[#This Row],[Movimiento]]="Haber",Table3[[#This Row],[Importe]]*-1,0))),0)</f>
        <v>0</v>
      </c>
      <c r="K1258" s="145" t="str">
        <f t="shared" si="58"/>
        <v/>
      </c>
      <c r="L1258" s="145">
        <f t="shared" si="59"/>
        <v>0</v>
      </c>
      <c r="M1258" t="str">
        <f>_xlfn.XLOOKUP(Table3[[#This Row],[Cuenta]],Estructura_Balance[Nombre Cuenta ()],Estructura_Balance[Grupo],"",0)</f>
        <v/>
      </c>
      <c r="N1258" t="str">
        <f>_xlfn.XLOOKUP(Table3[[#This Row],[Cuenta]],Estructura_Balance[Nombre Cuenta ()],Estructura_Balance[Nivel 1],"",0)</f>
        <v/>
      </c>
      <c r="O1258" t="str">
        <f>_xlfn.XLOOKUP(Table3[[#This Row],[Cuenta]],Estructura_Balance[Nombre Cuenta ()],Estructura_Balance[Nivel 2],"",0)</f>
        <v/>
      </c>
      <c r="P1258" t="str">
        <f>_xlfn.XLOOKUP(Table3[[#This Row],[Cuenta]],Estructura_Balance[Nombre Cuenta ()],Estructura_Balance[Nivel 3],"",0)</f>
        <v/>
      </c>
      <c r="Q1258" t="str">
        <f>_xlfn.XLOOKUP(Table3[[#This Row],[Cuenta]],Estructura_Balance[Nombre Cuenta ()],Estructura_Balance[Nivel 4],"",0)</f>
        <v/>
      </c>
      <c r="R1258" t="str">
        <f>_xlfn.XLOOKUP(Table3[[#This Row],[Cuenta]],Table8[Nombre Cuenta ()],Table8[Nivel 1],"",0)</f>
        <v/>
      </c>
      <c r="S1258" t="str">
        <f>_xlfn.XLOOKUP(Table3[[#This Row],[Cuenta]],Table8[Nombre Cuenta ()],Table8[Nivel 2],"",0)</f>
        <v/>
      </c>
      <c r="T1258" t="str">
        <f>_xlfn.XLOOKUP(Table3[[#This Row],[Cuenta]],Table8[Nombre Cuenta ()],Table8[Nivel 3],"",0)</f>
        <v/>
      </c>
      <c r="U1258">
        <v>1120</v>
      </c>
      <c r="V1258" t="str">
        <f>_xlfn.XLOOKUP(Table3[[#This Row],[Cuenta]],Estructura_Balance[Nombre Cuenta ()],Estructura_Balance[Niveles:2],"",0)</f>
        <v/>
      </c>
      <c r="W1258" t="str">
        <f>_xlfn.XLOOKUP(Table3[[#This Row],[Cuenta]],Estructura_Balance[Nombre Cuenta ()],Estructura_Balance[Niveles:3],"",0)</f>
        <v/>
      </c>
      <c r="X1258" t="str">
        <f>_xlfn.XLOOKUP(Table3[[#This Row],[Cuenta]],Estructura_Balance[Nombre Cuenta ()],Estructura_Balance[Grupos],"Grupo 1",0)</f>
        <v>Grupo 1</v>
      </c>
      <c r="Y1258" t="str">
        <f>+Table3[[#This Row],[BS_Nivel_1]]</f>
        <v/>
      </c>
    </row>
    <row r="1259" spans="1:25" ht="15" customHeight="1">
      <c r="A1259">
        <f>+'Libro Diario'!F679</f>
        <v>0</v>
      </c>
      <c r="B1259" s="144">
        <f>VALUE(IF(+'Libro Diario'!G679="","01/01/2025",+'Libro Diario'!G679))</f>
        <v>45658</v>
      </c>
      <c r="C1259">
        <f>IF(ISNUMBER(+IF(IFERROR(VALUE(MID('Libro Diario'!D679,1,4)),0)&lt;&gt;0,'Libro Diario'!D679,0))=FALSE,'Libro Diario'!D679,0)</f>
        <v>0</v>
      </c>
      <c r="D1259" s="145">
        <f>+'Libro Diario'!E679</f>
        <v>0</v>
      </c>
      <c r="E1259" s="139" t="s">
        <v>446</v>
      </c>
      <c r="F1259" t="str">
        <f t="shared" si="57"/>
        <v>Sin Mov.</v>
      </c>
      <c r="G1259" t="str">
        <f>IF(+'Libro Diario'!H679=0,"",+'Libro Diario'!H679)</f>
        <v/>
      </c>
      <c r="H1259" t="str">
        <f>IF(+'Libro Diario'!I679=0,"",+'Libro Diario'!I679)</f>
        <v/>
      </c>
      <c r="I1259" t="str">
        <f>+IF(Table3[[#This Row],[Tipo Movimiento]]="Estructura Balance y PyG","Excluir","Incluir")</f>
        <v>Incluir</v>
      </c>
      <c r="J1259" s="153">
        <f>+IF(Table3[[#This Row],[Sin cuenta]]="Con Mov.",(IF(Table3[[#This Row],[Movimiento]]="Debe",Table3[[#This Row],[Importe]],IF(Table3[[#This Row],[Movimiento]]="Haber",Table3[[#This Row],[Importe]]*-1,0))),0)</f>
        <v>0</v>
      </c>
      <c r="K1259" s="145" t="str">
        <f t="shared" si="58"/>
        <v/>
      </c>
      <c r="L1259" s="145">
        <f t="shared" si="59"/>
        <v>0</v>
      </c>
      <c r="M1259" t="str">
        <f>_xlfn.XLOOKUP(Table3[[#This Row],[Cuenta]],Estructura_Balance[Nombre Cuenta ()],Estructura_Balance[Grupo],"",0)</f>
        <v/>
      </c>
      <c r="N1259" t="str">
        <f>_xlfn.XLOOKUP(Table3[[#This Row],[Cuenta]],Estructura_Balance[Nombre Cuenta ()],Estructura_Balance[Nivel 1],"",0)</f>
        <v/>
      </c>
      <c r="O1259" t="str">
        <f>_xlfn.XLOOKUP(Table3[[#This Row],[Cuenta]],Estructura_Balance[Nombre Cuenta ()],Estructura_Balance[Nivel 2],"",0)</f>
        <v/>
      </c>
      <c r="P1259" t="str">
        <f>_xlfn.XLOOKUP(Table3[[#This Row],[Cuenta]],Estructura_Balance[Nombre Cuenta ()],Estructura_Balance[Nivel 3],"",0)</f>
        <v/>
      </c>
      <c r="Q1259" t="str">
        <f>_xlfn.XLOOKUP(Table3[[#This Row],[Cuenta]],Estructura_Balance[Nombre Cuenta ()],Estructura_Balance[Nivel 4],"",0)</f>
        <v/>
      </c>
      <c r="R1259" t="str">
        <f>_xlfn.XLOOKUP(Table3[[#This Row],[Cuenta]],Table8[Nombre Cuenta ()],Table8[Nivel 1],"",0)</f>
        <v/>
      </c>
      <c r="S1259" t="str">
        <f>_xlfn.XLOOKUP(Table3[[#This Row],[Cuenta]],Table8[Nombre Cuenta ()],Table8[Nivel 2],"",0)</f>
        <v/>
      </c>
      <c r="T1259" t="str">
        <f>_xlfn.XLOOKUP(Table3[[#This Row],[Cuenta]],Table8[Nombre Cuenta ()],Table8[Nivel 3],"",0)</f>
        <v/>
      </c>
      <c r="U1259">
        <v>128</v>
      </c>
      <c r="V1259" t="str">
        <f>_xlfn.XLOOKUP(Table3[[#This Row],[Cuenta]],Estructura_Balance[Nombre Cuenta ()],Estructura_Balance[Niveles:2],"",0)</f>
        <v/>
      </c>
      <c r="W1259" t="str">
        <f>_xlfn.XLOOKUP(Table3[[#This Row],[Cuenta]],Estructura_Balance[Nombre Cuenta ()],Estructura_Balance[Niveles:3],"",0)</f>
        <v/>
      </c>
      <c r="X1259" t="str">
        <f>_xlfn.XLOOKUP(Table3[[#This Row],[Cuenta]],Estructura_Balance[Nombre Cuenta ()],Estructura_Balance[Grupos],"Grupo 1",0)</f>
        <v>Grupo 1</v>
      </c>
      <c r="Y1259" t="str">
        <f>+Table3[[#This Row],[BS_Nivel_1]]</f>
        <v/>
      </c>
    </row>
    <row r="1260" spans="1:25" ht="15" customHeight="1">
      <c r="A1260">
        <f>+'Libro Diario'!F680</f>
        <v>0</v>
      </c>
      <c r="B1260" s="144">
        <f>VALUE(IF(+'Libro Diario'!G680="","01/01/2025",+'Libro Diario'!G680))</f>
        <v>45658</v>
      </c>
      <c r="C1260">
        <f>IF(ISNUMBER(+IF(IFERROR(VALUE(MID('Libro Diario'!D680,1,4)),0)&lt;&gt;0,'Libro Diario'!D680,0))=FALSE,'Libro Diario'!D680,0)</f>
        <v>0</v>
      </c>
      <c r="D1260" s="145">
        <f>+'Libro Diario'!E680</f>
        <v>0</v>
      </c>
      <c r="E1260" s="139" t="s">
        <v>446</v>
      </c>
      <c r="F1260" t="str">
        <f t="shared" si="57"/>
        <v>Sin Mov.</v>
      </c>
      <c r="G1260" t="str">
        <f>IF(+'Libro Diario'!H680=0,"",+'Libro Diario'!H680)</f>
        <v/>
      </c>
      <c r="H1260" t="str">
        <f>IF(+'Libro Diario'!I680=0,"",+'Libro Diario'!I680)</f>
        <v/>
      </c>
      <c r="I1260" t="str">
        <f>+IF(Table3[[#This Row],[Tipo Movimiento]]="Estructura Balance y PyG","Excluir","Incluir")</f>
        <v>Incluir</v>
      </c>
      <c r="J1260" s="153">
        <f>+IF(Table3[[#This Row],[Sin cuenta]]="Con Mov.",(IF(Table3[[#This Row],[Movimiento]]="Debe",Table3[[#This Row],[Importe]],IF(Table3[[#This Row],[Movimiento]]="Haber",Table3[[#This Row],[Importe]]*-1,0))),0)</f>
        <v>0</v>
      </c>
      <c r="K1260" s="145" t="str">
        <f t="shared" si="58"/>
        <v/>
      </c>
      <c r="L1260" s="145">
        <f t="shared" si="59"/>
        <v>0</v>
      </c>
      <c r="M1260" t="str">
        <f>_xlfn.XLOOKUP(Table3[[#This Row],[Cuenta]],Estructura_Balance[Nombre Cuenta ()],Estructura_Balance[Grupo],"",0)</f>
        <v/>
      </c>
      <c r="N1260" t="str">
        <f>_xlfn.XLOOKUP(Table3[[#This Row],[Cuenta]],Estructura_Balance[Nombre Cuenta ()],Estructura_Balance[Nivel 1],"",0)</f>
        <v/>
      </c>
      <c r="O1260" t="str">
        <f>_xlfn.XLOOKUP(Table3[[#This Row],[Cuenta]],Estructura_Balance[Nombre Cuenta ()],Estructura_Balance[Nivel 2],"",0)</f>
        <v/>
      </c>
      <c r="P1260" t="str">
        <f>_xlfn.XLOOKUP(Table3[[#This Row],[Cuenta]],Estructura_Balance[Nombre Cuenta ()],Estructura_Balance[Nivel 3],"",0)</f>
        <v/>
      </c>
      <c r="Q1260" t="str">
        <f>_xlfn.XLOOKUP(Table3[[#This Row],[Cuenta]],Estructura_Balance[Nombre Cuenta ()],Estructura_Balance[Nivel 4],"",0)</f>
        <v/>
      </c>
      <c r="R1260" t="str">
        <f>_xlfn.XLOOKUP(Table3[[#This Row],[Cuenta]],Table8[Nombre Cuenta ()],Table8[Nivel 1],"",0)</f>
        <v/>
      </c>
      <c r="S1260" t="str">
        <f>_xlfn.XLOOKUP(Table3[[#This Row],[Cuenta]],Table8[Nombre Cuenta ()],Table8[Nivel 2],"",0)</f>
        <v/>
      </c>
      <c r="T1260" t="str">
        <f>_xlfn.XLOOKUP(Table3[[#This Row],[Cuenta]],Table8[Nombre Cuenta ()],Table8[Nivel 3],"",0)</f>
        <v/>
      </c>
      <c r="U1260">
        <v>129</v>
      </c>
      <c r="V1260" t="str">
        <f>_xlfn.XLOOKUP(Table3[[#This Row],[Cuenta]],Estructura_Balance[Nombre Cuenta ()],Estructura_Balance[Niveles:2],"",0)</f>
        <v/>
      </c>
      <c r="W1260" t="str">
        <f>_xlfn.XLOOKUP(Table3[[#This Row],[Cuenta]],Estructura_Balance[Nombre Cuenta ()],Estructura_Balance[Niveles:3],"",0)</f>
        <v/>
      </c>
      <c r="X1260" t="str">
        <f>_xlfn.XLOOKUP(Table3[[#This Row],[Cuenta]],Estructura_Balance[Nombre Cuenta ()],Estructura_Balance[Grupos],"Grupo 1",0)</f>
        <v>Grupo 1</v>
      </c>
      <c r="Y1260" t="str">
        <f>+Table3[[#This Row],[BS_Nivel_1]]</f>
        <v/>
      </c>
    </row>
    <row r="1261" spans="1:25" ht="15" customHeight="1">
      <c r="A1261">
        <f>+'Libro Diario'!F681</f>
        <v>0</v>
      </c>
      <c r="B1261" s="144">
        <f>VALUE(IF(+'Libro Diario'!G681="","01/01/2025",+'Libro Diario'!G681))</f>
        <v>45658</v>
      </c>
      <c r="C1261">
        <f>IF(ISNUMBER(+IF(IFERROR(VALUE(MID('Libro Diario'!D681,1,4)),0)&lt;&gt;0,'Libro Diario'!D681,0))=FALSE,'Libro Diario'!D681,0)</f>
        <v>0</v>
      </c>
      <c r="D1261" s="145" t="str">
        <f>+'Libro Diario'!E681</f>
        <v>HABER</v>
      </c>
      <c r="E1261" s="139" t="s">
        <v>446</v>
      </c>
      <c r="F1261" t="str">
        <f t="shared" si="57"/>
        <v>Sin Mov.</v>
      </c>
      <c r="G1261" t="str">
        <f>IF(+'Libro Diario'!H681=0,"",+'Libro Diario'!H681)</f>
        <v/>
      </c>
      <c r="H1261" t="str">
        <f>IF(+'Libro Diario'!I681=0,"",+'Libro Diario'!I681)</f>
        <v/>
      </c>
      <c r="I1261" t="str">
        <f>+IF(Table3[[#This Row],[Tipo Movimiento]]="Estructura Balance y PyG","Excluir","Incluir")</f>
        <v>Incluir</v>
      </c>
      <c r="J1261" s="153">
        <f>+IF(Table3[[#This Row],[Sin cuenta]]="Con Mov.",(IF(Table3[[#This Row],[Movimiento]]="Debe",Table3[[#This Row],[Importe]],IF(Table3[[#This Row],[Movimiento]]="Haber",Table3[[#This Row],[Importe]]*-1,0))),0)</f>
        <v>0</v>
      </c>
      <c r="K1261" s="145" t="str">
        <f t="shared" si="58"/>
        <v/>
      </c>
      <c r="L1261" s="145" t="str">
        <f t="shared" si="59"/>
        <v>HABER</v>
      </c>
      <c r="M1261" t="str">
        <f>_xlfn.XLOOKUP(Table3[[#This Row],[Cuenta]],Estructura_Balance[Nombre Cuenta ()],Estructura_Balance[Grupo],"",0)</f>
        <v/>
      </c>
      <c r="N1261" t="str">
        <f>_xlfn.XLOOKUP(Table3[[#This Row],[Cuenta]],Estructura_Balance[Nombre Cuenta ()],Estructura_Balance[Nivel 1],"",0)</f>
        <v/>
      </c>
      <c r="O1261" t="str">
        <f>_xlfn.XLOOKUP(Table3[[#This Row],[Cuenta]],Estructura_Balance[Nombre Cuenta ()],Estructura_Balance[Nivel 2],"",0)</f>
        <v/>
      </c>
      <c r="P1261" t="str">
        <f>_xlfn.XLOOKUP(Table3[[#This Row],[Cuenta]],Estructura_Balance[Nombre Cuenta ()],Estructura_Balance[Nivel 3],"",0)</f>
        <v/>
      </c>
      <c r="Q1261" t="str">
        <f>_xlfn.XLOOKUP(Table3[[#This Row],[Cuenta]],Estructura_Balance[Nombre Cuenta ()],Estructura_Balance[Nivel 4],"",0)</f>
        <v/>
      </c>
      <c r="R1261" t="str">
        <f>_xlfn.XLOOKUP(Table3[[#This Row],[Cuenta]],Table8[Nombre Cuenta ()],Table8[Nivel 1],"",0)</f>
        <v/>
      </c>
      <c r="S1261" t="str">
        <f>_xlfn.XLOOKUP(Table3[[#This Row],[Cuenta]],Table8[Nombre Cuenta ()],Table8[Nivel 2],"",0)</f>
        <v/>
      </c>
      <c r="T1261" t="str">
        <f>_xlfn.XLOOKUP(Table3[[#This Row],[Cuenta]],Table8[Nombre Cuenta ()],Table8[Nivel 3],"",0)</f>
        <v/>
      </c>
      <c r="U1261">
        <v>1126</v>
      </c>
      <c r="V1261" t="str">
        <f>_xlfn.XLOOKUP(Table3[[#This Row],[Cuenta]],Estructura_Balance[Nombre Cuenta ()],Estructura_Balance[Niveles:2],"",0)</f>
        <v/>
      </c>
      <c r="W1261" t="str">
        <f>_xlfn.XLOOKUP(Table3[[#This Row],[Cuenta]],Estructura_Balance[Nombre Cuenta ()],Estructura_Balance[Niveles:3],"",0)</f>
        <v/>
      </c>
      <c r="X1261" t="str">
        <f>_xlfn.XLOOKUP(Table3[[#This Row],[Cuenta]],Estructura_Balance[Nombre Cuenta ()],Estructura_Balance[Grupos],"Grupo 1",0)</f>
        <v>Grupo 1</v>
      </c>
      <c r="Y1261" t="str">
        <f>+Table3[[#This Row],[BS_Nivel_1]]</f>
        <v/>
      </c>
    </row>
    <row r="1262" spans="1:25" ht="15" customHeight="1">
      <c r="A1262">
        <f>+'Libro Diario'!F682</f>
        <v>0</v>
      </c>
      <c r="B1262" s="144">
        <f>VALUE(IF(+'Libro Diario'!G682="","01/01/2025",+'Libro Diario'!G682))</f>
        <v>45658</v>
      </c>
      <c r="C1262">
        <f>IF(ISNUMBER(+IF(IFERROR(VALUE(MID('Libro Diario'!D682,1,4)),0)&lt;&gt;0,'Libro Diario'!D682,0))=FALSE,'Libro Diario'!D682,0)</f>
        <v>0</v>
      </c>
      <c r="D1262" s="145">
        <f>+'Libro Diario'!E682</f>
        <v>0</v>
      </c>
      <c r="E1262" s="139" t="s">
        <v>446</v>
      </c>
      <c r="F1262" t="str">
        <f t="shared" si="57"/>
        <v>Sin Mov.</v>
      </c>
      <c r="G1262" t="str">
        <f>IF(+'Libro Diario'!H682=0,"",+'Libro Diario'!H682)</f>
        <v/>
      </c>
      <c r="H1262" t="str">
        <f>IF(+'Libro Diario'!I682=0,"",+'Libro Diario'!I682)</f>
        <v/>
      </c>
      <c r="I1262" t="str">
        <f>+IF(Table3[[#This Row],[Tipo Movimiento]]="Estructura Balance y PyG","Excluir","Incluir")</f>
        <v>Incluir</v>
      </c>
      <c r="J1262" s="153">
        <f>+IF(Table3[[#This Row],[Sin cuenta]]="Con Mov.",(IF(Table3[[#This Row],[Movimiento]]="Debe",Table3[[#This Row],[Importe]],IF(Table3[[#This Row],[Movimiento]]="Haber",Table3[[#This Row],[Importe]]*-1,0))),0)</f>
        <v>0</v>
      </c>
      <c r="K1262" s="145" t="str">
        <f t="shared" si="58"/>
        <v/>
      </c>
      <c r="L1262" s="145">
        <f t="shared" si="59"/>
        <v>0</v>
      </c>
      <c r="M1262" t="str">
        <f>_xlfn.XLOOKUP(Table3[[#This Row],[Cuenta]],Estructura_Balance[Nombre Cuenta ()],Estructura_Balance[Grupo],"",0)</f>
        <v/>
      </c>
      <c r="N1262" t="str">
        <f>_xlfn.XLOOKUP(Table3[[#This Row],[Cuenta]],Estructura_Balance[Nombre Cuenta ()],Estructura_Balance[Nivel 1],"",0)</f>
        <v/>
      </c>
      <c r="O1262" t="str">
        <f>_xlfn.XLOOKUP(Table3[[#This Row],[Cuenta]],Estructura_Balance[Nombre Cuenta ()],Estructura_Balance[Nivel 2],"",0)</f>
        <v/>
      </c>
      <c r="P1262" t="str">
        <f>_xlfn.XLOOKUP(Table3[[#This Row],[Cuenta]],Estructura_Balance[Nombre Cuenta ()],Estructura_Balance[Nivel 3],"",0)</f>
        <v/>
      </c>
      <c r="Q1262" t="str">
        <f>_xlfn.XLOOKUP(Table3[[#This Row],[Cuenta]],Estructura_Balance[Nombre Cuenta ()],Estructura_Balance[Nivel 4],"",0)</f>
        <v/>
      </c>
      <c r="R1262" t="str">
        <f>_xlfn.XLOOKUP(Table3[[#This Row],[Cuenta]],Table8[Nombre Cuenta ()],Table8[Nivel 1],"",0)</f>
        <v/>
      </c>
      <c r="S1262" t="str">
        <f>_xlfn.XLOOKUP(Table3[[#This Row],[Cuenta]],Table8[Nombre Cuenta ()],Table8[Nivel 2],"",0)</f>
        <v/>
      </c>
      <c r="T1262" t="str">
        <f>_xlfn.XLOOKUP(Table3[[#This Row],[Cuenta]],Table8[Nombre Cuenta ()],Table8[Nivel 3],"",0)</f>
        <v/>
      </c>
      <c r="U1262">
        <v>1127</v>
      </c>
      <c r="V1262" t="str">
        <f>_xlfn.XLOOKUP(Table3[[#This Row],[Cuenta]],Estructura_Balance[Nombre Cuenta ()],Estructura_Balance[Niveles:2],"",0)</f>
        <v/>
      </c>
      <c r="W1262" t="str">
        <f>_xlfn.XLOOKUP(Table3[[#This Row],[Cuenta]],Estructura_Balance[Nombre Cuenta ()],Estructura_Balance[Niveles:3],"",0)</f>
        <v/>
      </c>
      <c r="X1262" t="str">
        <f>_xlfn.XLOOKUP(Table3[[#This Row],[Cuenta]],Estructura_Balance[Nombre Cuenta ()],Estructura_Balance[Grupos],"Grupo 1",0)</f>
        <v>Grupo 1</v>
      </c>
      <c r="Y1262" t="str">
        <f>+Table3[[#This Row],[BS_Nivel_1]]</f>
        <v/>
      </c>
    </row>
    <row r="1263" spans="1:25" ht="15" customHeight="1">
      <c r="A1263">
        <f>+'Libro Diario'!F683</f>
        <v>80</v>
      </c>
      <c r="B1263" s="144">
        <f>VALUE(IF(+'Libro Diario'!G683="","01/01/2025",+'Libro Diario'!G683))</f>
        <v>0</v>
      </c>
      <c r="C1263">
        <f>IF(ISNUMBER(+IF(IFERROR(VALUE(MID('Libro Diario'!D683,1,4)),0)&lt;&gt;0,'Libro Diario'!D683,0))=FALSE,'Libro Diario'!D683,0)</f>
        <v>0</v>
      </c>
      <c r="D1263" s="145">
        <f>+'Libro Diario'!E683</f>
        <v>0</v>
      </c>
      <c r="E1263" s="139" t="s">
        <v>446</v>
      </c>
      <c r="F1263" t="str">
        <f t="shared" si="57"/>
        <v>Sin Mov.</v>
      </c>
      <c r="G1263" t="str">
        <f>IF(+'Libro Diario'!H683=0,"",+'Libro Diario'!H683)</f>
        <v/>
      </c>
      <c r="H1263" t="str">
        <f>IF(+'Libro Diario'!I683=0,"",+'Libro Diario'!I683)</f>
        <v/>
      </c>
      <c r="I1263" t="str">
        <f>+IF(Table3[[#This Row],[Tipo Movimiento]]="Estructura Balance y PyG","Excluir","Incluir")</f>
        <v>Incluir</v>
      </c>
      <c r="J1263" s="153">
        <f>+IF(Table3[[#This Row],[Sin cuenta]]="Con Mov.",(IF(Table3[[#This Row],[Movimiento]]="Debe",Table3[[#This Row],[Importe]],IF(Table3[[#This Row],[Movimiento]]="Haber",Table3[[#This Row],[Importe]]*-1,0))),0)</f>
        <v>0</v>
      </c>
      <c r="K1263" s="145" t="str">
        <f t="shared" si="58"/>
        <v/>
      </c>
      <c r="L1263" s="145">
        <f t="shared" si="59"/>
        <v>0</v>
      </c>
      <c r="M1263" t="str">
        <f>_xlfn.XLOOKUP(Table3[[#This Row],[Cuenta]],Estructura_Balance[Nombre Cuenta ()],Estructura_Balance[Grupo],"",0)</f>
        <v/>
      </c>
      <c r="N1263" t="str">
        <f>_xlfn.XLOOKUP(Table3[[#This Row],[Cuenta]],Estructura_Balance[Nombre Cuenta ()],Estructura_Balance[Nivel 1],"",0)</f>
        <v/>
      </c>
      <c r="O1263" t="str">
        <f>_xlfn.XLOOKUP(Table3[[#This Row],[Cuenta]],Estructura_Balance[Nombre Cuenta ()],Estructura_Balance[Nivel 2],"",0)</f>
        <v/>
      </c>
      <c r="P1263" t="str">
        <f>_xlfn.XLOOKUP(Table3[[#This Row],[Cuenta]],Estructura_Balance[Nombre Cuenta ()],Estructura_Balance[Nivel 3],"",0)</f>
        <v/>
      </c>
      <c r="Q1263" t="str">
        <f>_xlfn.XLOOKUP(Table3[[#This Row],[Cuenta]],Estructura_Balance[Nombre Cuenta ()],Estructura_Balance[Nivel 4],"",0)</f>
        <v/>
      </c>
      <c r="R1263" t="str">
        <f>_xlfn.XLOOKUP(Table3[[#This Row],[Cuenta]],Table8[Nombre Cuenta ()],Table8[Nivel 1],"",0)</f>
        <v/>
      </c>
      <c r="S1263" t="str">
        <f>_xlfn.XLOOKUP(Table3[[#This Row],[Cuenta]],Table8[Nombre Cuenta ()],Table8[Nivel 2],"",0)</f>
        <v/>
      </c>
      <c r="T1263" t="str">
        <f>_xlfn.XLOOKUP(Table3[[#This Row],[Cuenta]],Table8[Nombre Cuenta ()],Table8[Nivel 3],"",0)</f>
        <v/>
      </c>
      <c r="U1263">
        <v>135</v>
      </c>
      <c r="V1263" t="str">
        <f>_xlfn.XLOOKUP(Table3[[#This Row],[Cuenta]],Estructura_Balance[Nombre Cuenta ()],Estructura_Balance[Niveles:2],"",0)</f>
        <v/>
      </c>
      <c r="W1263" t="str">
        <f>_xlfn.XLOOKUP(Table3[[#This Row],[Cuenta]],Estructura_Balance[Nombre Cuenta ()],Estructura_Balance[Niveles:3],"",0)</f>
        <v/>
      </c>
      <c r="X1263" t="str">
        <f>_xlfn.XLOOKUP(Table3[[#This Row],[Cuenta]],Estructura_Balance[Nombre Cuenta ()],Estructura_Balance[Grupos],"Grupo 1",0)</f>
        <v>Grupo 1</v>
      </c>
      <c r="Y1263" t="str">
        <f>+Table3[[#This Row],[BS_Nivel_1]]</f>
        <v/>
      </c>
    </row>
    <row r="1264" spans="1:25" ht="15" customHeight="1">
      <c r="A1264">
        <f>+'Libro Diario'!F684</f>
        <v>80</v>
      </c>
      <c r="B1264" s="144">
        <f>VALUE(IF(+'Libro Diario'!G684="","01/01/2025",+'Libro Diario'!G684))</f>
        <v>0</v>
      </c>
      <c r="C1264">
        <f>IF(ISNUMBER(+IF(IFERROR(VALUE(MID('Libro Diario'!D684,1,4)),0)&lt;&gt;0,'Libro Diario'!D684,0))=FALSE,'Libro Diario'!D684,0)</f>
        <v>0</v>
      </c>
      <c r="D1264" s="145">
        <f>+'Libro Diario'!E684</f>
        <v>0</v>
      </c>
      <c r="E1264" s="139" t="s">
        <v>446</v>
      </c>
      <c r="F1264" t="str">
        <f t="shared" si="57"/>
        <v>Sin Mov.</v>
      </c>
      <c r="G1264" t="str">
        <f>IF(+'Libro Diario'!H684=0,"",+'Libro Diario'!H684)</f>
        <v/>
      </c>
      <c r="H1264" t="str">
        <f>IF(+'Libro Diario'!I684=0,"",+'Libro Diario'!I684)</f>
        <v/>
      </c>
      <c r="I1264" t="str">
        <f>+IF(Table3[[#This Row],[Tipo Movimiento]]="Estructura Balance y PyG","Excluir","Incluir")</f>
        <v>Incluir</v>
      </c>
      <c r="J1264" s="153">
        <f>+IF(Table3[[#This Row],[Sin cuenta]]="Con Mov.",(IF(Table3[[#This Row],[Movimiento]]="Debe",Table3[[#This Row],[Importe]],IF(Table3[[#This Row],[Movimiento]]="Haber",Table3[[#This Row],[Importe]]*-1,0))),0)</f>
        <v>0</v>
      </c>
      <c r="K1264" s="145" t="str">
        <f t="shared" si="58"/>
        <v/>
      </c>
      <c r="L1264" s="145">
        <f t="shared" si="59"/>
        <v>0</v>
      </c>
      <c r="M1264" t="str">
        <f>_xlfn.XLOOKUP(Table3[[#This Row],[Cuenta]],Estructura_Balance[Nombre Cuenta ()],Estructura_Balance[Grupo],"",0)</f>
        <v/>
      </c>
      <c r="N1264" t="str">
        <f>_xlfn.XLOOKUP(Table3[[#This Row],[Cuenta]],Estructura_Balance[Nombre Cuenta ()],Estructura_Balance[Nivel 1],"",0)</f>
        <v/>
      </c>
      <c r="O1264" t="str">
        <f>_xlfn.XLOOKUP(Table3[[#This Row],[Cuenta]],Estructura_Balance[Nombre Cuenta ()],Estructura_Balance[Nivel 2],"",0)</f>
        <v/>
      </c>
      <c r="P1264" t="str">
        <f>_xlfn.XLOOKUP(Table3[[#This Row],[Cuenta]],Estructura_Balance[Nombre Cuenta ()],Estructura_Balance[Nivel 3],"",0)</f>
        <v/>
      </c>
      <c r="Q1264" t="str">
        <f>_xlfn.XLOOKUP(Table3[[#This Row],[Cuenta]],Estructura_Balance[Nombre Cuenta ()],Estructura_Balance[Nivel 4],"",0)</f>
        <v/>
      </c>
      <c r="R1264" t="str">
        <f>_xlfn.XLOOKUP(Table3[[#This Row],[Cuenta]],Table8[Nombre Cuenta ()],Table8[Nivel 1],"",0)</f>
        <v/>
      </c>
      <c r="S1264" t="str">
        <f>_xlfn.XLOOKUP(Table3[[#This Row],[Cuenta]],Table8[Nombre Cuenta ()],Table8[Nivel 2],"",0)</f>
        <v/>
      </c>
      <c r="T1264" t="str">
        <f>_xlfn.XLOOKUP(Table3[[#This Row],[Cuenta]],Table8[Nombre Cuenta ()],Table8[Nivel 3],"",0)</f>
        <v/>
      </c>
      <c r="U1264">
        <v>136</v>
      </c>
      <c r="V1264" t="str">
        <f>_xlfn.XLOOKUP(Table3[[#This Row],[Cuenta]],Estructura_Balance[Nombre Cuenta ()],Estructura_Balance[Niveles:2],"",0)</f>
        <v/>
      </c>
      <c r="W1264" t="str">
        <f>_xlfn.XLOOKUP(Table3[[#This Row],[Cuenta]],Estructura_Balance[Nombre Cuenta ()],Estructura_Balance[Niveles:3],"",0)</f>
        <v/>
      </c>
      <c r="X1264" t="str">
        <f>_xlfn.XLOOKUP(Table3[[#This Row],[Cuenta]],Estructura_Balance[Nombre Cuenta ()],Estructura_Balance[Grupos],"Grupo 1",0)</f>
        <v>Grupo 1</v>
      </c>
      <c r="Y1264" t="str">
        <f>+Table3[[#This Row],[BS_Nivel_1]]</f>
        <v/>
      </c>
    </row>
    <row r="1265" spans="1:25" ht="15" customHeight="1">
      <c r="A1265">
        <f>+'Libro Diario'!F685</f>
        <v>0</v>
      </c>
      <c r="B1265" s="144">
        <f>VALUE(IF(+'Libro Diario'!G685="","01/01/2025",+'Libro Diario'!G685))</f>
        <v>45658</v>
      </c>
      <c r="C1265">
        <f>IF(ISNUMBER(+IF(IFERROR(VALUE(MID('Libro Diario'!D685,1,4)),0)&lt;&gt;0,'Libro Diario'!D685,0))=FALSE,'Libro Diario'!D685,0)</f>
        <v>0</v>
      </c>
      <c r="D1265" s="145">
        <f>+'Libro Diario'!E685</f>
        <v>0</v>
      </c>
      <c r="E1265" s="139" t="s">
        <v>446</v>
      </c>
      <c r="F1265" t="str">
        <f t="shared" si="57"/>
        <v>Sin Mov.</v>
      </c>
      <c r="G1265" t="str">
        <f>IF(+'Libro Diario'!H685=0,"",+'Libro Diario'!H685)</f>
        <v/>
      </c>
      <c r="H1265" t="str">
        <f>IF(+'Libro Diario'!I685=0,"",+'Libro Diario'!I685)</f>
        <v/>
      </c>
      <c r="I1265" t="str">
        <f>+IF(Table3[[#This Row],[Tipo Movimiento]]="Estructura Balance y PyG","Excluir","Incluir")</f>
        <v>Incluir</v>
      </c>
      <c r="J1265" s="153">
        <f>+IF(Table3[[#This Row],[Sin cuenta]]="Con Mov.",(IF(Table3[[#This Row],[Movimiento]]="Debe",Table3[[#This Row],[Importe]],IF(Table3[[#This Row],[Movimiento]]="Haber",Table3[[#This Row],[Importe]]*-1,0))),0)</f>
        <v>0</v>
      </c>
      <c r="K1265" s="145" t="str">
        <f t="shared" si="58"/>
        <v/>
      </c>
      <c r="L1265" s="145">
        <f t="shared" si="59"/>
        <v>0</v>
      </c>
      <c r="M1265" t="str">
        <f>_xlfn.XLOOKUP(Table3[[#This Row],[Cuenta]],Estructura_Balance[Nombre Cuenta ()],Estructura_Balance[Grupo],"",0)</f>
        <v/>
      </c>
      <c r="N1265" t="str">
        <f>_xlfn.XLOOKUP(Table3[[#This Row],[Cuenta]],Estructura_Balance[Nombre Cuenta ()],Estructura_Balance[Nivel 1],"",0)</f>
        <v/>
      </c>
      <c r="O1265" t="str">
        <f>_xlfn.XLOOKUP(Table3[[#This Row],[Cuenta]],Estructura_Balance[Nombre Cuenta ()],Estructura_Balance[Nivel 2],"",0)</f>
        <v/>
      </c>
      <c r="P1265" t="str">
        <f>_xlfn.XLOOKUP(Table3[[#This Row],[Cuenta]],Estructura_Balance[Nombre Cuenta ()],Estructura_Balance[Nivel 3],"",0)</f>
        <v/>
      </c>
      <c r="Q1265" t="str">
        <f>_xlfn.XLOOKUP(Table3[[#This Row],[Cuenta]],Estructura_Balance[Nombre Cuenta ()],Estructura_Balance[Nivel 4],"",0)</f>
        <v/>
      </c>
      <c r="R1265" t="str">
        <f>_xlfn.XLOOKUP(Table3[[#This Row],[Cuenta]],Table8[Nombre Cuenta ()],Table8[Nivel 1],"",0)</f>
        <v/>
      </c>
      <c r="S1265" t="str">
        <f>_xlfn.XLOOKUP(Table3[[#This Row],[Cuenta]],Table8[Nombre Cuenta ()],Table8[Nivel 2],"",0)</f>
        <v/>
      </c>
      <c r="T1265" t="str">
        <f>_xlfn.XLOOKUP(Table3[[#This Row],[Cuenta]],Table8[Nombre Cuenta ()],Table8[Nivel 3],"",0)</f>
        <v/>
      </c>
      <c r="U1265">
        <v>1133</v>
      </c>
      <c r="V1265" t="str">
        <f>_xlfn.XLOOKUP(Table3[[#This Row],[Cuenta]],Estructura_Balance[Nombre Cuenta ()],Estructura_Balance[Niveles:2],"",0)</f>
        <v/>
      </c>
      <c r="W1265" t="str">
        <f>_xlfn.XLOOKUP(Table3[[#This Row],[Cuenta]],Estructura_Balance[Nombre Cuenta ()],Estructura_Balance[Niveles:3],"",0)</f>
        <v/>
      </c>
      <c r="X1265" t="str">
        <f>_xlfn.XLOOKUP(Table3[[#This Row],[Cuenta]],Estructura_Balance[Nombre Cuenta ()],Estructura_Balance[Grupos],"Grupo 1",0)</f>
        <v>Grupo 1</v>
      </c>
      <c r="Y1265" t="str">
        <f>+Table3[[#This Row],[BS_Nivel_1]]</f>
        <v/>
      </c>
    </row>
    <row r="1266" spans="1:25" ht="15" customHeight="1">
      <c r="A1266">
        <f>+'Libro Diario'!F686</f>
        <v>0</v>
      </c>
      <c r="B1266" s="144">
        <f>VALUE(IF(+'Libro Diario'!G686="","01/01/2025",+'Libro Diario'!G686))</f>
        <v>45658</v>
      </c>
      <c r="C1266">
        <f>IF(ISNUMBER(+IF(IFERROR(VALUE(MID('Libro Diario'!D686,1,4)),0)&lt;&gt;0,'Libro Diario'!D686,0))=FALSE,'Libro Diario'!D686,0)</f>
        <v>0</v>
      </c>
      <c r="D1266" s="145">
        <f>+'Libro Diario'!E686</f>
        <v>0</v>
      </c>
      <c r="E1266" s="139" t="s">
        <v>446</v>
      </c>
      <c r="F1266" t="str">
        <f t="shared" si="57"/>
        <v>Sin Mov.</v>
      </c>
      <c r="G1266" t="str">
        <f>IF(+'Libro Diario'!H686=0,"",+'Libro Diario'!H686)</f>
        <v/>
      </c>
      <c r="H1266" t="str">
        <f>IF(+'Libro Diario'!I686=0,"",+'Libro Diario'!I686)</f>
        <v/>
      </c>
      <c r="I1266" t="str">
        <f>+IF(Table3[[#This Row],[Tipo Movimiento]]="Estructura Balance y PyG","Excluir","Incluir")</f>
        <v>Incluir</v>
      </c>
      <c r="J1266" s="153">
        <f>+IF(Table3[[#This Row],[Sin cuenta]]="Con Mov.",(IF(Table3[[#This Row],[Movimiento]]="Debe",Table3[[#This Row],[Importe]],IF(Table3[[#This Row],[Movimiento]]="Haber",Table3[[#This Row],[Importe]]*-1,0))),0)</f>
        <v>0</v>
      </c>
      <c r="K1266" s="145" t="str">
        <f t="shared" si="58"/>
        <v/>
      </c>
      <c r="L1266" s="145">
        <f t="shared" si="59"/>
        <v>0</v>
      </c>
      <c r="M1266" t="str">
        <f>_xlfn.XLOOKUP(Table3[[#This Row],[Cuenta]],Estructura_Balance[Nombre Cuenta ()],Estructura_Balance[Grupo],"",0)</f>
        <v/>
      </c>
      <c r="N1266" t="str">
        <f>_xlfn.XLOOKUP(Table3[[#This Row],[Cuenta]],Estructura_Balance[Nombre Cuenta ()],Estructura_Balance[Nivel 1],"",0)</f>
        <v/>
      </c>
      <c r="O1266" t="str">
        <f>_xlfn.XLOOKUP(Table3[[#This Row],[Cuenta]],Estructura_Balance[Nombre Cuenta ()],Estructura_Balance[Nivel 2],"",0)</f>
        <v/>
      </c>
      <c r="P1266" t="str">
        <f>_xlfn.XLOOKUP(Table3[[#This Row],[Cuenta]],Estructura_Balance[Nombre Cuenta ()],Estructura_Balance[Nivel 3],"",0)</f>
        <v/>
      </c>
      <c r="Q1266" t="str">
        <f>_xlfn.XLOOKUP(Table3[[#This Row],[Cuenta]],Estructura_Balance[Nombre Cuenta ()],Estructura_Balance[Nivel 4],"",0)</f>
        <v/>
      </c>
      <c r="R1266" t="str">
        <f>_xlfn.XLOOKUP(Table3[[#This Row],[Cuenta]],Table8[Nombre Cuenta ()],Table8[Nivel 1],"",0)</f>
        <v/>
      </c>
      <c r="S1266" t="str">
        <f>_xlfn.XLOOKUP(Table3[[#This Row],[Cuenta]],Table8[Nombre Cuenta ()],Table8[Nivel 2],"",0)</f>
        <v/>
      </c>
      <c r="T1266" t="str">
        <f>_xlfn.XLOOKUP(Table3[[#This Row],[Cuenta]],Table8[Nombre Cuenta ()],Table8[Nivel 3],"",0)</f>
        <v/>
      </c>
      <c r="U1266">
        <v>1134</v>
      </c>
      <c r="V1266" t="str">
        <f>_xlfn.XLOOKUP(Table3[[#This Row],[Cuenta]],Estructura_Balance[Nombre Cuenta ()],Estructura_Balance[Niveles:2],"",0)</f>
        <v/>
      </c>
      <c r="W1266" t="str">
        <f>_xlfn.XLOOKUP(Table3[[#This Row],[Cuenta]],Estructura_Balance[Nombre Cuenta ()],Estructura_Balance[Niveles:3],"",0)</f>
        <v/>
      </c>
      <c r="X1266" t="str">
        <f>_xlfn.XLOOKUP(Table3[[#This Row],[Cuenta]],Estructura_Balance[Nombre Cuenta ()],Estructura_Balance[Grupos],"Grupo 1",0)</f>
        <v>Grupo 1</v>
      </c>
      <c r="Y1266" t="str">
        <f>+Table3[[#This Row],[BS_Nivel_1]]</f>
        <v/>
      </c>
    </row>
    <row r="1267" spans="1:25" ht="15" customHeight="1">
      <c r="A1267">
        <f>+'Libro Diario'!F687</f>
        <v>0</v>
      </c>
      <c r="B1267" s="144">
        <f>VALUE(IF(+'Libro Diario'!G687="","01/01/2025",+'Libro Diario'!G687))</f>
        <v>45658</v>
      </c>
      <c r="C1267">
        <f>IF(ISNUMBER(+IF(IFERROR(VALUE(MID('Libro Diario'!D687,1,4)),0)&lt;&gt;0,'Libro Diario'!D687,0))=FALSE,'Libro Diario'!D687,0)</f>
        <v>0</v>
      </c>
      <c r="D1267" s="145">
        <f>+'Libro Diario'!E687</f>
        <v>0</v>
      </c>
      <c r="E1267" s="139" t="s">
        <v>446</v>
      </c>
      <c r="F1267" t="str">
        <f t="shared" si="57"/>
        <v>Sin Mov.</v>
      </c>
      <c r="G1267" t="str">
        <f>IF(+'Libro Diario'!H687=0,"",+'Libro Diario'!H687)</f>
        <v/>
      </c>
      <c r="H1267" t="str">
        <f>IF(+'Libro Diario'!I687=0,"",+'Libro Diario'!I687)</f>
        <v/>
      </c>
      <c r="I1267" t="str">
        <f>+IF(Table3[[#This Row],[Tipo Movimiento]]="Estructura Balance y PyG","Excluir","Incluir")</f>
        <v>Incluir</v>
      </c>
      <c r="J1267" s="153">
        <f>+IF(Table3[[#This Row],[Sin cuenta]]="Con Mov.",(IF(Table3[[#This Row],[Movimiento]]="Debe",Table3[[#This Row],[Importe]],IF(Table3[[#This Row],[Movimiento]]="Haber",Table3[[#This Row],[Importe]]*-1,0))),0)</f>
        <v>0</v>
      </c>
      <c r="K1267" s="145" t="str">
        <f t="shared" si="58"/>
        <v/>
      </c>
      <c r="L1267" s="145">
        <f t="shared" si="59"/>
        <v>0</v>
      </c>
      <c r="M1267" t="str">
        <f>_xlfn.XLOOKUP(Table3[[#This Row],[Cuenta]],Estructura_Balance[Nombre Cuenta ()],Estructura_Balance[Grupo],"",0)</f>
        <v/>
      </c>
      <c r="N1267" t="str">
        <f>_xlfn.XLOOKUP(Table3[[#This Row],[Cuenta]],Estructura_Balance[Nombre Cuenta ()],Estructura_Balance[Nivel 1],"",0)</f>
        <v/>
      </c>
      <c r="O1267" t="str">
        <f>_xlfn.XLOOKUP(Table3[[#This Row],[Cuenta]],Estructura_Balance[Nombre Cuenta ()],Estructura_Balance[Nivel 2],"",0)</f>
        <v/>
      </c>
      <c r="P1267" t="str">
        <f>_xlfn.XLOOKUP(Table3[[#This Row],[Cuenta]],Estructura_Balance[Nombre Cuenta ()],Estructura_Balance[Nivel 3],"",0)</f>
        <v/>
      </c>
      <c r="Q1267" t="str">
        <f>_xlfn.XLOOKUP(Table3[[#This Row],[Cuenta]],Estructura_Balance[Nombre Cuenta ()],Estructura_Balance[Nivel 4],"",0)</f>
        <v/>
      </c>
      <c r="R1267" t="str">
        <f>_xlfn.XLOOKUP(Table3[[#This Row],[Cuenta]],Table8[Nombre Cuenta ()],Table8[Nivel 1],"",0)</f>
        <v/>
      </c>
      <c r="S1267" t="str">
        <f>_xlfn.XLOOKUP(Table3[[#This Row],[Cuenta]],Table8[Nombre Cuenta ()],Table8[Nivel 2],"",0)</f>
        <v/>
      </c>
      <c r="T1267" t="str">
        <f>_xlfn.XLOOKUP(Table3[[#This Row],[Cuenta]],Table8[Nombre Cuenta ()],Table8[Nivel 3],"",0)</f>
        <v/>
      </c>
      <c r="U1267">
        <v>142</v>
      </c>
      <c r="V1267" t="str">
        <f>_xlfn.XLOOKUP(Table3[[#This Row],[Cuenta]],Estructura_Balance[Nombre Cuenta ()],Estructura_Balance[Niveles:2],"",0)</f>
        <v/>
      </c>
      <c r="W1267" t="str">
        <f>_xlfn.XLOOKUP(Table3[[#This Row],[Cuenta]],Estructura_Balance[Nombre Cuenta ()],Estructura_Balance[Niveles:3],"",0)</f>
        <v/>
      </c>
      <c r="X1267" t="str">
        <f>_xlfn.XLOOKUP(Table3[[#This Row],[Cuenta]],Estructura_Balance[Nombre Cuenta ()],Estructura_Balance[Grupos],"Grupo 1",0)</f>
        <v>Grupo 1</v>
      </c>
      <c r="Y1267" t="str">
        <f>+Table3[[#This Row],[BS_Nivel_1]]</f>
        <v/>
      </c>
    </row>
    <row r="1268" spans="1:25" ht="15" customHeight="1">
      <c r="A1268">
        <f>+'Libro Diario'!F688</f>
        <v>0</v>
      </c>
      <c r="B1268" s="144">
        <f>VALUE(IF(+'Libro Diario'!G688="","01/01/2025",+'Libro Diario'!G688))</f>
        <v>45658</v>
      </c>
      <c r="C1268">
        <f>IF(ISNUMBER(+IF(IFERROR(VALUE(MID('Libro Diario'!D688,1,4)),0)&lt;&gt;0,'Libro Diario'!D688,0))=FALSE,'Libro Diario'!D688,0)</f>
        <v>0</v>
      </c>
      <c r="D1268" s="145" t="str">
        <f>+'Libro Diario'!E688</f>
        <v>HABER</v>
      </c>
      <c r="E1268" s="139" t="s">
        <v>446</v>
      </c>
      <c r="F1268" t="str">
        <f t="shared" si="57"/>
        <v>Sin Mov.</v>
      </c>
      <c r="G1268" t="str">
        <f>IF(+'Libro Diario'!H688=0,"",+'Libro Diario'!H688)</f>
        <v/>
      </c>
      <c r="H1268" t="str">
        <f>IF(+'Libro Diario'!I688=0,"",+'Libro Diario'!I688)</f>
        <v/>
      </c>
      <c r="I1268" t="str">
        <f>+IF(Table3[[#This Row],[Tipo Movimiento]]="Estructura Balance y PyG","Excluir","Incluir")</f>
        <v>Incluir</v>
      </c>
      <c r="J1268" s="153">
        <f>+IF(Table3[[#This Row],[Sin cuenta]]="Con Mov.",(IF(Table3[[#This Row],[Movimiento]]="Debe",Table3[[#This Row],[Importe]],IF(Table3[[#This Row],[Movimiento]]="Haber",Table3[[#This Row],[Importe]]*-1,0))),0)</f>
        <v>0</v>
      </c>
      <c r="K1268" s="145" t="str">
        <f t="shared" si="58"/>
        <v/>
      </c>
      <c r="L1268" s="145" t="str">
        <f t="shared" si="59"/>
        <v>HABER</v>
      </c>
      <c r="M1268" t="str">
        <f>_xlfn.XLOOKUP(Table3[[#This Row],[Cuenta]],Estructura_Balance[Nombre Cuenta ()],Estructura_Balance[Grupo],"",0)</f>
        <v/>
      </c>
      <c r="N1268" t="str">
        <f>_xlfn.XLOOKUP(Table3[[#This Row],[Cuenta]],Estructura_Balance[Nombre Cuenta ()],Estructura_Balance[Nivel 1],"",0)</f>
        <v/>
      </c>
      <c r="O1268" t="str">
        <f>_xlfn.XLOOKUP(Table3[[#This Row],[Cuenta]],Estructura_Balance[Nombre Cuenta ()],Estructura_Balance[Nivel 2],"",0)</f>
        <v/>
      </c>
      <c r="P1268" t="str">
        <f>_xlfn.XLOOKUP(Table3[[#This Row],[Cuenta]],Estructura_Balance[Nombre Cuenta ()],Estructura_Balance[Nivel 3],"",0)</f>
        <v/>
      </c>
      <c r="Q1268" t="str">
        <f>_xlfn.XLOOKUP(Table3[[#This Row],[Cuenta]],Estructura_Balance[Nombre Cuenta ()],Estructura_Balance[Nivel 4],"",0)</f>
        <v/>
      </c>
      <c r="R1268" t="str">
        <f>_xlfn.XLOOKUP(Table3[[#This Row],[Cuenta]],Table8[Nombre Cuenta ()],Table8[Nivel 1],"",0)</f>
        <v/>
      </c>
      <c r="S1268" t="str">
        <f>_xlfn.XLOOKUP(Table3[[#This Row],[Cuenta]],Table8[Nombre Cuenta ()],Table8[Nivel 2],"",0)</f>
        <v/>
      </c>
      <c r="T1268" t="str">
        <f>_xlfn.XLOOKUP(Table3[[#This Row],[Cuenta]],Table8[Nombre Cuenta ()],Table8[Nivel 3],"",0)</f>
        <v/>
      </c>
      <c r="U1268">
        <v>143</v>
      </c>
      <c r="V1268" t="str">
        <f>_xlfn.XLOOKUP(Table3[[#This Row],[Cuenta]],Estructura_Balance[Nombre Cuenta ()],Estructura_Balance[Niveles:2],"",0)</f>
        <v/>
      </c>
      <c r="W1268" t="str">
        <f>_xlfn.XLOOKUP(Table3[[#This Row],[Cuenta]],Estructura_Balance[Nombre Cuenta ()],Estructura_Balance[Niveles:3],"",0)</f>
        <v/>
      </c>
      <c r="X1268" t="str">
        <f>_xlfn.XLOOKUP(Table3[[#This Row],[Cuenta]],Estructura_Balance[Nombre Cuenta ()],Estructura_Balance[Grupos],"Grupo 1",0)</f>
        <v>Grupo 1</v>
      </c>
      <c r="Y1268" t="str">
        <f>+Table3[[#This Row],[BS_Nivel_1]]</f>
        <v/>
      </c>
    </row>
    <row r="1269" spans="1:25" ht="15" customHeight="1">
      <c r="A1269">
        <f>+'Libro Diario'!F689</f>
        <v>0</v>
      </c>
      <c r="B1269" s="144">
        <f>VALUE(IF(+'Libro Diario'!G689="","01/01/2025",+'Libro Diario'!G689))</f>
        <v>45658</v>
      </c>
      <c r="C1269">
        <f>IF(ISNUMBER(+IF(IFERROR(VALUE(MID('Libro Diario'!D689,1,4)),0)&lt;&gt;0,'Libro Diario'!D689,0))=FALSE,'Libro Diario'!D689,0)</f>
        <v>0</v>
      </c>
      <c r="D1269" s="145">
        <f>+'Libro Diario'!E689</f>
        <v>0</v>
      </c>
      <c r="E1269" s="139" t="s">
        <v>446</v>
      </c>
      <c r="F1269" t="str">
        <f t="shared" si="57"/>
        <v>Sin Mov.</v>
      </c>
      <c r="G1269" t="str">
        <f>IF(+'Libro Diario'!H689=0,"",+'Libro Diario'!H689)</f>
        <v/>
      </c>
      <c r="H1269" t="str">
        <f>IF(+'Libro Diario'!I689=0,"",+'Libro Diario'!I689)</f>
        <v/>
      </c>
      <c r="I1269" t="str">
        <f>+IF(Table3[[#This Row],[Tipo Movimiento]]="Estructura Balance y PyG","Excluir","Incluir")</f>
        <v>Incluir</v>
      </c>
      <c r="J1269" s="153">
        <f>+IF(Table3[[#This Row],[Sin cuenta]]="Con Mov.",(IF(Table3[[#This Row],[Movimiento]]="Debe",Table3[[#This Row],[Importe]],IF(Table3[[#This Row],[Movimiento]]="Haber",Table3[[#This Row],[Importe]]*-1,0))),0)</f>
        <v>0</v>
      </c>
      <c r="K1269" s="145" t="str">
        <f t="shared" si="58"/>
        <v/>
      </c>
      <c r="L1269" s="145">
        <f t="shared" si="59"/>
        <v>0</v>
      </c>
      <c r="M1269" t="str">
        <f>_xlfn.XLOOKUP(Table3[[#This Row],[Cuenta]],Estructura_Balance[Nombre Cuenta ()],Estructura_Balance[Grupo],"",0)</f>
        <v/>
      </c>
      <c r="N1269" t="str">
        <f>_xlfn.XLOOKUP(Table3[[#This Row],[Cuenta]],Estructura_Balance[Nombre Cuenta ()],Estructura_Balance[Nivel 1],"",0)</f>
        <v/>
      </c>
      <c r="O1269" t="str">
        <f>_xlfn.XLOOKUP(Table3[[#This Row],[Cuenta]],Estructura_Balance[Nombre Cuenta ()],Estructura_Balance[Nivel 2],"",0)</f>
        <v/>
      </c>
      <c r="P1269" t="str">
        <f>_xlfn.XLOOKUP(Table3[[#This Row],[Cuenta]],Estructura_Balance[Nombre Cuenta ()],Estructura_Balance[Nivel 3],"",0)</f>
        <v/>
      </c>
      <c r="Q1269" t="str">
        <f>_xlfn.XLOOKUP(Table3[[#This Row],[Cuenta]],Estructura_Balance[Nombre Cuenta ()],Estructura_Balance[Nivel 4],"",0)</f>
        <v/>
      </c>
      <c r="R1269" t="str">
        <f>_xlfn.XLOOKUP(Table3[[#This Row],[Cuenta]],Table8[Nombre Cuenta ()],Table8[Nivel 1],"",0)</f>
        <v/>
      </c>
      <c r="S1269" t="str">
        <f>_xlfn.XLOOKUP(Table3[[#This Row],[Cuenta]],Table8[Nombre Cuenta ()],Table8[Nivel 2],"",0)</f>
        <v/>
      </c>
      <c r="T1269" t="str">
        <f>_xlfn.XLOOKUP(Table3[[#This Row],[Cuenta]],Table8[Nombre Cuenta ()],Table8[Nivel 3],"",0)</f>
        <v/>
      </c>
      <c r="U1269">
        <v>1140</v>
      </c>
      <c r="V1269" t="str">
        <f>_xlfn.XLOOKUP(Table3[[#This Row],[Cuenta]],Estructura_Balance[Nombre Cuenta ()],Estructura_Balance[Niveles:2],"",0)</f>
        <v/>
      </c>
      <c r="W1269" t="str">
        <f>_xlfn.XLOOKUP(Table3[[#This Row],[Cuenta]],Estructura_Balance[Nombre Cuenta ()],Estructura_Balance[Niveles:3],"",0)</f>
        <v/>
      </c>
      <c r="X1269" t="str">
        <f>_xlfn.XLOOKUP(Table3[[#This Row],[Cuenta]],Estructura_Balance[Nombre Cuenta ()],Estructura_Balance[Grupos],"Grupo 1",0)</f>
        <v>Grupo 1</v>
      </c>
      <c r="Y1269" t="str">
        <f>+Table3[[#This Row],[BS_Nivel_1]]</f>
        <v/>
      </c>
    </row>
    <row r="1270" spans="1:25" ht="15" customHeight="1">
      <c r="A1270">
        <f>+'Libro Diario'!F690</f>
        <v>81</v>
      </c>
      <c r="B1270" s="144">
        <f>VALUE(IF(+'Libro Diario'!G690="","01/01/2025",+'Libro Diario'!G690))</f>
        <v>0</v>
      </c>
      <c r="C1270">
        <f>IF(ISNUMBER(+IF(IFERROR(VALUE(MID('Libro Diario'!D690,1,4)),0)&lt;&gt;0,'Libro Diario'!D690,0))=FALSE,'Libro Diario'!D690,0)</f>
        <v>0</v>
      </c>
      <c r="D1270" s="145">
        <f>+'Libro Diario'!E690</f>
        <v>0</v>
      </c>
      <c r="E1270" s="139" t="s">
        <v>446</v>
      </c>
      <c r="F1270" t="str">
        <f t="shared" si="57"/>
        <v>Sin Mov.</v>
      </c>
      <c r="G1270" t="str">
        <f>IF(+'Libro Diario'!H690=0,"",+'Libro Diario'!H690)</f>
        <v/>
      </c>
      <c r="H1270" t="str">
        <f>IF(+'Libro Diario'!I690=0,"",+'Libro Diario'!I690)</f>
        <v/>
      </c>
      <c r="I1270" t="str">
        <f>+IF(Table3[[#This Row],[Tipo Movimiento]]="Estructura Balance y PyG","Excluir","Incluir")</f>
        <v>Incluir</v>
      </c>
      <c r="J1270" s="153">
        <f>+IF(Table3[[#This Row],[Sin cuenta]]="Con Mov.",(IF(Table3[[#This Row],[Movimiento]]="Debe",Table3[[#This Row],[Importe]],IF(Table3[[#This Row],[Movimiento]]="Haber",Table3[[#This Row],[Importe]]*-1,0))),0)</f>
        <v>0</v>
      </c>
      <c r="K1270" s="145" t="str">
        <f t="shared" si="58"/>
        <v/>
      </c>
      <c r="L1270" s="145">
        <f t="shared" si="59"/>
        <v>0</v>
      </c>
      <c r="M1270" t="str">
        <f>_xlfn.XLOOKUP(Table3[[#This Row],[Cuenta]],Estructura_Balance[Nombre Cuenta ()],Estructura_Balance[Grupo],"",0)</f>
        <v/>
      </c>
      <c r="N1270" t="str">
        <f>_xlfn.XLOOKUP(Table3[[#This Row],[Cuenta]],Estructura_Balance[Nombre Cuenta ()],Estructura_Balance[Nivel 1],"",0)</f>
        <v/>
      </c>
      <c r="O1270" t="str">
        <f>_xlfn.XLOOKUP(Table3[[#This Row],[Cuenta]],Estructura_Balance[Nombre Cuenta ()],Estructura_Balance[Nivel 2],"",0)</f>
        <v/>
      </c>
      <c r="P1270" t="str">
        <f>_xlfn.XLOOKUP(Table3[[#This Row],[Cuenta]],Estructura_Balance[Nombre Cuenta ()],Estructura_Balance[Nivel 3],"",0)</f>
        <v/>
      </c>
      <c r="Q1270" t="str">
        <f>_xlfn.XLOOKUP(Table3[[#This Row],[Cuenta]],Estructura_Balance[Nombre Cuenta ()],Estructura_Balance[Nivel 4],"",0)</f>
        <v/>
      </c>
      <c r="R1270" t="str">
        <f>_xlfn.XLOOKUP(Table3[[#This Row],[Cuenta]],Table8[Nombre Cuenta ()],Table8[Nivel 1],"",0)</f>
        <v/>
      </c>
      <c r="S1270" t="str">
        <f>_xlfn.XLOOKUP(Table3[[#This Row],[Cuenta]],Table8[Nombre Cuenta ()],Table8[Nivel 2],"",0)</f>
        <v/>
      </c>
      <c r="T1270" t="str">
        <f>_xlfn.XLOOKUP(Table3[[#This Row],[Cuenta]],Table8[Nombre Cuenta ()],Table8[Nivel 3],"",0)</f>
        <v/>
      </c>
      <c r="U1270">
        <v>1141</v>
      </c>
      <c r="V1270" t="str">
        <f>_xlfn.XLOOKUP(Table3[[#This Row],[Cuenta]],Estructura_Balance[Nombre Cuenta ()],Estructura_Balance[Niveles:2],"",0)</f>
        <v/>
      </c>
      <c r="W1270" t="str">
        <f>_xlfn.XLOOKUP(Table3[[#This Row],[Cuenta]],Estructura_Balance[Nombre Cuenta ()],Estructura_Balance[Niveles:3],"",0)</f>
        <v/>
      </c>
      <c r="X1270" t="str">
        <f>_xlfn.XLOOKUP(Table3[[#This Row],[Cuenta]],Estructura_Balance[Nombre Cuenta ()],Estructura_Balance[Grupos],"Grupo 1",0)</f>
        <v>Grupo 1</v>
      </c>
      <c r="Y1270" t="str">
        <f>+Table3[[#This Row],[BS_Nivel_1]]</f>
        <v/>
      </c>
    </row>
    <row r="1271" spans="1:25" ht="15" customHeight="1">
      <c r="A1271">
        <f>+'Libro Diario'!F691</f>
        <v>81</v>
      </c>
      <c r="B1271" s="144">
        <f>VALUE(IF(+'Libro Diario'!G691="","01/01/2025",+'Libro Diario'!G691))</f>
        <v>0</v>
      </c>
      <c r="C1271">
        <f>IF(ISNUMBER(+IF(IFERROR(VALUE(MID('Libro Diario'!D691,1,4)),0)&lt;&gt;0,'Libro Diario'!D691,0))=FALSE,'Libro Diario'!D691,0)</f>
        <v>0</v>
      </c>
      <c r="D1271" s="145">
        <f>+'Libro Diario'!E691</f>
        <v>0</v>
      </c>
      <c r="E1271" s="139" t="s">
        <v>446</v>
      </c>
      <c r="F1271" t="str">
        <f t="shared" si="57"/>
        <v>Sin Mov.</v>
      </c>
      <c r="G1271" t="str">
        <f>IF(+'Libro Diario'!H691=0,"",+'Libro Diario'!H691)</f>
        <v/>
      </c>
      <c r="H1271" t="str">
        <f>IF(+'Libro Diario'!I691=0,"",+'Libro Diario'!I691)</f>
        <v/>
      </c>
      <c r="I1271" t="str">
        <f>+IF(Table3[[#This Row],[Tipo Movimiento]]="Estructura Balance y PyG","Excluir","Incluir")</f>
        <v>Incluir</v>
      </c>
      <c r="J1271" s="153">
        <f>+IF(Table3[[#This Row],[Sin cuenta]]="Con Mov.",(IF(Table3[[#This Row],[Movimiento]]="Debe",Table3[[#This Row],[Importe]],IF(Table3[[#This Row],[Movimiento]]="Haber",Table3[[#This Row],[Importe]]*-1,0))),0)</f>
        <v>0</v>
      </c>
      <c r="K1271" s="145" t="str">
        <f t="shared" si="58"/>
        <v/>
      </c>
      <c r="L1271" s="145">
        <f t="shared" si="59"/>
        <v>0</v>
      </c>
      <c r="M1271" t="str">
        <f>_xlfn.XLOOKUP(Table3[[#This Row],[Cuenta]],Estructura_Balance[Nombre Cuenta ()],Estructura_Balance[Grupo],"",0)</f>
        <v/>
      </c>
      <c r="N1271" t="str">
        <f>_xlfn.XLOOKUP(Table3[[#This Row],[Cuenta]],Estructura_Balance[Nombre Cuenta ()],Estructura_Balance[Nivel 1],"",0)</f>
        <v/>
      </c>
      <c r="O1271" t="str">
        <f>_xlfn.XLOOKUP(Table3[[#This Row],[Cuenta]],Estructura_Balance[Nombre Cuenta ()],Estructura_Balance[Nivel 2],"",0)</f>
        <v/>
      </c>
      <c r="P1271" t="str">
        <f>_xlfn.XLOOKUP(Table3[[#This Row],[Cuenta]],Estructura_Balance[Nombre Cuenta ()],Estructura_Balance[Nivel 3],"",0)</f>
        <v/>
      </c>
      <c r="Q1271" t="str">
        <f>_xlfn.XLOOKUP(Table3[[#This Row],[Cuenta]],Estructura_Balance[Nombre Cuenta ()],Estructura_Balance[Nivel 4],"",0)</f>
        <v/>
      </c>
      <c r="R1271" t="str">
        <f>_xlfn.XLOOKUP(Table3[[#This Row],[Cuenta]],Table8[Nombre Cuenta ()],Table8[Nivel 1],"",0)</f>
        <v/>
      </c>
      <c r="S1271" t="str">
        <f>_xlfn.XLOOKUP(Table3[[#This Row],[Cuenta]],Table8[Nombre Cuenta ()],Table8[Nivel 2],"",0)</f>
        <v/>
      </c>
      <c r="T1271" t="str">
        <f>_xlfn.XLOOKUP(Table3[[#This Row],[Cuenta]],Table8[Nombre Cuenta ()],Table8[Nivel 3],"",0)</f>
        <v/>
      </c>
      <c r="U1271">
        <v>149</v>
      </c>
      <c r="V1271" t="str">
        <f>_xlfn.XLOOKUP(Table3[[#This Row],[Cuenta]],Estructura_Balance[Nombre Cuenta ()],Estructura_Balance[Niveles:2],"",0)</f>
        <v/>
      </c>
      <c r="W1271" t="str">
        <f>_xlfn.XLOOKUP(Table3[[#This Row],[Cuenta]],Estructura_Balance[Nombre Cuenta ()],Estructura_Balance[Niveles:3],"",0)</f>
        <v/>
      </c>
      <c r="X1271" t="str">
        <f>_xlfn.XLOOKUP(Table3[[#This Row],[Cuenta]],Estructura_Balance[Nombre Cuenta ()],Estructura_Balance[Grupos],"Grupo 1",0)</f>
        <v>Grupo 1</v>
      </c>
      <c r="Y1271" t="str">
        <f>+Table3[[#This Row],[BS_Nivel_1]]</f>
        <v/>
      </c>
    </row>
    <row r="1272" spans="1:25" ht="15" customHeight="1">
      <c r="A1272">
        <f>+'Libro Diario'!F692</f>
        <v>0</v>
      </c>
      <c r="B1272" s="144">
        <f>VALUE(IF(+'Libro Diario'!G692="","01/01/2025",+'Libro Diario'!G692))</f>
        <v>45658</v>
      </c>
      <c r="C1272">
        <f>IF(ISNUMBER(+IF(IFERROR(VALUE(MID('Libro Diario'!D692,1,4)),0)&lt;&gt;0,'Libro Diario'!D692,0))=FALSE,'Libro Diario'!D692,0)</f>
        <v>0</v>
      </c>
      <c r="D1272" s="145">
        <f>+'Libro Diario'!E692</f>
        <v>0</v>
      </c>
      <c r="E1272" s="139" t="s">
        <v>446</v>
      </c>
      <c r="F1272" t="str">
        <f t="shared" si="57"/>
        <v>Sin Mov.</v>
      </c>
      <c r="G1272" t="str">
        <f>IF(+'Libro Diario'!H692=0,"",+'Libro Diario'!H692)</f>
        <v/>
      </c>
      <c r="H1272" t="str">
        <f>IF(+'Libro Diario'!I692=0,"",+'Libro Diario'!I692)</f>
        <v/>
      </c>
      <c r="I1272" t="str">
        <f>+IF(Table3[[#This Row],[Tipo Movimiento]]="Estructura Balance y PyG","Excluir","Incluir")</f>
        <v>Incluir</v>
      </c>
      <c r="J1272" s="153">
        <f>+IF(Table3[[#This Row],[Sin cuenta]]="Con Mov.",(IF(Table3[[#This Row],[Movimiento]]="Debe",Table3[[#This Row],[Importe]],IF(Table3[[#This Row],[Movimiento]]="Haber",Table3[[#This Row],[Importe]]*-1,0))),0)</f>
        <v>0</v>
      </c>
      <c r="K1272" s="145" t="str">
        <f t="shared" si="58"/>
        <v/>
      </c>
      <c r="L1272" s="145">
        <f t="shared" si="59"/>
        <v>0</v>
      </c>
      <c r="M1272" t="str">
        <f>_xlfn.XLOOKUP(Table3[[#This Row],[Cuenta]],Estructura_Balance[Nombre Cuenta ()],Estructura_Balance[Grupo],"",0)</f>
        <v/>
      </c>
      <c r="N1272" t="str">
        <f>_xlfn.XLOOKUP(Table3[[#This Row],[Cuenta]],Estructura_Balance[Nombre Cuenta ()],Estructura_Balance[Nivel 1],"",0)</f>
        <v/>
      </c>
      <c r="O1272" t="str">
        <f>_xlfn.XLOOKUP(Table3[[#This Row],[Cuenta]],Estructura_Balance[Nombre Cuenta ()],Estructura_Balance[Nivel 2],"",0)</f>
        <v/>
      </c>
      <c r="P1272" t="str">
        <f>_xlfn.XLOOKUP(Table3[[#This Row],[Cuenta]],Estructura_Balance[Nombre Cuenta ()],Estructura_Balance[Nivel 3],"",0)</f>
        <v/>
      </c>
      <c r="Q1272" t="str">
        <f>_xlfn.XLOOKUP(Table3[[#This Row],[Cuenta]],Estructura_Balance[Nombre Cuenta ()],Estructura_Balance[Nivel 4],"",0)</f>
        <v/>
      </c>
      <c r="R1272" t="str">
        <f>_xlfn.XLOOKUP(Table3[[#This Row],[Cuenta]],Table8[Nombre Cuenta ()],Table8[Nivel 1],"",0)</f>
        <v/>
      </c>
      <c r="S1272" t="str">
        <f>_xlfn.XLOOKUP(Table3[[#This Row],[Cuenta]],Table8[Nombre Cuenta ()],Table8[Nivel 2],"",0)</f>
        <v/>
      </c>
      <c r="T1272" t="str">
        <f>_xlfn.XLOOKUP(Table3[[#This Row],[Cuenta]],Table8[Nombre Cuenta ()],Table8[Nivel 3],"",0)</f>
        <v/>
      </c>
      <c r="U1272">
        <v>150</v>
      </c>
      <c r="V1272" t="str">
        <f>_xlfn.XLOOKUP(Table3[[#This Row],[Cuenta]],Estructura_Balance[Nombre Cuenta ()],Estructura_Balance[Niveles:2],"",0)</f>
        <v/>
      </c>
      <c r="W1272" t="str">
        <f>_xlfn.XLOOKUP(Table3[[#This Row],[Cuenta]],Estructura_Balance[Nombre Cuenta ()],Estructura_Balance[Niveles:3],"",0)</f>
        <v/>
      </c>
      <c r="X1272" t="str">
        <f>_xlfn.XLOOKUP(Table3[[#This Row],[Cuenta]],Estructura_Balance[Nombre Cuenta ()],Estructura_Balance[Grupos],"Grupo 1",0)</f>
        <v>Grupo 1</v>
      </c>
      <c r="Y1272" t="str">
        <f>+Table3[[#This Row],[BS_Nivel_1]]</f>
        <v/>
      </c>
    </row>
    <row r="1273" spans="1:25" ht="15" customHeight="1">
      <c r="A1273">
        <f>+'Libro Diario'!F693</f>
        <v>0</v>
      </c>
      <c r="B1273" s="144">
        <f>VALUE(IF(+'Libro Diario'!G693="","01/01/2025",+'Libro Diario'!G693))</f>
        <v>45658</v>
      </c>
      <c r="C1273">
        <f>IF(ISNUMBER(+IF(IFERROR(VALUE(MID('Libro Diario'!D693,1,4)),0)&lt;&gt;0,'Libro Diario'!D693,0))=FALSE,'Libro Diario'!D693,0)</f>
        <v>0</v>
      </c>
      <c r="D1273" s="145">
        <f>+'Libro Diario'!E693</f>
        <v>0</v>
      </c>
      <c r="E1273" s="139" t="s">
        <v>446</v>
      </c>
      <c r="F1273" t="str">
        <f t="shared" si="57"/>
        <v>Sin Mov.</v>
      </c>
      <c r="G1273" t="str">
        <f>IF(+'Libro Diario'!H693=0,"",+'Libro Diario'!H693)</f>
        <v/>
      </c>
      <c r="H1273" t="str">
        <f>IF(+'Libro Diario'!I693=0,"",+'Libro Diario'!I693)</f>
        <v/>
      </c>
      <c r="I1273" t="str">
        <f>+IF(Table3[[#This Row],[Tipo Movimiento]]="Estructura Balance y PyG","Excluir","Incluir")</f>
        <v>Incluir</v>
      </c>
      <c r="J1273" s="153">
        <f>+IF(Table3[[#This Row],[Sin cuenta]]="Con Mov.",(IF(Table3[[#This Row],[Movimiento]]="Debe",Table3[[#This Row],[Importe]],IF(Table3[[#This Row],[Movimiento]]="Haber",Table3[[#This Row],[Importe]]*-1,0))),0)</f>
        <v>0</v>
      </c>
      <c r="K1273" s="145" t="str">
        <f t="shared" si="58"/>
        <v/>
      </c>
      <c r="L1273" s="145">
        <f t="shared" si="59"/>
        <v>0</v>
      </c>
      <c r="M1273" t="str">
        <f>_xlfn.XLOOKUP(Table3[[#This Row],[Cuenta]],Estructura_Balance[Nombre Cuenta ()],Estructura_Balance[Grupo],"",0)</f>
        <v/>
      </c>
      <c r="N1273" t="str">
        <f>_xlfn.XLOOKUP(Table3[[#This Row],[Cuenta]],Estructura_Balance[Nombre Cuenta ()],Estructura_Balance[Nivel 1],"",0)</f>
        <v/>
      </c>
      <c r="O1273" t="str">
        <f>_xlfn.XLOOKUP(Table3[[#This Row],[Cuenta]],Estructura_Balance[Nombre Cuenta ()],Estructura_Balance[Nivel 2],"",0)</f>
        <v/>
      </c>
      <c r="P1273" t="str">
        <f>_xlfn.XLOOKUP(Table3[[#This Row],[Cuenta]],Estructura_Balance[Nombre Cuenta ()],Estructura_Balance[Nivel 3],"",0)</f>
        <v/>
      </c>
      <c r="Q1273" t="str">
        <f>_xlfn.XLOOKUP(Table3[[#This Row],[Cuenta]],Estructura_Balance[Nombre Cuenta ()],Estructura_Balance[Nivel 4],"",0)</f>
        <v/>
      </c>
      <c r="R1273" t="str">
        <f>_xlfn.XLOOKUP(Table3[[#This Row],[Cuenta]],Table8[Nombre Cuenta ()],Table8[Nivel 1],"",0)</f>
        <v/>
      </c>
      <c r="S1273" t="str">
        <f>_xlfn.XLOOKUP(Table3[[#This Row],[Cuenta]],Table8[Nombre Cuenta ()],Table8[Nivel 2],"",0)</f>
        <v/>
      </c>
      <c r="T1273" t="str">
        <f>_xlfn.XLOOKUP(Table3[[#This Row],[Cuenta]],Table8[Nombre Cuenta ()],Table8[Nivel 3],"",0)</f>
        <v/>
      </c>
      <c r="U1273">
        <v>151</v>
      </c>
      <c r="V1273" t="str">
        <f>_xlfn.XLOOKUP(Table3[[#This Row],[Cuenta]],Estructura_Balance[Nombre Cuenta ()],Estructura_Balance[Niveles:2],"",0)</f>
        <v/>
      </c>
      <c r="W1273" t="str">
        <f>_xlfn.XLOOKUP(Table3[[#This Row],[Cuenta]],Estructura_Balance[Nombre Cuenta ()],Estructura_Balance[Niveles:3],"",0)</f>
        <v/>
      </c>
      <c r="X1273" t="str">
        <f>_xlfn.XLOOKUP(Table3[[#This Row],[Cuenta]],Estructura_Balance[Nombre Cuenta ()],Estructura_Balance[Grupos],"Grupo 1",0)</f>
        <v>Grupo 1</v>
      </c>
      <c r="Y1273" t="str">
        <f>+Table3[[#This Row],[BS_Nivel_1]]</f>
        <v/>
      </c>
    </row>
    <row r="1274" spans="1:25" ht="15" customHeight="1">
      <c r="A1274">
        <f>+'Libro Diario'!F694</f>
        <v>0</v>
      </c>
      <c r="B1274" s="144">
        <f>VALUE(IF(+'Libro Diario'!G694="","01/01/2025",+'Libro Diario'!G694))</f>
        <v>45658</v>
      </c>
      <c r="C1274">
        <f>IF(ISNUMBER(+IF(IFERROR(VALUE(MID('Libro Diario'!D694,1,4)),0)&lt;&gt;0,'Libro Diario'!D694,0))=FALSE,'Libro Diario'!D694,0)</f>
        <v>0</v>
      </c>
      <c r="D1274" s="145">
        <f>+'Libro Diario'!E694</f>
        <v>0</v>
      </c>
      <c r="E1274" s="139" t="s">
        <v>446</v>
      </c>
      <c r="F1274" t="str">
        <f t="shared" si="57"/>
        <v>Sin Mov.</v>
      </c>
      <c r="G1274" t="str">
        <f>IF(+'Libro Diario'!H694=0,"",+'Libro Diario'!H694)</f>
        <v/>
      </c>
      <c r="H1274" t="str">
        <f>IF(+'Libro Diario'!I694=0,"",+'Libro Diario'!I694)</f>
        <v/>
      </c>
      <c r="I1274" t="str">
        <f>+IF(Table3[[#This Row],[Tipo Movimiento]]="Estructura Balance y PyG","Excluir","Incluir")</f>
        <v>Incluir</v>
      </c>
      <c r="J1274" s="153">
        <f>+IF(Table3[[#This Row],[Sin cuenta]]="Con Mov.",(IF(Table3[[#This Row],[Movimiento]]="Debe",Table3[[#This Row],[Importe]],IF(Table3[[#This Row],[Movimiento]]="Haber",Table3[[#This Row],[Importe]]*-1,0))),0)</f>
        <v>0</v>
      </c>
      <c r="K1274" s="145" t="str">
        <f t="shared" si="58"/>
        <v/>
      </c>
      <c r="L1274" s="145">
        <f t="shared" si="59"/>
        <v>0</v>
      </c>
      <c r="M1274" t="str">
        <f>_xlfn.XLOOKUP(Table3[[#This Row],[Cuenta]],Estructura_Balance[Nombre Cuenta ()],Estructura_Balance[Grupo],"",0)</f>
        <v/>
      </c>
      <c r="N1274" t="str">
        <f>_xlfn.XLOOKUP(Table3[[#This Row],[Cuenta]],Estructura_Balance[Nombre Cuenta ()],Estructura_Balance[Nivel 1],"",0)</f>
        <v/>
      </c>
      <c r="O1274" t="str">
        <f>_xlfn.XLOOKUP(Table3[[#This Row],[Cuenta]],Estructura_Balance[Nombre Cuenta ()],Estructura_Balance[Nivel 2],"",0)</f>
        <v/>
      </c>
      <c r="P1274" t="str">
        <f>_xlfn.XLOOKUP(Table3[[#This Row],[Cuenta]],Estructura_Balance[Nombre Cuenta ()],Estructura_Balance[Nivel 3],"",0)</f>
        <v/>
      </c>
      <c r="Q1274" t="str">
        <f>_xlfn.XLOOKUP(Table3[[#This Row],[Cuenta]],Estructura_Balance[Nombre Cuenta ()],Estructura_Balance[Nivel 4],"",0)</f>
        <v/>
      </c>
      <c r="R1274" t="str">
        <f>_xlfn.XLOOKUP(Table3[[#This Row],[Cuenta]],Table8[Nombre Cuenta ()],Table8[Nivel 1],"",0)</f>
        <v/>
      </c>
      <c r="S1274" t="str">
        <f>_xlfn.XLOOKUP(Table3[[#This Row],[Cuenta]],Table8[Nombre Cuenta ()],Table8[Nivel 2],"",0)</f>
        <v/>
      </c>
      <c r="T1274" t="str">
        <f>_xlfn.XLOOKUP(Table3[[#This Row],[Cuenta]],Table8[Nombre Cuenta ()],Table8[Nivel 3],"",0)</f>
        <v/>
      </c>
      <c r="U1274">
        <v>1147</v>
      </c>
      <c r="V1274" t="str">
        <f>_xlfn.XLOOKUP(Table3[[#This Row],[Cuenta]],Estructura_Balance[Nombre Cuenta ()],Estructura_Balance[Niveles:2],"",0)</f>
        <v/>
      </c>
      <c r="W1274" t="str">
        <f>_xlfn.XLOOKUP(Table3[[#This Row],[Cuenta]],Estructura_Balance[Nombre Cuenta ()],Estructura_Balance[Niveles:3],"",0)</f>
        <v/>
      </c>
      <c r="X1274" t="str">
        <f>_xlfn.XLOOKUP(Table3[[#This Row],[Cuenta]],Estructura_Balance[Nombre Cuenta ()],Estructura_Balance[Grupos],"Grupo 1",0)</f>
        <v>Grupo 1</v>
      </c>
      <c r="Y1274" t="str">
        <f>+Table3[[#This Row],[BS_Nivel_1]]</f>
        <v/>
      </c>
    </row>
    <row r="1275" spans="1:25" ht="15" customHeight="1">
      <c r="A1275">
        <f>+'Libro Diario'!F695</f>
        <v>0</v>
      </c>
      <c r="B1275" s="144">
        <f>VALUE(IF(+'Libro Diario'!G695="","01/01/2025",+'Libro Diario'!G695))</f>
        <v>45658</v>
      </c>
      <c r="C1275">
        <f>IF(ISNUMBER(+IF(IFERROR(VALUE(MID('Libro Diario'!D695,1,4)),0)&lt;&gt;0,'Libro Diario'!D695,0))=FALSE,'Libro Diario'!D695,0)</f>
        <v>0</v>
      </c>
      <c r="D1275" s="145">
        <f>+'Libro Diario'!E695</f>
        <v>0</v>
      </c>
      <c r="E1275" s="139" t="s">
        <v>446</v>
      </c>
      <c r="F1275" t="str">
        <f t="shared" si="57"/>
        <v>Sin Mov.</v>
      </c>
      <c r="G1275" t="str">
        <f>IF(+'Libro Diario'!H695=0,"",+'Libro Diario'!H695)</f>
        <v/>
      </c>
      <c r="H1275" t="str">
        <f>IF(+'Libro Diario'!I695=0,"",+'Libro Diario'!I695)</f>
        <v/>
      </c>
      <c r="I1275" t="str">
        <f>+IF(Table3[[#This Row],[Tipo Movimiento]]="Estructura Balance y PyG","Excluir","Incluir")</f>
        <v>Incluir</v>
      </c>
      <c r="J1275" s="153">
        <f>+IF(Table3[[#This Row],[Sin cuenta]]="Con Mov.",(IF(Table3[[#This Row],[Movimiento]]="Debe",Table3[[#This Row],[Importe]],IF(Table3[[#This Row],[Movimiento]]="Haber",Table3[[#This Row],[Importe]]*-1,0))),0)</f>
        <v>0</v>
      </c>
      <c r="K1275" s="145" t="str">
        <f t="shared" si="58"/>
        <v/>
      </c>
      <c r="L1275" s="145">
        <f t="shared" si="59"/>
        <v>0</v>
      </c>
      <c r="M1275" t="str">
        <f>_xlfn.XLOOKUP(Table3[[#This Row],[Cuenta]],Estructura_Balance[Nombre Cuenta ()],Estructura_Balance[Grupo],"",0)</f>
        <v/>
      </c>
      <c r="N1275" t="str">
        <f>_xlfn.XLOOKUP(Table3[[#This Row],[Cuenta]],Estructura_Balance[Nombre Cuenta ()],Estructura_Balance[Nivel 1],"",0)</f>
        <v/>
      </c>
      <c r="O1275" t="str">
        <f>_xlfn.XLOOKUP(Table3[[#This Row],[Cuenta]],Estructura_Balance[Nombre Cuenta ()],Estructura_Balance[Nivel 2],"",0)</f>
        <v/>
      </c>
      <c r="P1275" t="str">
        <f>_xlfn.XLOOKUP(Table3[[#This Row],[Cuenta]],Estructura_Balance[Nombre Cuenta ()],Estructura_Balance[Nivel 3],"",0)</f>
        <v/>
      </c>
      <c r="Q1275" t="str">
        <f>_xlfn.XLOOKUP(Table3[[#This Row],[Cuenta]],Estructura_Balance[Nombre Cuenta ()],Estructura_Balance[Nivel 4],"",0)</f>
        <v/>
      </c>
      <c r="R1275" t="str">
        <f>_xlfn.XLOOKUP(Table3[[#This Row],[Cuenta]],Table8[Nombre Cuenta ()],Table8[Nivel 1],"",0)</f>
        <v/>
      </c>
      <c r="S1275" t="str">
        <f>_xlfn.XLOOKUP(Table3[[#This Row],[Cuenta]],Table8[Nombre Cuenta ()],Table8[Nivel 2],"",0)</f>
        <v/>
      </c>
      <c r="T1275" t="str">
        <f>_xlfn.XLOOKUP(Table3[[#This Row],[Cuenta]],Table8[Nombre Cuenta ()],Table8[Nivel 3],"",0)</f>
        <v/>
      </c>
      <c r="U1275">
        <v>1148</v>
      </c>
      <c r="V1275" t="str">
        <f>_xlfn.XLOOKUP(Table3[[#This Row],[Cuenta]],Estructura_Balance[Nombre Cuenta ()],Estructura_Balance[Niveles:2],"",0)</f>
        <v/>
      </c>
      <c r="W1275" t="str">
        <f>_xlfn.XLOOKUP(Table3[[#This Row],[Cuenta]],Estructura_Balance[Nombre Cuenta ()],Estructura_Balance[Niveles:3],"",0)</f>
        <v/>
      </c>
      <c r="X1275" t="str">
        <f>_xlfn.XLOOKUP(Table3[[#This Row],[Cuenta]],Estructura_Balance[Nombre Cuenta ()],Estructura_Balance[Grupos],"Grupo 1",0)</f>
        <v>Grupo 1</v>
      </c>
      <c r="Y1275" t="str">
        <f>+Table3[[#This Row],[BS_Nivel_1]]</f>
        <v/>
      </c>
    </row>
    <row r="1276" spans="1:25" ht="15" customHeight="1">
      <c r="A1276">
        <f>+'Libro Diario'!F696</f>
        <v>0</v>
      </c>
      <c r="B1276" s="144">
        <f>VALUE(IF(+'Libro Diario'!G696="","01/01/2025",+'Libro Diario'!G696))</f>
        <v>45658</v>
      </c>
      <c r="C1276">
        <f>IF(ISNUMBER(+IF(IFERROR(VALUE(MID('Libro Diario'!D696,1,4)),0)&lt;&gt;0,'Libro Diario'!D696,0))=FALSE,'Libro Diario'!D696,0)</f>
        <v>0</v>
      </c>
      <c r="D1276" s="145">
        <f>+'Libro Diario'!E696</f>
        <v>0</v>
      </c>
      <c r="E1276" s="139" t="s">
        <v>446</v>
      </c>
      <c r="F1276" t="str">
        <f t="shared" si="57"/>
        <v>Sin Mov.</v>
      </c>
      <c r="G1276" t="str">
        <f>IF(+'Libro Diario'!H696=0,"",+'Libro Diario'!H696)</f>
        <v/>
      </c>
      <c r="H1276" t="str">
        <f>IF(+'Libro Diario'!I696=0,"",+'Libro Diario'!I696)</f>
        <v/>
      </c>
      <c r="I1276" t="str">
        <f>+IF(Table3[[#This Row],[Tipo Movimiento]]="Estructura Balance y PyG","Excluir","Incluir")</f>
        <v>Incluir</v>
      </c>
      <c r="J1276" s="153">
        <f>+IF(Table3[[#This Row],[Sin cuenta]]="Con Mov.",(IF(Table3[[#This Row],[Movimiento]]="Debe",Table3[[#This Row],[Importe]],IF(Table3[[#This Row],[Movimiento]]="Haber",Table3[[#This Row],[Importe]]*-1,0))),0)</f>
        <v>0</v>
      </c>
      <c r="K1276" s="145" t="str">
        <f t="shared" si="58"/>
        <v/>
      </c>
      <c r="L1276" s="145">
        <f t="shared" si="59"/>
        <v>0</v>
      </c>
      <c r="M1276" t="str">
        <f>_xlfn.XLOOKUP(Table3[[#This Row],[Cuenta]],Estructura_Balance[Nombre Cuenta ()],Estructura_Balance[Grupo],"",0)</f>
        <v/>
      </c>
      <c r="N1276" t="str">
        <f>_xlfn.XLOOKUP(Table3[[#This Row],[Cuenta]],Estructura_Balance[Nombre Cuenta ()],Estructura_Balance[Nivel 1],"",0)</f>
        <v/>
      </c>
      <c r="O1276" t="str">
        <f>_xlfn.XLOOKUP(Table3[[#This Row],[Cuenta]],Estructura_Balance[Nombre Cuenta ()],Estructura_Balance[Nivel 2],"",0)</f>
        <v/>
      </c>
      <c r="P1276" t="str">
        <f>_xlfn.XLOOKUP(Table3[[#This Row],[Cuenta]],Estructura_Balance[Nombre Cuenta ()],Estructura_Balance[Nivel 3],"",0)</f>
        <v/>
      </c>
      <c r="Q1276" t="str">
        <f>_xlfn.XLOOKUP(Table3[[#This Row],[Cuenta]],Estructura_Balance[Nombre Cuenta ()],Estructura_Balance[Nivel 4],"",0)</f>
        <v/>
      </c>
      <c r="R1276" t="str">
        <f>_xlfn.XLOOKUP(Table3[[#This Row],[Cuenta]],Table8[Nombre Cuenta ()],Table8[Nivel 1],"",0)</f>
        <v/>
      </c>
      <c r="S1276" t="str">
        <f>_xlfn.XLOOKUP(Table3[[#This Row],[Cuenta]],Table8[Nombre Cuenta ()],Table8[Nivel 2],"",0)</f>
        <v/>
      </c>
      <c r="T1276" t="str">
        <f>_xlfn.XLOOKUP(Table3[[#This Row],[Cuenta]],Table8[Nombre Cuenta ()],Table8[Nivel 3],"",0)</f>
        <v/>
      </c>
      <c r="U1276">
        <v>1149</v>
      </c>
      <c r="V1276" t="str">
        <f>_xlfn.XLOOKUP(Table3[[#This Row],[Cuenta]],Estructura_Balance[Nombre Cuenta ()],Estructura_Balance[Niveles:2],"",0)</f>
        <v/>
      </c>
      <c r="W1276" t="str">
        <f>_xlfn.XLOOKUP(Table3[[#This Row],[Cuenta]],Estructura_Balance[Nombre Cuenta ()],Estructura_Balance[Niveles:3],"",0)</f>
        <v/>
      </c>
      <c r="X1276" t="str">
        <f>_xlfn.XLOOKUP(Table3[[#This Row],[Cuenta]],Estructura_Balance[Nombre Cuenta ()],Estructura_Balance[Grupos],"Grupo 1",0)</f>
        <v>Grupo 1</v>
      </c>
      <c r="Y1276" t="str">
        <f>+Table3[[#This Row],[BS_Nivel_1]]</f>
        <v/>
      </c>
    </row>
    <row r="1277" spans="1:25" ht="15" customHeight="1">
      <c r="A1277">
        <f>+'Libro Diario'!F697</f>
        <v>0</v>
      </c>
      <c r="B1277" s="144">
        <f>VALUE(IF(+'Libro Diario'!G697="","01/01/2025",+'Libro Diario'!G697))</f>
        <v>45658</v>
      </c>
      <c r="C1277">
        <f>IF(ISNUMBER(+IF(IFERROR(VALUE(MID('Libro Diario'!D697,1,4)),0)&lt;&gt;0,'Libro Diario'!D697,0))=FALSE,'Libro Diario'!D697,0)</f>
        <v>0</v>
      </c>
      <c r="D1277" s="145">
        <f>+'Libro Diario'!E697</f>
        <v>0</v>
      </c>
      <c r="E1277" s="139" t="s">
        <v>446</v>
      </c>
      <c r="F1277" t="str">
        <f t="shared" si="57"/>
        <v>Sin Mov.</v>
      </c>
      <c r="G1277" t="str">
        <f>IF(+'Libro Diario'!H697=0,"",+'Libro Diario'!H697)</f>
        <v/>
      </c>
      <c r="H1277" t="str">
        <f>IF(+'Libro Diario'!I697=0,"",+'Libro Diario'!I697)</f>
        <v/>
      </c>
      <c r="I1277" t="str">
        <f>+IF(Table3[[#This Row],[Tipo Movimiento]]="Estructura Balance y PyG","Excluir","Incluir")</f>
        <v>Incluir</v>
      </c>
      <c r="J1277" s="153">
        <f>+IF(Table3[[#This Row],[Sin cuenta]]="Con Mov.",(IF(Table3[[#This Row],[Movimiento]]="Debe",Table3[[#This Row],[Importe]],IF(Table3[[#This Row],[Movimiento]]="Haber",Table3[[#This Row],[Importe]]*-1,0))),0)</f>
        <v>0</v>
      </c>
      <c r="K1277" s="145" t="str">
        <f t="shared" si="58"/>
        <v/>
      </c>
      <c r="L1277" s="145">
        <f t="shared" si="59"/>
        <v>0</v>
      </c>
      <c r="M1277" t="str">
        <f>_xlfn.XLOOKUP(Table3[[#This Row],[Cuenta]],Estructura_Balance[Nombre Cuenta ()],Estructura_Balance[Grupo],"",0)</f>
        <v/>
      </c>
      <c r="N1277" t="str">
        <f>_xlfn.XLOOKUP(Table3[[#This Row],[Cuenta]],Estructura_Balance[Nombre Cuenta ()],Estructura_Balance[Nivel 1],"",0)</f>
        <v/>
      </c>
      <c r="O1277" t="str">
        <f>_xlfn.XLOOKUP(Table3[[#This Row],[Cuenta]],Estructura_Balance[Nombre Cuenta ()],Estructura_Balance[Nivel 2],"",0)</f>
        <v/>
      </c>
      <c r="P1277" t="str">
        <f>_xlfn.XLOOKUP(Table3[[#This Row],[Cuenta]],Estructura_Balance[Nombre Cuenta ()],Estructura_Balance[Nivel 3],"",0)</f>
        <v/>
      </c>
      <c r="Q1277" t="str">
        <f>_xlfn.XLOOKUP(Table3[[#This Row],[Cuenta]],Estructura_Balance[Nombre Cuenta ()],Estructura_Balance[Nivel 4],"",0)</f>
        <v/>
      </c>
      <c r="R1277" t="str">
        <f>_xlfn.XLOOKUP(Table3[[#This Row],[Cuenta]],Table8[Nombre Cuenta ()],Table8[Nivel 1],"",0)</f>
        <v/>
      </c>
      <c r="S1277" t="str">
        <f>_xlfn.XLOOKUP(Table3[[#This Row],[Cuenta]],Table8[Nombre Cuenta ()],Table8[Nivel 2],"",0)</f>
        <v/>
      </c>
      <c r="T1277" t="str">
        <f>_xlfn.XLOOKUP(Table3[[#This Row],[Cuenta]],Table8[Nombre Cuenta ()],Table8[Nivel 3],"",0)</f>
        <v/>
      </c>
      <c r="U1277">
        <v>157</v>
      </c>
      <c r="V1277" t="str">
        <f>_xlfn.XLOOKUP(Table3[[#This Row],[Cuenta]],Estructura_Balance[Nombre Cuenta ()],Estructura_Balance[Niveles:2],"",0)</f>
        <v/>
      </c>
      <c r="W1277" t="str">
        <f>_xlfn.XLOOKUP(Table3[[#This Row],[Cuenta]],Estructura_Balance[Nombre Cuenta ()],Estructura_Balance[Niveles:3],"",0)</f>
        <v/>
      </c>
      <c r="X1277" t="str">
        <f>_xlfn.XLOOKUP(Table3[[#This Row],[Cuenta]],Estructura_Balance[Nombre Cuenta ()],Estructura_Balance[Grupos],"Grupo 1",0)</f>
        <v>Grupo 1</v>
      </c>
      <c r="Y1277" t="str">
        <f>+Table3[[#This Row],[BS_Nivel_1]]</f>
        <v/>
      </c>
    </row>
    <row r="1278" spans="1:25" ht="15" customHeight="1">
      <c r="A1278">
        <f>+'Libro Diario'!F698</f>
        <v>0</v>
      </c>
      <c r="B1278" s="144">
        <f>VALUE(IF(+'Libro Diario'!G698="","01/01/2025",+'Libro Diario'!G698))</f>
        <v>45658</v>
      </c>
      <c r="C1278">
        <f>IF(ISNUMBER(+IF(IFERROR(VALUE(MID('Libro Diario'!D698,1,4)),0)&lt;&gt;0,'Libro Diario'!D698,0))=FALSE,'Libro Diario'!D698,0)</f>
        <v>0</v>
      </c>
      <c r="D1278" s="145">
        <f>+'Libro Diario'!E698</f>
        <v>0</v>
      </c>
      <c r="E1278" s="139" t="s">
        <v>446</v>
      </c>
      <c r="F1278" t="str">
        <f t="shared" si="57"/>
        <v>Sin Mov.</v>
      </c>
      <c r="G1278" t="str">
        <f>IF(+'Libro Diario'!H698=0,"",+'Libro Diario'!H698)</f>
        <v/>
      </c>
      <c r="H1278" t="str">
        <f>IF(+'Libro Diario'!I698=0,"",+'Libro Diario'!I698)</f>
        <v/>
      </c>
      <c r="I1278" t="str">
        <f>+IF(Table3[[#This Row],[Tipo Movimiento]]="Estructura Balance y PyG","Excluir","Incluir")</f>
        <v>Incluir</v>
      </c>
      <c r="J1278" s="153">
        <f>+IF(Table3[[#This Row],[Sin cuenta]]="Con Mov.",(IF(Table3[[#This Row],[Movimiento]]="Debe",Table3[[#This Row],[Importe]],IF(Table3[[#This Row],[Movimiento]]="Haber",Table3[[#This Row],[Importe]]*-1,0))),0)</f>
        <v>0</v>
      </c>
      <c r="K1278" s="145" t="str">
        <f t="shared" si="58"/>
        <v/>
      </c>
      <c r="L1278" s="145">
        <f t="shared" si="59"/>
        <v>0</v>
      </c>
      <c r="M1278" t="str">
        <f>_xlfn.XLOOKUP(Table3[[#This Row],[Cuenta]],Estructura_Balance[Nombre Cuenta ()],Estructura_Balance[Grupo],"",0)</f>
        <v/>
      </c>
      <c r="N1278" t="str">
        <f>_xlfn.XLOOKUP(Table3[[#This Row],[Cuenta]],Estructura_Balance[Nombre Cuenta ()],Estructura_Balance[Nivel 1],"",0)</f>
        <v/>
      </c>
      <c r="O1278" t="str">
        <f>_xlfn.XLOOKUP(Table3[[#This Row],[Cuenta]],Estructura_Balance[Nombre Cuenta ()],Estructura_Balance[Nivel 2],"",0)</f>
        <v/>
      </c>
      <c r="P1278" t="str">
        <f>_xlfn.XLOOKUP(Table3[[#This Row],[Cuenta]],Estructura_Balance[Nombre Cuenta ()],Estructura_Balance[Nivel 3],"",0)</f>
        <v/>
      </c>
      <c r="Q1278" t="str">
        <f>_xlfn.XLOOKUP(Table3[[#This Row],[Cuenta]],Estructura_Balance[Nombre Cuenta ()],Estructura_Balance[Nivel 4],"",0)</f>
        <v/>
      </c>
      <c r="R1278" t="str">
        <f>_xlfn.XLOOKUP(Table3[[#This Row],[Cuenta]],Table8[Nombre Cuenta ()],Table8[Nivel 1],"",0)</f>
        <v/>
      </c>
      <c r="S1278" t="str">
        <f>_xlfn.XLOOKUP(Table3[[#This Row],[Cuenta]],Table8[Nombre Cuenta ()],Table8[Nivel 2],"",0)</f>
        <v/>
      </c>
      <c r="T1278" t="str">
        <f>_xlfn.XLOOKUP(Table3[[#This Row],[Cuenta]],Table8[Nombre Cuenta ()],Table8[Nivel 3],"",0)</f>
        <v/>
      </c>
      <c r="U1278">
        <v>158</v>
      </c>
      <c r="V1278" t="str">
        <f>_xlfn.XLOOKUP(Table3[[#This Row],[Cuenta]],Estructura_Balance[Nombre Cuenta ()],Estructura_Balance[Niveles:2],"",0)</f>
        <v/>
      </c>
      <c r="W1278" t="str">
        <f>_xlfn.XLOOKUP(Table3[[#This Row],[Cuenta]],Estructura_Balance[Nombre Cuenta ()],Estructura_Balance[Niveles:3],"",0)</f>
        <v/>
      </c>
      <c r="X1278" t="str">
        <f>_xlfn.XLOOKUP(Table3[[#This Row],[Cuenta]],Estructura_Balance[Nombre Cuenta ()],Estructura_Balance[Grupos],"Grupo 1",0)</f>
        <v>Grupo 1</v>
      </c>
      <c r="Y1278" t="str">
        <f>+Table3[[#This Row],[BS_Nivel_1]]</f>
        <v/>
      </c>
    </row>
    <row r="1279" spans="1:25" ht="15" customHeight="1">
      <c r="A1279">
        <f>+'Libro Diario'!F699</f>
        <v>0</v>
      </c>
      <c r="B1279" s="144">
        <f>VALUE(IF(+'Libro Diario'!G699="","01/01/2025",+'Libro Diario'!G699))</f>
        <v>45658</v>
      </c>
      <c r="C1279">
        <f>IF(ISNUMBER(+IF(IFERROR(VALUE(MID('Libro Diario'!D699,1,4)),0)&lt;&gt;0,'Libro Diario'!D699,0))=FALSE,'Libro Diario'!D699,0)</f>
        <v>0</v>
      </c>
      <c r="D1279" s="145">
        <f>+'Libro Diario'!E699</f>
        <v>0</v>
      </c>
      <c r="E1279" s="139" t="s">
        <v>446</v>
      </c>
      <c r="F1279" t="str">
        <f t="shared" si="57"/>
        <v>Sin Mov.</v>
      </c>
      <c r="G1279" t="str">
        <f>IF(+'Libro Diario'!H699=0,"",+'Libro Diario'!H699)</f>
        <v/>
      </c>
      <c r="H1279" t="str">
        <f>IF(+'Libro Diario'!I699=0,"",+'Libro Diario'!I699)</f>
        <v/>
      </c>
      <c r="I1279" t="str">
        <f>+IF(Table3[[#This Row],[Tipo Movimiento]]="Estructura Balance y PyG","Excluir","Incluir")</f>
        <v>Incluir</v>
      </c>
      <c r="J1279" s="153">
        <f>+IF(Table3[[#This Row],[Sin cuenta]]="Con Mov.",(IF(Table3[[#This Row],[Movimiento]]="Debe",Table3[[#This Row],[Importe]],IF(Table3[[#This Row],[Movimiento]]="Haber",Table3[[#This Row],[Importe]]*-1,0))),0)</f>
        <v>0</v>
      </c>
      <c r="K1279" s="145" t="str">
        <f t="shared" si="58"/>
        <v/>
      </c>
      <c r="L1279" s="145">
        <f t="shared" si="59"/>
        <v>0</v>
      </c>
      <c r="M1279" t="str">
        <f>_xlfn.XLOOKUP(Table3[[#This Row],[Cuenta]],Estructura_Balance[Nombre Cuenta ()],Estructura_Balance[Grupo],"",0)</f>
        <v/>
      </c>
      <c r="N1279" t="str">
        <f>_xlfn.XLOOKUP(Table3[[#This Row],[Cuenta]],Estructura_Balance[Nombre Cuenta ()],Estructura_Balance[Nivel 1],"",0)</f>
        <v/>
      </c>
      <c r="O1279" t="str">
        <f>_xlfn.XLOOKUP(Table3[[#This Row],[Cuenta]],Estructura_Balance[Nombre Cuenta ()],Estructura_Balance[Nivel 2],"",0)</f>
        <v/>
      </c>
      <c r="P1279" t="str">
        <f>_xlfn.XLOOKUP(Table3[[#This Row],[Cuenta]],Estructura_Balance[Nombre Cuenta ()],Estructura_Balance[Nivel 3],"",0)</f>
        <v/>
      </c>
      <c r="Q1279" t="str">
        <f>_xlfn.XLOOKUP(Table3[[#This Row],[Cuenta]],Estructura_Balance[Nombre Cuenta ()],Estructura_Balance[Nivel 4],"",0)</f>
        <v/>
      </c>
      <c r="R1279" t="str">
        <f>_xlfn.XLOOKUP(Table3[[#This Row],[Cuenta]],Table8[Nombre Cuenta ()],Table8[Nivel 1],"",0)</f>
        <v/>
      </c>
      <c r="S1279" t="str">
        <f>_xlfn.XLOOKUP(Table3[[#This Row],[Cuenta]],Table8[Nombre Cuenta ()],Table8[Nivel 2],"",0)</f>
        <v/>
      </c>
      <c r="T1279" t="str">
        <f>_xlfn.XLOOKUP(Table3[[#This Row],[Cuenta]],Table8[Nombre Cuenta ()],Table8[Nivel 3],"",0)</f>
        <v/>
      </c>
      <c r="U1279">
        <v>1155</v>
      </c>
      <c r="V1279" t="str">
        <f>_xlfn.XLOOKUP(Table3[[#This Row],[Cuenta]],Estructura_Balance[Nombre Cuenta ()],Estructura_Balance[Niveles:2],"",0)</f>
        <v/>
      </c>
      <c r="W1279" t="str">
        <f>_xlfn.XLOOKUP(Table3[[#This Row],[Cuenta]],Estructura_Balance[Nombre Cuenta ()],Estructura_Balance[Niveles:3],"",0)</f>
        <v/>
      </c>
      <c r="X1279" t="str">
        <f>_xlfn.XLOOKUP(Table3[[#This Row],[Cuenta]],Estructura_Balance[Nombre Cuenta ()],Estructura_Balance[Grupos],"Grupo 1",0)</f>
        <v>Grupo 1</v>
      </c>
      <c r="Y1279" t="str">
        <f>+Table3[[#This Row],[BS_Nivel_1]]</f>
        <v/>
      </c>
    </row>
    <row r="1280" spans="1:25" ht="15" customHeight="1">
      <c r="A1280">
        <f>+'Libro Diario'!F700</f>
        <v>0</v>
      </c>
      <c r="B1280" s="144">
        <f>VALUE(IF(+'Libro Diario'!G700="","01/01/2025",+'Libro Diario'!G700))</f>
        <v>45658</v>
      </c>
      <c r="C1280">
        <f>IF(ISNUMBER(+IF(IFERROR(VALUE(MID('Libro Diario'!D700,1,4)),0)&lt;&gt;0,'Libro Diario'!D700,0))=FALSE,'Libro Diario'!D700,0)</f>
        <v>0</v>
      </c>
      <c r="D1280" s="145">
        <f>+'Libro Diario'!E700</f>
        <v>0</v>
      </c>
      <c r="E1280" s="139" t="s">
        <v>446</v>
      </c>
      <c r="F1280" t="str">
        <f t="shared" si="57"/>
        <v>Sin Mov.</v>
      </c>
      <c r="G1280" t="str">
        <f>IF(+'Libro Diario'!H700=0,"",+'Libro Diario'!H700)</f>
        <v/>
      </c>
      <c r="H1280" t="str">
        <f>IF(+'Libro Diario'!I700=0,"",+'Libro Diario'!I700)</f>
        <v/>
      </c>
      <c r="I1280" t="str">
        <f>+IF(Table3[[#This Row],[Tipo Movimiento]]="Estructura Balance y PyG","Excluir","Incluir")</f>
        <v>Incluir</v>
      </c>
      <c r="J1280" s="153">
        <f>+IF(Table3[[#This Row],[Sin cuenta]]="Con Mov.",(IF(Table3[[#This Row],[Movimiento]]="Debe",Table3[[#This Row],[Importe]],IF(Table3[[#This Row],[Movimiento]]="Haber",Table3[[#This Row],[Importe]]*-1,0))),0)</f>
        <v>0</v>
      </c>
      <c r="K1280" s="145" t="str">
        <f t="shared" si="58"/>
        <v/>
      </c>
      <c r="L1280" s="145">
        <f t="shared" si="59"/>
        <v>0</v>
      </c>
      <c r="M1280" t="str">
        <f>_xlfn.XLOOKUP(Table3[[#This Row],[Cuenta]],Estructura_Balance[Nombre Cuenta ()],Estructura_Balance[Grupo],"",0)</f>
        <v/>
      </c>
      <c r="N1280" t="str">
        <f>_xlfn.XLOOKUP(Table3[[#This Row],[Cuenta]],Estructura_Balance[Nombre Cuenta ()],Estructura_Balance[Nivel 1],"",0)</f>
        <v/>
      </c>
      <c r="O1280" t="str">
        <f>_xlfn.XLOOKUP(Table3[[#This Row],[Cuenta]],Estructura_Balance[Nombre Cuenta ()],Estructura_Balance[Nivel 2],"",0)</f>
        <v/>
      </c>
      <c r="P1280" t="str">
        <f>_xlfn.XLOOKUP(Table3[[#This Row],[Cuenta]],Estructura_Balance[Nombre Cuenta ()],Estructura_Balance[Nivel 3],"",0)</f>
        <v/>
      </c>
      <c r="Q1280" t="str">
        <f>_xlfn.XLOOKUP(Table3[[#This Row],[Cuenta]],Estructura_Balance[Nombre Cuenta ()],Estructura_Balance[Nivel 4],"",0)</f>
        <v/>
      </c>
      <c r="R1280" t="str">
        <f>_xlfn.XLOOKUP(Table3[[#This Row],[Cuenta]],Table8[Nombre Cuenta ()],Table8[Nivel 1],"",0)</f>
        <v/>
      </c>
      <c r="S1280" t="str">
        <f>_xlfn.XLOOKUP(Table3[[#This Row],[Cuenta]],Table8[Nombre Cuenta ()],Table8[Nivel 2],"",0)</f>
        <v/>
      </c>
      <c r="T1280" t="str">
        <f>_xlfn.XLOOKUP(Table3[[#This Row],[Cuenta]],Table8[Nombre Cuenta ()],Table8[Nivel 3],"",0)</f>
        <v/>
      </c>
      <c r="U1280">
        <v>1156</v>
      </c>
      <c r="V1280" t="str">
        <f>_xlfn.XLOOKUP(Table3[[#This Row],[Cuenta]],Estructura_Balance[Nombre Cuenta ()],Estructura_Balance[Niveles:2],"",0)</f>
        <v/>
      </c>
      <c r="W1280" t="str">
        <f>_xlfn.XLOOKUP(Table3[[#This Row],[Cuenta]],Estructura_Balance[Nombre Cuenta ()],Estructura_Balance[Niveles:3],"",0)</f>
        <v/>
      </c>
      <c r="X1280" t="str">
        <f>_xlfn.XLOOKUP(Table3[[#This Row],[Cuenta]],Estructura_Balance[Nombre Cuenta ()],Estructura_Balance[Grupos],"Grupo 1",0)</f>
        <v>Grupo 1</v>
      </c>
      <c r="Y1280" t="str">
        <f>+Table3[[#This Row],[BS_Nivel_1]]</f>
        <v/>
      </c>
    </row>
    <row r="1281" spans="1:25" ht="15" customHeight="1">
      <c r="A1281">
        <f>+'Libro Diario'!F701</f>
        <v>0</v>
      </c>
      <c r="B1281" s="144">
        <f>VALUE(IF(+'Libro Diario'!G701="","01/01/2025",+'Libro Diario'!G701))</f>
        <v>45658</v>
      </c>
      <c r="C1281">
        <f>IF(ISNUMBER(+IF(IFERROR(VALUE(MID('Libro Diario'!D701,1,4)),0)&lt;&gt;0,'Libro Diario'!D701,0))=FALSE,'Libro Diario'!D701,0)</f>
        <v>0</v>
      </c>
      <c r="D1281" s="145">
        <f>+'Libro Diario'!E701</f>
        <v>0</v>
      </c>
      <c r="E1281" s="139" t="s">
        <v>446</v>
      </c>
      <c r="F1281" t="str">
        <f t="shared" si="57"/>
        <v>Sin Mov.</v>
      </c>
      <c r="G1281" t="str">
        <f>IF(+'Libro Diario'!H701=0,"",+'Libro Diario'!H701)</f>
        <v/>
      </c>
      <c r="H1281" t="str">
        <f>IF(+'Libro Diario'!I701=0,"",+'Libro Diario'!I701)</f>
        <v/>
      </c>
      <c r="I1281" t="str">
        <f>+IF(Table3[[#This Row],[Tipo Movimiento]]="Estructura Balance y PyG","Excluir","Incluir")</f>
        <v>Incluir</v>
      </c>
      <c r="J1281" s="153">
        <f>+IF(Table3[[#This Row],[Sin cuenta]]="Con Mov.",(IF(Table3[[#This Row],[Movimiento]]="Debe",Table3[[#This Row],[Importe]],IF(Table3[[#This Row],[Movimiento]]="Haber",Table3[[#This Row],[Importe]]*-1,0))),0)</f>
        <v>0</v>
      </c>
      <c r="K1281" s="145" t="str">
        <f t="shared" si="58"/>
        <v/>
      </c>
      <c r="L1281" s="145">
        <f t="shared" si="59"/>
        <v>0</v>
      </c>
      <c r="M1281" t="str">
        <f>_xlfn.XLOOKUP(Table3[[#This Row],[Cuenta]],Estructura_Balance[Nombre Cuenta ()],Estructura_Balance[Grupo],"",0)</f>
        <v/>
      </c>
      <c r="N1281" t="str">
        <f>_xlfn.XLOOKUP(Table3[[#This Row],[Cuenta]],Estructura_Balance[Nombre Cuenta ()],Estructura_Balance[Nivel 1],"",0)</f>
        <v/>
      </c>
      <c r="O1281" t="str">
        <f>_xlfn.XLOOKUP(Table3[[#This Row],[Cuenta]],Estructura_Balance[Nombre Cuenta ()],Estructura_Balance[Nivel 2],"",0)</f>
        <v/>
      </c>
      <c r="P1281" t="str">
        <f>_xlfn.XLOOKUP(Table3[[#This Row],[Cuenta]],Estructura_Balance[Nombre Cuenta ()],Estructura_Balance[Nivel 3],"",0)</f>
        <v/>
      </c>
      <c r="Q1281" t="str">
        <f>_xlfn.XLOOKUP(Table3[[#This Row],[Cuenta]],Estructura_Balance[Nombre Cuenta ()],Estructura_Balance[Nivel 4],"",0)</f>
        <v/>
      </c>
      <c r="R1281" t="str">
        <f>_xlfn.XLOOKUP(Table3[[#This Row],[Cuenta]],Table8[Nombre Cuenta ()],Table8[Nivel 1],"",0)</f>
        <v/>
      </c>
      <c r="S1281" t="str">
        <f>_xlfn.XLOOKUP(Table3[[#This Row],[Cuenta]],Table8[Nombre Cuenta ()],Table8[Nivel 2],"",0)</f>
        <v/>
      </c>
      <c r="T1281" t="str">
        <f>_xlfn.XLOOKUP(Table3[[#This Row],[Cuenta]],Table8[Nombre Cuenta ()],Table8[Nivel 3],"",0)</f>
        <v/>
      </c>
      <c r="U1281">
        <v>164</v>
      </c>
      <c r="V1281" t="str">
        <f>_xlfn.XLOOKUP(Table3[[#This Row],[Cuenta]],Estructura_Balance[Nombre Cuenta ()],Estructura_Balance[Niveles:2],"",0)</f>
        <v/>
      </c>
      <c r="W1281" t="str">
        <f>_xlfn.XLOOKUP(Table3[[#This Row],[Cuenta]],Estructura_Balance[Nombre Cuenta ()],Estructura_Balance[Niveles:3],"",0)</f>
        <v/>
      </c>
      <c r="X1281" t="str">
        <f>_xlfn.XLOOKUP(Table3[[#This Row],[Cuenta]],Estructura_Balance[Nombre Cuenta ()],Estructura_Balance[Grupos],"Grupo 1",0)</f>
        <v>Grupo 1</v>
      </c>
      <c r="Y1281" t="str">
        <f>+Table3[[#This Row],[BS_Nivel_1]]</f>
        <v/>
      </c>
    </row>
    <row r="1282" spans="1:25" ht="15" customHeight="1">
      <c r="A1282">
        <f>+'Libro Diario'!F702</f>
        <v>0</v>
      </c>
      <c r="B1282" s="144">
        <f>VALUE(IF(+'Libro Diario'!G702="","01/01/2025",+'Libro Diario'!G702))</f>
        <v>45658</v>
      </c>
      <c r="C1282">
        <f>IF(ISNUMBER(+IF(IFERROR(VALUE(MID('Libro Diario'!D702,1,4)),0)&lt;&gt;0,'Libro Diario'!D702,0))=FALSE,'Libro Diario'!D702,0)</f>
        <v>0</v>
      </c>
      <c r="D1282" s="145">
        <f>+'Libro Diario'!E702</f>
        <v>0</v>
      </c>
      <c r="E1282" s="139" t="s">
        <v>446</v>
      </c>
      <c r="F1282" t="str">
        <f t="shared" si="57"/>
        <v>Sin Mov.</v>
      </c>
      <c r="G1282" t="str">
        <f>IF(+'Libro Diario'!H702=0,"",+'Libro Diario'!H702)</f>
        <v/>
      </c>
      <c r="H1282" t="str">
        <f>IF(+'Libro Diario'!I702=0,"",+'Libro Diario'!I702)</f>
        <v/>
      </c>
      <c r="I1282" t="str">
        <f>+IF(Table3[[#This Row],[Tipo Movimiento]]="Estructura Balance y PyG","Excluir","Incluir")</f>
        <v>Incluir</v>
      </c>
      <c r="J1282" s="153">
        <f>+IF(Table3[[#This Row],[Sin cuenta]]="Con Mov.",(IF(Table3[[#This Row],[Movimiento]]="Debe",Table3[[#This Row],[Importe]],IF(Table3[[#This Row],[Movimiento]]="Haber",Table3[[#This Row],[Importe]]*-1,0))),0)</f>
        <v>0</v>
      </c>
      <c r="K1282" s="145" t="str">
        <f t="shared" si="58"/>
        <v/>
      </c>
      <c r="L1282" s="145">
        <f t="shared" si="59"/>
        <v>0</v>
      </c>
      <c r="M1282" t="str">
        <f>_xlfn.XLOOKUP(Table3[[#This Row],[Cuenta]],Estructura_Balance[Nombre Cuenta ()],Estructura_Balance[Grupo],"",0)</f>
        <v/>
      </c>
      <c r="N1282" t="str">
        <f>_xlfn.XLOOKUP(Table3[[#This Row],[Cuenta]],Estructura_Balance[Nombre Cuenta ()],Estructura_Balance[Nivel 1],"",0)</f>
        <v/>
      </c>
      <c r="O1282" t="str">
        <f>_xlfn.XLOOKUP(Table3[[#This Row],[Cuenta]],Estructura_Balance[Nombre Cuenta ()],Estructura_Balance[Nivel 2],"",0)</f>
        <v/>
      </c>
      <c r="P1282" t="str">
        <f>_xlfn.XLOOKUP(Table3[[#This Row],[Cuenta]],Estructura_Balance[Nombre Cuenta ()],Estructura_Balance[Nivel 3],"",0)</f>
        <v/>
      </c>
      <c r="Q1282" t="str">
        <f>_xlfn.XLOOKUP(Table3[[#This Row],[Cuenta]],Estructura_Balance[Nombre Cuenta ()],Estructura_Balance[Nivel 4],"",0)</f>
        <v/>
      </c>
      <c r="R1282" t="str">
        <f>_xlfn.XLOOKUP(Table3[[#This Row],[Cuenta]],Table8[Nombre Cuenta ()],Table8[Nivel 1],"",0)</f>
        <v/>
      </c>
      <c r="S1282" t="str">
        <f>_xlfn.XLOOKUP(Table3[[#This Row],[Cuenta]],Table8[Nombre Cuenta ()],Table8[Nivel 2],"",0)</f>
        <v/>
      </c>
      <c r="T1282" t="str">
        <f>_xlfn.XLOOKUP(Table3[[#This Row],[Cuenta]],Table8[Nombre Cuenta ()],Table8[Nivel 3],"",0)</f>
        <v/>
      </c>
      <c r="U1282">
        <v>165</v>
      </c>
      <c r="V1282" t="str">
        <f>_xlfn.XLOOKUP(Table3[[#This Row],[Cuenta]],Estructura_Balance[Nombre Cuenta ()],Estructura_Balance[Niveles:2],"",0)</f>
        <v/>
      </c>
      <c r="W1282" t="str">
        <f>_xlfn.XLOOKUP(Table3[[#This Row],[Cuenta]],Estructura_Balance[Nombre Cuenta ()],Estructura_Balance[Niveles:3],"",0)</f>
        <v/>
      </c>
      <c r="X1282" t="str">
        <f>_xlfn.XLOOKUP(Table3[[#This Row],[Cuenta]],Estructura_Balance[Nombre Cuenta ()],Estructura_Balance[Grupos],"Grupo 1",0)</f>
        <v>Grupo 1</v>
      </c>
      <c r="Y1282" t="str">
        <f>+Table3[[#This Row],[BS_Nivel_1]]</f>
        <v/>
      </c>
    </row>
    <row r="1283" spans="1:25" ht="15" customHeight="1">
      <c r="A1283">
        <f>+'Libro Diario'!F703</f>
        <v>0</v>
      </c>
      <c r="B1283" s="144">
        <f>VALUE(IF(+'Libro Diario'!G703="","01/01/2025",+'Libro Diario'!G703))</f>
        <v>45658</v>
      </c>
      <c r="C1283">
        <f>IF(ISNUMBER(+IF(IFERROR(VALUE(MID('Libro Diario'!D703,1,4)),0)&lt;&gt;0,'Libro Diario'!D703,0))=FALSE,'Libro Diario'!D703,0)</f>
        <v>0</v>
      </c>
      <c r="D1283" s="145">
        <f>+'Libro Diario'!E703</f>
        <v>0</v>
      </c>
      <c r="E1283" s="139" t="s">
        <v>446</v>
      </c>
      <c r="F1283" t="str">
        <f t="shared" ref="F1283:F1346" si="60">+IF(C1283=0,"Sin Mov.","Con Mov.")</f>
        <v>Sin Mov.</v>
      </c>
      <c r="G1283" t="str">
        <f>IF(+'Libro Diario'!H703=0,"",+'Libro Diario'!H703)</f>
        <v/>
      </c>
      <c r="H1283" t="str">
        <f>IF(+'Libro Diario'!I703=0,"",+'Libro Diario'!I703)</f>
        <v/>
      </c>
      <c r="I1283" t="str">
        <f>+IF(Table3[[#This Row],[Tipo Movimiento]]="Estructura Balance y PyG","Excluir","Incluir")</f>
        <v>Incluir</v>
      </c>
      <c r="J1283" s="153">
        <f>+IF(Table3[[#This Row],[Sin cuenta]]="Con Mov.",(IF(Table3[[#This Row],[Movimiento]]="Debe",Table3[[#This Row],[Importe]],IF(Table3[[#This Row],[Movimiento]]="Haber",Table3[[#This Row],[Importe]]*-1,0))),0)</f>
        <v>0</v>
      </c>
      <c r="K1283" s="145" t="str">
        <f t="shared" ref="K1283:K1346" si="61">+IF(E1283="Debe",D1283,"")</f>
        <v/>
      </c>
      <c r="L1283" s="145">
        <f t="shared" ref="L1283:L1346" si="62">+IF(E1283="Haber",D1283,"")</f>
        <v>0</v>
      </c>
      <c r="M1283" t="str">
        <f>_xlfn.XLOOKUP(Table3[[#This Row],[Cuenta]],Estructura_Balance[Nombre Cuenta ()],Estructura_Balance[Grupo],"",0)</f>
        <v/>
      </c>
      <c r="N1283" t="str">
        <f>_xlfn.XLOOKUP(Table3[[#This Row],[Cuenta]],Estructura_Balance[Nombre Cuenta ()],Estructura_Balance[Nivel 1],"",0)</f>
        <v/>
      </c>
      <c r="O1283" t="str">
        <f>_xlfn.XLOOKUP(Table3[[#This Row],[Cuenta]],Estructura_Balance[Nombre Cuenta ()],Estructura_Balance[Nivel 2],"",0)</f>
        <v/>
      </c>
      <c r="P1283" t="str">
        <f>_xlfn.XLOOKUP(Table3[[#This Row],[Cuenta]],Estructura_Balance[Nombre Cuenta ()],Estructura_Balance[Nivel 3],"",0)</f>
        <v/>
      </c>
      <c r="Q1283" t="str">
        <f>_xlfn.XLOOKUP(Table3[[#This Row],[Cuenta]],Estructura_Balance[Nombre Cuenta ()],Estructura_Balance[Nivel 4],"",0)</f>
        <v/>
      </c>
      <c r="R1283" t="str">
        <f>_xlfn.XLOOKUP(Table3[[#This Row],[Cuenta]],Table8[Nombre Cuenta ()],Table8[Nivel 1],"",0)</f>
        <v/>
      </c>
      <c r="S1283" t="str">
        <f>_xlfn.XLOOKUP(Table3[[#This Row],[Cuenta]],Table8[Nombre Cuenta ()],Table8[Nivel 2],"",0)</f>
        <v/>
      </c>
      <c r="T1283" t="str">
        <f>_xlfn.XLOOKUP(Table3[[#This Row],[Cuenta]],Table8[Nombre Cuenta ()],Table8[Nivel 3],"",0)</f>
        <v/>
      </c>
      <c r="U1283">
        <v>1162</v>
      </c>
      <c r="V1283" t="str">
        <f>_xlfn.XLOOKUP(Table3[[#This Row],[Cuenta]],Estructura_Balance[Nombre Cuenta ()],Estructura_Balance[Niveles:2],"",0)</f>
        <v/>
      </c>
      <c r="W1283" t="str">
        <f>_xlfn.XLOOKUP(Table3[[#This Row],[Cuenta]],Estructura_Balance[Nombre Cuenta ()],Estructura_Balance[Niveles:3],"",0)</f>
        <v/>
      </c>
      <c r="X1283" t="str">
        <f>_xlfn.XLOOKUP(Table3[[#This Row],[Cuenta]],Estructura_Balance[Nombre Cuenta ()],Estructura_Balance[Grupos],"Grupo 1",0)</f>
        <v>Grupo 1</v>
      </c>
      <c r="Y1283" t="str">
        <f>+Table3[[#This Row],[BS_Nivel_1]]</f>
        <v/>
      </c>
    </row>
    <row r="1284" spans="1:25" ht="15" customHeight="1">
      <c r="A1284">
        <f>+'Libro Diario'!F704</f>
        <v>0</v>
      </c>
      <c r="B1284" s="144">
        <f>VALUE(IF(+'Libro Diario'!G704="","01/01/2025",+'Libro Diario'!G704))</f>
        <v>45658</v>
      </c>
      <c r="C1284">
        <f>IF(ISNUMBER(+IF(IFERROR(VALUE(MID('Libro Diario'!D704,1,4)),0)&lt;&gt;0,'Libro Diario'!D704,0))=FALSE,'Libro Diario'!D704,0)</f>
        <v>0</v>
      </c>
      <c r="D1284" s="145">
        <f>+'Libro Diario'!E704</f>
        <v>0</v>
      </c>
      <c r="E1284" s="139" t="s">
        <v>446</v>
      </c>
      <c r="F1284" t="str">
        <f t="shared" si="60"/>
        <v>Sin Mov.</v>
      </c>
      <c r="G1284" t="str">
        <f>IF(+'Libro Diario'!H704=0,"",+'Libro Diario'!H704)</f>
        <v/>
      </c>
      <c r="H1284" t="str">
        <f>IF(+'Libro Diario'!I704=0,"",+'Libro Diario'!I704)</f>
        <v/>
      </c>
      <c r="I1284" t="str">
        <f>+IF(Table3[[#This Row],[Tipo Movimiento]]="Estructura Balance y PyG","Excluir","Incluir")</f>
        <v>Incluir</v>
      </c>
      <c r="J1284" s="153">
        <f>+IF(Table3[[#This Row],[Sin cuenta]]="Con Mov.",(IF(Table3[[#This Row],[Movimiento]]="Debe",Table3[[#This Row],[Importe]],IF(Table3[[#This Row],[Movimiento]]="Haber",Table3[[#This Row],[Importe]]*-1,0))),0)</f>
        <v>0</v>
      </c>
      <c r="K1284" s="145" t="str">
        <f t="shared" si="61"/>
        <v/>
      </c>
      <c r="L1284" s="145">
        <f t="shared" si="62"/>
        <v>0</v>
      </c>
      <c r="M1284" t="str">
        <f>_xlfn.XLOOKUP(Table3[[#This Row],[Cuenta]],Estructura_Balance[Nombre Cuenta ()],Estructura_Balance[Grupo],"",0)</f>
        <v/>
      </c>
      <c r="N1284" t="str">
        <f>_xlfn.XLOOKUP(Table3[[#This Row],[Cuenta]],Estructura_Balance[Nombre Cuenta ()],Estructura_Balance[Nivel 1],"",0)</f>
        <v/>
      </c>
      <c r="O1284" t="str">
        <f>_xlfn.XLOOKUP(Table3[[#This Row],[Cuenta]],Estructura_Balance[Nombre Cuenta ()],Estructura_Balance[Nivel 2],"",0)</f>
        <v/>
      </c>
      <c r="P1284" t="str">
        <f>_xlfn.XLOOKUP(Table3[[#This Row],[Cuenta]],Estructura_Balance[Nombre Cuenta ()],Estructura_Balance[Nivel 3],"",0)</f>
        <v/>
      </c>
      <c r="Q1284" t="str">
        <f>_xlfn.XLOOKUP(Table3[[#This Row],[Cuenta]],Estructura_Balance[Nombre Cuenta ()],Estructura_Balance[Nivel 4],"",0)</f>
        <v/>
      </c>
      <c r="R1284" t="str">
        <f>_xlfn.XLOOKUP(Table3[[#This Row],[Cuenta]],Table8[Nombre Cuenta ()],Table8[Nivel 1],"",0)</f>
        <v/>
      </c>
      <c r="S1284" t="str">
        <f>_xlfn.XLOOKUP(Table3[[#This Row],[Cuenta]],Table8[Nombre Cuenta ()],Table8[Nivel 2],"",0)</f>
        <v/>
      </c>
      <c r="T1284" t="str">
        <f>_xlfn.XLOOKUP(Table3[[#This Row],[Cuenta]],Table8[Nombre Cuenta ()],Table8[Nivel 3],"",0)</f>
        <v/>
      </c>
      <c r="U1284">
        <v>1163</v>
      </c>
      <c r="V1284" t="str">
        <f>_xlfn.XLOOKUP(Table3[[#This Row],[Cuenta]],Estructura_Balance[Nombre Cuenta ()],Estructura_Balance[Niveles:2],"",0)</f>
        <v/>
      </c>
      <c r="W1284" t="str">
        <f>_xlfn.XLOOKUP(Table3[[#This Row],[Cuenta]],Estructura_Balance[Nombre Cuenta ()],Estructura_Balance[Niveles:3],"",0)</f>
        <v/>
      </c>
      <c r="X1284" t="str">
        <f>_xlfn.XLOOKUP(Table3[[#This Row],[Cuenta]],Estructura_Balance[Nombre Cuenta ()],Estructura_Balance[Grupos],"Grupo 1",0)</f>
        <v>Grupo 1</v>
      </c>
      <c r="Y1284" t="str">
        <f>+Table3[[#This Row],[BS_Nivel_1]]</f>
        <v/>
      </c>
    </row>
    <row r="1285" spans="1:25" ht="15" customHeight="1">
      <c r="A1285">
        <f>+'Libro Diario'!F705</f>
        <v>0</v>
      </c>
      <c r="B1285" s="144">
        <f>VALUE(IF(+'Libro Diario'!G705="","01/01/2025",+'Libro Diario'!G705))</f>
        <v>45658</v>
      </c>
      <c r="C1285">
        <f>IF(ISNUMBER(+IF(IFERROR(VALUE(MID('Libro Diario'!D705,1,4)),0)&lt;&gt;0,'Libro Diario'!D705,0))=FALSE,'Libro Diario'!D705,0)</f>
        <v>0</v>
      </c>
      <c r="D1285" s="145">
        <f>+'Libro Diario'!E705</f>
        <v>0</v>
      </c>
      <c r="E1285" s="139" t="s">
        <v>446</v>
      </c>
      <c r="F1285" t="str">
        <f t="shared" si="60"/>
        <v>Sin Mov.</v>
      </c>
      <c r="G1285" t="str">
        <f>IF(+'Libro Diario'!H705=0,"",+'Libro Diario'!H705)</f>
        <v/>
      </c>
      <c r="H1285" t="str">
        <f>IF(+'Libro Diario'!I705=0,"",+'Libro Diario'!I705)</f>
        <v/>
      </c>
      <c r="I1285" t="str">
        <f>+IF(Table3[[#This Row],[Tipo Movimiento]]="Estructura Balance y PyG","Excluir","Incluir")</f>
        <v>Incluir</v>
      </c>
      <c r="J1285" s="153">
        <f>+IF(Table3[[#This Row],[Sin cuenta]]="Con Mov.",(IF(Table3[[#This Row],[Movimiento]]="Debe",Table3[[#This Row],[Importe]],IF(Table3[[#This Row],[Movimiento]]="Haber",Table3[[#This Row],[Importe]]*-1,0))),0)</f>
        <v>0</v>
      </c>
      <c r="K1285" s="145" t="str">
        <f t="shared" si="61"/>
        <v/>
      </c>
      <c r="L1285" s="145">
        <f t="shared" si="62"/>
        <v>0</v>
      </c>
      <c r="M1285" t="str">
        <f>_xlfn.XLOOKUP(Table3[[#This Row],[Cuenta]],Estructura_Balance[Nombre Cuenta ()],Estructura_Balance[Grupo],"",0)</f>
        <v/>
      </c>
      <c r="N1285" t="str">
        <f>_xlfn.XLOOKUP(Table3[[#This Row],[Cuenta]],Estructura_Balance[Nombre Cuenta ()],Estructura_Balance[Nivel 1],"",0)</f>
        <v/>
      </c>
      <c r="O1285" t="str">
        <f>_xlfn.XLOOKUP(Table3[[#This Row],[Cuenta]],Estructura_Balance[Nombre Cuenta ()],Estructura_Balance[Nivel 2],"",0)</f>
        <v/>
      </c>
      <c r="P1285" t="str">
        <f>_xlfn.XLOOKUP(Table3[[#This Row],[Cuenta]],Estructura_Balance[Nombre Cuenta ()],Estructura_Balance[Nivel 3],"",0)</f>
        <v/>
      </c>
      <c r="Q1285" t="str">
        <f>_xlfn.XLOOKUP(Table3[[#This Row],[Cuenta]],Estructura_Balance[Nombre Cuenta ()],Estructura_Balance[Nivel 4],"",0)</f>
        <v/>
      </c>
      <c r="R1285" t="str">
        <f>_xlfn.XLOOKUP(Table3[[#This Row],[Cuenta]],Table8[Nombre Cuenta ()],Table8[Nivel 1],"",0)</f>
        <v/>
      </c>
      <c r="S1285" t="str">
        <f>_xlfn.XLOOKUP(Table3[[#This Row],[Cuenta]],Table8[Nombre Cuenta ()],Table8[Nivel 2],"",0)</f>
        <v/>
      </c>
      <c r="T1285" t="str">
        <f>_xlfn.XLOOKUP(Table3[[#This Row],[Cuenta]],Table8[Nombre Cuenta ()],Table8[Nivel 3],"",0)</f>
        <v/>
      </c>
      <c r="U1285">
        <v>171</v>
      </c>
      <c r="V1285" t="str">
        <f>_xlfn.XLOOKUP(Table3[[#This Row],[Cuenta]],Estructura_Balance[Nombre Cuenta ()],Estructura_Balance[Niveles:2],"",0)</f>
        <v/>
      </c>
      <c r="W1285" t="str">
        <f>_xlfn.XLOOKUP(Table3[[#This Row],[Cuenta]],Estructura_Balance[Nombre Cuenta ()],Estructura_Balance[Niveles:3],"",0)</f>
        <v/>
      </c>
      <c r="X1285" t="str">
        <f>_xlfn.XLOOKUP(Table3[[#This Row],[Cuenta]],Estructura_Balance[Nombre Cuenta ()],Estructura_Balance[Grupos],"Grupo 1",0)</f>
        <v>Grupo 1</v>
      </c>
      <c r="Y1285" t="str">
        <f>+Table3[[#This Row],[BS_Nivel_1]]</f>
        <v/>
      </c>
    </row>
    <row r="1286" spans="1:25" ht="15" customHeight="1">
      <c r="A1286">
        <f>+'Libro Diario'!F706</f>
        <v>0</v>
      </c>
      <c r="B1286" s="144">
        <f>VALUE(IF(+'Libro Diario'!G706="","01/01/2025",+'Libro Diario'!G706))</f>
        <v>45658</v>
      </c>
      <c r="C1286">
        <f>IF(ISNUMBER(+IF(IFERROR(VALUE(MID('Libro Diario'!D706,1,4)),0)&lt;&gt;0,'Libro Diario'!D706,0))=FALSE,'Libro Diario'!D706,0)</f>
        <v>0</v>
      </c>
      <c r="D1286" s="145">
        <f>+'Libro Diario'!E706</f>
        <v>0</v>
      </c>
      <c r="E1286" s="139" t="s">
        <v>446</v>
      </c>
      <c r="F1286" t="str">
        <f t="shared" si="60"/>
        <v>Sin Mov.</v>
      </c>
      <c r="G1286" t="str">
        <f>IF(+'Libro Diario'!H706=0,"",+'Libro Diario'!H706)</f>
        <v/>
      </c>
      <c r="H1286" t="str">
        <f>IF(+'Libro Diario'!I706=0,"",+'Libro Diario'!I706)</f>
        <v/>
      </c>
      <c r="I1286" t="str">
        <f>+IF(Table3[[#This Row],[Tipo Movimiento]]="Estructura Balance y PyG","Excluir","Incluir")</f>
        <v>Incluir</v>
      </c>
      <c r="J1286" s="153">
        <f>+IF(Table3[[#This Row],[Sin cuenta]]="Con Mov.",(IF(Table3[[#This Row],[Movimiento]]="Debe",Table3[[#This Row],[Importe]],IF(Table3[[#This Row],[Movimiento]]="Haber",Table3[[#This Row],[Importe]]*-1,0))),0)</f>
        <v>0</v>
      </c>
      <c r="K1286" s="145" t="str">
        <f t="shared" si="61"/>
        <v/>
      </c>
      <c r="L1286" s="145">
        <f t="shared" si="62"/>
        <v>0</v>
      </c>
      <c r="M1286" t="str">
        <f>_xlfn.XLOOKUP(Table3[[#This Row],[Cuenta]],Estructura_Balance[Nombre Cuenta ()],Estructura_Balance[Grupo],"",0)</f>
        <v/>
      </c>
      <c r="N1286" t="str">
        <f>_xlfn.XLOOKUP(Table3[[#This Row],[Cuenta]],Estructura_Balance[Nombre Cuenta ()],Estructura_Balance[Nivel 1],"",0)</f>
        <v/>
      </c>
      <c r="O1286" t="str">
        <f>_xlfn.XLOOKUP(Table3[[#This Row],[Cuenta]],Estructura_Balance[Nombre Cuenta ()],Estructura_Balance[Nivel 2],"",0)</f>
        <v/>
      </c>
      <c r="P1286" t="str">
        <f>_xlfn.XLOOKUP(Table3[[#This Row],[Cuenta]],Estructura_Balance[Nombre Cuenta ()],Estructura_Balance[Nivel 3],"",0)</f>
        <v/>
      </c>
      <c r="Q1286" t="str">
        <f>_xlfn.XLOOKUP(Table3[[#This Row],[Cuenta]],Estructura_Balance[Nombre Cuenta ()],Estructura_Balance[Nivel 4],"",0)</f>
        <v/>
      </c>
      <c r="R1286" t="str">
        <f>_xlfn.XLOOKUP(Table3[[#This Row],[Cuenta]],Table8[Nombre Cuenta ()],Table8[Nivel 1],"",0)</f>
        <v/>
      </c>
      <c r="S1286" t="str">
        <f>_xlfn.XLOOKUP(Table3[[#This Row],[Cuenta]],Table8[Nombre Cuenta ()],Table8[Nivel 2],"",0)</f>
        <v/>
      </c>
      <c r="T1286" t="str">
        <f>_xlfn.XLOOKUP(Table3[[#This Row],[Cuenta]],Table8[Nombre Cuenta ()],Table8[Nivel 3],"",0)</f>
        <v/>
      </c>
      <c r="U1286">
        <v>172</v>
      </c>
      <c r="V1286" t="str">
        <f>_xlfn.XLOOKUP(Table3[[#This Row],[Cuenta]],Estructura_Balance[Nombre Cuenta ()],Estructura_Balance[Niveles:2],"",0)</f>
        <v/>
      </c>
      <c r="W1286" t="str">
        <f>_xlfn.XLOOKUP(Table3[[#This Row],[Cuenta]],Estructura_Balance[Nombre Cuenta ()],Estructura_Balance[Niveles:3],"",0)</f>
        <v/>
      </c>
      <c r="X1286" t="str">
        <f>_xlfn.XLOOKUP(Table3[[#This Row],[Cuenta]],Estructura_Balance[Nombre Cuenta ()],Estructura_Balance[Grupos],"Grupo 1",0)</f>
        <v>Grupo 1</v>
      </c>
      <c r="Y1286" t="str">
        <f>+Table3[[#This Row],[BS_Nivel_1]]</f>
        <v/>
      </c>
    </row>
    <row r="1287" spans="1:25" ht="15" customHeight="1">
      <c r="A1287">
        <f>+'Libro Diario'!F707</f>
        <v>0</v>
      </c>
      <c r="B1287" s="144">
        <f>VALUE(IF(+'Libro Diario'!G707="","01/01/2025",+'Libro Diario'!G707))</f>
        <v>45658</v>
      </c>
      <c r="C1287">
        <f>IF(ISNUMBER(+IF(IFERROR(VALUE(MID('Libro Diario'!D707,1,4)),0)&lt;&gt;0,'Libro Diario'!D707,0))=FALSE,'Libro Diario'!D707,0)</f>
        <v>0</v>
      </c>
      <c r="D1287" s="145">
        <f>+'Libro Diario'!E707</f>
        <v>0</v>
      </c>
      <c r="E1287" s="139" t="s">
        <v>446</v>
      </c>
      <c r="F1287" t="str">
        <f t="shared" si="60"/>
        <v>Sin Mov.</v>
      </c>
      <c r="G1287" t="str">
        <f>IF(+'Libro Diario'!H707=0,"",+'Libro Diario'!H707)</f>
        <v/>
      </c>
      <c r="H1287" t="str">
        <f>IF(+'Libro Diario'!I707=0,"",+'Libro Diario'!I707)</f>
        <v/>
      </c>
      <c r="I1287" t="str">
        <f>+IF(Table3[[#This Row],[Tipo Movimiento]]="Estructura Balance y PyG","Excluir","Incluir")</f>
        <v>Incluir</v>
      </c>
      <c r="J1287" s="153">
        <f>+IF(Table3[[#This Row],[Sin cuenta]]="Con Mov.",(IF(Table3[[#This Row],[Movimiento]]="Debe",Table3[[#This Row],[Importe]],IF(Table3[[#This Row],[Movimiento]]="Haber",Table3[[#This Row],[Importe]]*-1,0))),0)</f>
        <v>0</v>
      </c>
      <c r="K1287" s="145" t="str">
        <f t="shared" si="61"/>
        <v/>
      </c>
      <c r="L1287" s="145">
        <f t="shared" si="62"/>
        <v>0</v>
      </c>
      <c r="M1287" t="str">
        <f>_xlfn.XLOOKUP(Table3[[#This Row],[Cuenta]],Estructura_Balance[Nombre Cuenta ()],Estructura_Balance[Grupo],"",0)</f>
        <v/>
      </c>
      <c r="N1287" t="str">
        <f>_xlfn.XLOOKUP(Table3[[#This Row],[Cuenta]],Estructura_Balance[Nombre Cuenta ()],Estructura_Balance[Nivel 1],"",0)</f>
        <v/>
      </c>
      <c r="O1287" t="str">
        <f>_xlfn.XLOOKUP(Table3[[#This Row],[Cuenta]],Estructura_Balance[Nombre Cuenta ()],Estructura_Balance[Nivel 2],"",0)</f>
        <v/>
      </c>
      <c r="P1287" t="str">
        <f>_xlfn.XLOOKUP(Table3[[#This Row],[Cuenta]],Estructura_Balance[Nombre Cuenta ()],Estructura_Balance[Nivel 3],"",0)</f>
        <v/>
      </c>
      <c r="Q1287" t="str">
        <f>_xlfn.XLOOKUP(Table3[[#This Row],[Cuenta]],Estructura_Balance[Nombre Cuenta ()],Estructura_Balance[Nivel 4],"",0)</f>
        <v/>
      </c>
      <c r="R1287" t="str">
        <f>_xlfn.XLOOKUP(Table3[[#This Row],[Cuenta]],Table8[Nombre Cuenta ()],Table8[Nivel 1],"",0)</f>
        <v/>
      </c>
      <c r="S1287" t="str">
        <f>_xlfn.XLOOKUP(Table3[[#This Row],[Cuenta]],Table8[Nombre Cuenta ()],Table8[Nivel 2],"",0)</f>
        <v/>
      </c>
      <c r="T1287" t="str">
        <f>_xlfn.XLOOKUP(Table3[[#This Row],[Cuenta]],Table8[Nombre Cuenta ()],Table8[Nivel 3],"",0)</f>
        <v/>
      </c>
      <c r="U1287">
        <v>1169</v>
      </c>
      <c r="V1287" t="str">
        <f>_xlfn.XLOOKUP(Table3[[#This Row],[Cuenta]],Estructura_Balance[Nombre Cuenta ()],Estructura_Balance[Niveles:2],"",0)</f>
        <v/>
      </c>
      <c r="W1287" t="str">
        <f>_xlfn.XLOOKUP(Table3[[#This Row],[Cuenta]],Estructura_Balance[Nombre Cuenta ()],Estructura_Balance[Niveles:3],"",0)</f>
        <v/>
      </c>
      <c r="X1287" t="str">
        <f>_xlfn.XLOOKUP(Table3[[#This Row],[Cuenta]],Estructura_Balance[Nombre Cuenta ()],Estructura_Balance[Grupos],"Grupo 1",0)</f>
        <v>Grupo 1</v>
      </c>
      <c r="Y1287" t="str">
        <f>+Table3[[#This Row],[BS_Nivel_1]]</f>
        <v/>
      </c>
    </row>
    <row r="1288" spans="1:25" ht="15" customHeight="1">
      <c r="A1288">
        <f>+'Libro Diario'!F708</f>
        <v>0</v>
      </c>
      <c r="B1288" s="144">
        <f>VALUE(IF(+'Libro Diario'!G708="","01/01/2025",+'Libro Diario'!G708))</f>
        <v>45658</v>
      </c>
      <c r="C1288">
        <f>IF(ISNUMBER(+IF(IFERROR(VALUE(MID('Libro Diario'!D708,1,4)),0)&lt;&gt;0,'Libro Diario'!D708,0))=FALSE,'Libro Diario'!D708,0)</f>
        <v>0</v>
      </c>
      <c r="D1288" s="145">
        <f>+'Libro Diario'!E708</f>
        <v>0</v>
      </c>
      <c r="E1288" s="139" t="s">
        <v>446</v>
      </c>
      <c r="F1288" t="str">
        <f t="shared" si="60"/>
        <v>Sin Mov.</v>
      </c>
      <c r="G1288" t="str">
        <f>IF(+'Libro Diario'!H708=0,"",+'Libro Diario'!H708)</f>
        <v/>
      </c>
      <c r="H1288" t="str">
        <f>IF(+'Libro Diario'!I708=0,"",+'Libro Diario'!I708)</f>
        <v/>
      </c>
      <c r="I1288" t="str">
        <f>+IF(Table3[[#This Row],[Tipo Movimiento]]="Estructura Balance y PyG","Excluir","Incluir")</f>
        <v>Incluir</v>
      </c>
      <c r="J1288" s="153">
        <f>+IF(Table3[[#This Row],[Sin cuenta]]="Con Mov.",(IF(Table3[[#This Row],[Movimiento]]="Debe",Table3[[#This Row],[Importe]],IF(Table3[[#This Row],[Movimiento]]="Haber",Table3[[#This Row],[Importe]]*-1,0))),0)</f>
        <v>0</v>
      </c>
      <c r="K1288" s="145" t="str">
        <f t="shared" si="61"/>
        <v/>
      </c>
      <c r="L1288" s="145">
        <f t="shared" si="62"/>
        <v>0</v>
      </c>
      <c r="M1288" t="str">
        <f>_xlfn.XLOOKUP(Table3[[#This Row],[Cuenta]],Estructura_Balance[Nombre Cuenta ()],Estructura_Balance[Grupo],"",0)</f>
        <v/>
      </c>
      <c r="N1288" t="str">
        <f>_xlfn.XLOOKUP(Table3[[#This Row],[Cuenta]],Estructura_Balance[Nombre Cuenta ()],Estructura_Balance[Nivel 1],"",0)</f>
        <v/>
      </c>
      <c r="O1288" t="str">
        <f>_xlfn.XLOOKUP(Table3[[#This Row],[Cuenta]],Estructura_Balance[Nombre Cuenta ()],Estructura_Balance[Nivel 2],"",0)</f>
        <v/>
      </c>
      <c r="P1288" t="str">
        <f>_xlfn.XLOOKUP(Table3[[#This Row],[Cuenta]],Estructura_Balance[Nombre Cuenta ()],Estructura_Balance[Nivel 3],"",0)</f>
        <v/>
      </c>
      <c r="Q1288" t="str">
        <f>_xlfn.XLOOKUP(Table3[[#This Row],[Cuenta]],Estructura_Balance[Nombre Cuenta ()],Estructura_Balance[Nivel 4],"",0)</f>
        <v/>
      </c>
      <c r="R1288" t="str">
        <f>_xlfn.XLOOKUP(Table3[[#This Row],[Cuenta]],Table8[Nombre Cuenta ()],Table8[Nivel 1],"",0)</f>
        <v/>
      </c>
      <c r="S1288" t="str">
        <f>_xlfn.XLOOKUP(Table3[[#This Row],[Cuenta]],Table8[Nombre Cuenta ()],Table8[Nivel 2],"",0)</f>
        <v/>
      </c>
      <c r="T1288" t="str">
        <f>_xlfn.XLOOKUP(Table3[[#This Row],[Cuenta]],Table8[Nombre Cuenta ()],Table8[Nivel 3],"",0)</f>
        <v/>
      </c>
      <c r="U1288">
        <v>1170</v>
      </c>
      <c r="V1288" t="str">
        <f>_xlfn.XLOOKUP(Table3[[#This Row],[Cuenta]],Estructura_Balance[Nombre Cuenta ()],Estructura_Balance[Niveles:2],"",0)</f>
        <v/>
      </c>
      <c r="W1288" t="str">
        <f>_xlfn.XLOOKUP(Table3[[#This Row],[Cuenta]],Estructura_Balance[Nombre Cuenta ()],Estructura_Balance[Niveles:3],"",0)</f>
        <v/>
      </c>
      <c r="X1288" t="str">
        <f>_xlfn.XLOOKUP(Table3[[#This Row],[Cuenta]],Estructura_Balance[Nombre Cuenta ()],Estructura_Balance[Grupos],"Grupo 1",0)</f>
        <v>Grupo 1</v>
      </c>
      <c r="Y1288" t="str">
        <f>+Table3[[#This Row],[BS_Nivel_1]]</f>
        <v/>
      </c>
    </row>
    <row r="1289" spans="1:25" ht="15" customHeight="1">
      <c r="A1289">
        <f>+'Libro Diario'!F709</f>
        <v>0</v>
      </c>
      <c r="B1289" s="144">
        <f>VALUE(IF(+'Libro Diario'!G709="","01/01/2025",+'Libro Diario'!G709))</f>
        <v>45658</v>
      </c>
      <c r="C1289">
        <f>IF(ISNUMBER(+IF(IFERROR(VALUE(MID('Libro Diario'!D709,1,4)),0)&lt;&gt;0,'Libro Diario'!D709,0))=FALSE,'Libro Diario'!D709,0)</f>
        <v>0</v>
      </c>
      <c r="D1289" s="145">
        <f>+'Libro Diario'!E709</f>
        <v>0</v>
      </c>
      <c r="E1289" s="139" t="s">
        <v>446</v>
      </c>
      <c r="F1289" t="str">
        <f t="shared" si="60"/>
        <v>Sin Mov.</v>
      </c>
      <c r="G1289" t="str">
        <f>IF(+'Libro Diario'!H709=0,"",+'Libro Diario'!H709)</f>
        <v/>
      </c>
      <c r="H1289" t="str">
        <f>IF(+'Libro Diario'!I709=0,"",+'Libro Diario'!I709)</f>
        <v/>
      </c>
      <c r="I1289" t="str">
        <f>+IF(Table3[[#This Row],[Tipo Movimiento]]="Estructura Balance y PyG","Excluir","Incluir")</f>
        <v>Incluir</v>
      </c>
      <c r="J1289" s="153">
        <f>+IF(Table3[[#This Row],[Sin cuenta]]="Con Mov.",(IF(Table3[[#This Row],[Movimiento]]="Debe",Table3[[#This Row],[Importe]],IF(Table3[[#This Row],[Movimiento]]="Haber",Table3[[#This Row],[Importe]]*-1,0))),0)</f>
        <v>0</v>
      </c>
      <c r="K1289" s="145" t="str">
        <f t="shared" si="61"/>
        <v/>
      </c>
      <c r="L1289" s="145">
        <f t="shared" si="62"/>
        <v>0</v>
      </c>
      <c r="M1289" t="str">
        <f>_xlfn.XLOOKUP(Table3[[#This Row],[Cuenta]],Estructura_Balance[Nombre Cuenta ()],Estructura_Balance[Grupo],"",0)</f>
        <v/>
      </c>
      <c r="N1289" t="str">
        <f>_xlfn.XLOOKUP(Table3[[#This Row],[Cuenta]],Estructura_Balance[Nombre Cuenta ()],Estructura_Balance[Nivel 1],"",0)</f>
        <v/>
      </c>
      <c r="O1289" t="str">
        <f>_xlfn.XLOOKUP(Table3[[#This Row],[Cuenta]],Estructura_Balance[Nombre Cuenta ()],Estructura_Balance[Nivel 2],"",0)</f>
        <v/>
      </c>
      <c r="P1289" t="str">
        <f>_xlfn.XLOOKUP(Table3[[#This Row],[Cuenta]],Estructura_Balance[Nombre Cuenta ()],Estructura_Balance[Nivel 3],"",0)</f>
        <v/>
      </c>
      <c r="Q1289" t="str">
        <f>_xlfn.XLOOKUP(Table3[[#This Row],[Cuenta]],Estructura_Balance[Nombre Cuenta ()],Estructura_Balance[Nivel 4],"",0)</f>
        <v/>
      </c>
      <c r="R1289" t="str">
        <f>_xlfn.XLOOKUP(Table3[[#This Row],[Cuenta]],Table8[Nombre Cuenta ()],Table8[Nivel 1],"",0)</f>
        <v/>
      </c>
      <c r="S1289" t="str">
        <f>_xlfn.XLOOKUP(Table3[[#This Row],[Cuenta]],Table8[Nombre Cuenta ()],Table8[Nivel 2],"",0)</f>
        <v/>
      </c>
      <c r="T1289" t="str">
        <f>_xlfn.XLOOKUP(Table3[[#This Row],[Cuenta]],Table8[Nombre Cuenta ()],Table8[Nivel 3],"",0)</f>
        <v/>
      </c>
      <c r="U1289">
        <v>178</v>
      </c>
      <c r="V1289" t="str">
        <f>_xlfn.XLOOKUP(Table3[[#This Row],[Cuenta]],Estructura_Balance[Nombre Cuenta ()],Estructura_Balance[Niveles:2],"",0)</f>
        <v/>
      </c>
      <c r="W1289" t="str">
        <f>_xlfn.XLOOKUP(Table3[[#This Row],[Cuenta]],Estructura_Balance[Nombre Cuenta ()],Estructura_Balance[Niveles:3],"",0)</f>
        <v/>
      </c>
      <c r="X1289" t="str">
        <f>_xlfn.XLOOKUP(Table3[[#This Row],[Cuenta]],Estructura_Balance[Nombre Cuenta ()],Estructura_Balance[Grupos],"Grupo 1",0)</f>
        <v>Grupo 1</v>
      </c>
      <c r="Y1289" t="str">
        <f>+Table3[[#This Row],[BS_Nivel_1]]</f>
        <v/>
      </c>
    </row>
    <row r="1290" spans="1:25" ht="15" customHeight="1">
      <c r="A1290">
        <f>+'Libro Diario'!F710</f>
        <v>0</v>
      </c>
      <c r="B1290" s="144">
        <f>VALUE(IF(+'Libro Diario'!G710="","01/01/2025",+'Libro Diario'!G710))</f>
        <v>45658</v>
      </c>
      <c r="C1290">
        <f>IF(ISNUMBER(+IF(IFERROR(VALUE(MID('Libro Diario'!D710,1,4)),0)&lt;&gt;0,'Libro Diario'!D710,0))=FALSE,'Libro Diario'!D710,0)</f>
        <v>0</v>
      </c>
      <c r="D1290" s="145">
        <f>+'Libro Diario'!E710</f>
        <v>0</v>
      </c>
      <c r="E1290" s="139" t="s">
        <v>446</v>
      </c>
      <c r="F1290" t="str">
        <f t="shared" si="60"/>
        <v>Sin Mov.</v>
      </c>
      <c r="G1290" t="str">
        <f>IF(+'Libro Diario'!H710=0,"",+'Libro Diario'!H710)</f>
        <v/>
      </c>
      <c r="H1290" t="str">
        <f>IF(+'Libro Diario'!I710=0,"",+'Libro Diario'!I710)</f>
        <v/>
      </c>
      <c r="I1290" t="str">
        <f>+IF(Table3[[#This Row],[Tipo Movimiento]]="Estructura Balance y PyG","Excluir","Incluir")</f>
        <v>Incluir</v>
      </c>
      <c r="J1290" s="153">
        <f>+IF(Table3[[#This Row],[Sin cuenta]]="Con Mov.",(IF(Table3[[#This Row],[Movimiento]]="Debe",Table3[[#This Row],[Importe]],IF(Table3[[#This Row],[Movimiento]]="Haber",Table3[[#This Row],[Importe]]*-1,0))),0)</f>
        <v>0</v>
      </c>
      <c r="K1290" s="145" t="str">
        <f t="shared" si="61"/>
        <v/>
      </c>
      <c r="L1290" s="145">
        <f t="shared" si="62"/>
        <v>0</v>
      </c>
      <c r="M1290" t="str">
        <f>_xlfn.XLOOKUP(Table3[[#This Row],[Cuenta]],Estructura_Balance[Nombre Cuenta ()],Estructura_Balance[Grupo],"",0)</f>
        <v/>
      </c>
      <c r="N1290" t="str">
        <f>_xlfn.XLOOKUP(Table3[[#This Row],[Cuenta]],Estructura_Balance[Nombre Cuenta ()],Estructura_Balance[Nivel 1],"",0)</f>
        <v/>
      </c>
      <c r="O1290" t="str">
        <f>_xlfn.XLOOKUP(Table3[[#This Row],[Cuenta]],Estructura_Balance[Nombre Cuenta ()],Estructura_Balance[Nivel 2],"",0)</f>
        <v/>
      </c>
      <c r="P1290" t="str">
        <f>_xlfn.XLOOKUP(Table3[[#This Row],[Cuenta]],Estructura_Balance[Nombre Cuenta ()],Estructura_Balance[Nivel 3],"",0)</f>
        <v/>
      </c>
      <c r="Q1290" t="str">
        <f>_xlfn.XLOOKUP(Table3[[#This Row],[Cuenta]],Estructura_Balance[Nombre Cuenta ()],Estructura_Balance[Nivel 4],"",0)</f>
        <v/>
      </c>
      <c r="R1290" t="str">
        <f>_xlfn.XLOOKUP(Table3[[#This Row],[Cuenta]],Table8[Nombre Cuenta ()],Table8[Nivel 1],"",0)</f>
        <v/>
      </c>
      <c r="S1290" t="str">
        <f>_xlfn.XLOOKUP(Table3[[#This Row],[Cuenta]],Table8[Nombre Cuenta ()],Table8[Nivel 2],"",0)</f>
        <v/>
      </c>
      <c r="T1290" t="str">
        <f>_xlfn.XLOOKUP(Table3[[#This Row],[Cuenta]],Table8[Nombre Cuenta ()],Table8[Nivel 3],"",0)</f>
        <v/>
      </c>
      <c r="U1290">
        <v>179</v>
      </c>
      <c r="V1290" t="str">
        <f>_xlfn.XLOOKUP(Table3[[#This Row],[Cuenta]],Estructura_Balance[Nombre Cuenta ()],Estructura_Balance[Niveles:2],"",0)</f>
        <v/>
      </c>
      <c r="W1290" t="str">
        <f>_xlfn.XLOOKUP(Table3[[#This Row],[Cuenta]],Estructura_Balance[Nombre Cuenta ()],Estructura_Balance[Niveles:3],"",0)</f>
        <v/>
      </c>
      <c r="X1290" t="str">
        <f>_xlfn.XLOOKUP(Table3[[#This Row],[Cuenta]],Estructura_Balance[Nombre Cuenta ()],Estructura_Balance[Grupos],"Grupo 1",0)</f>
        <v>Grupo 1</v>
      </c>
      <c r="Y1290" t="str">
        <f>+Table3[[#This Row],[BS_Nivel_1]]</f>
        <v/>
      </c>
    </row>
    <row r="1291" spans="1:25" ht="15" customHeight="1">
      <c r="A1291">
        <f>+'Libro Diario'!F711</f>
        <v>0</v>
      </c>
      <c r="B1291" s="144">
        <f>VALUE(IF(+'Libro Diario'!G711="","01/01/2025",+'Libro Diario'!G711))</f>
        <v>45658</v>
      </c>
      <c r="C1291">
        <f>IF(ISNUMBER(+IF(IFERROR(VALUE(MID('Libro Diario'!D711,1,4)),0)&lt;&gt;0,'Libro Diario'!D711,0))=FALSE,'Libro Diario'!D711,0)</f>
        <v>0</v>
      </c>
      <c r="D1291" s="145">
        <f>+'Libro Diario'!E711</f>
        <v>0</v>
      </c>
      <c r="E1291" s="139" t="s">
        <v>446</v>
      </c>
      <c r="F1291" t="str">
        <f t="shared" si="60"/>
        <v>Sin Mov.</v>
      </c>
      <c r="G1291" t="str">
        <f>IF(+'Libro Diario'!H711=0,"",+'Libro Diario'!H711)</f>
        <v/>
      </c>
      <c r="H1291" t="str">
        <f>IF(+'Libro Diario'!I711=0,"",+'Libro Diario'!I711)</f>
        <v/>
      </c>
      <c r="I1291" t="str">
        <f>+IF(Table3[[#This Row],[Tipo Movimiento]]="Estructura Balance y PyG","Excluir","Incluir")</f>
        <v>Incluir</v>
      </c>
      <c r="J1291" s="153">
        <f>+IF(Table3[[#This Row],[Sin cuenta]]="Con Mov.",(IF(Table3[[#This Row],[Movimiento]]="Debe",Table3[[#This Row],[Importe]],IF(Table3[[#This Row],[Movimiento]]="Haber",Table3[[#This Row],[Importe]]*-1,0))),0)</f>
        <v>0</v>
      </c>
      <c r="K1291" s="145" t="str">
        <f t="shared" si="61"/>
        <v/>
      </c>
      <c r="L1291" s="145">
        <f t="shared" si="62"/>
        <v>0</v>
      </c>
      <c r="M1291" t="str">
        <f>_xlfn.XLOOKUP(Table3[[#This Row],[Cuenta]],Estructura_Balance[Nombre Cuenta ()],Estructura_Balance[Grupo],"",0)</f>
        <v/>
      </c>
      <c r="N1291" t="str">
        <f>_xlfn.XLOOKUP(Table3[[#This Row],[Cuenta]],Estructura_Balance[Nombre Cuenta ()],Estructura_Balance[Nivel 1],"",0)</f>
        <v/>
      </c>
      <c r="O1291" t="str">
        <f>_xlfn.XLOOKUP(Table3[[#This Row],[Cuenta]],Estructura_Balance[Nombre Cuenta ()],Estructura_Balance[Nivel 2],"",0)</f>
        <v/>
      </c>
      <c r="P1291" t="str">
        <f>_xlfn.XLOOKUP(Table3[[#This Row],[Cuenta]],Estructura_Balance[Nombre Cuenta ()],Estructura_Balance[Nivel 3],"",0)</f>
        <v/>
      </c>
      <c r="Q1291" t="str">
        <f>_xlfn.XLOOKUP(Table3[[#This Row],[Cuenta]],Estructura_Balance[Nombre Cuenta ()],Estructura_Balance[Nivel 4],"",0)</f>
        <v/>
      </c>
      <c r="R1291" t="str">
        <f>_xlfn.XLOOKUP(Table3[[#This Row],[Cuenta]],Table8[Nombre Cuenta ()],Table8[Nivel 1],"",0)</f>
        <v/>
      </c>
      <c r="S1291" t="str">
        <f>_xlfn.XLOOKUP(Table3[[#This Row],[Cuenta]],Table8[Nombre Cuenta ()],Table8[Nivel 2],"",0)</f>
        <v/>
      </c>
      <c r="T1291" t="str">
        <f>_xlfn.XLOOKUP(Table3[[#This Row],[Cuenta]],Table8[Nombre Cuenta ()],Table8[Nivel 3],"",0)</f>
        <v/>
      </c>
      <c r="U1291">
        <v>1176</v>
      </c>
      <c r="V1291" t="str">
        <f>_xlfn.XLOOKUP(Table3[[#This Row],[Cuenta]],Estructura_Balance[Nombre Cuenta ()],Estructura_Balance[Niveles:2],"",0)</f>
        <v/>
      </c>
      <c r="W1291" t="str">
        <f>_xlfn.XLOOKUP(Table3[[#This Row],[Cuenta]],Estructura_Balance[Nombre Cuenta ()],Estructura_Balance[Niveles:3],"",0)</f>
        <v/>
      </c>
      <c r="X1291" t="str">
        <f>_xlfn.XLOOKUP(Table3[[#This Row],[Cuenta]],Estructura_Balance[Nombre Cuenta ()],Estructura_Balance[Grupos],"Grupo 1",0)</f>
        <v>Grupo 1</v>
      </c>
      <c r="Y1291" t="str">
        <f>+Table3[[#This Row],[BS_Nivel_1]]</f>
        <v/>
      </c>
    </row>
    <row r="1292" spans="1:25" ht="15" customHeight="1">
      <c r="A1292">
        <f>+'Libro Diario'!F712</f>
        <v>0</v>
      </c>
      <c r="B1292" s="144">
        <f>VALUE(IF(+'Libro Diario'!G712="","01/01/2025",+'Libro Diario'!G712))</f>
        <v>45658</v>
      </c>
      <c r="C1292">
        <f>IF(ISNUMBER(+IF(IFERROR(VALUE(MID('Libro Diario'!D712,1,4)),0)&lt;&gt;0,'Libro Diario'!D712,0))=FALSE,'Libro Diario'!D712,0)</f>
        <v>0</v>
      </c>
      <c r="D1292" s="145">
        <f>+'Libro Diario'!E712</f>
        <v>0</v>
      </c>
      <c r="E1292" s="139" t="s">
        <v>446</v>
      </c>
      <c r="F1292" t="str">
        <f t="shared" si="60"/>
        <v>Sin Mov.</v>
      </c>
      <c r="G1292" t="str">
        <f>IF(+'Libro Diario'!H712=0,"",+'Libro Diario'!H712)</f>
        <v/>
      </c>
      <c r="H1292" t="str">
        <f>IF(+'Libro Diario'!I712=0,"",+'Libro Diario'!I712)</f>
        <v/>
      </c>
      <c r="I1292" t="str">
        <f>+IF(Table3[[#This Row],[Tipo Movimiento]]="Estructura Balance y PyG","Excluir","Incluir")</f>
        <v>Incluir</v>
      </c>
      <c r="J1292" s="153">
        <f>+IF(Table3[[#This Row],[Sin cuenta]]="Con Mov.",(IF(Table3[[#This Row],[Movimiento]]="Debe",Table3[[#This Row],[Importe]],IF(Table3[[#This Row],[Movimiento]]="Haber",Table3[[#This Row],[Importe]]*-1,0))),0)</f>
        <v>0</v>
      </c>
      <c r="K1292" s="145" t="str">
        <f t="shared" si="61"/>
        <v/>
      </c>
      <c r="L1292" s="145">
        <f t="shared" si="62"/>
        <v>0</v>
      </c>
      <c r="M1292" t="str">
        <f>_xlfn.XLOOKUP(Table3[[#This Row],[Cuenta]],Estructura_Balance[Nombre Cuenta ()],Estructura_Balance[Grupo],"",0)</f>
        <v/>
      </c>
      <c r="N1292" t="str">
        <f>_xlfn.XLOOKUP(Table3[[#This Row],[Cuenta]],Estructura_Balance[Nombre Cuenta ()],Estructura_Balance[Nivel 1],"",0)</f>
        <v/>
      </c>
      <c r="O1292" t="str">
        <f>_xlfn.XLOOKUP(Table3[[#This Row],[Cuenta]],Estructura_Balance[Nombre Cuenta ()],Estructura_Balance[Nivel 2],"",0)</f>
        <v/>
      </c>
      <c r="P1292" t="str">
        <f>_xlfn.XLOOKUP(Table3[[#This Row],[Cuenta]],Estructura_Balance[Nombre Cuenta ()],Estructura_Balance[Nivel 3],"",0)</f>
        <v/>
      </c>
      <c r="Q1292" t="str">
        <f>_xlfn.XLOOKUP(Table3[[#This Row],[Cuenta]],Estructura_Balance[Nombre Cuenta ()],Estructura_Balance[Nivel 4],"",0)</f>
        <v/>
      </c>
      <c r="R1292" t="str">
        <f>_xlfn.XLOOKUP(Table3[[#This Row],[Cuenta]],Table8[Nombre Cuenta ()],Table8[Nivel 1],"",0)</f>
        <v/>
      </c>
      <c r="S1292" t="str">
        <f>_xlfn.XLOOKUP(Table3[[#This Row],[Cuenta]],Table8[Nombre Cuenta ()],Table8[Nivel 2],"",0)</f>
        <v/>
      </c>
      <c r="T1292" t="str">
        <f>_xlfn.XLOOKUP(Table3[[#This Row],[Cuenta]],Table8[Nombre Cuenta ()],Table8[Nivel 3],"",0)</f>
        <v/>
      </c>
      <c r="U1292">
        <v>1177</v>
      </c>
      <c r="V1292" t="str">
        <f>_xlfn.XLOOKUP(Table3[[#This Row],[Cuenta]],Estructura_Balance[Nombre Cuenta ()],Estructura_Balance[Niveles:2],"",0)</f>
        <v/>
      </c>
      <c r="W1292" t="str">
        <f>_xlfn.XLOOKUP(Table3[[#This Row],[Cuenta]],Estructura_Balance[Nombre Cuenta ()],Estructura_Balance[Niveles:3],"",0)</f>
        <v/>
      </c>
      <c r="X1292" t="str">
        <f>_xlfn.XLOOKUP(Table3[[#This Row],[Cuenta]],Estructura_Balance[Nombre Cuenta ()],Estructura_Balance[Grupos],"Grupo 1",0)</f>
        <v>Grupo 1</v>
      </c>
      <c r="Y1292" t="str">
        <f>+Table3[[#This Row],[BS_Nivel_1]]</f>
        <v/>
      </c>
    </row>
    <row r="1293" spans="1:25" ht="15" customHeight="1">
      <c r="A1293">
        <f>+'Libro Diario'!F713</f>
        <v>0</v>
      </c>
      <c r="B1293" s="144">
        <f>VALUE(IF(+'Libro Diario'!G713="","01/01/2025",+'Libro Diario'!G713))</f>
        <v>45658</v>
      </c>
      <c r="C1293">
        <f>IF(ISNUMBER(+IF(IFERROR(VALUE(MID('Libro Diario'!D713,1,4)),0)&lt;&gt;0,'Libro Diario'!D713,0))=FALSE,'Libro Diario'!D713,0)</f>
        <v>0</v>
      </c>
      <c r="D1293" s="145">
        <f>+'Libro Diario'!E713</f>
        <v>0</v>
      </c>
      <c r="E1293" s="139" t="s">
        <v>446</v>
      </c>
      <c r="F1293" t="str">
        <f t="shared" si="60"/>
        <v>Sin Mov.</v>
      </c>
      <c r="G1293" t="str">
        <f>IF(+'Libro Diario'!H713=0,"",+'Libro Diario'!H713)</f>
        <v/>
      </c>
      <c r="H1293" t="str">
        <f>IF(+'Libro Diario'!I713=0,"",+'Libro Diario'!I713)</f>
        <v/>
      </c>
      <c r="I1293" t="str">
        <f>+IF(Table3[[#This Row],[Tipo Movimiento]]="Estructura Balance y PyG","Excluir","Incluir")</f>
        <v>Incluir</v>
      </c>
      <c r="J1293" s="153">
        <f>+IF(Table3[[#This Row],[Sin cuenta]]="Con Mov.",(IF(Table3[[#This Row],[Movimiento]]="Debe",Table3[[#This Row],[Importe]],IF(Table3[[#This Row],[Movimiento]]="Haber",Table3[[#This Row],[Importe]]*-1,0))),0)</f>
        <v>0</v>
      </c>
      <c r="K1293" s="145" t="str">
        <f t="shared" si="61"/>
        <v/>
      </c>
      <c r="L1293" s="145">
        <f t="shared" si="62"/>
        <v>0</v>
      </c>
      <c r="M1293" t="str">
        <f>_xlfn.XLOOKUP(Table3[[#This Row],[Cuenta]],Estructura_Balance[Nombre Cuenta ()],Estructura_Balance[Grupo],"",0)</f>
        <v/>
      </c>
      <c r="N1293" t="str">
        <f>_xlfn.XLOOKUP(Table3[[#This Row],[Cuenta]],Estructura_Balance[Nombre Cuenta ()],Estructura_Balance[Nivel 1],"",0)</f>
        <v/>
      </c>
      <c r="O1293" t="str">
        <f>_xlfn.XLOOKUP(Table3[[#This Row],[Cuenta]],Estructura_Balance[Nombre Cuenta ()],Estructura_Balance[Nivel 2],"",0)</f>
        <v/>
      </c>
      <c r="P1293" t="str">
        <f>_xlfn.XLOOKUP(Table3[[#This Row],[Cuenta]],Estructura_Balance[Nombre Cuenta ()],Estructura_Balance[Nivel 3],"",0)</f>
        <v/>
      </c>
      <c r="Q1293" t="str">
        <f>_xlfn.XLOOKUP(Table3[[#This Row],[Cuenta]],Estructura_Balance[Nombre Cuenta ()],Estructura_Balance[Nivel 4],"",0)</f>
        <v/>
      </c>
      <c r="R1293" t="str">
        <f>_xlfn.XLOOKUP(Table3[[#This Row],[Cuenta]],Table8[Nombre Cuenta ()],Table8[Nivel 1],"",0)</f>
        <v/>
      </c>
      <c r="S1293" t="str">
        <f>_xlfn.XLOOKUP(Table3[[#This Row],[Cuenta]],Table8[Nombre Cuenta ()],Table8[Nivel 2],"",0)</f>
        <v/>
      </c>
      <c r="T1293" t="str">
        <f>_xlfn.XLOOKUP(Table3[[#This Row],[Cuenta]],Table8[Nombre Cuenta ()],Table8[Nivel 3],"",0)</f>
        <v/>
      </c>
      <c r="U1293">
        <v>185</v>
      </c>
      <c r="V1293" t="str">
        <f>_xlfn.XLOOKUP(Table3[[#This Row],[Cuenta]],Estructura_Balance[Nombre Cuenta ()],Estructura_Balance[Niveles:2],"",0)</f>
        <v/>
      </c>
      <c r="W1293" t="str">
        <f>_xlfn.XLOOKUP(Table3[[#This Row],[Cuenta]],Estructura_Balance[Nombre Cuenta ()],Estructura_Balance[Niveles:3],"",0)</f>
        <v/>
      </c>
      <c r="X1293" t="str">
        <f>_xlfn.XLOOKUP(Table3[[#This Row],[Cuenta]],Estructura_Balance[Nombre Cuenta ()],Estructura_Balance[Grupos],"Grupo 1",0)</f>
        <v>Grupo 1</v>
      </c>
      <c r="Y1293" t="str">
        <f>+Table3[[#This Row],[BS_Nivel_1]]</f>
        <v/>
      </c>
    </row>
    <row r="1294" spans="1:25" ht="15" customHeight="1">
      <c r="A1294">
        <f>+'Libro Diario'!F714</f>
        <v>0</v>
      </c>
      <c r="B1294" s="144">
        <f>VALUE(IF(+'Libro Diario'!G714="","01/01/2025",+'Libro Diario'!G714))</f>
        <v>45658</v>
      </c>
      <c r="C1294">
        <f>IF(ISNUMBER(+IF(IFERROR(VALUE(MID('Libro Diario'!D714,1,4)),0)&lt;&gt;0,'Libro Diario'!D714,0))=FALSE,'Libro Diario'!D714,0)</f>
        <v>0</v>
      </c>
      <c r="D1294" s="145">
        <f>+'Libro Diario'!E714</f>
        <v>0</v>
      </c>
      <c r="E1294" s="139" t="s">
        <v>446</v>
      </c>
      <c r="F1294" t="str">
        <f t="shared" si="60"/>
        <v>Sin Mov.</v>
      </c>
      <c r="G1294" t="str">
        <f>IF(+'Libro Diario'!H714=0,"",+'Libro Diario'!H714)</f>
        <v/>
      </c>
      <c r="H1294" t="str">
        <f>IF(+'Libro Diario'!I714=0,"",+'Libro Diario'!I714)</f>
        <v/>
      </c>
      <c r="I1294" t="str">
        <f>+IF(Table3[[#This Row],[Tipo Movimiento]]="Estructura Balance y PyG","Excluir","Incluir")</f>
        <v>Incluir</v>
      </c>
      <c r="J1294" s="153">
        <f>+IF(Table3[[#This Row],[Sin cuenta]]="Con Mov.",(IF(Table3[[#This Row],[Movimiento]]="Debe",Table3[[#This Row],[Importe]],IF(Table3[[#This Row],[Movimiento]]="Haber",Table3[[#This Row],[Importe]]*-1,0))),0)</f>
        <v>0</v>
      </c>
      <c r="K1294" s="145" t="str">
        <f t="shared" si="61"/>
        <v/>
      </c>
      <c r="L1294" s="145">
        <f t="shared" si="62"/>
        <v>0</v>
      </c>
      <c r="M1294" t="str">
        <f>_xlfn.XLOOKUP(Table3[[#This Row],[Cuenta]],Estructura_Balance[Nombre Cuenta ()],Estructura_Balance[Grupo],"",0)</f>
        <v/>
      </c>
      <c r="N1294" t="str">
        <f>_xlfn.XLOOKUP(Table3[[#This Row],[Cuenta]],Estructura_Balance[Nombre Cuenta ()],Estructura_Balance[Nivel 1],"",0)</f>
        <v/>
      </c>
      <c r="O1294" t="str">
        <f>_xlfn.XLOOKUP(Table3[[#This Row],[Cuenta]],Estructura_Balance[Nombre Cuenta ()],Estructura_Balance[Nivel 2],"",0)</f>
        <v/>
      </c>
      <c r="P1294" t="str">
        <f>_xlfn.XLOOKUP(Table3[[#This Row],[Cuenta]],Estructura_Balance[Nombre Cuenta ()],Estructura_Balance[Nivel 3],"",0)</f>
        <v/>
      </c>
      <c r="Q1294" t="str">
        <f>_xlfn.XLOOKUP(Table3[[#This Row],[Cuenta]],Estructura_Balance[Nombre Cuenta ()],Estructura_Balance[Nivel 4],"",0)</f>
        <v/>
      </c>
      <c r="R1294" t="str">
        <f>_xlfn.XLOOKUP(Table3[[#This Row],[Cuenta]],Table8[Nombre Cuenta ()],Table8[Nivel 1],"",0)</f>
        <v/>
      </c>
      <c r="S1294" t="str">
        <f>_xlfn.XLOOKUP(Table3[[#This Row],[Cuenta]],Table8[Nombre Cuenta ()],Table8[Nivel 2],"",0)</f>
        <v/>
      </c>
      <c r="T1294" t="str">
        <f>_xlfn.XLOOKUP(Table3[[#This Row],[Cuenta]],Table8[Nombre Cuenta ()],Table8[Nivel 3],"",0)</f>
        <v/>
      </c>
      <c r="U1294">
        <v>186</v>
      </c>
      <c r="V1294" t="str">
        <f>_xlfn.XLOOKUP(Table3[[#This Row],[Cuenta]],Estructura_Balance[Nombre Cuenta ()],Estructura_Balance[Niveles:2],"",0)</f>
        <v/>
      </c>
      <c r="W1294" t="str">
        <f>_xlfn.XLOOKUP(Table3[[#This Row],[Cuenta]],Estructura_Balance[Nombre Cuenta ()],Estructura_Balance[Niveles:3],"",0)</f>
        <v/>
      </c>
      <c r="X1294" t="str">
        <f>_xlfn.XLOOKUP(Table3[[#This Row],[Cuenta]],Estructura_Balance[Nombre Cuenta ()],Estructura_Balance[Grupos],"Grupo 1",0)</f>
        <v>Grupo 1</v>
      </c>
      <c r="Y1294" t="str">
        <f>+Table3[[#This Row],[BS_Nivel_1]]</f>
        <v/>
      </c>
    </row>
    <row r="1295" spans="1:25" ht="15" customHeight="1">
      <c r="A1295">
        <f>+'Libro Diario'!F715</f>
        <v>0</v>
      </c>
      <c r="B1295" s="144">
        <f>VALUE(IF(+'Libro Diario'!G715="","01/01/2025",+'Libro Diario'!G715))</f>
        <v>45658</v>
      </c>
      <c r="C1295">
        <f>IF(ISNUMBER(+IF(IFERROR(VALUE(MID('Libro Diario'!D715,1,4)),0)&lt;&gt;0,'Libro Diario'!D715,0))=FALSE,'Libro Diario'!D715,0)</f>
        <v>0</v>
      </c>
      <c r="D1295" s="145">
        <f>+'Libro Diario'!E715</f>
        <v>0</v>
      </c>
      <c r="E1295" s="139" t="s">
        <v>446</v>
      </c>
      <c r="F1295" t="str">
        <f t="shared" si="60"/>
        <v>Sin Mov.</v>
      </c>
      <c r="G1295" t="str">
        <f>IF(+'Libro Diario'!H715=0,"",+'Libro Diario'!H715)</f>
        <v/>
      </c>
      <c r="H1295" t="str">
        <f>IF(+'Libro Diario'!I715=0,"",+'Libro Diario'!I715)</f>
        <v/>
      </c>
      <c r="I1295" t="str">
        <f>+IF(Table3[[#This Row],[Tipo Movimiento]]="Estructura Balance y PyG","Excluir","Incluir")</f>
        <v>Incluir</v>
      </c>
      <c r="J1295" s="153">
        <f>+IF(Table3[[#This Row],[Sin cuenta]]="Con Mov.",(IF(Table3[[#This Row],[Movimiento]]="Debe",Table3[[#This Row],[Importe]],IF(Table3[[#This Row],[Movimiento]]="Haber",Table3[[#This Row],[Importe]]*-1,0))),0)</f>
        <v>0</v>
      </c>
      <c r="K1295" s="145" t="str">
        <f t="shared" si="61"/>
        <v/>
      </c>
      <c r="L1295" s="145">
        <f t="shared" si="62"/>
        <v>0</v>
      </c>
      <c r="M1295" t="str">
        <f>_xlfn.XLOOKUP(Table3[[#This Row],[Cuenta]],Estructura_Balance[Nombre Cuenta ()],Estructura_Balance[Grupo],"",0)</f>
        <v/>
      </c>
      <c r="N1295" t="str">
        <f>_xlfn.XLOOKUP(Table3[[#This Row],[Cuenta]],Estructura_Balance[Nombre Cuenta ()],Estructura_Balance[Nivel 1],"",0)</f>
        <v/>
      </c>
      <c r="O1295" t="str">
        <f>_xlfn.XLOOKUP(Table3[[#This Row],[Cuenta]],Estructura_Balance[Nombre Cuenta ()],Estructura_Balance[Nivel 2],"",0)</f>
        <v/>
      </c>
      <c r="P1295" t="str">
        <f>_xlfn.XLOOKUP(Table3[[#This Row],[Cuenta]],Estructura_Balance[Nombre Cuenta ()],Estructura_Balance[Nivel 3],"",0)</f>
        <v/>
      </c>
      <c r="Q1295" t="str">
        <f>_xlfn.XLOOKUP(Table3[[#This Row],[Cuenta]],Estructura_Balance[Nombre Cuenta ()],Estructura_Balance[Nivel 4],"",0)</f>
        <v/>
      </c>
      <c r="R1295" t="str">
        <f>_xlfn.XLOOKUP(Table3[[#This Row],[Cuenta]],Table8[Nombre Cuenta ()],Table8[Nivel 1],"",0)</f>
        <v/>
      </c>
      <c r="S1295" t="str">
        <f>_xlfn.XLOOKUP(Table3[[#This Row],[Cuenta]],Table8[Nombre Cuenta ()],Table8[Nivel 2],"",0)</f>
        <v/>
      </c>
      <c r="T1295" t="str">
        <f>_xlfn.XLOOKUP(Table3[[#This Row],[Cuenta]],Table8[Nombre Cuenta ()],Table8[Nivel 3],"",0)</f>
        <v/>
      </c>
      <c r="U1295">
        <v>187</v>
      </c>
      <c r="V1295" t="str">
        <f>_xlfn.XLOOKUP(Table3[[#This Row],[Cuenta]],Estructura_Balance[Nombre Cuenta ()],Estructura_Balance[Niveles:2],"",0)</f>
        <v/>
      </c>
      <c r="W1295" t="str">
        <f>_xlfn.XLOOKUP(Table3[[#This Row],[Cuenta]],Estructura_Balance[Nombre Cuenta ()],Estructura_Balance[Niveles:3],"",0)</f>
        <v/>
      </c>
      <c r="X1295" t="str">
        <f>_xlfn.XLOOKUP(Table3[[#This Row],[Cuenta]],Estructura_Balance[Nombre Cuenta ()],Estructura_Balance[Grupos],"Grupo 1",0)</f>
        <v>Grupo 1</v>
      </c>
      <c r="Y1295" t="str">
        <f>+Table3[[#This Row],[BS_Nivel_1]]</f>
        <v/>
      </c>
    </row>
    <row r="1296" spans="1:25" ht="15" customHeight="1">
      <c r="A1296">
        <f>+'Libro Diario'!F716</f>
        <v>0</v>
      </c>
      <c r="B1296" s="144">
        <f>VALUE(IF(+'Libro Diario'!G716="","01/01/2025",+'Libro Diario'!G716))</f>
        <v>45658</v>
      </c>
      <c r="C1296">
        <f>IF(ISNUMBER(+IF(IFERROR(VALUE(MID('Libro Diario'!D716,1,4)),0)&lt;&gt;0,'Libro Diario'!D716,0))=FALSE,'Libro Diario'!D716,0)</f>
        <v>0</v>
      </c>
      <c r="D1296" s="145">
        <f>+'Libro Diario'!E716</f>
        <v>0</v>
      </c>
      <c r="E1296" s="139" t="s">
        <v>446</v>
      </c>
      <c r="F1296" t="str">
        <f t="shared" si="60"/>
        <v>Sin Mov.</v>
      </c>
      <c r="G1296" t="str">
        <f>IF(+'Libro Diario'!H716=0,"",+'Libro Diario'!H716)</f>
        <v/>
      </c>
      <c r="H1296" t="str">
        <f>IF(+'Libro Diario'!I716=0,"",+'Libro Diario'!I716)</f>
        <v/>
      </c>
      <c r="I1296" t="str">
        <f>+IF(Table3[[#This Row],[Tipo Movimiento]]="Estructura Balance y PyG","Excluir","Incluir")</f>
        <v>Incluir</v>
      </c>
      <c r="J1296" s="153">
        <f>+IF(Table3[[#This Row],[Sin cuenta]]="Con Mov.",(IF(Table3[[#This Row],[Movimiento]]="Debe",Table3[[#This Row],[Importe]],IF(Table3[[#This Row],[Movimiento]]="Haber",Table3[[#This Row],[Importe]]*-1,0))),0)</f>
        <v>0</v>
      </c>
      <c r="K1296" s="145" t="str">
        <f t="shared" si="61"/>
        <v/>
      </c>
      <c r="L1296" s="145">
        <f t="shared" si="62"/>
        <v>0</v>
      </c>
      <c r="M1296" t="str">
        <f>_xlfn.XLOOKUP(Table3[[#This Row],[Cuenta]],Estructura_Balance[Nombre Cuenta ()],Estructura_Balance[Grupo],"",0)</f>
        <v/>
      </c>
      <c r="N1296" t="str">
        <f>_xlfn.XLOOKUP(Table3[[#This Row],[Cuenta]],Estructura_Balance[Nombre Cuenta ()],Estructura_Balance[Nivel 1],"",0)</f>
        <v/>
      </c>
      <c r="O1296" t="str">
        <f>_xlfn.XLOOKUP(Table3[[#This Row],[Cuenta]],Estructura_Balance[Nombre Cuenta ()],Estructura_Balance[Nivel 2],"",0)</f>
        <v/>
      </c>
      <c r="P1296" t="str">
        <f>_xlfn.XLOOKUP(Table3[[#This Row],[Cuenta]],Estructura_Balance[Nombre Cuenta ()],Estructura_Balance[Nivel 3],"",0)</f>
        <v/>
      </c>
      <c r="Q1296" t="str">
        <f>_xlfn.XLOOKUP(Table3[[#This Row],[Cuenta]],Estructura_Balance[Nombre Cuenta ()],Estructura_Balance[Nivel 4],"",0)</f>
        <v/>
      </c>
      <c r="R1296" t="str">
        <f>_xlfn.XLOOKUP(Table3[[#This Row],[Cuenta]],Table8[Nombre Cuenta ()],Table8[Nivel 1],"",0)</f>
        <v/>
      </c>
      <c r="S1296" t="str">
        <f>_xlfn.XLOOKUP(Table3[[#This Row],[Cuenta]],Table8[Nombre Cuenta ()],Table8[Nivel 2],"",0)</f>
        <v/>
      </c>
      <c r="T1296" t="str">
        <f>_xlfn.XLOOKUP(Table3[[#This Row],[Cuenta]],Table8[Nombre Cuenta ()],Table8[Nivel 3],"",0)</f>
        <v/>
      </c>
      <c r="U1296">
        <v>188</v>
      </c>
      <c r="V1296" t="str">
        <f>_xlfn.XLOOKUP(Table3[[#This Row],[Cuenta]],Estructura_Balance[Nombre Cuenta ()],Estructura_Balance[Niveles:2],"",0)</f>
        <v/>
      </c>
      <c r="W1296" t="str">
        <f>_xlfn.XLOOKUP(Table3[[#This Row],[Cuenta]],Estructura_Balance[Nombre Cuenta ()],Estructura_Balance[Niveles:3],"",0)</f>
        <v/>
      </c>
      <c r="X1296" t="str">
        <f>_xlfn.XLOOKUP(Table3[[#This Row],[Cuenta]],Estructura_Balance[Nombre Cuenta ()],Estructura_Balance[Grupos],"Grupo 1",0)</f>
        <v>Grupo 1</v>
      </c>
      <c r="Y1296" t="str">
        <f>+Table3[[#This Row],[BS_Nivel_1]]</f>
        <v/>
      </c>
    </row>
    <row r="1297" spans="1:25" ht="15" customHeight="1">
      <c r="A1297">
        <f>+'Libro Diario'!F717</f>
        <v>0</v>
      </c>
      <c r="B1297" s="144">
        <f>VALUE(IF(+'Libro Diario'!G717="","01/01/2025",+'Libro Diario'!G717))</f>
        <v>45658</v>
      </c>
      <c r="C1297">
        <f>IF(ISNUMBER(+IF(IFERROR(VALUE(MID('Libro Diario'!D717,1,4)),0)&lt;&gt;0,'Libro Diario'!D717,0))=FALSE,'Libro Diario'!D717,0)</f>
        <v>0</v>
      </c>
      <c r="D1297" s="145">
        <f>+'Libro Diario'!E717</f>
        <v>0</v>
      </c>
      <c r="E1297" s="139" t="s">
        <v>446</v>
      </c>
      <c r="F1297" t="str">
        <f t="shared" si="60"/>
        <v>Sin Mov.</v>
      </c>
      <c r="G1297" t="str">
        <f>IF(+'Libro Diario'!H717=0,"",+'Libro Diario'!H717)</f>
        <v/>
      </c>
      <c r="H1297" t="str">
        <f>IF(+'Libro Diario'!I717=0,"",+'Libro Diario'!I717)</f>
        <v/>
      </c>
      <c r="I1297" t="str">
        <f>+IF(Table3[[#This Row],[Tipo Movimiento]]="Estructura Balance y PyG","Excluir","Incluir")</f>
        <v>Incluir</v>
      </c>
      <c r="J1297" s="153">
        <f>+IF(Table3[[#This Row],[Sin cuenta]]="Con Mov.",(IF(Table3[[#This Row],[Movimiento]]="Debe",Table3[[#This Row],[Importe]],IF(Table3[[#This Row],[Movimiento]]="Haber",Table3[[#This Row],[Importe]]*-1,0))),0)</f>
        <v>0</v>
      </c>
      <c r="K1297" s="145" t="str">
        <f t="shared" si="61"/>
        <v/>
      </c>
      <c r="L1297" s="145">
        <f t="shared" si="62"/>
        <v>0</v>
      </c>
      <c r="M1297" t="str">
        <f>_xlfn.XLOOKUP(Table3[[#This Row],[Cuenta]],Estructura_Balance[Nombre Cuenta ()],Estructura_Balance[Grupo],"",0)</f>
        <v/>
      </c>
      <c r="N1297" t="str">
        <f>_xlfn.XLOOKUP(Table3[[#This Row],[Cuenta]],Estructura_Balance[Nombre Cuenta ()],Estructura_Balance[Nivel 1],"",0)</f>
        <v/>
      </c>
      <c r="O1297" t="str">
        <f>_xlfn.XLOOKUP(Table3[[#This Row],[Cuenta]],Estructura_Balance[Nombre Cuenta ()],Estructura_Balance[Nivel 2],"",0)</f>
        <v/>
      </c>
      <c r="P1297" t="str">
        <f>_xlfn.XLOOKUP(Table3[[#This Row],[Cuenta]],Estructura_Balance[Nombre Cuenta ()],Estructura_Balance[Nivel 3],"",0)</f>
        <v/>
      </c>
      <c r="Q1297" t="str">
        <f>_xlfn.XLOOKUP(Table3[[#This Row],[Cuenta]],Estructura_Balance[Nombre Cuenta ()],Estructura_Balance[Nivel 4],"",0)</f>
        <v/>
      </c>
      <c r="R1297" t="str">
        <f>_xlfn.XLOOKUP(Table3[[#This Row],[Cuenta]],Table8[Nombre Cuenta ()],Table8[Nivel 1],"",0)</f>
        <v/>
      </c>
      <c r="S1297" t="str">
        <f>_xlfn.XLOOKUP(Table3[[#This Row],[Cuenta]],Table8[Nombre Cuenta ()],Table8[Nivel 2],"",0)</f>
        <v/>
      </c>
      <c r="T1297" t="str">
        <f>_xlfn.XLOOKUP(Table3[[#This Row],[Cuenta]],Table8[Nombre Cuenta ()],Table8[Nivel 3],"",0)</f>
        <v/>
      </c>
      <c r="U1297">
        <v>1183</v>
      </c>
      <c r="V1297" t="str">
        <f>_xlfn.XLOOKUP(Table3[[#This Row],[Cuenta]],Estructura_Balance[Nombre Cuenta ()],Estructura_Balance[Niveles:2],"",0)</f>
        <v/>
      </c>
      <c r="W1297" t="str">
        <f>_xlfn.XLOOKUP(Table3[[#This Row],[Cuenta]],Estructura_Balance[Nombre Cuenta ()],Estructura_Balance[Niveles:3],"",0)</f>
        <v/>
      </c>
      <c r="X1297" t="str">
        <f>_xlfn.XLOOKUP(Table3[[#This Row],[Cuenta]],Estructura_Balance[Nombre Cuenta ()],Estructura_Balance[Grupos],"Grupo 1",0)</f>
        <v>Grupo 1</v>
      </c>
      <c r="Y1297" t="str">
        <f>+Table3[[#This Row],[BS_Nivel_1]]</f>
        <v/>
      </c>
    </row>
    <row r="1298" spans="1:25" ht="15" customHeight="1">
      <c r="A1298">
        <f>+'Libro Diario'!F718</f>
        <v>0</v>
      </c>
      <c r="B1298" s="144">
        <f>VALUE(IF(+'Libro Diario'!G718="","01/01/2025",+'Libro Diario'!G718))</f>
        <v>45658</v>
      </c>
      <c r="C1298">
        <f>IF(ISNUMBER(+IF(IFERROR(VALUE(MID('Libro Diario'!D718,1,4)),0)&lt;&gt;0,'Libro Diario'!D718,0))=FALSE,'Libro Diario'!D718,0)</f>
        <v>0</v>
      </c>
      <c r="D1298" s="145">
        <f>+'Libro Diario'!E718</f>
        <v>0</v>
      </c>
      <c r="E1298" s="139" t="s">
        <v>446</v>
      </c>
      <c r="F1298" t="str">
        <f t="shared" si="60"/>
        <v>Sin Mov.</v>
      </c>
      <c r="G1298" t="str">
        <f>IF(+'Libro Diario'!H718=0,"",+'Libro Diario'!H718)</f>
        <v/>
      </c>
      <c r="H1298" t="str">
        <f>IF(+'Libro Diario'!I718=0,"",+'Libro Diario'!I718)</f>
        <v/>
      </c>
      <c r="I1298" t="str">
        <f>+IF(Table3[[#This Row],[Tipo Movimiento]]="Estructura Balance y PyG","Excluir","Incluir")</f>
        <v>Incluir</v>
      </c>
      <c r="J1298" s="153">
        <f>+IF(Table3[[#This Row],[Sin cuenta]]="Con Mov.",(IF(Table3[[#This Row],[Movimiento]]="Debe",Table3[[#This Row],[Importe]],IF(Table3[[#This Row],[Movimiento]]="Haber",Table3[[#This Row],[Importe]]*-1,0))),0)</f>
        <v>0</v>
      </c>
      <c r="K1298" s="145" t="str">
        <f t="shared" si="61"/>
        <v/>
      </c>
      <c r="L1298" s="145">
        <f t="shared" si="62"/>
        <v>0</v>
      </c>
      <c r="M1298" t="str">
        <f>_xlfn.XLOOKUP(Table3[[#This Row],[Cuenta]],Estructura_Balance[Nombre Cuenta ()],Estructura_Balance[Grupo],"",0)</f>
        <v/>
      </c>
      <c r="N1298" t="str">
        <f>_xlfn.XLOOKUP(Table3[[#This Row],[Cuenta]],Estructura_Balance[Nombre Cuenta ()],Estructura_Balance[Nivel 1],"",0)</f>
        <v/>
      </c>
      <c r="O1298" t="str">
        <f>_xlfn.XLOOKUP(Table3[[#This Row],[Cuenta]],Estructura_Balance[Nombre Cuenta ()],Estructura_Balance[Nivel 2],"",0)</f>
        <v/>
      </c>
      <c r="P1298" t="str">
        <f>_xlfn.XLOOKUP(Table3[[#This Row],[Cuenta]],Estructura_Balance[Nombre Cuenta ()],Estructura_Balance[Nivel 3],"",0)</f>
        <v/>
      </c>
      <c r="Q1298" t="str">
        <f>_xlfn.XLOOKUP(Table3[[#This Row],[Cuenta]],Estructura_Balance[Nombre Cuenta ()],Estructura_Balance[Nivel 4],"",0)</f>
        <v/>
      </c>
      <c r="R1298" t="str">
        <f>_xlfn.XLOOKUP(Table3[[#This Row],[Cuenta]],Table8[Nombre Cuenta ()],Table8[Nivel 1],"",0)</f>
        <v/>
      </c>
      <c r="S1298" t="str">
        <f>_xlfn.XLOOKUP(Table3[[#This Row],[Cuenta]],Table8[Nombre Cuenta ()],Table8[Nivel 2],"",0)</f>
        <v/>
      </c>
      <c r="T1298" t="str">
        <f>_xlfn.XLOOKUP(Table3[[#This Row],[Cuenta]],Table8[Nombre Cuenta ()],Table8[Nivel 3],"",0)</f>
        <v/>
      </c>
      <c r="U1298">
        <v>1184</v>
      </c>
      <c r="V1298" t="str">
        <f>_xlfn.XLOOKUP(Table3[[#This Row],[Cuenta]],Estructura_Balance[Nombre Cuenta ()],Estructura_Balance[Niveles:2],"",0)</f>
        <v/>
      </c>
      <c r="W1298" t="str">
        <f>_xlfn.XLOOKUP(Table3[[#This Row],[Cuenta]],Estructura_Balance[Nombre Cuenta ()],Estructura_Balance[Niveles:3],"",0)</f>
        <v/>
      </c>
      <c r="X1298" t="str">
        <f>_xlfn.XLOOKUP(Table3[[#This Row],[Cuenta]],Estructura_Balance[Nombre Cuenta ()],Estructura_Balance[Grupos],"Grupo 1",0)</f>
        <v>Grupo 1</v>
      </c>
      <c r="Y1298" t="str">
        <f>+Table3[[#This Row],[BS_Nivel_1]]</f>
        <v/>
      </c>
    </row>
    <row r="1299" spans="1:25" ht="15" customHeight="1">
      <c r="A1299">
        <f>+'Libro Diario'!F719</f>
        <v>0</v>
      </c>
      <c r="B1299" s="144">
        <f>VALUE(IF(+'Libro Diario'!G719="","01/01/2025",+'Libro Diario'!G719))</f>
        <v>45658</v>
      </c>
      <c r="C1299">
        <f>IF(ISNUMBER(+IF(IFERROR(VALUE(MID('Libro Diario'!D719,1,4)),0)&lt;&gt;0,'Libro Diario'!D719,0))=FALSE,'Libro Diario'!D719,0)</f>
        <v>0</v>
      </c>
      <c r="D1299" s="145">
        <f>+'Libro Diario'!E719</f>
        <v>0</v>
      </c>
      <c r="E1299" s="139" t="s">
        <v>446</v>
      </c>
      <c r="F1299" t="str">
        <f t="shared" si="60"/>
        <v>Sin Mov.</v>
      </c>
      <c r="G1299" t="str">
        <f>IF(+'Libro Diario'!H719=0,"",+'Libro Diario'!H719)</f>
        <v/>
      </c>
      <c r="H1299" t="str">
        <f>IF(+'Libro Diario'!I719=0,"",+'Libro Diario'!I719)</f>
        <v/>
      </c>
      <c r="I1299" t="str">
        <f>+IF(Table3[[#This Row],[Tipo Movimiento]]="Estructura Balance y PyG","Excluir","Incluir")</f>
        <v>Incluir</v>
      </c>
      <c r="J1299" s="153">
        <f>+IF(Table3[[#This Row],[Sin cuenta]]="Con Mov.",(IF(Table3[[#This Row],[Movimiento]]="Debe",Table3[[#This Row],[Importe]],IF(Table3[[#This Row],[Movimiento]]="Haber",Table3[[#This Row],[Importe]]*-1,0))),0)</f>
        <v>0</v>
      </c>
      <c r="K1299" s="145" t="str">
        <f t="shared" si="61"/>
        <v/>
      </c>
      <c r="L1299" s="145">
        <f t="shared" si="62"/>
        <v>0</v>
      </c>
      <c r="M1299" t="str">
        <f>_xlfn.XLOOKUP(Table3[[#This Row],[Cuenta]],Estructura_Balance[Nombre Cuenta ()],Estructura_Balance[Grupo],"",0)</f>
        <v/>
      </c>
      <c r="N1299" t="str">
        <f>_xlfn.XLOOKUP(Table3[[#This Row],[Cuenta]],Estructura_Balance[Nombre Cuenta ()],Estructura_Balance[Nivel 1],"",0)</f>
        <v/>
      </c>
      <c r="O1299" t="str">
        <f>_xlfn.XLOOKUP(Table3[[#This Row],[Cuenta]],Estructura_Balance[Nombre Cuenta ()],Estructura_Balance[Nivel 2],"",0)</f>
        <v/>
      </c>
      <c r="P1299" t="str">
        <f>_xlfn.XLOOKUP(Table3[[#This Row],[Cuenta]],Estructura_Balance[Nombre Cuenta ()],Estructura_Balance[Nivel 3],"",0)</f>
        <v/>
      </c>
      <c r="Q1299" t="str">
        <f>_xlfn.XLOOKUP(Table3[[#This Row],[Cuenta]],Estructura_Balance[Nombre Cuenta ()],Estructura_Balance[Nivel 4],"",0)</f>
        <v/>
      </c>
      <c r="R1299" t="str">
        <f>_xlfn.XLOOKUP(Table3[[#This Row],[Cuenta]],Table8[Nombre Cuenta ()],Table8[Nivel 1],"",0)</f>
        <v/>
      </c>
      <c r="S1299" t="str">
        <f>_xlfn.XLOOKUP(Table3[[#This Row],[Cuenta]],Table8[Nombre Cuenta ()],Table8[Nivel 2],"",0)</f>
        <v/>
      </c>
      <c r="T1299" t="str">
        <f>_xlfn.XLOOKUP(Table3[[#This Row],[Cuenta]],Table8[Nombre Cuenta ()],Table8[Nivel 3],"",0)</f>
        <v/>
      </c>
      <c r="U1299">
        <v>1185</v>
      </c>
      <c r="V1299" t="str">
        <f>_xlfn.XLOOKUP(Table3[[#This Row],[Cuenta]],Estructura_Balance[Nombre Cuenta ()],Estructura_Balance[Niveles:2],"",0)</f>
        <v/>
      </c>
      <c r="W1299" t="str">
        <f>_xlfn.XLOOKUP(Table3[[#This Row],[Cuenta]],Estructura_Balance[Nombre Cuenta ()],Estructura_Balance[Niveles:3],"",0)</f>
        <v/>
      </c>
      <c r="X1299" t="str">
        <f>_xlfn.XLOOKUP(Table3[[#This Row],[Cuenta]],Estructura_Balance[Nombre Cuenta ()],Estructura_Balance[Grupos],"Grupo 1",0)</f>
        <v>Grupo 1</v>
      </c>
      <c r="Y1299" t="str">
        <f>+Table3[[#This Row],[BS_Nivel_1]]</f>
        <v/>
      </c>
    </row>
    <row r="1300" spans="1:25" ht="15" customHeight="1">
      <c r="A1300">
        <f>+'Libro Diario'!F720</f>
        <v>0</v>
      </c>
      <c r="B1300" s="144">
        <f>VALUE(IF(+'Libro Diario'!G720="","01/01/2025",+'Libro Diario'!G720))</f>
        <v>45658</v>
      </c>
      <c r="C1300">
        <f>IF(ISNUMBER(+IF(IFERROR(VALUE(MID('Libro Diario'!D720,1,4)),0)&lt;&gt;0,'Libro Diario'!D720,0))=FALSE,'Libro Diario'!D720,0)</f>
        <v>0</v>
      </c>
      <c r="D1300" s="145">
        <f>+'Libro Diario'!E720</f>
        <v>0</v>
      </c>
      <c r="E1300" s="139" t="s">
        <v>446</v>
      </c>
      <c r="F1300" t="str">
        <f t="shared" si="60"/>
        <v>Sin Mov.</v>
      </c>
      <c r="G1300" t="str">
        <f>IF(+'Libro Diario'!H720=0,"",+'Libro Diario'!H720)</f>
        <v/>
      </c>
      <c r="H1300" t="str">
        <f>IF(+'Libro Diario'!I720=0,"",+'Libro Diario'!I720)</f>
        <v/>
      </c>
      <c r="I1300" t="str">
        <f>+IF(Table3[[#This Row],[Tipo Movimiento]]="Estructura Balance y PyG","Excluir","Incluir")</f>
        <v>Incluir</v>
      </c>
      <c r="J1300" s="153">
        <f>+IF(Table3[[#This Row],[Sin cuenta]]="Con Mov.",(IF(Table3[[#This Row],[Movimiento]]="Debe",Table3[[#This Row],[Importe]],IF(Table3[[#This Row],[Movimiento]]="Haber",Table3[[#This Row],[Importe]]*-1,0))),0)</f>
        <v>0</v>
      </c>
      <c r="K1300" s="145" t="str">
        <f t="shared" si="61"/>
        <v/>
      </c>
      <c r="L1300" s="145">
        <f t="shared" si="62"/>
        <v>0</v>
      </c>
      <c r="M1300" t="str">
        <f>_xlfn.XLOOKUP(Table3[[#This Row],[Cuenta]],Estructura_Balance[Nombre Cuenta ()],Estructura_Balance[Grupo],"",0)</f>
        <v/>
      </c>
      <c r="N1300" t="str">
        <f>_xlfn.XLOOKUP(Table3[[#This Row],[Cuenta]],Estructura_Balance[Nombre Cuenta ()],Estructura_Balance[Nivel 1],"",0)</f>
        <v/>
      </c>
      <c r="O1300" t="str">
        <f>_xlfn.XLOOKUP(Table3[[#This Row],[Cuenta]],Estructura_Balance[Nombre Cuenta ()],Estructura_Balance[Nivel 2],"",0)</f>
        <v/>
      </c>
      <c r="P1300" t="str">
        <f>_xlfn.XLOOKUP(Table3[[#This Row],[Cuenta]],Estructura_Balance[Nombre Cuenta ()],Estructura_Balance[Nivel 3],"",0)</f>
        <v/>
      </c>
      <c r="Q1300" t="str">
        <f>_xlfn.XLOOKUP(Table3[[#This Row],[Cuenta]],Estructura_Balance[Nombre Cuenta ()],Estructura_Balance[Nivel 4],"",0)</f>
        <v/>
      </c>
      <c r="R1300" t="str">
        <f>_xlfn.XLOOKUP(Table3[[#This Row],[Cuenta]],Table8[Nombre Cuenta ()],Table8[Nivel 1],"",0)</f>
        <v/>
      </c>
      <c r="S1300" t="str">
        <f>_xlfn.XLOOKUP(Table3[[#This Row],[Cuenta]],Table8[Nombre Cuenta ()],Table8[Nivel 2],"",0)</f>
        <v/>
      </c>
      <c r="T1300" t="str">
        <f>_xlfn.XLOOKUP(Table3[[#This Row],[Cuenta]],Table8[Nombre Cuenta ()],Table8[Nivel 3],"",0)</f>
        <v/>
      </c>
      <c r="U1300">
        <v>1186</v>
      </c>
      <c r="V1300" t="str">
        <f>_xlfn.XLOOKUP(Table3[[#This Row],[Cuenta]],Estructura_Balance[Nombre Cuenta ()],Estructura_Balance[Niveles:2],"",0)</f>
        <v/>
      </c>
      <c r="W1300" t="str">
        <f>_xlfn.XLOOKUP(Table3[[#This Row],[Cuenta]],Estructura_Balance[Nombre Cuenta ()],Estructura_Balance[Niveles:3],"",0)</f>
        <v/>
      </c>
      <c r="X1300" t="str">
        <f>_xlfn.XLOOKUP(Table3[[#This Row],[Cuenta]],Estructura_Balance[Nombre Cuenta ()],Estructura_Balance[Grupos],"Grupo 1",0)</f>
        <v>Grupo 1</v>
      </c>
      <c r="Y1300" t="str">
        <f>+Table3[[#This Row],[BS_Nivel_1]]</f>
        <v/>
      </c>
    </row>
    <row r="1301" spans="1:25" ht="15" customHeight="1">
      <c r="A1301">
        <f>+'Libro Diario'!F721</f>
        <v>0</v>
      </c>
      <c r="B1301" s="144">
        <f>VALUE(IF(+'Libro Diario'!G721="","01/01/2025",+'Libro Diario'!G721))</f>
        <v>45658</v>
      </c>
      <c r="C1301">
        <f>IF(ISNUMBER(+IF(IFERROR(VALUE(MID('Libro Diario'!D721,1,4)),0)&lt;&gt;0,'Libro Diario'!D721,0))=FALSE,'Libro Diario'!D721,0)</f>
        <v>0</v>
      </c>
      <c r="D1301" s="145">
        <f>+'Libro Diario'!E721</f>
        <v>0</v>
      </c>
      <c r="E1301" s="139" t="s">
        <v>446</v>
      </c>
      <c r="F1301" t="str">
        <f t="shared" si="60"/>
        <v>Sin Mov.</v>
      </c>
      <c r="G1301" t="str">
        <f>IF(+'Libro Diario'!H721=0,"",+'Libro Diario'!H721)</f>
        <v/>
      </c>
      <c r="H1301" t="str">
        <f>IF(+'Libro Diario'!I721=0,"",+'Libro Diario'!I721)</f>
        <v/>
      </c>
      <c r="I1301" t="str">
        <f>+IF(Table3[[#This Row],[Tipo Movimiento]]="Estructura Balance y PyG","Excluir","Incluir")</f>
        <v>Incluir</v>
      </c>
      <c r="J1301" s="153">
        <f>+IF(Table3[[#This Row],[Sin cuenta]]="Con Mov.",(IF(Table3[[#This Row],[Movimiento]]="Debe",Table3[[#This Row],[Importe]],IF(Table3[[#This Row],[Movimiento]]="Haber",Table3[[#This Row],[Importe]]*-1,0))),0)</f>
        <v>0</v>
      </c>
      <c r="K1301" s="145" t="str">
        <f t="shared" si="61"/>
        <v/>
      </c>
      <c r="L1301" s="145">
        <f t="shared" si="62"/>
        <v>0</v>
      </c>
      <c r="M1301" t="str">
        <f>_xlfn.XLOOKUP(Table3[[#This Row],[Cuenta]],Estructura_Balance[Nombre Cuenta ()],Estructura_Balance[Grupo],"",0)</f>
        <v/>
      </c>
      <c r="N1301" t="str">
        <f>_xlfn.XLOOKUP(Table3[[#This Row],[Cuenta]],Estructura_Balance[Nombre Cuenta ()],Estructura_Balance[Nivel 1],"",0)</f>
        <v/>
      </c>
      <c r="O1301" t="str">
        <f>_xlfn.XLOOKUP(Table3[[#This Row],[Cuenta]],Estructura_Balance[Nombre Cuenta ()],Estructura_Balance[Nivel 2],"",0)</f>
        <v/>
      </c>
      <c r="P1301" t="str">
        <f>_xlfn.XLOOKUP(Table3[[#This Row],[Cuenta]],Estructura_Balance[Nombre Cuenta ()],Estructura_Balance[Nivel 3],"",0)</f>
        <v/>
      </c>
      <c r="Q1301" t="str">
        <f>_xlfn.XLOOKUP(Table3[[#This Row],[Cuenta]],Estructura_Balance[Nombre Cuenta ()],Estructura_Balance[Nivel 4],"",0)</f>
        <v/>
      </c>
      <c r="R1301" t="str">
        <f>_xlfn.XLOOKUP(Table3[[#This Row],[Cuenta]],Table8[Nombre Cuenta ()],Table8[Nivel 1],"",0)</f>
        <v/>
      </c>
      <c r="S1301" t="str">
        <f>_xlfn.XLOOKUP(Table3[[#This Row],[Cuenta]],Table8[Nombre Cuenta ()],Table8[Nivel 2],"",0)</f>
        <v/>
      </c>
      <c r="T1301" t="str">
        <f>_xlfn.XLOOKUP(Table3[[#This Row],[Cuenta]],Table8[Nombre Cuenta ()],Table8[Nivel 3],"",0)</f>
        <v/>
      </c>
      <c r="U1301">
        <v>194</v>
      </c>
      <c r="V1301" t="str">
        <f>_xlfn.XLOOKUP(Table3[[#This Row],[Cuenta]],Estructura_Balance[Nombre Cuenta ()],Estructura_Balance[Niveles:2],"",0)</f>
        <v/>
      </c>
      <c r="W1301" t="str">
        <f>_xlfn.XLOOKUP(Table3[[#This Row],[Cuenta]],Estructura_Balance[Nombre Cuenta ()],Estructura_Balance[Niveles:3],"",0)</f>
        <v/>
      </c>
      <c r="X1301" t="str">
        <f>_xlfn.XLOOKUP(Table3[[#This Row],[Cuenta]],Estructura_Balance[Nombre Cuenta ()],Estructura_Balance[Grupos],"Grupo 1",0)</f>
        <v>Grupo 1</v>
      </c>
      <c r="Y1301" t="str">
        <f>+Table3[[#This Row],[BS_Nivel_1]]</f>
        <v/>
      </c>
    </row>
    <row r="1302" spans="1:25" ht="15" customHeight="1">
      <c r="A1302">
        <f>+'Libro Diario'!F722</f>
        <v>0</v>
      </c>
      <c r="B1302" s="144">
        <f>VALUE(IF(+'Libro Diario'!G722="","01/01/2025",+'Libro Diario'!G722))</f>
        <v>45658</v>
      </c>
      <c r="C1302">
        <f>IF(ISNUMBER(+IF(IFERROR(VALUE(MID('Libro Diario'!D722,1,4)),0)&lt;&gt;0,'Libro Diario'!D722,0))=FALSE,'Libro Diario'!D722,0)</f>
        <v>0</v>
      </c>
      <c r="D1302" s="145">
        <f>+'Libro Diario'!E722</f>
        <v>0</v>
      </c>
      <c r="E1302" s="139" t="s">
        <v>446</v>
      </c>
      <c r="F1302" t="str">
        <f t="shared" si="60"/>
        <v>Sin Mov.</v>
      </c>
      <c r="G1302" t="str">
        <f>IF(+'Libro Diario'!H722=0,"",+'Libro Diario'!H722)</f>
        <v/>
      </c>
      <c r="H1302" t="str">
        <f>IF(+'Libro Diario'!I722=0,"",+'Libro Diario'!I722)</f>
        <v/>
      </c>
      <c r="I1302" t="str">
        <f>+IF(Table3[[#This Row],[Tipo Movimiento]]="Estructura Balance y PyG","Excluir","Incluir")</f>
        <v>Incluir</v>
      </c>
      <c r="J1302" s="153">
        <f>+IF(Table3[[#This Row],[Sin cuenta]]="Con Mov.",(IF(Table3[[#This Row],[Movimiento]]="Debe",Table3[[#This Row],[Importe]],IF(Table3[[#This Row],[Movimiento]]="Haber",Table3[[#This Row],[Importe]]*-1,0))),0)</f>
        <v>0</v>
      </c>
      <c r="K1302" s="145" t="str">
        <f t="shared" si="61"/>
        <v/>
      </c>
      <c r="L1302" s="145">
        <f t="shared" si="62"/>
        <v>0</v>
      </c>
      <c r="M1302" t="str">
        <f>_xlfn.XLOOKUP(Table3[[#This Row],[Cuenta]],Estructura_Balance[Nombre Cuenta ()],Estructura_Balance[Grupo],"",0)</f>
        <v/>
      </c>
      <c r="N1302" t="str">
        <f>_xlfn.XLOOKUP(Table3[[#This Row],[Cuenta]],Estructura_Balance[Nombre Cuenta ()],Estructura_Balance[Nivel 1],"",0)</f>
        <v/>
      </c>
      <c r="O1302" t="str">
        <f>_xlfn.XLOOKUP(Table3[[#This Row],[Cuenta]],Estructura_Balance[Nombre Cuenta ()],Estructura_Balance[Nivel 2],"",0)</f>
        <v/>
      </c>
      <c r="P1302" t="str">
        <f>_xlfn.XLOOKUP(Table3[[#This Row],[Cuenta]],Estructura_Balance[Nombre Cuenta ()],Estructura_Balance[Nivel 3],"",0)</f>
        <v/>
      </c>
      <c r="Q1302" t="str">
        <f>_xlfn.XLOOKUP(Table3[[#This Row],[Cuenta]],Estructura_Balance[Nombre Cuenta ()],Estructura_Balance[Nivel 4],"",0)</f>
        <v/>
      </c>
      <c r="R1302" t="str">
        <f>_xlfn.XLOOKUP(Table3[[#This Row],[Cuenta]],Table8[Nombre Cuenta ()],Table8[Nivel 1],"",0)</f>
        <v/>
      </c>
      <c r="S1302" t="str">
        <f>_xlfn.XLOOKUP(Table3[[#This Row],[Cuenta]],Table8[Nombre Cuenta ()],Table8[Nivel 2],"",0)</f>
        <v/>
      </c>
      <c r="T1302" t="str">
        <f>_xlfn.XLOOKUP(Table3[[#This Row],[Cuenta]],Table8[Nombre Cuenta ()],Table8[Nivel 3],"",0)</f>
        <v/>
      </c>
      <c r="U1302">
        <v>195</v>
      </c>
      <c r="V1302" t="str">
        <f>_xlfn.XLOOKUP(Table3[[#This Row],[Cuenta]],Estructura_Balance[Nombre Cuenta ()],Estructura_Balance[Niveles:2],"",0)</f>
        <v/>
      </c>
      <c r="W1302" t="str">
        <f>_xlfn.XLOOKUP(Table3[[#This Row],[Cuenta]],Estructura_Balance[Nombre Cuenta ()],Estructura_Balance[Niveles:3],"",0)</f>
        <v/>
      </c>
      <c r="X1302" t="str">
        <f>_xlfn.XLOOKUP(Table3[[#This Row],[Cuenta]],Estructura_Balance[Nombre Cuenta ()],Estructura_Balance[Grupos],"Grupo 1",0)</f>
        <v>Grupo 1</v>
      </c>
      <c r="Y1302" t="str">
        <f>+Table3[[#This Row],[BS_Nivel_1]]</f>
        <v/>
      </c>
    </row>
    <row r="1303" spans="1:25" ht="15" customHeight="1">
      <c r="A1303">
        <f>+'Libro Diario'!F723</f>
        <v>0</v>
      </c>
      <c r="B1303" s="144">
        <f>VALUE(IF(+'Libro Diario'!G723="","01/01/2025",+'Libro Diario'!G723))</f>
        <v>45658</v>
      </c>
      <c r="C1303">
        <f>IF(ISNUMBER(+IF(IFERROR(VALUE(MID('Libro Diario'!D723,1,4)),0)&lt;&gt;0,'Libro Diario'!D723,0))=FALSE,'Libro Diario'!D723,0)</f>
        <v>0</v>
      </c>
      <c r="D1303" s="145">
        <f>+'Libro Diario'!E723</f>
        <v>0</v>
      </c>
      <c r="E1303" s="139" t="s">
        <v>446</v>
      </c>
      <c r="F1303" t="str">
        <f t="shared" si="60"/>
        <v>Sin Mov.</v>
      </c>
      <c r="G1303" t="str">
        <f>IF(+'Libro Diario'!H723=0,"",+'Libro Diario'!H723)</f>
        <v/>
      </c>
      <c r="H1303" t="str">
        <f>IF(+'Libro Diario'!I723=0,"",+'Libro Diario'!I723)</f>
        <v/>
      </c>
      <c r="I1303" t="str">
        <f>+IF(Table3[[#This Row],[Tipo Movimiento]]="Estructura Balance y PyG","Excluir","Incluir")</f>
        <v>Incluir</v>
      </c>
      <c r="J1303" s="153">
        <f>+IF(Table3[[#This Row],[Sin cuenta]]="Con Mov.",(IF(Table3[[#This Row],[Movimiento]]="Debe",Table3[[#This Row],[Importe]],IF(Table3[[#This Row],[Movimiento]]="Haber",Table3[[#This Row],[Importe]]*-1,0))),0)</f>
        <v>0</v>
      </c>
      <c r="K1303" s="145" t="str">
        <f t="shared" si="61"/>
        <v/>
      </c>
      <c r="L1303" s="145">
        <f t="shared" si="62"/>
        <v>0</v>
      </c>
      <c r="M1303" t="str">
        <f>_xlfn.XLOOKUP(Table3[[#This Row],[Cuenta]],Estructura_Balance[Nombre Cuenta ()],Estructura_Balance[Grupo],"",0)</f>
        <v/>
      </c>
      <c r="N1303" t="str">
        <f>_xlfn.XLOOKUP(Table3[[#This Row],[Cuenta]],Estructura_Balance[Nombre Cuenta ()],Estructura_Balance[Nivel 1],"",0)</f>
        <v/>
      </c>
      <c r="O1303" t="str">
        <f>_xlfn.XLOOKUP(Table3[[#This Row],[Cuenta]],Estructura_Balance[Nombre Cuenta ()],Estructura_Balance[Nivel 2],"",0)</f>
        <v/>
      </c>
      <c r="P1303" t="str">
        <f>_xlfn.XLOOKUP(Table3[[#This Row],[Cuenta]],Estructura_Balance[Nombre Cuenta ()],Estructura_Balance[Nivel 3],"",0)</f>
        <v/>
      </c>
      <c r="Q1303" t="str">
        <f>_xlfn.XLOOKUP(Table3[[#This Row],[Cuenta]],Estructura_Balance[Nombre Cuenta ()],Estructura_Balance[Nivel 4],"",0)</f>
        <v/>
      </c>
      <c r="R1303" t="str">
        <f>_xlfn.XLOOKUP(Table3[[#This Row],[Cuenta]],Table8[Nombre Cuenta ()],Table8[Nivel 1],"",0)</f>
        <v/>
      </c>
      <c r="S1303" t="str">
        <f>_xlfn.XLOOKUP(Table3[[#This Row],[Cuenta]],Table8[Nombre Cuenta ()],Table8[Nivel 2],"",0)</f>
        <v/>
      </c>
      <c r="T1303" t="str">
        <f>_xlfn.XLOOKUP(Table3[[#This Row],[Cuenta]],Table8[Nombre Cuenta ()],Table8[Nivel 3],"",0)</f>
        <v/>
      </c>
      <c r="U1303">
        <v>1192</v>
      </c>
      <c r="V1303" t="str">
        <f>_xlfn.XLOOKUP(Table3[[#This Row],[Cuenta]],Estructura_Balance[Nombre Cuenta ()],Estructura_Balance[Niveles:2],"",0)</f>
        <v/>
      </c>
      <c r="W1303" t="str">
        <f>_xlfn.XLOOKUP(Table3[[#This Row],[Cuenta]],Estructura_Balance[Nombre Cuenta ()],Estructura_Balance[Niveles:3],"",0)</f>
        <v/>
      </c>
      <c r="X1303" t="str">
        <f>_xlfn.XLOOKUP(Table3[[#This Row],[Cuenta]],Estructura_Balance[Nombre Cuenta ()],Estructura_Balance[Grupos],"Grupo 1",0)</f>
        <v>Grupo 1</v>
      </c>
      <c r="Y1303" t="str">
        <f>+Table3[[#This Row],[BS_Nivel_1]]</f>
        <v/>
      </c>
    </row>
    <row r="1304" spans="1:25" ht="15" customHeight="1">
      <c r="A1304">
        <f>+'Libro Diario'!F724</f>
        <v>0</v>
      </c>
      <c r="B1304" s="144">
        <f>VALUE(IF(+'Libro Diario'!G724="","01/01/2025",+'Libro Diario'!G724))</f>
        <v>45658</v>
      </c>
      <c r="C1304">
        <f>IF(ISNUMBER(+IF(IFERROR(VALUE(MID('Libro Diario'!D724,1,4)),0)&lt;&gt;0,'Libro Diario'!D724,0))=FALSE,'Libro Diario'!D724,0)</f>
        <v>0</v>
      </c>
      <c r="D1304" s="145">
        <f>+'Libro Diario'!E724</f>
        <v>0</v>
      </c>
      <c r="E1304" s="139" t="s">
        <v>446</v>
      </c>
      <c r="F1304" t="str">
        <f t="shared" si="60"/>
        <v>Sin Mov.</v>
      </c>
      <c r="G1304" t="str">
        <f>IF(+'Libro Diario'!H724=0,"",+'Libro Diario'!H724)</f>
        <v/>
      </c>
      <c r="H1304" t="str">
        <f>IF(+'Libro Diario'!I724=0,"",+'Libro Diario'!I724)</f>
        <v/>
      </c>
      <c r="I1304" t="str">
        <f>+IF(Table3[[#This Row],[Tipo Movimiento]]="Estructura Balance y PyG","Excluir","Incluir")</f>
        <v>Incluir</v>
      </c>
      <c r="J1304" s="153">
        <f>+IF(Table3[[#This Row],[Sin cuenta]]="Con Mov.",(IF(Table3[[#This Row],[Movimiento]]="Debe",Table3[[#This Row],[Importe]],IF(Table3[[#This Row],[Movimiento]]="Haber",Table3[[#This Row],[Importe]]*-1,0))),0)</f>
        <v>0</v>
      </c>
      <c r="K1304" s="145" t="str">
        <f t="shared" si="61"/>
        <v/>
      </c>
      <c r="L1304" s="145">
        <f t="shared" si="62"/>
        <v>0</v>
      </c>
      <c r="M1304" t="str">
        <f>_xlfn.XLOOKUP(Table3[[#This Row],[Cuenta]],Estructura_Balance[Nombre Cuenta ()],Estructura_Balance[Grupo],"",0)</f>
        <v/>
      </c>
      <c r="N1304" t="str">
        <f>_xlfn.XLOOKUP(Table3[[#This Row],[Cuenta]],Estructura_Balance[Nombre Cuenta ()],Estructura_Balance[Nivel 1],"",0)</f>
        <v/>
      </c>
      <c r="O1304" t="str">
        <f>_xlfn.XLOOKUP(Table3[[#This Row],[Cuenta]],Estructura_Balance[Nombre Cuenta ()],Estructura_Balance[Nivel 2],"",0)</f>
        <v/>
      </c>
      <c r="P1304" t="str">
        <f>_xlfn.XLOOKUP(Table3[[#This Row],[Cuenta]],Estructura_Balance[Nombre Cuenta ()],Estructura_Balance[Nivel 3],"",0)</f>
        <v/>
      </c>
      <c r="Q1304" t="str">
        <f>_xlfn.XLOOKUP(Table3[[#This Row],[Cuenta]],Estructura_Balance[Nombre Cuenta ()],Estructura_Balance[Nivel 4],"",0)</f>
        <v/>
      </c>
      <c r="R1304" t="str">
        <f>_xlfn.XLOOKUP(Table3[[#This Row],[Cuenta]],Table8[Nombre Cuenta ()],Table8[Nivel 1],"",0)</f>
        <v/>
      </c>
      <c r="S1304" t="str">
        <f>_xlfn.XLOOKUP(Table3[[#This Row],[Cuenta]],Table8[Nombre Cuenta ()],Table8[Nivel 2],"",0)</f>
        <v/>
      </c>
      <c r="T1304" t="str">
        <f>_xlfn.XLOOKUP(Table3[[#This Row],[Cuenta]],Table8[Nombre Cuenta ()],Table8[Nivel 3],"",0)</f>
        <v/>
      </c>
      <c r="U1304">
        <v>1193</v>
      </c>
      <c r="V1304" t="str">
        <f>_xlfn.XLOOKUP(Table3[[#This Row],[Cuenta]],Estructura_Balance[Nombre Cuenta ()],Estructura_Balance[Niveles:2],"",0)</f>
        <v/>
      </c>
      <c r="W1304" t="str">
        <f>_xlfn.XLOOKUP(Table3[[#This Row],[Cuenta]],Estructura_Balance[Nombre Cuenta ()],Estructura_Balance[Niveles:3],"",0)</f>
        <v/>
      </c>
      <c r="X1304" t="str">
        <f>_xlfn.XLOOKUP(Table3[[#This Row],[Cuenta]],Estructura_Balance[Nombre Cuenta ()],Estructura_Balance[Grupos],"Grupo 1",0)</f>
        <v>Grupo 1</v>
      </c>
      <c r="Y1304" t="str">
        <f>+Table3[[#This Row],[BS_Nivel_1]]</f>
        <v/>
      </c>
    </row>
    <row r="1305" spans="1:25" ht="15" customHeight="1">
      <c r="A1305">
        <f>+'Libro Diario'!F725</f>
        <v>0</v>
      </c>
      <c r="B1305" s="144">
        <f>VALUE(IF(+'Libro Diario'!G725="","01/01/2025",+'Libro Diario'!G725))</f>
        <v>45658</v>
      </c>
      <c r="C1305">
        <f>IF(ISNUMBER(+IF(IFERROR(VALUE(MID('Libro Diario'!D725,1,4)),0)&lt;&gt;0,'Libro Diario'!D725,0))=FALSE,'Libro Diario'!D725,0)</f>
        <v>0</v>
      </c>
      <c r="D1305" s="145">
        <f>+'Libro Diario'!E725</f>
        <v>0</v>
      </c>
      <c r="E1305" s="139" t="s">
        <v>446</v>
      </c>
      <c r="F1305" t="str">
        <f t="shared" si="60"/>
        <v>Sin Mov.</v>
      </c>
      <c r="G1305" t="str">
        <f>IF(+'Libro Diario'!H725=0,"",+'Libro Diario'!H725)</f>
        <v/>
      </c>
      <c r="H1305" t="str">
        <f>IF(+'Libro Diario'!I725=0,"",+'Libro Diario'!I725)</f>
        <v/>
      </c>
      <c r="I1305" t="str">
        <f>+IF(Table3[[#This Row],[Tipo Movimiento]]="Estructura Balance y PyG","Excluir","Incluir")</f>
        <v>Incluir</v>
      </c>
      <c r="J1305" s="153">
        <f>+IF(Table3[[#This Row],[Sin cuenta]]="Con Mov.",(IF(Table3[[#This Row],[Movimiento]]="Debe",Table3[[#This Row],[Importe]],IF(Table3[[#This Row],[Movimiento]]="Haber",Table3[[#This Row],[Importe]]*-1,0))),0)</f>
        <v>0</v>
      </c>
      <c r="K1305" s="145" t="str">
        <f t="shared" si="61"/>
        <v/>
      </c>
      <c r="L1305" s="145">
        <f t="shared" si="62"/>
        <v>0</v>
      </c>
      <c r="M1305" t="str">
        <f>_xlfn.XLOOKUP(Table3[[#This Row],[Cuenta]],Estructura_Balance[Nombre Cuenta ()],Estructura_Balance[Grupo],"",0)</f>
        <v/>
      </c>
      <c r="N1305" t="str">
        <f>_xlfn.XLOOKUP(Table3[[#This Row],[Cuenta]],Estructura_Balance[Nombre Cuenta ()],Estructura_Balance[Nivel 1],"",0)</f>
        <v/>
      </c>
      <c r="O1305" t="str">
        <f>_xlfn.XLOOKUP(Table3[[#This Row],[Cuenta]],Estructura_Balance[Nombre Cuenta ()],Estructura_Balance[Nivel 2],"",0)</f>
        <v/>
      </c>
      <c r="P1305" t="str">
        <f>_xlfn.XLOOKUP(Table3[[#This Row],[Cuenta]],Estructura_Balance[Nombre Cuenta ()],Estructura_Balance[Nivel 3],"",0)</f>
        <v/>
      </c>
      <c r="Q1305" t="str">
        <f>_xlfn.XLOOKUP(Table3[[#This Row],[Cuenta]],Estructura_Balance[Nombre Cuenta ()],Estructura_Balance[Nivel 4],"",0)</f>
        <v/>
      </c>
      <c r="R1305" t="str">
        <f>_xlfn.XLOOKUP(Table3[[#This Row],[Cuenta]],Table8[Nombre Cuenta ()],Table8[Nivel 1],"",0)</f>
        <v/>
      </c>
      <c r="S1305" t="str">
        <f>_xlfn.XLOOKUP(Table3[[#This Row],[Cuenta]],Table8[Nombre Cuenta ()],Table8[Nivel 2],"",0)</f>
        <v/>
      </c>
      <c r="T1305" t="str">
        <f>_xlfn.XLOOKUP(Table3[[#This Row],[Cuenta]],Table8[Nombre Cuenta ()],Table8[Nivel 3],"",0)</f>
        <v/>
      </c>
      <c r="U1305">
        <v>201</v>
      </c>
      <c r="V1305" t="str">
        <f>_xlfn.XLOOKUP(Table3[[#This Row],[Cuenta]],Estructura_Balance[Nombre Cuenta ()],Estructura_Balance[Niveles:2],"",0)</f>
        <v/>
      </c>
      <c r="W1305" t="str">
        <f>_xlfn.XLOOKUP(Table3[[#This Row],[Cuenta]],Estructura_Balance[Nombre Cuenta ()],Estructura_Balance[Niveles:3],"",0)</f>
        <v/>
      </c>
      <c r="X1305" t="str">
        <f>_xlfn.XLOOKUP(Table3[[#This Row],[Cuenta]],Estructura_Balance[Nombre Cuenta ()],Estructura_Balance[Grupos],"Grupo 1",0)</f>
        <v>Grupo 1</v>
      </c>
      <c r="Y1305" t="str">
        <f>+Table3[[#This Row],[BS_Nivel_1]]</f>
        <v/>
      </c>
    </row>
    <row r="1306" spans="1:25" ht="15" customHeight="1">
      <c r="A1306">
        <f>+'Libro Diario'!F726</f>
        <v>0</v>
      </c>
      <c r="B1306" s="144">
        <f>VALUE(IF(+'Libro Diario'!G726="","01/01/2025",+'Libro Diario'!G726))</f>
        <v>45658</v>
      </c>
      <c r="C1306">
        <f>IF(ISNUMBER(+IF(IFERROR(VALUE(MID('Libro Diario'!D726,1,4)),0)&lt;&gt;0,'Libro Diario'!D726,0))=FALSE,'Libro Diario'!D726,0)</f>
        <v>0</v>
      </c>
      <c r="D1306" s="145">
        <f>+'Libro Diario'!E726</f>
        <v>0</v>
      </c>
      <c r="E1306" s="139" t="s">
        <v>446</v>
      </c>
      <c r="F1306" t="str">
        <f t="shared" si="60"/>
        <v>Sin Mov.</v>
      </c>
      <c r="G1306" t="str">
        <f>IF(+'Libro Diario'!H726=0,"",+'Libro Diario'!H726)</f>
        <v/>
      </c>
      <c r="H1306" t="str">
        <f>IF(+'Libro Diario'!I726=0,"",+'Libro Diario'!I726)</f>
        <v/>
      </c>
      <c r="I1306" t="str">
        <f>+IF(Table3[[#This Row],[Tipo Movimiento]]="Estructura Balance y PyG","Excluir","Incluir")</f>
        <v>Incluir</v>
      </c>
      <c r="J1306" s="153">
        <f>+IF(Table3[[#This Row],[Sin cuenta]]="Con Mov.",(IF(Table3[[#This Row],[Movimiento]]="Debe",Table3[[#This Row],[Importe]],IF(Table3[[#This Row],[Movimiento]]="Haber",Table3[[#This Row],[Importe]]*-1,0))),0)</f>
        <v>0</v>
      </c>
      <c r="K1306" s="145" t="str">
        <f t="shared" si="61"/>
        <v/>
      </c>
      <c r="L1306" s="145">
        <f t="shared" si="62"/>
        <v>0</v>
      </c>
      <c r="M1306" t="str">
        <f>_xlfn.XLOOKUP(Table3[[#This Row],[Cuenta]],Estructura_Balance[Nombre Cuenta ()],Estructura_Balance[Grupo],"",0)</f>
        <v/>
      </c>
      <c r="N1306" t="str">
        <f>_xlfn.XLOOKUP(Table3[[#This Row],[Cuenta]],Estructura_Balance[Nombre Cuenta ()],Estructura_Balance[Nivel 1],"",0)</f>
        <v/>
      </c>
      <c r="O1306" t="str">
        <f>_xlfn.XLOOKUP(Table3[[#This Row],[Cuenta]],Estructura_Balance[Nombre Cuenta ()],Estructura_Balance[Nivel 2],"",0)</f>
        <v/>
      </c>
      <c r="P1306" t="str">
        <f>_xlfn.XLOOKUP(Table3[[#This Row],[Cuenta]],Estructura_Balance[Nombre Cuenta ()],Estructura_Balance[Nivel 3],"",0)</f>
        <v/>
      </c>
      <c r="Q1306" t="str">
        <f>_xlfn.XLOOKUP(Table3[[#This Row],[Cuenta]],Estructura_Balance[Nombre Cuenta ()],Estructura_Balance[Nivel 4],"",0)</f>
        <v/>
      </c>
      <c r="R1306" t="str">
        <f>_xlfn.XLOOKUP(Table3[[#This Row],[Cuenta]],Table8[Nombre Cuenta ()],Table8[Nivel 1],"",0)</f>
        <v/>
      </c>
      <c r="S1306" t="str">
        <f>_xlfn.XLOOKUP(Table3[[#This Row],[Cuenta]],Table8[Nombre Cuenta ()],Table8[Nivel 2],"",0)</f>
        <v/>
      </c>
      <c r="T1306" t="str">
        <f>_xlfn.XLOOKUP(Table3[[#This Row],[Cuenta]],Table8[Nombre Cuenta ()],Table8[Nivel 3],"",0)</f>
        <v/>
      </c>
      <c r="U1306">
        <v>202</v>
      </c>
      <c r="V1306" t="str">
        <f>_xlfn.XLOOKUP(Table3[[#This Row],[Cuenta]],Estructura_Balance[Nombre Cuenta ()],Estructura_Balance[Niveles:2],"",0)</f>
        <v/>
      </c>
      <c r="W1306" t="str">
        <f>_xlfn.XLOOKUP(Table3[[#This Row],[Cuenta]],Estructura_Balance[Nombre Cuenta ()],Estructura_Balance[Niveles:3],"",0)</f>
        <v/>
      </c>
      <c r="X1306" t="str">
        <f>_xlfn.XLOOKUP(Table3[[#This Row],[Cuenta]],Estructura_Balance[Nombre Cuenta ()],Estructura_Balance[Grupos],"Grupo 1",0)</f>
        <v>Grupo 1</v>
      </c>
      <c r="Y1306" t="str">
        <f>+Table3[[#This Row],[BS_Nivel_1]]</f>
        <v/>
      </c>
    </row>
    <row r="1307" spans="1:25" ht="15" customHeight="1">
      <c r="A1307">
        <f>+'Libro Diario'!F727</f>
        <v>0</v>
      </c>
      <c r="B1307" s="144">
        <f>VALUE(IF(+'Libro Diario'!G727="","01/01/2025",+'Libro Diario'!G727))</f>
        <v>45658</v>
      </c>
      <c r="C1307">
        <f>IF(ISNUMBER(+IF(IFERROR(VALUE(MID('Libro Diario'!D727,1,4)),0)&lt;&gt;0,'Libro Diario'!D727,0))=FALSE,'Libro Diario'!D727,0)</f>
        <v>0</v>
      </c>
      <c r="D1307" s="145">
        <f>+'Libro Diario'!E727</f>
        <v>0</v>
      </c>
      <c r="E1307" s="139" t="s">
        <v>446</v>
      </c>
      <c r="F1307" t="str">
        <f t="shared" si="60"/>
        <v>Sin Mov.</v>
      </c>
      <c r="G1307" t="str">
        <f>IF(+'Libro Diario'!H727=0,"",+'Libro Diario'!H727)</f>
        <v/>
      </c>
      <c r="H1307" t="str">
        <f>IF(+'Libro Diario'!I727=0,"",+'Libro Diario'!I727)</f>
        <v/>
      </c>
      <c r="I1307" t="str">
        <f>+IF(Table3[[#This Row],[Tipo Movimiento]]="Estructura Balance y PyG","Excluir","Incluir")</f>
        <v>Incluir</v>
      </c>
      <c r="J1307" s="153">
        <f>+IF(Table3[[#This Row],[Sin cuenta]]="Con Mov.",(IF(Table3[[#This Row],[Movimiento]]="Debe",Table3[[#This Row],[Importe]],IF(Table3[[#This Row],[Movimiento]]="Haber",Table3[[#This Row],[Importe]]*-1,0))),0)</f>
        <v>0</v>
      </c>
      <c r="K1307" s="145" t="str">
        <f t="shared" si="61"/>
        <v/>
      </c>
      <c r="L1307" s="145">
        <f t="shared" si="62"/>
        <v>0</v>
      </c>
      <c r="M1307" t="str">
        <f>_xlfn.XLOOKUP(Table3[[#This Row],[Cuenta]],Estructura_Balance[Nombre Cuenta ()],Estructura_Balance[Grupo],"",0)</f>
        <v/>
      </c>
      <c r="N1307" t="str">
        <f>_xlfn.XLOOKUP(Table3[[#This Row],[Cuenta]],Estructura_Balance[Nombre Cuenta ()],Estructura_Balance[Nivel 1],"",0)</f>
        <v/>
      </c>
      <c r="O1307" t="str">
        <f>_xlfn.XLOOKUP(Table3[[#This Row],[Cuenta]],Estructura_Balance[Nombre Cuenta ()],Estructura_Balance[Nivel 2],"",0)</f>
        <v/>
      </c>
      <c r="P1307" t="str">
        <f>_xlfn.XLOOKUP(Table3[[#This Row],[Cuenta]],Estructura_Balance[Nombre Cuenta ()],Estructura_Balance[Nivel 3],"",0)</f>
        <v/>
      </c>
      <c r="Q1307" t="str">
        <f>_xlfn.XLOOKUP(Table3[[#This Row],[Cuenta]],Estructura_Balance[Nombre Cuenta ()],Estructura_Balance[Nivel 4],"",0)</f>
        <v/>
      </c>
      <c r="R1307" t="str">
        <f>_xlfn.XLOOKUP(Table3[[#This Row],[Cuenta]],Table8[Nombre Cuenta ()],Table8[Nivel 1],"",0)</f>
        <v/>
      </c>
      <c r="S1307" t="str">
        <f>_xlfn.XLOOKUP(Table3[[#This Row],[Cuenta]],Table8[Nombre Cuenta ()],Table8[Nivel 2],"",0)</f>
        <v/>
      </c>
      <c r="T1307" t="str">
        <f>_xlfn.XLOOKUP(Table3[[#This Row],[Cuenta]],Table8[Nombre Cuenta ()],Table8[Nivel 3],"",0)</f>
        <v/>
      </c>
      <c r="U1307">
        <v>1199</v>
      </c>
      <c r="V1307" t="str">
        <f>_xlfn.XLOOKUP(Table3[[#This Row],[Cuenta]],Estructura_Balance[Nombre Cuenta ()],Estructura_Balance[Niveles:2],"",0)</f>
        <v/>
      </c>
      <c r="W1307" t="str">
        <f>_xlfn.XLOOKUP(Table3[[#This Row],[Cuenta]],Estructura_Balance[Nombre Cuenta ()],Estructura_Balance[Niveles:3],"",0)</f>
        <v/>
      </c>
      <c r="X1307" t="str">
        <f>_xlfn.XLOOKUP(Table3[[#This Row],[Cuenta]],Estructura_Balance[Nombre Cuenta ()],Estructura_Balance[Grupos],"Grupo 1",0)</f>
        <v>Grupo 1</v>
      </c>
      <c r="Y1307" t="str">
        <f>+Table3[[#This Row],[BS_Nivel_1]]</f>
        <v/>
      </c>
    </row>
    <row r="1308" spans="1:25" ht="15" customHeight="1">
      <c r="A1308">
        <f>+'Libro Diario'!F728</f>
        <v>0</v>
      </c>
      <c r="B1308" s="144">
        <f>VALUE(IF(+'Libro Diario'!G728="","01/01/2025",+'Libro Diario'!G728))</f>
        <v>45658</v>
      </c>
      <c r="C1308">
        <f>IF(ISNUMBER(+IF(IFERROR(VALUE(MID('Libro Diario'!D728,1,4)),0)&lt;&gt;0,'Libro Diario'!D728,0))=FALSE,'Libro Diario'!D728,0)</f>
        <v>0</v>
      </c>
      <c r="D1308" s="145">
        <f>+'Libro Diario'!E728</f>
        <v>0</v>
      </c>
      <c r="E1308" s="139" t="s">
        <v>446</v>
      </c>
      <c r="F1308" t="str">
        <f t="shared" si="60"/>
        <v>Sin Mov.</v>
      </c>
      <c r="G1308" t="str">
        <f>IF(+'Libro Diario'!H728=0,"",+'Libro Diario'!H728)</f>
        <v/>
      </c>
      <c r="H1308" t="str">
        <f>IF(+'Libro Diario'!I728=0,"",+'Libro Diario'!I728)</f>
        <v/>
      </c>
      <c r="I1308" t="str">
        <f>+IF(Table3[[#This Row],[Tipo Movimiento]]="Estructura Balance y PyG","Excluir","Incluir")</f>
        <v>Incluir</v>
      </c>
      <c r="J1308" s="153">
        <f>+IF(Table3[[#This Row],[Sin cuenta]]="Con Mov.",(IF(Table3[[#This Row],[Movimiento]]="Debe",Table3[[#This Row],[Importe]],IF(Table3[[#This Row],[Movimiento]]="Haber",Table3[[#This Row],[Importe]]*-1,0))),0)</f>
        <v>0</v>
      </c>
      <c r="K1308" s="145" t="str">
        <f t="shared" si="61"/>
        <v/>
      </c>
      <c r="L1308" s="145">
        <f t="shared" si="62"/>
        <v>0</v>
      </c>
      <c r="M1308" t="str">
        <f>_xlfn.XLOOKUP(Table3[[#This Row],[Cuenta]],Estructura_Balance[Nombre Cuenta ()],Estructura_Balance[Grupo],"",0)</f>
        <v/>
      </c>
      <c r="N1308" t="str">
        <f>_xlfn.XLOOKUP(Table3[[#This Row],[Cuenta]],Estructura_Balance[Nombre Cuenta ()],Estructura_Balance[Nivel 1],"",0)</f>
        <v/>
      </c>
      <c r="O1308" t="str">
        <f>_xlfn.XLOOKUP(Table3[[#This Row],[Cuenta]],Estructura_Balance[Nombre Cuenta ()],Estructura_Balance[Nivel 2],"",0)</f>
        <v/>
      </c>
      <c r="P1308" t="str">
        <f>_xlfn.XLOOKUP(Table3[[#This Row],[Cuenta]],Estructura_Balance[Nombre Cuenta ()],Estructura_Balance[Nivel 3],"",0)</f>
        <v/>
      </c>
      <c r="Q1308" t="str">
        <f>_xlfn.XLOOKUP(Table3[[#This Row],[Cuenta]],Estructura_Balance[Nombre Cuenta ()],Estructura_Balance[Nivel 4],"",0)</f>
        <v/>
      </c>
      <c r="R1308" t="str">
        <f>_xlfn.XLOOKUP(Table3[[#This Row],[Cuenta]],Table8[Nombre Cuenta ()],Table8[Nivel 1],"",0)</f>
        <v/>
      </c>
      <c r="S1308" t="str">
        <f>_xlfn.XLOOKUP(Table3[[#This Row],[Cuenta]],Table8[Nombre Cuenta ()],Table8[Nivel 2],"",0)</f>
        <v/>
      </c>
      <c r="T1308" t="str">
        <f>_xlfn.XLOOKUP(Table3[[#This Row],[Cuenta]],Table8[Nombre Cuenta ()],Table8[Nivel 3],"",0)</f>
        <v/>
      </c>
      <c r="U1308">
        <v>1200</v>
      </c>
      <c r="V1308" t="str">
        <f>_xlfn.XLOOKUP(Table3[[#This Row],[Cuenta]],Estructura_Balance[Nombre Cuenta ()],Estructura_Balance[Niveles:2],"",0)</f>
        <v/>
      </c>
      <c r="W1308" t="str">
        <f>_xlfn.XLOOKUP(Table3[[#This Row],[Cuenta]],Estructura_Balance[Nombre Cuenta ()],Estructura_Balance[Niveles:3],"",0)</f>
        <v/>
      </c>
      <c r="X1308" t="str">
        <f>_xlfn.XLOOKUP(Table3[[#This Row],[Cuenta]],Estructura_Balance[Nombre Cuenta ()],Estructura_Balance[Grupos],"Grupo 1",0)</f>
        <v>Grupo 1</v>
      </c>
      <c r="Y1308" t="str">
        <f>+Table3[[#This Row],[BS_Nivel_1]]</f>
        <v/>
      </c>
    </row>
    <row r="1309" spans="1:25" ht="15" customHeight="1">
      <c r="A1309">
        <f>+'Libro Diario'!F729</f>
        <v>0</v>
      </c>
      <c r="B1309" s="144">
        <f>VALUE(IF(+'Libro Diario'!G729="","01/01/2025",+'Libro Diario'!G729))</f>
        <v>45658</v>
      </c>
      <c r="C1309">
        <f>IF(ISNUMBER(+IF(IFERROR(VALUE(MID('Libro Diario'!D729,1,4)),0)&lt;&gt;0,'Libro Diario'!D729,0))=FALSE,'Libro Diario'!D729,0)</f>
        <v>0</v>
      </c>
      <c r="D1309" s="145">
        <f>+'Libro Diario'!E729</f>
        <v>0</v>
      </c>
      <c r="E1309" s="139" t="s">
        <v>446</v>
      </c>
      <c r="F1309" t="str">
        <f t="shared" si="60"/>
        <v>Sin Mov.</v>
      </c>
      <c r="G1309" t="str">
        <f>IF(+'Libro Diario'!H729=0,"",+'Libro Diario'!H729)</f>
        <v/>
      </c>
      <c r="H1309" t="str">
        <f>IF(+'Libro Diario'!I729=0,"",+'Libro Diario'!I729)</f>
        <v/>
      </c>
      <c r="I1309" t="str">
        <f>+IF(Table3[[#This Row],[Tipo Movimiento]]="Estructura Balance y PyG","Excluir","Incluir")</f>
        <v>Incluir</v>
      </c>
      <c r="J1309" s="153">
        <f>+IF(Table3[[#This Row],[Sin cuenta]]="Con Mov.",(IF(Table3[[#This Row],[Movimiento]]="Debe",Table3[[#This Row],[Importe]],IF(Table3[[#This Row],[Movimiento]]="Haber",Table3[[#This Row],[Importe]]*-1,0))),0)</f>
        <v>0</v>
      </c>
      <c r="K1309" s="145" t="str">
        <f t="shared" si="61"/>
        <v/>
      </c>
      <c r="L1309" s="145">
        <f t="shared" si="62"/>
        <v>0</v>
      </c>
      <c r="M1309" t="str">
        <f>_xlfn.XLOOKUP(Table3[[#This Row],[Cuenta]],Estructura_Balance[Nombre Cuenta ()],Estructura_Balance[Grupo],"",0)</f>
        <v/>
      </c>
      <c r="N1309" t="str">
        <f>_xlfn.XLOOKUP(Table3[[#This Row],[Cuenta]],Estructura_Balance[Nombre Cuenta ()],Estructura_Balance[Nivel 1],"",0)</f>
        <v/>
      </c>
      <c r="O1309" t="str">
        <f>_xlfn.XLOOKUP(Table3[[#This Row],[Cuenta]],Estructura_Balance[Nombre Cuenta ()],Estructura_Balance[Nivel 2],"",0)</f>
        <v/>
      </c>
      <c r="P1309" t="str">
        <f>_xlfn.XLOOKUP(Table3[[#This Row],[Cuenta]],Estructura_Balance[Nombre Cuenta ()],Estructura_Balance[Nivel 3],"",0)</f>
        <v/>
      </c>
      <c r="Q1309" t="str">
        <f>_xlfn.XLOOKUP(Table3[[#This Row],[Cuenta]],Estructura_Balance[Nombre Cuenta ()],Estructura_Balance[Nivel 4],"",0)</f>
        <v/>
      </c>
      <c r="R1309" t="str">
        <f>_xlfn.XLOOKUP(Table3[[#This Row],[Cuenta]],Table8[Nombre Cuenta ()],Table8[Nivel 1],"",0)</f>
        <v/>
      </c>
      <c r="S1309" t="str">
        <f>_xlfn.XLOOKUP(Table3[[#This Row],[Cuenta]],Table8[Nombre Cuenta ()],Table8[Nivel 2],"",0)</f>
        <v/>
      </c>
      <c r="T1309" t="str">
        <f>_xlfn.XLOOKUP(Table3[[#This Row],[Cuenta]],Table8[Nombre Cuenta ()],Table8[Nivel 3],"",0)</f>
        <v/>
      </c>
      <c r="U1309">
        <v>208</v>
      </c>
      <c r="V1309" t="str">
        <f>_xlfn.XLOOKUP(Table3[[#This Row],[Cuenta]],Estructura_Balance[Nombre Cuenta ()],Estructura_Balance[Niveles:2],"",0)</f>
        <v/>
      </c>
      <c r="W1309" t="str">
        <f>_xlfn.XLOOKUP(Table3[[#This Row],[Cuenta]],Estructura_Balance[Nombre Cuenta ()],Estructura_Balance[Niveles:3],"",0)</f>
        <v/>
      </c>
      <c r="X1309" t="str">
        <f>_xlfn.XLOOKUP(Table3[[#This Row],[Cuenta]],Estructura_Balance[Nombre Cuenta ()],Estructura_Balance[Grupos],"Grupo 1",0)</f>
        <v>Grupo 1</v>
      </c>
      <c r="Y1309" t="str">
        <f>+Table3[[#This Row],[BS_Nivel_1]]</f>
        <v/>
      </c>
    </row>
    <row r="1310" spans="1:25" ht="15" customHeight="1">
      <c r="A1310">
        <f>+'Libro Diario'!F730</f>
        <v>0</v>
      </c>
      <c r="B1310" s="144">
        <f>VALUE(IF(+'Libro Diario'!G730="","01/01/2025",+'Libro Diario'!G730))</f>
        <v>45658</v>
      </c>
      <c r="C1310">
        <f>IF(ISNUMBER(+IF(IFERROR(VALUE(MID('Libro Diario'!D730,1,4)),0)&lt;&gt;0,'Libro Diario'!D730,0))=FALSE,'Libro Diario'!D730,0)</f>
        <v>0</v>
      </c>
      <c r="D1310" s="145">
        <f>+'Libro Diario'!E730</f>
        <v>0</v>
      </c>
      <c r="E1310" s="139" t="s">
        <v>446</v>
      </c>
      <c r="F1310" t="str">
        <f t="shared" si="60"/>
        <v>Sin Mov.</v>
      </c>
      <c r="G1310" t="str">
        <f>IF(+'Libro Diario'!H730=0,"",+'Libro Diario'!H730)</f>
        <v/>
      </c>
      <c r="H1310" t="str">
        <f>IF(+'Libro Diario'!I730=0,"",+'Libro Diario'!I730)</f>
        <v/>
      </c>
      <c r="I1310" t="str">
        <f>+IF(Table3[[#This Row],[Tipo Movimiento]]="Estructura Balance y PyG","Excluir","Incluir")</f>
        <v>Incluir</v>
      </c>
      <c r="J1310" s="153">
        <f>+IF(Table3[[#This Row],[Sin cuenta]]="Con Mov.",(IF(Table3[[#This Row],[Movimiento]]="Debe",Table3[[#This Row],[Importe]],IF(Table3[[#This Row],[Movimiento]]="Haber",Table3[[#This Row],[Importe]]*-1,0))),0)</f>
        <v>0</v>
      </c>
      <c r="K1310" s="145" t="str">
        <f t="shared" si="61"/>
        <v/>
      </c>
      <c r="L1310" s="145">
        <f t="shared" si="62"/>
        <v>0</v>
      </c>
      <c r="M1310" t="str">
        <f>_xlfn.XLOOKUP(Table3[[#This Row],[Cuenta]],Estructura_Balance[Nombre Cuenta ()],Estructura_Balance[Grupo],"",0)</f>
        <v/>
      </c>
      <c r="N1310" t="str">
        <f>_xlfn.XLOOKUP(Table3[[#This Row],[Cuenta]],Estructura_Balance[Nombre Cuenta ()],Estructura_Balance[Nivel 1],"",0)</f>
        <v/>
      </c>
      <c r="O1310" t="str">
        <f>_xlfn.XLOOKUP(Table3[[#This Row],[Cuenta]],Estructura_Balance[Nombre Cuenta ()],Estructura_Balance[Nivel 2],"",0)</f>
        <v/>
      </c>
      <c r="P1310" t="str">
        <f>_xlfn.XLOOKUP(Table3[[#This Row],[Cuenta]],Estructura_Balance[Nombre Cuenta ()],Estructura_Balance[Nivel 3],"",0)</f>
        <v/>
      </c>
      <c r="Q1310" t="str">
        <f>_xlfn.XLOOKUP(Table3[[#This Row],[Cuenta]],Estructura_Balance[Nombre Cuenta ()],Estructura_Balance[Nivel 4],"",0)</f>
        <v/>
      </c>
      <c r="R1310" t="str">
        <f>_xlfn.XLOOKUP(Table3[[#This Row],[Cuenta]],Table8[Nombre Cuenta ()],Table8[Nivel 1],"",0)</f>
        <v/>
      </c>
      <c r="S1310" t="str">
        <f>_xlfn.XLOOKUP(Table3[[#This Row],[Cuenta]],Table8[Nombre Cuenta ()],Table8[Nivel 2],"",0)</f>
        <v/>
      </c>
      <c r="T1310" t="str">
        <f>_xlfn.XLOOKUP(Table3[[#This Row],[Cuenta]],Table8[Nombre Cuenta ()],Table8[Nivel 3],"",0)</f>
        <v/>
      </c>
      <c r="U1310">
        <v>209</v>
      </c>
      <c r="V1310" t="str">
        <f>_xlfn.XLOOKUP(Table3[[#This Row],[Cuenta]],Estructura_Balance[Nombre Cuenta ()],Estructura_Balance[Niveles:2],"",0)</f>
        <v/>
      </c>
      <c r="W1310" t="str">
        <f>_xlfn.XLOOKUP(Table3[[#This Row],[Cuenta]],Estructura_Balance[Nombre Cuenta ()],Estructura_Balance[Niveles:3],"",0)</f>
        <v/>
      </c>
      <c r="X1310" t="str">
        <f>_xlfn.XLOOKUP(Table3[[#This Row],[Cuenta]],Estructura_Balance[Nombre Cuenta ()],Estructura_Balance[Grupos],"Grupo 1",0)</f>
        <v>Grupo 1</v>
      </c>
      <c r="Y1310" t="str">
        <f>+Table3[[#This Row],[BS_Nivel_1]]</f>
        <v/>
      </c>
    </row>
    <row r="1311" spans="1:25" ht="15" customHeight="1">
      <c r="A1311">
        <f>+'Libro Diario'!F731</f>
        <v>0</v>
      </c>
      <c r="B1311" s="144">
        <f>VALUE(IF(+'Libro Diario'!G731="","01/01/2025",+'Libro Diario'!G731))</f>
        <v>45658</v>
      </c>
      <c r="C1311">
        <f>IF(ISNUMBER(+IF(IFERROR(VALUE(MID('Libro Diario'!D731,1,4)),0)&lt;&gt;0,'Libro Diario'!D731,0))=FALSE,'Libro Diario'!D731,0)</f>
        <v>0</v>
      </c>
      <c r="D1311" s="145">
        <f>+'Libro Diario'!E731</f>
        <v>0</v>
      </c>
      <c r="E1311" s="139" t="s">
        <v>446</v>
      </c>
      <c r="F1311" t="str">
        <f t="shared" si="60"/>
        <v>Sin Mov.</v>
      </c>
      <c r="G1311" t="str">
        <f>IF(+'Libro Diario'!H731=0,"",+'Libro Diario'!H731)</f>
        <v/>
      </c>
      <c r="H1311" t="str">
        <f>IF(+'Libro Diario'!I731=0,"",+'Libro Diario'!I731)</f>
        <v/>
      </c>
      <c r="I1311" t="str">
        <f>+IF(Table3[[#This Row],[Tipo Movimiento]]="Estructura Balance y PyG","Excluir","Incluir")</f>
        <v>Incluir</v>
      </c>
      <c r="J1311" s="153">
        <f>+IF(Table3[[#This Row],[Sin cuenta]]="Con Mov.",(IF(Table3[[#This Row],[Movimiento]]="Debe",Table3[[#This Row],[Importe]],IF(Table3[[#This Row],[Movimiento]]="Haber",Table3[[#This Row],[Importe]]*-1,0))),0)</f>
        <v>0</v>
      </c>
      <c r="K1311" s="145" t="str">
        <f t="shared" si="61"/>
        <v/>
      </c>
      <c r="L1311" s="145">
        <f t="shared" si="62"/>
        <v>0</v>
      </c>
      <c r="M1311" t="str">
        <f>_xlfn.XLOOKUP(Table3[[#This Row],[Cuenta]],Estructura_Balance[Nombre Cuenta ()],Estructura_Balance[Grupo],"",0)</f>
        <v/>
      </c>
      <c r="N1311" t="str">
        <f>_xlfn.XLOOKUP(Table3[[#This Row],[Cuenta]],Estructura_Balance[Nombre Cuenta ()],Estructura_Balance[Nivel 1],"",0)</f>
        <v/>
      </c>
      <c r="O1311" t="str">
        <f>_xlfn.XLOOKUP(Table3[[#This Row],[Cuenta]],Estructura_Balance[Nombre Cuenta ()],Estructura_Balance[Nivel 2],"",0)</f>
        <v/>
      </c>
      <c r="P1311" t="str">
        <f>_xlfn.XLOOKUP(Table3[[#This Row],[Cuenta]],Estructura_Balance[Nombre Cuenta ()],Estructura_Balance[Nivel 3],"",0)</f>
        <v/>
      </c>
      <c r="Q1311" t="str">
        <f>_xlfn.XLOOKUP(Table3[[#This Row],[Cuenta]],Estructura_Balance[Nombre Cuenta ()],Estructura_Balance[Nivel 4],"",0)</f>
        <v/>
      </c>
      <c r="R1311" t="str">
        <f>_xlfn.XLOOKUP(Table3[[#This Row],[Cuenta]],Table8[Nombre Cuenta ()],Table8[Nivel 1],"",0)</f>
        <v/>
      </c>
      <c r="S1311" t="str">
        <f>_xlfn.XLOOKUP(Table3[[#This Row],[Cuenta]],Table8[Nombre Cuenta ()],Table8[Nivel 2],"",0)</f>
        <v/>
      </c>
      <c r="T1311" t="str">
        <f>_xlfn.XLOOKUP(Table3[[#This Row],[Cuenta]],Table8[Nombre Cuenta ()],Table8[Nivel 3],"",0)</f>
        <v/>
      </c>
      <c r="U1311">
        <v>1206</v>
      </c>
      <c r="V1311" t="str">
        <f>_xlfn.XLOOKUP(Table3[[#This Row],[Cuenta]],Estructura_Balance[Nombre Cuenta ()],Estructura_Balance[Niveles:2],"",0)</f>
        <v/>
      </c>
      <c r="W1311" t="str">
        <f>_xlfn.XLOOKUP(Table3[[#This Row],[Cuenta]],Estructura_Balance[Nombre Cuenta ()],Estructura_Balance[Niveles:3],"",0)</f>
        <v/>
      </c>
      <c r="X1311" t="str">
        <f>_xlfn.XLOOKUP(Table3[[#This Row],[Cuenta]],Estructura_Balance[Nombre Cuenta ()],Estructura_Balance[Grupos],"Grupo 1",0)</f>
        <v>Grupo 1</v>
      </c>
      <c r="Y1311" t="str">
        <f>+Table3[[#This Row],[BS_Nivel_1]]</f>
        <v/>
      </c>
    </row>
    <row r="1312" spans="1:25" ht="15" customHeight="1">
      <c r="A1312">
        <f>+'Libro Diario'!F732</f>
        <v>0</v>
      </c>
      <c r="B1312" s="144">
        <f>VALUE(IF(+'Libro Diario'!G732="","01/01/2025",+'Libro Diario'!G732))</f>
        <v>45658</v>
      </c>
      <c r="C1312">
        <f>IF(ISNUMBER(+IF(IFERROR(VALUE(MID('Libro Diario'!D732,1,4)),0)&lt;&gt;0,'Libro Diario'!D732,0))=FALSE,'Libro Diario'!D732,0)</f>
        <v>0</v>
      </c>
      <c r="D1312" s="145">
        <f>+'Libro Diario'!E732</f>
        <v>0</v>
      </c>
      <c r="E1312" s="139" t="s">
        <v>446</v>
      </c>
      <c r="F1312" t="str">
        <f t="shared" si="60"/>
        <v>Sin Mov.</v>
      </c>
      <c r="G1312" t="str">
        <f>IF(+'Libro Diario'!H732=0,"",+'Libro Diario'!H732)</f>
        <v/>
      </c>
      <c r="H1312" t="str">
        <f>IF(+'Libro Diario'!I732=0,"",+'Libro Diario'!I732)</f>
        <v/>
      </c>
      <c r="I1312" t="str">
        <f>+IF(Table3[[#This Row],[Tipo Movimiento]]="Estructura Balance y PyG","Excluir","Incluir")</f>
        <v>Incluir</v>
      </c>
      <c r="J1312" s="153">
        <f>+IF(Table3[[#This Row],[Sin cuenta]]="Con Mov.",(IF(Table3[[#This Row],[Movimiento]]="Debe",Table3[[#This Row],[Importe]],IF(Table3[[#This Row],[Movimiento]]="Haber",Table3[[#This Row],[Importe]]*-1,0))),0)</f>
        <v>0</v>
      </c>
      <c r="K1312" s="145" t="str">
        <f t="shared" si="61"/>
        <v/>
      </c>
      <c r="L1312" s="145">
        <f t="shared" si="62"/>
        <v>0</v>
      </c>
      <c r="M1312" t="str">
        <f>_xlfn.XLOOKUP(Table3[[#This Row],[Cuenta]],Estructura_Balance[Nombre Cuenta ()],Estructura_Balance[Grupo],"",0)</f>
        <v/>
      </c>
      <c r="N1312" t="str">
        <f>_xlfn.XLOOKUP(Table3[[#This Row],[Cuenta]],Estructura_Balance[Nombre Cuenta ()],Estructura_Balance[Nivel 1],"",0)</f>
        <v/>
      </c>
      <c r="O1312" t="str">
        <f>_xlfn.XLOOKUP(Table3[[#This Row],[Cuenta]],Estructura_Balance[Nombre Cuenta ()],Estructura_Balance[Nivel 2],"",0)</f>
        <v/>
      </c>
      <c r="P1312" t="str">
        <f>_xlfn.XLOOKUP(Table3[[#This Row],[Cuenta]],Estructura_Balance[Nombre Cuenta ()],Estructura_Balance[Nivel 3],"",0)</f>
        <v/>
      </c>
      <c r="Q1312" t="str">
        <f>_xlfn.XLOOKUP(Table3[[#This Row],[Cuenta]],Estructura_Balance[Nombre Cuenta ()],Estructura_Balance[Nivel 4],"",0)</f>
        <v/>
      </c>
      <c r="R1312" t="str">
        <f>_xlfn.XLOOKUP(Table3[[#This Row],[Cuenta]],Table8[Nombre Cuenta ()],Table8[Nivel 1],"",0)</f>
        <v/>
      </c>
      <c r="S1312" t="str">
        <f>_xlfn.XLOOKUP(Table3[[#This Row],[Cuenta]],Table8[Nombre Cuenta ()],Table8[Nivel 2],"",0)</f>
        <v/>
      </c>
      <c r="T1312" t="str">
        <f>_xlfn.XLOOKUP(Table3[[#This Row],[Cuenta]],Table8[Nombre Cuenta ()],Table8[Nivel 3],"",0)</f>
        <v/>
      </c>
      <c r="U1312">
        <v>1207</v>
      </c>
      <c r="V1312" t="str">
        <f>_xlfn.XLOOKUP(Table3[[#This Row],[Cuenta]],Estructura_Balance[Nombre Cuenta ()],Estructura_Balance[Niveles:2],"",0)</f>
        <v/>
      </c>
      <c r="W1312" t="str">
        <f>_xlfn.XLOOKUP(Table3[[#This Row],[Cuenta]],Estructura_Balance[Nombre Cuenta ()],Estructura_Balance[Niveles:3],"",0)</f>
        <v/>
      </c>
      <c r="X1312" t="str">
        <f>_xlfn.XLOOKUP(Table3[[#This Row],[Cuenta]],Estructura_Balance[Nombre Cuenta ()],Estructura_Balance[Grupos],"Grupo 1",0)</f>
        <v>Grupo 1</v>
      </c>
      <c r="Y1312" t="str">
        <f>+Table3[[#This Row],[BS_Nivel_1]]</f>
        <v/>
      </c>
    </row>
    <row r="1313" spans="1:25" ht="15" customHeight="1">
      <c r="A1313">
        <f>+'Libro Diario'!F733</f>
        <v>0</v>
      </c>
      <c r="B1313" s="144">
        <f>VALUE(IF(+'Libro Diario'!G733="","01/01/2025",+'Libro Diario'!G733))</f>
        <v>45658</v>
      </c>
      <c r="C1313">
        <f>IF(ISNUMBER(+IF(IFERROR(VALUE(MID('Libro Diario'!D733,1,4)),0)&lt;&gt;0,'Libro Diario'!D733,0))=FALSE,'Libro Diario'!D733,0)</f>
        <v>0</v>
      </c>
      <c r="D1313" s="145">
        <f>+'Libro Diario'!E733</f>
        <v>0</v>
      </c>
      <c r="E1313" s="139" t="s">
        <v>446</v>
      </c>
      <c r="F1313" t="str">
        <f t="shared" si="60"/>
        <v>Sin Mov.</v>
      </c>
      <c r="G1313" t="str">
        <f>IF(+'Libro Diario'!H733=0,"",+'Libro Diario'!H733)</f>
        <v/>
      </c>
      <c r="H1313" t="str">
        <f>IF(+'Libro Diario'!I733=0,"",+'Libro Diario'!I733)</f>
        <v/>
      </c>
      <c r="I1313" t="str">
        <f>+IF(Table3[[#This Row],[Tipo Movimiento]]="Estructura Balance y PyG","Excluir","Incluir")</f>
        <v>Incluir</v>
      </c>
      <c r="J1313" s="153">
        <f>+IF(Table3[[#This Row],[Sin cuenta]]="Con Mov.",(IF(Table3[[#This Row],[Movimiento]]="Debe",Table3[[#This Row],[Importe]],IF(Table3[[#This Row],[Movimiento]]="Haber",Table3[[#This Row],[Importe]]*-1,0))),0)</f>
        <v>0</v>
      </c>
      <c r="K1313" s="145" t="str">
        <f t="shared" si="61"/>
        <v/>
      </c>
      <c r="L1313" s="145">
        <f t="shared" si="62"/>
        <v>0</v>
      </c>
      <c r="M1313" t="str">
        <f>_xlfn.XLOOKUP(Table3[[#This Row],[Cuenta]],Estructura_Balance[Nombre Cuenta ()],Estructura_Balance[Grupo],"",0)</f>
        <v/>
      </c>
      <c r="N1313" t="str">
        <f>_xlfn.XLOOKUP(Table3[[#This Row],[Cuenta]],Estructura_Balance[Nombre Cuenta ()],Estructura_Balance[Nivel 1],"",0)</f>
        <v/>
      </c>
      <c r="O1313" t="str">
        <f>_xlfn.XLOOKUP(Table3[[#This Row],[Cuenta]],Estructura_Balance[Nombre Cuenta ()],Estructura_Balance[Nivel 2],"",0)</f>
        <v/>
      </c>
      <c r="P1313" t="str">
        <f>_xlfn.XLOOKUP(Table3[[#This Row],[Cuenta]],Estructura_Balance[Nombre Cuenta ()],Estructura_Balance[Nivel 3],"",0)</f>
        <v/>
      </c>
      <c r="Q1313" t="str">
        <f>_xlfn.XLOOKUP(Table3[[#This Row],[Cuenta]],Estructura_Balance[Nombre Cuenta ()],Estructura_Balance[Nivel 4],"",0)</f>
        <v/>
      </c>
      <c r="R1313" t="str">
        <f>_xlfn.XLOOKUP(Table3[[#This Row],[Cuenta]],Table8[Nombre Cuenta ()],Table8[Nivel 1],"",0)</f>
        <v/>
      </c>
      <c r="S1313" t="str">
        <f>_xlfn.XLOOKUP(Table3[[#This Row],[Cuenta]],Table8[Nombre Cuenta ()],Table8[Nivel 2],"",0)</f>
        <v/>
      </c>
      <c r="T1313" t="str">
        <f>_xlfn.XLOOKUP(Table3[[#This Row],[Cuenta]],Table8[Nombre Cuenta ()],Table8[Nivel 3],"",0)</f>
        <v/>
      </c>
      <c r="U1313">
        <v>215</v>
      </c>
      <c r="V1313" t="str">
        <f>_xlfn.XLOOKUP(Table3[[#This Row],[Cuenta]],Estructura_Balance[Nombre Cuenta ()],Estructura_Balance[Niveles:2],"",0)</f>
        <v/>
      </c>
      <c r="W1313" t="str">
        <f>_xlfn.XLOOKUP(Table3[[#This Row],[Cuenta]],Estructura_Balance[Nombre Cuenta ()],Estructura_Balance[Niveles:3],"",0)</f>
        <v/>
      </c>
      <c r="X1313" t="str">
        <f>_xlfn.XLOOKUP(Table3[[#This Row],[Cuenta]],Estructura_Balance[Nombre Cuenta ()],Estructura_Balance[Grupos],"Grupo 1",0)</f>
        <v>Grupo 1</v>
      </c>
      <c r="Y1313" t="str">
        <f>+Table3[[#This Row],[BS_Nivel_1]]</f>
        <v/>
      </c>
    </row>
    <row r="1314" spans="1:25" ht="15" customHeight="1">
      <c r="A1314">
        <f>+'Libro Diario'!F734</f>
        <v>0</v>
      </c>
      <c r="B1314" s="144">
        <f>VALUE(IF(+'Libro Diario'!G734="","01/01/2025",+'Libro Diario'!G734))</f>
        <v>45658</v>
      </c>
      <c r="C1314">
        <f>IF(ISNUMBER(+IF(IFERROR(VALUE(MID('Libro Diario'!D734,1,4)),0)&lt;&gt;0,'Libro Diario'!D734,0))=FALSE,'Libro Diario'!D734,0)</f>
        <v>0</v>
      </c>
      <c r="D1314" s="145">
        <f>+'Libro Diario'!E734</f>
        <v>0</v>
      </c>
      <c r="E1314" s="139" t="s">
        <v>446</v>
      </c>
      <c r="F1314" t="str">
        <f t="shared" si="60"/>
        <v>Sin Mov.</v>
      </c>
      <c r="G1314" t="str">
        <f>IF(+'Libro Diario'!H734=0,"",+'Libro Diario'!H734)</f>
        <v/>
      </c>
      <c r="H1314" t="str">
        <f>IF(+'Libro Diario'!I734=0,"",+'Libro Diario'!I734)</f>
        <v/>
      </c>
      <c r="I1314" t="str">
        <f>+IF(Table3[[#This Row],[Tipo Movimiento]]="Estructura Balance y PyG","Excluir","Incluir")</f>
        <v>Incluir</v>
      </c>
      <c r="J1314" s="153">
        <f>+IF(Table3[[#This Row],[Sin cuenta]]="Con Mov.",(IF(Table3[[#This Row],[Movimiento]]="Debe",Table3[[#This Row],[Importe]],IF(Table3[[#This Row],[Movimiento]]="Haber",Table3[[#This Row],[Importe]]*-1,0))),0)</f>
        <v>0</v>
      </c>
      <c r="K1314" s="145" t="str">
        <f t="shared" si="61"/>
        <v/>
      </c>
      <c r="L1314" s="145">
        <f t="shared" si="62"/>
        <v>0</v>
      </c>
      <c r="M1314" t="str">
        <f>_xlfn.XLOOKUP(Table3[[#This Row],[Cuenta]],Estructura_Balance[Nombre Cuenta ()],Estructura_Balance[Grupo],"",0)</f>
        <v/>
      </c>
      <c r="N1314" t="str">
        <f>_xlfn.XLOOKUP(Table3[[#This Row],[Cuenta]],Estructura_Balance[Nombre Cuenta ()],Estructura_Balance[Nivel 1],"",0)</f>
        <v/>
      </c>
      <c r="O1314" t="str">
        <f>_xlfn.XLOOKUP(Table3[[#This Row],[Cuenta]],Estructura_Balance[Nombre Cuenta ()],Estructura_Balance[Nivel 2],"",0)</f>
        <v/>
      </c>
      <c r="P1314" t="str">
        <f>_xlfn.XLOOKUP(Table3[[#This Row],[Cuenta]],Estructura_Balance[Nombre Cuenta ()],Estructura_Balance[Nivel 3],"",0)</f>
        <v/>
      </c>
      <c r="Q1314" t="str">
        <f>_xlfn.XLOOKUP(Table3[[#This Row],[Cuenta]],Estructura_Balance[Nombre Cuenta ()],Estructura_Balance[Nivel 4],"",0)</f>
        <v/>
      </c>
      <c r="R1314" t="str">
        <f>_xlfn.XLOOKUP(Table3[[#This Row],[Cuenta]],Table8[Nombre Cuenta ()],Table8[Nivel 1],"",0)</f>
        <v/>
      </c>
      <c r="S1314" t="str">
        <f>_xlfn.XLOOKUP(Table3[[#This Row],[Cuenta]],Table8[Nombre Cuenta ()],Table8[Nivel 2],"",0)</f>
        <v/>
      </c>
      <c r="T1314" t="str">
        <f>_xlfn.XLOOKUP(Table3[[#This Row],[Cuenta]],Table8[Nombre Cuenta ()],Table8[Nivel 3],"",0)</f>
        <v/>
      </c>
      <c r="U1314">
        <v>216</v>
      </c>
      <c r="V1314" t="str">
        <f>_xlfn.XLOOKUP(Table3[[#This Row],[Cuenta]],Estructura_Balance[Nombre Cuenta ()],Estructura_Balance[Niveles:2],"",0)</f>
        <v/>
      </c>
      <c r="W1314" t="str">
        <f>_xlfn.XLOOKUP(Table3[[#This Row],[Cuenta]],Estructura_Balance[Nombre Cuenta ()],Estructura_Balance[Niveles:3],"",0)</f>
        <v/>
      </c>
      <c r="X1314" t="str">
        <f>_xlfn.XLOOKUP(Table3[[#This Row],[Cuenta]],Estructura_Balance[Nombre Cuenta ()],Estructura_Balance[Grupos],"Grupo 1",0)</f>
        <v>Grupo 1</v>
      </c>
      <c r="Y1314" t="str">
        <f>+Table3[[#This Row],[BS_Nivel_1]]</f>
        <v/>
      </c>
    </row>
    <row r="1315" spans="1:25" ht="15" customHeight="1">
      <c r="A1315">
        <f>+'Libro Diario'!F735</f>
        <v>0</v>
      </c>
      <c r="B1315" s="144">
        <f>VALUE(IF(+'Libro Diario'!G735="","01/01/2025",+'Libro Diario'!G735))</f>
        <v>45658</v>
      </c>
      <c r="C1315">
        <f>IF(ISNUMBER(+IF(IFERROR(VALUE(MID('Libro Diario'!D735,1,4)),0)&lt;&gt;0,'Libro Diario'!D735,0))=FALSE,'Libro Diario'!D735,0)</f>
        <v>0</v>
      </c>
      <c r="D1315" s="145">
        <f>+'Libro Diario'!E735</f>
        <v>0</v>
      </c>
      <c r="E1315" s="139" t="s">
        <v>446</v>
      </c>
      <c r="F1315" t="str">
        <f t="shared" si="60"/>
        <v>Sin Mov.</v>
      </c>
      <c r="G1315" t="str">
        <f>IF(+'Libro Diario'!H735=0,"",+'Libro Diario'!H735)</f>
        <v/>
      </c>
      <c r="H1315" t="str">
        <f>IF(+'Libro Diario'!I735=0,"",+'Libro Diario'!I735)</f>
        <v/>
      </c>
      <c r="I1315" t="str">
        <f>+IF(Table3[[#This Row],[Tipo Movimiento]]="Estructura Balance y PyG","Excluir","Incluir")</f>
        <v>Incluir</v>
      </c>
      <c r="J1315" s="153">
        <f>+IF(Table3[[#This Row],[Sin cuenta]]="Con Mov.",(IF(Table3[[#This Row],[Movimiento]]="Debe",Table3[[#This Row],[Importe]],IF(Table3[[#This Row],[Movimiento]]="Haber",Table3[[#This Row],[Importe]]*-1,0))),0)</f>
        <v>0</v>
      </c>
      <c r="K1315" s="145" t="str">
        <f t="shared" si="61"/>
        <v/>
      </c>
      <c r="L1315" s="145">
        <f t="shared" si="62"/>
        <v>0</v>
      </c>
      <c r="M1315" t="str">
        <f>_xlfn.XLOOKUP(Table3[[#This Row],[Cuenta]],Estructura_Balance[Nombre Cuenta ()],Estructura_Balance[Grupo],"",0)</f>
        <v/>
      </c>
      <c r="N1315" t="str">
        <f>_xlfn.XLOOKUP(Table3[[#This Row],[Cuenta]],Estructura_Balance[Nombre Cuenta ()],Estructura_Balance[Nivel 1],"",0)</f>
        <v/>
      </c>
      <c r="O1315" t="str">
        <f>_xlfn.XLOOKUP(Table3[[#This Row],[Cuenta]],Estructura_Balance[Nombre Cuenta ()],Estructura_Balance[Nivel 2],"",0)</f>
        <v/>
      </c>
      <c r="P1315" t="str">
        <f>_xlfn.XLOOKUP(Table3[[#This Row],[Cuenta]],Estructura_Balance[Nombre Cuenta ()],Estructura_Balance[Nivel 3],"",0)</f>
        <v/>
      </c>
      <c r="Q1315" t="str">
        <f>_xlfn.XLOOKUP(Table3[[#This Row],[Cuenta]],Estructura_Balance[Nombre Cuenta ()],Estructura_Balance[Nivel 4],"",0)</f>
        <v/>
      </c>
      <c r="R1315" t="str">
        <f>_xlfn.XLOOKUP(Table3[[#This Row],[Cuenta]],Table8[Nombre Cuenta ()],Table8[Nivel 1],"",0)</f>
        <v/>
      </c>
      <c r="S1315" t="str">
        <f>_xlfn.XLOOKUP(Table3[[#This Row],[Cuenta]],Table8[Nombre Cuenta ()],Table8[Nivel 2],"",0)</f>
        <v/>
      </c>
      <c r="T1315" t="str">
        <f>_xlfn.XLOOKUP(Table3[[#This Row],[Cuenta]],Table8[Nombre Cuenta ()],Table8[Nivel 3],"",0)</f>
        <v/>
      </c>
      <c r="U1315">
        <v>1213</v>
      </c>
      <c r="V1315" t="str">
        <f>_xlfn.XLOOKUP(Table3[[#This Row],[Cuenta]],Estructura_Balance[Nombre Cuenta ()],Estructura_Balance[Niveles:2],"",0)</f>
        <v/>
      </c>
      <c r="W1315" t="str">
        <f>_xlfn.XLOOKUP(Table3[[#This Row],[Cuenta]],Estructura_Balance[Nombre Cuenta ()],Estructura_Balance[Niveles:3],"",0)</f>
        <v/>
      </c>
      <c r="X1315" t="str">
        <f>_xlfn.XLOOKUP(Table3[[#This Row],[Cuenta]],Estructura_Balance[Nombre Cuenta ()],Estructura_Balance[Grupos],"Grupo 1",0)</f>
        <v>Grupo 1</v>
      </c>
      <c r="Y1315" t="str">
        <f>+Table3[[#This Row],[BS_Nivel_1]]</f>
        <v/>
      </c>
    </row>
    <row r="1316" spans="1:25" ht="15" customHeight="1">
      <c r="A1316">
        <f>+'Libro Diario'!F736</f>
        <v>0</v>
      </c>
      <c r="B1316" s="144">
        <f>VALUE(IF(+'Libro Diario'!G736="","01/01/2025",+'Libro Diario'!G736))</f>
        <v>45658</v>
      </c>
      <c r="C1316">
        <f>IF(ISNUMBER(+IF(IFERROR(VALUE(MID('Libro Diario'!D736,1,4)),0)&lt;&gt;0,'Libro Diario'!D736,0))=FALSE,'Libro Diario'!D736,0)</f>
        <v>0</v>
      </c>
      <c r="D1316" s="145">
        <f>+'Libro Diario'!E736</f>
        <v>0</v>
      </c>
      <c r="E1316" s="139" t="s">
        <v>446</v>
      </c>
      <c r="F1316" t="str">
        <f t="shared" si="60"/>
        <v>Sin Mov.</v>
      </c>
      <c r="G1316" t="str">
        <f>IF(+'Libro Diario'!H736=0,"",+'Libro Diario'!H736)</f>
        <v/>
      </c>
      <c r="H1316" t="str">
        <f>IF(+'Libro Diario'!I736=0,"",+'Libro Diario'!I736)</f>
        <v/>
      </c>
      <c r="I1316" t="str">
        <f>+IF(Table3[[#This Row],[Tipo Movimiento]]="Estructura Balance y PyG","Excluir","Incluir")</f>
        <v>Incluir</v>
      </c>
      <c r="J1316" s="153">
        <f>+IF(Table3[[#This Row],[Sin cuenta]]="Con Mov.",(IF(Table3[[#This Row],[Movimiento]]="Debe",Table3[[#This Row],[Importe]],IF(Table3[[#This Row],[Movimiento]]="Haber",Table3[[#This Row],[Importe]]*-1,0))),0)</f>
        <v>0</v>
      </c>
      <c r="K1316" s="145" t="str">
        <f t="shared" si="61"/>
        <v/>
      </c>
      <c r="L1316" s="145">
        <f t="shared" si="62"/>
        <v>0</v>
      </c>
      <c r="M1316" t="str">
        <f>_xlfn.XLOOKUP(Table3[[#This Row],[Cuenta]],Estructura_Balance[Nombre Cuenta ()],Estructura_Balance[Grupo],"",0)</f>
        <v/>
      </c>
      <c r="N1316" t="str">
        <f>_xlfn.XLOOKUP(Table3[[#This Row],[Cuenta]],Estructura_Balance[Nombre Cuenta ()],Estructura_Balance[Nivel 1],"",0)</f>
        <v/>
      </c>
      <c r="O1316" t="str">
        <f>_xlfn.XLOOKUP(Table3[[#This Row],[Cuenta]],Estructura_Balance[Nombre Cuenta ()],Estructura_Balance[Nivel 2],"",0)</f>
        <v/>
      </c>
      <c r="P1316" t="str">
        <f>_xlfn.XLOOKUP(Table3[[#This Row],[Cuenta]],Estructura_Balance[Nombre Cuenta ()],Estructura_Balance[Nivel 3],"",0)</f>
        <v/>
      </c>
      <c r="Q1316" t="str">
        <f>_xlfn.XLOOKUP(Table3[[#This Row],[Cuenta]],Estructura_Balance[Nombre Cuenta ()],Estructura_Balance[Nivel 4],"",0)</f>
        <v/>
      </c>
      <c r="R1316" t="str">
        <f>_xlfn.XLOOKUP(Table3[[#This Row],[Cuenta]],Table8[Nombre Cuenta ()],Table8[Nivel 1],"",0)</f>
        <v/>
      </c>
      <c r="S1316" t="str">
        <f>_xlfn.XLOOKUP(Table3[[#This Row],[Cuenta]],Table8[Nombre Cuenta ()],Table8[Nivel 2],"",0)</f>
        <v/>
      </c>
      <c r="T1316" t="str">
        <f>_xlfn.XLOOKUP(Table3[[#This Row],[Cuenta]],Table8[Nombre Cuenta ()],Table8[Nivel 3],"",0)</f>
        <v/>
      </c>
      <c r="U1316">
        <v>1214</v>
      </c>
      <c r="V1316" t="str">
        <f>_xlfn.XLOOKUP(Table3[[#This Row],[Cuenta]],Estructura_Balance[Nombre Cuenta ()],Estructura_Balance[Niveles:2],"",0)</f>
        <v/>
      </c>
      <c r="W1316" t="str">
        <f>_xlfn.XLOOKUP(Table3[[#This Row],[Cuenta]],Estructura_Balance[Nombre Cuenta ()],Estructura_Balance[Niveles:3],"",0)</f>
        <v/>
      </c>
      <c r="X1316" t="str">
        <f>_xlfn.XLOOKUP(Table3[[#This Row],[Cuenta]],Estructura_Balance[Nombre Cuenta ()],Estructura_Balance[Grupos],"Grupo 1",0)</f>
        <v>Grupo 1</v>
      </c>
      <c r="Y1316" t="str">
        <f>+Table3[[#This Row],[BS_Nivel_1]]</f>
        <v/>
      </c>
    </row>
    <row r="1317" spans="1:25" ht="15" customHeight="1">
      <c r="A1317">
        <f>+'Libro Diario'!F737</f>
        <v>0</v>
      </c>
      <c r="B1317" s="144">
        <f>VALUE(IF(+'Libro Diario'!G737="","01/01/2025",+'Libro Diario'!G737))</f>
        <v>45658</v>
      </c>
      <c r="C1317">
        <f>IF(ISNUMBER(+IF(IFERROR(VALUE(MID('Libro Diario'!D737,1,4)),0)&lt;&gt;0,'Libro Diario'!D737,0))=FALSE,'Libro Diario'!D737,0)</f>
        <v>0</v>
      </c>
      <c r="D1317" s="145">
        <f>+'Libro Diario'!E737</f>
        <v>0</v>
      </c>
      <c r="E1317" s="139" t="s">
        <v>446</v>
      </c>
      <c r="F1317" t="str">
        <f t="shared" si="60"/>
        <v>Sin Mov.</v>
      </c>
      <c r="G1317" t="str">
        <f>IF(+'Libro Diario'!H737=0,"",+'Libro Diario'!H737)</f>
        <v/>
      </c>
      <c r="H1317" t="str">
        <f>IF(+'Libro Diario'!I737=0,"",+'Libro Diario'!I737)</f>
        <v/>
      </c>
      <c r="I1317" t="str">
        <f>+IF(Table3[[#This Row],[Tipo Movimiento]]="Estructura Balance y PyG","Excluir","Incluir")</f>
        <v>Incluir</v>
      </c>
      <c r="J1317" s="153">
        <f>+IF(Table3[[#This Row],[Sin cuenta]]="Con Mov.",(IF(Table3[[#This Row],[Movimiento]]="Debe",Table3[[#This Row],[Importe]],IF(Table3[[#This Row],[Movimiento]]="Haber",Table3[[#This Row],[Importe]]*-1,0))),0)</f>
        <v>0</v>
      </c>
      <c r="K1317" s="145" t="str">
        <f t="shared" si="61"/>
        <v/>
      </c>
      <c r="L1317" s="145">
        <f t="shared" si="62"/>
        <v>0</v>
      </c>
      <c r="M1317" t="str">
        <f>_xlfn.XLOOKUP(Table3[[#This Row],[Cuenta]],Estructura_Balance[Nombre Cuenta ()],Estructura_Balance[Grupo],"",0)</f>
        <v/>
      </c>
      <c r="N1317" t="str">
        <f>_xlfn.XLOOKUP(Table3[[#This Row],[Cuenta]],Estructura_Balance[Nombre Cuenta ()],Estructura_Balance[Nivel 1],"",0)</f>
        <v/>
      </c>
      <c r="O1317" t="str">
        <f>_xlfn.XLOOKUP(Table3[[#This Row],[Cuenta]],Estructura_Balance[Nombre Cuenta ()],Estructura_Balance[Nivel 2],"",0)</f>
        <v/>
      </c>
      <c r="P1317" t="str">
        <f>_xlfn.XLOOKUP(Table3[[#This Row],[Cuenta]],Estructura_Balance[Nombre Cuenta ()],Estructura_Balance[Nivel 3],"",0)</f>
        <v/>
      </c>
      <c r="Q1317" t="str">
        <f>_xlfn.XLOOKUP(Table3[[#This Row],[Cuenta]],Estructura_Balance[Nombre Cuenta ()],Estructura_Balance[Nivel 4],"",0)</f>
        <v/>
      </c>
      <c r="R1317" t="str">
        <f>_xlfn.XLOOKUP(Table3[[#This Row],[Cuenta]],Table8[Nombre Cuenta ()],Table8[Nivel 1],"",0)</f>
        <v/>
      </c>
      <c r="S1317" t="str">
        <f>_xlfn.XLOOKUP(Table3[[#This Row],[Cuenta]],Table8[Nombre Cuenta ()],Table8[Nivel 2],"",0)</f>
        <v/>
      </c>
      <c r="T1317" t="str">
        <f>_xlfn.XLOOKUP(Table3[[#This Row],[Cuenta]],Table8[Nombre Cuenta ()],Table8[Nivel 3],"",0)</f>
        <v/>
      </c>
      <c r="U1317">
        <v>222</v>
      </c>
      <c r="V1317" t="str">
        <f>_xlfn.XLOOKUP(Table3[[#This Row],[Cuenta]],Estructura_Balance[Nombre Cuenta ()],Estructura_Balance[Niveles:2],"",0)</f>
        <v/>
      </c>
      <c r="W1317" t="str">
        <f>_xlfn.XLOOKUP(Table3[[#This Row],[Cuenta]],Estructura_Balance[Nombre Cuenta ()],Estructura_Balance[Niveles:3],"",0)</f>
        <v/>
      </c>
      <c r="X1317" t="str">
        <f>_xlfn.XLOOKUP(Table3[[#This Row],[Cuenta]],Estructura_Balance[Nombre Cuenta ()],Estructura_Balance[Grupos],"Grupo 1",0)</f>
        <v>Grupo 1</v>
      </c>
      <c r="Y1317" t="str">
        <f>+Table3[[#This Row],[BS_Nivel_1]]</f>
        <v/>
      </c>
    </row>
    <row r="1318" spans="1:25" ht="15" customHeight="1">
      <c r="A1318">
        <f>+'Libro Diario'!F738</f>
        <v>0</v>
      </c>
      <c r="B1318" s="144">
        <f>VALUE(IF(+'Libro Diario'!G738="","01/01/2025",+'Libro Diario'!G738))</f>
        <v>45658</v>
      </c>
      <c r="C1318">
        <f>IF(ISNUMBER(+IF(IFERROR(VALUE(MID('Libro Diario'!D738,1,4)),0)&lt;&gt;0,'Libro Diario'!D738,0))=FALSE,'Libro Diario'!D738,0)</f>
        <v>0</v>
      </c>
      <c r="D1318" s="145">
        <f>+'Libro Diario'!E738</f>
        <v>0</v>
      </c>
      <c r="E1318" s="139" t="s">
        <v>446</v>
      </c>
      <c r="F1318" t="str">
        <f t="shared" si="60"/>
        <v>Sin Mov.</v>
      </c>
      <c r="G1318" t="str">
        <f>IF(+'Libro Diario'!H738=0,"",+'Libro Diario'!H738)</f>
        <v/>
      </c>
      <c r="H1318" t="str">
        <f>IF(+'Libro Diario'!I738=0,"",+'Libro Diario'!I738)</f>
        <v/>
      </c>
      <c r="I1318" t="str">
        <f>+IF(Table3[[#This Row],[Tipo Movimiento]]="Estructura Balance y PyG","Excluir","Incluir")</f>
        <v>Incluir</v>
      </c>
      <c r="J1318" s="153">
        <f>+IF(Table3[[#This Row],[Sin cuenta]]="Con Mov.",(IF(Table3[[#This Row],[Movimiento]]="Debe",Table3[[#This Row],[Importe]],IF(Table3[[#This Row],[Movimiento]]="Haber",Table3[[#This Row],[Importe]]*-1,0))),0)</f>
        <v>0</v>
      </c>
      <c r="K1318" s="145" t="str">
        <f t="shared" si="61"/>
        <v/>
      </c>
      <c r="L1318" s="145">
        <f t="shared" si="62"/>
        <v>0</v>
      </c>
      <c r="M1318" t="str">
        <f>_xlfn.XLOOKUP(Table3[[#This Row],[Cuenta]],Estructura_Balance[Nombre Cuenta ()],Estructura_Balance[Grupo],"",0)</f>
        <v/>
      </c>
      <c r="N1318" t="str">
        <f>_xlfn.XLOOKUP(Table3[[#This Row],[Cuenta]],Estructura_Balance[Nombre Cuenta ()],Estructura_Balance[Nivel 1],"",0)</f>
        <v/>
      </c>
      <c r="O1318" t="str">
        <f>_xlfn.XLOOKUP(Table3[[#This Row],[Cuenta]],Estructura_Balance[Nombre Cuenta ()],Estructura_Balance[Nivel 2],"",0)</f>
        <v/>
      </c>
      <c r="P1318" t="str">
        <f>_xlfn.XLOOKUP(Table3[[#This Row],[Cuenta]],Estructura_Balance[Nombre Cuenta ()],Estructura_Balance[Nivel 3],"",0)</f>
        <v/>
      </c>
      <c r="Q1318" t="str">
        <f>_xlfn.XLOOKUP(Table3[[#This Row],[Cuenta]],Estructura_Balance[Nombre Cuenta ()],Estructura_Balance[Nivel 4],"",0)</f>
        <v/>
      </c>
      <c r="R1318" t="str">
        <f>_xlfn.XLOOKUP(Table3[[#This Row],[Cuenta]],Table8[Nombre Cuenta ()],Table8[Nivel 1],"",0)</f>
        <v/>
      </c>
      <c r="S1318" t="str">
        <f>_xlfn.XLOOKUP(Table3[[#This Row],[Cuenta]],Table8[Nombre Cuenta ()],Table8[Nivel 2],"",0)</f>
        <v/>
      </c>
      <c r="T1318" t="str">
        <f>_xlfn.XLOOKUP(Table3[[#This Row],[Cuenta]],Table8[Nombre Cuenta ()],Table8[Nivel 3],"",0)</f>
        <v/>
      </c>
      <c r="U1318">
        <v>223</v>
      </c>
      <c r="V1318" t="str">
        <f>_xlfn.XLOOKUP(Table3[[#This Row],[Cuenta]],Estructura_Balance[Nombre Cuenta ()],Estructura_Balance[Niveles:2],"",0)</f>
        <v/>
      </c>
      <c r="W1318" t="str">
        <f>_xlfn.XLOOKUP(Table3[[#This Row],[Cuenta]],Estructura_Balance[Nombre Cuenta ()],Estructura_Balance[Niveles:3],"",0)</f>
        <v/>
      </c>
      <c r="X1318" t="str">
        <f>_xlfn.XLOOKUP(Table3[[#This Row],[Cuenta]],Estructura_Balance[Nombre Cuenta ()],Estructura_Balance[Grupos],"Grupo 1",0)</f>
        <v>Grupo 1</v>
      </c>
      <c r="Y1318" t="str">
        <f>+Table3[[#This Row],[BS_Nivel_1]]</f>
        <v/>
      </c>
    </row>
    <row r="1319" spans="1:25" ht="15" customHeight="1">
      <c r="A1319">
        <f>+'Libro Diario'!F739</f>
        <v>0</v>
      </c>
      <c r="B1319" s="144">
        <f>VALUE(IF(+'Libro Diario'!G739="","01/01/2025",+'Libro Diario'!G739))</f>
        <v>45658</v>
      </c>
      <c r="C1319">
        <f>IF(ISNUMBER(+IF(IFERROR(VALUE(MID('Libro Diario'!D739,1,4)),0)&lt;&gt;0,'Libro Diario'!D739,0))=FALSE,'Libro Diario'!D739,0)</f>
        <v>0</v>
      </c>
      <c r="D1319" s="145">
        <f>+'Libro Diario'!E739</f>
        <v>0</v>
      </c>
      <c r="E1319" s="139" t="s">
        <v>446</v>
      </c>
      <c r="F1319" t="str">
        <f t="shared" si="60"/>
        <v>Sin Mov.</v>
      </c>
      <c r="G1319" t="str">
        <f>IF(+'Libro Diario'!H739=0,"",+'Libro Diario'!H739)</f>
        <v/>
      </c>
      <c r="H1319" t="str">
        <f>IF(+'Libro Diario'!I739=0,"",+'Libro Diario'!I739)</f>
        <v/>
      </c>
      <c r="I1319" t="str">
        <f>+IF(Table3[[#This Row],[Tipo Movimiento]]="Estructura Balance y PyG","Excluir","Incluir")</f>
        <v>Incluir</v>
      </c>
      <c r="J1319" s="153">
        <f>+IF(Table3[[#This Row],[Sin cuenta]]="Con Mov.",(IF(Table3[[#This Row],[Movimiento]]="Debe",Table3[[#This Row],[Importe]],IF(Table3[[#This Row],[Movimiento]]="Haber",Table3[[#This Row],[Importe]]*-1,0))),0)</f>
        <v>0</v>
      </c>
      <c r="K1319" s="145" t="str">
        <f t="shared" si="61"/>
        <v/>
      </c>
      <c r="L1319" s="145">
        <f t="shared" si="62"/>
        <v>0</v>
      </c>
      <c r="M1319" t="str">
        <f>_xlfn.XLOOKUP(Table3[[#This Row],[Cuenta]],Estructura_Balance[Nombre Cuenta ()],Estructura_Balance[Grupo],"",0)</f>
        <v/>
      </c>
      <c r="N1319" t="str">
        <f>_xlfn.XLOOKUP(Table3[[#This Row],[Cuenta]],Estructura_Balance[Nombre Cuenta ()],Estructura_Balance[Nivel 1],"",0)</f>
        <v/>
      </c>
      <c r="O1319" t="str">
        <f>_xlfn.XLOOKUP(Table3[[#This Row],[Cuenta]],Estructura_Balance[Nombre Cuenta ()],Estructura_Balance[Nivel 2],"",0)</f>
        <v/>
      </c>
      <c r="P1319" t="str">
        <f>_xlfn.XLOOKUP(Table3[[#This Row],[Cuenta]],Estructura_Balance[Nombre Cuenta ()],Estructura_Balance[Nivel 3],"",0)</f>
        <v/>
      </c>
      <c r="Q1319" t="str">
        <f>_xlfn.XLOOKUP(Table3[[#This Row],[Cuenta]],Estructura_Balance[Nombre Cuenta ()],Estructura_Balance[Nivel 4],"",0)</f>
        <v/>
      </c>
      <c r="R1319" t="str">
        <f>_xlfn.XLOOKUP(Table3[[#This Row],[Cuenta]],Table8[Nombre Cuenta ()],Table8[Nivel 1],"",0)</f>
        <v/>
      </c>
      <c r="S1319" t="str">
        <f>_xlfn.XLOOKUP(Table3[[#This Row],[Cuenta]],Table8[Nombre Cuenta ()],Table8[Nivel 2],"",0)</f>
        <v/>
      </c>
      <c r="T1319" t="str">
        <f>_xlfn.XLOOKUP(Table3[[#This Row],[Cuenta]],Table8[Nombre Cuenta ()],Table8[Nivel 3],"",0)</f>
        <v/>
      </c>
      <c r="U1319">
        <v>1220</v>
      </c>
      <c r="V1319" t="str">
        <f>_xlfn.XLOOKUP(Table3[[#This Row],[Cuenta]],Estructura_Balance[Nombre Cuenta ()],Estructura_Balance[Niveles:2],"",0)</f>
        <v/>
      </c>
      <c r="W1319" t="str">
        <f>_xlfn.XLOOKUP(Table3[[#This Row],[Cuenta]],Estructura_Balance[Nombre Cuenta ()],Estructura_Balance[Niveles:3],"",0)</f>
        <v/>
      </c>
      <c r="X1319" t="str">
        <f>_xlfn.XLOOKUP(Table3[[#This Row],[Cuenta]],Estructura_Balance[Nombre Cuenta ()],Estructura_Balance[Grupos],"Grupo 1",0)</f>
        <v>Grupo 1</v>
      </c>
      <c r="Y1319" t="str">
        <f>+Table3[[#This Row],[BS_Nivel_1]]</f>
        <v/>
      </c>
    </row>
    <row r="1320" spans="1:25" ht="15" customHeight="1">
      <c r="A1320">
        <f>+'Libro Diario'!F740</f>
        <v>0</v>
      </c>
      <c r="B1320" s="144">
        <f>VALUE(IF(+'Libro Diario'!G740="","01/01/2025",+'Libro Diario'!G740))</f>
        <v>45658</v>
      </c>
      <c r="C1320">
        <f>IF(ISNUMBER(+IF(IFERROR(VALUE(MID('Libro Diario'!D740,1,4)),0)&lt;&gt;0,'Libro Diario'!D740,0))=FALSE,'Libro Diario'!D740,0)</f>
        <v>0</v>
      </c>
      <c r="D1320" s="145">
        <f>+'Libro Diario'!E740</f>
        <v>0</v>
      </c>
      <c r="E1320" s="139" t="s">
        <v>446</v>
      </c>
      <c r="F1320" t="str">
        <f t="shared" si="60"/>
        <v>Sin Mov.</v>
      </c>
      <c r="G1320" t="str">
        <f>IF(+'Libro Diario'!H740=0,"",+'Libro Diario'!H740)</f>
        <v/>
      </c>
      <c r="H1320" t="str">
        <f>IF(+'Libro Diario'!I740=0,"",+'Libro Diario'!I740)</f>
        <v/>
      </c>
      <c r="I1320" t="str">
        <f>+IF(Table3[[#This Row],[Tipo Movimiento]]="Estructura Balance y PyG","Excluir","Incluir")</f>
        <v>Incluir</v>
      </c>
      <c r="J1320" s="153">
        <f>+IF(Table3[[#This Row],[Sin cuenta]]="Con Mov.",(IF(Table3[[#This Row],[Movimiento]]="Debe",Table3[[#This Row],[Importe]],IF(Table3[[#This Row],[Movimiento]]="Haber",Table3[[#This Row],[Importe]]*-1,0))),0)</f>
        <v>0</v>
      </c>
      <c r="K1320" s="145" t="str">
        <f t="shared" si="61"/>
        <v/>
      </c>
      <c r="L1320" s="145">
        <f t="shared" si="62"/>
        <v>0</v>
      </c>
      <c r="M1320" t="str">
        <f>_xlfn.XLOOKUP(Table3[[#This Row],[Cuenta]],Estructura_Balance[Nombre Cuenta ()],Estructura_Balance[Grupo],"",0)</f>
        <v/>
      </c>
      <c r="N1320" t="str">
        <f>_xlfn.XLOOKUP(Table3[[#This Row],[Cuenta]],Estructura_Balance[Nombre Cuenta ()],Estructura_Balance[Nivel 1],"",0)</f>
        <v/>
      </c>
      <c r="O1320" t="str">
        <f>_xlfn.XLOOKUP(Table3[[#This Row],[Cuenta]],Estructura_Balance[Nombre Cuenta ()],Estructura_Balance[Nivel 2],"",0)</f>
        <v/>
      </c>
      <c r="P1320" t="str">
        <f>_xlfn.XLOOKUP(Table3[[#This Row],[Cuenta]],Estructura_Balance[Nombre Cuenta ()],Estructura_Balance[Nivel 3],"",0)</f>
        <v/>
      </c>
      <c r="Q1320" t="str">
        <f>_xlfn.XLOOKUP(Table3[[#This Row],[Cuenta]],Estructura_Balance[Nombre Cuenta ()],Estructura_Balance[Nivel 4],"",0)</f>
        <v/>
      </c>
      <c r="R1320" t="str">
        <f>_xlfn.XLOOKUP(Table3[[#This Row],[Cuenta]],Table8[Nombre Cuenta ()],Table8[Nivel 1],"",0)</f>
        <v/>
      </c>
      <c r="S1320" t="str">
        <f>_xlfn.XLOOKUP(Table3[[#This Row],[Cuenta]],Table8[Nombre Cuenta ()],Table8[Nivel 2],"",0)</f>
        <v/>
      </c>
      <c r="T1320" t="str">
        <f>_xlfn.XLOOKUP(Table3[[#This Row],[Cuenta]],Table8[Nombre Cuenta ()],Table8[Nivel 3],"",0)</f>
        <v/>
      </c>
      <c r="U1320">
        <v>1221</v>
      </c>
      <c r="V1320" t="str">
        <f>_xlfn.XLOOKUP(Table3[[#This Row],[Cuenta]],Estructura_Balance[Nombre Cuenta ()],Estructura_Balance[Niveles:2],"",0)</f>
        <v/>
      </c>
      <c r="W1320" t="str">
        <f>_xlfn.XLOOKUP(Table3[[#This Row],[Cuenta]],Estructura_Balance[Nombre Cuenta ()],Estructura_Balance[Niveles:3],"",0)</f>
        <v/>
      </c>
      <c r="X1320" t="str">
        <f>_xlfn.XLOOKUP(Table3[[#This Row],[Cuenta]],Estructura_Balance[Nombre Cuenta ()],Estructura_Balance[Grupos],"Grupo 1",0)</f>
        <v>Grupo 1</v>
      </c>
      <c r="Y1320" t="str">
        <f>+Table3[[#This Row],[BS_Nivel_1]]</f>
        <v/>
      </c>
    </row>
    <row r="1321" spans="1:25" ht="15" customHeight="1">
      <c r="A1321">
        <f>+'Libro Diario'!F741</f>
        <v>0</v>
      </c>
      <c r="B1321" s="144">
        <f>VALUE(IF(+'Libro Diario'!G741="","01/01/2025",+'Libro Diario'!G741))</f>
        <v>45658</v>
      </c>
      <c r="C1321">
        <f>IF(ISNUMBER(+IF(IFERROR(VALUE(MID('Libro Diario'!D741,1,4)),0)&lt;&gt;0,'Libro Diario'!D741,0))=FALSE,'Libro Diario'!D741,0)</f>
        <v>0</v>
      </c>
      <c r="D1321" s="145">
        <f>+'Libro Diario'!E741</f>
        <v>0</v>
      </c>
      <c r="E1321" s="139" t="s">
        <v>446</v>
      </c>
      <c r="F1321" t="str">
        <f t="shared" si="60"/>
        <v>Sin Mov.</v>
      </c>
      <c r="G1321" t="str">
        <f>IF(+'Libro Diario'!H741=0,"",+'Libro Diario'!H741)</f>
        <v/>
      </c>
      <c r="H1321" t="str">
        <f>IF(+'Libro Diario'!I741=0,"",+'Libro Diario'!I741)</f>
        <v/>
      </c>
      <c r="I1321" t="str">
        <f>+IF(Table3[[#This Row],[Tipo Movimiento]]="Estructura Balance y PyG","Excluir","Incluir")</f>
        <v>Incluir</v>
      </c>
      <c r="J1321" s="153">
        <f>+IF(Table3[[#This Row],[Sin cuenta]]="Con Mov.",(IF(Table3[[#This Row],[Movimiento]]="Debe",Table3[[#This Row],[Importe]],IF(Table3[[#This Row],[Movimiento]]="Haber",Table3[[#This Row],[Importe]]*-1,0))),0)</f>
        <v>0</v>
      </c>
      <c r="K1321" s="145" t="str">
        <f t="shared" si="61"/>
        <v/>
      </c>
      <c r="L1321" s="145">
        <f t="shared" si="62"/>
        <v>0</v>
      </c>
      <c r="M1321" t="str">
        <f>_xlfn.XLOOKUP(Table3[[#This Row],[Cuenta]],Estructura_Balance[Nombre Cuenta ()],Estructura_Balance[Grupo],"",0)</f>
        <v/>
      </c>
      <c r="N1321" t="str">
        <f>_xlfn.XLOOKUP(Table3[[#This Row],[Cuenta]],Estructura_Balance[Nombre Cuenta ()],Estructura_Balance[Nivel 1],"",0)</f>
        <v/>
      </c>
      <c r="O1321" t="str">
        <f>_xlfn.XLOOKUP(Table3[[#This Row],[Cuenta]],Estructura_Balance[Nombre Cuenta ()],Estructura_Balance[Nivel 2],"",0)</f>
        <v/>
      </c>
      <c r="P1321" t="str">
        <f>_xlfn.XLOOKUP(Table3[[#This Row],[Cuenta]],Estructura_Balance[Nombre Cuenta ()],Estructura_Balance[Nivel 3],"",0)</f>
        <v/>
      </c>
      <c r="Q1321" t="str">
        <f>_xlfn.XLOOKUP(Table3[[#This Row],[Cuenta]],Estructura_Balance[Nombre Cuenta ()],Estructura_Balance[Nivel 4],"",0)</f>
        <v/>
      </c>
      <c r="R1321" t="str">
        <f>_xlfn.XLOOKUP(Table3[[#This Row],[Cuenta]],Table8[Nombre Cuenta ()],Table8[Nivel 1],"",0)</f>
        <v/>
      </c>
      <c r="S1321" t="str">
        <f>_xlfn.XLOOKUP(Table3[[#This Row],[Cuenta]],Table8[Nombre Cuenta ()],Table8[Nivel 2],"",0)</f>
        <v/>
      </c>
      <c r="T1321" t="str">
        <f>_xlfn.XLOOKUP(Table3[[#This Row],[Cuenta]],Table8[Nombre Cuenta ()],Table8[Nivel 3],"",0)</f>
        <v/>
      </c>
      <c r="U1321">
        <v>229</v>
      </c>
      <c r="V1321" t="str">
        <f>_xlfn.XLOOKUP(Table3[[#This Row],[Cuenta]],Estructura_Balance[Nombre Cuenta ()],Estructura_Balance[Niveles:2],"",0)</f>
        <v/>
      </c>
      <c r="W1321" t="str">
        <f>_xlfn.XLOOKUP(Table3[[#This Row],[Cuenta]],Estructura_Balance[Nombre Cuenta ()],Estructura_Balance[Niveles:3],"",0)</f>
        <v/>
      </c>
      <c r="X1321" t="str">
        <f>_xlfn.XLOOKUP(Table3[[#This Row],[Cuenta]],Estructura_Balance[Nombre Cuenta ()],Estructura_Balance[Grupos],"Grupo 1",0)</f>
        <v>Grupo 1</v>
      </c>
      <c r="Y1321" t="str">
        <f>+Table3[[#This Row],[BS_Nivel_1]]</f>
        <v/>
      </c>
    </row>
    <row r="1322" spans="1:25" ht="15" customHeight="1">
      <c r="A1322">
        <f>+'Libro Diario'!F742</f>
        <v>0</v>
      </c>
      <c r="B1322" s="144">
        <f>VALUE(IF(+'Libro Diario'!G742="","01/01/2025",+'Libro Diario'!G742))</f>
        <v>45658</v>
      </c>
      <c r="C1322">
        <f>IF(ISNUMBER(+IF(IFERROR(VALUE(MID('Libro Diario'!D742,1,4)),0)&lt;&gt;0,'Libro Diario'!D742,0))=FALSE,'Libro Diario'!D742,0)</f>
        <v>0</v>
      </c>
      <c r="D1322" s="145">
        <f>+'Libro Diario'!E742</f>
        <v>0</v>
      </c>
      <c r="E1322" s="139" t="s">
        <v>446</v>
      </c>
      <c r="F1322" t="str">
        <f t="shared" si="60"/>
        <v>Sin Mov.</v>
      </c>
      <c r="G1322" t="str">
        <f>IF(+'Libro Diario'!H742=0,"",+'Libro Diario'!H742)</f>
        <v/>
      </c>
      <c r="H1322" t="str">
        <f>IF(+'Libro Diario'!I742=0,"",+'Libro Diario'!I742)</f>
        <v/>
      </c>
      <c r="I1322" t="str">
        <f>+IF(Table3[[#This Row],[Tipo Movimiento]]="Estructura Balance y PyG","Excluir","Incluir")</f>
        <v>Incluir</v>
      </c>
      <c r="J1322" s="153">
        <f>+IF(Table3[[#This Row],[Sin cuenta]]="Con Mov.",(IF(Table3[[#This Row],[Movimiento]]="Debe",Table3[[#This Row],[Importe]],IF(Table3[[#This Row],[Movimiento]]="Haber",Table3[[#This Row],[Importe]]*-1,0))),0)</f>
        <v>0</v>
      </c>
      <c r="K1322" s="145" t="str">
        <f t="shared" si="61"/>
        <v/>
      </c>
      <c r="L1322" s="145">
        <f t="shared" si="62"/>
        <v>0</v>
      </c>
      <c r="M1322" t="str">
        <f>_xlfn.XLOOKUP(Table3[[#This Row],[Cuenta]],Estructura_Balance[Nombre Cuenta ()],Estructura_Balance[Grupo],"",0)</f>
        <v/>
      </c>
      <c r="N1322" t="str">
        <f>_xlfn.XLOOKUP(Table3[[#This Row],[Cuenta]],Estructura_Balance[Nombre Cuenta ()],Estructura_Balance[Nivel 1],"",0)</f>
        <v/>
      </c>
      <c r="O1322" t="str">
        <f>_xlfn.XLOOKUP(Table3[[#This Row],[Cuenta]],Estructura_Balance[Nombre Cuenta ()],Estructura_Balance[Nivel 2],"",0)</f>
        <v/>
      </c>
      <c r="P1322" t="str">
        <f>_xlfn.XLOOKUP(Table3[[#This Row],[Cuenta]],Estructura_Balance[Nombre Cuenta ()],Estructura_Balance[Nivel 3],"",0)</f>
        <v/>
      </c>
      <c r="Q1322" t="str">
        <f>_xlfn.XLOOKUP(Table3[[#This Row],[Cuenta]],Estructura_Balance[Nombre Cuenta ()],Estructura_Balance[Nivel 4],"",0)</f>
        <v/>
      </c>
      <c r="R1322" t="str">
        <f>_xlfn.XLOOKUP(Table3[[#This Row],[Cuenta]],Table8[Nombre Cuenta ()],Table8[Nivel 1],"",0)</f>
        <v/>
      </c>
      <c r="S1322" t="str">
        <f>_xlfn.XLOOKUP(Table3[[#This Row],[Cuenta]],Table8[Nombre Cuenta ()],Table8[Nivel 2],"",0)</f>
        <v/>
      </c>
      <c r="T1322" t="str">
        <f>_xlfn.XLOOKUP(Table3[[#This Row],[Cuenta]],Table8[Nombre Cuenta ()],Table8[Nivel 3],"",0)</f>
        <v/>
      </c>
      <c r="U1322">
        <v>230</v>
      </c>
      <c r="V1322" t="str">
        <f>_xlfn.XLOOKUP(Table3[[#This Row],[Cuenta]],Estructura_Balance[Nombre Cuenta ()],Estructura_Balance[Niveles:2],"",0)</f>
        <v/>
      </c>
      <c r="W1322" t="str">
        <f>_xlfn.XLOOKUP(Table3[[#This Row],[Cuenta]],Estructura_Balance[Nombre Cuenta ()],Estructura_Balance[Niveles:3],"",0)</f>
        <v/>
      </c>
      <c r="X1322" t="str">
        <f>_xlfn.XLOOKUP(Table3[[#This Row],[Cuenta]],Estructura_Balance[Nombre Cuenta ()],Estructura_Balance[Grupos],"Grupo 1",0)</f>
        <v>Grupo 1</v>
      </c>
      <c r="Y1322" t="str">
        <f>+Table3[[#This Row],[BS_Nivel_1]]</f>
        <v/>
      </c>
    </row>
    <row r="1323" spans="1:25" ht="15" customHeight="1">
      <c r="A1323">
        <f>+'Libro Diario'!F743</f>
        <v>0</v>
      </c>
      <c r="B1323" s="144">
        <f>VALUE(IF(+'Libro Diario'!G743="","01/01/2025",+'Libro Diario'!G743))</f>
        <v>45658</v>
      </c>
      <c r="C1323">
        <f>IF(ISNUMBER(+IF(IFERROR(VALUE(MID('Libro Diario'!D743,1,4)),0)&lt;&gt;0,'Libro Diario'!D743,0))=FALSE,'Libro Diario'!D743,0)</f>
        <v>0</v>
      </c>
      <c r="D1323" s="145">
        <f>+'Libro Diario'!E743</f>
        <v>0</v>
      </c>
      <c r="E1323" s="139" t="s">
        <v>446</v>
      </c>
      <c r="F1323" t="str">
        <f t="shared" si="60"/>
        <v>Sin Mov.</v>
      </c>
      <c r="G1323" t="str">
        <f>IF(+'Libro Diario'!H743=0,"",+'Libro Diario'!H743)</f>
        <v/>
      </c>
      <c r="H1323" t="str">
        <f>IF(+'Libro Diario'!I743=0,"",+'Libro Diario'!I743)</f>
        <v/>
      </c>
      <c r="I1323" t="str">
        <f>+IF(Table3[[#This Row],[Tipo Movimiento]]="Estructura Balance y PyG","Excluir","Incluir")</f>
        <v>Incluir</v>
      </c>
      <c r="J1323" s="153">
        <f>+IF(Table3[[#This Row],[Sin cuenta]]="Con Mov.",(IF(Table3[[#This Row],[Movimiento]]="Debe",Table3[[#This Row],[Importe]],IF(Table3[[#This Row],[Movimiento]]="Haber",Table3[[#This Row],[Importe]]*-1,0))),0)</f>
        <v>0</v>
      </c>
      <c r="K1323" s="145" t="str">
        <f t="shared" si="61"/>
        <v/>
      </c>
      <c r="L1323" s="145">
        <f t="shared" si="62"/>
        <v>0</v>
      </c>
      <c r="M1323" t="str">
        <f>_xlfn.XLOOKUP(Table3[[#This Row],[Cuenta]],Estructura_Balance[Nombre Cuenta ()],Estructura_Balance[Grupo],"",0)</f>
        <v/>
      </c>
      <c r="N1323" t="str">
        <f>_xlfn.XLOOKUP(Table3[[#This Row],[Cuenta]],Estructura_Balance[Nombre Cuenta ()],Estructura_Balance[Nivel 1],"",0)</f>
        <v/>
      </c>
      <c r="O1323" t="str">
        <f>_xlfn.XLOOKUP(Table3[[#This Row],[Cuenta]],Estructura_Balance[Nombre Cuenta ()],Estructura_Balance[Nivel 2],"",0)</f>
        <v/>
      </c>
      <c r="P1323" t="str">
        <f>_xlfn.XLOOKUP(Table3[[#This Row],[Cuenta]],Estructura_Balance[Nombre Cuenta ()],Estructura_Balance[Nivel 3],"",0)</f>
        <v/>
      </c>
      <c r="Q1323" t="str">
        <f>_xlfn.XLOOKUP(Table3[[#This Row],[Cuenta]],Estructura_Balance[Nombre Cuenta ()],Estructura_Balance[Nivel 4],"",0)</f>
        <v/>
      </c>
      <c r="R1323" t="str">
        <f>_xlfn.XLOOKUP(Table3[[#This Row],[Cuenta]],Table8[Nombre Cuenta ()],Table8[Nivel 1],"",0)</f>
        <v/>
      </c>
      <c r="S1323" t="str">
        <f>_xlfn.XLOOKUP(Table3[[#This Row],[Cuenta]],Table8[Nombre Cuenta ()],Table8[Nivel 2],"",0)</f>
        <v/>
      </c>
      <c r="T1323" t="str">
        <f>_xlfn.XLOOKUP(Table3[[#This Row],[Cuenta]],Table8[Nombre Cuenta ()],Table8[Nivel 3],"",0)</f>
        <v/>
      </c>
      <c r="U1323">
        <v>1227</v>
      </c>
      <c r="V1323" t="str">
        <f>_xlfn.XLOOKUP(Table3[[#This Row],[Cuenta]],Estructura_Balance[Nombre Cuenta ()],Estructura_Balance[Niveles:2],"",0)</f>
        <v/>
      </c>
      <c r="W1323" t="str">
        <f>_xlfn.XLOOKUP(Table3[[#This Row],[Cuenta]],Estructura_Balance[Nombre Cuenta ()],Estructura_Balance[Niveles:3],"",0)</f>
        <v/>
      </c>
      <c r="X1323" t="str">
        <f>_xlfn.XLOOKUP(Table3[[#This Row],[Cuenta]],Estructura_Balance[Nombre Cuenta ()],Estructura_Balance[Grupos],"Grupo 1",0)</f>
        <v>Grupo 1</v>
      </c>
      <c r="Y1323" t="str">
        <f>+Table3[[#This Row],[BS_Nivel_1]]</f>
        <v/>
      </c>
    </row>
    <row r="1324" spans="1:25" ht="15" customHeight="1">
      <c r="A1324">
        <f>+'Libro Diario'!F744</f>
        <v>0</v>
      </c>
      <c r="B1324" s="144">
        <f>VALUE(IF(+'Libro Diario'!G744="","01/01/2025",+'Libro Diario'!G744))</f>
        <v>45658</v>
      </c>
      <c r="C1324">
        <f>IF(ISNUMBER(+IF(IFERROR(VALUE(MID('Libro Diario'!D744,1,4)),0)&lt;&gt;0,'Libro Diario'!D744,0))=FALSE,'Libro Diario'!D744,0)</f>
        <v>0</v>
      </c>
      <c r="D1324" s="145">
        <f>+'Libro Diario'!E744</f>
        <v>0</v>
      </c>
      <c r="E1324" s="139" t="s">
        <v>446</v>
      </c>
      <c r="F1324" t="str">
        <f t="shared" si="60"/>
        <v>Sin Mov.</v>
      </c>
      <c r="G1324" t="str">
        <f>IF(+'Libro Diario'!H744=0,"",+'Libro Diario'!H744)</f>
        <v/>
      </c>
      <c r="H1324" t="str">
        <f>IF(+'Libro Diario'!I744=0,"",+'Libro Diario'!I744)</f>
        <v/>
      </c>
      <c r="I1324" t="str">
        <f>+IF(Table3[[#This Row],[Tipo Movimiento]]="Estructura Balance y PyG","Excluir","Incluir")</f>
        <v>Incluir</v>
      </c>
      <c r="J1324" s="153">
        <f>+IF(Table3[[#This Row],[Sin cuenta]]="Con Mov.",(IF(Table3[[#This Row],[Movimiento]]="Debe",Table3[[#This Row],[Importe]],IF(Table3[[#This Row],[Movimiento]]="Haber",Table3[[#This Row],[Importe]]*-1,0))),0)</f>
        <v>0</v>
      </c>
      <c r="K1324" s="145" t="str">
        <f t="shared" si="61"/>
        <v/>
      </c>
      <c r="L1324" s="145">
        <f t="shared" si="62"/>
        <v>0</v>
      </c>
      <c r="M1324" t="str">
        <f>_xlfn.XLOOKUP(Table3[[#This Row],[Cuenta]],Estructura_Balance[Nombre Cuenta ()],Estructura_Balance[Grupo],"",0)</f>
        <v/>
      </c>
      <c r="N1324" t="str">
        <f>_xlfn.XLOOKUP(Table3[[#This Row],[Cuenta]],Estructura_Balance[Nombre Cuenta ()],Estructura_Balance[Nivel 1],"",0)</f>
        <v/>
      </c>
      <c r="O1324" t="str">
        <f>_xlfn.XLOOKUP(Table3[[#This Row],[Cuenta]],Estructura_Balance[Nombre Cuenta ()],Estructura_Balance[Nivel 2],"",0)</f>
        <v/>
      </c>
      <c r="P1324" t="str">
        <f>_xlfn.XLOOKUP(Table3[[#This Row],[Cuenta]],Estructura_Balance[Nombre Cuenta ()],Estructura_Balance[Nivel 3],"",0)</f>
        <v/>
      </c>
      <c r="Q1324" t="str">
        <f>_xlfn.XLOOKUP(Table3[[#This Row],[Cuenta]],Estructura_Balance[Nombre Cuenta ()],Estructura_Balance[Nivel 4],"",0)</f>
        <v/>
      </c>
      <c r="R1324" t="str">
        <f>_xlfn.XLOOKUP(Table3[[#This Row],[Cuenta]],Table8[Nombre Cuenta ()],Table8[Nivel 1],"",0)</f>
        <v/>
      </c>
      <c r="S1324" t="str">
        <f>_xlfn.XLOOKUP(Table3[[#This Row],[Cuenta]],Table8[Nombre Cuenta ()],Table8[Nivel 2],"",0)</f>
        <v/>
      </c>
      <c r="T1324" t="str">
        <f>_xlfn.XLOOKUP(Table3[[#This Row],[Cuenta]],Table8[Nombre Cuenta ()],Table8[Nivel 3],"",0)</f>
        <v/>
      </c>
      <c r="U1324">
        <v>1228</v>
      </c>
      <c r="V1324" t="str">
        <f>_xlfn.XLOOKUP(Table3[[#This Row],[Cuenta]],Estructura_Balance[Nombre Cuenta ()],Estructura_Balance[Niveles:2],"",0)</f>
        <v/>
      </c>
      <c r="W1324" t="str">
        <f>_xlfn.XLOOKUP(Table3[[#This Row],[Cuenta]],Estructura_Balance[Nombre Cuenta ()],Estructura_Balance[Niveles:3],"",0)</f>
        <v/>
      </c>
      <c r="X1324" t="str">
        <f>_xlfn.XLOOKUP(Table3[[#This Row],[Cuenta]],Estructura_Balance[Nombre Cuenta ()],Estructura_Balance[Grupos],"Grupo 1",0)</f>
        <v>Grupo 1</v>
      </c>
      <c r="Y1324" t="str">
        <f>+Table3[[#This Row],[BS_Nivel_1]]</f>
        <v/>
      </c>
    </row>
    <row r="1325" spans="1:25" ht="15" customHeight="1">
      <c r="A1325">
        <f>+'Libro Diario'!F745</f>
        <v>0</v>
      </c>
      <c r="B1325" s="144">
        <f>VALUE(IF(+'Libro Diario'!G745="","01/01/2025",+'Libro Diario'!G745))</f>
        <v>45658</v>
      </c>
      <c r="C1325">
        <f>IF(ISNUMBER(+IF(IFERROR(VALUE(MID('Libro Diario'!D745,1,4)),0)&lt;&gt;0,'Libro Diario'!D745,0))=FALSE,'Libro Diario'!D745,0)</f>
        <v>0</v>
      </c>
      <c r="D1325" s="145">
        <f>+'Libro Diario'!E745</f>
        <v>0</v>
      </c>
      <c r="E1325" s="139" t="s">
        <v>446</v>
      </c>
      <c r="F1325" t="str">
        <f t="shared" si="60"/>
        <v>Sin Mov.</v>
      </c>
      <c r="G1325" t="str">
        <f>IF(+'Libro Diario'!H745=0,"",+'Libro Diario'!H745)</f>
        <v/>
      </c>
      <c r="H1325" t="str">
        <f>IF(+'Libro Diario'!I745=0,"",+'Libro Diario'!I745)</f>
        <v/>
      </c>
      <c r="I1325" t="str">
        <f>+IF(Table3[[#This Row],[Tipo Movimiento]]="Estructura Balance y PyG","Excluir","Incluir")</f>
        <v>Incluir</v>
      </c>
      <c r="J1325" s="153">
        <f>+IF(Table3[[#This Row],[Sin cuenta]]="Con Mov.",(IF(Table3[[#This Row],[Movimiento]]="Debe",Table3[[#This Row],[Importe]],IF(Table3[[#This Row],[Movimiento]]="Haber",Table3[[#This Row],[Importe]]*-1,0))),0)</f>
        <v>0</v>
      </c>
      <c r="K1325" s="145" t="str">
        <f t="shared" si="61"/>
        <v/>
      </c>
      <c r="L1325" s="145">
        <f t="shared" si="62"/>
        <v>0</v>
      </c>
      <c r="M1325" t="str">
        <f>_xlfn.XLOOKUP(Table3[[#This Row],[Cuenta]],Estructura_Balance[Nombre Cuenta ()],Estructura_Balance[Grupo],"",0)</f>
        <v/>
      </c>
      <c r="N1325" t="str">
        <f>_xlfn.XLOOKUP(Table3[[#This Row],[Cuenta]],Estructura_Balance[Nombre Cuenta ()],Estructura_Balance[Nivel 1],"",0)</f>
        <v/>
      </c>
      <c r="O1325" t="str">
        <f>_xlfn.XLOOKUP(Table3[[#This Row],[Cuenta]],Estructura_Balance[Nombre Cuenta ()],Estructura_Balance[Nivel 2],"",0)</f>
        <v/>
      </c>
      <c r="P1325" t="str">
        <f>_xlfn.XLOOKUP(Table3[[#This Row],[Cuenta]],Estructura_Balance[Nombre Cuenta ()],Estructura_Balance[Nivel 3],"",0)</f>
        <v/>
      </c>
      <c r="Q1325" t="str">
        <f>_xlfn.XLOOKUP(Table3[[#This Row],[Cuenta]],Estructura_Balance[Nombre Cuenta ()],Estructura_Balance[Nivel 4],"",0)</f>
        <v/>
      </c>
      <c r="R1325" t="str">
        <f>_xlfn.XLOOKUP(Table3[[#This Row],[Cuenta]],Table8[Nombre Cuenta ()],Table8[Nivel 1],"",0)</f>
        <v/>
      </c>
      <c r="S1325" t="str">
        <f>_xlfn.XLOOKUP(Table3[[#This Row],[Cuenta]],Table8[Nombre Cuenta ()],Table8[Nivel 2],"",0)</f>
        <v/>
      </c>
      <c r="T1325" t="str">
        <f>_xlfn.XLOOKUP(Table3[[#This Row],[Cuenta]],Table8[Nombre Cuenta ()],Table8[Nivel 3],"",0)</f>
        <v/>
      </c>
      <c r="U1325">
        <v>236</v>
      </c>
      <c r="V1325" t="str">
        <f>_xlfn.XLOOKUP(Table3[[#This Row],[Cuenta]],Estructura_Balance[Nombre Cuenta ()],Estructura_Balance[Niveles:2],"",0)</f>
        <v/>
      </c>
      <c r="W1325" t="str">
        <f>_xlfn.XLOOKUP(Table3[[#This Row],[Cuenta]],Estructura_Balance[Nombre Cuenta ()],Estructura_Balance[Niveles:3],"",0)</f>
        <v/>
      </c>
      <c r="X1325" t="str">
        <f>_xlfn.XLOOKUP(Table3[[#This Row],[Cuenta]],Estructura_Balance[Nombre Cuenta ()],Estructura_Balance[Grupos],"Grupo 1",0)</f>
        <v>Grupo 1</v>
      </c>
      <c r="Y1325" t="str">
        <f>+Table3[[#This Row],[BS_Nivel_1]]</f>
        <v/>
      </c>
    </row>
    <row r="1326" spans="1:25" ht="15" customHeight="1">
      <c r="A1326">
        <f>+'Libro Diario'!F746</f>
        <v>0</v>
      </c>
      <c r="B1326" s="144">
        <f>VALUE(IF(+'Libro Diario'!G746="","01/01/2025",+'Libro Diario'!G746))</f>
        <v>45658</v>
      </c>
      <c r="C1326">
        <f>IF(ISNUMBER(+IF(IFERROR(VALUE(MID('Libro Diario'!D746,1,4)),0)&lt;&gt;0,'Libro Diario'!D746,0))=FALSE,'Libro Diario'!D746,0)</f>
        <v>0</v>
      </c>
      <c r="D1326" s="145">
        <f>+'Libro Diario'!E746</f>
        <v>0</v>
      </c>
      <c r="E1326" s="139" t="s">
        <v>446</v>
      </c>
      <c r="F1326" t="str">
        <f t="shared" si="60"/>
        <v>Sin Mov.</v>
      </c>
      <c r="G1326" t="str">
        <f>IF(+'Libro Diario'!H746=0,"",+'Libro Diario'!H746)</f>
        <v/>
      </c>
      <c r="H1326" t="str">
        <f>IF(+'Libro Diario'!I746=0,"",+'Libro Diario'!I746)</f>
        <v/>
      </c>
      <c r="I1326" t="str">
        <f>+IF(Table3[[#This Row],[Tipo Movimiento]]="Estructura Balance y PyG","Excluir","Incluir")</f>
        <v>Incluir</v>
      </c>
      <c r="J1326" s="153">
        <f>+IF(Table3[[#This Row],[Sin cuenta]]="Con Mov.",(IF(Table3[[#This Row],[Movimiento]]="Debe",Table3[[#This Row],[Importe]],IF(Table3[[#This Row],[Movimiento]]="Haber",Table3[[#This Row],[Importe]]*-1,0))),0)</f>
        <v>0</v>
      </c>
      <c r="K1326" s="145" t="str">
        <f t="shared" si="61"/>
        <v/>
      </c>
      <c r="L1326" s="145">
        <f t="shared" si="62"/>
        <v>0</v>
      </c>
      <c r="M1326" t="str">
        <f>_xlfn.XLOOKUP(Table3[[#This Row],[Cuenta]],Estructura_Balance[Nombre Cuenta ()],Estructura_Balance[Grupo],"",0)</f>
        <v/>
      </c>
      <c r="N1326" t="str">
        <f>_xlfn.XLOOKUP(Table3[[#This Row],[Cuenta]],Estructura_Balance[Nombre Cuenta ()],Estructura_Balance[Nivel 1],"",0)</f>
        <v/>
      </c>
      <c r="O1326" t="str">
        <f>_xlfn.XLOOKUP(Table3[[#This Row],[Cuenta]],Estructura_Balance[Nombre Cuenta ()],Estructura_Balance[Nivel 2],"",0)</f>
        <v/>
      </c>
      <c r="P1326" t="str">
        <f>_xlfn.XLOOKUP(Table3[[#This Row],[Cuenta]],Estructura_Balance[Nombre Cuenta ()],Estructura_Balance[Nivel 3],"",0)</f>
        <v/>
      </c>
      <c r="Q1326" t="str">
        <f>_xlfn.XLOOKUP(Table3[[#This Row],[Cuenta]],Estructura_Balance[Nombre Cuenta ()],Estructura_Balance[Nivel 4],"",0)</f>
        <v/>
      </c>
      <c r="R1326" t="str">
        <f>_xlfn.XLOOKUP(Table3[[#This Row],[Cuenta]],Table8[Nombre Cuenta ()],Table8[Nivel 1],"",0)</f>
        <v/>
      </c>
      <c r="S1326" t="str">
        <f>_xlfn.XLOOKUP(Table3[[#This Row],[Cuenta]],Table8[Nombre Cuenta ()],Table8[Nivel 2],"",0)</f>
        <v/>
      </c>
      <c r="T1326" t="str">
        <f>_xlfn.XLOOKUP(Table3[[#This Row],[Cuenta]],Table8[Nombre Cuenta ()],Table8[Nivel 3],"",0)</f>
        <v/>
      </c>
      <c r="U1326">
        <v>237</v>
      </c>
      <c r="V1326" t="str">
        <f>_xlfn.XLOOKUP(Table3[[#This Row],[Cuenta]],Estructura_Balance[Nombre Cuenta ()],Estructura_Balance[Niveles:2],"",0)</f>
        <v/>
      </c>
      <c r="W1326" t="str">
        <f>_xlfn.XLOOKUP(Table3[[#This Row],[Cuenta]],Estructura_Balance[Nombre Cuenta ()],Estructura_Balance[Niveles:3],"",0)</f>
        <v/>
      </c>
      <c r="X1326" t="str">
        <f>_xlfn.XLOOKUP(Table3[[#This Row],[Cuenta]],Estructura_Balance[Nombre Cuenta ()],Estructura_Balance[Grupos],"Grupo 1",0)</f>
        <v>Grupo 1</v>
      </c>
      <c r="Y1326" t="str">
        <f>+Table3[[#This Row],[BS_Nivel_1]]</f>
        <v/>
      </c>
    </row>
    <row r="1327" spans="1:25" ht="15" customHeight="1">
      <c r="A1327">
        <f>+'Libro Diario'!F747</f>
        <v>0</v>
      </c>
      <c r="B1327" s="144">
        <f>VALUE(IF(+'Libro Diario'!G747="","01/01/2025",+'Libro Diario'!G747))</f>
        <v>45658</v>
      </c>
      <c r="C1327">
        <f>IF(ISNUMBER(+IF(IFERROR(VALUE(MID('Libro Diario'!D747,1,4)),0)&lt;&gt;0,'Libro Diario'!D747,0))=FALSE,'Libro Diario'!D747,0)</f>
        <v>0</v>
      </c>
      <c r="D1327" s="145">
        <f>+'Libro Diario'!E747</f>
        <v>0</v>
      </c>
      <c r="E1327" s="139" t="s">
        <v>446</v>
      </c>
      <c r="F1327" t="str">
        <f t="shared" si="60"/>
        <v>Sin Mov.</v>
      </c>
      <c r="G1327" t="str">
        <f>IF(+'Libro Diario'!H747=0,"",+'Libro Diario'!H747)</f>
        <v/>
      </c>
      <c r="H1327" t="str">
        <f>IF(+'Libro Diario'!I747=0,"",+'Libro Diario'!I747)</f>
        <v/>
      </c>
      <c r="I1327" t="str">
        <f>+IF(Table3[[#This Row],[Tipo Movimiento]]="Estructura Balance y PyG","Excluir","Incluir")</f>
        <v>Incluir</v>
      </c>
      <c r="J1327" s="153">
        <f>+IF(Table3[[#This Row],[Sin cuenta]]="Con Mov.",(IF(Table3[[#This Row],[Movimiento]]="Debe",Table3[[#This Row],[Importe]],IF(Table3[[#This Row],[Movimiento]]="Haber",Table3[[#This Row],[Importe]]*-1,0))),0)</f>
        <v>0</v>
      </c>
      <c r="K1327" s="145" t="str">
        <f t="shared" si="61"/>
        <v/>
      </c>
      <c r="L1327" s="145">
        <f t="shared" si="62"/>
        <v>0</v>
      </c>
      <c r="M1327" t="str">
        <f>_xlfn.XLOOKUP(Table3[[#This Row],[Cuenta]],Estructura_Balance[Nombre Cuenta ()],Estructura_Balance[Grupo],"",0)</f>
        <v/>
      </c>
      <c r="N1327" t="str">
        <f>_xlfn.XLOOKUP(Table3[[#This Row],[Cuenta]],Estructura_Balance[Nombre Cuenta ()],Estructura_Balance[Nivel 1],"",0)</f>
        <v/>
      </c>
      <c r="O1327" t="str">
        <f>_xlfn.XLOOKUP(Table3[[#This Row],[Cuenta]],Estructura_Balance[Nombre Cuenta ()],Estructura_Balance[Nivel 2],"",0)</f>
        <v/>
      </c>
      <c r="P1327" t="str">
        <f>_xlfn.XLOOKUP(Table3[[#This Row],[Cuenta]],Estructura_Balance[Nombre Cuenta ()],Estructura_Balance[Nivel 3],"",0)</f>
        <v/>
      </c>
      <c r="Q1327" t="str">
        <f>_xlfn.XLOOKUP(Table3[[#This Row],[Cuenta]],Estructura_Balance[Nombre Cuenta ()],Estructura_Balance[Nivel 4],"",0)</f>
        <v/>
      </c>
      <c r="R1327" t="str">
        <f>_xlfn.XLOOKUP(Table3[[#This Row],[Cuenta]],Table8[Nombre Cuenta ()],Table8[Nivel 1],"",0)</f>
        <v/>
      </c>
      <c r="S1327" t="str">
        <f>_xlfn.XLOOKUP(Table3[[#This Row],[Cuenta]],Table8[Nombre Cuenta ()],Table8[Nivel 2],"",0)</f>
        <v/>
      </c>
      <c r="T1327" t="str">
        <f>_xlfn.XLOOKUP(Table3[[#This Row],[Cuenta]],Table8[Nombre Cuenta ()],Table8[Nivel 3],"",0)</f>
        <v/>
      </c>
      <c r="U1327">
        <v>1234</v>
      </c>
      <c r="V1327" t="str">
        <f>_xlfn.XLOOKUP(Table3[[#This Row],[Cuenta]],Estructura_Balance[Nombre Cuenta ()],Estructura_Balance[Niveles:2],"",0)</f>
        <v/>
      </c>
      <c r="W1327" t="str">
        <f>_xlfn.XLOOKUP(Table3[[#This Row],[Cuenta]],Estructura_Balance[Nombre Cuenta ()],Estructura_Balance[Niveles:3],"",0)</f>
        <v/>
      </c>
      <c r="X1327" t="str">
        <f>_xlfn.XLOOKUP(Table3[[#This Row],[Cuenta]],Estructura_Balance[Nombre Cuenta ()],Estructura_Balance[Grupos],"Grupo 1",0)</f>
        <v>Grupo 1</v>
      </c>
      <c r="Y1327" t="str">
        <f>+Table3[[#This Row],[BS_Nivel_1]]</f>
        <v/>
      </c>
    </row>
    <row r="1328" spans="1:25" ht="15" customHeight="1">
      <c r="A1328">
        <f>+'Libro Diario'!F748</f>
        <v>0</v>
      </c>
      <c r="B1328" s="144">
        <f>VALUE(IF(+'Libro Diario'!G748="","01/01/2025",+'Libro Diario'!G748))</f>
        <v>45658</v>
      </c>
      <c r="C1328">
        <f>IF(ISNUMBER(+IF(IFERROR(VALUE(MID('Libro Diario'!D748,1,4)),0)&lt;&gt;0,'Libro Diario'!D748,0))=FALSE,'Libro Diario'!D748,0)</f>
        <v>0</v>
      </c>
      <c r="D1328" s="145">
        <f>+'Libro Diario'!E748</f>
        <v>0</v>
      </c>
      <c r="E1328" s="139" t="s">
        <v>446</v>
      </c>
      <c r="F1328" t="str">
        <f t="shared" si="60"/>
        <v>Sin Mov.</v>
      </c>
      <c r="G1328" t="str">
        <f>IF(+'Libro Diario'!H748=0,"",+'Libro Diario'!H748)</f>
        <v/>
      </c>
      <c r="H1328" t="str">
        <f>IF(+'Libro Diario'!I748=0,"",+'Libro Diario'!I748)</f>
        <v/>
      </c>
      <c r="I1328" t="str">
        <f>+IF(Table3[[#This Row],[Tipo Movimiento]]="Estructura Balance y PyG","Excluir","Incluir")</f>
        <v>Incluir</v>
      </c>
      <c r="J1328" s="153">
        <f>+IF(Table3[[#This Row],[Sin cuenta]]="Con Mov.",(IF(Table3[[#This Row],[Movimiento]]="Debe",Table3[[#This Row],[Importe]],IF(Table3[[#This Row],[Movimiento]]="Haber",Table3[[#This Row],[Importe]]*-1,0))),0)</f>
        <v>0</v>
      </c>
      <c r="K1328" s="145" t="str">
        <f t="shared" si="61"/>
        <v/>
      </c>
      <c r="L1328" s="145">
        <f t="shared" si="62"/>
        <v>0</v>
      </c>
      <c r="M1328" t="str">
        <f>_xlfn.XLOOKUP(Table3[[#This Row],[Cuenta]],Estructura_Balance[Nombre Cuenta ()],Estructura_Balance[Grupo],"",0)</f>
        <v/>
      </c>
      <c r="N1328" t="str">
        <f>_xlfn.XLOOKUP(Table3[[#This Row],[Cuenta]],Estructura_Balance[Nombre Cuenta ()],Estructura_Balance[Nivel 1],"",0)</f>
        <v/>
      </c>
      <c r="O1328" t="str">
        <f>_xlfn.XLOOKUP(Table3[[#This Row],[Cuenta]],Estructura_Balance[Nombre Cuenta ()],Estructura_Balance[Nivel 2],"",0)</f>
        <v/>
      </c>
      <c r="P1328" t="str">
        <f>_xlfn.XLOOKUP(Table3[[#This Row],[Cuenta]],Estructura_Balance[Nombre Cuenta ()],Estructura_Balance[Nivel 3],"",0)</f>
        <v/>
      </c>
      <c r="Q1328" t="str">
        <f>_xlfn.XLOOKUP(Table3[[#This Row],[Cuenta]],Estructura_Balance[Nombre Cuenta ()],Estructura_Balance[Nivel 4],"",0)</f>
        <v/>
      </c>
      <c r="R1328" t="str">
        <f>_xlfn.XLOOKUP(Table3[[#This Row],[Cuenta]],Table8[Nombre Cuenta ()],Table8[Nivel 1],"",0)</f>
        <v/>
      </c>
      <c r="S1328" t="str">
        <f>_xlfn.XLOOKUP(Table3[[#This Row],[Cuenta]],Table8[Nombre Cuenta ()],Table8[Nivel 2],"",0)</f>
        <v/>
      </c>
      <c r="T1328" t="str">
        <f>_xlfn.XLOOKUP(Table3[[#This Row],[Cuenta]],Table8[Nombre Cuenta ()],Table8[Nivel 3],"",0)</f>
        <v/>
      </c>
      <c r="U1328">
        <v>1235</v>
      </c>
      <c r="V1328" t="str">
        <f>_xlfn.XLOOKUP(Table3[[#This Row],[Cuenta]],Estructura_Balance[Nombre Cuenta ()],Estructura_Balance[Niveles:2],"",0)</f>
        <v/>
      </c>
      <c r="W1328" t="str">
        <f>_xlfn.XLOOKUP(Table3[[#This Row],[Cuenta]],Estructura_Balance[Nombre Cuenta ()],Estructura_Balance[Niveles:3],"",0)</f>
        <v/>
      </c>
      <c r="X1328" t="str">
        <f>_xlfn.XLOOKUP(Table3[[#This Row],[Cuenta]],Estructura_Balance[Nombre Cuenta ()],Estructura_Balance[Grupos],"Grupo 1",0)</f>
        <v>Grupo 1</v>
      </c>
      <c r="Y1328" t="str">
        <f>+Table3[[#This Row],[BS_Nivel_1]]</f>
        <v/>
      </c>
    </row>
    <row r="1329" spans="1:25" ht="15" customHeight="1">
      <c r="A1329">
        <f>+'Libro Diario'!F749</f>
        <v>0</v>
      </c>
      <c r="B1329" s="144">
        <f>VALUE(IF(+'Libro Diario'!G749="","01/01/2025",+'Libro Diario'!G749))</f>
        <v>45658</v>
      </c>
      <c r="C1329">
        <f>IF(ISNUMBER(+IF(IFERROR(VALUE(MID('Libro Diario'!D749,1,4)),0)&lt;&gt;0,'Libro Diario'!D749,0))=FALSE,'Libro Diario'!D749,0)</f>
        <v>0</v>
      </c>
      <c r="D1329" s="145">
        <f>+'Libro Diario'!E749</f>
        <v>0</v>
      </c>
      <c r="E1329" s="139" t="s">
        <v>446</v>
      </c>
      <c r="F1329" t="str">
        <f t="shared" si="60"/>
        <v>Sin Mov.</v>
      </c>
      <c r="G1329" t="str">
        <f>IF(+'Libro Diario'!H749=0,"",+'Libro Diario'!H749)</f>
        <v/>
      </c>
      <c r="H1329" t="str">
        <f>IF(+'Libro Diario'!I749=0,"",+'Libro Diario'!I749)</f>
        <v/>
      </c>
      <c r="I1329" t="str">
        <f>+IF(Table3[[#This Row],[Tipo Movimiento]]="Estructura Balance y PyG","Excluir","Incluir")</f>
        <v>Incluir</v>
      </c>
      <c r="J1329" s="153">
        <f>+IF(Table3[[#This Row],[Sin cuenta]]="Con Mov.",(IF(Table3[[#This Row],[Movimiento]]="Debe",Table3[[#This Row],[Importe]],IF(Table3[[#This Row],[Movimiento]]="Haber",Table3[[#This Row],[Importe]]*-1,0))),0)</f>
        <v>0</v>
      </c>
      <c r="K1329" s="145" t="str">
        <f t="shared" si="61"/>
        <v/>
      </c>
      <c r="L1329" s="145">
        <f t="shared" si="62"/>
        <v>0</v>
      </c>
      <c r="M1329" t="str">
        <f>_xlfn.XLOOKUP(Table3[[#This Row],[Cuenta]],Estructura_Balance[Nombre Cuenta ()],Estructura_Balance[Grupo],"",0)</f>
        <v/>
      </c>
      <c r="N1329" t="str">
        <f>_xlfn.XLOOKUP(Table3[[#This Row],[Cuenta]],Estructura_Balance[Nombre Cuenta ()],Estructura_Balance[Nivel 1],"",0)</f>
        <v/>
      </c>
      <c r="O1329" t="str">
        <f>_xlfn.XLOOKUP(Table3[[#This Row],[Cuenta]],Estructura_Balance[Nombre Cuenta ()],Estructura_Balance[Nivel 2],"",0)</f>
        <v/>
      </c>
      <c r="P1329" t="str">
        <f>_xlfn.XLOOKUP(Table3[[#This Row],[Cuenta]],Estructura_Balance[Nombre Cuenta ()],Estructura_Balance[Nivel 3],"",0)</f>
        <v/>
      </c>
      <c r="Q1329" t="str">
        <f>_xlfn.XLOOKUP(Table3[[#This Row],[Cuenta]],Estructura_Balance[Nombre Cuenta ()],Estructura_Balance[Nivel 4],"",0)</f>
        <v/>
      </c>
      <c r="R1329" t="str">
        <f>_xlfn.XLOOKUP(Table3[[#This Row],[Cuenta]],Table8[Nombre Cuenta ()],Table8[Nivel 1],"",0)</f>
        <v/>
      </c>
      <c r="S1329" t="str">
        <f>_xlfn.XLOOKUP(Table3[[#This Row],[Cuenta]],Table8[Nombre Cuenta ()],Table8[Nivel 2],"",0)</f>
        <v/>
      </c>
      <c r="T1329" t="str">
        <f>_xlfn.XLOOKUP(Table3[[#This Row],[Cuenta]],Table8[Nombre Cuenta ()],Table8[Nivel 3],"",0)</f>
        <v/>
      </c>
      <c r="U1329">
        <v>243</v>
      </c>
      <c r="V1329" t="str">
        <f>_xlfn.XLOOKUP(Table3[[#This Row],[Cuenta]],Estructura_Balance[Nombre Cuenta ()],Estructura_Balance[Niveles:2],"",0)</f>
        <v/>
      </c>
      <c r="W1329" t="str">
        <f>_xlfn.XLOOKUP(Table3[[#This Row],[Cuenta]],Estructura_Balance[Nombre Cuenta ()],Estructura_Balance[Niveles:3],"",0)</f>
        <v/>
      </c>
      <c r="X1329" t="str">
        <f>_xlfn.XLOOKUP(Table3[[#This Row],[Cuenta]],Estructura_Balance[Nombre Cuenta ()],Estructura_Balance[Grupos],"Grupo 1",0)</f>
        <v>Grupo 1</v>
      </c>
      <c r="Y1329" t="str">
        <f>+Table3[[#This Row],[BS_Nivel_1]]</f>
        <v/>
      </c>
    </row>
    <row r="1330" spans="1:25" ht="15" customHeight="1">
      <c r="A1330">
        <f>+'Libro Diario'!F750</f>
        <v>0</v>
      </c>
      <c r="B1330" s="144">
        <f>VALUE(IF(+'Libro Diario'!G750="","01/01/2025",+'Libro Diario'!G750))</f>
        <v>45658</v>
      </c>
      <c r="C1330">
        <f>IF(ISNUMBER(+IF(IFERROR(VALUE(MID('Libro Diario'!D750,1,4)),0)&lt;&gt;0,'Libro Diario'!D750,0))=FALSE,'Libro Diario'!D750,0)</f>
        <v>0</v>
      </c>
      <c r="D1330" s="145">
        <f>+'Libro Diario'!E750</f>
        <v>0</v>
      </c>
      <c r="E1330" s="139" t="s">
        <v>446</v>
      </c>
      <c r="F1330" t="str">
        <f t="shared" si="60"/>
        <v>Sin Mov.</v>
      </c>
      <c r="G1330" t="str">
        <f>IF(+'Libro Diario'!H750=0,"",+'Libro Diario'!H750)</f>
        <v/>
      </c>
      <c r="H1330" t="str">
        <f>IF(+'Libro Diario'!I750=0,"",+'Libro Diario'!I750)</f>
        <v/>
      </c>
      <c r="I1330" t="str">
        <f>+IF(Table3[[#This Row],[Tipo Movimiento]]="Estructura Balance y PyG","Excluir","Incluir")</f>
        <v>Incluir</v>
      </c>
      <c r="J1330" s="153">
        <f>+IF(Table3[[#This Row],[Sin cuenta]]="Con Mov.",(IF(Table3[[#This Row],[Movimiento]]="Debe",Table3[[#This Row],[Importe]],IF(Table3[[#This Row],[Movimiento]]="Haber",Table3[[#This Row],[Importe]]*-1,0))),0)</f>
        <v>0</v>
      </c>
      <c r="K1330" s="145" t="str">
        <f t="shared" si="61"/>
        <v/>
      </c>
      <c r="L1330" s="145">
        <f t="shared" si="62"/>
        <v>0</v>
      </c>
      <c r="M1330" t="str">
        <f>_xlfn.XLOOKUP(Table3[[#This Row],[Cuenta]],Estructura_Balance[Nombre Cuenta ()],Estructura_Balance[Grupo],"",0)</f>
        <v/>
      </c>
      <c r="N1330" t="str">
        <f>_xlfn.XLOOKUP(Table3[[#This Row],[Cuenta]],Estructura_Balance[Nombre Cuenta ()],Estructura_Balance[Nivel 1],"",0)</f>
        <v/>
      </c>
      <c r="O1330" t="str">
        <f>_xlfn.XLOOKUP(Table3[[#This Row],[Cuenta]],Estructura_Balance[Nombre Cuenta ()],Estructura_Balance[Nivel 2],"",0)</f>
        <v/>
      </c>
      <c r="P1330" t="str">
        <f>_xlfn.XLOOKUP(Table3[[#This Row],[Cuenta]],Estructura_Balance[Nombre Cuenta ()],Estructura_Balance[Nivel 3],"",0)</f>
        <v/>
      </c>
      <c r="Q1330" t="str">
        <f>_xlfn.XLOOKUP(Table3[[#This Row],[Cuenta]],Estructura_Balance[Nombre Cuenta ()],Estructura_Balance[Nivel 4],"",0)</f>
        <v/>
      </c>
      <c r="R1330" t="str">
        <f>_xlfn.XLOOKUP(Table3[[#This Row],[Cuenta]],Table8[Nombre Cuenta ()],Table8[Nivel 1],"",0)</f>
        <v/>
      </c>
      <c r="S1330" t="str">
        <f>_xlfn.XLOOKUP(Table3[[#This Row],[Cuenta]],Table8[Nombre Cuenta ()],Table8[Nivel 2],"",0)</f>
        <v/>
      </c>
      <c r="T1330" t="str">
        <f>_xlfn.XLOOKUP(Table3[[#This Row],[Cuenta]],Table8[Nombre Cuenta ()],Table8[Nivel 3],"",0)</f>
        <v/>
      </c>
      <c r="U1330">
        <v>244</v>
      </c>
      <c r="V1330" t="str">
        <f>_xlfn.XLOOKUP(Table3[[#This Row],[Cuenta]],Estructura_Balance[Nombre Cuenta ()],Estructura_Balance[Niveles:2],"",0)</f>
        <v/>
      </c>
      <c r="W1330" t="str">
        <f>_xlfn.XLOOKUP(Table3[[#This Row],[Cuenta]],Estructura_Balance[Nombre Cuenta ()],Estructura_Balance[Niveles:3],"",0)</f>
        <v/>
      </c>
      <c r="X1330" t="str">
        <f>_xlfn.XLOOKUP(Table3[[#This Row],[Cuenta]],Estructura_Balance[Nombre Cuenta ()],Estructura_Balance[Grupos],"Grupo 1",0)</f>
        <v>Grupo 1</v>
      </c>
      <c r="Y1330" t="str">
        <f>+Table3[[#This Row],[BS_Nivel_1]]</f>
        <v/>
      </c>
    </row>
    <row r="1331" spans="1:25" ht="15" customHeight="1">
      <c r="A1331">
        <f>+'Libro Diario'!F751</f>
        <v>0</v>
      </c>
      <c r="B1331" s="144">
        <f>VALUE(IF(+'Libro Diario'!G751="","01/01/2025",+'Libro Diario'!G751))</f>
        <v>45658</v>
      </c>
      <c r="C1331">
        <f>IF(ISNUMBER(+IF(IFERROR(VALUE(MID('Libro Diario'!D751,1,4)),0)&lt;&gt;0,'Libro Diario'!D751,0))=FALSE,'Libro Diario'!D751,0)</f>
        <v>0</v>
      </c>
      <c r="D1331" s="145">
        <f>+'Libro Diario'!E751</f>
        <v>0</v>
      </c>
      <c r="E1331" s="139" t="s">
        <v>446</v>
      </c>
      <c r="F1331" t="str">
        <f t="shared" si="60"/>
        <v>Sin Mov.</v>
      </c>
      <c r="G1331" t="str">
        <f>IF(+'Libro Diario'!H751=0,"",+'Libro Diario'!H751)</f>
        <v/>
      </c>
      <c r="H1331" t="str">
        <f>IF(+'Libro Diario'!I751=0,"",+'Libro Diario'!I751)</f>
        <v/>
      </c>
      <c r="I1331" t="str">
        <f>+IF(Table3[[#This Row],[Tipo Movimiento]]="Estructura Balance y PyG","Excluir","Incluir")</f>
        <v>Incluir</v>
      </c>
      <c r="J1331" s="153">
        <f>+IF(Table3[[#This Row],[Sin cuenta]]="Con Mov.",(IF(Table3[[#This Row],[Movimiento]]="Debe",Table3[[#This Row],[Importe]],IF(Table3[[#This Row],[Movimiento]]="Haber",Table3[[#This Row],[Importe]]*-1,0))),0)</f>
        <v>0</v>
      </c>
      <c r="K1331" s="145" t="str">
        <f t="shared" si="61"/>
        <v/>
      </c>
      <c r="L1331" s="145">
        <f t="shared" si="62"/>
        <v>0</v>
      </c>
      <c r="M1331" t="str">
        <f>_xlfn.XLOOKUP(Table3[[#This Row],[Cuenta]],Estructura_Balance[Nombre Cuenta ()],Estructura_Balance[Grupo],"",0)</f>
        <v/>
      </c>
      <c r="N1331" t="str">
        <f>_xlfn.XLOOKUP(Table3[[#This Row],[Cuenta]],Estructura_Balance[Nombre Cuenta ()],Estructura_Balance[Nivel 1],"",0)</f>
        <v/>
      </c>
      <c r="O1331" t="str">
        <f>_xlfn.XLOOKUP(Table3[[#This Row],[Cuenta]],Estructura_Balance[Nombre Cuenta ()],Estructura_Balance[Nivel 2],"",0)</f>
        <v/>
      </c>
      <c r="P1331" t="str">
        <f>_xlfn.XLOOKUP(Table3[[#This Row],[Cuenta]],Estructura_Balance[Nombre Cuenta ()],Estructura_Balance[Nivel 3],"",0)</f>
        <v/>
      </c>
      <c r="Q1331" t="str">
        <f>_xlfn.XLOOKUP(Table3[[#This Row],[Cuenta]],Estructura_Balance[Nombre Cuenta ()],Estructura_Balance[Nivel 4],"",0)</f>
        <v/>
      </c>
      <c r="R1331" t="str">
        <f>_xlfn.XLOOKUP(Table3[[#This Row],[Cuenta]],Table8[Nombre Cuenta ()],Table8[Nivel 1],"",0)</f>
        <v/>
      </c>
      <c r="S1331" t="str">
        <f>_xlfn.XLOOKUP(Table3[[#This Row],[Cuenta]],Table8[Nombre Cuenta ()],Table8[Nivel 2],"",0)</f>
        <v/>
      </c>
      <c r="T1331" t="str">
        <f>_xlfn.XLOOKUP(Table3[[#This Row],[Cuenta]],Table8[Nombre Cuenta ()],Table8[Nivel 3],"",0)</f>
        <v/>
      </c>
      <c r="U1331">
        <v>1241</v>
      </c>
      <c r="V1331" t="str">
        <f>_xlfn.XLOOKUP(Table3[[#This Row],[Cuenta]],Estructura_Balance[Nombre Cuenta ()],Estructura_Balance[Niveles:2],"",0)</f>
        <v/>
      </c>
      <c r="W1331" t="str">
        <f>_xlfn.XLOOKUP(Table3[[#This Row],[Cuenta]],Estructura_Balance[Nombre Cuenta ()],Estructura_Balance[Niveles:3],"",0)</f>
        <v/>
      </c>
      <c r="X1331" t="str">
        <f>_xlfn.XLOOKUP(Table3[[#This Row],[Cuenta]],Estructura_Balance[Nombre Cuenta ()],Estructura_Balance[Grupos],"Grupo 1",0)</f>
        <v>Grupo 1</v>
      </c>
      <c r="Y1331" t="str">
        <f>+Table3[[#This Row],[BS_Nivel_1]]</f>
        <v/>
      </c>
    </row>
    <row r="1332" spans="1:25" ht="15" customHeight="1">
      <c r="A1332">
        <f>+'Libro Diario'!F752</f>
        <v>0</v>
      </c>
      <c r="B1332" s="144">
        <f>VALUE(IF(+'Libro Diario'!G752="","01/01/2025",+'Libro Diario'!G752))</f>
        <v>45658</v>
      </c>
      <c r="C1332">
        <f>IF(ISNUMBER(+IF(IFERROR(VALUE(MID('Libro Diario'!D752,1,4)),0)&lt;&gt;0,'Libro Diario'!D752,0))=FALSE,'Libro Diario'!D752,0)</f>
        <v>0</v>
      </c>
      <c r="D1332" s="145">
        <f>+'Libro Diario'!E752</f>
        <v>0</v>
      </c>
      <c r="E1332" s="139" t="s">
        <v>446</v>
      </c>
      <c r="F1332" t="str">
        <f t="shared" si="60"/>
        <v>Sin Mov.</v>
      </c>
      <c r="G1332" t="str">
        <f>IF(+'Libro Diario'!H752=0,"",+'Libro Diario'!H752)</f>
        <v/>
      </c>
      <c r="H1332" t="str">
        <f>IF(+'Libro Diario'!I752=0,"",+'Libro Diario'!I752)</f>
        <v/>
      </c>
      <c r="I1332" t="str">
        <f>+IF(Table3[[#This Row],[Tipo Movimiento]]="Estructura Balance y PyG","Excluir","Incluir")</f>
        <v>Incluir</v>
      </c>
      <c r="J1332" s="153">
        <f>+IF(Table3[[#This Row],[Sin cuenta]]="Con Mov.",(IF(Table3[[#This Row],[Movimiento]]="Debe",Table3[[#This Row],[Importe]],IF(Table3[[#This Row],[Movimiento]]="Haber",Table3[[#This Row],[Importe]]*-1,0))),0)</f>
        <v>0</v>
      </c>
      <c r="K1332" s="145" t="str">
        <f t="shared" si="61"/>
        <v/>
      </c>
      <c r="L1332" s="145">
        <f t="shared" si="62"/>
        <v>0</v>
      </c>
      <c r="M1332" t="str">
        <f>_xlfn.XLOOKUP(Table3[[#This Row],[Cuenta]],Estructura_Balance[Nombre Cuenta ()],Estructura_Balance[Grupo],"",0)</f>
        <v/>
      </c>
      <c r="N1332" t="str">
        <f>_xlfn.XLOOKUP(Table3[[#This Row],[Cuenta]],Estructura_Balance[Nombre Cuenta ()],Estructura_Balance[Nivel 1],"",0)</f>
        <v/>
      </c>
      <c r="O1332" t="str">
        <f>_xlfn.XLOOKUP(Table3[[#This Row],[Cuenta]],Estructura_Balance[Nombre Cuenta ()],Estructura_Balance[Nivel 2],"",0)</f>
        <v/>
      </c>
      <c r="P1332" t="str">
        <f>_xlfn.XLOOKUP(Table3[[#This Row],[Cuenta]],Estructura_Balance[Nombre Cuenta ()],Estructura_Balance[Nivel 3],"",0)</f>
        <v/>
      </c>
      <c r="Q1332" t="str">
        <f>_xlfn.XLOOKUP(Table3[[#This Row],[Cuenta]],Estructura_Balance[Nombre Cuenta ()],Estructura_Balance[Nivel 4],"",0)</f>
        <v/>
      </c>
      <c r="R1332" t="str">
        <f>_xlfn.XLOOKUP(Table3[[#This Row],[Cuenta]],Table8[Nombre Cuenta ()],Table8[Nivel 1],"",0)</f>
        <v/>
      </c>
      <c r="S1332" t="str">
        <f>_xlfn.XLOOKUP(Table3[[#This Row],[Cuenta]],Table8[Nombre Cuenta ()],Table8[Nivel 2],"",0)</f>
        <v/>
      </c>
      <c r="T1332" t="str">
        <f>_xlfn.XLOOKUP(Table3[[#This Row],[Cuenta]],Table8[Nombre Cuenta ()],Table8[Nivel 3],"",0)</f>
        <v/>
      </c>
      <c r="U1332">
        <v>1242</v>
      </c>
      <c r="V1332" t="str">
        <f>_xlfn.XLOOKUP(Table3[[#This Row],[Cuenta]],Estructura_Balance[Nombre Cuenta ()],Estructura_Balance[Niveles:2],"",0)</f>
        <v/>
      </c>
      <c r="W1332" t="str">
        <f>_xlfn.XLOOKUP(Table3[[#This Row],[Cuenta]],Estructura_Balance[Nombre Cuenta ()],Estructura_Balance[Niveles:3],"",0)</f>
        <v/>
      </c>
      <c r="X1332" t="str">
        <f>_xlfn.XLOOKUP(Table3[[#This Row],[Cuenta]],Estructura_Balance[Nombre Cuenta ()],Estructura_Balance[Grupos],"Grupo 1",0)</f>
        <v>Grupo 1</v>
      </c>
      <c r="Y1332" t="str">
        <f>+Table3[[#This Row],[BS_Nivel_1]]</f>
        <v/>
      </c>
    </row>
    <row r="1333" spans="1:25" ht="15" customHeight="1">
      <c r="A1333">
        <f>+'Libro Diario'!F753</f>
        <v>0</v>
      </c>
      <c r="B1333" s="144">
        <f>VALUE(IF(+'Libro Diario'!G753="","01/01/2025",+'Libro Diario'!G753))</f>
        <v>45658</v>
      </c>
      <c r="C1333">
        <f>IF(ISNUMBER(+IF(IFERROR(VALUE(MID('Libro Diario'!D753,1,4)),0)&lt;&gt;0,'Libro Diario'!D753,0))=FALSE,'Libro Diario'!D753,0)</f>
        <v>0</v>
      </c>
      <c r="D1333" s="145">
        <f>+'Libro Diario'!E753</f>
        <v>0</v>
      </c>
      <c r="E1333" s="139" t="s">
        <v>446</v>
      </c>
      <c r="F1333" t="str">
        <f t="shared" si="60"/>
        <v>Sin Mov.</v>
      </c>
      <c r="G1333" t="str">
        <f>IF(+'Libro Diario'!H753=0,"",+'Libro Diario'!H753)</f>
        <v/>
      </c>
      <c r="H1333" t="str">
        <f>IF(+'Libro Diario'!I753=0,"",+'Libro Diario'!I753)</f>
        <v/>
      </c>
      <c r="I1333" t="str">
        <f>+IF(Table3[[#This Row],[Tipo Movimiento]]="Estructura Balance y PyG","Excluir","Incluir")</f>
        <v>Incluir</v>
      </c>
      <c r="J1333" s="153">
        <f>+IF(Table3[[#This Row],[Sin cuenta]]="Con Mov.",(IF(Table3[[#This Row],[Movimiento]]="Debe",Table3[[#This Row],[Importe]],IF(Table3[[#This Row],[Movimiento]]="Haber",Table3[[#This Row],[Importe]]*-1,0))),0)</f>
        <v>0</v>
      </c>
      <c r="K1333" s="145" t="str">
        <f t="shared" si="61"/>
        <v/>
      </c>
      <c r="L1333" s="145">
        <f t="shared" si="62"/>
        <v>0</v>
      </c>
      <c r="M1333" t="str">
        <f>_xlfn.XLOOKUP(Table3[[#This Row],[Cuenta]],Estructura_Balance[Nombre Cuenta ()],Estructura_Balance[Grupo],"",0)</f>
        <v/>
      </c>
      <c r="N1333" t="str">
        <f>_xlfn.XLOOKUP(Table3[[#This Row],[Cuenta]],Estructura_Balance[Nombre Cuenta ()],Estructura_Balance[Nivel 1],"",0)</f>
        <v/>
      </c>
      <c r="O1333" t="str">
        <f>_xlfn.XLOOKUP(Table3[[#This Row],[Cuenta]],Estructura_Balance[Nombre Cuenta ()],Estructura_Balance[Nivel 2],"",0)</f>
        <v/>
      </c>
      <c r="P1333" t="str">
        <f>_xlfn.XLOOKUP(Table3[[#This Row],[Cuenta]],Estructura_Balance[Nombre Cuenta ()],Estructura_Balance[Nivel 3],"",0)</f>
        <v/>
      </c>
      <c r="Q1333" t="str">
        <f>_xlfn.XLOOKUP(Table3[[#This Row],[Cuenta]],Estructura_Balance[Nombre Cuenta ()],Estructura_Balance[Nivel 4],"",0)</f>
        <v/>
      </c>
      <c r="R1333" t="str">
        <f>_xlfn.XLOOKUP(Table3[[#This Row],[Cuenta]],Table8[Nombre Cuenta ()],Table8[Nivel 1],"",0)</f>
        <v/>
      </c>
      <c r="S1333" t="str">
        <f>_xlfn.XLOOKUP(Table3[[#This Row],[Cuenta]],Table8[Nombre Cuenta ()],Table8[Nivel 2],"",0)</f>
        <v/>
      </c>
      <c r="T1333" t="str">
        <f>_xlfn.XLOOKUP(Table3[[#This Row],[Cuenta]],Table8[Nombre Cuenta ()],Table8[Nivel 3],"",0)</f>
        <v/>
      </c>
      <c r="U1333">
        <v>250</v>
      </c>
      <c r="V1333" t="str">
        <f>_xlfn.XLOOKUP(Table3[[#This Row],[Cuenta]],Estructura_Balance[Nombre Cuenta ()],Estructura_Balance[Niveles:2],"",0)</f>
        <v/>
      </c>
      <c r="W1333" t="str">
        <f>_xlfn.XLOOKUP(Table3[[#This Row],[Cuenta]],Estructura_Balance[Nombre Cuenta ()],Estructura_Balance[Niveles:3],"",0)</f>
        <v/>
      </c>
      <c r="X1333" t="str">
        <f>_xlfn.XLOOKUP(Table3[[#This Row],[Cuenta]],Estructura_Balance[Nombre Cuenta ()],Estructura_Balance[Grupos],"Grupo 1",0)</f>
        <v>Grupo 1</v>
      </c>
      <c r="Y1333" t="str">
        <f>+Table3[[#This Row],[BS_Nivel_1]]</f>
        <v/>
      </c>
    </row>
    <row r="1334" spans="1:25" ht="15" customHeight="1">
      <c r="A1334">
        <f>+'Libro Diario'!F754</f>
        <v>0</v>
      </c>
      <c r="B1334" s="144">
        <f>VALUE(IF(+'Libro Diario'!G754="","01/01/2025",+'Libro Diario'!G754))</f>
        <v>45658</v>
      </c>
      <c r="C1334">
        <f>IF(ISNUMBER(+IF(IFERROR(VALUE(MID('Libro Diario'!D754,1,4)),0)&lt;&gt;0,'Libro Diario'!D754,0))=FALSE,'Libro Diario'!D754,0)</f>
        <v>0</v>
      </c>
      <c r="D1334" s="145">
        <f>+'Libro Diario'!E754</f>
        <v>0</v>
      </c>
      <c r="E1334" s="139" t="s">
        <v>446</v>
      </c>
      <c r="F1334" t="str">
        <f t="shared" si="60"/>
        <v>Sin Mov.</v>
      </c>
      <c r="G1334" t="str">
        <f>IF(+'Libro Diario'!H754=0,"",+'Libro Diario'!H754)</f>
        <v/>
      </c>
      <c r="H1334" t="str">
        <f>IF(+'Libro Diario'!I754=0,"",+'Libro Diario'!I754)</f>
        <v/>
      </c>
      <c r="I1334" t="str">
        <f>+IF(Table3[[#This Row],[Tipo Movimiento]]="Estructura Balance y PyG","Excluir","Incluir")</f>
        <v>Incluir</v>
      </c>
      <c r="J1334" s="153">
        <f>+IF(Table3[[#This Row],[Sin cuenta]]="Con Mov.",(IF(Table3[[#This Row],[Movimiento]]="Debe",Table3[[#This Row],[Importe]],IF(Table3[[#This Row],[Movimiento]]="Haber",Table3[[#This Row],[Importe]]*-1,0))),0)</f>
        <v>0</v>
      </c>
      <c r="K1334" s="145" t="str">
        <f t="shared" si="61"/>
        <v/>
      </c>
      <c r="L1334" s="145">
        <f t="shared" si="62"/>
        <v>0</v>
      </c>
      <c r="M1334" t="str">
        <f>_xlfn.XLOOKUP(Table3[[#This Row],[Cuenta]],Estructura_Balance[Nombre Cuenta ()],Estructura_Balance[Grupo],"",0)</f>
        <v/>
      </c>
      <c r="N1334" t="str">
        <f>_xlfn.XLOOKUP(Table3[[#This Row],[Cuenta]],Estructura_Balance[Nombre Cuenta ()],Estructura_Balance[Nivel 1],"",0)</f>
        <v/>
      </c>
      <c r="O1334" t="str">
        <f>_xlfn.XLOOKUP(Table3[[#This Row],[Cuenta]],Estructura_Balance[Nombre Cuenta ()],Estructura_Balance[Nivel 2],"",0)</f>
        <v/>
      </c>
      <c r="P1334" t="str">
        <f>_xlfn.XLOOKUP(Table3[[#This Row],[Cuenta]],Estructura_Balance[Nombre Cuenta ()],Estructura_Balance[Nivel 3],"",0)</f>
        <v/>
      </c>
      <c r="Q1334" t="str">
        <f>_xlfn.XLOOKUP(Table3[[#This Row],[Cuenta]],Estructura_Balance[Nombre Cuenta ()],Estructura_Balance[Nivel 4],"",0)</f>
        <v/>
      </c>
      <c r="R1334" t="str">
        <f>_xlfn.XLOOKUP(Table3[[#This Row],[Cuenta]],Table8[Nombre Cuenta ()],Table8[Nivel 1],"",0)</f>
        <v/>
      </c>
      <c r="S1334" t="str">
        <f>_xlfn.XLOOKUP(Table3[[#This Row],[Cuenta]],Table8[Nombre Cuenta ()],Table8[Nivel 2],"",0)</f>
        <v/>
      </c>
      <c r="T1334" t="str">
        <f>_xlfn.XLOOKUP(Table3[[#This Row],[Cuenta]],Table8[Nombre Cuenta ()],Table8[Nivel 3],"",0)</f>
        <v/>
      </c>
      <c r="U1334">
        <v>251</v>
      </c>
      <c r="V1334" t="str">
        <f>_xlfn.XLOOKUP(Table3[[#This Row],[Cuenta]],Estructura_Balance[Nombre Cuenta ()],Estructura_Balance[Niveles:2],"",0)</f>
        <v/>
      </c>
      <c r="W1334" t="str">
        <f>_xlfn.XLOOKUP(Table3[[#This Row],[Cuenta]],Estructura_Balance[Nombre Cuenta ()],Estructura_Balance[Niveles:3],"",0)</f>
        <v/>
      </c>
      <c r="X1334" t="str">
        <f>_xlfn.XLOOKUP(Table3[[#This Row],[Cuenta]],Estructura_Balance[Nombre Cuenta ()],Estructura_Balance[Grupos],"Grupo 1",0)</f>
        <v>Grupo 1</v>
      </c>
      <c r="Y1334" t="str">
        <f>+Table3[[#This Row],[BS_Nivel_1]]</f>
        <v/>
      </c>
    </row>
    <row r="1335" spans="1:25" ht="15" customHeight="1">
      <c r="A1335">
        <f>+'Libro Diario'!F755</f>
        <v>0</v>
      </c>
      <c r="B1335" s="144">
        <f>VALUE(IF(+'Libro Diario'!G755="","01/01/2025",+'Libro Diario'!G755))</f>
        <v>45658</v>
      </c>
      <c r="C1335">
        <f>IF(ISNUMBER(+IF(IFERROR(VALUE(MID('Libro Diario'!D755,1,4)),0)&lt;&gt;0,'Libro Diario'!D755,0))=FALSE,'Libro Diario'!D755,0)</f>
        <v>0</v>
      </c>
      <c r="D1335" s="145">
        <f>+'Libro Diario'!E755</f>
        <v>0</v>
      </c>
      <c r="E1335" s="139" t="s">
        <v>446</v>
      </c>
      <c r="F1335" t="str">
        <f t="shared" si="60"/>
        <v>Sin Mov.</v>
      </c>
      <c r="G1335" t="str">
        <f>IF(+'Libro Diario'!H755=0,"",+'Libro Diario'!H755)</f>
        <v/>
      </c>
      <c r="H1335" t="str">
        <f>IF(+'Libro Diario'!I755=0,"",+'Libro Diario'!I755)</f>
        <v/>
      </c>
      <c r="I1335" t="str">
        <f>+IF(Table3[[#This Row],[Tipo Movimiento]]="Estructura Balance y PyG","Excluir","Incluir")</f>
        <v>Incluir</v>
      </c>
      <c r="J1335" s="153">
        <f>+IF(Table3[[#This Row],[Sin cuenta]]="Con Mov.",(IF(Table3[[#This Row],[Movimiento]]="Debe",Table3[[#This Row],[Importe]],IF(Table3[[#This Row],[Movimiento]]="Haber",Table3[[#This Row],[Importe]]*-1,0))),0)</f>
        <v>0</v>
      </c>
      <c r="K1335" s="145" t="str">
        <f t="shared" si="61"/>
        <v/>
      </c>
      <c r="L1335" s="145">
        <f t="shared" si="62"/>
        <v>0</v>
      </c>
      <c r="M1335" t="str">
        <f>_xlfn.XLOOKUP(Table3[[#This Row],[Cuenta]],Estructura_Balance[Nombre Cuenta ()],Estructura_Balance[Grupo],"",0)</f>
        <v/>
      </c>
      <c r="N1335" t="str">
        <f>_xlfn.XLOOKUP(Table3[[#This Row],[Cuenta]],Estructura_Balance[Nombre Cuenta ()],Estructura_Balance[Nivel 1],"",0)</f>
        <v/>
      </c>
      <c r="O1335" t="str">
        <f>_xlfn.XLOOKUP(Table3[[#This Row],[Cuenta]],Estructura_Balance[Nombre Cuenta ()],Estructura_Balance[Nivel 2],"",0)</f>
        <v/>
      </c>
      <c r="P1335" t="str">
        <f>_xlfn.XLOOKUP(Table3[[#This Row],[Cuenta]],Estructura_Balance[Nombre Cuenta ()],Estructura_Balance[Nivel 3],"",0)</f>
        <v/>
      </c>
      <c r="Q1335" t="str">
        <f>_xlfn.XLOOKUP(Table3[[#This Row],[Cuenta]],Estructura_Balance[Nombre Cuenta ()],Estructura_Balance[Nivel 4],"",0)</f>
        <v/>
      </c>
      <c r="R1335" t="str">
        <f>_xlfn.XLOOKUP(Table3[[#This Row],[Cuenta]],Table8[Nombre Cuenta ()],Table8[Nivel 1],"",0)</f>
        <v/>
      </c>
      <c r="S1335" t="str">
        <f>_xlfn.XLOOKUP(Table3[[#This Row],[Cuenta]],Table8[Nombre Cuenta ()],Table8[Nivel 2],"",0)</f>
        <v/>
      </c>
      <c r="T1335" t="str">
        <f>_xlfn.XLOOKUP(Table3[[#This Row],[Cuenta]],Table8[Nombre Cuenta ()],Table8[Nivel 3],"",0)</f>
        <v/>
      </c>
      <c r="U1335">
        <v>1248</v>
      </c>
      <c r="V1335" t="str">
        <f>_xlfn.XLOOKUP(Table3[[#This Row],[Cuenta]],Estructura_Balance[Nombre Cuenta ()],Estructura_Balance[Niveles:2],"",0)</f>
        <v/>
      </c>
      <c r="W1335" t="str">
        <f>_xlfn.XLOOKUP(Table3[[#This Row],[Cuenta]],Estructura_Balance[Nombre Cuenta ()],Estructura_Balance[Niveles:3],"",0)</f>
        <v/>
      </c>
      <c r="X1335" t="str">
        <f>_xlfn.XLOOKUP(Table3[[#This Row],[Cuenta]],Estructura_Balance[Nombre Cuenta ()],Estructura_Balance[Grupos],"Grupo 1",0)</f>
        <v>Grupo 1</v>
      </c>
      <c r="Y1335" t="str">
        <f>+Table3[[#This Row],[BS_Nivel_1]]</f>
        <v/>
      </c>
    </row>
    <row r="1336" spans="1:25" ht="15" customHeight="1">
      <c r="A1336">
        <f>+'Libro Diario'!F756</f>
        <v>0</v>
      </c>
      <c r="B1336" s="144">
        <f>VALUE(IF(+'Libro Diario'!G756="","01/01/2025",+'Libro Diario'!G756))</f>
        <v>45658</v>
      </c>
      <c r="C1336">
        <f>IF(ISNUMBER(+IF(IFERROR(VALUE(MID('Libro Diario'!D756,1,4)),0)&lt;&gt;0,'Libro Diario'!D756,0))=FALSE,'Libro Diario'!D756,0)</f>
        <v>0</v>
      </c>
      <c r="D1336" s="145">
        <f>+'Libro Diario'!E756</f>
        <v>0</v>
      </c>
      <c r="E1336" s="139" t="s">
        <v>446</v>
      </c>
      <c r="F1336" t="str">
        <f t="shared" si="60"/>
        <v>Sin Mov.</v>
      </c>
      <c r="G1336" t="str">
        <f>IF(+'Libro Diario'!H756=0,"",+'Libro Diario'!H756)</f>
        <v/>
      </c>
      <c r="H1336" t="str">
        <f>IF(+'Libro Diario'!I756=0,"",+'Libro Diario'!I756)</f>
        <v/>
      </c>
      <c r="I1336" t="str">
        <f>+IF(Table3[[#This Row],[Tipo Movimiento]]="Estructura Balance y PyG","Excluir","Incluir")</f>
        <v>Incluir</v>
      </c>
      <c r="J1336" s="153">
        <f>+IF(Table3[[#This Row],[Sin cuenta]]="Con Mov.",(IF(Table3[[#This Row],[Movimiento]]="Debe",Table3[[#This Row],[Importe]],IF(Table3[[#This Row],[Movimiento]]="Haber",Table3[[#This Row],[Importe]]*-1,0))),0)</f>
        <v>0</v>
      </c>
      <c r="K1336" s="145" t="str">
        <f t="shared" si="61"/>
        <v/>
      </c>
      <c r="L1336" s="145">
        <f t="shared" si="62"/>
        <v>0</v>
      </c>
      <c r="M1336" t="str">
        <f>_xlfn.XLOOKUP(Table3[[#This Row],[Cuenta]],Estructura_Balance[Nombre Cuenta ()],Estructura_Balance[Grupo],"",0)</f>
        <v/>
      </c>
      <c r="N1336" t="str">
        <f>_xlfn.XLOOKUP(Table3[[#This Row],[Cuenta]],Estructura_Balance[Nombre Cuenta ()],Estructura_Balance[Nivel 1],"",0)</f>
        <v/>
      </c>
      <c r="O1336" t="str">
        <f>_xlfn.XLOOKUP(Table3[[#This Row],[Cuenta]],Estructura_Balance[Nombre Cuenta ()],Estructura_Balance[Nivel 2],"",0)</f>
        <v/>
      </c>
      <c r="P1336" t="str">
        <f>_xlfn.XLOOKUP(Table3[[#This Row],[Cuenta]],Estructura_Balance[Nombre Cuenta ()],Estructura_Balance[Nivel 3],"",0)</f>
        <v/>
      </c>
      <c r="Q1336" t="str">
        <f>_xlfn.XLOOKUP(Table3[[#This Row],[Cuenta]],Estructura_Balance[Nombre Cuenta ()],Estructura_Balance[Nivel 4],"",0)</f>
        <v/>
      </c>
      <c r="R1336" t="str">
        <f>_xlfn.XLOOKUP(Table3[[#This Row],[Cuenta]],Table8[Nombre Cuenta ()],Table8[Nivel 1],"",0)</f>
        <v/>
      </c>
      <c r="S1336" t="str">
        <f>_xlfn.XLOOKUP(Table3[[#This Row],[Cuenta]],Table8[Nombre Cuenta ()],Table8[Nivel 2],"",0)</f>
        <v/>
      </c>
      <c r="T1336" t="str">
        <f>_xlfn.XLOOKUP(Table3[[#This Row],[Cuenta]],Table8[Nombre Cuenta ()],Table8[Nivel 3],"",0)</f>
        <v/>
      </c>
      <c r="U1336">
        <v>1249</v>
      </c>
      <c r="V1336" t="str">
        <f>_xlfn.XLOOKUP(Table3[[#This Row],[Cuenta]],Estructura_Balance[Nombre Cuenta ()],Estructura_Balance[Niveles:2],"",0)</f>
        <v/>
      </c>
      <c r="W1336" t="str">
        <f>_xlfn.XLOOKUP(Table3[[#This Row],[Cuenta]],Estructura_Balance[Nombre Cuenta ()],Estructura_Balance[Niveles:3],"",0)</f>
        <v/>
      </c>
      <c r="X1336" t="str">
        <f>_xlfn.XLOOKUP(Table3[[#This Row],[Cuenta]],Estructura_Balance[Nombre Cuenta ()],Estructura_Balance[Grupos],"Grupo 1",0)</f>
        <v>Grupo 1</v>
      </c>
      <c r="Y1336" t="str">
        <f>+Table3[[#This Row],[BS_Nivel_1]]</f>
        <v/>
      </c>
    </row>
    <row r="1337" spans="1:25" ht="15" customHeight="1">
      <c r="A1337">
        <f>+'Libro Diario'!F757</f>
        <v>0</v>
      </c>
      <c r="B1337" s="144">
        <f>VALUE(IF(+'Libro Diario'!G757="","01/01/2025",+'Libro Diario'!G757))</f>
        <v>45658</v>
      </c>
      <c r="C1337">
        <f>IF(ISNUMBER(+IF(IFERROR(VALUE(MID('Libro Diario'!D757,1,4)),0)&lt;&gt;0,'Libro Diario'!D757,0))=FALSE,'Libro Diario'!D757,0)</f>
        <v>0</v>
      </c>
      <c r="D1337" s="145">
        <f>+'Libro Diario'!E757</f>
        <v>0</v>
      </c>
      <c r="E1337" s="139" t="s">
        <v>446</v>
      </c>
      <c r="F1337" t="str">
        <f t="shared" si="60"/>
        <v>Sin Mov.</v>
      </c>
      <c r="G1337" t="str">
        <f>IF(+'Libro Diario'!H757=0,"",+'Libro Diario'!H757)</f>
        <v/>
      </c>
      <c r="H1337" t="str">
        <f>IF(+'Libro Diario'!I757=0,"",+'Libro Diario'!I757)</f>
        <v/>
      </c>
      <c r="I1337" t="str">
        <f>+IF(Table3[[#This Row],[Tipo Movimiento]]="Estructura Balance y PyG","Excluir","Incluir")</f>
        <v>Incluir</v>
      </c>
      <c r="J1337" s="153">
        <f>+IF(Table3[[#This Row],[Sin cuenta]]="Con Mov.",(IF(Table3[[#This Row],[Movimiento]]="Debe",Table3[[#This Row],[Importe]],IF(Table3[[#This Row],[Movimiento]]="Haber",Table3[[#This Row],[Importe]]*-1,0))),0)</f>
        <v>0</v>
      </c>
      <c r="K1337" s="145" t="str">
        <f t="shared" si="61"/>
        <v/>
      </c>
      <c r="L1337" s="145">
        <f t="shared" si="62"/>
        <v>0</v>
      </c>
      <c r="M1337" t="str">
        <f>_xlfn.XLOOKUP(Table3[[#This Row],[Cuenta]],Estructura_Balance[Nombre Cuenta ()],Estructura_Balance[Grupo],"",0)</f>
        <v/>
      </c>
      <c r="N1337" t="str">
        <f>_xlfn.XLOOKUP(Table3[[#This Row],[Cuenta]],Estructura_Balance[Nombre Cuenta ()],Estructura_Balance[Nivel 1],"",0)</f>
        <v/>
      </c>
      <c r="O1337" t="str">
        <f>_xlfn.XLOOKUP(Table3[[#This Row],[Cuenta]],Estructura_Balance[Nombre Cuenta ()],Estructura_Balance[Nivel 2],"",0)</f>
        <v/>
      </c>
      <c r="P1337" t="str">
        <f>_xlfn.XLOOKUP(Table3[[#This Row],[Cuenta]],Estructura_Balance[Nombre Cuenta ()],Estructura_Balance[Nivel 3],"",0)</f>
        <v/>
      </c>
      <c r="Q1337" t="str">
        <f>_xlfn.XLOOKUP(Table3[[#This Row],[Cuenta]],Estructura_Balance[Nombre Cuenta ()],Estructura_Balance[Nivel 4],"",0)</f>
        <v/>
      </c>
      <c r="R1337" t="str">
        <f>_xlfn.XLOOKUP(Table3[[#This Row],[Cuenta]],Table8[Nombre Cuenta ()],Table8[Nivel 1],"",0)</f>
        <v/>
      </c>
      <c r="S1337" t="str">
        <f>_xlfn.XLOOKUP(Table3[[#This Row],[Cuenta]],Table8[Nombre Cuenta ()],Table8[Nivel 2],"",0)</f>
        <v/>
      </c>
      <c r="T1337" t="str">
        <f>_xlfn.XLOOKUP(Table3[[#This Row],[Cuenta]],Table8[Nombre Cuenta ()],Table8[Nivel 3],"",0)</f>
        <v/>
      </c>
      <c r="U1337">
        <v>257</v>
      </c>
      <c r="V1337" t="str">
        <f>_xlfn.XLOOKUP(Table3[[#This Row],[Cuenta]],Estructura_Balance[Nombre Cuenta ()],Estructura_Balance[Niveles:2],"",0)</f>
        <v/>
      </c>
      <c r="W1337" t="str">
        <f>_xlfn.XLOOKUP(Table3[[#This Row],[Cuenta]],Estructura_Balance[Nombre Cuenta ()],Estructura_Balance[Niveles:3],"",0)</f>
        <v/>
      </c>
      <c r="X1337" t="str">
        <f>_xlfn.XLOOKUP(Table3[[#This Row],[Cuenta]],Estructura_Balance[Nombre Cuenta ()],Estructura_Balance[Grupos],"Grupo 1",0)</f>
        <v>Grupo 1</v>
      </c>
      <c r="Y1337" t="str">
        <f>+Table3[[#This Row],[BS_Nivel_1]]</f>
        <v/>
      </c>
    </row>
    <row r="1338" spans="1:25" ht="15" customHeight="1">
      <c r="A1338">
        <f>+'Libro Diario'!F758</f>
        <v>0</v>
      </c>
      <c r="B1338" s="144">
        <f>VALUE(IF(+'Libro Diario'!G758="","01/01/2025",+'Libro Diario'!G758))</f>
        <v>45658</v>
      </c>
      <c r="C1338">
        <f>IF(ISNUMBER(+IF(IFERROR(VALUE(MID('Libro Diario'!D758,1,4)),0)&lt;&gt;0,'Libro Diario'!D758,0))=FALSE,'Libro Diario'!D758,0)</f>
        <v>0</v>
      </c>
      <c r="D1338" s="145">
        <f>+'Libro Diario'!E758</f>
        <v>0</v>
      </c>
      <c r="E1338" s="139" t="s">
        <v>446</v>
      </c>
      <c r="F1338" t="str">
        <f t="shared" si="60"/>
        <v>Sin Mov.</v>
      </c>
      <c r="G1338" t="str">
        <f>IF(+'Libro Diario'!H758=0,"",+'Libro Diario'!H758)</f>
        <v/>
      </c>
      <c r="H1338" t="str">
        <f>IF(+'Libro Diario'!I758=0,"",+'Libro Diario'!I758)</f>
        <v/>
      </c>
      <c r="I1338" t="str">
        <f>+IF(Table3[[#This Row],[Tipo Movimiento]]="Estructura Balance y PyG","Excluir","Incluir")</f>
        <v>Incluir</v>
      </c>
      <c r="J1338" s="153">
        <f>+IF(Table3[[#This Row],[Sin cuenta]]="Con Mov.",(IF(Table3[[#This Row],[Movimiento]]="Debe",Table3[[#This Row],[Importe]],IF(Table3[[#This Row],[Movimiento]]="Haber",Table3[[#This Row],[Importe]]*-1,0))),0)</f>
        <v>0</v>
      </c>
      <c r="K1338" s="145" t="str">
        <f t="shared" si="61"/>
        <v/>
      </c>
      <c r="L1338" s="145">
        <f t="shared" si="62"/>
        <v>0</v>
      </c>
      <c r="M1338" t="str">
        <f>_xlfn.XLOOKUP(Table3[[#This Row],[Cuenta]],Estructura_Balance[Nombre Cuenta ()],Estructura_Balance[Grupo],"",0)</f>
        <v/>
      </c>
      <c r="N1338" t="str">
        <f>_xlfn.XLOOKUP(Table3[[#This Row],[Cuenta]],Estructura_Balance[Nombre Cuenta ()],Estructura_Balance[Nivel 1],"",0)</f>
        <v/>
      </c>
      <c r="O1338" t="str">
        <f>_xlfn.XLOOKUP(Table3[[#This Row],[Cuenta]],Estructura_Balance[Nombre Cuenta ()],Estructura_Balance[Nivel 2],"",0)</f>
        <v/>
      </c>
      <c r="P1338" t="str">
        <f>_xlfn.XLOOKUP(Table3[[#This Row],[Cuenta]],Estructura_Balance[Nombre Cuenta ()],Estructura_Balance[Nivel 3],"",0)</f>
        <v/>
      </c>
      <c r="Q1338" t="str">
        <f>_xlfn.XLOOKUP(Table3[[#This Row],[Cuenta]],Estructura_Balance[Nombre Cuenta ()],Estructura_Balance[Nivel 4],"",0)</f>
        <v/>
      </c>
      <c r="R1338" t="str">
        <f>_xlfn.XLOOKUP(Table3[[#This Row],[Cuenta]],Table8[Nombre Cuenta ()],Table8[Nivel 1],"",0)</f>
        <v/>
      </c>
      <c r="S1338" t="str">
        <f>_xlfn.XLOOKUP(Table3[[#This Row],[Cuenta]],Table8[Nombre Cuenta ()],Table8[Nivel 2],"",0)</f>
        <v/>
      </c>
      <c r="T1338" t="str">
        <f>_xlfn.XLOOKUP(Table3[[#This Row],[Cuenta]],Table8[Nombre Cuenta ()],Table8[Nivel 3],"",0)</f>
        <v/>
      </c>
      <c r="U1338">
        <v>258</v>
      </c>
      <c r="V1338" t="str">
        <f>_xlfn.XLOOKUP(Table3[[#This Row],[Cuenta]],Estructura_Balance[Nombre Cuenta ()],Estructura_Balance[Niveles:2],"",0)</f>
        <v/>
      </c>
      <c r="W1338" t="str">
        <f>_xlfn.XLOOKUP(Table3[[#This Row],[Cuenta]],Estructura_Balance[Nombre Cuenta ()],Estructura_Balance[Niveles:3],"",0)</f>
        <v/>
      </c>
      <c r="X1338" t="str">
        <f>_xlfn.XLOOKUP(Table3[[#This Row],[Cuenta]],Estructura_Balance[Nombre Cuenta ()],Estructura_Balance[Grupos],"Grupo 1",0)</f>
        <v>Grupo 1</v>
      </c>
      <c r="Y1338" t="str">
        <f>+Table3[[#This Row],[BS_Nivel_1]]</f>
        <v/>
      </c>
    </row>
    <row r="1339" spans="1:25" ht="15" customHeight="1">
      <c r="A1339">
        <f>+'Libro Diario'!F759</f>
        <v>0</v>
      </c>
      <c r="B1339" s="144">
        <f>VALUE(IF(+'Libro Diario'!G759="","01/01/2025",+'Libro Diario'!G759))</f>
        <v>45658</v>
      </c>
      <c r="C1339">
        <f>IF(ISNUMBER(+IF(IFERROR(VALUE(MID('Libro Diario'!D759,1,4)),0)&lt;&gt;0,'Libro Diario'!D759,0))=FALSE,'Libro Diario'!D759,0)</f>
        <v>0</v>
      </c>
      <c r="D1339" s="145">
        <f>+'Libro Diario'!E759</f>
        <v>0</v>
      </c>
      <c r="E1339" s="139" t="s">
        <v>446</v>
      </c>
      <c r="F1339" t="str">
        <f t="shared" si="60"/>
        <v>Sin Mov.</v>
      </c>
      <c r="G1339" t="str">
        <f>IF(+'Libro Diario'!H759=0,"",+'Libro Diario'!H759)</f>
        <v/>
      </c>
      <c r="H1339" t="str">
        <f>IF(+'Libro Diario'!I759=0,"",+'Libro Diario'!I759)</f>
        <v/>
      </c>
      <c r="I1339" t="str">
        <f>+IF(Table3[[#This Row],[Tipo Movimiento]]="Estructura Balance y PyG","Excluir","Incluir")</f>
        <v>Incluir</v>
      </c>
      <c r="J1339" s="153">
        <f>+IF(Table3[[#This Row],[Sin cuenta]]="Con Mov.",(IF(Table3[[#This Row],[Movimiento]]="Debe",Table3[[#This Row],[Importe]],IF(Table3[[#This Row],[Movimiento]]="Haber",Table3[[#This Row],[Importe]]*-1,0))),0)</f>
        <v>0</v>
      </c>
      <c r="K1339" s="145" t="str">
        <f t="shared" si="61"/>
        <v/>
      </c>
      <c r="L1339" s="145">
        <f t="shared" si="62"/>
        <v>0</v>
      </c>
      <c r="M1339" t="str">
        <f>_xlfn.XLOOKUP(Table3[[#This Row],[Cuenta]],Estructura_Balance[Nombre Cuenta ()],Estructura_Balance[Grupo],"",0)</f>
        <v/>
      </c>
      <c r="N1339" t="str">
        <f>_xlfn.XLOOKUP(Table3[[#This Row],[Cuenta]],Estructura_Balance[Nombre Cuenta ()],Estructura_Balance[Nivel 1],"",0)</f>
        <v/>
      </c>
      <c r="O1339" t="str">
        <f>_xlfn.XLOOKUP(Table3[[#This Row],[Cuenta]],Estructura_Balance[Nombre Cuenta ()],Estructura_Balance[Nivel 2],"",0)</f>
        <v/>
      </c>
      <c r="P1339" t="str">
        <f>_xlfn.XLOOKUP(Table3[[#This Row],[Cuenta]],Estructura_Balance[Nombre Cuenta ()],Estructura_Balance[Nivel 3],"",0)</f>
        <v/>
      </c>
      <c r="Q1339" t="str">
        <f>_xlfn.XLOOKUP(Table3[[#This Row],[Cuenta]],Estructura_Balance[Nombre Cuenta ()],Estructura_Balance[Nivel 4],"",0)</f>
        <v/>
      </c>
      <c r="R1339" t="str">
        <f>_xlfn.XLOOKUP(Table3[[#This Row],[Cuenta]],Table8[Nombre Cuenta ()],Table8[Nivel 1],"",0)</f>
        <v/>
      </c>
      <c r="S1339" t="str">
        <f>_xlfn.XLOOKUP(Table3[[#This Row],[Cuenta]],Table8[Nombre Cuenta ()],Table8[Nivel 2],"",0)</f>
        <v/>
      </c>
      <c r="T1339" t="str">
        <f>_xlfn.XLOOKUP(Table3[[#This Row],[Cuenta]],Table8[Nombre Cuenta ()],Table8[Nivel 3],"",0)</f>
        <v/>
      </c>
      <c r="U1339">
        <v>1255</v>
      </c>
      <c r="V1339" t="str">
        <f>_xlfn.XLOOKUP(Table3[[#This Row],[Cuenta]],Estructura_Balance[Nombre Cuenta ()],Estructura_Balance[Niveles:2],"",0)</f>
        <v/>
      </c>
      <c r="W1339" t="str">
        <f>_xlfn.XLOOKUP(Table3[[#This Row],[Cuenta]],Estructura_Balance[Nombre Cuenta ()],Estructura_Balance[Niveles:3],"",0)</f>
        <v/>
      </c>
      <c r="X1339" t="str">
        <f>_xlfn.XLOOKUP(Table3[[#This Row],[Cuenta]],Estructura_Balance[Nombre Cuenta ()],Estructura_Balance[Grupos],"Grupo 1",0)</f>
        <v>Grupo 1</v>
      </c>
      <c r="Y1339" t="str">
        <f>+Table3[[#This Row],[BS_Nivel_1]]</f>
        <v/>
      </c>
    </row>
    <row r="1340" spans="1:25" ht="15" customHeight="1">
      <c r="A1340">
        <f>+'Libro Diario'!F760</f>
        <v>0</v>
      </c>
      <c r="B1340" s="144">
        <f>VALUE(IF(+'Libro Diario'!G760="","01/01/2025",+'Libro Diario'!G760))</f>
        <v>45658</v>
      </c>
      <c r="C1340">
        <f>IF(ISNUMBER(+IF(IFERROR(VALUE(MID('Libro Diario'!D760,1,4)),0)&lt;&gt;0,'Libro Diario'!D760,0))=FALSE,'Libro Diario'!D760,0)</f>
        <v>0</v>
      </c>
      <c r="D1340" s="145">
        <f>+'Libro Diario'!E760</f>
        <v>0</v>
      </c>
      <c r="E1340" s="139" t="s">
        <v>446</v>
      </c>
      <c r="F1340" t="str">
        <f t="shared" si="60"/>
        <v>Sin Mov.</v>
      </c>
      <c r="G1340" t="str">
        <f>IF(+'Libro Diario'!H760=0,"",+'Libro Diario'!H760)</f>
        <v/>
      </c>
      <c r="H1340" t="str">
        <f>IF(+'Libro Diario'!I760=0,"",+'Libro Diario'!I760)</f>
        <v/>
      </c>
      <c r="I1340" t="str">
        <f>+IF(Table3[[#This Row],[Tipo Movimiento]]="Estructura Balance y PyG","Excluir","Incluir")</f>
        <v>Incluir</v>
      </c>
      <c r="J1340" s="153">
        <f>+IF(Table3[[#This Row],[Sin cuenta]]="Con Mov.",(IF(Table3[[#This Row],[Movimiento]]="Debe",Table3[[#This Row],[Importe]],IF(Table3[[#This Row],[Movimiento]]="Haber",Table3[[#This Row],[Importe]]*-1,0))),0)</f>
        <v>0</v>
      </c>
      <c r="K1340" s="145" t="str">
        <f t="shared" si="61"/>
        <v/>
      </c>
      <c r="L1340" s="145">
        <f t="shared" si="62"/>
        <v>0</v>
      </c>
      <c r="M1340" t="str">
        <f>_xlfn.XLOOKUP(Table3[[#This Row],[Cuenta]],Estructura_Balance[Nombre Cuenta ()],Estructura_Balance[Grupo],"",0)</f>
        <v/>
      </c>
      <c r="N1340" t="str">
        <f>_xlfn.XLOOKUP(Table3[[#This Row],[Cuenta]],Estructura_Balance[Nombre Cuenta ()],Estructura_Balance[Nivel 1],"",0)</f>
        <v/>
      </c>
      <c r="O1340" t="str">
        <f>_xlfn.XLOOKUP(Table3[[#This Row],[Cuenta]],Estructura_Balance[Nombre Cuenta ()],Estructura_Balance[Nivel 2],"",0)</f>
        <v/>
      </c>
      <c r="P1340" t="str">
        <f>_xlfn.XLOOKUP(Table3[[#This Row],[Cuenta]],Estructura_Balance[Nombre Cuenta ()],Estructura_Balance[Nivel 3],"",0)</f>
        <v/>
      </c>
      <c r="Q1340" t="str">
        <f>_xlfn.XLOOKUP(Table3[[#This Row],[Cuenta]],Estructura_Balance[Nombre Cuenta ()],Estructura_Balance[Nivel 4],"",0)</f>
        <v/>
      </c>
      <c r="R1340" t="str">
        <f>_xlfn.XLOOKUP(Table3[[#This Row],[Cuenta]],Table8[Nombre Cuenta ()],Table8[Nivel 1],"",0)</f>
        <v/>
      </c>
      <c r="S1340" t="str">
        <f>_xlfn.XLOOKUP(Table3[[#This Row],[Cuenta]],Table8[Nombre Cuenta ()],Table8[Nivel 2],"",0)</f>
        <v/>
      </c>
      <c r="T1340" t="str">
        <f>_xlfn.XLOOKUP(Table3[[#This Row],[Cuenta]],Table8[Nombre Cuenta ()],Table8[Nivel 3],"",0)</f>
        <v/>
      </c>
      <c r="U1340">
        <v>1256</v>
      </c>
      <c r="V1340" t="str">
        <f>_xlfn.XLOOKUP(Table3[[#This Row],[Cuenta]],Estructura_Balance[Nombre Cuenta ()],Estructura_Balance[Niveles:2],"",0)</f>
        <v/>
      </c>
      <c r="W1340" t="str">
        <f>_xlfn.XLOOKUP(Table3[[#This Row],[Cuenta]],Estructura_Balance[Nombre Cuenta ()],Estructura_Balance[Niveles:3],"",0)</f>
        <v/>
      </c>
      <c r="X1340" t="str">
        <f>_xlfn.XLOOKUP(Table3[[#This Row],[Cuenta]],Estructura_Balance[Nombre Cuenta ()],Estructura_Balance[Grupos],"Grupo 1",0)</f>
        <v>Grupo 1</v>
      </c>
      <c r="Y1340" t="str">
        <f>+Table3[[#This Row],[BS_Nivel_1]]</f>
        <v/>
      </c>
    </row>
    <row r="1341" spans="1:25" ht="15" customHeight="1">
      <c r="A1341">
        <f>+'Libro Diario'!F761</f>
        <v>0</v>
      </c>
      <c r="B1341" s="144">
        <f>VALUE(IF(+'Libro Diario'!G761="","01/01/2025",+'Libro Diario'!G761))</f>
        <v>45658</v>
      </c>
      <c r="C1341">
        <f>IF(ISNUMBER(+IF(IFERROR(VALUE(MID('Libro Diario'!D761,1,4)),0)&lt;&gt;0,'Libro Diario'!D761,0))=FALSE,'Libro Diario'!D761,0)</f>
        <v>0</v>
      </c>
      <c r="D1341" s="145">
        <f>+'Libro Diario'!E761</f>
        <v>0</v>
      </c>
      <c r="E1341" s="139" t="s">
        <v>446</v>
      </c>
      <c r="F1341" t="str">
        <f t="shared" si="60"/>
        <v>Sin Mov.</v>
      </c>
      <c r="G1341" t="str">
        <f>IF(+'Libro Diario'!H761=0,"",+'Libro Diario'!H761)</f>
        <v/>
      </c>
      <c r="H1341" t="str">
        <f>IF(+'Libro Diario'!I761=0,"",+'Libro Diario'!I761)</f>
        <v/>
      </c>
      <c r="I1341" t="str">
        <f>+IF(Table3[[#This Row],[Tipo Movimiento]]="Estructura Balance y PyG","Excluir","Incluir")</f>
        <v>Incluir</v>
      </c>
      <c r="J1341" s="153">
        <f>+IF(Table3[[#This Row],[Sin cuenta]]="Con Mov.",(IF(Table3[[#This Row],[Movimiento]]="Debe",Table3[[#This Row],[Importe]],IF(Table3[[#This Row],[Movimiento]]="Haber",Table3[[#This Row],[Importe]]*-1,0))),0)</f>
        <v>0</v>
      </c>
      <c r="K1341" s="145" t="str">
        <f t="shared" si="61"/>
        <v/>
      </c>
      <c r="L1341" s="145">
        <f t="shared" si="62"/>
        <v>0</v>
      </c>
      <c r="M1341" t="str">
        <f>_xlfn.XLOOKUP(Table3[[#This Row],[Cuenta]],Estructura_Balance[Nombre Cuenta ()],Estructura_Balance[Grupo],"",0)</f>
        <v/>
      </c>
      <c r="N1341" t="str">
        <f>_xlfn.XLOOKUP(Table3[[#This Row],[Cuenta]],Estructura_Balance[Nombre Cuenta ()],Estructura_Balance[Nivel 1],"",0)</f>
        <v/>
      </c>
      <c r="O1341" t="str">
        <f>_xlfn.XLOOKUP(Table3[[#This Row],[Cuenta]],Estructura_Balance[Nombre Cuenta ()],Estructura_Balance[Nivel 2],"",0)</f>
        <v/>
      </c>
      <c r="P1341" t="str">
        <f>_xlfn.XLOOKUP(Table3[[#This Row],[Cuenta]],Estructura_Balance[Nombre Cuenta ()],Estructura_Balance[Nivel 3],"",0)</f>
        <v/>
      </c>
      <c r="Q1341" t="str">
        <f>_xlfn.XLOOKUP(Table3[[#This Row],[Cuenta]],Estructura_Balance[Nombre Cuenta ()],Estructura_Balance[Nivel 4],"",0)</f>
        <v/>
      </c>
      <c r="R1341" t="str">
        <f>_xlfn.XLOOKUP(Table3[[#This Row],[Cuenta]],Table8[Nombre Cuenta ()],Table8[Nivel 1],"",0)</f>
        <v/>
      </c>
      <c r="S1341" t="str">
        <f>_xlfn.XLOOKUP(Table3[[#This Row],[Cuenta]],Table8[Nombre Cuenta ()],Table8[Nivel 2],"",0)</f>
        <v/>
      </c>
      <c r="T1341" t="str">
        <f>_xlfn.XLOOKUP(Table3[[#This Row],[Cuenta]],Table8[Nombre Cuenta ()],Table8[Nivel 3],"",0)</f>
        <v/>
      </c>
      <c r="U1341">
        <v>264</v>
      </c>
      <c r="V1341" t="str">
        <f>_xlfn.XLOOKUP(Table3[[#This Row],[Cuenta]],Estructura_Balance[Nombre Cuenta ()],Estructura_Balance[Niveles:2],"",0)</f>
        <v/>
      </c>
      <c r="W1341" t="str">
        <f>_xlfn.XLOOKUP(Table3[[#This Row],[Cuenta]],Estructura_Balance[Nombre Cuenta ()],Estructura_Balance[Niveles:3],"",0)</f>
        <v/>
      </c>
      <c r="X1341" t="str">
        <f>_xlfn.XLOOKUP(Table3[[#This Row],[Cuenta]],Estructura_Balance[Nombre Cuenta ()],Estructura_Balance[Grupos],"Grupo 1",0)</f>
        <v>Grupo 1</v>
      </c>
      <c r="Y1341" t="str">
        <f>+Table3[[#This Row],[BS_Nivel_1]]</f>
        <v/>
      </c>
    </row>
    <row r="1342" spans="1:25" ht="15" customHeight="1">
      <c r="A1342">
        <f>+'Libro Diario'!F762</f>
        <v>0</v>
      </c>
      <c r="B1342" s="144">
        <f>VALUE(IF(+'Libro Diario'!G762="","01/01/2025",+'Libro Diario'!G762))</f>
        <v>45658</v>
      </c>
      <c r="C1342">
        <f>IF(ISNUMBER(+IF(IFERROR(VALUE(MID('Libro Diario'!D762,1,4)),0)&lt;&gt;0,'Libro Diario'!D762,0))=FALSE,'Libro Diario'!D762,0)</f>
        <v>0</v>
      </c>
      <c r="D1342" s="145">
        <f>+'Libro Diario'!E762</f>
        <v>0</v>
      </c>
      <c r="E1342" s="139" t="s">
        <v>446</v>
      </c>
      <c r="F1342" t="str">
        <f t="shared" si="60"/>
        <v>Sin Mov.</v>
      </c>
      <c r="G1342" t="str">
        <f>IF(+'Libro Diario'!H762=0,"",+'Libro Diario'!H762)</f>
        <v/>
      </c>
      <c r="H1342" t="str">
        <f>IF(+'Libro Diario'!I762=0,"",+'Libro Diario'!I762)</f>
        <v/>
      </c>
      <c r="I1342" t="str">
        <f>+IF(Table3[[#This Row],[Tipo Movimiento]]="Estructura Balance y PyG","Excluir","Incluir")</f>
        <v>Incluir</v>
      </c>
      <c r="J1342" s="153">
        <f>+IF(Table3[[#This Row],[Sin cuenta]]="Con Mov.",(IF(Table3[[#This Row],[Movimiento]]="Debe",Table3[[#This Row],[Importe]],IF(Table3[[#This Row],[Movimiento]]="Haber",Table3[[#This Row],[Importe]]*-1,0))),0)</f>
        <v>0</v>
      </c>
      <c r="K1342" s="145" t="str">
        <f t="shared" si="61"/>
        <v/>
      </c>
      <c r="L1342" s="145">
        <f t="shared" si="62"/>
        <v>0</v>
      </c>
      <c r="M1342" t="str">
        <f>_xlfn.XLOOKUP(Table3[[#This Row],[Cuenta]],Estructura_Balance[Nombre Cuenta ()],Estructura_Balance[Grupo],"",0)</f>
        <v/>
      </c>
      <c r="N1342" t="str">
        <f>_xlfn.XLOOKUP(Table3[[#This Row],[Cuenta]],Estructura_Balance[Nombre Cuenta ()],Estructura_Balance[Nivel 1],"",0)</f>
        <v/>
      </c>
      <c r="O1342" t="str">
        <f>_xlfn.XLOOKUP(Table3[[#This Row],[Cuenta]],Estructura_Balance[Nombre Cuenta ()],Estructura_Balance[Nivel 2],"",0)</f>
        <v/>
      </c>
      <c r="P1342" t="str">
        <f>_xlfn.XLOOKUP(Table3[[#This Row],[Cuenta]],Estructura_Balance[Nombre Cuenta ()],Estructura_Balance[Nivel 3],"",0)</f>
        <v/>
      </c>
      <c r="Q1342" t="str">
        <f>_xlfn.XLOOKUP(Table3[[#This Row],[Cuenta]],Estructura_Balance[Nombre Cuenta ()],Estructura_Balance[Nivel 4],"",0)</f>
        <v/>
      </c>
      <c r="R1342" t="str">
        <f>_xlfn.XLOOKUP(Table3[[#This Row],[Cuenta]],Table8[Nombre Cuenta ()],Table8[Nivel 1],"",0)</f>
        <v/>
      </c>
      <c r="S1342" t="str">
        <f>_xlfn.XLOOKUP(Table3[[#This Row],[Cuenta]],Table8[Nombre Cuenta ()],Table8[Nivel 2],"",0)</f>
        <v/>
      </c>
      <c r="T1342" t="str">
        <f>_xlfn.XLOOKUP(Table3[[#This Row],[Cuenta]],Table8[Nombre Cuenta ()],Table8[Nivel 3],"",0)</f>
        <v/>
      </c>
      <c r="U1342">
        <v>265</v>
      </c>
      <c r="V1342" t="str">
        <f>_xlfn.XLOOKUP(Table3[[#This Row],[Cuenta]],Estructura_Balance[Nombre Cuenta ()],Estructura_Balance[Niveles:2],"",0)</f>
        <v/>
      </c>
      <c r="W1342" t="str">
        <f>_xlfn.XLOOKUP(Table3[[#This Row],[Cuenta]],Estructura_Balance[Nombre Cuenta ()],Estructura_Balance[Niveles:3],"",0)</f>
        <v/>
      </c>
      <c r="X1342" t="str">
        <f>_xlfn.XLOOKUP(Table3[[#This Row],[Cuenta]],Estructura_Balance[Nombre Cuenta ()],Estructura_Balance[Grupos],"Grupo 1",0)</f>
        <v>Grupo 1</v>
      </c>
      <c r="Y1342" t="str">
        <f>+Table3[[#This Row],[BS_Nivel_1]]</f>
        <v/>
      </c>
    </row>
    <row r="1343" spans="1:25" ht="15" customHeight="1">
      <c r="A1343">
        <f>+'Libro Diario'!F763</f>
        <v>0</v>
      </c>
      <c r="B1343" s="144">
        <f>VALUE(IF(+'Libro Diario'!G763="","01/01/2025",+'Libro Diario'!G763))</f>
        <v>45658</v>
      </c>
      <c r="C1343">
        <f>IF(ISNUMBER(+IF(IFERROR(VALUE(MID('Libro Diario'!D763,1,4)),0)&lt;&gt;0,'Libro Diario'!D763,0))=FALSE,'Libro Diario'!D763,0)</f>
        <v>0</v>
      </c>
      <c r="D1343" s="145">
        <f>+'Libro Diario'!E763</f>
        <v>0</v>
      </c>
      <c r="E1343" s="139" t="s">
        <v>446</v>
      </c>
      <c r="F1343" t="str">
        <f t="shared" si="60"/>
        <v>Sin Mov.</v>
      </c>
      <c r="G1343" t="str">
        <f>IF(+'Libro Diario'!H763=0,"",+'Libro Diario'!H763)</f>
        <v/>
      </c>
      <c r="H1343" t="str">
        <f>IF(+'Libro Diario'!I763=0,"",+'Libro Diario'!I763)</f>
        <v/>
      </c>
      <c r="I1343" t="str">
        <f>+IF(Table3[[#This Row],[Tipo Movimiento]]="Estructura Balance y PyG","Excluir","Incluir")</f>
        <v>Incluir</v>
      </c>
      <c r="J1343" s="153">
        <f>+IF(Table3[[#This Row],[Sin cuenta]]="Con Mov.",(IF(Table3[[#This Row],[Movimiento]]="Debe",Table3[[#This Row],[Importe]],IF(Table3[[#This Row],[Movimiento]]="Haber",Table3[[#This Row],[Importe]]*-1,0))),0)</f>
        <v>0</v>
      </c>
      <c r="K1343" s="145" t="str">
        <f t="shared" si="61"/>
        <v/>
      </c>
      <c r="L1343" s="145">
        <f t="shared" si="62"/>
        <v>0</v>
      </c>
      <c r="M1343" t="str">
        <f>_xlfn.XLOOKUP(Table3[[#This Row],[Cuenta]],Estructura_Balance[Nombre Cuenta ()],Estructura_Balance[Grupo],"",0)</f>
        <v/>
      </c>
      <c r="N1343" t="str">
        <f>_xlfn.XLOOKUP(Table3[[#This Row],[Cuenta]],Estructura_Balance[Nombre Cuenta ()],Estructura_Balance[Nivel 1],"",0)</f>
        <v/>
      </c>
      <c r="O1343" t="str">
        <f>_xlfn.XLOOKUP(Table3[[#This Row],[Cuenta]],Estructura_Balance[Nombre Cuenta ()],Estructura_Balance[Nivel 2],"",0)</f>
        <v/>
      </c>
      <c r="P1343" t="str">
        <f>_xlfn.XLOOKUP(Table3[[#This Row],[Cuenta]],Estructura_Balance[Nombre Cuenta ()],Estructura_Balance[Nivel 3],"",0)</f>
        <v/>
      </c>
      <c r="Q1343" t="str">
        <f>_xlfn.XLOOKUP(Table3[[#This Row],[Cuenta]],Estructura_Balance[Nombre Cuenta ()],Estructura_Balance[Nivel 4],"",0)</f>
        <v/>
      </c>
      <c r="R1343" t="str">
        <f>_xlfn.XLOOKUP(Table3[[#This Row],[Cuenta]],Table8[Nombre Cuenta ()],Table8[Nivel 1],"",0)</f>
        <v/>
      </c>
      <c r="S1343" t="str">
        <f>_xlfn.XLOOKUP(Table3[[#This Row],[Cuenta]],Table8[Nombre Cuenta ()],Table8[Nivel 2],"",0)</f>
        <v/>
      </c>
      <c r="T1343" t="str">
        <f>_xlfn.XLOOKUP(Table3[[#This Row],[Cuenta]],Table8[Nombre Cuenta ()],Table8[Nivel 3],"",0)</f>
        <v/>
      </c>
      <c r="U1343">
        <v>1262</v>
      </c>
      <c r="V1343" t="str">
        <f>_xlfn.XLOOKUP(Table3[[#This Row],[Cuenta]],Estructura_Balance[Nombre Cuenta ()],Estructura_Balance[Niveles:2],"",0)</f>
        <v/>
      </c>
      <c r="W1343" t="str">
        <f>_xlfn.XLOOKUP(Table3[[#This Row],[Cuenta]],Estructura_Balance[Nombre Cuenta ()],Estructura_Balance[Niveles:3],"",0)</f>
        <v/>
      </c>
      <c r="X1343" t="str">
        <f>_xlfn.XLOOKUP(Table3[[#This Row],[Cuenta]],Estructura_Balance[Nombre Cuenta ()],Estructura_Balance[Grupos],"Grupo 1",0)</f>
        <v>Grupo 1</v>
      </c>
      <c r="Y1343" t="str">
        <f>+Table3[[#This Row],[BS_Nivel_1]]</f>
        <v/>
      </c>
    </row>
    <row r="1344" spans="1:25" ht="15" customHeight="1">
      <c r="A1344">
        <f>+'Libro Diario'!F764</f>
        <v>0</v>
      </c>
      <c r="B1344" s="144">
        <f>VALUE(IF(+'Libro Diario'!G764="","01/01/2025",+'Libro Diario'!G764))</f>
        <v>45658</v>
      </c>
      <c r="C1344">
        <f>IF(ISNUMBER(+IF(IFERROR(VALUE(MID('Libro Diario'!D764,1,4)),0)&lt;&gt;0,'Libro Diario'!D764,0))=FALSE,'Libro Diario'!D764,0)</f>
        <v>0</v>
      </c>
      <c r="D1344" s="145">
        <f>+'Libro Diario'!E764</f>
        <v>0</v>
      </c>
      <c r="E1344" s="139" t="s">
        <v>446</v>
      </c>
      <c r="F1344" t="str">
        <f t="shared" si="60"/>
        <v>Sin Mov.</v>
      </c>
      <c r="G1344" t="str">
        <f>IF(+'Libro Diario'!H764=0,"",+'Libro Diario'!H764)</f>
        <v/>
      </c>
      <c r="H1344" t="str">
        <f>IF(+'Libro Diario'!I764=0,"",+'Libro Diario'!I764)</f>
        <v/>
      </c>
      <c r="I1344" t="str">
        <f>+IF(Table3[[#This Row],[Tipo Movimiento]]="Estructura Balance y PyG","Excluir","Incluir")</f>
        <v>Incluir</v>
      </c>
      <c r="J1344" s="153">
        <f>+IF(Table3[[#This Row],[Sin cuenta]]="Con Mov.",(IF(Table3[[#This Row],[Movimiento]]="Debe",Table3[[#This Row],[Importe]],IF(Table3[[#This Row],[Movimiento]]="Haber",Table3[[#This Row],[Importe]]*-1,0))),0)</f>
        <v>0</v>
      </c>
      <c r="K1344" s="145" t="str">
        <f t="shared" si="61"/>
        <v/>
      </c>
      <c r="L1344" s="145">
        <f t="shared" si="62"/>
        <v>0</v>
      </c>
      <c r="M1344" t="str">
        <f>_xlfn.XLOOKUP(Table3[[#This Row],[Cuenta]],Estructura_Balance[Nombre Cuenta ()],Estructura_Balance[Grupo],"",0)</f>
        <v/>
      </c>
      <c r="N1344" t="str">
        <f>_xlfn.XLOOKUP(Table3[[#This Row],[Cuenta]],Estructura_Balance[Nombre Cuenta ()],Estructura_Balance[Nivel 1],"",0)</f>
        <v/>
      </c>
      <c r="O1344" t="str">
        <f>_xlfn.XLOOKUP(Table3[[#This Row],[Cuenta]],Estructura_Balance[Nombre Cuenta ()],Estructura_Balance[Nivel 2],"",0)</f>
        <v/>
      </c>
      <c r="P1344" t="str">
        <f>_xlfn.XLOOKUP(Table3[[#This Row],[Cuenta]],Estructura_Balance[Nombre Cuenta ()],Estructura_Balance[Nivel 3],"",0)</f>
        <v/>
      </c>
      <c r="Q1344" t="str">
        <f>_xlfn.XLOOKUP(Table3[[#This Row],[Cuenta]],Estructura_Balance[Nombre Cuenta ()],Estructura_Balance[Nivel 4],"",0)</f>
        <v/>
      </c>
      <c r="R1344" t="str">
        <f>_xlfn.XLOOKUP(Table3[[#This Row],[Cuenta]],Table8[Nombre Cuenta ()],Table8[Nivel 1],"",0)</f>
        <v/>
      </c>
      <c r="S1344" t="str">
        <f>_xlfn.XLOOKUP(Table3[[#This Row],[Cuenta]],Table8[Nombre Cuenta ()],Table8[Nivel 2],"",0)</f>
        <v/>
      </c>
      <c r="T1344" t="str">
        <f>_xlfn.XLOOKUP(Table3[[#This Row],[Cuenta]],Table8[Nombre Cuenta ()],Table8[Nivel 3],"",0)</f>
        <v/>
      </c>
      <c r="U1344">
        <v>1263</v>
      </c>
      <c r="V1344" t="str">
        <f>_xlfn.XLOOKUP(Table3[[#This Row],[Cuenta]],Estructura_Balance[Nombre Cuenta ()],Estructura_Balance[Niveles:2],"",0)</f>
        <v/>
      </c>
      <c r="W1344" t="str">
        <f>_xlfn.XLOOKUP(Table3[[#This Row],[Cuenta]],Estructura_Balance[Nombre Cuenta ()],Estructura_Balance[Niveles:3],"",0)</f>
        <v/>
      </c>
      <c r="X1344" t="str">
        <f>_xlfn.XLOOKUP(Table3[[#This Row],[Cuenta]],Estructura_Balance[Nombre Cuenta ()],Estructura_Balance[Grupos],"Grupo 1",0)</f>
        <v>Grupo 1</v>
      </c>
      <c r="Y1344" t="str">
        <f>+Table3[[#This Row],[BS_Nivel_1]]</f>
        <v/>
      </c>
    </row>
    <row r="1345" spans="1:25" ht="15" customHeight="1">
      <c r="A1345">
        <f>+'Libro Diario'!F765</f>
        <v>0</v>
      </c>
      <c r="B1345" s="144">
        <f>VALUE(IF(+'Libro Diario'!G765="","01/01/2025",+'Libro Diario'!G765))</f>
        <v>45658</v>
      </c>
      <c r="C1345">
        <f>IF(ISNUMBER(+IF(IFERROR(VALUE(MID('Libro Diario'!D765,1,4)),0)&lt;&gt;0,'Libro Diario'!D765,0))=FALSE,'Libro Diario'!D765,0)</f>
        <v>0</v>
      </c>
      <c r="D1345" s="145">
        <f>+'Libro Diario'!E765</f>
        <v>0</v>
      </c>
      <c r="E1345" s="139" t="s">
        <v>446</v>
      </c>
      <c r="F1345" t="str">
        <f t="shared" si="60"/>
        <v>Sin Mov.</v>
      </c>
      <c r="G1345" t="str">
        <f>IF(+'Libro Diario'!H765=0,"",+'Libro Diario'!H765)</f>
        <v/>
      </c>
      <c r="H1345" t="str">
        <f>IF(+'Libro Diario'!I765=0,"",+'Libro Diario'!I765)</f>
        <v/>
      </c>
      <c r="I1345" t="str">
        <f>+IF(Table3[[#This Row],[Tipo Movimiento]]="Estructura Balance y PyG","Excluir","Incluir")</f>
        <v>Incluir</v>
      </c>
      <c r="J1345" s="153">
        <f>+IF(Table3[[#This Row],[Sin cuenta]]="Con Mov.",(IF(Table3[[#This Row],[Movimiento]]="Debe",Table3[[#This Row],[Importe]],IF(Table3[[#This Row],[Movimiento]]="Haber",Table3[[#This Row],[Importe]]*-1,0))),0)</f>
        <v>0</v>
      </c>
      <c r="K1345" s="145" t="str">
        <f t="shared" si="61"/>
        <v/>
      </c>
      <c r="L1345" s="145">
        <f t="shared" si="62"/>
        <v>0</v>
      </c>
      <c r="M1345" t="str">
        <f>_xlfn.XLOOKUP(Table3[[#This Row],[Cuenta]],Estructura_Balance[Nombre Cuenta ()],Estructura_Balance[Grupo],"",0)</f>
        <v/>
      </c>
      <c r="N1345" t="str">
        <f>_xlfn.XLOOKUP(Table3[[#This Row],[Cuenta]],Estructura_Balance[Nombre Cuenta ()],Estructura_Balance[Nivel 1],"",0)</f>
        <v/>
      </c>
      <c r="O1345" t="str">
        <f>_xlfn.XLOOKUP(Table3[[#This Row],[Cuenta]],Estructura_Balance[Nombre Cuenta ()],Estructura_Balance[Nivel 2],"",0)</f>
        <v/>
      </c>
      <c r="P1345" t="str">
        <f>_xlfn.XLOOKUP(Table3[[#This Row],[Cuenta]],Estructura_Balance[Nombre Cuenta ()],Estructura_Balance[Nivel 3],"",0)</f>
        <v/>
      </c>
      <c r="Q1345" t="str">
        <f>_xlfn.XLOOKUP(Table3[[#This Row],[Cuenta]],Estructura_Balance[Nombre Cuenta ()],Estructura_Balance[Nivel 4],"",0)</f>
        <v/>
      </c>
      <c r="R1345" t="str">
        <f>_xlfn.XLOOKUP(Table3[[#This Row],[Cuenta]],Table8[Nombre Cuenta ()],Table8[Nivel 1],"",0)</f>
        <v/>
      </c>
      <c r="S1345" t="str">
        <f>_xlfn.XLOOKUP(Table3[[#This Row],[Cuenta]],Table8[Nombre Cuenta ()],Table8[Nivel 2],"",0)</f>
        <v/>
      </c>
      <c r="T1345" t="str">
        <f>_xlfn.XLOOKUP(Table3[[#This Row],[Cuenta]],Table8[Nombre Cuenta ()],Table8[Nivel 3],"",0)</f>
        <v/>
      </c>
      <c r="U1345">
        <v>271</v>
      </c>
      <c r="V1345" t="str">
        <f>_xlfn.XLOOKUP(Table3[[#This Row],[Cuenta]],Estructura_Balance[Nombre Cuenta ()],Estructura_Balance[Niveles:2],"",0)</f>
        <v/>
      </c>
      <c r="W1345" t="str">
        <f>_xlfn.XLOOKUP(Table3[[#This Row],[Cuenta]],Estructura_Balance[Nombre Cuenta ()],Estructura_Balance[Niveles:3],"",0)</f>
        <v/>
      </c>
      <c r="X1345" t="str">
        <f>_xlfn.XLOOKUP(Table3[[#This Row],[Cuenta]],Estructura_Balance[Nombre Cuenta ()],Estructura_Balance[Grupos],"Grupo 1",0)</f>
        <v>Grupo 1</v>
      </c>
      <c r="Y1345" t="str">
        <f>+Table3[[#This Row],[BS_Nivel_1]]</f>
        <v/>
      </c>
    </row>
    <row r="1346" spans="1:25" ht="15" customHeight="1">
      <c r="A1346">
        <f>+'Libro Diario'!F766</f>
        <v>0</v>
      </c>
      <c r="B1346" s="144">
        <f>VALUE(IF(+'Libro Diario'!G766="","01/01/2025",+'Libro Diario'!G766))</f>
        <v>45658</v>
      </c>
      <c r="C1346">
        <f>IF(ISNUMBER(+IF(IFERROR(VALUE(MID('Libro Diario'!D766,1,4)),0)&lt;&gt;0,'Libro Diario'!D766,0))=FALSE,'Libro Diario'!D766,0)</f>
        <v>0</v>
      </c>
      <c r="D1346" s="145">
        <f>+'Libro Diario'!E766</f>
        <v>0</v>
      </c>
      <c r="E1346" s="139" t="s">
        <v>446</v>
      </c>
      <c r="F1346" t="str">
        <f t="shared" si="60"/>
        <v>Sin Mov.</v>
      </c>
      <c r="G1346" t="str">
        <f>IF(+'Libro Diario'!H766=0,"",+'Libro Diario'!H766)</f>
        <v/>
      </c>
      <c r="H1346" t="str">
        <f>IF(+'Libro Diario'!I766=0,"",+'Libro Diario'!I766)</f>
        <v/>
      </c>
      <c r="I1346" t="str">
        <f>+IF(Table3[[#This Row],[Tipo Movimiento]]="Estructura Balance y PyG","Excluir","Incluir")</f>
        <v>Incluir</v>
      </c>
      <c r="J1346" s="153">
        <f>+IF(Table3[[#This Row],[Sin cuenta]]="Con Mov.",(IF(Table3[[#This Row],[Movimiento]]="Debe",Table3[[#This Row],[Importe]],IF(Table3[[#This Row],[Movimiento]]="Haber",Table3[[#This Row],[Importe]]*-1,0))),0)</f>
        <v>0</v>
      </c>
      <c r="K1346" s="145" t="str">
        <f t="shared" si="61"/>
        <v/>
      </c>
      <c r="L1346" s="145">
        <f t="shared" si="62"/>
        <v>0</v>
      </c>
      <c r="M1346" t="str">
        <f>_xlfn.XLOOKUP(Table3[[#This Row],[Cuenta]],Estructura_Balance[Nombre Cuenta ()],Estructura_Balance[Grupo],"",0)</f>
        <v/>
      </c>
      <c r="N1346" t="str">
        <f>_xlfn.XLOOKUP(Table3[[#This Row],[Cuenta]],Estructura_Balance[Nombre Cuenta ()],Estructura_Balance[Nivel 1],"",0)</f>
        <v/>
      </c>
      <c r="O1346" t="str">
        <f>_xlfn.XLOOKUP(Table3[[#This Row],[Cuenta]],Estructura_Balance[Nombre Cuenta ()],Estructura_Balance[Nivel 2],"",0)</f>
        <v/>
      </c>
      <c r="P1346" t="str">
        <f>_xlfn.XLOOKUP(Table3[[#This Row],[Cuenta]],Estructura_Balance[Nombre Cuenta ()],Estructura_Balance[Nivel 3],"",0)</f>
        <v/>
      </c>
      <c r="Q1346" t="str">
        <f>_xlfn.XLOOKUP(Table3[[#This Row],[Cuenta]],Estructura_Balance[Nombre Cuenta ()],Estructura_Balance[Nivel 4],"",0)</f>
        <v/>
      </c>
      <c r="R1346" t="str">
        <f>_xlfn.XLOOKUP(Table3[[#This Row],[Cuenta]],Table8[Nombre Cuenta ()],Table8[Nivel 1],"",0)</f>
        <v/>
      </c>
      <c r="S1346" t="str">
        <f>_xlfn.XLOOKUP(Table3[[#This Row],[Cuenta]],Table8[Nombre Cuenta ()],Table8[Nivel 2],"",0)</f>
        <v/>
      </c>
      <c r="T1346" t="str">
        <f>_xlfn.XLOOKUP(Table3[[#This Row],[Cuenta]],Table8[Nombre Cuenta ()],Table8[Nivel 3],"",0)</f>
        <v/>
      </c>
      <c r="U1346">
        <v>272</v>
      </c>
      <c r="V1346" t="str">
        <f>_xlfn.XLOOKUP(Table3[[#This Row],[Cuenta]],Estructura_Balance[Nombre Cuenta ()],Estructura_Balance[Niveles:2],"",0)</f>
        <v/>
      </c>
      <c r="W1346" t="str">
        <f>_xlfn.XLOOKUP(Table3[[#This Row],[Cuenta]],Estructura_Balance[Nombre Cuenta ()],Estructura_Balance[Niveles:3],"",0)</f>
        <v/>
      </c>
      <c r="X1346" t="str">
        <f>_xlfn.XLOOKUP(Table3[[#This Row],[Cuenta]],Estructura_Balance[Nombre Cuenta ()],Estructura_Balance[Grupos],"Grupo 1",0)</f>
        <v>Grupo 1</v>
      </c>
      <c r="Y1346" t="str">
        <f>+Table3[[#This Row],[BS_Nivel_1]]</f>
        <v/>
      </c>
    </row>
    <row r="1347" spans="1:25" ht="15" customHeight="1">
      <c r="A1347">
        <f>+'Libro Diario'!F767</f>
        <v>0</v>
      </c>
      <c r="B1347" s="144">
        <f>VALUE(IF(+'Libro Diario'!G767="","01/01/2025",+'Libro Diario'!G767))</f>
        <v>45658</v>
      </c>
      <c r="C1347">
        <f>IF(ISNUMBER(+IF(IFERROR(VALUE(MID('Libro Diario'!D767,1,4)),0)&lt;&gt;0,'Libro Diario'!D767,0))=FALSE,'Libro Diario'!D767,0)</f>
        <v>0</v>
      </c>
      <c r="D1347" s="145">
        <f>+'Libro Diario'!E767</f>
        <v>0</v>
      </c>
      <c r="E1347" s="139" t="s">
        <v>446</v>
      </c>
      <c r="F1347" t="str">
        <f t="shared" ref="F1347:F1410" si="63">+IF(C1347=0,"Sin Mov.","Con Mov.")</f>
        <v>Sin Mov.</v>
      </c>
      <c r="G1347" t="str">
        <f>IF(+'Libro Diario'!H767=0,"",+'Libro Diario'!H767)</f>
        <v/>
      </c>
      <c r="H1347" t="str">
        <f>IF(+'Libro Diario'!I767=0,"",+'Libro Diario'!I767)</f>
        <v/>
      </c>
      <c r="I1347" t="str">
        <f>+IF(Table3[[#This Row],[Tipo Movimiento]]="Estructura Balance y PyG","Excluir","Incluir")</f>
        <v>Incluir</v>
      </c>
      <c r="J1347" s="153">
        <f>+IF(Table3[[#This Row],[Sin cuenta]]="Con Mov.",(IF(Table3[[#This Row],[Movimiento]]="Debe",Table3[[#This Row],[Importe]],IF(Table3[[#This Row],[Movimiento]]="Haber",Table3[[#This Row],[Importe]]*-1,0))),0)</f>
        <v>0</v>
      </c>
      <c r="K1347" s="145" t="str">
        <f t="shared" ref="K1347:K1410" si="64">+IF(E1347="Debe",D1347,"")</f>
        <v/>
      </c>
      <c r="L1347" s="145">
        <f t="shared" ref="L1347:L1410" si="65">+IF(E1347="Haber",D1347,"")</f>
        <v>0</v>
      </c>
      <c r="M1347" t="str">
        <f>_xlfn.XLOOKUP(Table3[[#This Row],[Cuenta]],Estructura_Balance[Nombre Cuenta ()],Estructura_Balance[Grupo],"",0)</f>
        <v/>
      </c>
      <c r="N1347" t="str">
        <f>_xlfn.XLOOKUP(Table3[[#This Row],[Cuenta]],Estructura_Balance[Nombre Cuenta ()],Estructura_Balance[Nivel 1],"",0)</f>
        <v/>
      </c>
      <c r="O1347" t="str">
        <f>_xlfn.XLOOKUP(Table3[[#This Row],[Cuenta]],Estructura_Balance[Nombre Cuenta ()],Estructura_Balance[Nivel 2],"",0)</f>
        <v/>
      </c>
      <c r="P1347" t="str">
        <f>_xlfn.XLOOKUP(Table3[[#This Row],[Cuenta]],Estructura_Balance[Nombre Cuenta ()],Estructura_Balance[Nivel 3],"",0)</f>
        <v/>
      </c>
      <c r="Q1347" t="str">
        <f>_xlfn.XLOOKUP(Table3[[#This Row],[Cuenta]],Estructura_Balance[Nombre Cuenta ()],Estructura_Balance[Nivel 4],"",0)</f>
        <v/>
      </c>
      <c r="R1347" t="str">
        <f>_xlfn.XLOOKUP(Table3[[#This Row],[Cuenta]],Table8[Nombre Cuenta ()],Table8[Nivel 1],"",0)</f>
        <v/>
      </c>
      <c r="S1347" t="str">
        <f>_xlfn.XLOOKUP(Table3[[#This Row],[Cuenta]],Table8[Nombre Cuenta ()],Table8[Nivel 2],"",0)</f>
        <v/>
      </c>
      <c r="T1347" t="str">
        <f>_xlfn.XLOOKUP(Table3[[#This Row],[Cuenta]],Table8[Nombre Cuenta ()],Table8[Nivel 3],"",0)</f>
        <v/>
      </c>
      <c r="U1347">
        <v>1269</v>
      </c>
      <c r="V1347" t="str">
        <f>_xlfn.XLOOKUP(Table3[[#This Row],[Cuenta]],Estructura_Balance[Nombre Cuenta ()],Estructura_Balance[Niveles:2],"",0)</f>
        <v/>
      </c>
      <c r="W1347" t="str">
        <f>_xlfn.XLOOKUP(Table3[[#This Row],[Cuenta]],Estructura_Balance[Nombre Cuenta ()],Estructura_Balance[Niveles:3],"",0)</f>
        <v/>
      </c>
      <c r="X1347" t="str">
        <f>_xlfn.XLOOKUP(Table3[[#This Row],[Cuenta]],Estructura_Balance[Nombre Cuenta ()],Estructura_Balance[Grupos],"Grupo 1",0)</f>
        <v>Grupo 1</v>
      </c>
      <c r="Y1347" t="str">
        <f>+Table3[[#This Row],[BS_Nivel_1]]</f>
        <v/>
      </c>
    </row>
    <row r="1348" spans="1:25" ht="15" customHeight="1">
      <c r="A1348">
        <f>+'Libro Diario'!F768</f>
        <v>0</v>
      </c>
      <c r="B1348" s="144">
        <f>VALUE(IF(+'Libro Diario'!G768="","01/01/2025",+'Libro Diario'!G768))</f>
        <v>45658</v>
      </c>
      <c r="C1348">
        <f>IF(ISNUMBER(+IF(IFERROR(VALUE(MID('Libro Diario'!D768,1,4)),0)&lt;&gt;0,'Libro Diario'!D768,0))=FALSE,'Libro Diario'!D768,0)</f>
        <v>0</v>
      </c>
      <c r="D1348" s="145">
        <f>+'Libro Diario'!E768</f>
        <v>0</v>
      </c>
      <c r="E1348" s="139" t="s">
        <v>446</v>
      </c>
      <c r="F1348" t="str">
        <f t="shared" si="63"/>
        <v>Sin Mov.</v>
      </c>
      <c r="G1348" t="str">
        <f>IF(+'Libro Diario'!H768=0,"",+'Libro Diario'!H768)</f>
        <v/>
      </c>
      <c r="H1348" t="str">
        <f>IF(+'Libro Diario'!I768=0,"",+'Libro Diario'!I768)</f>
        <v/>
      </c>
      <c r="I1348" t="str">
        <f>+IF(Table3[[#This Row],[Tipo Movimiento]]="Estructura Balance y PyG","Excluir","Incluir")</f>
        <v>Incluir</v>
      </c>
      <c r="J1348" s="153">
        <f>+IF(Table3[[#This Row],[Sin cuenta]]="Con Mov.",(IF(Table3[[#This Row],[Movimiento]]="Debe",Table3[[#This Row],[Importe]],IF(Table3[[#This Row],[Movimiento]]="Haber",Table3[[#This Row],[Importe]]*-1,0))),0)</f>
        <v>0</v>
      </c>
      <c r="K1348" s="145" t="str">
        <f t="shared" si="64"/>
        <v/>
      </c>
      <c r="L1348" s="145">
        <f t="shared" si="65"/>
        <v>0</v>
      </c>
      <c r="M1348" t="str">
        <f>_xlfn.XLOOKUP(Table3[[#This Row],[Cuenta]],Estructura_Balance[Nombre Cuenta ()],Estructura_Balance[Grupo],"",0)</f>
        <v/>
      </c>
      <c r="N1348" t="str">
        <f>_xlfn.XLOOKUP(Table3[[#This Row],[Cuenta]],Estructura_Balance[Nombre Cuenta ()],Estructura_Balance[Nivel 1],"",0)</f>
        <v/>
      </c>
      <c r="O1348" t="str">
        <f>_xlfn.XLOOKUP(Table3[[#This Row],[Cuenta]],Estructura_Balance[Nombre Cuenta ()],Estructura_Balance[Nivel 2],"",0)</f>
        <v/>
      </c>
      <c r="P1348" t="str">
        <f>_xlfn.XLOOKUP(Table3[[#This Row],[Cuenta]],Estructura_Balance[Nombre Cuenta ()],Estructura_Balance[Nivel 3],"",0)</f>
        <v/>
      </c>
      <c r="Q1348" t="str">
        <f>_xlfn.XLOOKUP(Table3[[#This Row],[Cuenta]],Estructura_Balance[Nombre Cuenta ()],Estructura_Balance[Nivel 4],"",0)</f>
        <v/>
      </c>
      <c r="R1348" t="str">
        <f>_xlfn.XLOOKUP(Table3[[#This Row],[Cuenta]],Table8[Nombre Cuenta ()],Table8[Nivel 1],"",0)</f>
        <v/>
      </c>
      <c r="S1348" t="str">
        <f>_xlfn.XLOOKUP(Table3[[#This Row],[Cuenta]],Table8[Nombre Cuenta ()],Table8[Nivel 2],"",0)</f>
        <v/>
      </c>
      <c r="T1348" t="str">
        <f>_xlfn.XLOOKUP(Table3[[#This Row],[Cuenta]],Table8[Nombre Cuenta ()],Table8[Nivel 3],"",0)</f>
        <v/>
      </c>
      <c r="U1348">
        <v>1270</v>
      </c>
      <c r="V1348" t="str">
        <f>_xlfn.XLOOKUP(Table3[[#This Row],[Cuenta]],Estructura_Balance[Nombre Cuenta ()],Estructura_Balance[Niveles:2],"",0)</f>
        <v/>
      </c>
      <c r="W1348" t="str">
        <f>_xlfn.XLOOKUP(Table3[[#This Row],[Cuenta]],Estructura_Balance[Nombre Cuenta ()],Estructura_Balance[Niveles:3],"",0)</f>
        <v/>
      </c>
      <c r="X1348" t="str">
        <f>_xlfn.XLOOKUP(Table3[[#This Row],[Cuenta]],Estructura_Balance[Nombre Cuenta ()],Estructura_Balance[Grupos],"Grupo 1",0)</f>
        <v>Grupo 1</v>
      </c>
      <c r="Y1348" t="str">
        <f>+Table3[[#This Row],[BS_Nivel_1]]</f>
        <v/>
      </c>
    </row>
    <row r="1349" spans="1:25" ht="15" customHeight="1">
      <c r="A1349">
        <f>+'Libro Diario'!F769</f>
        <v>0</v>
      </c>
      <c r="B1349" s="144">
        <f>VALUE(IF(+'Libro Diario'!G769="","01/01/2025",+'Libro Diario'!G769))</f>
        <v>45658</v>
      </c>
      <c r="C1349">
        <f>IF(ISNUMBER(+IF(IFERROR(VALUE(MID('Libro Diario'!D769,1,4)),0)&lt;&gt;0,'Libro Diario'!D769,0))=FALSE,'Libro Diario'!D769,0)</f>
        <v>0</v>
      </c>
      <c r="D1349" s="145">
        <f>+'Libro Diario'!E769</f>
        <v>0</v>
      </c>
      <c r="E1349" s="139" t="s">
        <v>446</v>
      </c>
      <c r="F1349" t="str">
        <f t="shared" si="63"/>
        <v>Sin Mov.</v>
      </c>
      <c r="G1349" t="str">
        <f>IF(+'Libro Diario'!H769=0,"",+'Libro Diario'!H769)</f>
        <v/>
      </c>
      <c r="H1349" t="str">
        <f>IF(+'Libro Diario'!I769=0,"",+'Libro Diario'!I769)</f>
        <v/>
      </c>
      <c r="I1349" t="str">
        <f>+IF(Table3[[#This Row],[Tipo Movimiento]]="Estructura Balance y PyG","Excluir","Incluir")</f>
        <v>Incluir</v>
      </c>
      <c r="J1349" s="153">
        <f>+IF(Table3[[#This Row],[Sin cuenta]]="Con Mov.",(IF(Table3[[#This Row],[Movimiento]]="Debe",Table3[[#This Row],[Importe]],IF(Table3[[#This Row],[Movimiento]]="Haber",Table3[[#This Row],[Importe]]*-1,0))),0)</f>
        <v>0</v>
      </c>
      <c r="K1349" s="145" t="str">
        <f t="shared" si="64"/>
        <v/>
      </c>
      <c r="L1349" s="145">
        <f t="shared" si="65"/>
        <v>0</v>
      </c>
      <c r="M1349" t="str">
        <f>_xlfn.XLOOKUP(Table3[[#This Row],[Cuenta]],Estructura_Balance[Nombre Cuenta ()],Estructura_Balance[Grupo],"",0)</f>
        <v/>
      </c>
      <c r="N1349" t="str">
        <f>_xlfn.XLOOKUP(Table3[[#This Row],[Cuenta]],Estructura_Balance[Nombre Cuenta ()],Estructura_Balance[Nivel 1],"",0)</f>
        <v/>
      </c>
      <c r="O1349" t="str">
        <f>_xlfn.XLOOKUP(Table3[[#This Row],[Cuenta]],Estructura_Balance[Nombre Cuenta ()],Estructura_Balance[Nivel 2],"",0)</f>
        <v/>
      </c>
      <c r="P1349" t="str">
        <f>_xlfn.XLOOKUP(Table3[[#This Row],[Cuenta]],Estructura_Balance[Nombre Cuenta ()],Estructura_Balance[Nivel 3],"",0)</f>
        <v/>
      </c>
      <c r="Q1349" t="str">
        <f>_xlfn.XLOOKUP(Table3[[#This Row],[Cuenta]],Estructura_Balance[Nombre Cuenta ()],Estructura_Balance[Nivel 4],"",0)</f>
        <v/>
      </c>
      <c r="R1349" t="str">
        <f>_xlfn.XLOOKUP(Table3[[#This Row],[Cuenta]],Table8[Nombre Cuenta ()],Table8[Nivel 1],"",0)</f>
        <v/>
      </c>
      <c r="S1349" t="str">
        <f>_xlfn.XLOOKUP(Table3[[#This Row],[Cuenta]],Table8[Nombre Cuenta ()],Table8[Nivel 2],"",0)</f>
        <v/>
      </c>
      <c r="T1349" t="str">
        <f>_xlfn.XLOOKUP(Table3[[#This Row],[Cuenta]],Table8[Nombre Cuenta ()],Table8[Nivel 3],"",0)</f>
        <v/>
      </c>
      <c r="U1349">
        <v>278</v>
      </c>
      <c r="V1349" t="str">
        <f>_xlfn.XLOOKUP(Table3[[#This Row],[Cuenta]],Estructura_Balance[Nombre Cuenta ()],Estructura_Balance[Niveles:2],"",0)</f>
        <v/>
      </c>
      <c r="W1349" t="str">
        <f>_xlfn.XLOOKUP(Table3[[#This Row],[Cuenta]],Estructura_Balance[Nombre Cuenta ()],Estructura_Balance[Niveles:3],"",0)</f>
        <v/>
      </c>
      <c r="X1349" t="str">
        <f>_xlfn.XLOOKUP(Table3[[#This Row],[Cuenta]],Estructura_Balance[Nombre Cuenta ()],Estructura_Balance[Grupos],"Grupo 1",0)</f>
        <v>Grupo 1</v>
      </c>
      <c r="Y1349" t="str">
        <f>+Table3[[#This Row],[BS_Nivel_1]]</f>
        <v/>
      </c>
    </row>
    <row r="1350" spans="1:25" ht="15" customHeight="1">
      <c r="A1350">
        <f>+'Libro Diario'!F770</f>
        <v>0</v>
      </c>
      <c r="B1350" s="144">
        <f>VALUE(IF(+'Libro Diario'!G770="","01/01/2025",+'Libro Diario'!G770))</f>
        <v>45658</v>
      </c>
      <c r="C1350">
        <f>IF(ISNUMBER(+IF(IFERROR(VALUE(MID('Libro Diario'!D770,1,4)),0)&lt;&gt;0,'Libro Diario'!D770,0))=FALSE,'Libro Diario'!D770,0)</f>
        <v>0</v>
      </c>
      <c r="D1350" s="145">
        <f>+'Libro Diario'!E770</f>
        <v>0</v>
      </c>
      <c r="E1350" s="139" t="s">
        <v>446</v>
      </c>
      <c r="F1350" t="str">
        <f t="shared" si="63"/>
        <v>Sin Mov.</v>
      </c>
      <c r="G1350" t="str">
        <f>IF(+'Libro Diario'!H770=0,"",+'Libro Diario'!H770)</f>
        <v/>
      </c>
      <c r="H1350" t="str">
        <f>IF(+'Libro Diario'!I770=0,"",+'Libro Diario'!I770)</f>
        <v/>
      </c>
      <c r="I1350" t="str">
        <f>+IF(Table3[[#This Row],[Tipo Movimiento]]="Estructura Balance y PyG","Excluir","Incluir")</f>
        <v>Incluir</v>
      </c>
      <c r="J1350" s="153">
        <f>+IF(Table3[[#This Row],[Sin cuenta]]="Con Mov.",(IF(Table3[[#This Row],[Movimiento]]="Debe",Table3[[#This Row],[Importe]],IF(Table3[[#This Row],[Movimiento]]="Haber",Table3[[#This Row],[Importe]]*-1,0))),0)</f>
        <v>0</v>
      </c>
      <c r="K1350" s="145" t="str">
        <f t="shared" si="64"/>
        <v/>
      </c>
      <c r="L1350" s="145">
        <f t="shared" si="65"/>
        <v>0</v>
      </c>
      <c r="M1350" t="str">
        <f>_xlfn.XLOOKUP(Table3[[#This Row],[Cuenta]],Estructura_Balance[Nombre Cuenta ()],Estructura_Balance[Grupo],"",0)</f>
        <v/>
      </c>
      <c r="N1350" t="str">
        <f>_xlfn.XLOOKUP(Table3[[#This Row],[Cuenta]],Estructura_Balance[Nombre Cuenta ()],Estructura_Balance[Nivel 1],"",0)</f>
        <v/>
      </c>
      <c r="O1350" t="str">
        <f>_xlfn.XLOOKUP(Table3[[#This Row],[Cuenta]],Estructura_Balance[Nombre Cuenta ()],Estructura_Balance[Nivel 2],"",0)</f>
        <v/>
      </c>
      <c r="P1350" t="str">
        <f>_xlfn.XLOOKUP(Table3[[#This Row],[Cuenta]],Estructura_Balance[Nombre Cuenta ()],Estructura_Balance[Nivel 3],"",0)</f>
        <v/>
      </c>
      <c r="Q1350" t="str">
        <f>_xlfn.XLOOKUP(Table3[[#This Row],[Cuenta]],Estructura_Balance[Nombre Cuenta ()],Estructura_Balance[Nivel 4],"",0)</f>
        <v/>
      </c>
      <c r="R1350" t="str">
        <f>_xlfn.XLOOKUP(Table3[[#This Row],[Cuenta]],Table8[Nombre Cuenta ()],Table8[Nivel 1],"",0)</f>
        <v/>
      </c>
      <c r="S1350" t="str">
        <f>_xlfn.XLOOKUP(Table3[[#This Row],[Cuenta]],Table8[Nombre Cuenta ()],Table8[Nivel 2],"",0)</f>
        <v/>
      </c>
      <c r="T1350" t="str">
        <f>_xlfn.XLOOKUP(Table3[[#This Row],[Cuenta]],Table8[Nombre Cuenta ()],Table8[Nivel 3],"",0)</f>
        <v/>
      </c>
      <c r="U1350">
        <v>279</v>
      </c>
      <c r="V1350" t="str">
        <f>_xlfn.XLOOKUP(Table3[[#This Row],[Cuenta]],Estructura_Balance[Nombre Cuenta ()],Estructura_Balance[Niveles:2],"",0)</f>
        <v/>
      </c>
      <c r="W1350" t="str">
        <f>_xlfn.XLOOKUP(Table3[[#This Row],[Cuenta]],Estructura_Balance[Nombre Cuenta ()],Estructura_Balance[Niveles:3],"",0)</f>
        <v/>
      </c>
      <c r="X1350" t="str">
        <f>_xlfn.XLOOKUP(Table3[[#This Row],[Cuenta]],Estructura_Balance[Nombre Cuenta ()],Estructura_Balance[Grupos],"Grupo 1",0)</f>
        <v>Grupo 1</v>
      </c>
      <c r="Y1350" t="str">
        <f>+Table3[[#This Row],[BS_Nivel_1]]</f>
        <v/>
      </c>
    </row>
    <row r="1351" spans="1:25" ht="15" customHeight="1">
      <c r="A1351">
        <f>+'Libro Diario'!F771</f>
        <v>0</v>
      </c>
      <c r="B1351" s="144">
        <f>VALUE(IF(+'Libro Diario'!G771="","01/01/2025",+'Libro Diario'!G771))</f>
        <v>45658</v>
      </c>
      <c r="C1351">
        <f>IF(ISNUMBER(+IF(IFERROR(VALUE(MID('Libro Diario'!D771,1,4)),0)&lt;&gt;0,'Libro Diario'!D771,0))=FALSE,'Libro Diario'!D771,0)</f>
        <v>0</v>
      </c>
      <c r="D1351" s="145">
        <f>+'Libro Diario'!E771</f>
        <v>0</v>
      </c>
      <c r="E1351" s="139" t="s">
        <v>446</v>
      </c>
      <c r="F1351" t="str">
        <f t="shared" si="63"/>
        <v>Sin Mov.</v>
      </c>
      <c r="G1351" t="str">
        <f>IF(+'Libro Diario'!H771=0,"",+'Libro Diario'!H771)</f>
        <v/>
      </c>
      <c r="H1351" t="str">
        <f>IF(+'Libro Diario'!I771=0,"",+'Libro Diario'!I771)</f>
        <v/>
      </c>
      <c r="I1351" t="str">
        <f>+IF(Table3[[#This Row],[Tipo Movimiento]]="Estructura Balance y PyG","Excluir","Incluir")</f>
        <v>Incluir</v>
      </c>
      <c r="J1351" s="153">
        <f>+IF(Table3[[#This Row],[Sin cuenta]]="Con Mov.",(IF(Table3[[#This Row],[Movimiento]]="Debe",Table3[[#This Row],[Importe]],IF(Table3[[#This Row],[Movimiento]]="Haber",Table3[[#This Row],[Importe]]*-1,0))),0)</f>
        <v>0</v>
      </c>
      <c r="K1351" s="145" t="str">
        <f t="shared" si="64"/>
        <v/>
      </c>
      <c r="L1351" s="145">
        <f t="shared" si="65"/>
        <v>0</v>
      </c>
      <c r="M1351" t="str">
        <f>_xlfn.XLOOKUP(Table3[[#This Row],[Cuenta]],Estructura_Balance[Nombre Cuenta ()],Estructura_Balance[Grupo],"",0)</f>
        <v/>
      </c>
      <c r="N1351" t="str">
        <f>_xlfn.XLOOKUP(Table3[[#This Row],[Cuenta]],Estructura_Balance[Nombre Cuenta ()],Estructura_Balance[Nivel 1],"",0)</f>
        <v/>
      </c>
      <c r="O1351" t="str">
        <f>_xlfn.XLOOKUP(Table3[[#This Row],[Cuenta]],Estructura_Balance[Nombre Cuenta ()],Estructura_Balance[Nivel 2],"",0)</f>
        <v/>
      </c>
      <c r="P1351" t="str">
        <f>_xlfn.XLOOKUP(Table3[[#This Row],[Cuenta]],Estructura_Balance[Nombre Cuenta ()],Estructura_Balance[Nivel 3],"",0)</f>
        <v/>
      </c>
      <c r="Q1351" t="str">
        <f>_xlfn.XLOOKUP(Table3[[#This Row],[Cuenta]],Estructura_Balance[Nombre Cuenta ()],Estructura_Balance[Nivel 4],"",0)</f>
        <v/>
      </c>
      <c r="R1351" t="str">
        <f>_xlfn.XLOOKUP(Table3[[#This Row],[Cuenta]],Table8[Nombre Cuenta ()],Table8[Nivel 1],"",0)</f>
        <v/>
      </c>
      <c r="S1351" t="str">
        <f>_xlfn.XLOOKUP(Table3[[#This Row],[Cuenta]],Table8[Nombre Cuenta ()],Table8[Nivel 2],"",0)</f>
        <v/>
      </c>
      <c r="T1351" t="str">
        <f>_xlfn.XLOOKUP(Table3[[#This Row],[Cuenta]],Table8[Nombre Cuenta ()],Table8[Nivel 3],"",0)</f>
        <v/>
      </c>
      <c r="U1351">
        <v>1276</v>
      </c>
      <c r="V1351" t="str">
        <f>_xlfn.XLOOKUP(Table3[[#This Row],[Cuenta]],Estructura_Balance[Nombre Cuenta ()],Estructura_Balance[Niveles:2],"",0)</f>
        <v/>
      </c>
      <c r="W1351" t="str">
        <f>_xlfn.XLOOKUP(Table3[[#This Row],[Cuenta]],Estructura_Balance[Nombre Cuenta ()],Estructura_Balance[Niveles:3],"",0)</f>
        <v/>
      </c>
      <c r="X1351" t="str">
        <f>_xlfn.XLOOKUP(Table3[[#This Row],[Cuenta]],Estructura_Balance[Nombre Cuenta ()],Estructura_Balance[Grupos],"Grupo 1",0)</f>
        <v>Grupo 1</v>
      </c>
      <c r="Y1351" t="str">
        <f>+Table3[[#This Row],[BS_Nivel_1]]</f>
        <v/>
      </c>
    </row>
    <row r="1352" spans="1:25" ht="15" customHeight="1">
      <c r="A1352">
        <f>+'Libro Diario'!F772</f>
        <v>0</v>
      </c>
      <c r="B1352" s="144">
        <f>VALUE(IF(+'Libro Diario'!G772="","01/01/2025",+'Libro Diario'!G772))</f>
        <v>45658</v>
      </c>
      <c r="C1352">
        <f>IF(ISNUMBER(+IF(IFERROR(VALUE(MID('Libro Diario'!D772,1,4)),0)&lt;&gt;0,'Libro Diario'!D772,0))=FALSE,'Libro Diario'!D772,0)</f>
        <v>0</v>
      </c>
      <c r="D1352" s="145">
        <f>+'Libro Diario'!E772</f>
        <v>0</v>
      </c>
      <c r="E1352" s="139" t="s">
        <v>446</v>
      </c>
      <c r="F1352" t="str">
        <f t="shared" si="63"/>
        <v>Sin Mov.</v>
      </c>
      <c r="G1352" t="str">
        <f>IF(+'Libro Diario'!H772=0,"",+'Libro Diario'!H772)</f>
        <v/>
      </c>
      <c r="H1352" t="str">
        <f>IF(+'Libro Diario'!I772=0,"",+'Libro Diario'!I772)</f>
        <v/>
      </c>
      <c r="I1352" t="str">
        <f>+IF(Table3[[#This Row],[Tipo Movimiento]]="Estructura Balance y PyG","Excluir","Incluir")</f>
        <v>Incluir</v>
      </c>
      <c r="J1352" s="153">
        <f>+IF(Table3[[#This Row],[Sin cuenta]]="Con Mov.",(IF(Table3[[#This Row],[Movimiento]]="Debe",Table3[[#This Row],[Importe]],IF(Table3[[#This Row],[Movimiento]]="Haber",Table3[[#This Row],[Importe]]*-1,0))),0)</f>
        <v>0</v>
      </c>
      <c r="K1352" s="145" t="str">
        <f t="shared" si="64"/>
        <v/>
      </c>
      <c r="L1352" s="145">
        <f t="shared" si="65"/>
        <v>0</v>
      </c>
      <c r="M1352" t="str">
        <f>_xlfn.XLOOKUP(Table3[[#This Row],[Cuenta]],Estructura_Balance[Nombre Cuenta ()],Estructura_Balance[Grupo],"",0)</f>
        <v/>
      </c>
      <c r="N1352" t="str">
        <f>_xlfn.XLOOKUP(Table3[[#This Row],[Cuenta]],Estructura_Balance[Nombre Cuenta ()],Estructura_Balance[Nivel 1],"",0)</f>
        <v/>
      </c>
      <c r="O1352" t="str">
        <f>_xlfn.XLOOKUP(Table3[[#This Row],[Cuenta]],Estructura_Balance[Nombre Cuenta ()],Estructura_Balance[Nivel 2],"",0)</f>
        <v/>
      </c>
      <c r="P1352" t="str">
        <f>_xlfn.XLOOKUP(Table3[[#This Row],[Cuenta]],Estructura_Balance[Nombre Cuenta ()],Estructura_Balance[Nivel 3],"",0)</f>
        <v/>
      </c>
      <c r="Q1352" t="str">
        <f>_xlfn.XLOOKUP(Table3[[#This Row],[Cuenta]],Estructura_Balance[Nombre Cuenta ()],Estructura_Balance[Nivel 4],"",0)</f>
        <v/>
      </c>
      <c r="R1352" t="str">
        <f>_xlfn.XLOOKUP(Table3[[#This Row],[Cuenta]],Table8[Nombre Cuenta ()],Table8[Nivel 1],"",0)</f>
        <v/>
      </c>
      <c r="S1352" t="str">
        <f>_xlfn.XLOOKUP(Table3[[#This Row],[Cuenta]],Table8[Nombre Cuenta ()],Table8[Nivel 2],"",0)</f>
        <v/>
      </c>
      <c r="T1352" t="str">
        <f>_xlfn.XLOOKUP(Table3[[#This Row],[Cuenta]],Table8[Nombre Cuenta ()],Table8[Nivel 3],"",0)</f>
        <v/>
      </c>
      <c r="U1352">
        <v>1277</v>
      </c>
      <c r="V1352" t="str">
        <f>_xlfn.XLOOKUP(Table3[[#This Row],[Cuenta]],Estructura_Balance[Nombre Cuenta ()],Estructura_Balance[Niveles:2],"",0)</f>
        <v/>
      </c>
      <c r="W1352" t="str">
        <f>_xlfn.XLOOKUP(Table3[[#This Row],[Cuenta]],Estructura_Balance[Nombre Cuenta ()],Estructura_Balance[Niveles:3],"",0)</f>
        <v/>
      </c>
      <c r="X1352" t="str">
        <f>_xlfn.XLOOKUP(Table3[[#This Row],[Cuenta]],Estructura_Balance[Nombre Cuenta ()],Estructura_Balance[Grupos],"Grupo 1",0)</f>
        <v>Grupo 1</v>
      </c>
      <c r="Y1352" t="str">
        <f>+Table3[[#This Row],[BS_Nivel_1]]</f>
        <v/>
      </c>
    </row>
    <row r="1353" spans="1:25" ht="15" customHeight="1">
      <c r="A1353">
        <f>+'Libro Diario'!F773</f>
        <v>0</v>
      </c>
      <c r="B1353" s="144">
        <f>VALUE(IF(+'Libro Diario'!G773="","01/01/2025",+'Libro Diario'!G773))</f>
        <v>45658</v>
      </c>
      <c r="C1353">
        <f>IF(ISNUMBER(+IF(IFERROR(VALUE(MID('Libro Diario'!D773,1,4)),0)&lt;&gt;0,'Libro Diario'!D773,0))=FALSE,'Libro Diario'!D773,0)</f>
        <v>0</v>
      </c>
      <c r="D1353" s="145">
        <f>+'Libro Diario'!E773</f>
        <v>0</v>
      </c>
      <c r="E1353" s="139" t="s">
        <v>446</v>
      </c>
      <c r="F1353" t="str">
        <f t="shared" si="63"/>
        <v>Sin Mov.</v>
      </c>
      <c r="G1353" t="str">
        <f>IF(+'Libro Diario'!H773=0,"",+'Libro Diario'!H773)</f>
        <v/>
      </c>
      <c r="H1353" t="str">
        <f>IF(+'Libro Diario'!I773=0,"",+'Libro Diario'!I773)</f>
        <v/>
      </c>
      <c r="I1353" t="str">
        <f>+IF(Table3[[#This Row],[Tipo Movimiento]]="Estructura Balance y PyG","Excluir","Incluir")</f>
        <v>Incluir</v>
      </c>
      <c r="J1353" s="153">
        <f>+IF(Table3[[#This Row],[Sin cuenta]]="Con Mov.",(IF(Table3[[#This Row],[Movimiento]]="Debe",Table3[[#This Row],[Importe]],IF(Table3[[#This Row],[Movimiento]]="Haber",Table3[[#This Row],[Importe]]*-1,0))),0)</f>
        <v>0</v>
      </c>
      <c r="K1353" s="145" t="str">
        <f t="shared" si="64"/>
        <v/>
      </c>
      <c r="L1353" s="145">
        <f t="shared" si="65"/>
        <v>0</v>
      </c>
      <c r="M1353" t="str">
        <f>_xlfn.XLOOKUP(Table3[[#This Row],[Cuenta]],Estructura_Balance[Nombre Cuenta ()],Estructura_Balance[Grupo],"",0)</f>
        <v/>
      </c>
      <c r="N1353" t="str">
        <f>_xlfn.XLOOKUP(Table3[[#This Row],[Cuenta]],Estructura_Balance[Nombre Cuenta ()],Estructura_Balance[Nivel 1],"",0)</f>
        <v/>
      </c>
      <c r="O1353" t="str">
        <f>_xlfn.XLOOKUP(Table3[[#This Row],[Cuenta]],Estructura_Balance[Nombre Cuenta ()],Estructura_Balance[Nivel 2],"",0)</f>
        <v/>
      </c>
      <c r="P1353" t="str">
        <f>_xlfn.XLOOKUP(Table3[[#This Row],[Cuenta]],Estructura_Balance[Nombre Cuenta ()],Estructura_Balance[Nivel 3],"",0)</f>
        <v/>
      </c>
      <c r="Q1353" t="str">
        <f>_xlfn.XLOOKUP(Table3[[#This Row],[Cuenta]],Estructura_Balance[Nombre Cuenta ()],Estructura_Balance[Nivel 4],"",0)</f>
        <v/>
      </c>
      <c r="R1353" t="str">
        <f>_xlfn.XLOOKUP(Table3[[#This Row],[Cuenta]],Table8[Nombre Cuenta ()],Table8[Nivel 1],"",0)</f>
        <v/>
      </c>
      <c r="S1353" t="str">
        <f>_xlfn.XLOOKUP(Table3[[#This Row],[Cuenta]],Table8[Nombre Cuenta ()],Table8[Nivel 2],"",0)</f>
        <v/>
      </c>
      <c r="T1353" t="str">
        <f>_xlfn.XLOOKUP(Table3[[#This Row],[Cuenta]],Table8[Nombre Cuenta ()],Table8[Nivel 3],"",0)</f>
        <v/>
      </c>
      <c r="U1353">
        <v>285</v>
      </c>
      <c r="V1353" t="str">
        <f>_xlfn.XLOOKUP(Table3[[#This Row],[Cuenta]],Estructura_Balance[Nombre Cuenta ()],Estructura_Balance[Niveles:2],"",0)</f>
        <v/>
      </c>
      <c r="W1353" t="str">
        <f>_xlfn.XLOOKUP(Table3[[#This Row],[Cuenta]],Estructura_Balance[Nombre Cuenta ()],Estructura_Balance[Niveles:3],"",0)</f>
        <v/>
      </c>
      <c r="X1353" t="str">
        <f>_xlfn.XLOOKUP(Table3[[#This Row],[Cuenta]],Estructura_Balance[Nombre Cuenta ()],Estructura_Balance[Grupos],"Grupo 1",0)</f>
        <v>Grupo 1</v>
      </c>
      <c r="Y1353" t="str">
        <f>+Table3[[#This Row],[BS_Nivel_1]]</f>
        <v/>
      </c>
    </row>
    <row r="1354" spans="1:25" ht="15" customHeight="1">
      <c r="A1354">
        <f>+'Libro Diario'!F774</f>
        <v>0</v>
      </c>
      <c r="B1354" s="144">
        <f>VALUE(IF(+'Libro Diario'!G774="","01/01/2025",+'Libro Diario'!G774))</f>
        <v>45658</v>
      </c>
      <c r="C1354">
        <f>IF(ISNUMBER(+IF(IFERROR(VALUE(MID('Libro Diario'!D774,1,4)),0)&lt;&gt;0,'Libro Diario'!D774,0))=FALSE,'Libro Diario'!D774,0)</f>
        <v>0</v>
      </c>
      <c r="D1354" s="145">
        <f>+'Libro Diario'!E774</f>
        <v>0</v>
      </c>
      <c r="E1354" s="139" t="s">
        <v>446</v>
      </c>
      <c r="F1354" t="str">
        <f t="shared" si="63"/>
        <v>Sin Mov.</v>
      </c>
      <c r="G1354" t="str">
        <f>IF(+'Libro Diario'!H774=0,"",+'Libro Diario'!H774)</f>
        <v/>
      </c>
      <c r="H1354" t="str">
        <f>IF(+'Libro Diario'!I774=0,"",+'Libro Diario'!I774)</f>
        <v/>
      </c>
      <c r="I1354" t="str">
        <f>+IF(Table3[[#This Row],[Tipo Movimiento]]="Estructura Balance y PyG","Excluir","Incluir")</f>
        <v>Incluir</v>
      </c>
      <c r="J1354" s="153">
        <f>+IF(Table3[[#This Row],[Sin cuenta]]="Con Mov.",(IF(Table3[[#This Row],[Movimiento]]="Debe",Table3[[#This Row],[Importe]],IF(Table3[[#This Row],[Movimiento]]="Haber",Table3[[#This Row],[Importe]]*-1,0))),0)</f>
        <v>0</v>
      </c>
      <c r="K1354" s="145" t="str">
        <f t="shared" si="64"/>
        <v/>
      </c>
      <c r="L1354" s="145">
        <f t="shared" si="65"/>
        <v>0</v>
      </c>
      <c r="M1354" t="str">
        <f>_xlfn.XLOOKUP(Table3[[#This Row],[Cuenta]],Estructura_Balance[Nombre Cuenta ()],Estructura_Balance[Grupo],"",0)</f>
        <v/>
      </c>
      <c r="N1354" t="str">
        <f>_xlfn.XLOOKUP(Table3[[#This Row],[Cuenta]],Estructura_Balance[Nombre Cuenta ()],Estructura_Balance[Nivel 1],"",0)</f>
        <v/>
      </c>
      <c r="O1354" t="str">
        <f>_xlfn.XLOOKUP(Table3[[#This Row],[Cuenta]],Estructura_Balance[Nombre Cuenta ()],Estructura_Balance[Nivel 2],"",0)</f>
        <v/>
      </c>
      <c r="P1354" t="str">
        <f>_xlfn.XLOOKUP(Table3[[#This Row],[Cuenta]],Estructura_Balance[Nombre Cuenta ()],Estructura_Balance[Nivel 3],"",0)</f>
        <v/>
      </c>
      <c r="Q1354" t="str">
        <f>_xlfn.XLOOKUP(Table3[[#This Row],[Cuenta]],Estructura_Balance[Nombre Cuenta ()],Estructura_Balance[Nivel 4],"",0)</f>
        <v/>
      </c>
      <c r="R1354" t="str">
        <f>_xlfn.XLOOKUP(Table3[[#This Row],[Cuenta]],Table8[Nombre Cuenta ()],Table8[Nivel 1],"",0)</f>
        <v/>
      </c>
      <c r="S1354" t="str">
        <f>_xlfn.XLOOKUP(Table3[[#This Row],[Cuenta]],Table8[Nombre Cuenta ()],Table8[Nivel 2],"",0)</f>
        <v/>
      </c>
      <c r="T1354" t="str">
        <f>_xlfn.XLOOKUP(Table3[[#This Row],[Cuenta]],Table8[Nombre Cuenta ()],Table8[Nivel 3],"",0)</f>
        <v/>
      </c>
      <c r="U1354">
        <v>286</v>
      </c>
      <c r="V1354" t="str">
        <f>_xlfn.XLOOKUP(Table3[[#This Row],[Cuenta]],Estructura_Balance[Nombre Cuenta ()],Estructura_Balance[Niveles:2],"",0)</f>
        <v/>
      </c>
      <c r="W1354" t="str">
        <f>_xlfn.XLOOKUP(Table3[[#This Row],[Cuenta]],Estructura_Balance[Nombre Cuenta ()],Estructura_Balance[Niveles:3],"",0)</f>
        <v/>
      </c>
      <c r="X1354" t="str">
        <f>_xlfn.XLOOKUP(Table3[[#This Row],[Cuenta]],Estructura_Balance[Nombre Cuenta ()],Estructura_Balance[Grupos],"Grupo 1",0)</f>
        <v>Grupo 1</v>
      </c>
      <c r="Y1354" t="str">
        <f>+Table3[[#This Row],[BS_Nivel_1]]</f>
        <v/>
      </c>
    </row>
    <row r="1355" spans="1:25" ht="15" customHeight="1">
      <c r="A1355">
        <f>+'Libro Diario'!F775</f>
        <v>0</v>
      </c>
      <c r="B1355" s="144">
        <f>VALUE(IF(+'Libro Diario'!G775="","01/01/2025",+'Libro Diario'!G775))</f>
        <v>45658</v>
      </c>
      <c r="C1355">
        <f>IF(ISNUMBER(+IF(IFERROR(VALUE(MID('Libro Diario'!D775,1,4)),0)&lt;&gt;0,'Libro Diario'!D775,0))=FALSE,'Libro Diario'!D775,0)</f>
        <v>0</v>
      </c>
      <c r="D1355" s="145">
        <f>+'Libro Diario'!E775</f>
        <v>0</v>
      </c>
      <c r="E1355" s="139" t="s">
        <v>446</v>
      </c>
      <c r="F1355" t="str">
        <f t="shared" si="63"/>
        <v>Sin Mov.</v>
      </c>
      <c r="G1355" t="str">
        <f>IF(+'Libro Diario'!H775=0,"",+'Libro Diario'!H775)</f>
        <v/>
      </c>
      <c r="H1355" t="str">
        <f>IF(+'Libro Diario'!I775=0,"",+'Libro Diario'!I775)</f>
        <v/>
      </c>
      <c r="I1355" t="str">
        <f>+IF(Table3[[#This Row],[Tipo Movimiento]]="Estructura Balance y PyG","Excluir","Incluir")</f>
        <v>Incluir</v>
      </c>
      <c r="J1355" s="153">
        <f>+IF(Table3[[#This Row],[Sin cuenta]]="Con Mov.",(IF(Table3[[#This Row],[Movimiento]]="Debe",Table3[[#This Row],[Importe]],IF(Table3[[#This Row],[Movimiento]]="Haber",Table3[[#This Row],[Importe]]*-1,0))),0)</f>
        <v>0</v>
      </c>
      <c r="K1355" s="145" t="str">
        <f t="shared" si="64"/>
        <v/>
      </c>
      <c r="L1355" s="145">
        <f t="shared" si="65"/>
        <v>0</v>
      </c>
      <c r="M1355" t="str">
        <f>_xlfn.XLOOKUP(Table3[[#This Row],[Cuenta]],Estructura_Balance[Nombre Cuenta ()],Estructura_Balance[Grupo],"",0)</f>
        <v/>
      </c>
      <c r="N1355" t="str">
        <f>_xlfn.XLOOKUP(Table3[[#This Row],[Cuenta]],Estructura_Balance[Nombre Cuenta ()],Estructura_Balance[Nivel 1],"",0)</f>
        <v/>
      </c>
      <c r="O1355" t="str">
        <f>_xlfn.XLOOKUP(Table3[[#This Row],[Cuenta]],Estructura_Balance[Nombre Cuenta ()],Estructura_Balance[Nivel 2],"",0)</f>
        <v/>
      </c>
      <c r="P1355" t="str">
        <f>_xlfn.XLOOKUP(Table3[[#This Row],[Cuenta]],Estructura_Balance[Nombre Cuenta ()],Estructura_Balance[Nivel 3],"",0)</f>
        <v/>
      </c>
      <c r="Q1355" t="str">
        <f>_xlfn.XLOOKUP(Table3[[#This Row],[Cuenta]],Estructura_Balance[Nombre Cuenta ()],Estructura_Balance[Nivel 4],"",0)</f>
        <v/>
      </c>
      <c r="R1355" t="str">
        <f>_xlfn.XLOOKUP(Table3[[#This Row],[Cuenta]],Table8[Nombre Cuenta ()],Table8[Nivel 1],"",0)</f>
        <v/>
      </c>
      <c r="S1355" t="str">
        <f>_xlfn.XLOOKUP(Table3[[#This Row],[Cuenta]],Table8[Nombre Cuenta ()],Table8[Nivel 2],"",0)</f>
        <v/>
      </c>
      <c r="T1355" t="str">
        <f>_xlfn.XLOOKUP(Table3[[#This Row],[Cuenta]],Table8[Nombre Cuenta ()],Table8[Nivel 3],"",0)</f>
        <v/>
      </c>
      <c r="U1355">
        <v>1283</v>
      </c>
      <c r="V1355" t="str">
        <f>_xlfn.XLOOKUP(Table3[[#This Row],[Cuenta]],Estructura_Balance[Nombre Cuenta ()],Estructura_Balance[Niveles:2],"",0)</f>
        <v/>
      </c>
      <c r="W1355" t="str">
        <f>_xlfn.XLOOKUP(Table3[[#This Row],[Cuenta]],Estructura_Balance[Nombre Cuenta ()],Estructura_Balance[Niveles:3],"",0)</f>
        <v/>
      </c>
      <c r="X1355" t="str">
        <f>_xlfn.XLOOKUP(Table3[[#This Row],[Cuenta]],Estructura_Balance[Nombre Cuenta ()],Estructura_Balance[Grupos],"Grupo 1",0)</f>
        <v>Grupo 1</v>
      </c>
      <c r="Y1355" t="str">
        <f>+Table3[[#This Row],[BS_Nivel_1]]</f>
        <v/>
      </c>
    </row>
    <row r="1356" spans="1:25" ht="15" customHeight="1">
      <c r="A1356">
        <f>+'Libro Diario'!F776</f>
        <v>0</v>
      </c>
      <c r="B1356" s="144">
        <f>VALUE(IF(+'Libro Diario'!G776="","01/01/2025",+'Libro Diario'!G776))</f>
        <v>45658</v>
      </c>
      <c r="C1356">
        <f>IF(ISNUMBER(+IF(IFERROR(VALUE(MID('Libro Diario'!D776,1,4)),0)&lt;&gt;0,'Libro Diario'!D776,0))=FALSE,'Libro Diario'!D776,0)</f>
        <v>0</v>
      </c>
      <c r="D1356" s="145">
        <f>+'Libro Diario'!E776</f>
        <v>0</v>
      </c>
      <c r="E1356" s="139" t="s">
        <v>446</v>
      </c>
      <c r="F1356" t="str">
        <f t="shared" si="63"/>
        <v>Sin Mov.</v>
      </c>
      <c r="G1356" t="str">
        <f>IF(+'Libro Diario'!H776=0,"",+'Libro Diario'!H776)</f>
        <v/>
      </c>
      <c r="H1356" t="str">
        <f>IF(+'Libro Diario'!I776=0,"",+'Libro Diario'!I776)</f>
        <v/>
      </c>
      <c r="I1356" t="str">
        <f>+IF(Table3[[#This Row],[Tipo Movimiento]]="Estructura Balance y PyG","Excluir","Incluir")</f>
        <v>Incluir</v>
      </c>
      <c r="J1356" s="153">
        <f>+IF(Table3[[#This Row],[Sin cuenta]]="Con Mov.",(IF(Table3[[#This Row],[Movimiento]]="Debe",Table3[[#This Row],[Importe]],IF(Table3[[#This Row],[Movimiento]]="Haber",Table3[[#This Row],[Importe]]*-1,0))),0)</f>
        <v>0</v>
      </c>
      <c r="K1356" s="145" t="str">
        <f t="shared" si="64"/>
        <v/>
      </c>
      <c r="L1356" s="145">
        <f t="shared" si="65"/>
        <v>0</v>
      </c>
      <c r="M1356" t="str">
        <f>_xlfn.XLOOKUP(Table3[[#This Row],[Cuenta]],Estructura_Balance[Nombre Cuenta ()],Estructura_Balance[Grupo],"",0)</f>
        <v/>
      </c>
      <c r="N1356" t="str">
        <f>_xlfn.XLOOKUP(Table3[[#This Row],[Cuenta]],Estructura_Balance[Nombre Cuenta ()],Estructura_Balance[Nivel 1],"",0)</f>
        <v/>
      </c>
      <c r="O1356" t="str">
        <f>_xlfn.XLOOKUP(Table3[[#This Row],[Cuenta]],Estructura_Balance[Nombre Cuenta ()],Estructura_Balance[Nivel 2],"",0)</f>
        <v/>
      </c>
      <c r="P1356" t="str">
        <f>_xlfn.XLOOKUP(Table3[[#This Row],[Cuenta]],Estructura_Balance[Nombre Cuenta ()],Estructura_Balance[Nivel 3],"",0)</f>
        <v/>
      </c>
      <c r="Q1356" t="str">
        <f>_xlfn.XLOOKUP(Table3[[#This Row],[Cuenta]],Estructura_Balance[Nombre Cuenta ()],Estructura_Balance[Nivel 4],"",0)</f>
        <v/>
      </c>
      <c r="R1356" t="str">
        <f>_xlfn.XLOOKUP(Table3[[#This Row],[Cuenta]],Table8[Nombre Cuenta ()],Table8[Nivel 1],"",0)</f>
        <v/>
      </c>
      <c r="S1356" t="str">
        <f>_xlfn.XLOOKUP(Table3[[#This Row],[Cuenta]],Table8[Nombre Cuenta ()],Table8[Nivel 2],"",0)</f>
        <v/>
      </c>
      <c r="T1356" t="str">
        <f>_xlfn.XLOOKUP(Table3[[#This Row],[Cuenta]],Table8[Nombre Cuenta ()],Table8[Nivel 3],"",0)</f>
        <v/>
      </c>
      <c r="U1356">
        <v>1284</v>
      </c>
      <c r="V1356" t="str">
        <f>_xlfn.XLOOKUP(Table3[[#This Row],[Cuenta]],Estructura_Balance[Nombre Cuenta ()],Estructura_Balance[Niveles:2],"",0)</f>
        <v/>
      </c>
      <c r="W1356" t="str">
        <f>_xlfn.XLOOKUP(Table3[[#This Row],[Cuenta]],Estructura_Balance[Nombre Cuenta ()],Estructura_Balance[Niveles:3],"",0)</f>
        <v/>
      </c>
      <c r="X1356" t="str">
        <f>_xlfn.XLOOKUP(Table3[[#This Row],[Cuenta]],Estructura_Balance[Nombre Cuenta ()],Estructura_Balance[Grupos],"Grupo 1",0)</f>
        <v>Grupo 1</v>
      </c>
      <c r="Y1356" t="str">
        <f>+Table3[[#This Row],[BS_Nivel_1]]</f>
        <v/>
      </c>
    </row>
    <row r="1357" spans="1:25" ht="15" customHeight="1">
      <c r="A1357">
        <f>+'Libro Diario'!F777</f>
        <v>0</v>
      </c>
      <c r="B1357" s="144">
        <f>VALUE(IF(+'Libro Diario'!G777="","01/01/2025",+'Libro Diario'!G777))</f>
        <v>45658</v>
      </c>
      <c r="C1357">
        <f>IF(ISNUMBER(+IF(IFERROR(VALUE(MID('Libro Diario'!D777,1,4)),0)&lt;&gt;0,'Libro Diario'!D777,0))=FALSE,'Libro Diario'!D777,0)</f>
        <v>0</v>
      </c>
      <c r="D1357" s="145">
        <f>+'Libro Diario'!E777</f>
        <v>0</v>
      </c>
      <c r="E1357" s="139" t="s">
        <v>446</v>
      </c>
      <c r="F1357" t="str">
        <f t="shared" si="63"/>
        <v>Sin Mov.</v>
      </c>
      <c r="G1357" t="str">
        <f>IF(+'Libro Diario'!H777=0,"",+'Libro Diario'!H777)</f>
        <v/>
      </c>
      <c r="H1357" t="str">
        <f>IF(+'Libro Diario'!I777=0,"",+'Libro Diario'!I777)</f>
        <v/>
      </c>
      <c r="I1357" t="str">
        <f>+IF(Table3[[#This Row],[Tipo Movimiento]]="Estructura Balance y PyG","Excluir","Incluir")</f>
        <v>Incluir</v>
      </c>
      <c r="J1357" s="153">
        <f>+IF(Table3[[#This Row],[Sin cuenta]]="Con Mov.",(IF(Table3[[#This Row],[Movimiento]]="Debe",Table3[[#This Row],[Importe]],IF(Table3[[#This Row],[Movimiento]]="Haber",Table3[[#This Row],[Importe]]*-1,0))),0)</f>
        <v>0</v>
      </c>
      <c r="K1357" s="145" t="str">
        <f t="shared" si="64"/>
        <v/>
      </c>
      <c r="L1357" s="145">
        <f t="shared" si="65"/>
        <v>0</v>
      </c>
      <c r="M1357" t="str">
        <f>_xlfn.XLOOKUP(Table3[[#This Row],[Cuenta]],Estructura_Balance[Nombre Cuenta ()],Estructura_Balance[Grupo],"",0)</f>
        <v/>
      </c>
      <c r="N1357" t="str">
        <f>_xlfn.XLOOKUP(Table3[[#This Row],[Cuenta]],Estructura_Balance[Nombre Cuenta ()],Estructura_Balance[Nivel 1],"",0)</f>
        <v/>
      </c>
      <c r="O1357" t="str">
        <f>_xlfn.XLOOKUP(Table3[[#This Row],[Cuenta]],Estructura_Balance[Nombre Cuenta ()],Estructura_Balance[Nivel 2],"",0)</f>
        <v/>
      </c>
      <c r="P1357" t="str">
        <f>_xlfn.XLOOKUP(Table3[[#This Row],[Cuenta]],Estructura_Balance[Nombre Cuenta ()],Estructura_Balance[Nivel 3],"",0)</f>
        <v/>
      </c>
      <c r="Q1357" t="str">
        <f>_xlfn.XLOOKUP(Table3[[#This Row],[Cuenta]],Estructura_Balance[Nombre Cuenta ()],Estructura_Balance[Nivel 4],"",0)</f>
        <v/>
      </c>
      <c r="R1357" t="str">
        <f>_xlfn.XLOOKUP(Table3[[#This Row],[Cuenta]],Table8[Nombre Cuenta ()],Table8[Nivel 1],"",0)</f>
        <v/>
      </c>
      <c r="S1357" t="str">
        <f>_xlfn.XLOOKUP(Table3[[#This Row],[Cuenta]],Table8[Nombre Cuenta ()],Table8[Nivel 2],"",0)</f>
        <v/>
      </c>
      <c r="T1357" t="str">
        <f>_xlfn.XLOOKUP(Table3[[#This Row],[Cuenta]],Table8[Nombre Cuenta ()],Table8[Nivel 3],"",0)</f>
        <v/>
      </c>
      <c r="U1357">
        <v>292</v>
      </c>
      <c r="V1357" t="str">
        <f>_xlfn.XLOOKUP(Table3[[#This Row],[Cuenta]],Estructura_Balance[Nombre Cuenta ()],Estructura_Balance[Niveles:2],"",0)</f>
        <v/>
      </c>
      <c r="W1357" t="str">
        <f>_xlfn.XLOOKUP(Table3[[#This Row],[Cuenta]],Estructura_Balance[Nombre Cuenta ()],Estructura_Balance[Niveles:3],"",0)</f>
        <v/>
      </c>
      <c r="X1357" t="str">
        <f>_xlfn.XLOOKUP(Table3[[#This Row],[Cuenta]],Estructura_Balance[Nombre Cuenta ()],Estructura_Balance[Grupos],"Grupo 1",0)</f>
        <v>Grupo 1</v>
      </c>
      <c r="Y1357" t="str">
        <f>+Table3[[#This Row],[BS_Nivel_1]]</f>
        <v/>
      </c>
    </row>
    <row r="1358" spans="1:25" ht="15" customHeight="1">
      <c r="A1358">
        <f>+'Libro Diario'!F778</f>
        <v>0</v>
      </c>
      <c r="B1358" s="144">
        <f>VALUE(IF(+'Libro Diario'!G778="","01/01/2025",+'Libro Diario'!G778))</f>
        <v>45658</v>
      </c>
      <c r="C1358">
        <f>IF(ISNUMBER(+IF(IFERROR(VALUE(MID('Libro Diario'!D778,1,4)),0)&lt;&gt;0,'Libro Diario'!D778,0))=FALSE,'Libro Diario'!D778,0)</f>
        <v>0</v>
      </c>
      <c r="D1358" s="145">
        <f>+'Libro Diario'!E778</f>
        <v>0</v>
      </c>
      <c r="E1358" s="139" t="s">
        <v>446</v>
      </c>
      <c r="F1358" t="str">
        <f t="shared" si="63"/>
        <v>Sin Mov.</v>
      </c>
      <c r="G1358" t="str">
        <f>IF(+'Libro Diario'!H778=0,"",+'Libro Diario'!H778)</f>
        <v/>
      </c>
      <c r="H1358" t="str">
        <f>IF(+'Libro Diario'!I778=0,"",+'Libro Diario'!I778)</f>
        <v/>
      </c>
      <c r="I1358" t="str">
        <f>+IF(Table3[[#This Row],[Tipo Movimiento]]="Estructura Balance y PyG","Excluir","Incluir")</f>
        <v>Incluir</v>
      </c>
      <c r="J1358" s="153">
        <f>+IF(Table3[[#This Row],[Sin cuenta]]="Con Mov.",(IF(Table3[[#This Row],[Movimiento]]="Debe",Table3[[#This Row],[Importe]],IF(Table3[[#This Row],[Movimiento]]="Haber",Table3[[#This Row],[Importe]]*-1,0))),0)</f>
        <v>0</v>
      </c>
      <c r="K1358" s="145" t="str">
        <f t="shared" si="64"/>
        <v/>
      </c>
      <c r="L1358" s="145">
        <f t="shared" si="65"/>
        <v>0</v>
      </c>
      <c r="M1358" t="str">
        <f>_xlfn.XLOOKUP(Table3[[#This Row],[Cuenta]],Estructura_Balance[Nombre Cuenta ()],Estructura_Balance[Grupo],"",0)</f>
        <v/>
      </c>
      <c r="N1358" t="str">
        <f>_xlfn.XLOOKUP(Table3[[#This Row],[Cuenta]],Estructura_Balance[Nombre Cuenta ()],Estructura_Balance[Nivel 1],"",0)</f>
        <v/>
      </c>
      <c r="O1358" t="str">
        <f>_xlfn.XLOOKUP(Table3[[#This Row],[Cuenta]],Estructura_Balance[Nombre Cuenta ()],Estructura_Balance[Nivel 2],"",0)</f>
        <v/>
      </c>
      <c r="P1358" t="str">
        <f>_xlfn.XLOOKUP(Table3[[#This Row],[Cuenta]],Estructura_Balance[Nombre Cuenta ()],Estructura_Balance[Nivel 3],"",0)</f>
        <v/>
      </c>
      <c r="Q1358" t="str">
        <f>_xlfn.XLOOKUP(Table3[[#This Row],[Cuenta]],Estructura_Balance[Nombre Cuenta ()],Estructura_Balance[Nivel 4],"",0)</f>
        <v/>
      </c>
      <c r="R1358" t="str">
        <f>_xlfn.XLOOKUP(Table3[[#This Row],[Cuenta]],Table8[Nombre Cuenta ()],Table8[Nivel 1],"",0)</f>
        <v/>
      </c>
      <c r="S1358" t="str">
        <f>_xlfn.XLOOKUP(Table3[[#This Row],[Cuenta]],Table8[Nombre Cuenta ()],Table8[Nivel 2],"",0)</f>
        <v/>
      </c>
      <c r="T1358" t="str">
        <f>_xlfn.XLOOKUP(Table3[[#This Row],[Cuenta]],Table8[Nombre Cuenta ()],Table8[Nivel 3],"",0)</f>
        <v/>
      </c>
      <c r="U1358">
        <v>293</v>
      </c>
      <c r="V1358" t="str">
        <f>_xlfn.XLOOKUP(Table3[[#This Row],[Cuenta]],Estructura_Balance[Nombre Cuenta ()],Estructura_Balance[Niveles:2],"",0)</f>
        <v/>
      </c>
      <c r="W1358" t="str">
        <f>_xlfn.XLOOKUP(Table3[[#This Row],[Cuenta]],Estructura_Balance[Nombre Cuenta ()],Estructura_Balance[Niveles:3],"",0)</f>
        <v/>
      </c>
      <c r="X1358" t="str">
        <f>_xlfn.XLOOKUP(Table3[[#This Row],[Cuenta]],Estructura_Balance[Nombre Cuenta ()],Estructura_Balance[Grupos],"Grupo 1",0)</f>
        <v>Grupo 1</v>
      </c>
      <c r="Y1358" t="str">
        <f>+Table3[[#This Row],[BS_Nivel_1]]</f>
        <v/>
      </c>
    </row>
    <row r="1359" spans="1:25" ht="15" customHeight="1">
      <c r="A1359">
        <f>+'Libro Diario'!F779</f>
        <v>0</v>
      </c>
      <c r="B1359" s="144">
        <f>VALUE(IF(+'Libro Diario'!G779="","01/01/2025",+'Libro Diario'!G779))</f>
        <v>45658</v>
      </c>
      <c r="C1359">
        <f>IF(ISNUMBER(+IF(IFERROR(VALUE(MID('Libro Diario'!D779,1,4)),0)&lt;&gt;0,'Libro Diario'!D779,0))=FALSE,'Libro Diario'!D779,0)</f>
        <v>0</v>
      </c>
      <c r="D1359" s="145">
        <f>+'Libro Diario'!E779</f>
        <v>0</v>
      </c>
      <c r="E1359" s="139" t="s">
        <v>446</v>
      </c>
      <c r="F1359" t="str">
        <f t="shared" si="63"/>
        <v>Sin Mov.</v>
      </c>
      <c r="G1359" t="str">
        <f>IF(+'Libro Diario'!H779=0,"",+'Libro Diario'!H779)</f>
        <v/>
      </c>
      <c r="H1359" t="str">
        <f>IF(+'Libro Diario'!I779=0,"",+'Libro Diario'!I779)</f>
        <v/>
      </c>
      <c r="I1359" t="str">
        <f>+IF(Table3[[#This Row],[Tipo Movimiento]]="Estructura Balance y PyG","Excluir","Incluir")</f>
        <v>Incluir</v>
      </c>
      <c r="J1359" s="153">
        <f>+IF(Table3[[#This Row],[Sin cuenta]]="Con Mov.",(IF(Table3[[#This Row],[Movimiento]]="Debe",Table3[[#This Row],[Importe]],IF(Table3[[#This Row],[Movimiento]]="Haber",Table3[[#This Row],[Importe]]*-1,0))),0)</f>
        <v>0</v>
      </c>
      <c r="K1359" s="145" t="str">
        <f t="shared" si="64"/>
        <v/>
      </c>
      <c r="L1359" s="145">
        <f t="shared" si="65"/>
        <v>0</v>
      </c>
      <c r="M1359" t="str">
        <f>_xlfn.XLOOKUP(Table3[[#This Row],[Cuenta]],Estructura_Balance[Nombre Cuenta ()],Estructura_Balance[Grupo],"",0)</f>
        <v/>
      </c>
      <c r="N1359" t="str">
        <f>_xlfn.XLOOKUP(Table3[[#This Row],[Cuenta]],Estructura_Balance[Nombre Cuenta ()],Estructura_Balance[Nivel 1],"",0)</f>
        <v/>
      </c>
      <c r="O1359" t="str">
        <f>_xlfn.XLOOKUP(Table3[[#This Row],[Cuenta]],Estructura_Balance[Nombre Cuenta ()],Estructura_Balance[Nivel 2],"",0)</f>
        <v/>
      </c>
      <c r="P1359" t="str">
        <f>_xlfn.XLOOKUP(Table3[[#This Row],[Cuenta]],Estructura_Balance[Nombre Cuenta ()],Estructura_Balance[Nivel 3],"",0)</f>
        <v/>
      </c>
      <c r="Q1359" t="str">
        <f>_xlfn.XLOOKUP(Table3[[#This Row],[Cuenta]],Estructura_Balance[Nombre Cuenta ()],Estructura_Balance[Nivel 4],"",0)</f>
        <v/>
      </c>
      <c r="R1359" t="str">
        <f>_xlfn.XLOOKUP(Table3[[#This Row],[Cuenta]],Table8[Nombre Cuenta ()],Table8[Nivel 1],"",0)</f>
        <v/>
      </c>
      <c r="S1359" t="str">
        <f>_xlfn.XLOOKUP(Table3[[#This Row],[Cuenta]],Table8[Nombre Cuenta ()],Table8[Nivel 2],"",0)</f>
        <v/>
      </c>
      <c r="T1359" t="str">
        <f>_xlfn.XLOOKUP(Table3[[#This Row],[Cuenta]],Table8[Nombre Cuenta ()],Table8[Nivel 3],"",0)</f>
        <v/>
      </c>
      <c r="U1359">
        <v>1290</v>
      </c>
      <c r="V1359" t="str">
        <f>_xlfn.XLOOKUP(Table3[[#This Row],[Cuenta]],Estructura_Balance[Nombre Cuenta ()],Estructura_Balance[Niveles:2],"",0)</f>
        <v/>
      </c>
      <c r="W1359" t="str">
        <f>_xlfn.XLOOKUP(Table3[[#This Row],[Cuenta]],Estructura_Balance[Nombre Cuenta ()],Estructura_Balance[Niveles:3],"",0)</f>
        <v/>
      </c>
      <c r="X1359" t="str">
        <f>_xlfn.XLOOKUP(Table3[[#This Row],[Cuenta]],Estructura_Balance[Nombre Cuenta ()],Estructura_Balance[Grupos],"Grupo 1",0)</f>
        <v>Grupo 1</v>
      </c>
      <c r="Y1359" t="str">
        <f>+Table3[[#This Row],[BS_Nivel_1]]</f>
        <v/>
      </c>
    </row>
    <row r="1360" spans="1:25" ht="15" customHeight="1">
      <c r="A1360">
        <f>+'Libro Diario'!F780</f>
        <v>0</v>
      </c>
      <c r="B1360" s="144">
        <f>VALUE(IF(+'Libro Diario'!G780="","01/01/2025",+'Libro Diario'!G780))</f>
        <v>45658</v>
      </c>
      <c r="C1360">
        <f>IF(ISNUMBER(+IF(IFERROR(VALUE(MID('Libro Diario'!D780,1,4)),0)&lt;&gt;0,'Libro Diario'!D780,0))=FALSE,'Libro Diario'!D780,0)</f>
        <v>0</v>
      </c>
      <c r="D1360" s="145">
        <f>+'Libro Diario'!E780</f>
        <v>0</v>
      </c>
      <c r="E1360" s="139" t="s">
        <v>446</v>
      </c>
      <c r="F1360" t="str">
        <f t="shared" si="63"/>
        <v>Sin Mov.</v>
      </c>
      <c r="G1360" t="str">
        <f>IF(+'Libro Diario'!H780=0,"",+'Libro Diario'!H780)</f>
        <v/>
      </c>
      <c r="H1360" t="str">
        <f>IF(+'Libro Diario'!I780=0,"",+'Libro Diario'!I780)</f>
        <v/>
      </c>
      <c r="I1360" t="str">
        <f>+IF(Table3[[#This Row],[Tipo Movimiento]]="Estructura Balance y PyG","Excluir","Incluir")</f>
        <v>Incluir</v>
      </c>
      <c r="J1360" s="153">
        <f>+IF(Table3[[#This Row],[Sin cuenta]]="Con Mov.",(IF(Table3[[#This Row],[Movimiento]]="Debe",Table3[[#This Row],[Importe]],IF(Table3[[#This Row],[Movimiento]]="Haber",Table3[[#This Row],[Importe]]*-1,0))),0)</f>
        <v>0</v>
      </c>
      <c r="K1360" s="145" t="str">
        <f t="shared" si="64"/>
        <v/>
      </c>
      <c r="L1360" s="145">
        <f t="shared" si="65"/>
        <v>0</v>
      </c>
      <c r="M1360" t="str">
        <f>_xlfn.XLOOKUP(Table3[[#This Row],[Cuenta]],Estructura_Balance[Nombre Cuenta ()],Estructura_Balance[Grupo],"",0)</f>
        <v/>
      </c>
      <c r="N1360" t="str">
        <f>_xlfn.XLOOKUP(Table3[[#This Row],[Cuenta]],Estructura_Balance[Nombre Cuenta ()],Estructura_Balance[Nivel 1],"",0)</f>
        <v/>
      </c>
      <c r="O1360" t="str">
        <f>_xlfn.XLOOKUP(Table3[[#This Row],[Cuenta]],Estructura_Balance[Nombre Cuenta ()],Estructura_Balance[Nivel 2],"",0)</f>
        <v/>
      </c>
      <c r="P1360" t="str">
        <f>_xlfn.XLOOKUP(Table3[[#This Row],[Cuenta]],Estructura_Balance[Nombre Cuenta ()],Estructura_Balance[Nivel 3],"",0)</f>
        <v/>
      </c>
      <c r="Q1360" t="str">
        <f>_xlfn.XLOOKUP(Table3[[#This Row],[Cuenta]],Estructura_Balance[Nombre Cuenta ()],Estructura_Balance[Nivel 4],"",0)</f>
        <v/>
      </c>
      <c r="R1360" t="str">
        <f>_xlfn.XLOOKUP(Table3[[#This Row],[Cuenta]],Table8[Nombre Cuenta ()],Table8[Nivel 1],"",0)</f>
        <v/>
      </c>
      <c r="S1360" t="str">
        <f>_xlfn.XLOOKUP(Table3[[#This Row],[Cuenta]],Table8[Nombre Cuenta ()],Table8[Nivel 2],"",0)</f>
        <v/>
      </c>
      <c r="T1360" t="str">
        <f>_xlfn.XLOOKUP(Table3[[#This Row],[Cuenta]],Table8[Nombre Cuenta ()],Table8[Nivel 3],"",0)</f>
        <v/>
      </c>
      <c r="U1360">
        <v>1291</v>
      </c>
      <c r="V1360" t="str">
        <f>_xlfn.XLOOKUP(Table3[[#This Row],[Cuenta]],Estructura_Balance[Nombre Cuenta ()],Estructura_Balance[Niveles:2],"",0)</f>
        <v/>
      </c>
      <c r="W1360" t="str">
        <f>_xlfn.XLOOKUP(Table3[[#This Row],[Cuenta]],Estructura_Balance[Nombre Cuenta ()],Estructura_Balance[Niveles:3],"",0)</f>
        <v/>
      </c>
      <c r="X1360" t="str">
        <f>_xlfn.XLOOKUP(Table3[[#This Row],[Cuenta]],Estructura_Balance[Nombre Cuenta ()],Estructura_Balance[Grupos],"Grupo 1",0)</f>
        <v>Grupo 1</v>
      </c>
      <c r="Y1360" t="str">
        <f>+Table3[[#This Row],[BS_Nivel_1]]</f>
        <v/>
      </c>
    </row>
    <row r="1361" spans="1:25" ht="15" customHeight="1">
      <c r="A1361">
        <f>+'Libro Diario'!F781</f>
        <v>0</v>
      </c>
      <c r="B1361" s="144">
        <f>VALUE(IF(+'Libro Diario'!G781="","01/01/2025",+'Libro Diario'!G781))</f>
        <v>45658</v>
      </c>
      <c r="C1361">
        <f>IF(ISNUMBER(+IF(IFERROR(VALUE(MID('Libro Diario'!D781,1,4)),0)&lt;&gt;0,'Libro Diario'!D781,0))=FALSE,'Libro Diario'!D781,0)</f>
        <v>0</v>
      </c>
      <c r="D1361" s="145">
        <f>+'Libro Diario'!E781</f>
        <v>0</v>
      </c>
      <c r="E1361" s="139" t="s">
        <v>446</v>
      </c>
      <c r="F1361" t="str">
        <f t="shared" si="63"/>
        <v>Sin Mov.</v>
      </c>
      <c r="G1361" t="str">
        <f>IF(+'Libro Diario'!H781=0,"",+'Libro Diario'!H781)</f>
        <v/>
      </c>
      <c r="H1361" t="str">
        <f>IF(+'Libro Diario'!I781=0,"",+'Libro Diario'!I781)</f>
        <v/>
      </c>
      <c r="I1361" t="str">
        <f>+IF(Table3[[#This Row],[Tipo Movimiento]]="Estructura Balance y PyG","Excluir","Incluir")</f>
        <v>Incluir</v>
      </c>
      <c r="J1361" s="153">
        <f>+IF(Table3[[#This Row],[Sin cuenta]]="Con Mov.",(IF(Table3[[#This Row],[Movimiento]]="Debe",Table3[[#This Row],[Importe]],IF(Table3[[#This Row],[Movimiento]]="Haber",Table3[[#This Row],[Importe]]*-1,0))),0)</f>
        <v>0</v>
      </c>
      <c r="K1361" s="145" t="str">
        <f t="shared" si="64"/>
        <v/>
      </c>
      <c r="L1361" s="145">
        <f t="shared" si="65"/>
        <v>0</v>
      </c>
      <c r="M1361" t="str">
        <f>_xlfn.XLOOKUP(Table3[[#This Row],[Cuenta]],Estructura_Balance[Nombre Cuenta ()],Estructura_Balance[Grupo],"",0)</f>
        <v/>
      </c>
      <c r="N1361" t="str">
        <f>_xlfn.XLOOKUP(Table3[[#This Row],[Cuenta]],Estructura_Balance[Nombre Cuenta ()],Estructura_Balance[Nivel 1],"",0)</f>
        <v/>
      </c>
      <c r="O1361" t="str">
        <f>_xlfn.XLOOKUP(Table3[[#This Row],[Cuenta]],Estructura_Balance[Nombre Cuenta ()],Estructura_Balance[Nivel 2],"",0)</f>
        <v/>
      </c>
      <c r="P1361" t="str">
        <f>_xlfn.XLOOKUP(Table3[[#This Row],[Cuenta]],Estructura_Balance[Nombre Cuenta ()],Estructura_Balance[Nivel 3],"",0)</f>
        <v/>
      </c>
      <c r="Q1361" t="str">
        <f>_xlfn.XLOOKUP(Table3[[#This Row],[Cuenta]],Estructura_Balance[Nombre Cuenta ()],Estructura_Balance[Nivel 4],"",0)</f>
        <v/>
      </c>
      <c r="R1361" t="str">
        <f>_xlfn.XLOOKUP(Table3[[#This Row],[Cuenta]],Table8[Nombre Cuenta ()],Table8[Nivel 1],"",0)</f>
        <v/>
      </c>
      <c r="S1361" t="str">
        <f>_xlfn.XLOOKUP(Table3[[#This Row],[Cuenta]],Table8[Nombre Cuenta ()],Table8[Nivel 2],"",0)</f>
        <v/>
      </c>
      <c r="T1361" t="str">
        <f>_xlfn.XLOOKUP(Table3[[#This Row],[Cuenta]],Table8[Nombre Cuenta ()],Table8[Nivel 3],"",0)</f>
        <v/>
      </c>
      <c r="U1361">
        <v>299</v>
      </c>
      <c r="V1361" t="str">
        <f>_xlfn.XLOOKUP(Table3[[#This Row],[Cuenta]],Estructura_Balance[Nombre Cuenta ()],Estructura_Balance[Niveles:2],"",0)</f>
        <v/>
      </c>
      <c r="W1361" t="str">
        <f>_xlfn.XLOOKUP(Table3[[#This Row],[Cuenta]],Estructura_Balance[Nombre Cuenta ()],Estructura_Balance[Niveles:3],"",0)</f>
        <v/>
      </c>
      <c r="X1361" t="str">
        <f>_xlfn.XLOOKUP(Table3[[#This Row],[Cuenta]],Estructura_Balance[Nombre Cuenta ()],Estructura_Balance[Grupos],"Grupo 1",0)</f>
        <v>Grupo 1</v>
      </c>
      <c r="Y1361" t="str">
        <f>+Table3[[#This Row],[BS_Nivel_1]]</f>
        <v/>
      </c>
    </row>
    <row r="1362" spans="1:25" ht="15" customHeight="1">
      <c r="A1362">
        <f>+'Libro Diario'!F782</f>
        <v>0</v>
      </c>
      <c r="B1362" s="144">
        <f>VALUE(IF(+'Libro Diario'!G782="","01/01/2025",+'Libro Diario'!G782))</f>
        <v>45658</v>
      </c>
      <c r="C1362">
        <f>IF(ISNUMBER(+IF(IFERROR(VALUE(MID('Libro Diario'!D782,1,4)),0)&lt;&gt;0,'Libro Diario'!D782,0))=FALSE,'Libro Diario'!D782,0)</f>
        <v>0</v>
      </c>
      <c r="D1362" s="145">
        <f>+'Libro Diario'!E782</f>
        <v>0</v>
      </c>
      <c r="E1362" s="139" t="s">
        <v>446</v>
      </c>
      <c r="F1362" t="str">
        <f t="shared" si="63"/>
        <v>Sin Mov.</v>
      </c>
      <c r="G1362" t="str">
        <f>IF(+'Libro Diario'!H782=0,"",+'Libro Diario'!H782)</f>
        <v/>
      </c>
      <c r="H1362" t="str">
        <f>IF(+'Libro Diario'!I782=0,"",+'Libro Diario'!I782)</f>
        <v/>
      </c>
      <c r="I1362" t="str">
        <f>+IF(Table3[[#This Row],[Tipo Movimiento]]="Estructura Balance y PyG","Excluir","Incluir")</f>
        <v>Incluir</v>
      </c>
      <c r="J1362" s="153">
        <f>+IF(Table3[[#This Row],[Sin cuenta]]="Con Mov.",(IF(Table3[[#This Row],[Movimiento]]="Debe",Table3[[#This Row],[Importe]],IF(Table3[[#This Row],[Movimiento]]="Haber",Table3[[#This Row],[Importe]]*-1,0))),0)</f>
        <v>0</v>
      </c>
      <c r="K1362" s="145" t="str">
        <f t="shared" si="64"/>
        <v/>
      </c>
      <c r="L1362" s="145">
        <f t="shared" si="65"/>
        <v>0</v>
      </c>
      <c r="M1362" t="str">
        <f>_xlfn.XLOOKUP(Table3[[#This Row],[Cuenta]],Estructura_Balance[Nombre Cuenta ()],Estructura_Balance[Grupo],"",0)</f>
        <v/>
      </c>
      <c r="N1362" t="str">
        <f>_xlfn.XLOOKUP(Table3[[#This Row],[Cuenta]],Estructura_Balance[Nombre Cuenta ()],Estructura_Balance[Nivel 1],"",0)</f>
        <v/>
      </c>
      <c r="O1362" t="str">
        <f>_xlfn.XLOOKUP(Table3[[#This Row],[Cuenta]],Estructura_Balance[Nombre Cuenta ()],Estructura_Balance[Nivel 2],"",0)</f>
        <v/>
      </c>
      <c r="P1362" t="str">
        <f>_xlfn.XLOOKUP(Table3[[#This Row],[Cuenta]],Estructura_Balance[Nombre Cuenta ()],Estructura_Balance[Nivel 3],"",0)</f>
        <v/>
      </c>
      <c r="Q1362" t="str">
        <f>_xlfn.XLOOKUP(Table3[[#This Row],[Cuenta]],Estructura_Balance[Nombre Cuenta ()],Estructura_Balance[Nivel 4],"",0)</f>
        <v/>
      </c>
      <c r="R1362" t="str">
        <f>_xlfn.XLOOKUP(Table3[[#This Row],[Cuenta]],Table8[Nombre Cuenta ()],Table8[Nivel 1],"",0)</f>
        <v/>
      </c>
      <c r="S1362" t="str">
        <f>_xlfn.XLOOKUP(Table3[[#This Row],[Cuenta]],Table8[Nombre Cuenta ()],Table8[Nivel 2],"",0)</f>
        <v/>
      </c>
      <c r="T1362" t="str">
        <f>_xlfn.XLOOKUP(Table3[[#This Row],[Cuenta]],Table8[Nombre Cuenta ()],Table8[Nivel 3],"",0)</f>
        <v/>
      </c>
      <c r="U1362">
        <v>300</v>
      </c>
      <c r="V1362" t="str">
        <f>_xlfn.XLOOKUP(Table3[[#This Row],[Cuenta]],Estructura_Balance[Nombre Cuenta ()],Estructura_Balance[Niveles:2],"",0)</f>
        <v/>
      </c>
      <c r="W1362" t="str">
        <f>_xlfn.XLOOKUP(Table3[[#This Row],[Cuenta]],Estructura_Balance[Nombre Cuenta ()],Estructura_Balance[Niveles:3],"",0)</f>
        <v/>
      </c>
      <c r="X1362" t="str">
        <f>_xlfn.XLOOKUP(Table3[[#This Row],[Cuenta]],Estructura_Balance[Nombre Cuenta ()],Estructura_Balance[Grupos],"Grupo 1",0)</f>
        <v>Grupo 1</v>
      </c>
      <c r="Y1362" t="str">
        <f>+Table3[[#This Row],[BS_Nivel_1]]</f>
        <v/>
      </c>
    </row>
    <row r="1363" spans="1:25" ht="15" customHeight="1">
      <c r="A1363">
        <f>+'Libro Diario'!F783</f>
        <v>0</v>
      </c>
      <c r="B1363" s="144">
        <f>VALUE(IF(+'Libro Diario'!G783="","01/01/2025",+'Libro Diario'!G783))</f>
        <v>45658</v>
      </c>
      <c r="C1363">
        <f>IF(ISNUMBER(+IF(IFERROR(VALUE(MID('Libro Diario'!D783,1,4)),0)&lt;&gt;0,'Libro Diario'!D783,0))=FALSE,'Libro Diario'!D783,0)</f>
        <v>0</v>
      </c>
      <c r="D1363" s="145">
        <f>+'Libro Diario'!E783</f>
        <v>0</v>
      </c>
      <c r="E1363" s="139" t="s">
        <v>446</v>
      </c>
      <c r="F1363" t="str">
        <f t="shared" si="63"/>
        <v>Sin Mov.</v>
      </c>
      <c r="G1363" t="str">
        <f>IF(+'Libro Diario'!H783=0,"",+'Libro Diario'!H783)</f>
        <v/>
      </c>
      <c r="H1363" t="str">
        <f>IF(+'Libro Diario'!I783=0,"",+'Libro Diario'!I783)</f>
        <v/>
      </c>
      <c r="I1363" t="str">
        <f>+IF(Table3[[#This Row],[Tipo Movimiento]]="Estructura Balance y PyG","Excluir","Incluir")</f>
        <v>Incluir</v>
      </c>
      <c r="J1363" s="153">
        <f>+IF(Table3[[#This Row],[Sin cuenta]]="Con Mov.",(IF(Table3[[#This Row],[Movimiento]]="Debe",Table3[[#This Row],[Importe]],IF(Table3[[#This Row],[Movimiento]]="Haber",Table3[[#This Row],[Importe]]*-1,0))),0)</f>
        <v>0</v>
      </c>
      <c r="K1363" s="145" t="str">
        <f t="shared" si="64"/>
        <v/>
      </c>
      <c r="L1363" s="145">
        <f t="shared" si="65"/>
        <v>0</v>
      </c>
      <c r="M1363" t="str">
        <f>_xlfn.XLOOKUP(Table3[[#This Row],[Cuenta]],Estructura_Balance[Nombre Cuenta ()],Estructura_Balance[Grupo],"",0)</f>
        <v/>
      </c>
      <c r="N1363" t="str">
        <f>_xlfn.XLOOKUP(Table3[[#This Row],[Cuenta]],Estructura_Balance[Nombre Cuenta ()],Estructura_Balance[Nivel 1],"",0)</f>
        <v/>
      </c>
      <c r="O1363" t="str">
        <f>_xlfn.XLOOKUP(Table3[[#This Row],[Cuenta]],Estructura_Balance[Nombre Cuenta ()],Estructura_Balance[Nivel 2],"",0)</f>
        <v/>
      </c>
      <c r="P1363" t="str">
        <f>_xlfn.XLOOKUP(Table3[[#This Row],[Cuenta]],Estructura_Balance[Nombre Cuenta ()],Estructura_Balance[Nivel 3],"",0)</f>
        <v/>
      </c>
      <c r="Q1363" t="str">
        <f>_xlfn.XLOOKUP(Table3[[#This Row],[Cuenta]],Estructura_Balance[Nombre Cuenta ()],Estructura_Balance[Nivel 4],"",0)</f>
        <v/>
      </c>
      <c r="R1363" t="str">
        <f>_xlfn.XLOOKUP(Table3[[#This Row],[Cuenta]],Table8[Nombre Cuenta ()],Table8[Nivel 1],"",0)</f>
        <v/>
      </c>
      <c r="S1363" t="str">
        <f>_xlfn.XLOOKUP(Table3[[#This Row],[Cuenta]],Table8[Nombre Cuenta ()],Table8[Nivel 2],"",0)</f>
        <v/>
      </c>
      <c r="T1363" t="str">
        <f>_xlfn.XLOOKUP(Table3[[#This Row],[Cuenta]],Table8[Nombre Cuenta ()],Table8[Nivel 3],"",0)</f>
        <v/>
      </c>
      <c r="U1363">
        <v>1297</v>
      </c>
      <c r="V1363" t="str">
        <f>_xlfn.XLOOKUP(Table3[[#This Row],[Cuenta]],Estructura_Balance[Nombre Cuenta ()],Estructura_Balance[Niveles:2],"",0)</f>
        <v/>
      </c>
      <c r="W1363" t="str">
        <f>_xlfn.XLOOKUP(Table3[[#This Row],[Cuenta]],Estructura_Balance[Nombre Cuenta ()],Estructura_Balance[Niveles:3],"",0)</f>
        <v/>
      </c>
      <c r="X1363" t="str">
        <f>_xlfn.XLOOKUP(Table3[[#This Row],[Cuenta]],Estructura_Balance[Nombre Cuenta ()],Estructura_Balance[Grupos],"Grupo 1",0)</f>
        <v>Grupo 1</v>
      </c>
      <c r="Y1363" t="str">
        <f>+Table3[[#This Row],[BS_Nivel_1]]</f>
        <v/>
      </c>
    </row>
    <row r="1364" spans="1:25" ht="15" customHeight="1">
      <c r="A1364">
        <f>+'Libro Diario'!F784</f>
        <v>0</v>
      </c>
      <c r="B1364" s="144">
        <f>VALUE(IF(+'Libro Diario'!G784="","01/01/2025",+'Libro Diario'!G784))</f>
        <v>45658</v>
      </c>
      <c r="C1364">
        <f>IF(ISNUMBER(+IF(IFERROR(VALUE(MID('Libro Diario'!D784,1,4)),0)&lt;&gt;0,'Libro Diario'!D784,0))=FALSE,'Libro Diario'!D784,0)</f>
        <v>0</v>
      </c>
      <c r="D1364" s="145">
        <f>+'Libro Diario'!E784</f>
        <v>0</v>
      </c>
      <c r="E1364" s="139" t="s">
        <v>446</v>
      </c>
      <c r="F1364" t="str">
        <f t="shared" si="63"/>
        <v>Sin Mov.</v>
      </c>
      <c r="G1364" t="str">
        <f>IF(+'Libro Diario'!H784=0,"",+'Libro Diario'!H784)</f>
        <v/>
      </c>
      <c r="H1364" t="str">
        <f>IF(+'Libro Diario'!I784=0,"",+'Libro Diario'!I784)</f>
        <v/>
      </c>
      <c r="I1364" t="str">
        <f>+IF(Table3[[#This Row],[Tipo Movimiento]]="Estructura Balance y PyG","Excluir","Incluir")</f>
        <v>Incluir</v>
      </c>
      <c r="J1364" s="153">
        <f>+IF(Table3[[#This Row],[Sin cuenta]]="Con Mov.",(IF(Table3[[#This Row],[Movimiento]]="Debe",Table3[[#This Row],[Importe]],IF(Table3[[#This Row],[Movimiento]]="Haber",Table3[[#This Row],[Importe]]*-1,0))),0)</f>
        <v>0</v>
      </c>
      <c r="K1364" s="145" t="str">
        <f t="shared" si="64"/>
        <v/>
      </c>
      <c r="L1364" s="145">
        <f t="shared" si="65"/>
        <v>0</v>
      </c>
      <c r="M1364" t="str">
        <f>_xlfn.XLOOKUP(Table3[[#This Row],[Cuenta]],Estructura_Balance[Nombre Cuenta ()],Estructura_Balance[Grupo],"",0)</f>
        <v/>
      </c>
      <c r="N1364" t="str">
        <f>_xlfn.XLOOKUP(Table3[[#This Row],[Cuenta]],Estructura_Balance[Nombre Cuenta ()],Estructura_Balance[Nivel 1],"",0)</f>
        <v/>
      </c>
      <c r="O1364" t="str">
        <f>_xlfn.XLOOKUP(Table3[[#This Row],[Cuenta]],Estructura_Balance[Nombre Cuenta ()],Estructura_Balance[Nivel 2],"",0)</f>
        <v/>
      </c>
      <c r="P1364" t="str">
        <f>_xlfn.XLOOKUP(Table3[[#This Row],[Cuenta]],Estructura_Balance[Nombre Cuenta ()],Estructura_Balance[Nivel 3],"",0)</f>
        <v/>
      </c>
      <c r="Q1364" t="str">
        <f>_xlfn.XLOOKUP(Table3[[#This Row],[Cuenta]],Estructura_Balance[Nombre Cuenta ()],Estructura_Balance[Nivel 4],"",0)</f>
        <v/>
      </c>
      <c r="R1364" t="str">
        <f>_xlfn.XLOOKUP(Table3[[#This Row],[Cuenta]],Table8[Nombre Cuenta ()],Table8[Nivel 1],"",0)</f>
        <v/>
      </c>
      <c r="S1364" t="str">
        <f>_xlfn.XLOOKUP(Table3[[#This Row],[Cuenta]],Table8[Nombre Cuenta ()],Table8[Nivel 2],"",0)</f>
        <v/>
      </c>
      <c r="T1364" t="str">
        <f>_xlfn.XLOOKUP(Table3[[#This Row],[Cuenta]],Table8[Nombre Cuenta ()],Table8[Nivel 3],"",0)</f>
        <v/>
      </c>
      <c r="U1364">
        <v>1298</v>
      </c>
      <c r="V1364" t="str">
        <f>_xlfn.XLOOKUP(Table3[[#This Row],[Cuenta]],Estructura_Balance[Nombre Cuenta ()],Estructura_Balance[Niveles:2],"",0)</f>
        <v/>
      </c>
      <c r="W1364" t="str">
        <f>_xlfn.XLOOKUP(Table3[[#This Row],[Cuenta]],Estructura_Balance[Nombre Cuenta ()],Estructura_Balance[Niveles:3],"",0)</f>
        <v/>
      </c>
      <c r="X1364" t="str">
        <f>_xlfn.XLOOKUP(Table3[[#This Row],[Cuenta]],Estructura_Balance[Nombre Cuenta ()],Estructura_Balance[Grupos],"Grupo 1",0)</f>
        <v>Grupo 1</v>
      </c>
      <c r="Y1364" t="str">
        <f>+Table3[[#This Row],[BS_Nivel_1]]</f>
        <v/>
      </c>
    </row>
    <row r="1365" spans="1:25" ht="15" customHeight="1">
      <c r="A1365">
        <f>+'Libro Diario'!F785</f>
        <v>0</v>
      </c>
      <c r="B1365" s="144">
        <f>VALUE(IF(+'Libro Diario'!G785="","01/01/2025",+'Libro Diario'!G785))</f>
        <v>45658</v>
      </c>
      <c r="C1365">
        <f>IF(ISNUMBER(+IF(IFERROR(VALUE(MID('Libro Diario'!D785,1,4)),0)&lt;&gt;0,'Libro Diario'!D785,0))=FALSE,'Libro Diario'!D785,0)</f>
        <v>0</v>
      </c>
      <c r="D1365" s="145">
        <f>+'Libro Diario'!E785</f>
        <v>0</v>
      </c>
      <c r="E1365" s="139" t="s">
        <v>446</v>
      </c>
      <c r="F1365" t="str">
        <f t="shared" si="63"/>
        <v>Sin Mov.</v>
      </c>
      <c r="G1365" t="str">
        <f>IF(+'Libro Diario'!H785=0,"",+'Libro Diario'!H785)</f>
        <v/>
      </c>
      <c r="H1365" t="str">
        <f>IF(+'Libro Diario'!I785=0,"",+'Libro Diario'!I785)</f>
        <v/>
      </c>
      <c r="I1365" t="str">
        <f>+IF(Table3[[#This Row],[Tipo Movimiento]]="Estructura Balance y PyG","Excluir","Incluir")</f>
        <v>Incluir</v>
      </c>
      <c r="J1365" s="153">
        <f>+IF(Table3[[#This Row],[Sin cuenta]]="Con Mov.",(IF(Table3[[#This Row],[Movimiento]]="Debe",Table3[[#This Row],[Importe]],IF(Table3[[#This Row],[Movimiento]]="Haber",Table3[[#This Row],[Importe]]*-1,0))),0)</f>
        <v>0</v>
      </c>
      <c r="K1365" s="145" t="str">
        <f t="shared" si="64"/>
        <v/>
      </c>
      <c r="L1365" s="145">
        <f t="shared" si="65"/>
        <v>0</v>
      </c>
      <c r="M1365" t="str">
        <f>_xlfn.XLOOKUP(Table3[[#This Row],[Cuenta]],Estructura_Balance[Nombre Cuenta ()],Estructura_Balance[Grupo],"",0)</f>
        <v/>
      </c>
      <c r="N1365" t="str">
        <f>_xlfn.XLOOKUP(Table3[[#This Row],[Cuenta]],Estructura_Balance[Nombre Cuenta ()],Estructura_Balance[Nivel 1],"",0)</f>
        <v/>
      </c>
      <c r="O1365" t="str">
        <f>_xlfn.XLOOKUP(Table3[[#This Row],[Cuenta]],Estructura_Balance[Nombre Cuenta ()],Estructura_Balance[Nivel 2],"",0)</f>
        <v/>
      </c>
      <c r="P1365" t="str">
        <f>_xlfn.XLOOKUP(Table3[[#This Row],[Cuenta]],Estructura_Balance[Nombre Cuenta ()],Estructura_Balance[Nivel 3],"",0)</f>
        <v/>
      </c>
      <c r="Q1365" t="str">
        <f>_xlfn.XLOOKUP(Table3[[#This Row],[Cuenta]],Estructura_Balance[Nombre Cuenta ()],Estructura_Balance[Nivel 4],"",0)</f>
        <v/>
      </c>
      <c r="R1365" t="str">
        <f>_xlfn.XLOOKUP(Table3[[#This Row],[Cuenta]],Table8[Nombre Cuenta ()],Table8[Nivel 1],"",0)</f>
        <v/>
      </c>
      <c r="S1365" t="str">
        <f>_xlfn.XLOOKUP(Table3[[#This Row],[Cuenta]],Table8[Nombre Cuenta ()],Table8[Nivel 2],"",0)</f>
        <v/>
      </c>
      <c r="T1365" t="str">
        <f>_xlfn.XLOOKUP(Table3[[#This Row],[Cuenta]],Table8[Nombre Cuenta ()],Table8[Nivel 3],"",0)</f>
        <v/>
      </c>
      <c r="U1365">
        <v>306</v>
      </c>
      <c r="V1365" t="str">
        <f>_xlfn.XLOOKUP(Table3[[#This Row],[Cuenta]],Estructura_Balance[Nombre Cuenta ()],Estructura_Balance[Niveles:2],"",0)</f>
        <v/>
      </c>
      <c r="W1365" t="str">
        <f>_xlfn.XLOOKUP(Table3[[#This Row],[Cuenta]],Estructura_Balance[Nombre Cuenta ()],Estructura_Balance[Niveles:3],"",0)</f>
        <v/>
      </c>
      <c r="X1365" t="str">
        <f>_xlfn.XLOOKUP(Table3[[#This Row],[Cuenta]],Estructura_Balance[Nombre Cuenta ()],Estructura_Balance[Grupos],"Grupo 1",0)</f>
        <v>Grupo 1</v>
      </c>
      <c r="Y1365" t="str">
        <f>+Table3[[#This Row],[BS_Nivel_1]]</f>
        <v/>
      </c>
    </row>
    <row r="1366" spans="1:25" ht="15" customHeight="1">
      <c r="A1366">
        <f>+'Libro Diario'!F786</f>
        <v>0</v>
      </c>
      <c r="B1366" s="144">
        <f>VALUE(IF(+'Libro Diario'!G786="","01/01/2025",+'Libro Diario'!G786))</f>
        <v>45658</v>
      </c>
      <c r="C1366">
        <f>IF(ISNUMBER(+IF(IFERROR(VALUE(MID('Libro Diario'!D786,1,4)),0)&lt;&gt;0,'Libro Diario'!D786,0))=FALSE,'Libro Diario'!D786,0)</f>
        <v>0</v>
      </c>
      <c r="D1366" s="145">
        <f>+'Libro Diario'!E786</f>
        <v>0</v>
      </c>
      <c r="E1366" s="139" t="s">
        <v>446</v>
      </c>
      <c r="F1366" t="str">
        <f t="shared" si="63"/>
        <v>Sin Mov.</v>
      </c>
      <c r="G1366" t="str">
        <f>IF(+'Libro Diario'!H786=0,"",+'Libro Diario'!H786)</f>
        <v/>
      </c>
      <c r="H1366" t="str">
        <f>IF(+'Libro Diario'!I786=0,"",+'Libro Diario'!I786)</f>
        <v/>
      </c>
      <c r="I1366" t="str">
        <f>+IF(Table3[[#This Row],[Tipo Movimiento]]="Estructura Balance y PyG","Excluir","Incluir")</f>
        <v>Incluir</v>
      </c>
      <c r="J1366" s="153">
        <f>+IF(Table3[[#This Row],[Sin cuenta]]="Con Mov.",(IF(Table3[[#This Row],[Movimiento]]="Debe",Table3[[#This Row],[Importe]],IF(Table3[[#This Row],[Movimiento]]="Haber",Table3[[#This Row],[Importe]]*-1,0))),0)</f>
        <v>0</v>
      </c>
      <c r="K1366" s="145" t="str">
        <f t="shared" si="64"/>
        <v/>
      </c>
      <c r="L1366" s="145">
        <f t="shared" si="65"/>
        <v>0</v>
      </c>
      <c r="M1366" t="str">
        <f>_xlfn.XLOOKUP(Table3[[#This Row],[Cuenta]],Estructura_Balance[Nombre Cuenta ()],Estructura_Balance[Grupo],"",0)</f>
        <v/>
      </c>
      <c r="N1366" t="str">
        <f>_xlfn.XLOOKUP(Table3[[#This Row],[Cuenta]],Estructura_Balance[Nombre Cuenta ()],Estructura_Balance[Nivel 1],"",0)</f>
        <v/>
      </c>
      <c r="O1366" t="str">
        <f>_xlfn.XLOOKUP(Table3[[#This Row],[Cuenta]],Estructura_Balance[Nombre Cuenta ()],Estructura_Balance[Nivel 2],"",0)</f>
        <v/>
      </c>
      <c r="P1366" t="str">
        <f>_xlfn.XLOOKUP(Table3[[#This Row],[Cuenta]],Estructura_Balance[Nombre Cuenta ()],Estructura_Balance[Nivel 3],"",0)</f>
        <v/>
      </c>
      <c r="Q1366" t="str">
        <f>_xlfn.XLOOKUP(Table3[[#This Row],[Cuenta]],Estructura_Balance[Nombre Cuenta ()],Estructura_Balance[Nivel 4],"",0)</f>
        <v/>
      </c>
      <c r="R1366" t="str">
        <f>_xlfn.XLOOKUP(Table3[[#This Row],[Cuenta]],Table8[Nombre Cuenta ()],Table8[Nivel 1],"",0)</f>
        <v/>
      </c>
      <c r="S1366" t="str">
        <f>_xlfn.XLOOKUP(Table3[[#This Row],[Cuenta]],Table8[Nombre Cuenta ()],Table8[Nivel 2],"",0)</f>
        <v/>
      </c>
      <c r="T1366" t="str">
        <f>_xlfn.XLOOKUP(Table3[[#This Row],[Cuenta]],Table8[Nombre Cuenta ()],Table8[Nivel 3],"",0)</f>
        <v/>
      </c>
      <c r="U1366">
        <v>307</v>
      </c>
      <c r="V1366" t="str">
        <f>_xlfn.XLOOKUP(Table3[[#This Row],[Cuenta]],Estructura_Balance[Nombre Cuenta ()],Estructura_Balance[Niveles:2],"",0)</f>
        <v/>
      </c>
      <c r="W1366" t="str">
        <f>_xlfn.XLOOKUP(Table3[[#This Row],[Cuenta]],Estructura_Balance[Nombre Cuenta ()],Estructura_Balance[Niveles:3],"",0)</f>
        <v/>
      </c>
      <c r="X1366" t="str">
        <f>_xlfn.XLOOKUP(Table3[[#This Row],[Cuenta]],Estructura_Balance[Nombre Cuenta ()],Estructura_Balance[Grupos],"Grupo 1",0)</f>
        <v>Grupo 1</v>
      </c>
      <c r="Y1366" t="str">
        <f>+Table3[[#This Row],[BS_Nivel_1]]</f>
        <v/>
      </c>
    </row>
    <row r="1367" spans="1:25" ht="15" customHeight="1">
      <c r="A1367">
        <f>+'Libro Diario'!F787</f>
        <v>0</v>
      </c>
      <c r="B1367" s="144">
        <f>VALUE(IF(+'Libro Diario'!G787="","01/01/2025",+'Libro Diario'!G787))</f>
        <v>45658</v>
      </c>
      <c r="C1367">
        <f>IF(ISNUMBER(+IF(IFERROR(VALUE(MID('Libro Diario'!D787,1,4)),0)&lt;&gt;0,'Libro Diario'!D787,0))=FALSE,'Libro Diario'!D787,0)</f>
        <v>0</v>
      </c>
      <c r="D1367" s="145">
        <f>+'Libro Diario'!E787</f>
        <v>0</v>
      </c>
      <c r="E1367" s="139" t="s">
        <v>446</v>
      </c>
      <c r="F1367" t="str">
        <f t="shared" si="63"/>
        <v>Sin Mov.</v>
      </c>
      <c r="G1367" t="str">
        <f>IF(+'Libro Diario'!H787=0,"",+'Libro Diario'!H787)</f>
        <v/>
      </c>
      <c r="H1367" t="str">
        <f>IF(+'Libro Diario'!I787=0,"",+'Libro Diario'!I787)</f>
        <v/>
      </c>
      <c r="I1367" t="str">
        <f>+IF(Table3[[#This Row],[Tipo Movimiento]]="Estructura Balance y PyG","Excluir","Incluir")</f>
        <v>Incluir</v>
      </c>
      <c r="J1367" s="153">
        <f>+IF(Table3[[#This Row],[Sin cuenta]]="Con Mov.",(IF(Table3[[#This Row],[Movimiento]]="Debe",Table3[[#This Row],[Importe]],IF(Table3[[#This Row],[Movimiento]]="Haber",Table3[[#This Row],[Importe]]*-1,0))),0)</f>
        <v>0</v>
      </c>
      <c r="K1367" s="145" t="str">
        <f t="shared" si="64"/>
        <v/>
      </c>
      <c r="L1367" s="145">
        <f t="shared" si="65"/>
        <v>0</v>
      </c>
      <c r="M1367" t="str">
        <f>_xlfn.XLOOKUP(Table3[[#This Row],[Cuenta]],Estructura_Balance[Nombre Cuenta ()],Estructura_Balance[Grupo],"",0)</f>
        <v/>
      </c>
      <c r="N1367" t="str">
        <f>_xlfn.XLOOKUP(Table3[[#This Row],[Cuenta]],Estructura_Balance[Nombre Cuenta ()],Estructura_Balance[Nivel 1],"",0)</f>
        <v/>
      </c>
      <c r="O1367" t="str">
        <f>_xlfn.XLOOKUP(Table3[[#This Row],[Cuenta]],Estructura_Balance[Nombre Cuenta ()],Estructura_Balance[Nivel 2],"",0)</f>
        <v/>
      </c>
      <c r="P1367" t="str">
        <f>_xlfn.XLOOKUP(Table3[[#This Row],[Cuenta]],Estructura_Balance[Nombre Cuenta ()],Estructura_Balance[Nivel 3],"",0)</f>
        <v/>
      </c>
      <c r="Q1367" t="str">
        <f>_xlfn.XLOOKUP(Table3[[#This Row],[Cuenta]],Estructura_Balance[Nombre Cuenta ()],Estructura_Balance[Nivel 4],"",0)</f>
        <v/>
      </c>
      <c r="R1367" t="str">
        <f>_xlfn.XLOOKUP(Table3[[#This Row],[Cuenta]],Table8[Nombre Cuenta ()],Table8[Nivel 1],"",0)</f>
        <v/>
      </c>
      <c r="S1367" t="str">
        <f>_xlfn.XLOOKUP(Table3[[#This Row],[Cuenta]],Table8[Nombre Cuenta ()],Table8[Nivel 2],"",0)</f>
        <v/>
      </c>
      <c r="T1367" t="str">
        <f>_xlfn.XLOOKUP(Table3[[#This Row],[Cuenta]],Table8[Nombre Cuenta ()],Table8[Nivel 3],"",0)</f>
        <v/>
      </c>
      <c r="U1367">
        <v>1304</v>
      </c>
      <c r="V1367" t="str">
        <f>_xlfn.XLOOKUP(Table3[[#This Row],[Cuenta]],Estructura_Balance[Nombre Cuenta ()],Estructura_Balance[Niveles:2],"",0)</f>
        <v/>
      </c>
      <c r="W1367" t="str">
        <f>_xlfn.XLOOKUP(Table3[[#This Row],[Cuenta]],Estructura_Balance[Nombre Cuenta ()],Estructura_Balance[Niveles:3],"",0)</f>
        <v/>
      </c>
      <c r="X1367" t="str">
        <f>_xlfn.XLOOKUP(Table3[[#This Row],[Cuenta]],Estructura_Balance[Nombre Cuenta ()],Estructura_Balance[Grupos],"Grupo 1",0)</f>
        <v>Grupo 1</v>
      </c>
      <c r="Y1367" t="str">
        <f>+Table3[[#This Row],[BS_Nivel_1]]</f>
        <v/>
      </c>
    </row>
    <row r="1368" spans="1:25" ht="15" customHeight="1">
      <c r="A1368">
        <f>+'Libro Diario'!F788</f>
        <v>0</v>
      </c>
      <c r="B1368" s="144">
        <f>VALUE(IF(+'Libro Diario'!G788="","01/01/2025",+'Libro Diario'!G788))</f>
        <v>45658</v>
      </c>
      <c r="C1368">
        <f>IF(ISNUMBER(+IF(IFERROR(VALUE(MID('Libro Diario'!D788,1,4)),0)&lt;&gt;0,'Libro Diario'!D788,0))=FALSE,'Libro Diario'!D788,0)</f>
        <v>0</v>
      </c>
      <c r="D1368" s="145">
        <f>+'Libro Diario'!E788</f>
        <v>0</v>
      </c>
      <c r="E1368" s="139" t="s">
        <v>446</v>
      </c>
      <c r="F1368" t="str">
        <f t="shared" si="63"/>
        <v>Sin Mov.</v>
      </c>
      <c r="G1368" t="str">
        <f>IF(+'Libro Diario'!H788=0,"",+'Libro Diario'!H788)</f>
        <v/>
      </c>
      <c r="H1368" t="str">
        <f>IF(+'Libro Diario'!I788=0,"",+'Libro Diario'!I788)</f>
        <v/>
      </c>
      <c r="I1368" t="str">
        <f>+IF(Table3[[#This Row],[Tipo Movimiento]]="Estructura Balance y PyG","Excluir","Incluir")</f>
        <v>Incluir</v>
      </c>
      <c r="J1368" s="153">
        <f>+IF(Table3[[#This Row],[Sin cuenta]]="Con Mov.",(IF(Table3[[#This Row],[Movimiento]]="Debe",Table3[[#This Row],[Importe]],IF(Table3[[#This Row],[Movimiento]]="Haber",Table3[[#This Row],[Importe]]*-1,0))),0)</f>
        <v>0</v>
      </c>
      <c r="K1368" s="145" t="str">
        <f t="shared" si="64"/>
        <v/>
      </c>
      <c r="L1368" s="145">
        <f t="shared" si="65"/>
        <v>0</v>
      </c>
      <c r="M1368" t="str">
        <f>_xlfn.XLOOKUP(Table3[[#This Row],[Cuenta]],Estructura_Balance[Nombre Cuenta ()],Estructura_Balance[Grupo],"",0)</f>
        <v/>
      </c>
      <c r="N1368" t="str">
        <f>_xlfn.XLOOKUP(Table3[[#This Row],[Cuenta]],Estructura_Balance[Nombre Cuenta ()],Estructura_Balance[Nivel 1],"",0)</f>
        <v/>
      </c>
      <c r="O1368" t="str">
        <f>_xlfn.XLOOKUP(Table3[[#This Row],[Cuenta]],Estructura_Balance[Nombre Cuenta ()],Estructura_Balance[Nivel 2],"",0)</f>
        <v/>
      </c>
      <c r="P1368" t="str">
        <f>_xlfn.XLOOKUP(Table3[[#This Row],[Cuenta]],Estructura_Balance[Nombre Cuenta ()],Estructura_Balance[Nivel 3],"",0)</f>
        <v/>
      </c>
      <c r="Q1368" t="str">
        <f>_xlfn.XLOOKUP(Table3[[#This Row],[Cuenta]],Estructura_Balance[Nombre Cuenta ()],Estructura_Balance[Nivel 4],"",0)</f>
        <v/>
      </c>
      <c r="R1368" t="str">
        <f>_xlfn.XLOOKUP(Table3[[#This Row],[Cuenta]],Table8[Nombre Cuenta ()],Table8[Nivel 1],"",0)</f>
        <v/>
      </c>
      <c r="S1368" t="str">
        <f>_xlfn.XLOOKUP(Table3[[#This Row],[Cuenta]],Table8[Nombre Cuenta ()],Table8[Nivel 2],"",0)</f>
        <v/>
      </c>
      <c r="T1368" t="str">
        <f>_xlfn.XLOOKUP(Table3[[#This Row],[Cuenta]],Table8[Nombre Cuenta ()],Table8[Nivel 3],"",0)</f>
        <v/>
      </c>
      <c r="U1368">
        <v>1305</v>
      </c>
      <c r="V1368" t="str">
        <f>_xlfn.XLOOKUP(Table3[[#This Row],[Cuenta]],Estructura_Balance[Nombre Cuenta ()],Estructura_Balance[Niveles:2],"",0)</f>
        <v/>
      </c>
      <c r="W1368" t="str">
        <f>_xlfn.XLOOKUP(Table3[[#This Row],[Cuenta]],Estructura_Balance[Nombre Cuenta ()],Estructura_Balance[Niveles:3],"",0)</f>
        <v/>
      </c>
      <c r="X1368" t="str">
        <f>_xlfn.XLOOKUP(Table3[[#This Row],[Cuenta]],Estructura_Balance[Nombre Cuenta ()],Estructura_Balance[Grupos],"Grupo 1",0)</f>
        <v>Grupo 1</v>
      </c>
      <c r="Y1368" t="str">
        <f>+Table3[[#This Row],[BS_Nivel_1]]</f>
        <v/>
      </c>
    </row>
    <row r="1369" spans="1:25" ht="15" customHeight="1">
      <c r="A1369">
        <f>+'Libro Diario'!F789</f>
        <v>0</v>
      </c>
      <c r="B1369" s="144">
        <f>VALUE(IF(+'Libro Diario'!G789="","01/01/2025",+'Libro Diario'!G789))</f>
        <v>45658</v>
      </c>
      <c r="C1369">
        <f>IF(ISNUMBER(+IF(IFERROR(VALUE(MID('Libro Diario'!D789,1,4)),0)&lt;&gt;0,'Libro Diario'!D789,0))=FALSE,'Libro Diario'!D789,0)</f>
        <v>0</v>
      </c>
      <c r="D1369" s="145">
        <f>+'Libro Diario'!E789</f>
        <v>0</v>
      </c>
      <c r="E1369" s="139" t="s">
        <v>446</v>
      </c>
      <c r="F1369" t="str">
        <f t="shared" si="63"/>
        <v>Sin Mov.</v>
      </c>
      <c r="G1369" t="str">
        <f>IF(+'Libro Diario'!H789=0,"",+'Libro Diario'!H789)</f>
        <v/>
      </c>
      <c r="H1369" t="str">
        <f>IF(+'Libro Diario'!I789=0,"",+'Libro Diario'!I789)</f>
        <v/>
      </c>
      <c r="I1369" t="str">
        <f>+IF(Table3[[#This Row],[Tipo Movimiento]]="Estructura Balance y PyG","Excluir","Incluir")</f>
        <v>Incluir</v>
      </c>
      <c r="J1369" s="153">
        <f>+IF(Table3[[#This Row],[Sin cuenta]]="Con Mov.",(IF(Table3[[#This Row],[Movimiento]]="Debe",Table3[[#This Row],[Importe]],IF(Table3[[#This Row],[Movimiento]]="Haber",Table3[[#This Row],[Importe]]*-1,0))),0)</f>
        <v>0</v>
      </c>
      <c r="K1369" s="145" t="str">
        <f t="shared" si="64"/>
        <v/>
      </c>
      <c r="L1369" s="145">
        <f t="shared" si="65"/>
        <v>0</v>
      </c>
      <c r="M1369" t="str">
        <f>_xlfn.XLOOKUP(Table3[[#This Row],[Cuenta]],Estructura_Balance[Nombre Cuenta ()],Estructura_Balance[Grupo],"",0)</f>
        <v/>
      </c>
      <c r="N1369" t="str">
        <f>_xlfn.XLOOKUP(Table3[[#This Row],[Cuenta]],Estructura_Balance[Nombre Cuenta ()],Estructura_Balance[Nivel 1],"",0)</f>
        <v/>
      </c>
      <c r="O1369" t="str">
        <f>_xlfn.XLOOKUP(Table3[[#This Row],[Cuenta]],Estructura_Balance[Nombre Cuenta ()],Estructura_Balance[Nivel 2],"",0)</f>
        <v/>
      </c>
      <c r="P1369" t="str">
        <f>_xlfn.XLOOKUP(Table3[[#This Row],[Cuenta]],Estructura_Balance[Nombre Cuenta ()],Estructura_Balance[Nivel 3],"",0)</f>
        <v/>
      </c>
      <c r="Q1369" t="str">
        <f>_xlfn.XLOOKUP(Table3[[#This Row],[Cuenta]],Estructura_Balance[Nombre Cuenta ()],Estructura_Balance[Nivel 4],"",0)</f>
        <v/>
      </c>
      <c r="R1369" t="str">
        <f>_xlfn.XLOOKUP(Table3[[#This Row],[Cuenta]],Table8[Nombre Cuenta ()],Table8[Nivel 1],"",0)</f>
        <v/>
      </c>
      <c r="S1369" t="str">
        <f>_xlfn.XLOOKUP(Table3[[#This Row],[Cuenta]],Table8[Nombre Cuenta ()],Table8[Nivel 2],"",0)</f>
        <v/>
      </c>
      <c r="T1369" t="str">
        <f>_xlfn.XLOOKUP(Table3[[#This Row],[Cuenta]],Table8[Nombre Cuenta ()],Table8[Nivel 3],"",0)</f>
        <v/>
      </c>
      <c r="U1369">
        <v>313</v>
      </c>
      <c r="V1369" t="str">
        <f>_xlfn.XLOOKUP(Table3[[#This Row],[Cuenta]],Estructura_Balance[Nombre Cuenta ()],Estructura_Balance[Niveles:2],"",0)</f>
        <v/>
      </c>
      <c r="W1369" t="str">
        <f>_xlfn.XLOOKUP(Table3[[#This Row],[Cuenta]],Estructura_Balance[Nombre Cuenta ()],Estructura_Balance[Niveles:3],"",0)</f>
        <v/>
      </c>
      <c r="X1369" t="str">
        <f>_xlfn.XLOOKUP(Table3[[#This Row],[Cuenta]],Estructura_Balance[Nombre Cuenta ()],Estructura_Balance[Grupos],"Grupo 1",0)</f>
        <v>Grupo 1</v>
      </c>
      <c r="Y1369" t="str">
        <f>+Table3[[#This Row],[BS_Nivel_1]]</f>
        <v/>
      </c>
    </row>
    <row r="1370" spans="1:25" ht="15" customHeight="1">
      <c r="A1370">
        <f>+'Libro Diario'!F790</f>
        <v>0</v>
      </c>
      <c r="B1370" s="144">
        <f>VALUE(IF(+'Libro Diario'!G790="","01/01/2025",+'Libro Diario'!G790))</f>
        <v>45658</v>
      </c>
      <c r="C1370">
        <f>IF(ISNUMBER(+IF(IFERROR(VALUE(MID('Libro Diario'!D790,1,4)),0)&lt;&gt;0,'Libro Diario'!D790,0))=FALSE,'Libro Diario'!D790,0)</f>
        <v>0</v>
      </c>
      <c r="D1370" s="145">
        <f>+'Libro Diario'!E790</f>
        <v>0</v>
      </c>
      <c r="E1370" s="139" t="s">
        <v>446</v>
      </c>
      <c r="F1370" t="str">
        <f t="shared" si="63"/>
        <v>Sin Mov.</v>
      </c>
      <c r="G1370" t="str">
        <f>IF(+'Libro Diario'!H790=0,"",+'Libro Diario'!H790)</f>
        <v/>
      </c>
      <c r="H1370" t="str">
        <f>IF(+'Libro Diario'!I790=0,"",+'Libro Diario'!I790)</f>
        <v/>
      </c>
      <c r="I1370" t="str">
        <f>+IF(Table3[[#This Row],[Tipo Movimiento]]="Estructura Balance y PyG","Excluir","Incluir")</f>
        <v>Incluir</v>
      </c>
      <c r="J1370" s="153">
        <f>+IF(Table3[[#This Row],[Sin cuenta]]="Con Mov.",(IF(Table3[[#This Row],[Movimiento]]="Debe",Table3[[#This Row],[Importe]],IF(Table3[[#This Row],[Movimiento]]="Haber",Table3[[#This Row],[Importe]]*-1,0))),0)</f>
        <v>0</v>
      </c>
      <c r="K1370" s="145" t="str">
        <f t="shared" si="64"/>
        <v/>
      </c>
      <c r="L1370" s="145">
        <f t="shared" si="65"/>
        <v>0</v>
      </c>
      <c r="M1370" t="str">
        <f>_xlfn.XLOOKUP(Table3[[#This Row],[Cuenta]],Estructura_Balance[Nombre Cuenta ()],Estructura_Balance[Grupo],"",0)</f>
        <v/>
      </c>
      <c r="N1370" t="str">
        <f>_xlfn.XLOOKUP(Table3[[#This Row],[Cuenta]],Estructura_Balance[Nombre Cuenta ()],Estructura_Balance[Nivel 1],"",0)</f>
        <v/>
      </c>
      <c r="O1370" t="str">
        <f>_xlfn.XLOOKUP(Table3[[#This Row],[Cuenta]],Estructura_Balance[Nombre Cuenta ()],Estructura_Balance[Nivel 2],"",0)</f>
        <v/>
      </c>
      <c r="P1370" t="str">
        <f>_xlfn.XLOOKUP(Table3[[#This Row],[Cuenta]],Estructura_Balance[Nombre Cuenta ()],Estructura_Balance[Nivel 3],"",0)</f>
        <v/>
      </c>
      <c r="Q1370" t="str">
        <f>_xlfn.XLOOKUP(Table3[[#This Row],[Cuenta]],Estructura_Balance[Nombre Cuenta ()],Estructura_Balance[Nivel 4],"",0)</f>
        <v/>
      </c>
      <c r="R1370" t="str">
        <f>_xlfn.XLOOKUP(Table3[[#This Row],[Cuenta]],Table8[Nombre Cuenta ()],Table8[Nivel 1],"",0)</f>
        <v/>
      </c>
      <c r="S1370" t="str">
        <f>_xlfn.XLOOKUP(Table3[[#This Row],[Cuenta]],Table8[Nombre Cuenta ()],Table8[Nivel 2],"",0)</f>
        <v/>
      </c>
      <c r="T1370" t="str">
        <f>_xlfn.XLOOKUP(Table3[[#This Row],[Cuenta]],Table8[Nombre Cuenta ()],Table8[Nivel 3],"",0)</f>
        <v/>
      </c>
      <c r="U1370">
        <v>314</v>
      </c>
      <c r="V1370" t="str">
        <f>_xlfn.XLOOKUP(Table3[[#This Row],[Cuenta]],Estructura_Balance[Nombre Cuenta ()],Estructura_Balance[Niveles:2],"",0)</f>
        <v/>
      </c>
      <c r="W1370" t="str">
        <f>_xlfn.XLOOKUP(Table3[[#This Row],[Cuenta]],Estructura_Balance[Nombre Cuenta ()],Estructura_Balance[Niveles:3],"",0)</f>
        <v/>
      </c>
      <c r="X1370" t="str">
        <f>_xlfn.XLOOKUP(Table3[[#This Row],[Cuenta]],Estructura_Balance[Nombre Cuenta ()],Estructura_Balance[Grupos],"Grupo 1",0)</f>
        <v>Grupo 1</v>
      </c>
      <c r="Y1370" t="str">
        <f>+Table3[[#This Row],[BS_Nivel_1]]</f>
        <v/>
      </c>
    </row>
    <row r="1371" spans="1:25" ht="15" customHeight="1">
      <c r="A1371">
        <f>+'Libro Diario'!F791</f>
        <v>0</v>
      </c>
      <c r="B1371" s="144">
        <f>VALUE(IF(+'Libro Diario'!G791="","01/01/2025",+'Libro Diario'!G791))</f>
        <v>45658</v>
      </c>
      <c r="C1371">
        <f>IF(ISNUMBER(+IF(IFERROR(VALUE(MID('Libro Diario'!D791,1,4)),0)&lt;&gt;0,'Libro Diario'!D791,0))=FALSE,'Libro Diario'!D791,0)</f>
        <v>0</v>
      </c>
      <c r="D1371" s="145">
        <f>+'Libro Diario'!E791</f>
        <v>0</v>
      </c>
      <c r="E1371" s="139" t="s">
        <v>446</v>
      </c>
      <c r="F1371" t="str">
        <f t="shared" si="63"/>
        <v>Sin Mov.</v>
      </c>
      <c r="G1371" t="str">
        <f>IF(+'Libro Diario'!H791=0,"",+'Libro Diario'!H791)</f>
        <v/>
      </c>
      <c r="H1371" t="str">
        <f>IF(+'Libro Diario'!I791=0,"",+'Libro Diario'!I791)</f>
        <v/>
      </c>
      <c r="I1371" t="str">
        <f>+IF(Table3[[#This Row],[Tipo Movimiento]]="Estructura Balance y PyG","Excluir","Incluir")</f>
        <v>Incluir</v>
      </c>
      <c r="J1371" s="153">
        <f>+IF(Table3[[#This Row],[Sin cuenta]]="Con Mov.",(IF(Table3[[#This Row],[Movimiento]]="Debe",Table3[[#This Row],[Importe]],IF(Table3[[#This Row],[Movimiento]]="Haber",Table3[[#This Row],[Importe]]*-1,0))),0)</f>
        <v>0</v>
      </c>
      <c r="K1371" s="145" t="str">
        <f t="shared" si="64"/>
        <v/>
      </c>
      <c r="L1371" s="145">
        <f t="shared" si="65"/>
        <v>0</v>
      </c>
      <c r="M1371" t="str">
        <f>_xlfn.XLOOKUP(Table3[[#This Row],[Cuenta]],Estructura_Balance[Nombre Cuenta ()],Estructura_Balance[Grupo],"",0)</f>
        <v/>
      </c>
      <c r="N1371" t="str">
        <f>_xlfn.XLOOKUP(Table3[[#This Row],[Cuenta]],Estructura_Balance[Nombre Cuenta ()],Estructura_Balance[Nivel 1],"",0)</f>
        <v/>
      </c>
      <c r="O1371" t="str">
        <f>_xlfn.XLOOKUP(Table3[[#This Row],[Cuenta]],Estructura_Balance[Nombre Cuenta ()],Estructura_Balance[Nivel 2],"",0)</f>
        <v/>
      </c>
      <c r="P1371" t="str">
        <f>_xlfn.XLOOKUP(Table3[[#This Row],[Cuenta]],Estructura_Balance[Nombre Cuenta ()],Estructura_Balance[Nivel 3],"",0)</f>
        <v/>
      </c>
      <c r="Q1371" t="str">
        <f>_xlfn.XLOOKUP(Table3[[#This Row],[Cuenta]],Estructura_Balance[Nombre Cuenta ()],Estructura_Balance[Nivel 4],"",0)</f>
        <v/>
      </c>
      <c r="R1371" t="str">
        <f>_xlfn.XLOOKUP(Table3[[#This Row],[Cuenta]],Table8[Nombre Cuenta ()],Table8[Nivel 1],"",0)</f>
        <v/>
      </c>
      <c r="S1371" t="str">
        <f>_xlfn.XLOOKUP(Table3[[#This Row],[Cuenta]],Table8[Nombre Cuenta ()],Table8[Nivel 2],"",0)</f>
        <v/>
      </c>
      <c r="T1371" t="str">
        <f>_xlfn.XLOOKUP(Table3[[#This Row],[Cuenta]],Table8[Nombre Cuenta ()],Table8[Nivel 3],"",0)</f>
        <v/>
      </c>
      <c r="U1371">
        <v>1311</v>
      </c>
      <c r="V1371" t="str">
        <f>_xlfn.XLOOKUP(Table3[[#This Row],[Cuenta]],Estructura_Balance[Nombre Cuenta ()],Estructura_Balance[Niveles:2],"",0)</f>
        <v/>
      </c>
      <c r="W1371" t="str">
        <f>_xlfn.XLOOKUP(Table3[[#This Row],[Cuenta]],Estructura_Balance[Nombre Cuenta ()],Estructura_Balance[Niveles:3],"",0)</f>
        <v/>
      </c>
      <c r="X1371" t="str">
        <f>_xlfn.XLOOKUP(Table3[[#This Row],[Cuenta]],Estructura_Balance[Nombre Cuenta ()],Estructura_Balance[Grupos],"Grupo 1",0)</f>
        <v>Grupo 1</v>
      </c>
      <c r="Y1371" t="str">
        <f>+Table3[[#This Row],[BS_Nivel_1]]</f>
        <v/>
      </c>
    </row>
    <row r="1372" spans="1:25" ht="15" customHeight="1">
      <c r="A1372">
        <f>+'Libro Diario'!F792</f>
        <v>0</v>
      </c>
      <c r="B1372" s="144">
        <f>VALUE(IF(+'Libro Diario'!G792="","01/01/2025",+'Libro Diario'!G792))</f>
        <v>45658</v>
      </c>
      <c r="C1372">
        <f>IF(ISNUMBER(+IF(IFERROR(VALUE(MID('Libro Diario'!D792,1,4)),0)&lt;&gt;0,'Libro Diario'!D792,0))=FALSE,'Libro Diario'!D792,0)</f>
        <v>0</v>
      </c>
      <c r="D1372" s="145">
        <f>+'Libro Diario'!E792</f>
        <v>0</v>
      </c>
      <c r="E1372" s="139" t="s">
        <v>446</v>
      </c>
      <c r="F1372" t="str">
        <f t="shared" si="63"/>
        <v>Sin Mov.</v>
      </c>
      <c r="G1372" t="str">
        <f>IF(+'Libro Diario'!H792=0,"",+'Libro Diario'!H792)</f>
        <v/>
      </c>
      <c r="H1372" t="str">
        <f>IF(+'Libro Diario'!I792=0,"",+'Libro Diario'!I792)</f>
        <v/>
      </c>
      <c r="I1372" t="str">
        <f>+IF(Table3[[#This Row],[Tipo Movimiento]]="Estructura Balance y PyG","Excluir","Incluir")</f>
        <v>Incluir</v>
      </c>
      <c r="J1372" s="153">
        <f>+IF(Table3[[#This Row],[Sin cuenta]]="Con Mov.",(IF(Table3[[#This Row],[Movimiento]]="Debe",Table3[[#This Row],[Importe]],IF(Table3[[#This Row],[Movimiento]]="Haber",Table3[[#This Row],[Importe]]*-1,0))),0)</f>
        <v>0</v>
      </c>
      <c r="K1372" s="145" t="str">
        <f t="shared" si="64"/>
        <v/>
      </c>
      <c r="L1372" s="145">
        <f t="shared" si="65"/>
        <v>0</v>
      </c>
      <c r="M1372" t="str">
        <f>_xlfn.XLOOKUP(Table3[[#This Row],[Cuenta]],Estructura_Balance[Nombre Cuenta ()],Estructura_Balance[Grupo],"",0)</f>
        <v/>
      </c>
      <c r="N1372" t="str">
        <f>_xlfn.XLOOKUP(Table3[[#This Row],[Cuenta]],Estructura_Balance[Nombre Cuenta ()],Estructura_Balance[Nivel 1],"",0)</f>
        <v/>
      </c>
      <c r="O1372" t="str">
        <f>_xlfn.XLOOKUP(Table3[[#This Row],[Cuenta]],Estructura_Balance[Nombre Cuenta ()],Estructura_Balance[Nivel 2],"",0)</f>
        <v/>
      </c>
      <c r="P1372" t="str">
        <f>_xlfn.XLOOKUP(Table3[[#This Row],[Cuenta]],Estructura_Balance[Nombre Cuenta ()],Estructura_Balance[Nivel 3],"",0)</f>
        <v/>
      </c>
      <c r="Q1372" t="str">
        <f>_xlfn.XLOOKUP(Table3[[#This Row],[Cuenta]],Estructura_Balance[Nombre Cuenta ()],Estructura_Balance[Nivel 4],"",0)</f>
        <v/>
      </c>
      <c r="R1372" t="str">
        <f>_xlfn.XLOOKUP(Table3[[#This Row],[Cuenta]],Table8[Nombre Cuenta ()],Table8[Nivel 1],"",0)</f>
        <v/>
      </c>
      <c r="S1372" t="str">
        <f>_xlfn.XLOOKUP(Table3[[#This Row],[Cuenta]],Table8[Nombre Cuenta ()],Table8[Nivel 2],"",0)</f>
        <v/>
      </c>
      <c r="T1372" t="str">
        <f>_xlfn.XLOOKUP(Table3[[#This Row],[Cuenta]],Table8[Nombre Cuenta ()],Table8[Nivel 3],"",0)</f>
        <v/>
      </c>
      <c r="U1372">
        <v>1312</v>
      </c>
      <c r="V1372" t="str">
        <f>_xlfn.XLOOKUP(Table3[[#This Row],[Cuenta]],Estructura_Balance[Nombre Cuenta ()],Estructura_Balance[Niveles:2],"",0)</f>
        <v/>
      </c>
      <c r="W1372" t="str">
        <f>_xlfn.XLOOKUP(Table3[[#This Row],[Cuenta]],Estructura_Balance[Nombre Cuenta ()],Estructura_Balance[Niveles:3],"",0)</f>
        <v/>
      </c>
      <c r="X1372" t="str">
        <f>_xlfn.XLOOKUP(Table3[[#This Row],[Cuenta]],Estructura_Balance[Nombre Cuenta ()],Estructura_Balance[Grupos],"Grupo 1",0)</f>
        <v>Grupo 1</v>
      </c>
      <c r="Y1372" t="str">
        <f>+Table3[[#This Row],[BS_Nivel_1]]</f>
        <v/>
      </c>
    </row>
    <row r="1373" spans="1:25" ht="15" customHeight="1">
      <c r="A1373">
        <f>+'Libro Diario'!F793</f>
        <v>0</v>
      </c>
      <c r="B1373" s="144">
        <f>VALUE(IF(+'Libro Diario'!G793="","01/01/2025",+'Libro Diario'!G793))</f>
        <v>45658</v>
      </c>
      <c r="C1373">
        <f>IF(ISNUMBER(+IF(IFERROR(VALUE(MID('Libro Diario'!D793,1,4)),0)&lt;&gt;0,'Libro Diario'!D793,0))=FALSE,'Libro Diario'!D793,0)</f>
        <v>0</v>
      </c>
      <c r="D1373" s="145">
        <f>+'Libro Diario'!E793</f>
        <v>0</v>
      </c>
      <c r="E1373" s="139" t="s">
        <v>446</v>
      </c>
      <c r="F1373" t="str">
        <f t="shared" si="63"/>
        <v>Sin Mov.</v>
      </c>
      <c r="G1373" t="str">
        <f>IF(+'Libro Diario'!H793=0,"",+'Libro Diario'!H793)</f>
        <v/>
      </c>
      <c r="H1373" t="str">
        <f>IF(+'Libro Diario'!I793=0,"",+'Libro Diario'!I793)</f>
        <v/>
      </c>
      <c r="I1373" t="str">
        <f>+IF(Table3[[#This Row],[Tipo Movimiento]]="Estructura Balance y PyG","Excluir","Incluir")</f>
        <v>Incluir</v>
      </c>
      <c r="J1373" s="153">
        <f>+IF(Table3[[#This Row],[Sin cuenta]]="Con Mov.",(IF(Table3[[#This Row],[Movimiento]]="Debe",Table3[[#This Row],[Importe]],IF(Table3[[#This Row],[Movimiento]]="Haber",Table3[[#This Row],[Importe]]*-1,0))),0)</f>
        <v>0</v>
      </c>
      <c r="K1373" s="145" t="str">
        <f t="shared" si="64"/>
        <v/>
      </c>
      <c r="L1373" s="145">
        <f t="shared" si="65"/>
        <v>0</v>
      </c>
      <c r="M1373" t="str">
        <f>_xlfn.XLOOKUP(Table3[[#This Row],[Cuenta]],Estructura_Balance[Nombre Cuenta ()],Estructura_Balance[Grupo],"",0)</f>
        <v/>
      </c>
      <c r="N1373" t="str">
        <f>_xlfn.XLOOKUP(Table3[[#This Row],[Cuenta]],Estructura_Balance[Nombre Cuenta ()],Estructura_Balance[Nivel 1],"",0)</f>
        <v/>
      </c>
      <c r="O1373" t="str">
        <f>_xlfn.XLOOKUP(Table3[[#This Row],[Cuenta]],Estructura_Balance[Nombre Cuenta ()],Estructura_Balance[Nivel 2],"",0)</f>
        <v/>
      </c>
      <c r="P1373" t="str">
        <f>_xlfn.XLOOKUP(Table3[[#This Row],[Cuenta]],Estructura_Balance[Nombre Cuenta ()],Estructura_Balance[Nivel 3],"",0)</f>
        <v/>
      </c>
      <c r="Q1373" t="str">
        <f>_xlfn.XLOOKUP(Table3[[#This Row],[Cuenta]],Estructura_Balance[Nombre Cuenta ()],Estructura_Balance[Nivel 4],"",0)</f>
        <v/>
      </c>
      <c r="R1373" t="str">
        <f>_xlfn.XLOOKUP(Table3[[#This Row],[Cuenta]],Table8[Nombre Cuenta ()],Table8[Nivel 1],"",0)</f>
        <v/>
      </c>
      <c r="S1373" t="str">
        <f>_xlfn.XLOOKUP(Table3[[#This Row],[Cuenta]],Table8[Nombre Cuenta ()],Table8[Nivel 2],"",0)</f>
        <v/>
      </c>
      <c r="T1373" t="str">
        <f>_xlfn.XLOOKUP(Table3[[#This Row],[Cuenta]],Table8[Nombre Cuenta ()],Table8[Nivel 3],"",0)</f>
        <v/>
      </c>
      <c r="U1373">
        <v>320</v>
      </c>
      <c r="V1373" t="str">
        <f>_xlfn.XLOOKUP(Table3[[#This Row],[Cuenta]],Estructura_Balance[Nombre Cuenta ()],Estructura_Balance[Niveles:2],"",0)</f>
        <v/>
      </c>
      <c r="W1373" t="str">
        <f>_xlfn.XLOOKUP(Table3[[#This Row],[Cuenta]],Estructura_Balance[Nombre Cuenta ()],Estructura_Balance[Niveles:3],"",0)</f>
        <v/>
      </c>
      <c r="X1373" t="str">
        <f>_xlfn.XLOOKUP(Table3[[#This Row],[Cuenta]],Estructura_Balance[Nombre Cuenta ()],Estructura_Balance[Grupos],"Grupo 1",0)</f>
        <v>Grupo 1</v>
      </c>
      <c r="Y1373" t="str">
        <f>+Table3[[#This Row],[BS_Nivel_1]]</f>
        <v/>
      </c>
    </row>
    <row r="1374" spans="1:25" ht="15" customHeight="1">
      <c r="A1374">
        <f>+'Libro Diario'!F794</f>
        <v>0</v>
      </c>
      <c r="B1374" s="144">
        <f>VALUE(IF(+'Libro Diario'!G794="","01/01/2025",+'Libro Diario'!G794))</f>
        <v>45658</v>
      </c>
      <c r="C1374">
        <f>IF(ISNUMBER(+IF(IFERROR(VALUE(MID('Libro Diario'!D794,1,4)),0)&lt;&gt;0,'Libro Diario'!D794,0))=FALSE,'Libro Diario'!D794,0)</f>
        <v>0</v>
      </c>
      <c r="D1374" s="145">
        <f>+'Libro Diario'!E794</f>
        <v>0</v>
      </c>
      <c r="E1374" s="139" t="s">
        <v>446</v>
      </c>
      <c r="F1374" t="str">
        <f t="shared" si="63"/>
        <v>Sin Mov.</v>
      </c>
      <c r="G1374" t="str">
        <f>IF(+'Libro Diario'!H794=0,"",+'Libro Diario'!H794)</f>
        <v/>
      </c>
      <c r="H1374" t="str">
        <f>IF(+'Libro Diario'!I794=0,"",+'Libro Diario'!I794)</f>
        <v/>
      </c>
      <c r="I1374" t="str">
        <f>+IF(Table3[[#This Row],[Tipo Movimiento]]="Estructura Balance y PyG","Excluir","Incluir")</f>
        <v>Incluir</v>
      </c>
      <c r="J1374" s="153">
        <f>+IF(Table3[[#This Row],[Sin cuenta]]="Con Mov.",(IF(Table3[[#This Row],[Movimiento]]="Debe",Table3[[#This Row],[Importe]],IF(Table3[[#This Row],[Movimiento]]="Haber",Table3[[#This Row],[Importe]]*-1,0))),0)</f>
        <v>0</v>
      </c>
      <c r="K1374" s="145" t="str">
        <f t="shared" si="64"/>
        <v/>
      </c>
      <c r="L1374" s="145">
        <f t="shared" si="65"/>
        <v>0</v>
      </c>
      <c r="M1374" t="str">
        <f>_xlfn.XLOOKUP(Table3[[#This Row],[Cuenta]],Estructura_Balance[Nombre Cuenta ()],Estructura_Balance[Grupo],"",0)</f>
        <v/>
      </c>
      <c r="N1374" t="str">
        <f>_xlfn.XLOOKUP(Table3[[#This Row],[Cuenta]],Estructura_Balance[Nombre Cuenta ()],Estructura_Balance[Nivel 1],"",0)</f>
        <v/>
      </c>
      <c r="O1374" t="str">
        <f>_xlfn.XLOOKUP(Table3[[#This Row],[Cuenta]],Estructura_Balance[Nombre Cuenta ()],Estructura_Balance[Nivel 2],"",0)</f>
        <v/>
      </c>
      <c r="P1374" t="str">
        <f>_xlfn.XLOOKUP(Table3[[#This Row],[Cuenta]],Estructura_Balance[Nombre Cuenta ()],Estructura_Balance[Nivel 3],"",0)</f>
        <v/>
      </c>
      <c r="Q1374" t="str">
        <f>_xlfn.XLOOKUP(Table3[[#This Row],[Cuenta]],Estructura_Balance[Nombre Cuenta ()],Estructura_Balance[Nivel 4],"",0)</f>
        <v/>
      </c>
      <c r="R1374" t="str">
        <f>_xlfn.XLOOKUP(Table3[[#This Row],[Cuenta]],Table8[Nombre Cuenta ()],Table8[Nivel 1],"",0)</f>
        <v/>
      </c>
      <c r="S1374" t="str">
        <f>_xlfn.XLOOKUP(Table3[[#This Row],[Cuenta]],Table8[Nombre Cuenta ()],Table8[Nivel 2],"",0)</f>
        <v/>
      </c>
      <c r="T1374" t="str">
        <f>_xlfn.XLOOKUP(Table3[[#This Row],[Cuenta]],Table8[Nombre Cuenta ()],Table8[Nivel 3],"",0)</f>
        <v/>
      </c>
      <c r="U1374">
        <v>321</v>
      </c>
      <c r="V1374" t="str">
        <f>_xlfn.XLOOKUP(Table3[[#This Row],[Cuenta]],Estructura_Balance[Nombre Cuenta ()],Estructura_Balance[Niveles:2],"",0)</f>
        <v/>
      </c>
      <c r="W1374" t="str">
        <f>_xlfn.XLOOKUP(Table3[[#This Row],[Cuenta]],Estructura_Balance[Nombre Cuenta ()],Estructura_Balance[Niveles:3],"",0)</f>
        <v/>
      </c>
      <c r="X1374" t="str">
        <f>_xlfn.XLOOKUP(Table3[[#This Row],[Cuenta]],Estructura_Balance[Nombre Cuenta ()],Estructura_Balance[Grupos],"Grupo 1",0)</f>
        <v>Grupo 1</v>
      </c>
      <c r="Y1374" t="str">
        <f>+Table3[[#This Row],[BS_Nivel_1]]</f>
        <v/>
      </c>
    </row>
    <row r="1375" spans="1:25" ht="15" customHeight="1">
      <c r="A1375">
        <f>+'Libro Diario'!F795</f>
        <v>0</v>
      </c>
      <c r="B1375" s="144">
        <f>VALUE(IF(+'Libro Diario'!G795="","01/01/2025",+'Libro Diario'!G795))</f>
        <v>45658</v>
      </c>
      <c r="C1375">
        <f>IF(ISNUMBER(+IF(IFERROR(VALUE(MID('Libro Diario'!D795,1,4)),0)&lt;&gt;0,'Libro Diario'!D795,0))=FALSE,'Libro Diario'!D795,0)</f>
        <v>0</v>
      </c>
      <c r="D1375" s="145">
        <f>+'Libro Diario'!E795</f>
        <v>0</v>
      </c>
      <c r="E1375" s="139" t="s">
        <v>446</v>
      </c>
      <c r="F1375" t="str">
        <f t="shared" si="63"/>
        <v>Sin Mov.</v>
      </c>
      <c r="G1375" t="str">
        <f>IF(+'Libro Diario'!H795=0,"",+'Libro Diario'!H795)</f>
        <v/>
      </c>
      <c r="H1375" t="str">
        <f>IF(+'Libro Diario'!I795=0,"",+'Libro Diario'!I795)</f>
        <v/>
      </c>
      <c r="I1375" t="str">
        <f>+IF(Table3[[#This Row],[Tipo Movimiento]]="Estructura Balance y PyG","Excluir","Incluir")</f>
        <v>Incluir</v>
      </c>
      <c r="J1375" s="153">
        <f>+IF(Table3[[#This Row],[Sin cuenta]]="Con Mov.",(IF(Table3[[#This Row],[Movimiento]]="Debe",Table3[[#This Row],[Importe]],IF(Table3[[#This Row],[Movimiento]]="Haber",Table3[[#This Row],[Importe]]*-1,0))),0)</f>
        <v>0</v>
      </c>
      <c r="K1375" s="145" t="str">
        <f t="shared" si="64"/>
        <v/>
      </c>
      <c r="L1375" s="145">
        <f t="shared" si="65"/>
        <v>0</v>
      </c>
      <c r="M1375" t="str">
        <f>_xlfn.XLOOKUP(Table3[[#This Row],[Cuenta]],Estructura_Balance[Nombre Cuenta ()],Estructura_Balance[Grupo],"",0)</f>
        <v/>
      </c>
      <c r="N1375" t="str">
        <f>_xlfn.XLOOKUP(Table3[[#This Row],[Cuenta]],Estructura_Balance[Nombre Cuenta ()],Estructura_Balance[Nivel 1],"",0)</f>
        <v/>
      </c>
      <c r="O1375" t="str">
        <f>_xlfn.XLOOKUP(Table3[[#This Row],[Cuenta]],Estructura_Balance[Nombre Cuenta ()],Estructura_Balance[Nivel 2],"",0)</f>
        <v/>
      </c>
      <c r="P1375" t="str">
        <f>_xlfn.XLOOKUP(Table3[[#This Row],[Cuenta]],Estructura_Balance[Nombre Cuenta ()],Estructura_Balance[Nivel 3],"",0)</f>
        <v/>
      </c>
      <c r="Q1375" t="str">
        <f>_xlfn.XLOOKUP(Table3[[#This Row],[Cuenta]],Estructura_Balance[Nombre Cuenta ()],Estructura_Balance[Nivel 4],"",0)</f>
        <v/>
      </c>
      <c r="R1375" t="str">
        <f>_xlfn.XLOOKUP(Table3[[#This Row],[Cuenta]],Table8[Nombre Cuenta ()],Table8[Nivel 1],"",0)</f>
        <v/>
      </c>
      <c r="S1375" t="str">
        <f>_xlfn.XLOOKUP(Table3[[#This Row],[Cuenta]],Table8[Nombre Cuenta ()],Table8[Nivel 2],"",0)</f>
        <v/>
      </c>
      <c r="T1375" t="str">
        <f>_xlfn.XLOOKUP(Table3[[#This Row],[Cuenta]],Table8[Nombre Cuenta ()],Table8[Nivel 3],"",0)</f>
        <v/>
      </c>
      <c r="U1375">
        <v>322</v>
      </c>
      <c r="V1375" t="str">
        <f>_xlfn.XLOOKUP(Table3[[#This Row],[Cuenta]],Estructura_Balance[Nombre Cuenta ()],Estructura_Balance[Niveles:2],"",0)</f>
        <v/>
      </c>
      <c r="W1375" t="str">
        <f>_xlfn.XLOOKUP(Table3[[#This Row],[Cuenta]],Estructura_Balance[Nombre Cuenta ()],Estructura_Balance[Niveles:3],"",0)</f>
        <v/>
      </c>
      <c r="X1375" t="str">
        <f>_xlfn.XLOOKUP(Table3[[#This Row],[Cuenta]],Estructura_Balance[Nombre Cuenta ()],Estructura_Balance[Grupos],"Grupo 1",0)</f>
        <v>Grupo 1</v>
      </c>
      <c r="Y1375" t="str">
        <f>+Table3[[#This Row],[BS_Nivel_1]]</f>
        <v/>
      </c>
    </row>
    <row r="1376" spans="1:25" ht="15" customHeight="1">
      <c r="A1376">
        <f>+'Libro Diario'!F796</f>
        <v>0</v>
      </c>
      <c r="B1376" s="144">
        <f>VALUE(IF(+'Libro Diario'!G796="","01/01/2025",+'Libro Diario'!G796))</f>
        <v>45658</v>
      </c>
      <c r="C1376">
        <f>IF(ISNUMBER(+IF(IFERROR(VALUE(MID('Libro Diario'!D796,1,4)),0)&lt;&gt;0,'Libro Diario'!D796,0))=FALSE,'Libro Diario'!D796,0)</f>
        <v>0</v>
      </c>
      <c r="D1376" s="145">
        <f>+'Libro Diario'!E796</f>
        <v>0</v>
      </c>
      <c r="E1376" s="139" t="s">
        <v>446</v>
      </c>
      <c r="F1376" t="str">
        <f t="shared" si="63"/>
        <v>Sin Mov.</v>
      </c>
      <c r="G1376" t="str">
        <f>IF(+'Libro Diario'!H796=0,"",+'Libro Diario'!H796)</f>
        <v/>
      </c>
      <c r="H1376" t="str">
        <f>IF(+'Libro Diario'!I796=0,"",+'Libro Diario'!I796)</f>
        <v/>
      </c>
      <c r="I1376" t="str">
        <f>+IF(Table3[[#This Row],[Tipo Movimiento]]="Estructura Balance y PyG","Excluir","Incluir")</f>
        <v>Incluir</v>
      </c>
      <c r="J1376" s="153">
        <f>+IF(Table3[[#This Row],[Sin cuenta]]="Con Mov.",(IF(Table3[[#This Row],[Movimiento]]="Debe",Table3[[#This Row],[Importe]],IF(Table3[[#This Row],[Movimiento]]="Haber",Table3[[#This Row],[Importe]]*-1,0))),0)</f>
        <v>0</v>
      </c>
      <c r="K1376" s="145" t="str">
        <f t="shared" si="64"/>
        <v/>
      </c>
      <c r="L1376" s="145">
        <f t="shared" si="65"/>
        <v>0</v>
      </c>
      <c r="M1376" t="str">
        <f>_xlfn.XLOOKUP(Table3[[#This Row],[Cuenta]],Estructura_Balance[Nombre Cuenta ()],Estructura_Balance[Grupo],"",0)</f>
        <v/>
      </c>
      <c r="N1376" t="str">
        <f>_xlfn.XLOOKUP(Table3[[#This Row],[Cuenta]],Estructura_Balance[Nombre Cuenta ()],Estructura_Balance[Nivel 1],"",0)</f>
        <v/>
      </c>
      <c r="O1376" t="str">
        <f>_xlfn.XLOOKUP(Table3[[#This Row],[Cuenta]],Estructura_Balance[Nombre Cuenta ()],Estructura_Balance[Nivel 2],"",0)</f>
        <v/>
      </c>
      <c r="P1376" t="str">
        <f>_xlfn.XLOOKUP(Table3[[#This Row],[Cuenta]],Estructura_Balance[Nombre Cuenta ()],Estructura_Balance[Nivel 3],"",0)</f>
        <v/>
      </c>
      <c r="Q1376" t="str">
        <f>_xlfn.XLOOKUP(Table3[[#This Row],[Cuenta]],Estructura_Balance[Nombre Cuenta ()],Estructura_Balance[Nivel 4],"",0)</f>
        <v/>
      </c>
      <c r="R1376" t="str">
        <f>_xlfn.XLOOKUP(Table3[[#This Row],[Cuenta]],Table8[Nombre Cuenta ()],Table8[Nivel 1],"",0)</f>
        <v/>
      </c>
      <c r="S1376" t="str">
        <f>_xlfn.XLOOKUP(Table3[[#This Row],[Cuenta]],Table8[Nombre Cuenta ()],Table8[Nivel 2],"",0)</f>
        <v/>
      </c>
      <c r="T1376" t="str">
        <f>_xlfn.XLOOKUP(Table3[[#This Row],[Cuenta]],Table8[Nombre Cuenta ()],Table8[Nivel 3],"",0)</f>
        <v/>
      </c>
      <c r="U1376">
        <v>1318</v>
      </c>
      <c r="V1376" t="str">
        <f>_xlfn.XLOOKUP(Table3[[#This Row],[Cuenta]],Estructura_Balance[Nombre Cuenta ()],Estructura_Balance[Niveles:2],"",0)</f>
        <v/>
      </c>
      <c r="W1376" t="str">
        <f>_xlfn.XLOOKUP(Table3[[#This Row],[Cuenta]],Estructura_Balance[Nombre Cuenta ()],Estructura_Balance[Niveles:3],"",0)</f>
        <v/>
      </c>
      <c r="X1376" t="str">
        <f>_xlfn.XLOOKUP(Table3[[#This Row],[Cuenta]],Estructura_Balance[Nombre Cuenta ()],Estructura_Balance[Grupos],"Grupo 1",0)</f>
        <v>Grupo 1</v>
      </c>
      <c r="Y1376" t="str">
        <f>+Table3[[#This Row],[BS_Nivel_1]]</f>
        <v/>
      </c>
    </row>
    <row r="1377" spans="1:25" ht="15" customHeight="1">
      <c r="A1377">
        <f>+'Libro Diario'!F797</f>
        <v>0</v>
      </c>
      <c r="B1377" s="144">
        <f>VALUE(IF(+'Libro Diario'!G797="","01/01/2025",+'Libro Diario'!G797))</f>
        <v>45658</v>
      </c>
      <c r="C1377">
        <f>IF(ISNUMBER(+IF(IFERROR(VALUE(MID('Libro Diario'!D797,1,4)),0)&lt;&gt;0,'Libro Diario'!D797,0))=FALSE,'Libro Diario'!D797,0)</f>
        <v>0</v>
      </c>
      <c r="D1377" s="145">
        <f>+'Libro Diario'!E797</f>
        <v>0</v>
      </c>
      <c r="E1377" s="139" t="s">
        <v>446</v>
      </c>
      <c r="F1377" t="str">
        <f t="shared" si="63"/>
        <v>Sin Mov.</v>
      </c>
      <c r="G1377" t="str">
        <f>IF(+'Libro Diario'!H797=0,"",+'Libro Diario'!H797)</f>
        <v/>
      </c>
      <c r="H1377" t="str">
        <f>IF(+'Libro Diario'!I797=0,"",+'Libro Diario'!I797)</f>
        <v/>
      </c>
      <c r="I1377" t="str">
        <f>+IF(Table3[[#This Row],[Tipo Movimiento]]="Estructura Balance y PyG","Excluir","Incluir")</f>
        <v>Incluir</v>
      </c>
      <c r="J1377" s="153">
        <f>+IF(Table3[[#This Row],[Sin cuenta]]="Con Mov.",(IF(Table3[[#This Row],[Movimiento]]="Debe",Table3[[#This Row],[Importe]],IF(Table3[[#This Row],[Movimiento]]="Haber",Table3[[#This Row],[Importe]]*-1,0))),0)</f>
        <v>0</v>
      </c>
      <c r="K1377" s="145" t="str">
        <f t="shared" si="64"/>
        <v/>
      </c>
      <c r="L1377" s="145">
        <f t="shared" si="65"/>
        <v>0</v>
      </c>
      <c r="M1377" t="str">
        <f>_xlfn.XLOOKUP(Table3[[#This Row],[Cuenta]],Estructura_Balance[Nombre Cuenta ()],Estructura_Balance[Grupo],"",0)</f>
        <v/>
      </c>
      <c r="N1377" t="str">
        <f>_xlfn.XLOOKUP(Table3[[#This Row],[Cuenta]],Estructura_Balance[Nombre Cuenta ()],Estructura_Balance[Nivel 1],"",0)</f>
        <v/>
      </c>
      <c r="O1377" t="str">
        <f>_xlfn.XLOOKUP(Table3[[#This Row],[Cuenta]],Estructura_Balance[Nombre Cuenta ()],Estructura_Balance[Nivel 2],"",0)</f>
        <v/>
      </c>
      <c r="P1377" t="str">
        <f>_xlfn.XLOOKUP(Table3[[#This Row],[Cuenta]],Estructura_Balance[Nombre Cuenta ()],Estructura_Balance[Nivel 3],"",0)</f>
        <v/>
      </c>
      <c r="Q1377" t="str">
        <f>_xlfn.XLOOKUP(Table3[[#This Row],[Cuenta]],Estructura_Balance[Nombre Cuenta ()],Estructura_Balance[Nivel 4],"",0)</f>
        <v/>
      </c>
      <c r="R1377" t="str">
        <f>_xlfn.XLOOKUP(Table3[[#This Row],[Cuenta]],Table8[Nombre Cuenta ()],Table8[Nivel 1],"",0)</f>
        <v/>
      </c>
      <c r="S1377" t="str">
        <f>_xlfn.XLOOKUP(Table3[[#This Row],[Cuenta]],Table8[Nombre Cuenta ()],Table8[Nivel 2],"",0)</f>
        <v/>
      </c>
      <c r="T1377" t="str">
        <f>_xlfn.XLOOKUP(Table3[[#This Row],[Cuenta]],Table8[Nombre Cuenta ()],Table8[Nivel 3],"",0)</f>
        <v/>
      </c>
      <c r="U1377">
        <v>1319</v>
      </c>
      <c r="V1377" t="str">
        <f>_xlfn.XLOOKUP(Table3[[#This Row],[Cuenta]],Estructura_Balance[Nombre Cuenta ()],Estructura_Balance[Niveles:2],"",0)</f>
        <v/>
      </c>
      <c r="W1377" t="str">
        <f>_xlfn.XLOOKUP(Table3[[#This Row],[Cuenta]],Estructura_Balance[Nombre Cuenta ()],Estructura_Balance[Niveles:3],"",0)</f>
        <v/>
      </c>
      <c r="X1377" t="str">
        <f>_xlfn.XLOOKUP(Table3[[#This Row],[Cuenta]],Estructura_Balance[Nombre Cuenta ()],Estructura_Balance[Grupos],"Grupo 1",0)</f>
        <v>Grupo 1</v>
      </c>
      <c r="Y1377" t="str">
        <f>+Table3[[#This Row],[BS_Nivel_1]]</f>
        <v/>
      </c>
    </row>
    <row r="1378" spans="1:25" ht="15" customHeight="1">
      <c r="A1378">
        <f>+'Libro Diario'!F798</f>
        <v>0</v>
      </c>
      <c r="B1378" s="144">
        <f>VALUE(IF(+'Libro Diario'!G798="","01/01/2025",+'Libro Diario'!G798))</f>
        <v>45658</v>
      </c>
      <c r="C1378">
        <f>IF(ISNUMBER(+IF(IFERROR(VALUE(MID('Libro Diario'!D798,1,4)),0)&lt;&gt;0,'Libro Diario'!D798,0))=FALSE,'Libro Diario'!D798,0)</f>
        <v>0</v>
      </c>
      <c r="D1378" s="145">
        <f>+'Libro Diario'!E798</f>
        <v>0</v>
      </c>
      <c r="E1378" s="139" t="s">
        <v>446</v>
      </c>
      <c r="F1378" t="str">
        <f t="shared" si="63"/>
        <v>Sin Mov.</v>
      </c>
      <c r="G1378" t="str">
        <f>IF(+'Libro Diario'!H798=0,"",+'Libro Diario'!H798)</f>
        <v/>
      </c>
      <c r="H1378" t="str">
        <f>IF(+'Libro Diario'!I798=0,"",+'Libro Diario'!I798)</f>
        <v/>
      </c>
      <c r="I1378" t="str">
        <f>+IF(Table3[[#This Row],[Tipo Movimiento]]="Estructura Balance y PyG","Excluir","Incluir")</f>
        <v>Incluir</v>
      </c>
      <c r="J1378" s="153">
        <f>+IF(Table3[[#This Row],[Sin cuenta]]="Con Mov.",(IF(Table3[[#This Row],[Movimiento]]="Debe",Table3[[#This Row],[Importe]],IF(Table3[[#This Row],[Movimiento]]="Haber",Table3[[#This Row],[Importe]]*-1,0))),0)</f>
        <v>0</v>
      </c>
      <c r="K1378" s="145" t="str">
        <f t="shared" si="64"/>
        <v/>
      </c>
      <c r="L1378" s="145">
        <f t="shared" si="65"/>
        <v>0</v>
      </c>
      <c r="M1378" t="str">
        <f>_xlfn.XLOOKUP(Table3[[#This Row],[Cuenta]],Estructura_Balance[Nombre Cuenta ()],Estructura_Balance[Grupo],"",0)</f>
        <v/>
      </c>
      <c r="N1378" t="str">
        <f>_xlfn.XLOOKUP(Table3[[#This Row],[Cuenta]],Estructura_Balance[Nombre Cuenta ()],Estructura_Balance[Nivel 1],"",0)</f>
        <v/>
      </c>
      <c r="O1378" t="str">
        <f>_xlfn.XLOOKUP(Table3[[#This Row],[Cuenta]],Estructura_Balance[Nombre Cuenta ()],Estructura_Balance[Nivel 2],"",0)</f>
        <v/>
      </c>
      <c r="P1378" t="str">
        <f>_xlfn.XLOOKUP(Table3[[#This Row],[Cuenta]],Estructura_Balance[Nombre Cuenta ()],Estructura_Balance[Nivel 3],"",0)</f>
        <v/>
      </c>
      <c r="Q1378" t="str">
        <f>_xlfn.XLOOKUP(Table3[[#This Row],[Cuenta]],Estructura_Balance[Nombre Cuenta ()],Estructura_Balance[Nivel 4],"",0)</f>
        <v/>
      </c>
      <c r="R1378" t="str">
        <f>_xlfn.XLOOKUP(Table3[[#This Row],[Cuenta]],Table8[Nombre Cuenta ()],Table8[Nivel 1],"",0)</f>
        <v/>
      </c>
      <c r="S1378" t="str">
        <f>_xlfn.XLOOKUP(Table3[[#This Row],[Cuenta]],Table8[Nombre Cuenta ()],Table8[Nivel 2],"",0)</f>
        <v/>
      </c>
      <c r="T1378" t="str">
        <f>_xlfn.XLOOKUP(Table3[[#This Row],[Cuenta]],Table8[Nombre Cuenta ()],Table8[Nivel 3],"",0)</f>
        <v/>
      </c>
      <c r="U1378">
        <v>1320</v>
      </c>
      <c r="V1378" t="str">
        <f>_xlfn.XLOOKUP(Table3[[#This Row],[Cuenta]],Estructura_Balance[Nombre Cuenta ()],Estructura_Balance[Niveles:2],"",0)</f>
        <v/>
      </c>
      <c r="W1378" t="str">
        <f>_xlfn.XLOOKUP(Table3[[#This Row],[Cuenta]],Estructura_Balance[Nombre Cuenta ()],Estructura_Balance[Niveles:3],"",0)</f>
        <v/>
      </c>
      <c r="X1378" t="str">
        <f>_xlfn.XLOOKUP(Table3[[#This Row],[Cuenta]],Estructura_Balance[Nombre Cuenta ()],Estructura_Balance[Grupos],"Grupo 1",0)</f>
        <v>Grupo 1</v>
      </c>
      <c r="Y1378" t="str">
        <f>+Table3[[#This Row],[BS_Nivel_1]]</f>
        <v/>
      </c>
    </row>
    <row r="1379" spans="1:25" ht="15" customHeight="1">
      <c r="A1379">
        <f>+'Libro Diario'!F799</f>
        <v>0</v>
      </c>
      <c r="B1379" s="144">
        <f>VALUE(IF(+'Libro Diario'!G799="","01/01/2025",+'Libro Diario'!G799))</f>
        <v>45658</v>
      </c>
      <c r="C1379">
        <f>IF(ISNUMBER(+IF(IFERROR(VALUE(MID('Libro Diario'!D799,1,4)),0)&lt;&gt;0,'Libro Diario'!D799,0))=FALSE,'Libro Diario'!D799,0)</f>
        <v>0</v>
      </c>
      <c r="D1379" s="145">
        <f>+'Libro Diario'!E799</f>
        <v>0</v>
      </c>
      <c r="E1379" s="139" t="s">
        <v>446</v>
      </c>
      <c r="F1379" t="str">
        <f t="shared" si="63"/>
        <v>Sin Mov.</v>
      </c>
      <c r="G1379" t="str">
        <f>IF(+'Libro Diario'!H799=0,"",+'Libro Diario'!H799)</f>
        <v/>
      </c>
      <c r="H1379" t="str">
        <f>IF(+'Libro Diario'!I799=0,"",+'Libro Diario'!I799)</f>
        <v/>
      </c>
      <c r="I1379" t="str">
        <f>+IF(Table3[[#This Row],[Tipo Movimiento]]="Estructura Balance y PyG","Excluir","Incluir")</f>
        <v>Incluir</v>
      </c>
      <c r="J1379" s="153">
        <f>+IF(Table3[[#This Row],[Sin cuenta]]="Con Mov.",(IF(Table3[[#This Row],[Movimiento]]="Debe",Table3[[#This Row],[Importe]],IF(Table3[[#This Row],[Movimiento]]="Haber",Table3[[#This Row],[Importe]]*-1,0))),0)</f>
        <v>0</v>
      </c>
      <c r="K1379" s="145" t="str">
        <f t="shared" si="64"/>
        <v/>
      </c>
      <c r="L1379" s="145">
        <f t="shared" si="65"/>
        <v>0</v>
      </c>
      <c r="M1379" t="str">
        <f>_xlfn.XLOOKUP(Table3[[#This Row],[Cuenta]],Estructura_Balance[Nombre Cuenta ()],Estructura_Balance[Grupo],"",0)</f>
        <v/>
      </c>
      <c r="N1379" t="str">
        <f>_xlfn.XLOOKUP(Table3[[#This Row],[Cuenta]],Estructura_Balance[Nombre Cuenta ()],Estructura_Balance[Nivel 1],"",0)</f>
        <v/>
      </c>
      <c r="O1379" t="str">
        <f>_xlfn.XLOOKUP(Table3[[#This Row],[Cuenta]],Estructura_Balance[Nombre Cuenta ()],Estructura_Balance[Nivel 2],"",0)</f>
        <v/>
      </c>
      <c r="P1379" t="str">
        <f>_xlfn.XLOOKUP(Table3[[#This Row],[Cuenta]],Estructura_Balance[Nombre Cuenta ()],Estructura_Balance[Nivel 3],"",0)</f>
        <v/>
      </c>
      <c r="Q1379" t="str">
        <f>_xlfn.XLOOKUP(Table3[[#This Row],[Cuenta]],Estructura_Balance[Nombre Cuenta ()],Estructura_Balance[Nivel 4],"",0)</f>
        <v/>
      </c>
      <c r="R1379" t="str">
        <f>_xlfn.XLOOKUP(Table3[[#This Row],[Cuenta]],Table8[Nombre Cuenta ()],Table8[Nivel 1],"",0)</f>
        <v/>
      </c>
      <c r="S1379" t="str">
        <f>_xlfn.XLOOKUP(Table3[[#This Row],[Cuenta]],Table8[Nombre Cuenta ()],Table8[Nivel 2],"",0)</f>
        <v/>
      </c>
      <c r="T1379" t="str">
        <f>_xlfn.XLOOKUP(Table3[[#This Row],[Cuenta]],Table8[Nombre Cuenta ()],Table8[Nivel 3],"",0)</f>
        <v/>
      </c>
      <c r="U1379">
        <v>328</v>
      </c>
      <c r="V1379" t="str">
        <f>_xlfn.XLOOKUP(Table3[[#This Row],[Cuenta]],Estructura_Balance[Nombre Cuenta ()],Estructura_Balance[Niveles:2],"",0)</f>
        <v/>
      </c>
      <c r="W1379" t="str">
        <f>_xlfn.XLOOKUP(Table3[[#This Row],[Cuenta]],Estructura_Balance[Nombre Cuenta ()],Estructura_Balance[Niveles:3],"",0)</f>
        <v/>
      </c>
      <c r="X1379" t="str">
        <f>_xlfn.XLOOKUP(Table3[[#This Row],[Cuenta]],Estructura_Balance[Nombre Cuenta ()],Estructura_Balance[Grupos],"Grupo 1",0)</f>
        <v>Grupo 1</v>
      </c>
      <c r="Y1379" t="str">
        <f>+Table3[[#This Row],[BS_Nivel_1]]</f>
        <v/>
      </c>
    </row>
    <row r="1380" spans="1:25" ht="15" customHeight="1">
      <c r="A1380">
        <f>+'Libro Diario'!F800</f>
        <v>0</v>
      </c>
      <c r="B1380" s="144">
        <f>VALUE(IF(+'Libro Diario'!G800="","01/01/2025",+'Libro Diario'!G800))</f>
        <v>45658</v>
      </c>
      <c r="C1380">
        <f>IF(ISNUMBER(+IF(IFERROR(VALUE(MID('Libro Diario'!D800,1,4)),0)&lt;&gt;0,'Libro Diario'!D800,0))=FALSE,'Libro Diario'!D800,0)</f>
        <v>0</v>
      </c>
      <c r="D1380" s="145">
        <f>+'Libro Diario'!E800</f>
        <v>0</v>
      </c>
      <c r="E1380" s="139" t="s">
        <v>446</v>
      </c>
      <c r="F1380" t="str">
        <f t="shared" si="63"/>
        <v>Sin Mov.</v>
      </c>
      <c r="G1380" t="str">
        <f>IF(+'Libro Diario'!H800=0,"",+'Libro Diario'!H800)</f>
        <v/>
      </c>
      <c r="H1380" t="str">
        <f>IF(+'Libro Diario'!I800=0,"",+'Libro Diario'!I800)</f>
        <v/>
      </c>
      <c r="I1380" t="str">
        <f>+IF(Table3[[#This Row],[Tipo Movimiento]]="Estructura Balance y PyG","Excluir","Incluir")</f>
        <v>Incluir</v>
      </c>
      <c r="J1380" s="153">
        <f>+IF(Table3[[#This Row],[Sin cuenta]]="Con Mov.",(IF(Table3[[#This Row],[Movimiento]]="Debe",Table3[[#This Row],[Importe]],IF(Table3[[#This Row],[Movimiento]]="Haber",Table3[[#This Row],[Importe]]*-1,0))),0)</f>
        <v>0</v>
      </c>
      <c r="K1380" s="145" t="str">
        <f t="shared" si="64"/>
        <v/>
      </c>
      <c r="L1380" s="145">
        <f t="shared" si="65"/>
        <v>0</v>
      </c>
      <c r="M1380" t="str">
        <f>_xlfn.XLOOKUP(Table3[[#This Row],[Cuenta]],Estructura_Balance[Nombre Cuenta ()],Estructura_Balance[Grupo],"",0)</f>
        <v/>
      </c>
      <c r="N1380" t="str">
        <f>_xlfn.XLOOKUP(Table3[[#This Row],[Cuenta]],Estructura_Balance[Nombre Cuenta ()],Estructura_Balance[Nivel 1],"",0)</f>
        <v/>
      </c>
      <c r="O1380" t="str">
        <f>_xlfn.XLOOKUP(Table3[[#This Row],[Cuenta]],Estructura_Balance[Nombre Cuenta ()],Estructura_Balance[Nivel 2],"",0)</f>
        <v/>
      </c>
      <c r="P1380" t="str">
        <f>_xlfn.XLOOKUP(Table3[[#This Row],[Cuenta]],Estructura_Balance[Nombre Cuenta ()],Estructura_Balance[Nivel 3],"",0)</f>
        <v/>
      </c>
      <c r="Q1380" t="str">
        <f>_xlfn.XLOOKUP(Table3[[#This Row],[Cuenta]],Estructura_Balance[Nombre Cuenta ()],Estructura_Balance[Nivel 4],"",0)</f>
        <v/>
      </c>
      <c r="R1380" t="str">
        <f>_xlfn.XLOOKUP(Table3[[#This Row],[Cuenta]],Table8[Nombre Cuenta ()],Table8[Nivel 1],"",0)</f>
        <v/>
      </c>
      <c r="S1380" t="str">
        <f>_xlfn.XLOOKUP(Table3[[#This Row],[Cuenta]],Table8[Nombre Cuenta ()],Table8[Nivel 2],"",0)</f>
        <v/>
      </c>
      <c r="T1380" t="str">
        <f>_xlfn.XLOOKUP(Table3[[#This Row],[Cuenta]],Table8[Nombre Cuenta ()],Table8[Nivel 3],"",0)</f>
        <v/>
      </c>
      <c r="U1380">
        <v>329</v>
      </c>
      <c r="V1380" t="str">
        <f>_xlfn.XLOOKUP(Table3[[#This Row],[Cuenta]],Estructura_Balance[Nombre Cuenta ()],Estructura_Balance[Niveles:2],"",0)</f>
        <v/>
      </c>
      <c r="W1380" t="str">
        <f>_xlfn.XLOOKUP(Table3[[#This Row],[Cuenta]],Estructura_Balance[Nombre Cuenta ()],Estructura_Balance[Niveles:3],"",0)</f>
        <v/>
      </c>
      <c r="X1380" t="str">
        <f>_xlfn.XLOOKUP(Table3[[#This Row],[Cuenta]],Estructura_Balance[Nombre Cuenta ()],Estructura_Balance[Grupos],"Grupo 1",0)</f>
        <v>Grupo 1</v>
      </c>
      <c r="Y1380" t="str">
        <f>+Table3[[#This Row],[BS_Nivel_1]]</f>
        <v/>
      </c>
    </row>
    <row r="1381" spans="1:25" ht="15" customHeight="1">
      <c r="A1381">
        <f>+'Libro Diario'!F801</f>
        <v>0</v>
      </c>
      <c r="B1381" s="144">
        <f>VALUE(IF(+'Libro Diario'!G801="","01/01/2025",+'Libro Diario'!G801))</f>
        <v>45658</v>
      </c>
      <c r="C1381">
        <f>IF(ISNUMBER(+IF(IFERROR(VALUE(MID('Libro Diario'!D801,1,4)),0)&lt;&gt;0,'Libro Diario'!D801,0))=FALSE,'Libro Diario'!D801,0)</f>
        <v>0</v>
      </c>
      <c r="D1381" s="145">
        <f>+'Libro Diario'!E801</f>
        <v>0</v>
      </c>
      <c r="E1381" s="139" t="s">
        <v>446</v>
      </c>
      <c r="F1381" t="str">
        <f t="shared" si="63"/>
        <v>Sin Mov.</v>
      </c>
      <c r="G1381" t="str">
        <f>IF(+'Libro Diario'!H801=0,"",+'Libro Diario'!H801)</f>
        <v/>
      </c>
      <c r="H1381" t="str">
        <f>IF(+'Libro Diario'!I801=0,"",+'Libro Diario'!I801)</f>
        <v/>
      </c>
      <c r="I1381" t="str">
        <f>+IF(Table3[[#This Row],[Tipo Movimiento]]="Estructura Balance y PyG","Excluir","Incluir")</f>
        <v>Incluir</v>
      </c>
      <c r="J1381" s="153">
        <f>+IF(Table3[[#This Row],[Sin cuenta]]="Con Mov.",(IF(Table3[[#This Row],[Movimiento]]="Debe",Table3[[#This Row],[Importe]],IF(Table3[[#This Row],[Movimiento]]="Haber",Table3[[#This Row],[Importe]]*-1,0))),0)</f>
        <v>0</v>
      </c>
      <c r="K1381" s="145" t="str">
        <f t="shared" si="64"/>
        <v/>
      </c>
      <c r="L1381" s="145">
        <f t="shared" si="65"/>
        <v>0</v>
      </c>
      <c r="M1381" t="str">
        <f>_xlfn.XLOOKUP(Table3[[#This Row],[Cuenta]],Estructura_Balance[Nombre Cuenta ()],Estructura_Balance[Grupo],"",0)</f>
        <v/>
      </c>
      <c r="N1381" t="str">
        <f>_xlfn.XLOOKUP(Table3[[#This Row],[Cuenta]],Estructura_Balance[Nombre Cuenta ()],Estructura_Balance[Nivel 1],"",0)</f>
        <v/>
      </c>
      <c r="O1381" t="str">
        <f>_xlfn.XLOOKUP(Table3[[#This Row],[Cuenta]],Estructura_Balance[Nombre Cuenta ()],Estructura_Balance[Nivel 2],"",0)</f>
        <v/>
      </c>
      <c r="P1381" t="str">
        <f>_xlfn.XLOOKUP(Table3[[#This Row],[Cuenta]],Estructura_Balance[Nombre Cuenta ()],Estructura_Balance[Nivel 3],"",0)</f>
        <v/>
      </c>
      <c r="Q1381" t="str">
        <f>_xlfn.XLOOKUP(Table3[[#This Row],[Cuenta]],Estructura_Balance[Nombre Cuenta ()],Estructura_Balance[Nivel 4],"",0)</f>
        <v/>
      </c>
      <c r="R1381" t="str">
        <f>_xlfn.XLOOKUP(Table3[[#This Row],[Cuenta]],Table8[Nombre Cuenta ()],Table8[Nivel 1],"",0)</f>
        <v/>
      </c>
      <c r="S1381" t="str">
        <f>_xlfn.XLOOKUP(Table3[[#This Row],[Cuenta]],Table8[Nombre Cuenta ()],Table8[Nivel 2],"",0)</f>
        <v/>
      </c>
      <c r="T1381" t="str">
        <f>_xlfn.XLOOKUP(Table3[[#This Row],[Cuenta]],Table8[Nombre Cuenta ()],Table8[Nivel 3],"",0)</f>
        <v/>
      </c>
      <c r="U1381">
        <v>1326</v>
      </c>
      <c r="V1381" t="str">
        <f>_xlfn.XLOOKUP(Table3[[#This Row],[Cuenta]],Estructura_Balance[Nombre Cuenta ()],Estructura_Balance[Niveles:2],"",0)</f>
        <v/>
      </c>
      <c r="W1381" t="str">
        <f>_xlfn.XLOOKUP(Table3[[#This Row],[Cuenta]],Estructura_Balance[Nombre Cuenta ()],Estructura_Balance[Niveles:3],"",0)</f>
        <v/>
      </c>
      <c r="X1381" t="str">
        <f>_xlfn.XLOOKUP(Table3[[#This Row],[Cuenta]],Estructura_Balance[Nombre Cuenta ()],Estructura_Balance[Grupos],"Grupo 1",0)</f>
        <v>Grupo 1</v>
      </c>
      <c r="Y1381" t="str">
        <f>+Table3[[#This Row],[BS_Nivel_1]]</f>
        <v/>
      </c>
    </row>
    <row r="1382" spans="1:25" ht="15" customHeight="1">
      <c r="A1382">
        <f>+'Libro Diario'!F802</f>
        <v>0</v>
      </c>
      <c r="B1382" s="144">
        <f>VALUE(IF(+'Libro Diario'!G802="","01/01/2025",+'Libro Diario'!G802))</f>
        <v>45658</v>
      </c>
      <c r="C1382">
        <f>IF(ISNUMBER(+IF(IFERROR(VALUE(MID('Libro Diario'!D802,1,4)),0)&lt;&gt;0,'Libro Diario'!D802,0))=FALSE,'Libro Diario'!D802,0)</f>
        <v>0</v>
      </c>
      <c r="D1382" s="145">
        <f>+'Libro Diario'!E802</f>
        <v>0</v>
      </c>
      <c r="E1382" s="139" t="s">
        <v>446</v>
      </c>
      <c r="F1382" t="str">
        <f t="shared" si="63"/>
        <v>Sin Mov.</v>
      </c>
      <c r="G1382" t="str">
        <f>IF(+'Libro Diario'!H802=0,"",+'Libro Diario'!H802)</f>
        <v/>
      </c>
      <c r="H1382" t="str">
        <f>IF(+'Libro Diario'!I802=0,"",+'Libro Diario'!I802)</f>
        <v/>
      </c>
      <c r="I1382" t="str">
        <f>+IF(Table3[[#This Row],[Tipo Movimiento]]="Estructura Balance y PyG","Excluir","Incluir")</f>
        <v>Incluir</v>
      </c>
      <c r="J1382" s="153">
        <f>+IF(Table3[[#This Row],[Sin cuenta]]="Con Mov.",(IF(Table3[[#This Row],[Movimiento]]="Debe",Table3[[#This Row],[Importe]],IF(Table3[[#This Row],[Movimiento]]="Haber",Table3[[#This Row],[Importe]]*-1,0))),0)</f>
        <v>0</v>
      </c>
      <c r="K1382" s="145" t="str">
        <f t="shared" si="64"/>
        <v/>
      </c>
      <c r="L1382" s="145">
        <f t="shared" si="65"/>
        <v>0</v>
      </c>
      <c r="M1382" t="str">
        <f>_xlfn.XLOOKUP(Table3[[#This Row],[Cuenta]],Estructura_Balance[Nombre Cuenta ()],Estructura_Balance[Grupo],"",0)</f>
        <v/>
      </c>
      <c r="N1382" t="str">
        <f>_xlfn.XLOOKUP(Table3[[#This Row],[Cuenta]],Estructura_Balance[Nombre Cuenta ()],Estructura_Balance[Nivel 1],"",0)</f>
        <v/>
      </c>
      <c r="O1382" t="str">
        <f>_xlfn.XLOOKUP(Table3[[#This Row],[Cuenta]],Estructura_Balance[Nombre Cuenta ()],Estructura_Balance[Nivel 2],"",0)</f>
        <v/>
      </c>
      <c r="P1382" t="str">
        <f>_xlfn.XLOOKUP(Table3[[#This Row],[Cuenta]],Estructura_Balance[Nombre Cuenta ()],Estructura_Balance[Nivel 3],"",0)</f>
        <v/>
      </c>
      <c r="Q1382" t="str">
        <f>_xlfn.XLOOKUP(Table3[[#This Row],[Cuenta]],Estructura_Balance[Nombre Cuenta ()],Estructura_Balance[Nivel 4],"",0)</f>
        <v/>
      </c>
      <c r="R1382" t="str">
        <f>_xlfn.XLOOKUP(Table3[[#This Row],[Cuenta]],Table8[Nombre Cuenta ()],Table8[Nivel 1],"",0)</f>
        <v/>
      </c>
      <c r="S1382" t="str">
        <f>_xlfn.XLOOKUP(Table3[[#This Row],[Cuenta]],Table8[Nombre Cuenta ()],Table8[Nivel 2],"",0)</f>
        <v/>
      </c>
      <c r="T1382" t="str">
        <f>_xlfn.XLOOKUP(Table3[[#This Row],[Cuenta]],Table8[Nombre Cuenta ()],Table8[Nivel 3],"",0)</f>
        <v/>
      </c>
      <c r="U1382">
        <v>1327</v>
      </c>
      <c r="V1382" t="str">
        <f>_xlfn.XLOOKUP(Table3[[#This Row],[Cuenta]],Estructura_Balance[Nombre Cuenta ()],Estructura_Balance[Niveles:2],"",0)</f>
        <v/>
      </c>
      <c r="W1382" t="str">
        <f>_xlfn.XLOOKUP(Table3[[#This Row],[Cuenta]],Estructura_Balance[Nombre Cuenta ()],Estructura_Balance[Niveles:3],"",0)</f>
        <v/>
      </c>
      <c r="X1382" t="str">
        <f>_xlfn.XLOOKUP(Table3[[#This Row],[Cuenta]],Estructura_Balance[Nombre Cuenta ()],Estructura_Balance[Grupos],"Grupo 1",0)</f>
        <v>Grupo 1</v>
      </c>
      <c r="Y1382" t="str">
        <f>+Table3[[#This Row],[BS_Nivel_1]]</f>
        <v/>
      </c>
    </row>
    <row r="1383" spans="1:25" ht="15" customHeight="1">
      <c r="A1383">
        <f>+'Libro Diario'!F803</f>
        <v>0</v>
      </c>
      <c r="B1383" s="144">
        <f>VALUE(IF(+'Libro Diario'!G803="","01/01/2025",+'Libro Diario'!G803))</f>
        <v>45658</v>
      </c>
      <c r="C1383">
        <f>IF(ISNUMBER(+IF(IFERROR(VALUE(MID('Libro Diario'!D803,1,4)),0)&lt;&gt;0,'Libro Diario'!D803,0))=FALSE,'Libro Diario'!D803,0)</f>
        <v>0</v>
      </c>
      <c r="D1383" s="145">
        <f>+'Libro Diario'!E803</f>
        <v>0</v>
      </c>
      <c r="E1383" s="139" t="s">
        <v>446</v>
      </c>
      <c r="F1383" t="str">
        <f t="shared" si="63"/>
        <v>Sin Mov.</v>
      </c>
      <c r="G1383" t="str">
        <f>IF(+'Libro Diario'!H803=0,"",+'Libro Diario'!H803)</f>
        <v/>
      </c>
      <c r="H1383" t="str">
        <f>IF(+'Libro Diario'!I803=0,"",+'Libro Diario'!I803)</f>
        <v/>
      </c>
      <c r="I1383" t="str">
        <f>+IF(Table3[[#This Row],[Tipo Movimiento]]="Estructura Balance y PyG","Excluir","Incluir")</f>
        <v>Incluir</v>
      </c>
      <c r="J1383" s="153">
        <f>+IF(Table3[[#This Row],[Sin cuenta]]="Con Mov.",(IF(Table3[[#This Row],[Movimiento]]="Debe",Table3[[#This Row],[Importe]],IF(Table3[[#This Row],[Movimiento]]="Haber",Table3[[#This Row],[Importe]]*-1,0))),0)</f>
        <v>0</v>
      </c>
      <c r="K1383" s="145" t="str">
        <f t="shared" si="64"/>
        <v/>
      </c>
      <c r="L1383" s="145">
        <f t="shared" si="65"/>
        <v>0</v>
      </c>
      <c r="M1383" t="str">
        <f>_xlfn.XLOOKUP(Table3[[#This Row],[Cuenta]],Estructura_Balance[Nombre Cuenta ()],Estructura_Balance[Grupo],"",0)</f>
        <v/>
      </c>
      <c r="N1383" t="str">
        <f>_xlfn.XLOOKUP(Table3[[#This Row],[Cuenta]],Estructura_Balance[Nombre Cuenta ()],Estructura_Balance[Nivel 1],"",0)</f>
        <v/>
      </c>
      <c r="O1383" t="str">
        <f>_xlfn.XLOOKUP(Table3[[#This Row],[Cuenta]],Estructura_Balance[Nombre Cuenta ()],Estructura_Balance[Nivel 2],"",0)</f>
        <v/>
      </c>
      <c r="P1383" t="str">
        <f>_xlfn.XLOOKUP(Table3[[#This Row],[Cuenta]],Estructura_Balance[Nombre Cuenta ()],Estructura_Balance[Nivel 3],"",0)</f>
        <v/>
      </c>
      <c r="Q1383" t="str">
        <f>_xlfn.XLOOKUP(Table3[[#This Row],[Cuenta]],Estructura_Balance[Nombre Cuenta ()],Estructura_Balance[Nivel 4],"",0)</f>
        <v/>
      </c>
      <c r="R1383" t="str">
        <f>_xlfn.XLOOKUP(Table3[[#This Row],[Cuenta]],Table8[Nombre Cuenta ()],Table8[Nivel 1],"",0)</f>
        <v/>
      </c>
      <c r="S1383" t="str">
        <f>_xlfn.XLOOKUP(Table3[[#This Row],[Cuenta]],Table8[Nombre Cuenta ()],Table8[Nivel 2],"",0)</f>
        <v/>
      </c>
      <c r="T1383" t="str">
        <f>_xlfn.XLOOKUP(Table3[[#This Row],[Cuenta]],Table8[Nombre Cuenta ()],Table8[Nivel 3],"",0)</f>
        <v/>
      </c>
      <c r="U1383">
        <v>335</v>
      </c>
      <c r="V1383" t="str">
        <f>_xlfn.XLOOKUP(Table3[[#This Row],[Cuenta]],Estructura_Balance[Nombre Cuenta ()],Estructura_Balance[Niveles:2],"",0)</f>
        <v/>
      </c>
      <c r="W1383" t="str">
        <f>_xlfn.XLOOKUP(Table3[[#This Row],[Cuenta]],Estructura_Balance[Nombre Cuenta ()],Estructura_Balance[Niveles:3],"",0)</f>
        <v/>
      </c>
      <c r="X1383" t="str">
        <f>_xlfn.XLOOKUP(Table3[[#This Row],[Cuenta]],Estructura_Balance[Nombre Cuenta ()],Estructura_Balance[Grupos],"Grupo 1",0)</f>
        <v>Grupo 1</v>
      </c>
      <c r="Y1383" t="str">
        <f>+Table3[[#This Row],[BS_Nivel_1]]</f>
        <v/>
      </c>
    </row>
    <row r="1384" spans="1:25" ht="15" customHeight="1">
      <c r="A1384">
        <f>+'Libro Diario'!F804</f>
        <v>0</v>
      </c>
      <c r="B1384" s="144">
        <f>VALUE(IF(+'Libro Diario'!G804="","01/01/2025",+'Libro Diario'!G804))</f>
        <v>45658</v>
      </c>
      <c r="C1384">
        <f>IF(ISNUMBER(+IF(IFERROR(VALUE(MID('Libro Diario'!D804,1,4)),0)&lt;&gt;0,'Libro Diario'!D804,0))=FALSE,'Libro Diario'!D804,0)</f>
        <v>0</v>
      </c>
      <c r="D1384" s="145">
        <f>+'Libro Diario'!E804</f>
        <v>0</v>
      </c>
      <c r="E1384" s="139" t="s">
        <v>446</v>
      </c>
      <c r="F1384" t="str">
        <f t="shared" si="63"/>
        <v>Sin Mov.</v>
      </c>
      <c r="G1384" t="str">
        <f>IF(+'Libro Diario'!H804=0,"",+'Libro Diario'!H804)</f>
        <v/>
      </c>
      <c r="H1384" t="str">
        <f>IF(+'Libro Diario'!I804=0,"",+'Libro Diario'!I804)</f>
        <v/>
      </c>
      <c r="I1384" t="str">
        <f>+IF(Table3[[#This Row],[Tipo Movimiento]]="Estructura Balance y PyG","Excluir","Incluir")</f>
        <v>Incluir</v>
      </c>
      <c r="J1384" s="153">
        <f>+IF(Table3[[#This Row],[Sin cuenta]]="Con Mov.",(IF(Table3[[#This Row],[Movimiento]]="Debe",Table3[[#This Row],[Importe]],IF(Table3[[#This Row],[Movimiento]]="Haber",Table3[[#This Row],[Importe]]*-1,0))),0)</f>
        <v>0</v>
      </c>
      <c r="K1384" s="145" t="str">
        <f t="shared" si="64"/>
        <v/>
      </c>
      <c r="L1384" s="145">
        <f t="shared" si="65"/>
        <v>0</v>
      </c>
      <c r="M1384" t="str">
        <f>_xlfn.XLOOKUP(Table3[[#This Row],[Cuenta]],Estructura_Balance[Nombre Cuenta ()],Estructura_Balance[Grupo],"",0)</f>
        <v/>
      </c>
      <c r="N1384" t="str">
        <f>_xlfn.XLOOKUP(Table3[[#This Row],[Cuenta]],Estructura_Balance[Nombre Cuenta ()],Estructura_Balance[Nivel 1],"",0)</f>
        <v/>
      </c>
      <c r="O1384" t="str">
        <f>_xlfn.XLOOKUP(Table3[[#This Row],[Cuenta]],Estructura_Balance[Nombre Cuenta ()],Estructura_Balance[Nivel 2],"",0)</f>
        <v/>
      </c>
      <c r="P1384" t="str">
        <f>_xlfn.XLOOKUP(Table3[[#This Row],[Cuenta]],Estructura_Balance[Nombre Cuenta ()],Estructura_Balance[Nivel 3],"",0)</f>
        <v/>
      </c>
      <c r="Q1384" t="str">
        <f>_xlfn.XLOOKUP(Table3[[#This Row],[Cuenta]],Estructura_Balance[Nombre Cuenta ()],Estructura_Balance[Nivel 4],"",0)</f>
        <v/>
      </c>
      <c r="R1384" t="str">
        <f>_xlfn.XLOOKUP(Table3[[#This Row],[Cuenta]],Table8[Nombre Cuenta ()],Table8[Nivel 1],"",0)</f>
        <v/>
      </c>
      <c r="S1384" t="str">
        <f>_xlfn.XLOOKUP(Table3[[#This Row],[Cuenta]],Table8[Nombre Cuenta ()],Table8[Nivel 2],"",0)</f>
        <v/>
      </c>
      <c r="T1384" t="str">
        <f>_xlfn.XLOOKUP(Table3[[#This Row],[Cuenta]],Table8[Nombre Cuenta ()],Table8[Nivel 3],"",0)</f>
        <v/>
      </c>
      <c r="U1384">
        <v>336</v>
      </c>
      <c r="V1384" t="str">
        <f>_xlfn.XLOOKUP(Table3[[#This Row],[Cuenta]],Estructura_Balance[Nombre Cuenta ()],Estructura_Balance[Niveles:2],"",0)</f>
        <v/>
      </c>
      <c r="W1384" t="str">
        <f>_xlfn.XLOOKUP(Table3[[#This Row],[Cuenta]],Estructura_Balance[Nombre Cuenta ()],Estructura_Balance[Niveles:3],"",0)</f>
        <v/>
      </c>
      <c r="X1384" t="str">
        <f>_xlfn.XLOOKUP(Table3[[#This Row],[Cuenta]],Estructura_Balance[Nombre Cuenta ()],Estructura_Balance[Grupos],"Grupo 1",0)</f>
        <v>Grupo 1</v>
      </c>
      <c r="Y1384" t="str">
        <f>+Table3[[#This Row],[BS_Nivel_1]]</f>
        <v/>
      </c>
    </row>
    <row r="1385" spans="1:25" ht="15" customHeight="1">
      <c r="A1385">
        <f>+'Libro Diario'!F805</f>
        <v>0</v>
      </c>
      <c r="B1385" s="144">
        <f>VALUE(IF(+'Libro Diario'!G805="","01/01/2025",+'Libro Diario'!G805))</f>
        <v>45658</v>
      </c>
      <c r="C1385">
        <f>IF(ISNUMBER(+IF(IFERROR(VALUE(MID('Libro Diario'!D805,1,4)),0)&lt;&gt;0,'Libro Diario'!D805,0))=FALSE,'Libro Diario'!D805,0)</f>
        <v>0</v>
      </c>
      <c r="D1385" s="145">
        <f>+'Libro Diario'!E805</f>
        <v>0</v>
      </c>
      <c r="E1385" s="139" t="s">
        <v>446</v>
      </c>
      <c r="F1385" t="str">
        <f t="shared" si="63"/>
        <v>Sin Mov.</v>
      </c>
      <c r="G1385" t="str">
        <f>IF(+'Libro Diario'!H805=0,"",+'Libro Diario'!H805)</f>
        <v/>
      </c>
      <c r="H1385" t="str">
        <f>IF(+'Libro Diario'!I805=0,"",+'Libro Diario'!I805)</f>
        <v/>
      </c>
      <c r="I1385" t="str">
        <f>+IF(Table3[[#This Row],[Tipo Movimiento]]="Estructura Balance y PyG","Excluir","Incluir")</f>
        <v>Incluir</v>
      </c>
      <c r="J1385" s="153">
        <f>+IF(Table3[[#This Row],[Sin cuenta]]="Con Mov.",(IF(Table3[[#This Row],[Movimiento]]="Debe",Table3[[#This Row],[Importe]],IF(Table3[[#This Row],[Movimiento]]="Haber",Table3[[#This Row],[Importe]]*-1,0))),0)</f>
        <v>0</v>
      </c>
      <c r="K1385" s="145" t="str">
        <f t="shared" si="64"/>
        <v/>
      </c>
      <c r="L1385" s="145">
        <f t="shared" si="65"/>
        <v>0</v>
      </c>
      <c r="M1385" t="str">
        <f>_xlfn.XLOOKUP(Table3[[#This Row],[Cuenta]],Estructura_Balance[Nombre Cuenta ()],Estructura_Balance[Grupo],"",0)</f>
        <v/>
      </c>
      <c r="N1385" t="str">
        <f>_xlfn.XLOOKUP(Table3[[#This Row],[Cuenta]],Estructura_Balance[Nombre Cuenta ()],Estructura_Balance[Nivel 1],"",0)</f>
        <v/>
      </c>
      <c r="O1385" t="str">
        <f>_xlfn.XLOOKUP(Table3[[#This Row],[Cuenta]],Estructura_Balance[Nombre Cuenta ()],Estructura_Balance[Nivel 2],"",0)</f>
        <v/>
      </c>
      <c r="P1385" t="str">
        <f>_xlfn.XLOOKUP(Table3[[#This Row],[Cuenta]],Estructura_Balance[Nombre Cuenta ()],Estructura_Balance[Nivel 3],"",0)</f>
        <v/>
      </c>
      <c r="Q1385" t="str">
        <f>_xlfn.XLOOKUP(Table3[[#This Row],[Cuenta]],Estructura_Balance[Nombre Cuenta ()],Estructura_Balance[Nivel 4],"",0)</f>
        <v/>
      </c>
      <c r="R1385" t="str">
        <f>_xlfn.XLOOKUP(Table3[[#This Row],[Cuenta]],Table8[Nombre Cuenta ()],Table8[Nivel 1],"",0)</f>
        <v/>
      </c>
      <c r="S1385" t="str">
        <f>_xlfn.XLOOKUP(Table3[[#This Row],[Cuenta]],Table8[Nombre Cuenta ()],Table8[Nivel 2],"",0)</f>
        <v/>
      </c>
      <c r="T1385" t="str">
        <f>_xlfn.XLOOKUP(Table3[[#This Row],[Cuenta]],Table8[Nombre Cuenta ()],Table8[Nivel 3],"",0)</f>
        <v/>
      </c>
      <c r="U1385">
        <v>1333</v>
      </c>
      <c r="V1385" t="str">
        <f>_xlfn.XLOOKUP(Table3[[#This Row],[Cuenta]],Estructura_Balance[Nombre Cuenta ()],Estructura_Balance[Niveles:2],"",0)</f>
        <v/>
      </c>
      <c r="W1385" t="str">
        <f>_xlfn.XLOOKUP(Table3[[#This Row],[Cuenta]],Estructura_Balance[Nombre Cuenta ()],Estructura_Balance[Niveles:3],"",0)</f>
        <v/>
      </c>
      <c r="X1385" t="str">
        <f>_xlfn.XLOOKUP(Table3[[#This Row],[Cuenta]],Estructura_Balance[Nombre Cuenta ()],Estructura_Balance[Grupos],"Grupo 1",0)</f>
        <v>Grupo 1</v>
      </c>
      <c r="Y1385" t="str">
        <f>+Table3[[#This Row],[BS_Nivel_1]]</f>
        <v/>
      </c>
    </row>
    <row r="1386" spans="1:25" ht="15" customHeight="1">
      <c r="A1386">
        <f>+'Libro Diario'!F806</f>
        <v>0</v>
      </c>
      <c r="B1386" s="144">
        <f>VALUE(IF(+'Libro Diario'!G806="","01/01/2025",+'Libro Diario'!G806))</f>
        <v>45658</v>
      </c>
      <c r="C1386">
        <f>IF(ISNUMBER(+IF(IFERROR(VALUE(MID('Libro Diario'!D806,1,4)),0)&lt;&gt;0,'Libro Diario'!D806,0))=FALSE,'Libro Diario'!D806,0)</f>
        <v>0</v>
      </c>
      <c r="D1386" s="145">
        <f>+'Libro Diario'!E806</f>
        <v>0</v>
      </c>
      <c r="E1386" s="139" t="s">
        <v>446</v>
      </c>
      <c r="F1386" t="str">
        <f t="shared" si="63"/>
        <v>Sin Mov.</v>
      </c>
      <c r="G1386" t="str">
        <f>IF(+'Libro Diario'!H806=0,"",+'Libro Diario'!H806)</f>
        <v/>
      </c>
      <c r="H1386" t="str">
        <f>IF(+'Libro Diario'!I806=0,"",+'Libro Diario'!I806)</f>
        <v/>
      </c>
      <c r="I1386" t="str">
        <f>+IF(Table3[[#This Row],[Tipo Movimiento]]="Estructura Balance y PyG","Excluir","Incluir")</f>
        <v>Incluir</v>
      </c>
      <c r="J1386" s="153">
        <f>+IF(Table3[[#This Row],[Sin cuenta]]="Con Mov.",(IF(Table3[[#This Row],[Movimiento]]="Debe",Table3[[#This Row],[Importe]],IF(Table3[[#This Row],[Movimiento]]="Haber",Table3[[#This Row],[Importe]]*-1,0))),0)</f>
        <v>0</v>
      </c>
      <c r="K1386" s="145" t="str">
        <f t="shared" si="64"/>
        <v/>
      </c>
      <c r="L1386" s="145">
        <f t="shared" si="65"/>
        <v>0</v>
      </c>
      <c r="M1386" t="str">
        <f>_xlfn.XLOOKUP(Table3[[#This Row],[Cuenta]],Estructura_Balance[Nombre Cuenta ()],Estructura_Balance[Grupo],"",0)</f>
        <v/>
      </c>
      <c r="N1386" t="str">
        <f>_xlfn.XLOOKUP(Table3[[#This Row],[Cuenta]],Estructura_Balance[Nombre Cuenta ()],Estructura_Balance[Nivel 1],"",0)</f>
        <v/>
      </c>
      <c r="O1386" t="str">
        <f>_xlfn.XLOOKUP(Table3[[#This Row],[Cuenta]],Estructura_Balance[Nombre Cuenta ()],Estructura_Balance[Nivel 2],"",0)</f>
        <v/>
      </c>
      <c r="P1386" t="str">
        <f>_xlfn.XLOOKUP(Table3[[#This Row],[Cuenta]],Estructura_Balance[Nombre Cuenta ()],Estructura_Balance[Nivel 3],"",0)</f>
        <v/>
      </c>
      <c r="Q1386" t="str">
        <f>_xlfn.XLOOKUP(Table3[[#This Row],[Cuenta]],Estructura_Balance[Nombre Cuenta ()],Estructura_Balance[Nivel 4],"",0)</f>
        <v/>
      </c>
      <c r="R1386" t="str">
        <f>_xlfn.XLOOKUP(Table3[[#This Row],[Cuenta]],Table8[Nombre Cuenta ()],Table8[Nivel 1],"",0)</f>
        <v/>
      </c>
      <c r="S1386" t="str">
        <f>_xlfn.XLOOKUP(Table3[[#This Row],[Cuenta]],Table8[Nombre Cuenta ()],Table8[Nivel 2],"",0)</f>
        <v/>
      </c>
      <c r="T1386" t="str">
        <f>_xlfn.XLOOKUP(Table3[[#This Row],[Cuenta]],Table8[Nombre Cuenta ()],Table8[Nivel 3],"",0)</f>
        <v/>
      </c>
      <c r="U1386">
        <v>1334</v>
      </c>
      <c r="V1386" t="str">
        <f>_xlfn.XLOOKUP(Table3[[#This Row],[Cuenta]],Estructura_Balance[Nombre Cuenta ()],Estructura_Balance[Niveles:2],"",0)</f>
        <v/>
      </c>
      <c r="W1386" t="str">
        <f>_xlfn.XLOOKUP(Table3[[#This Row],[Cuenta]],Estructura_Balance[Nombre Cuenta ()],Estructura_Balance[Niveles:3],"",0)</f>
        <v/>
      </c>
      <c r="X1386" t="str">
        <f>_xlfn.XLOOKUP(Table3[[#This Row],[Cuenta]],Estructura_Balance[Nombre Cuenta ()],Estructura_Balance[Grupos],"Grupo 1",0)</f>
        <v>Grupo 1</v>
      </c>
      <c r="Y1386" t="str">
        <f>+Table3[[#This Row],[BS_Nivel_1]]</f>
        <v/>
      </c>
    </row>
    <row r="1387" spans="1:25" ht="15" customHeight="1">
      <c r="A1387">
        <f>+'Libro Diario'!F807</f>
        <v>0</v>
      </c>
      <c r="B1387" s="144">
        <f>VALUE(IF(+'Libro Diario'!G807="","01/01/2025",+'Libro Diario'!G807))</f>
        <v>45658</v>
      </c>
      <c r="C1387">
        <f>IF(ISNUMBER(+IF(IFERROR(VALUE(MID('Libro Diario'!D807,1,4)),0)&lt;&gt;0,'Libro Diario'!D807,0))=FALSE,'Libro Diario'!D807,0)</f>
        <v>0</v>
      </c>
      <c r="D1387" s="145">
        <f>+'Libro Diario'!E807</f>
        <v>0</v>
      </c>
      <c r="E1387" s="139" t="s">
        <v>446</v>
      </c>
      <c r="F1387" t="str">
        <f t="shared" si="63"/>
        <v>Sin Mov.</v>
      </c>
      <c r="G1387" t="str">
        <f>IF(+'Libro Diario'!H807=0,"",+'Libro Diario'!H807)</f>
        <v/>
      </c>
      <c r="H1387" t="str">
        <f>IF(+'Libro Diario'!I807=0,"",+'Libro Diario'!I807)</f>
        <v/>
      </c>
      <c r="I1387" t="str">
        <f>+IF(Table3[[#This Row],[Tipo Movimiento]]="Estructura Balance y PyG","Excluir","Incluir")</f>
        <v>Incluir</v>
      </c>
      <c r="J1387" s="153">
        <f>+IF(Table3[[#This Row],[Sin cuenta]]="Con Mov.",(IF(Table3[[#This Row],[Movimiento]]="Debe",Table3[[#This Row],[Importe]],IF(Table3[[#This Row],[Movimiento]]="Haber",Table3[[#This Row],[Importe]]*-1,0))),0)</f>
        <v>0</v>
      </c>
      <c r="K1387" s="145" t="str">
        <f t="shared" si="64"/>
        <v/>
      </c>
      <c r="L1387" s="145">
        <f t="shared" si="65"/>
        <v>0</v>
      </c>
      <c r="M1387" t="str">
        <f>_xlfn.XLOOKUP(Table3[[#This Row],[Cuenta]],Estructura_Balance[Nombre Cuenta ()],Estructura_Balance[Grupo],"",0)</f>
        <v/>
      </c>
      <c r="N1387" t="str">
        <f>_xlfn.XLOOKUP(Table3[[#This Row],[Cuenta]],Estructura_Balance[Nombre Cuenta ()],Estructura_Balance[Nivel 1],"",0)</f>
        <v/>
      </c>
      <c r="O1387" t="str">
        <f>_xlfn.XLOOKUP(Table3[[#This Row],[Cuenta]],Estructura_Balance[Nombre Cuenta ()],Estructura_Balance[Nivel 2],"",0)</f>
        <v/>
      </c>
      <c r="P1387" t="str">
        <f>_xlfn.XLOOKUP(Table3[[#This Row],[Cuenta]],Estructura_Balance[Nombre Cuenta ()],Estructura_Balance[Nivel 3],"",0)</f>
        <v/>
      </c>
      <c r="Q1387" t="str">
        <f>_xlfn.XLOOKUP(Table3[[#This Row],[Cuenta]],Estructura_Balance[Nombre Cuenta ()],Estructura_Balance[Nivel 4],"",0)</f>
        <v/>
      </c>
      <c r="R1387" t="str">
        <f>_xlfn.XLOOKUP(Table3[[#This Row],[Cuenta]],Table8[Nombre Cuenta ()],Table8[Nivel 1],"",0)</f>
        <v/>
      </c>
      <c r="S1387" t="str">
        <f>_xlfn.XLOOKUP(Table3[[#This Row],[Cuenta]],Table8[Nombre Cuenta ()],Table8[Nivel 2],"",0)</f>
        <v/>
      </c>
      <c r="T1387" t="str">
        <f>_xlfn.XLOOKUP(Table3[[#This Row],[Cuenta]],Table8[Nombre Cuenta ()],Table8[Nivel 3],"",0)</f>
        <v/>
      </c>
      <c r="U1387">
        <v>342</v>
      </c>
      <c r="V1387" t="str">
        <f>_xlfn.XLOOKUP(Table3[[#This Row],[Cuenta]],Estructura_Balance[Nombre Cuenta ()],Estructura_Balance[Niveles:2],"",0)</f>
        <v/>
      </c>
      <c r="W1387" t="str">
        <f>_xlfn.XLOOKUP(Table3[[#This Row],[Cuenta]],Estructura_Balance[Nombre Cuenta ()],Estructura_Balance[Niveles:3],"",0)</f>
        <v/>
      </c>
      <c r="X1387" t="str">
        <f>_xlfn.XLOOKUP(Table3[[#This Row],[Cuenta]],Estructura_Balance[Nombre Cuenta ()],Estructura_Balance[Grupos],"Grupo 1",0)</f>
        <v>Grupo 1</v>
      </c>
      <c r="Y1387" t="str">
        <f>+Table3[[#This Row],[BS_Nivel_1]]</f>
        <v/>
      </c>
    </row>
    <row r="1388" spans="1:25" ht="15" customHeight="1">
      <c r="A1388">
        <f>+'Libro Diario'!F808</f>
        <v>0</v>
      </c>
      <c r="B1388" s="144">
        <f>VALUE(IF(+'Libro Diario'!G808="","01/01/2025",+'Libro Diario'!G808))</f>
        <v>45658</v>
      </c>
      <c r="C1388">
        <f>IF(ISNUMBER(+IF(IFERROR(VALUE(MID('Libro Diario'!D808,1,4)),0)&lt;&gt;0,'Libro Diario'!D808,0))=FALSE,'Libro Diario'!D808,0)</f>
        <v>0</v>
      </c>
      <c r="D1388" s="145">
        <f>+'Libro Diario'!E808</f>
        <v>0</v>
      </c>
      <c r="E1388" s="139" t="s">
        <v>446</v>
      </c>
      <c r="F1388" t="str">
        <f t="shared" si="63"/>
        <v>Sin Mov.</v>
      </c>
      <c r="G1388" t="str">
        <f>IF(+'Libro Diario'!H808=0,"",+'Libro Diario'!H808)</f>
        <v/>
      </c>
      <c r="H1388" t="str">
        <f>IF(+'Libro Diario'!I808=0,"",+'Libro Diario'!I808)</f>
        <v/>
      </c>
      <c r="I1388" t="str">
        <f>+IF(Table3[[#This Row],[Tipo Movimiento]]="Estructura Balance y PyG","Excluir","Incluir")</f>
        <v>Incluir</v>
      </c>
      <c r="J1388" s="153">
        <f>+IF(Table3[[#This Row],[Sin cuenta]]="Con Mov.",(IF(Table3[[#This Row],[Movimiento]]="Debe",Table3[[#This Row],[Importe]],IF(Table3[[#This Row],[Movimiento]]="Haber",Table3[[#This Row],[Importe]]*-1,0))),0)</f>
        <v>0</v>
      </c>
      <c r="K1388" s="145" t="str">
        <f t="shared" si="64"/>
        <v/>
      </c>
      <c r="L1388" s="145">
        <f t="shared" si="65"/>
        <v>0</v>
      </c>
      <c r="M1388" t="str">
        <f>_xlfn.XLOOKUP(Table3[[#This Row],[Cuenta]],Estructura_Balance[Nombre Cuenta ()],Estructura_Balance[Grupo],"",0)</f>
        <v/>
      </c>
      <c r="N1388" t="str">
        <f>_xlfn.XLOOKUP(Table3[[#This Row],[Cuenta]],Estructura_Balance[Nombre Cuenta ()],Estructura_Balance[Nivel 1],"",0)</f>
        <v/>
      </c>
      <c r="O1388" t="str">
        <f>_xlfn.XLOOKUP(Table3[[#This Row],[Cuenta]],Estructura_Balance[Nombre Cuenta ()],Estructura_Balance[Nivel 2],"",0)</f>
        <v/>
      </c>
      <c r="P1388" t="str">
        <f>_xlfn.XLOOKUP(Table3[[#This Row],[Cuenta]],Estructura_Balance[Nombre Cuenta ()],Estructura_Balance[Nivel 3],"",0)</f>
        <v/>
      </c>
      <c r="Q1388" t="str">
        <f>_xlfn.XLOOKUP(Table3[[#This Row],[Cuenta]],Estructura_Balance[Nombre Cuenta ()],Estructura_Balance[Nivel 4],"",0)</f>
        <v/>
      </c>
      <c r="R1388" t="str">
        <f>_xlfn.XLOOKUP(Table3[[#This Row],[Cuenta]],Table8[Nombre Cuenta ()],Table8[Nivel 1],"",0)</f>
        <v/>
      </c>
      <c r="S1388" t="str">
        <f>_xlfn.XLOOKUP(Table3[[#This Row],[Cuenta]],Table8[Nombre Cuenta ()],Table8[Nivel 2],"",0)</f>
        <v/>
      </c>
      <c r="T1388" t="str">
        <f>_xlfn.XLOOKUP(Table3[[#This Row],[Cuenta]],Table8[Nombre Cuenta ()],Table8[Nivel 3],"",0)</f>
        <v/>
      </c>
      <c r="U1388">
        <v>343</v>
      </c>
      <c r="V1388" t="str">
        <f>_xlfn.XLOOKUP(Table3[[#This Row],[Cuenta]],Estructura_Balance[Nombre Cuenta ()],Estructura_Balance[Niveles:2],"",0)</f>
        <v/>
      </c>
      <c r="W1388" t="str">
        <f>_xlfn.XLOOKUP(Table3[[#This Row],[Cuenta]],Estructura_Balance[Nombre Cuenta ()],Estructura_Balance[Niveles:3],"",0)</f>
        <v/>
      </c>
      <c r="X1388" t="str">
        <f>_xlfn.XLOOKUP(Table3[[#This Row],[Cuenta]],Estructura_Balance[Nombre Cuenta ()],Estructura_Balance[Grupos],"Grupo 1",0)</f>
        <v>Grupo 1</v>
      </c>
      <c r="Y1388" t="str">
        <f>+Table3[[#This Row],[BS_Nivel_1]]</f>
        <v/>
      </c>
    </row>
    <row r="1389" spans="1:25" ht="15" customHeight="1">
      <c r="A1389">
        <f>+'Libro Diario'!F809</f>
        <v>0</v>
      </c>
      <c r="B1389" s="144">
        <f>VALUE(IF(+'Libro Diario'!G809="","01/01/2025",+'Libro Diario'!G809))</f>
        <v>45658</v>
      </c>
      <c r="C1389">
        <f>IF(ISNUMBER(+IF(IFERROR(VALUE(MID('Libro Diario'!D809,1,4)),0)&lt;&gt;0,'Libro Diario'!D809,0))=FALSE,'Libro Diario'!D809,0)</f>
        <v>0</v>
      </c>
      <c r="D1389" s="145">
        <f>+'Libro Diario'!E809</f>
        <v>0</v>
      </c>
      <c r="E1389" s="139" t="s">
        <v>446</v>
      </c>
      <c r="F1389" t="str">
        <f t="shared" si="63"/>
        <v>Sin Mov.</v>
      </c>
      <c r="G1389" t="str">
        <f>IF(+'Libro Diario'!H809=0,"",+'Libro Diario'!H809)</f>
        <v/>
      </c>
      <c r="H1389" t="str">
        <f>IF(+'Libro Diario'!I809=0,"",+'Libro Diario'!I809)</f>
        <v/>
      </c>
      <c r="I1389" t="str">
        <f>+IF(Table3[[#This Row],[Tipo Movimiento]]="Estructura Balance y PyG","Excluir","Incluir")</f>
        <v>Incluir</v>
      </c>
      <c r="J1389" s="153">
        <f>+IF(Table3[[#This Row],[Sin cuenta]]="Con Mov.",(IF(Table3[[#This Row],[Movimiento]]="Debe",Table3[[#This Row],[Importe]],IF(Table3[[#This Row],[Movimiento]]="Haber",Table3[[#This Row],[Importe]]*-1,0))),0)</f>
        <v>0</v>
      </c>
      <c r="K1389" s="145" t="str">
        <f t="shared" si="64"/>
        <v/>
      </c>
      <c r="L1389" s="145">
        <f t="shared" si="65"/>
        <v>0</v>
      </c>
      <c r="M1389" t="str">
        <f>_xlfn.XLOOKUP(Table3[[#This Row],[Cuenta]],Estructura_Balance[Nombre Cuenta ()],Estructura_Balance[Grupo],"",0)</f>
        <v/>
      </c>
      <c r="N1389" t="str">
        <f>_xlfn.XLOOKUP(Table3[[#This Row],[Cuenta]],Estructura_Balance[Nombre Cuenta ()],Estructura_Balance[Nivel 1],"",0)</f>
        <v/>
      </c>
      <c r="O1389" t="str">
        <f>_xlfn.XLOOKUP(Table3[[#This Row],[Cuenta]],Estructura_Balance[Nombre Cuenta ()],Estructura_Balance[Nivel 2],"",0)</f>
        <v/>
      </c>
      <c r="P1389" t="str">
        <f>_xlfn.XLOOKUP(Table3[[#This Row],[Cuenta]],Estructura_Balance[Nombre Cuenta ()],Estructura_Balance[Nivel 3],"",0)</f>
        <v/>
      </c>
      <c r="Q1389" t="str">
        <f>_xlfn.XLOOKUP(Table3[[#This Row],[Cuenta]],Estructura_Balance[Nombre Cuenta ()],Estructura_Balance[Nivel 4],"",0)</f>
        <v/>
      </c>
      <c r="R1389" t="str">
        <f>_xlfn.XLOOKUP(Table3[[#This Row],[Cuenta]],Table8[Nombre Cuenta ()],Table8[Nivel 1],"",0)</f>
        <v/>
      </c>
      <c r="S1389" t="str">
        <f>_xlfn.XLOOKUP(Table3[[#This Row],[Cuenta]],Table8[Nombre Cuenta ()],Table8[Nivel 2],"",0)</f>
        <v/>
      </c>
      <c r="T1389" t="str">
        <f>_xlfn.XLOOKUP(Table3[[#This Row],[Cuenta]],Table8[Nombre Cuenta ()],Table8[Nivel 3],"",0)</f>
        <v/>
      </c>
      <c r="U1389">
        <v>344</v>
      </c>
      <c r="V1389" t="str">
        <f>_xlfn.XLOOKUP(Table3[[#This Row],[Cuenta]],Estructura_Balance[Nombre Cuenta ()],Estructura_Balance[Niveles:2],"",0)</f>
        <v/>
      </c>
      <c r="W1389" t="str">
        <f>_xlfn.XLOOKUP(Table3[[#This Row],[Cuenta]],Estructura_Balance[Nombre Cuenta ()],Estructura_Balance[Niveles:3],"",0)</f>
        <v/>
      </c>
      <c r="X1389" t="str">
        <f>_xlfn.XLOOKUP(Table3[[#This Row],[Cuenta]],Estructura_Balance[Nombre Cuenta ()],Estructura_Balance[Grupos],"Grupo 1",0)</f>
        <v>Grupo 1</v>
      </c>
      <c r="Y1389" t="str">
        <f>+Table3[[#This Row],[BS_Nivel_1]]</f>
        <v/>
      </c>
    </row>
    <row r="1390" spans="1:25" ht="15" customHeight="1">
      <c r="A1390">
        <f>+'Libro Diario'!F810</f>
        <v>0</v>
      </c>
      <c r="B1390" s="144">
        <f>VALUE(IF(+'Libro Diario'!G810="","01/01/2025",+'Libro Diario'!G810))</f>
        <v>45658</v>
      </c>
      <c r="C1390">
        <f>IF(ISNUMBER(+IF(IFERROR(VALUE(MID('Libro Diario'!D810,1,4)),0)&lt;&gt;0,'Libro Diario'!D810,0))=FALSE,'Libro Diario'!D810,0)</f>
        <v>0</v>
      </c>
      <c r="D1390" s="145">
        <f>+'Libro Diario'!E810</f>
        <v>0</v>
      </c>
      <c r="E1390" s="139" t="s">
        <v>446</v>
      </c>
      <c r="F1390" t="str">
        <f t="shared" si="63"/>
        <v>Sin Mov.</v>
      </c>
      <c r="G1390" t="str">
        <f>IF(+'Libro Diario'!H810=0,"",+'Libro Diario'!H810)</f>
        <v/>
      </c>
      <c r="H1390" t="str">
        <f>IF(+'Libro Diario'!I810=0,"",+'Libro Diario'!I810)</f>
        <v/>
      </c>
      <c r="I1390" t="str">
        <f>+IF(Table3[[#This Row],[Tipo Movimiento]]="Estructura Balance y PyG","Excluir","Incluir")</f>
        <v>Incluir</v>
      </c>
      <c r="J1390" s="153">
        <f>+IF(Table3[[#This Row],[Sin cuenta]]="Con Mov.",(IF(Table3[[#This Row],[Movimiento]]="Debe",Table3[[#This Row],[Importe]],IF(Table3[[#This Row],[Movimiento]]="Haber",Table3[[#This Row],[Importe]]*-1,0))),0)</f>
        <v>0</v>
      </c>
      <c r="K1390" s="145" t="str">
        <f t="shared" si="64"/>
        <v/>
      </c>
      <c r="L1390" s="145">
        <f t="shared" si="65"/>
        <v>0</v>
      </c>
      <c r="M1390" t="str">
        <f>_xlfn.XLOOKUP(Table3[[#This Row],[Cuenta]],Estructura_Balance[Nombre Cuenta ()],Estructura_Balance[Grupo],"",0)</f>
        <v/>
      </c>
      <c r="N1390" t="str">
        <f>_xlfn.XLOOKUP(Table3[[#This Row],[Cuenta]],Estructura_Balance[Nombre Cuenta ()],Estructura_Balance[Nivel 1],"",0)</f>
        <v/>
      </c>
      <c r="O1390" t="str">
        <f>_xlfn.XLOOKUP(Table3[[#This Row],[Cuenta]],Estructura_Balance[Nombre Cuenta ()],Estructura_Balance[Nivel 2],"",0)</f>
        <v/>
      </c>
      <c r="P1390" t="str">
        <f>_xlfn.XLOOKUP(Table3[[#This Row],[Cuenta]],Estructura_Balance[Nombre Cuenta ()],Estructura_Balance[Nivel 3],"",0)</f>
        <v/>
      </c>
      <c r="Q1390" t="str">
        <f>_xlfn.XLOOKUP(Table3[[#This Row],[Cuenta]],Estructura_Balance[Nombre Cuenta ()],Estructura_Balance[Nivel 4],"",0)</f>
        <v/>
      </c>
      <c r="R1390" t="str">
        <f>_xlfn.XLOOKUP(Table3[[#This Row],[Cuenta]],Table8[Nombre Cuenta ()],Table8[Nivel 1],"",0)</f>
        <v/>
      </c>
      <c r="S1390" t="str">
        <f>_xlfn.XLOOKUP(Table3[[#This Row],[Cuenta]],Table8[Nombre Cuenta ()],Table8[Nivel 2],"",0)</f>
        <v/>
      </c>
      <c r="T1390" t="str">
        <f>_xlfn.XLOOKUP(Table3[[#This Row],[Cuenta]],Table8[Nombre Cuenta ()],Table8[Nivel 3],"",0)</f>
        <v/>
      </c>
      <c r="U1390">
        <v>1340</v>
      </c>
      <c r="V1390" t="str">
        <f>_xlfn.XLOOKUP(Table3[[#This Row],[Cuenta]],Estructura_Balance[Nombre Cuenta ()],Estructura_Balance[Niveles:2],"",0)</f>
        <v/>
      </c>
      <c r="W1390" t="str">
        <f>_xlfn.XLOOKUP(Table3[[#This Row],[Cuenta]],Estructura_Balance[Nombre Cuenta ()],Estructura_Balance[Niveles:3],"",0)</f>
        <v/>
      </c>
      <c r="X1390" t="str">
        <f>_xlfn.XLOOKUP(Table3[[#This Row],[Cuenta]],Estructura_Balance[Nombre Cuenta ()],Estructura_Balance[Grupos],"Grupo 1",0)</f>
        <v>Grupo 1</v>
      </c>
      <c r="Y1390" t="str">
        <f>+Table3[[#This Row],[BS_Nivel_1]]</f>
        <v/>
      </c>
    </row>
    <row r="1391" spans="1:25" ht="15" customHeight="1">
      <c r="A1391">
        <f>+'Libro Diario'!F811</f>
        <v>0</v>
      </c>
      <c r="B1391" s="144">
        <f>VALUE(IF(+'Libro Diario'!G811="","01/01/2025",+'Libro Diario'!G811))</f>
        <v>45658</v>
      </c>
      <c r="C1391">
        <f>IF(ISNUMBER(+IF(IFERROR(VALUE(MID('Libro Diario'!D811,1,4)),0)&lt;&gt;0,'Libro Diario'!D811,0))=FALSE,'Libro Diario'!D811,0)</f>
        <v>0</v>
      </c>
      <c r="D1391" s="145">
        <f>+'Libro Diario'!E811</f>
        <v>0</v>
      </c>
      <c r="E1391" s="139" t="s">
        <v>446</v>
      </c>
      <c r="F1391" t="str">
        <f t="shared" si="63"/>
        <v>Sin Mov.</v>
      </c>
      <c r="G1391" t="str">
        <f>IF(+'Libro Diario'!H811=0,"",+'Libro Diario'!H811)</f>
        <v/>
      </c>
      <c r="H1391" t="str">
        <f>IF(+'Libro Diario'!I811=0,"",+'Libro Diario'!I811)</f>
        <v/>
      </c>
      <c r="I1391" t="str">
        <f>+IF(Table3[[#This Row],[Tipo Movimiento]]="Estructura Balance y PyG","Excluir","Incluir")</f>
        <v>Incluir</v>
      </c>
      <c r="J1391" s="153">
        <f>+IF(Table3[[#This Row],[Sin cuenta]]="Con Mov.",(IF(Table3[[#This Row],[Movimiento]]="Debe",Table3[[#This Row],[Importe]],IF(Table3[[#This Row],[Movimiento]]="Haber",Table3[[#This Row],[Importe]]*-1,0))),0)</f>
        <v>0</v>
      </c>
      <c r="K1391" s="145" t="str">
        <f t="shared" si="64"/>
        <v/>
      </c>
      <c r="L1391" s="145">
        <f t="shared" si="65"/>
        <v>0</v>
      </c>
      <c r="M1391" t="str">
        <f>_xlfn.XLOOKUP(Table3[[#This Row],[Cuenta]],Estructura_Balance[Nombre Cuenta ()],Estructura_Balance[Grupo],"",0)</f>
        <v/>
      </c>
      <c r="N1391" t="str">
        <f>_xlfn.XLOOKUP(Table3[[#This Row],[Cuenta]],Estructura_Balance[Nombre Cuenta ()],Estructura_Balance[Nivel 1],"",0)</f>
        <v/>
      </c>
      <c r="O1391" t="str">
        <f>_xlfn.XLOOKUP(Table3[[#This Row],[Cuenta]],Estructura_Balance[Nombre Cuenta ()],Estructura_Balance[Nivel 2],"",0)</f>
        <v/>
      </c>
      <c r="P1391" t="str">
        <f>_xlfn.XLOOKUP(Table3[[#This Row],[Cuenta]],Estructura_Balance[Nombre Cuenta ()],Estructura_Balance[Nivel 3],"",0)</f>
        <v/>
      </c>
      <c r="Q1391" t="str">
        <f>_xlfn.XLOOKUP(Table3[[#This Row],[Cuenta]],Estructura_Balance[Nombre Cuenta ()],Estructura_Balance[Nivel 4],"",0)</f>
        <v/>
      </c>
      <c r="R1391" t="str">
        <f>_xlfn.XLOOKUP(Table3[[#This Row],[Cuenta]],Table8[Nombre Cuenta ()],Table8[Nivel 1],"",0)</f>
        <v/>
      </c>
      <c r="S1391" t="str">
        <f>_xlfn.XLOOKUP(Table3[[#This Row],[Cuenta]],Table8[Nombre Cuenta ()],Table8[Nivel 2],"",0)</f>
        <v/>
      </c>
      <c r="T1391" t="str">
        <f>_xlfn.XLOOKUP(Table3[[#This Row],[Cuenta]],Table8[Nombre Cuenta ()],Table8[Nivel 3],"",0)</f>
        <v/>
      </c>
      <c r="U1391">
        <v>1341</v>
      </c>
      <c r="V1391" t="str">
        <f>_xlfn.XLOOKUP(Table3[[#This Row],[Cuenta]],Estructura_Balance[Nombre Cuenta ()],Estructura_Balance[Niveles:2],"",0)</f>
        <v/>
      </c>
      <c r="W1391" t="str">
        <f>_xlfn.XLOOKUP(Table3[[#This Row],[Cuenta]],Estructura_Balance[Nombre Cuenta ()],Estructura_Balance[Niveles:3],"",0)</f>
        <v/>
      </c>
      <c r="X1391" t="str">
        <f>_xlfn.XLOOKUP(Table3[[#This Row],[Cuenta]],Estructura_Balance[Nombre Cuenta ()],Estructura_Balance[Grupos],"Grupo 1",0)</f>
        <v>Grupo 1</v>
      </c>
      <c r="Y1391" t="str">
        <f>+Table3[[#This Row],[BS_Nivel_1]]</f>
        <v/>
      </c>
    </row>
    <row r="1392" spans="1:25" ht="15" customHeight="1">
      <c r="A1392">
        <f>+'Libro Diario'!F812</f>
        <v>0</v>
      </c>
      <c r="B1392" s="144">
        <f>VALUE(IF(+'Libro Diario'!G812="","01/01/2025",+'Libro Diario'!G812))</f>
        <v>45658</v>
      </c>
      <c r="C1392">
        <f>IF(ISNUMBER(+IF(IFERROR(VALUE(MID('Libro Diario'!D812,1,4)),0)&lt;&gt;0,'Libro Diario'!D812,0))=FALSE,'Libro Diario'!D812,0)</f>
        <v>0</v>
      </c>
      <c r="D1392" s="145">
        <f>+'Libro Diario'!E812</f>
        <v>0</v>
      </c>
      <c r="E1392" s="139" t="s">
        <v>446</v>
      </c>
      <c r="F1392" t="str">
        <f t="shared" si="63"/>
        <v>Sin Mov.</v>
      </c>
      <c r="G1392" t="str">
        <f>IF(+'Libro Diario'!H812=0,"",+'Libro Diario'!H812)</f>
        <v/>
      </c>
      <c r="H1392" t="str">
        <f>IF(+'Libro Diario'!I812=0,"",+'Libro Diario'!I812)</f>
        <v/>
      </c>
      <c r="I1392" t="str">
        <f>+IF(Table3[[#This Row],[Tipo Movimiento]]="Estructura Balance y PyG","Excluir","Incluir")</f>
        <v>Incluir</v>
      </c>
      <c r="J1392" s="153">
        <f>+IF(Table3[[#This Row],[Sin cuenta]]="Con Mov.",(IF(Table3[[#This Row],[Movimiento]]="Debe",Table3[[#This Row],[Importe]],IF(Table3[[#This Row],[Movimiento]]="Haber",Table3[[#This Row],[Importe]]*-1,0))),0)</f>
        <v>0</v>
      </c>
      <c r="K1392" s="145" t="str">
        <f t="shared" si="64"/>
        <v/>
      </c>
      <c r="L1392" s="145">
        <f t="shared" si="65"/>
        <v>0</v>
      </c>
      <c r="M1392" t="str">
        <f>_xlfn.XLOOKUP(Table3[[#This Row],[Cuenta]],Estructura_Balance[Nombre Cuenta ()],Estructura_Balance[Grupo],"",0)</f>
        <v/>
      </c>
      <c r="N1392" t="str">
        <f>_xlfn.XLOOKUP(Table3[[#This Row],[Cuenta]],Estructura_Balance[Nombre Cuenta ()],Estructura_Balance[Nivel 1],"",0)</f>
        <v/>
      </c>
      <c r="O1392" t="str">
        <f>_xlfn.XLOOKUP(Table3[[#This Row],[Cuenta]],Estructura_Balance[Nombre Cuenta ()],Estructura_Balance[Nivel 2],"",0)</f>
        <v/>
      </c>
      <c r="P1392" t="str">
        <f>_xlfn.XLOOKUP(Table3[[#This Row],[Cuenta]],Estructura_Balance[Nombre Cuenta ()],Estructura_Balance[Nivel 3],"",0)</f>
        <v/>
      </c>
      <c r="Q1392" t="str">
        <f>_xlfn.XLOOKUP(Table3[[#This Row],[Cuenta]],Estructura_Balance[Nombre Cuenta ()],Estructura_Balance[Nivel 4],"",0)</f>
        <v/>
      </c>
      <c r="R1392" t="str">
        <f>_xlfn.XLOOKUP(Table3[[#This Row],[Cuenta]],Table8[Nombre Cuenta ()],Table8[Nivel 1],"",0)</f>
        <v/>
      </c>
      <c r="S1392" t="str">
        <f>_xlfn.XLOOKUP(Table3[[#This Row],[Cuenta]],Table8[Nombre Cuenta ()],Table8[Nivel 2],"",0)</f>
        <v/>
      </c>
      <c r="T1392" t="str">
        <f>_xlfn.XLOOKUP(Table3[[#This Row],[Cuenta]],Table8[Nombre Cuenta ()],Table8[Nivel 3],"",0)</f>
        <v/>
      </c>
      <c r="U1392">
        <v>1342</v>
      </c>
      <c r="V1392" t="str">
        <f>_xlfn.XLOOKUP(Table3[[#This Row],[Cuenta]],Estructura_Balance[Nombre Cuenta ()],Estructura_Balance[Niveles:2],"",0)</f>
        <v/>
      </c>
      <c r="W1392" t="str">
        <f>_xlfn.XLOOKUP(Table3[[#This Row],[Cuenta]],Estructura_Balance[Nombre Cuenta ()],Estructura_Balance[Niveles:3],"",0)</f>
        <v/>
      </c>
      <c r="X1392" t="str">
        <f>_xlfn.XLOOKUP(Table3[[#This Row],[Cuenta]],Estructura_Balance[Nombre Cuenta ()],Estructura_Balance[Grupos],"Grupo 1",0)</f>
        <v>Grupo 1</v>
      </c>
      <c r="Y1392" t="str">
        <f>+Table3[[#This Row],[BS_Nivel_1]]</f>
        <v/>
      </c>
    </row>
    <row r="1393" spans="1:25" ht="15" customHeight="1">
      <c r="A1393">
        <f>+'Libro Diario'!F813</f>
        <v>0</v>
      </c>
      <c r="B1393" s="144">
        <f>VALUE(IF(+'Libro Diario'!G813="","01/01/2025",+'Libro Diario'!G813))</f>
        <v>45658</v>
      </c>
      <c r="C1393">
        <f>IF(ISNUMBER(+IF(IFERROR(VALUE(MID('Libro Diario'!D813,1,4)),0)&lt;&gt;0,'Libro Diario'!D813,0))=FALSE,'Libro Diario'!D813,0)</f>
        <v>0</v>
      </c>
      <c r="D1393" s="145">
        <f>+'Libro Diario'!E813</f>
        <v>0</v>
      </c>
      <c r="E1393" s="139" t="s">
        <v>446</v>
      </c>
      <c r="F1393" t="str">
        <f t="shared" si="63"/>
        <v>Sin Mov.</v>
      </c>
      <c r="G1393" t="str">
        <f>IF(+'Libro Diario'!H813=0,"",+'Libro Diario'!H813)</f>
        <v/>
      </c>
      <c r="H1393" t="str">
        <f>IF(+'Libro Diario'!I813=0,"",+'Libro Diario'!I813)</f>
        <v/>
      </c>
      <c r="I1393" t="str">
        <f>+IF(Table3[[#This Row],[Tipo Movimiento]]="Estructura Balance y PyG","Excluir","Incluir")</f>
        <v>Incluir</v>
      </c>
      <c r="J1393" s="153">
        <f>+IF(Table3[[#This Row],[Sin cuenta]]="Con Mov.",(IF(Table3[[#This Row],[Movimiento]]="Debe",Table3[[#This Row],[Importe]],IF(Table3[[#This Row],[Movimiento]]="Haber",Table3[[#This Row],[Importe]]*-1,0))),0)</f>
        <v>0</v>
      </c>
      <c r="K1393" s="145" t="str">
        <f t="shared" si="64"/>
        <v/>
      </c>
      <c r="L1393" s="145">
        <f t="shared" si="65"/>
        <v>0</v>
      </c>
      <c r="M1393" t="str">
        <f>_xlfn.XLOOKUP(Table3[[#This Row],[Cuenta]],Estructura_Balance[Nombre Cuenta ()],Estructura_Balance[Grupo],"",0)</f>
        <v/>
      </c>
      <c r="N1393" t="str">
        <f>_xlfn.XLOOKUP(Table3[[#This Row],[Cuenta]],Estructura_Balance[Nombre Cuenta ()],Estructura_Balance[Nivel 1],"",0)</f>
        <v/>
      </c>
      <c r="O1393" t="str">
        <f>_xlfn.XLOOKUP(Table3[[#This Row],[Cuenta]],Estructura_Balance[Nombre Cuenta ()],Estructura_Balance[Nivel 2],"",0)</f>
        <v/>
      </c>
      <c r="P1393" t="str">
        <f>_xlfn.XLOOKUP(Table3[[#This Row],[Cuenta]],Estructura_Balance[Nombre Cuenta ()],Estructura_Balance[Nivel 3],"",0)</f>
        <v/>
      </c>
      <c r="Q1393" t="str">
        <f>_xlfn.XLOOKUP(Table3[[#This Row],[Cuenta]],Estructura_Balance[Nombre Cuenta ()],Estructura_Balance[Nivel 4],"",0)</f>
        <v/>
      </c>
      <c r="R1393" t="str">
        <f>_xlfn.XLOOKUP(Table3[[#This Row],[Cuenta]],Table8[Nombre Cuenta ()],Table8[Nivel 1],"",0)</f>
        <v/>
      </c>
      <c r="S1393" t="str">
        <f>_xlfn.XLOOKUP(Table3[[#This Row],[Cuenta]],Table8[Nombre Cuenta ()],Table8[Nivel 2],"",0)</f>
        <v/>
      </c>
      <c r="T1393" t="str">
        <f>_xlfn.XLOOKUP(Table3[[#This Row],[Cuenta]],Table8[Nombre Cuenta ()],Table8[Nivel 3],"",0)</f>
        <v/>
      </c>
      <c r="U1393">
        <v>350</v>
      </c>
      <c r="V1393" t="str">
        <f>_xlfn.XLOOKUP(Table3[[#This Row],[Cuenta]],Estructura_Balance[Nombre Cuenta ()],Estructura_Balance[Niveles:2],"",0)</f>
        <v/>
      </c>
      <c r="W1393" t="str">
        <f>_xlfn.XLOOKUP(Table3[[#This Row],[Cuenta]],Estructura_Balance[Nombre Cuenta ()],Estructura_Balance[Niveles:3],"",0)</f>
        <v/>
      </c>
      <c r="X1393" t="str">
        <f>_xlfn.XLOOKUP(Table3[[#This Row],[Cuenta]],Estructura_Balance[Nombre Cuenta ()],Estructura_Balance[Grupos],"Grupo 1",0)</f>
        <v>Grupo 1</v>
      </c>
      <c r="Y1393" t="str">
        <f>+Table3[[#This Row],[BS_Nivel_1]]</f>
        <v/>
      </c>
    </row>
    <row r="1394" spans="1:25" ht="15" customHeight="1">
      <c r="A1394">
        <f>+'Libro Diario'!F814</f>
        <v>0</v>
      </c>
      <c r="B1394" s="144">
        <f>VALUE(IF(+'Libro Diario'!G814="","01/01/2025",+'Libro Diario'!G814))</f>
        <v>45658</v>
      </c>
      <c r="C1394">
        <f>IF(ISNUMBER(+IF(IFERROR(VALUE(MID('Libro Diario'!D814,1,4)),0)&lt;&gt;0,'Libro Diario'!D814,0))=FALSE,'Libro Diario'!D814,0)</f>
        <v>0</v>
      </c>
      <c r="D1394" s="145">
        <f>+'Libro Diario'!E814</f>
        <v>0</v>
      </c>
      <c r="E1394" s="139" t="s">
        <v>446</v>
      </c>
      <c r="F1394" t="str">
        <f t="shared" si="63"/>
        <v>Sin Mov.</v>
      </c>
      <c r="G1394" t="str">
        <f>IF(+'Libro Diario'!H814=0,"",+'Libro Diario'!H814)</f>
        <v/>
      </c>
      <c r="H1394" t="str">
        <f>IF(+'Libro Diario'!I814=0,"",+'Libro Diario'!I814)</f>
        <v/>
      </c>
      <c r="I1394" t="str">
        <f>+IF(Table3[[#This Row],[Tipo Movimiento]]="Estructura Balance y PyG","Excluir","Incluir")</f>
        <v>Incluir</v>
      </c>
      <c r="J1394" s="153">
        <f>+IF(Table3[[#This Row],[Sin cuenta]]="Con Mov.",(IF(Table3[[#This Row],[Movimiento]]="Debe",Table3[[#This Row],[Importe]],IF(Table3[[#This Row],[Movimiento]]="Haber",Table3[[#This Row],[Importe]]*-1,0))),0)</f>
        <v>0</v>
      </c>
      <c r="K1394" s="145" t="str">
        <f t="shared" si="64"/>
        <v/>
      </c>
      <c r="L1394" s="145">
        <f t="shared" si="65"/>
        <v>0</v>
      </c>
      <c r="M1394" t="str">
        <f>_xlfn.XLOOKUP(Table3[[#This Row],[Cuenta]],Estructura_Balance[Nombre Cuenta ()],Estructura_Balance[Grupo],"",0)</f>
        <v/>
      </c>
      <c r="N1394" t="str">
        <f>_xlfn.XLOOKUP(Table3[[#This Row],[Cuenta]],Estructura_Balance[Nombre Cuenta ()],Estructura_Balance[Nivel 1],"",0)</f>
        <v/>
      </c>
      <c r="O1394" t="str">
        <f>_xlfn.XLOOKUP(Table3[[#This Row],[Cuenta]],Estructura_Balance[Nombre Cuenta ()],Estructura_Balance[Nivel 2],"",0)</f>
        <v/>
      </c>
      <c r="P1394" t="str">
        <f>_xlfn.XLOOKUP(Table3[[#This Row],[Cuenta]],Estructura_Balance[Nombre Cuenta ()],Estructura_Balance[Nivel 3],"",0)</f>
        <v/>
      </c>
      <c r="Q1394" t="str">
        <f>_xlfn.XLOOKUP(Table3[[#This Row],[Cuenta]],Estructura_Balance[Nombre Cuenta ()],Estructura_Balance[Nivel 4],"",0)</f>
        <v/>
      </c>
      <c r="R1394" t="str">
        <f>_xlfn.XLOOKUP(Table3[[#This Row],[Cuenta]],Table8[Nombre Cuenta ()],Table8[Nivel 1],"",0)</f>
        <v/>
      </c>
      <c r="S1394" t="str">
        <f>_xlfn.XLOOKUP(Table3[[#This Row],[Cuenta]],Table8[Nombre Cuenta ()],Table8[Nivel 2],"",0)</f>
        <v/>
      </c>
      <c r="T1394" t="str">
        <f>_xlfn.XLOOKUP(Table3[[#This Row],[Cuenta]],Table8[Nombre Cuenta ()],Table8[Nivel 3],"",0)</f>
        <v/>
      </c>
      <c r="U1394">
        <v>351</v>
      </c>
      <c r="V1394" t="str">
        <f>_xlfn.XLOOKUP(Table3[[#This Row],[Cuenta]],Estructura_Balance[Nombre Cuenta ()],Estructura_Balance[Niveles:2],"",0)</f>
        <v/>
      </c>
      <c r="W1394" t="str">
        <f>_xlfn.XLOOKUP(Table3[[#This Row],[Cuenta]],Estructura_Balance[Nombre Cuenta ()],Estructura_Balance[Niveles:3],"",0)</f>
        <v/>
      </c>
      <c r="X1394" t="str">
        <f>_xlfn.XLOOKUP(Table3[[#This Row],[Cuenta]],Estructura_Balance[Nombre Cuenta ()],Estructura_Balance[Grupos],"Grupo 1",0)</f>
        <v>Grupo 1</v>
      </c>
      <c r="Y1394" t="str">
        <f>+Table3[[#This Row],[BS_Nivel_1]]</f>
        <v/>
      </c>
    </row>
    <row r="1395" spans="1:25" ht="15" customHeight="1">
      <c r="A1395">
        <f>+'Libro Diario'!F815</f>
        <v>0</v>
      </c>
      <c r="B1395" s="144">
        <f>VALUE(IF(+'Libro Diario'!G815="","01/01/2025",+'Libro Diario'!G815))</f>
        <v>45658</v>
      </c>
      <c r="C1395">
        <f>IF(ISNUMBER(+IF(IFERROR(VALUE(MID('Libro Diario'!D815,1,4)),0)&lt;&gt;0,'Libro Diario'!D815,0))=FALSE,'Libro Diario'!D815,0)</f>
        <v>0</v>
      </c>
      <c r="D1395" s="145">
        <f>+'Libro Diario'!E815</f>
        <v>0</v>
      </c>
      <c r="E1395" s="139" t="s">
        <v>446</v>
      </c>
      <c r="F1395" t="str">
        <f t="shared" si="63"/>
        <v>Sin Mov.</v>
      </c>
      <c r="G1395" t="str">
        <f>IF(+'Libro Diario'!H815=0,"",+'Libro Diario'!H815)</f>
        <v/>
      </c>
      <c r="H1395" t="str">
        <f>IF(+'Libro Diario'!I815=0,"",+'Libro Diario'!I815)</f>
        <v/>
      </c>
      <c r="I1395" t="str">
        <f>+IF(Table3[[#This Row],[Tipo Movimiento]]="Estructura Balance y PyG","Excluir","Incluir")</f>
        <v>Incluir</v>
      </c>
      <c r="J1395" s="153">
        <f>+IF(Table3[[#This Row],[Sin cuenta]]="Con Mov.",(IF(Table3[[#This Row],[Movimiento]]="Debe",Table3[[#This Row],[Importe]],IF(Table3[[#This Row],[Movimiento]]="Haber",Table3[[#This Row],[Importe]]*-1,0))),0)</f>
        <v>0</v>
      </c>
      <c r="K1395" s="145" t="str">
        <f t="shared" si="64"/>
        <v/>
      </c>
      <c r="L1395" s="145">
        <f t="shared" si="65"/>
        <v>0</v>
      </c>
      <c r="M1395" t="str">
        <f>_xlfn.XLOOKUP(Table3[[#This Row],[Cuenta]],Estructura_Balance[Nombre Cuenta ()],Estructura_Balance[Grupo],"",0)</f>
        <v/>
      </c>
      <c r="N1395" t="str">
        <f>_xlfn.XLOOKUP(Table3[[#This Row],[Cuenta]],Estructura_Balance[Nombre Cuenta ()],Estructura_Balance[Nivel 1],"",0)</f>
        <v/>
      </c>
      <c r="O1395" t="str">
        <f>_xlfn.XLOOKUP(Table3[[#This Row],[Cuenta]],Estructura_Balance[Nombre Cuenta ()],Estructura_Balance[Nivel 2],"",0)</f>
        <v/>
      </c>
      <c r="P1395" t="str">
        <f>_xlfn.XLOOKUP(Table3[[#This Row],[Cuenta]],Estructura_Balance[Nombre Cuenta ()],Estructura_Balance[Nivel 3],"",0)</f>
        <v/>
      </c>
      <c r="Q1395" t="str">
        <f>_xlfn.XLOOKUP(Table3[[#This Row],[Cuenta]],Estructura_Balance[Nombre Cuenta ()],Estructura_Balance[Nivel 4],"",0)</f>
        <v/>
      </c>
      <c r="R1395" t="str">
        <f>_xlfn.XLOOKUP(Table3[[#This Row],[Cuenta]],Table8[Nombre Cuenta ()],Table8[Nivel 1],"",0)</f>
        <v/>
      </c>
      <c r="S1395" t="str">
        <f>_xlfn.XLOOKUP(Table3[[#This Row],[Cuenta]],Table8[Nombre Cuenta ()],Table8[Nivel 2],"",0)</f>
        <v/>
      </c>
      <c r="T1395" t="str">
        <f>_xlfn.XLOOKUP(Table3[[#This Row],[Cuenta]],Table8[Nombre Cuenta ()],Table8[Nivel 3],"",0)</f>
        <v/>
      </c>
      <c r="U1395">
        <v>1348</v>
      </c>
      <c r="V1395" t="str">
        <f>_xlfn.XLOOKUP(Table3[[#This Row],[Cuenta]],Estructura_Balance[Nombre Cuenta ()],Estructura_Balance[Niveles:2],"",0)</f>
        <v/>
      </c>
      <c r="W1395" t="str">
        <f>_xlfn.XLOOKUP(Table3[[#This Row],[Cuenta]],Estructura_Balance[Nombre Cuenta ()],Estructura_Balance[Niveles:3],"",0)</f>
        <v/>
      </c>
      <c r="X1395" t="str">
        <f>_xlfn.XLOOKUP(Table3[[#This Row],[Cuenta]],Estructura_Balance[Nombre Cuenta ()],Estructura_Balance[Grupos],"Grupo 1",0)</f>
        <v>Grupo 1</v>
      </c>
      <c r="Y1395" t="str">
        <f>+Table3[[#This Row],[BS_Nivel_1]]</f>
        <v/>
      </c>
    </row>
    <row r="1396" spans="1:25" ht="15" customHeight="1">
      <c r="A1396">
        <f>+'Libro Diario'!F816</f>
        <v>0</v>
      </c>
      <c r="B1396" s="144">
        <f>VALUE(IF(+'Libro Diario'!G816="","01/01/2025",+'Libro Diario'!G816))</f>
        <v>45658</v>
      </c>
      <c r="C1396">
        <f>IF(ISNUMBER(+IF(IFERROR(VALUE(MID('Libro Diario'!D816,1,4)),0)&lt;&gt;0,'Libro Diario'!D816,0))=FALSE,'Libro Diario'!D816,0)</f>
        <v>0</v>
      </c>
      <c r="D1396" s="145">
        <f>+'Libro Diario'!E816</f>
        <v>0</v>
      </c>
      <c r="E1396" s="139" t="s">
        <v>446</v>
      </c>
      <c r="F1396" t="str">
        <f t="shared" si="63"/>
        <v>Sin Mov.</v>
      </c>
      <c r="G1396" t="str">
        <f>IF(+'Libro Diario'!H816=0,"",+'Libro Diario'!H816)</f>
        <v/>
      </c>
      <c r="H1396" t="str">
        <f>IF(+'Libro Diario'!I816=0,"",+'Libro Diario'!I816)</f>
        <v/>
      </c>
      <c r="I1396" t="str">
        <f>+IF(Table3[[#This Row],[Tipo Movimiento]]="Estructura Balance y PyG","Excluir","Incluir")</f>
        <v>Incluir</v>
      </c>
      <c r="J1396" s="153">
        <f>+IF(Table3[[#This Row],[Sin cuenta]]="Con Mov.",(IF(Table3[[#This Row],[Movimiento]]="Debe",Table3[[#This Row],[Importe]],IF(Table3[[#This Row],[Movimiento]]="Haber",Table3[[#This Row],[Importe]]*-1,0))),0)</f>
        <v>0</v>
      </c>
      <c r="K1396" s="145" t="str">
        <f t="shared" si="64"/>
        <v/>
      </c>
      <c r="L1396" s="145">
        <f t="shared" si="65"/>
        <v>0</v>
      </c>
      <c r="M1396" t="str">
        <f>_xlfn.XLOOKUP(Table3[[#This Row],[Cuenta]],Estructura_Balance[Nombre Cuenta ()],Estructura_Balance[Grupo],"",0)</f>
        <v/>
      </c>
      <c r="N1396" t="str">
        <f>_xlfn.XLOOKUP(Table3[[#This Row],[Cuenta]],Estructura_Balance[Nombre Cuenta ()],Estructura_Balance[Nivel 1],"",0)</f>
        <v/>
      </c>
      <c r="O1396" t="str">
        <f>_xlfn.XLOOKUP(Table3[[#This Row],[Cuenta]],Estructura_Balance[Nombre Cuenta ()],Estructura_Balance[Nivel 2],"",0)</f>
        <v/>
      </c>
      <c r="P1396" t="str">
        <f>_xlfn.XLOOKUP(Table3[[#This Row],[Cuenta]],Estructura_Balance[Nombre Cuenta ()],Estructura_Balance[Nivel 3],"",0)</f>
        <v/>
      </c>
      <c r="Q1396" t="str">
        <f>_xlfn.XLOOKUP(Table3[[#This Row],[Cuenta]],Estructura_Balance[Nombre Cuenta ()],Estructura_Balance[Nivel 4],"",0)</f>
        <v/>
      </c>
      <c r="R1396" t="str">
        <f>_xlfn.XLOOKUP(Table3[[#This Row],[Cuenta]],Table8[Nombre Cuenta ()],Table8[Nivel 1],"",0)</f>
        <v/>
      </c>
      <c r="S1396" t="str">
        <f>_xlfn.XLOOKUP(Table3[[#This Row],[Cuenta]],Table8[Nombre Cuenta ()],Table8[Nivel 2],"",0)</f>
        <v/>
      </c>
      <c r="T1396" t="str">
        <f>_xlfn.XLOOKUP(Table3[[#This Row],[Cuenta]],Table8[Nombre Cuenta ()],Table8[Nivel 3],"",0)</f>
        <v/>
      </c>
      <c r="U1396">
        <v>1349</v>
      </c>
      <c r="V1396" t="str">
        <f>_xlfn.XLOOKUP(Table3[[#This Row],[Cuenta]],Estructura_Balance[Nombre Cuenta ()],Estructura_Balance[Niveles:2],"",0)</f>
        <v/>
      </c>
      <c r="W1396" t="str">
        <f>_xlfn.XLOOKUP(Table3[[#This Row],[Cuenta]],Estructura_Balance[Nombre Cuenta ()],Estructura_Balance[Niveles:3],"",0)</f>
        <v/>
      </c>
      <c r="X1396" t="str">
        <f>_xlfn.XLOOKUP(Table3[[#This Row],[Cuenta]],Estructura_Balance[Nombre Cuenta ()],Estructura_Balance[Grupos],"Grupo 1",0)</f>
        <v>Grupo 1</v>
      </c>
      <c r="Y1396" t="str">
        <f>+Table3[[#This Row],[BS_Nivel_1]]</f>
        <v/>
      </c>
    </row>
    <row r="1397" spans="1:25" ht="15" customHeight="1">
      <c r="A1397">
        <f>+'Libro Diario'!F817</f>
        <v>0</v>
      </c>
      <c r="B1397" s="144">
        <f>VALUE(IF(+'Libro Diario'!G817="","01/01/2025",+'Libro Diario'!G817))</f>
        <v>45658</v>
      </c>
      <c r="C1397">
        <f>IF(ISNUMBER(+IF(IFERROR(VALUE(MID('Libro Diario'!D817,1,4)),0)&lt;&gt;0,'Libro Diario'!D817,0))=FALSE,'Libro Diario'!D817,0)</f>
        <v>0</v>
      </c>
      <c r="D1397" s="145">
        <f>+'Libro Diario'!E817</f>
        <v>0</v>
      </c>
      <c r="E1397" s="139" t="s">
        <v>446</v>
      </c>
      <c r="F1397" t="str">
        <f t="shared" si="63"/>
        <v>Sin Mov.</v>
      </c>
      <c r="G1397" t="str">
        <f>IF(+'Libro Diario'!H817=0,"",+'Libro Diario'!H817)</f>
        <v/>
      </c>
      <c r="H1397" t="str">
        <f>IF(+'Libro Diario'!I817=0,"",+'Libro Diario'!I817)</f>
        <v/>
      </c>
      <c r="I1397" t="str">
        <f>+IF(Table3[[#This Row],[Tipo Movimiento]]="Estructura Balance y PyG","Excluir","Incluir")</f>
        <v>Incluir</v>
      </c>
      <c r="J1397" s="153">
        <f>+IF(Table3[[#This Row],[Sin cuenta]]="Con Mov.",(IF(Table3[[#This Row],[Movimiento]]="Debe",Table3[[#This Row],[Importe]],IF(Table3[[#This Row],[Movimiento]]="Haber",Table3[[#This Row],[Importe]]*-1,0))),0)</f>
        <v>0</v>
      </c>
      <c r="K1397" s="145" t="str">
        <f t="shared" si="64"/>
        <v/>
      </c>
      <c r="L1397" s="145">
        <f t="shared" si="65"/>
        <v>0</v>
      </c>
      <c r="M1397" t="str">
        <f>_xlfn.XLOOKUP(Table3[[#This Row],[Cuenta]],Estructura_Balance[Nombre Cuenta ()],Estructura_Balance[Grupo],"",0)</f>
        <v/>
      </c>
      <c r="N1397" t="str">
        <f>_xlfn.XLOOKUP(Table3[[#This Row],[Cuenta]],Estructura_Balance[Nombre Cuenta ()],Estructura_Balance[Nivel 1],"",0)</f>
        <v/>
      </c>
      <c r="O1397" t="str">
        <f>_xlfn.XLOOKUP(Table3[[#This Row],[Cuenta]],Estructura_Balance[Nombre Cuenta ()],Estructura_Balance[Nivel 2],"",0)</f>
        <v/>
      </c>
      <c r="P1397" t="str">
        <f>_xlfn.XLOOKUP(Table3[[#This Row],[Cuenta]],Estructura_Balance[Nombre Cuenta ()],Estructura_Balance[Nivel 3],"",0)</f>
        <v/>
      </c>
      <c r="Q1397" t="str">
        <f>_xlfn.XLOOKUP(Table3[[#This Row],[Cuenta]],Estructura_Balance[Nombre Cuenta ()],Estructura_Balance[Nivel 4],"",0)</f>
        <v/>
      </c>
      <c r="R1397" t="str">
        <f>_xlfn.XLOOKUP(Table3[[#This Row],[Cuenta]],Table8[Nombre Cuenta ()],Table8[Nivel 1],"",0)</f>
        <v/>
      </c>
      <c r="S1397" t="str">
        <f>_xlfn.XLOOKUP(Table3[[#This Row],[Cuenta]],Table8[Nombre Cuenta ()],Table8[Nivel 2],"",0)</f>
        <v/>
      </c>
      <c r="T1397" t="str">
        <f>_xlfn.XLOOKUP(Table3[[#This Row],[Cuenta]],Table8[Nombre Cuenta ()],Table8[Nivel 3],"",0)</f>
        <v/>
      </c>
      <c r="U1397">
        <v>357</v>
      </c>
      <c r="V1397" t="str">
        <f>_xlfn.XLOOKUP(Table3[[#This Row],[Cuenta]],Estructura_Balance[Nombre Cuenta ()],Estructura_Balance[Niveles:2],"",0)</f>
        <v/>
      </c>
      <c r="W1397" t="str">
        <f>_xlfn.XLOOKUP(Table3[[#This Row],[Cuenta]],Estructura_Balance[Nombre Cuenta ()],Estructura_Balance[Niveles:3],"",0)</f>
        <v/>
      </c>
      <c r="X1397" t="str">
        <f>_xlfn.XLOOKUP(Table3[[#This Row],[Cuenta]],Estructura_Balance[Nombre Cuenta ()],Estructura_Balance[Grupos],"Grupo 1",0)</f>
        <v>Grupo 1</v>
      </c>
      <c r="Y1397" t="str">
        <f>+Table3[[#This Row],[BS_Nivel_1]]</f>
        <v/>
      </c>
    </row>
    <row r="1398" spans="1:25" ht="15" customHeight="1">
      <c r="A1398">
        <f>+'Libro Diario'!F818</f>
        <v>0</v>
      </c>
      <c r="B1398" s="144">
        <f>VALUE(IF(+'Libro Diario'!G818="","01/01/2025",+'Libro Diario'!G818))</f>
        <v>45658</v>
      </c>
      <c r="C1398">
        <f>IF(ISNUMBER(+IF(IFERROR(VALUE(MID('Libro Diario'!D818,1,4)),0)&lt;&gt;0,'Libro Diario'!D818,0))=FALSE,'Libro Diario'!D818,0)</f>
        <v>0</v>
      </c>
      <c r="D1398" s="145">
        <f>+'Libro Diario'!E818</f>
        <v>0</v>
      </c>
      <c r="E1398" s="139" t="s">
        <v>446</v>
      </c>
      <c r="F1398" t="str">
        <f t="shared" si="63"/>
        <v>Sin Mov.</v>
      </c>
      <c r="G1398" t="str">
        <f>IF(+'Libro Diario'!H818=0,"",+'Libro Diario'!H818)</f>
        <v/>
      </c>
      <c r="H1398" t="str">
        <f>IF(+'Libro Diario'!I818=0,"",+'Libro Diario'!I818)</f>
        <v/>
      </c>
      <c r="I1398" t="str">
        <f>+IF(Table3[[#This Row],[Tipo Movimiento]]="Estructura Balance y PyG","Excluir","Incluir")</f>
        <v>Incluir</v>
      </c>
      <c r="J1398" s="153">
        <f>+IF(Table3[[#This Row],[Sin cuenta]]="Con Mov.",(IF(Table3[[#This Row],[Movimiento]]="Debe",Table3[[#This Row],[Importe]],IF(Table3[[#This Row],[Movimiento]]="Haber",Table3[[#This Row],[Importe]]*-1,0))),0)</f>
        <v>0</v>
      </c>
      <c r="K1398" s="145" t="str">
        <f t="shared" si="64"/>
        <v/>
      </c>
      <c r="L1398" s="145">
        <f t="shared" si="65"/>
        <v>0</v>
      </c>
      <c r="M1398" t="str">
        <f>_xlfn.XLOOKUP(Table3[[#This Row],[Cuenta]],Estructura_Balance[Nombre Cuenta ()],Estructura_Balance[Grupo],"",0)</f>
        <v/>
      </c>
      <c r="N1398" t="str">
        <f>_xlfn.XLOOKUP(Table3[[#This Row],[Cuenta]],Estructura_Balance[Nombre Cuenta ()],Estructura_Balance[Nivel 1],"",0)</f>
        <v/>
      </c>
      <c r="O1398" t="str">
        <f>_xlfn.XLOOKUP(Table3[[#This Row],[Cuenta]],Estructura_Balance[Nombre Cuenta ()],Estructura_Balance[Nivel 2],"",0)</f>
        <v/>
      </c>
      <c r="P1398" t="str">
        <f>_xlfn.XLOOKUP(Table3[[#This Row],[Cuenta]],Estructura_Balance[Nombre Cuenta ()],Estructura_Balance[Nivel 3],"",0)</f>
        <v/>
      </c>
      <c r="Q1398" t="str">
        <f>_xlfn.XLOOKUP(Table3[[#This Row],[Cuenta]],Estructura_Balance[Nombre Cuenta ()],Estructura_Balance[Nivel 4],"",0)</f>
        <v/>
      </c>
      <c r="R1398" t="str">
        <f>_xlfn.XLOOKUP(Table3[[#This Row],[Cuenta]],Table8[Nombre Cuenta ()],Table8[Nivel 1],"",0)</f>
        <v/>
      </c>
      <c r="S1398" t="str">
        <f>_xlfn.XLOOKUP(Table3[[#This Row],[Cuenta]],Table8[Nombre Cuenta ()],Table8[Nivel 2],"",0)</f>
        <v/>
      </c>
      <c r="T1398" t="str">
        <f>_xlfn.XLOOKUP(Table3[[#This Row],[Cuenta]],Table8[Nombre Cuenta ()],Table8[Nivel 3],"",0)</f>
        <v/>
      </c>
      <c r="U1398">
        <v>358</v>
      </c>
      <c r="V1398" t="str">
        <f>_xlfn.XLOOKUP(Table3[[#This Row],[Cuenta]],Estructura_Balance[Nombre Cuenta ()],Estructura_Balance[Niveles:2],"",0)</f>
        <v/>
      </c>
      <c r="W1398" t="str">
        <f>_xlfn.XLOOKUP(Table3[[#This Row],[Cuenta]],Estructura_Balance[Nombre Cuenta ()],Estructura_Balance[Niveles:3],"",0)</f>
        <v/>
      </c>
      <c r="X1398" t="str">
        <f>_xlfn.XLOOKUP(Table3[[#This Row],[Cuenta]],Estructura_Balance[Nombre Cuenta ()],Estructura_Balance[Grupos],"Grupo 1",0)</f>
        <v>Grupo 1</v>
      </c>
      <c r="Y1398" t="str">
        <f>+Table3[[#This Row],[BS_Nivel_1]]</f>
        <v/>
      </c>
    </row>
    <row r="1399" spans="1:25" ht="15" customHeight="1">
      <c r="A1399">
        <f>+'Libro Diario'!F819</f>
        <v>0</v>
      </c>
      <c r="B1399" s="144">
        <f>VALUE(IF(+'Libro Diario'!G819="","01/01/2025",+'Libro Diario'!G819))</f>
        <v>45658</v>
      </c>
      <c r="C1399">
        <f>IF(ISNUMBER(+IF(IFERROR(VALUE(MID('Libro Diario'!D819,1,4)),0)&lt;&gt;0,'Libro Diario'!D819,0))=FALSE,'Libro Diario'!D819,0)</f>
        <v>0</v>
      </c>
      <c r="D1399" s="145">
        <f>+'Libro Diario'!E819</f>
        <v>0</v>
      </c>
      <c r="E1399" s="139" t="s">
        <v>446</v>
      </c>
      <c r="F1399" t="str">
        <f t="shared" si="63"/>
        <v>Sin Mov.</v>
      </c>
      <c r="G1399" t="str">
        <f>IF(+'Libro Diario'!H819=0,"",+'Libro Diario'!H819)</f>
        <v/>
      </c>
      <c r="H1399" t="str">
        <f>IF(+'Libro Diario'!I819=0,"",+'Libro Diario'!I819)</f>
        <v/>
      </c>
      <c r="I1399" t="str">
        <f>+IF(Table3[[#This Row],[Tipo Movimiento]]="Estructura Balance y PyG","Excluir","Incluir")</f>
        <v>Incluir</v>
      </c>
      <c r="J1399" s="153">
        <f>+IF(Table3[[#This Row],[Sin cuenta]]="Con Mov.",(IF(Table3[[#This Row],[Movimiento]]="Debe",Table3[[#This Row],[Importe]],IF(Table3[[#This Row],[Movimiento]]="Haber",Table3[[#This Row],[Importe]]*-1,0))),0)</f>
        <v>0</v>
      </c>
      <c r="K1399" s="145" t="str">
        <f t="shared" si="64"/>
        <v/>
      </c>
      <c r="L1399" s="145">
        <f t="shared" si="65"/>
        <v>0</v>
      </c>
      <c r="M1399" t="str">
        <f>_xlfn.XLOOKUP(Table3[[#This Row],[Cuenta]],Estructura_Balance[Nombre Cuenta ()],Estructura_Balance[Grupo],"",0)</f>
        <v/>
      </c>
      <c r="N1399" t="str">
        <f>_xlfn.XLOOKUP(Table3[[#This Row],[Cuenta]],Estructura_Balance[Nombre Cuenta ()],Estructura_Balance[Nivel 1],"",0)</f>
        <v/>
      </c>
      <c r="O1399" t="str">
        <f>_xlfn.XLOOKUP(Table3[[#This Row],[Cuenta]],Estructura_Balance[Nombre Cuenta ()],Estructura_Balance[Nivel 2],"",0)</f>
        <v/>
      </c>
      <c r="P1399" t="str">
        <f>_xlfn.XLOOKUP(Table3[[#This Row],[Cuenta]],Estructura_Balance[Nombre Cuenta ()],Estructura_Balance[Nivel 3],"",0)</f>
        <v/>
      </c>
      <c r="Q1399" t="str">
        <f>_xlfn.XLOOKUP(Table3[[#This Row],[Cuenta]],Estructura_Balance[Nombre Cuenta ()],Estructura_Balance[Nivel 4],"",0)</f>
        <v/>
      </c>
      <c r="R1399" t="str">
        <f>_xlfn.XLOOKUP(Table3[[#This Row],[Cuenta]],Table8[Nombre Cuenta ()],Table8[Nivel 1],"",0)</f>
        <v/>
      </c>
      <c r="S1399" t="str">
        <f>_xlfn.XLOOKUP(Table3[[#This Row],[Cuenta]],Table8[Nombre Cuenta ()],Table8[Nivel 2],"",0)</f>
        <v/>
      </c>
      <c r="T1399" t="str">
        <f>_xlfn.XLOOKUP(Table3[[#This Row],[Cuenta]],Table8[Nombre Cuenta ()],Table8[Nivel 3],"",0)</f>
        <v/>
      </c>
      <c r="U1399">
        <v>359</v>
      </c>
      <c r="V1399" t="str">
        <f>_xlfn.XLOOKUP(Table3[[#This Row],[Cuenta]],Estructura_Balance[Nombre Cuenta ()],Estructura_Balance[Niveles:2],"",0)</f>
        <v/>
      </c>
      <c r="W1399" t="str">
        <f>_xlfn.XLOOKUP(Table3[[#This Row],[Cuenta]],Estructura_Balance[Nombre Cuenta ()],Estructura_Balance[Niveles:3],"",0)</f>
        <v/>
      </c>
      <c r="X1399" t="str">
        <f>_xlfn.XLOOKUP(Table3[[#This Row],[Cuenta]],Estructura_Balance[Nombre Cuenta ()],Estructura_Balance[Grupos],"Grupo 1",0)</f>
        <v>Grupo 1</v>
      </c>
      <c r="Y1399" t="str">
        <f>+Table3[[#This Row],[BS_Nivel_1]]</f>
        <v/>
      </c>
    </row>
    <row r="1400" spans="1:25" ht="15" customHeight="1">
      <c r="A1400">
        <f>+'Libro Diario'!F820</f>
        <v>0</v>
      </c>
      <c r="B1400" s="144">
        <f>VALUE(IF(+'Libro Diario'!G820="","01/01/2025",+'Libro Diario'!G820))</f>
        <v>45658</v>
      </c>
      <c r="C1400">
        <f>IF(ISNUMBER(+IF(IFERROR(VALUE(MID('Libro Diario'!D820,1,4)),0)&lt;&gt;0,'Libro Diario'!D820,0))=FALSE,'Libro Diario'!D820,0)</f>
        <v>0</v>
      </c>
      <c r="D1400" s="145">
        <f>+'Libro Diario'!E820</f>
        <v>0</v>
      </c>
      <c r="E1400" s="139" t="s">
        <v>446</v>
      </c>
      <c r="F1400" t="str">
        <f t="shared" si="63"/>
        <v>Sin Mov.</v>
      </c>
      <c r="G1400" t="str">
        <f>IF(+'Libro Diario'!H820=0,"",+'Libro Diario'!H820)</f>
        <v/>
      </c>
      <c r="H1400" t="str">
        <f>IF(+'Libro Diario'!I820=0,"",+'Libro Diario'!I820)</f>
        <v/>
      </c>
      <c r="I1400" t="str">
        <f>+IF(Table3[[#This Row],[Tipo Movimiento]]="Estructura Balance y PyG","Excluir","Incluir")</f>
        <v>Incluir</v>
      </c>
      <c r="J1400" s="153">
        <f>+IF(Table3[[#This Row],[Sin cuenta]]="Con Mov.",(IF(Table3[[#This Row],[Movimiento]]="Debe",Table3[[#This Row],[Importe]],IF(Table3[[#This Row],[Movimiento]]="Haber",Table3[[#This Row],[Importe]]*-1,0))),0)</f>
        <v>0</v>
      </c>
      <c r="K1400" s="145" t="str">
        <f t="shared" si="64"/>
        <v/>
      </c>
      <c r="L1400" s="145">
        <f t="shared" si="65"/>
        <v>0</v>
      </c>
      <c r="M1400" t="str">
        <f>_xlfn.XLOOKUP(Table3[[#This Row],[Cuenta]],Estructura_Balance[Nombre Cuenta ()],Estructura_Balance[Grupo],"",0)</f>
        <v/>
      </c>
      <c r="N1400" t="str">
        <f>_xlfn.XLOOKUP(Table3[[#This Row],[Cuenta]],Estructura_Balance[Nombre Cuenta ()],Estructura_Balance[Nivel 1],"",0)</f>
        <v/>
      </c>
      <c r="O1400" t="str">
        <f>_xlfn.XLOOKUP(Table3[[#This Row],[Cuenta]],Estructura_Balance[Nombre Cuenta ()],Estructura_Balance[Nivel 2],"",0)</f>
        <v/>
      </c>
      <c r="P1400" t="str">
        <f>_xlfn.XLOOKUP(Table3[[#This Row],[Cuenta]],Estructura_Balance[Nombre Cuenta ()],Estructura_Balance[Nivel 3],"",0)</f>
        <v/>
      </c>
      <c r="Q1400" t="str">
        <f>_xlfn.XLOOKUP(Table3[[#This Row],[Cuenta]],Estructura_Balance[Nombre Cuenta ()],Estructura_Balance[Nivel 4],"",0)</f>
        <v/>
      </c>
      <c r="R1400" t="str">
        <f>_xlfn.XLOOKUP(Table3[[#This Row],[Cuenta]],Table8[Nombre Cuenta ()],Table8[Nivel 1],"",0)</f>
        <v/>
      </c>
      <c r="S1400" t="str">
        <f>_xlfn.XLOOKUP(Table3[[#This Row],[Cuenta]],Table8[Nombre Cuenta ()],Table8[Nivel 2],"",0)</f>
        <v/>
      </c>
      <c r="T1400" t="str">
        <f>_xlfn.XLOOKUP(Table3[[#This Row],[Cuenta]],Table8[Nombre Cuenta ()],Table8[Nivel 3],"",0)</f>
        <v/>
      </c>
      <c r="U1400">
        <v>360</v>
      </c>
      <c r="V1400" t="str">
        <f>_xlfn.XLOOKUP(Table3[[#This Row],[Cuenta]],Estructura_Balance[Nombre Cuenta ()],Estructura_Balance[Niveles:2],"",0)</f>
        <v/>
      </c>
      <c r="W1400" t="str">
        <f>_xlfn.XLOOKUP(Table3[[#This Row],[Cuenta]],Estructura_Balance[Nombre Cuenta ()],Estructura_Balance[Niveles:3],"",0)</f>
        <v/>
      </c>
      <c r="X1400" t="str">
        <f>_xlfn.XLOOKUP(Table3[[#This Row],[Cuenta]],Estructura_Balance[Nombre Cuenta ()],Estructura_Balance[Grupos],"Grupo 1",0)</f>
        <v>Grupo 1</v>
      </c>
      <c r="Y1400" t="str">
        <f>+Table3[[#This Row],[BS_Nivel_1]]</f>
        <v/>
      </c>
    </row>
    <row r="1401" spans="1:25" ht="15" customHeight="1">
      <c r="A1401">
        <f>+'Libro Diario'!F821</f>
        <v>0</v>
      </c>
      <c r="B1401" s="144">
        <f>VALUE(IF(+'Libro Diario'!G821="","01/01/2025",+'Libro Diario'!G821))</f>
        <v>45658</v>
      </c>
      <c r="C1401">
        <f>IF(ISNUMBER(+IF(IFERROR(VALUE(MID('Libro Diario'!D821,1,4)),0)&lt;&gt;0,'Libro Diario'!D821,0))=FALSE,'Libro Diario'!D821,0)</f>
        <v>0</v>
      </c>
      <c r="D1401" s="145">
        <f>+'Libro Diario'!E821</f>
        <v>0</v>
      </c>
      <c r="E1401" s="139" t="s">
        <v>446</v>
      </c>
      <c r="F1401" t="str">
        <f t="shared" si="63"/>
        <v>Sin Mov.</v>
      </c>
      <c r="G1401" t="str">
        <f>IF(+'Libro Diario'!H821=0,"",+'Libro Diario'!H821)</f>
        <v/>
      </c>
      <c r="H1401" t="str">
        <f>IF(+'Libro Diario'!I821=0,"",+'Libro Diario'!I821)</f>
        <v/>
      </c>
      <c r="I1401" t="str">
        <f>+IF(Table3[[#This Row],[Tipo Movimiento]]="Estructura Balance y PyG","Excluir","Incluir")</f>
        <v>Incluir</v>
      </c>
      <c r="J1401" s="153">
        <f>+IF(Table3[[#This Row],[Sin cuenta]]="Con Mov.",(IF(Table3[[#This Row],[Movimiento]]="Debe",Table3[[#This Row],[Importe]],IF(Table3[[#This Row],[Movimiento]]="Haber",Table3[[#This Row],[Importe]]*-1,0))),0)</f>
        <v>0</v>
      </c>
      <c r="K1401" s="145" t="str">
        <f t="shared" si="64"/>
        <v/>
      </c>
      <c r="L1401" s="145">
        <f t="shared" si="65"/>
        <v>0</v>
      </c>
      <c r="M1401" t="str">
        <f>_xlfn.XLOOKUP(Table3[[#This Row],[Cuenta]],Estructura_Balance[Nombre Cuenta ()],Estructura_Balance[Grupo],"",0)</f>
        <v/>
      </c>
      <c r="N1401" t="str">
        <f>_xlfn.XLOOKUP(Table3[[#This Row],[Cuenta]],Estructura_Balance[Nombre Cuenta ()],Estructura_Balance[Nivel 1],"",0)</f>
        <v/>
      </c>
      <c r="O1401" t="str">
        <f>_xlfn.XLOOKUP(Table3[[#This Row],[Cuenta]],Estructura_Balance[Nombre Cuenta ()],Estructura_Balance[Nivel 2],"",0)</f>
        <v/>
      </c>
      <c r="P1401" t="str">
        <f>_xlfn.XLOOKUP(Table3[[#This Row],[Cuenta]],Estructura_Balance[Nombre Cuenta ()],Estructura_Balance[Nivel 3],"",0)</f>
        <v/>
      </c>
      <c r="Q1401" t="str">
        <f>_xlfn.XLOOKUP(Table3[[#This Row],[Cuenta]],Estructura_Balance[Nombre Cuenta ()],Estructura_Balance[Nivel 4],"",0)</f>
        <v/>
      </c>
      <c r="R1401" t="str">
        <f>_xlfn.XLOOKUP(Table3[[#This Row],[Cuenta]],Table8[Nombre Cuenta ()],Table8[Nivel 1],"",0)</f>
        <v/>
      </c>
      <c r="S1401" t="str">
        <f>_xlfn.XLOOKUP(Table3[[#This Row],[Cuenta]],Table8[Nombre Cuenta ()],Table8[Nivel 2],"",0)</f>
        <v/>
      </c>
      <c r="T1401" t="str">
        <f>_xlfn.XLOOKUP(Table3[[#This Row],[Cuenta]],Table8[Nombre Cuenta ()],Table8[Nivel 3],"",0)</f>
        <v/>
      </c>
      <c r="U1401">
        <v>361</v>
      </c>
      <c r="V1401" t="str">
        <f>_xlfn.XLOOKUP(Table3[[#This Row],[Cuenta]],Estructura_Balance[Nombre Cuenta ()],Estructura_Balance[Niveles:2],"",0)</f>
        <v/>
      </c>
      <c r="W1401" t="str">
        <f>_xlfn.XLOOKUP(Table3[[#This Row],[Cuenta]],Estructura_Balance[Nombre Cuenta ()],Estructura_Balance[Niveles:3],"",0)</f>
        <v/>
      </c>
      <c r="X1401" t="str">
        <f>_xlfn.XLOOKUP(Table3[[#This Row],[Cuenta]],Estructura_Balance[Nombre Cuenta ()],Estructura_Balance[Grupos],"Grupo 1",0)</f>
        <v>Grupo 1</v>
      </c>
      <c r="Y1401" t="str">
        <f>+Table3[[#This Row],[BS_Nivel_1]]</f>
        <v/>
      </c>
    </row>
    <row r="1402" spans="1:25" ht="15" customHeight="1">
      <c r="A1402">
        <f>+'Libro Diario'!F822</f>
        <v>0</v>
      </c>
      <c r="B1402" s="144">
        <f>VALUE(IF(+'Libro Diario'!G822="","01/01/2025",+'Libro Diario'!G822))</f>
        <v>45658</v>
      </c>
      <c r="C1402">
        <f>IF(ISNUMBER(+IF(IFERROR(VALUE(MID('Libro Diario'!D822,1,4)),0)&lt;&gt;0,'Libro Diario'!D822,0))=FALSE,'Libro Diario'!D822,0)</f>
        <v>0</v>
      </c>
      <c r="D1402" s="145">
        <f>+'Libro Diario'!E822</f>
        <v>0</v>
      </c>
      <c r="E1402" s="139" t="s">
        <v>446</v>
      </c>
      <c r="F1402" t="str">
        <f t="shared" si="63"/>
        <v>Sin Mov.</v>
      </c>
      <c r="G1402" t="str">
        <f>IF(+'Libro Diario'!H822=0,"",+'Libro Diario'!H822)</f>
        <v/>
      </c>
      <c r="H1402" t="str">
        <f>IF(+'Libro Diario'!I822=0,"",+'Libro Diario'!I822)</f>
        <v/>
      </c>
      <c r="I1402" t="str">
        <f>+IF(Table3[[#This Row],[Tipo Movimiento]]="Estructura Balance y PyG","Excluir","Incluir")</f>
        <v>Incluir</v>
      </c>
      <c r="J1402" s="153">
        <f>+IF(Table3[[#This Row],[Sin cuenta]]="Con Mov.",(IF(Table3[[#This Row],[Movimiento]]="Debe",Table3[[#This Row],[Importe]],IF(Table3[[#This Row],[Movimiento]]="Haber",Table3[[#This Row],[Importe]]*-1,0))),0)</f>
        <v>0</v>
      </c>
      <c r="K1402" s="145" t="str">
        <f t="shared" si="64"/>
        <v/>
      </c>
      <c r="L1402" s="145">
        <f t="shared" si="65"/>
        <v>0</v>
      </c>
      <c r="M1402" t="str">
        <f>_xlfn.XLOOKUP(Table3[[#This Row],[Cuenta]],Estructura_Balance[Nombre Cuenta ()],Estructura_Balance[Grupo],"",0)</f>
        <v/>
      </c>
      <c r="N1402" t="str">
        <f>_xlfn.XLOOKUP(Table3[[#This Row],[Cuenta]],Estructura_Balance[Nombre Cuenta ()],Estructura_Balance[Nivel 1],"",0)</f>
        <v/>
      </c>
      <c r="O1402" t="str">
        <f>_xlfn.XLOOKUP(Table3[[#This Row],[Cuenta]],Estructura_Balance[Nombre Cuenta ()],Estructura_Balance[Nivel 2],"",0)</f>
        <v/>
      </c>
      <c r="P1402" t="str">
        <f>_xlfn.XLOOKUP(Table3[[#This Row],[Cuenta]],Estructura_Balance[Nombre Cuenta ()],Estructura_Balance[Nivel 3],"",0)</f>
        <v/>
      </c>
      <c r="Q1402" t="str">
        <f>_xlfn.XLOOKUP(Table3[[#This Row],[Cuenta]],Estructura_Balance[Nombre Cuenta ()],Estructura_Balance[Nivel 4],"",0)</f>
        <v/>
      </c>
      <c r="R1402" t="str">
        <f>_xlfn.XLOOKUP(Table3[[#This Row],[Cuenta]],Table8[Nombre Cuenta ()],Table8[Nivel 1],"",0)</f>
        <v/>
      </c>
      <c r="S1402" t="str">
        <f>_xlfn.XLOOKUP(Table3[[#This Row],[Cuenta]],Table8[Nombre Cuenta ()],Table8[Nivel 2],"",0)</f>
        <v/>
      </c>
      <c r="T1402" t="str">
        <f>_xlfn.XLOOKUP(Table3[[#This Row],[Cuenta]],Table8[Nombre Cuenta ()],Table8[Nivel 3],"",0)</f>
        <v/>
      </c>
      <c r="U1402">
        <v>1355</v>
      </c>
      <c r="V1402" t="str">
        <f>_xlfn.XLOOKUP(Table3[[#This Row],[Cuenta]],Estructura_Balance[Nombre Cuenta ()],Estructura_Balance[Niveles:2],"",0)</f>
        <v/>
      </c>
      <c r="W1402" t="str">
        <f>_xlfn.XLOOKUP(Table3[[#This Row],[Cuenta]],Estructura_Balance[Nombre Cuenta ()],Estructura_Balance[Niveles:3],"",0)</f>
        <v/>
      </c>
      <c r="X1402" t="str">
        <f>_xlfn.XLOOKUP(Table3[[#This Row],[Cuenta]],Estructura_Balance[Nombre Cuenta ()],Estructura_Balance[Grupos],"Grupo 1",0)</f>
        <v>Grupo 1</v>
      </c>
      <c r="Y1402" t="str">
        <f>+Table3[[#This Row],[BS_Nivel_1]]</f>
        <v/>
      </c>
    </row>
    <row r="1403" spans="1:25" ht="15" customHeight="1">
      <c r="A1403">
        <f>+'Libro Diario'!F823</f>
        <v>0</v>
      </c>
      <c r="B1403" s="144">
        <f>VALUE(IF(+'Libro Diario'!G823="","01/01/2025",+'Libro Diario'!G823))</f>
        <v>45658</v>
      </c>
      <c r="C1403">
        <f>IF(ISNUMBER(+IF(IFERROR(VALUE(MID('Libro Diario'!D823,1,4)),0)&lt;&gt;0,'Libro Diario'!D823,0))=FALSE,'Libro Diario'!D823,0)</f>
        <v>0</v>
      </c>
      <c r="D1403" s="145">
        <f>+'Libro Diario'!E823</f>
        <v>0</v>
      </c>
      <c r="E1403" s="139" t="s">
        <v>446</v>
      </c>
      <c r="F1403" t="str">
        <f t="shared" si="63"/>
        <v>Sin Mov.</v>
      </c>
      <c r="G1403" t="str">
        <f>IF(+'Libro Diario'!H823=0,"",+'Libro Diario'!H823)</f>
        <v/>
      </c>
      <c r="H1403" t="str">
        <f>IF(+'Libro Diario'!I823=0,"",+'Libro Diario'!I823)</f>
        <v/>
      </c>
      <c r="I1403" t="str">
        <f>+IF(Table3[[#This Row],[Tipo Movimiento]]="Estructura Balance y PyG","Excluir","Incluir")</f>
        <v>Incluir</v>
      </c>
      <c r="J1403" s="153">
        <f>+IF(Table3[[#This Row],[Sin cuenta]]="Con Mov.",(IF(Table3[[#This Row],[Movimiento]]="Debe",Table3[[#This Row],[Importe]],IF(Table3[[#This Row],[Movimiento]]="Haber",Table3[[#This Row],[Importe]]*-1,0))),0)</f>
        <v>0</v>
      </c>
      <c r="K1403" s="145" t="str">
        <f t="shared" si="64"/>
        <v/>
      </c>
      <c r="L1403" s="145">
        <f t="shared" si="65"/>
        <v>0</v>
      </c>
      <c r="M1403" t="str">
        <f>_xlfn.XLOOKUP(Table3[[#This Row],[Cuenta]],Estructura_Balance[Nombre Cuenta ()],Estructura_Balance[Grupo],"",0)</f>
        <v/>
      </c>
      <c r="N1403" t="str">
        <f>_xlfn.XLOOKUP(Table3[[#This Row],[Cuenta]],Estructura_Balance[Nombre Cuenta ()],Estructura_Balance[Nivel 1],"",0)</f>
        <v/>
      </c>
      <c r="O1403" t="str">
        <f>_xlfn.XLOOKUP(Table3[[#This Row],[Cuenta]],Estructura_Balance[Nombre Cuenta ()],Estructura_Balance[Nivel 2],"",0)</f>
        <v/>
      </c>
      <c r="P1403" t="str">
        <f>_xlfn.XLOOKUP(Table3[[#This Row],[Cuenta]],Estructura_Balance[Nombre Cuenta ()],Estructura_Balance[Nivel 3],"",0)</f>
        <v/>
      </c>
      <c r="Q1403" t="str">
        <f>_xlfn.XLOOKUP(Table3[[#This Row],[Cuenta]],Estructura_Balance[Nombre Cuenta ()],Estructura_Balance[Nivel 4],"",0)</f>
        <v/>
      </c>
      <c r="R1403" t="str">
        <f>_xlfn.XLOOKUP(Table3[[#This Row],[Cuenta]],Table8[Nombre Cuenta ()],Table8[Nivel 1],"",0)</f>
        <v/>
      </c>
      <c r="S1403" t="str">
        <f>_xlfn.XLOOKUP(Table3[[#This Row],[Cuenta]],Table8[Nombre Cuenta ()],Table8[Nivel 2],"",0)</f>
        <v/>
      </c>
      <c r="T1403" t="str">
        <f>_xlfn.XLOOKUP(Table3[[#This Row],[Cuenta]],Table8[Nombre Cuenta ()],Table8[Nivel 3],"",0)</f>
        <v/>
      </c>
      <c r="U1403">
        <v>1356</v>
      </c>
      <c r="V1403" t="str">
        <f>_xlfn.XLOOKUP(Table3[[#This Row],[Cuenta]],Estructura_Balance[Nombre Cuenta ()],Estructura_Balance[Niveles:2],"",0)</f>
        <v/>
      </c>
      <c r="W1403" t="str">
        <f>_xlfn.XLOOKUP(Table3[[#This Row],[Cuenta]],Estructura_Balance[Nombre Cuenta ()],Estructura_Balance[Niveles:3],"",0)</f>
        <v/>
      </c>
      <c r="X1403" t="str">
        <f>_xlfn.XLOOKUP(Table3[[#This Row],[Cuenta]],Estructura_Balance[Nombre Cuenta ()],Estructura_Balance[Grupos],"Grupo 1",0)</f>
        <v>Grupo 1</v>
      </c>
      <c r="Y1403" t="str">
        <f>+Table3[[#This Row],[BS_Nivel_1]]</f>
        <v/>
      </c>
    </row>
    <row r="1404" spans="1:25" ht="15" customHeight="1">
      <c r="A1404">
        <f>+'Libro Diario'!F824</f>
        <v>0</v>
      </c>
      <c r="B1404" s="144">
        <f>VALUE(IF(+'Libro Diario'!G824="","01/01/2025",+'Libro Diario'!G824))</f>
        <v>45658</v>
      </c>
      <c r="C1404">
        <f>IF(ISNUMBER(+IF(IFERROR(VALUE(MID('Libro Diario'!D824,1,4)),0)&lt;&gt;0,'Libro Diario'!D824,0))=FALSE,'Libro Diario'!D824,0)</f>
        <v>0</v>
      </c>
      <c r="D1404" s="145">
        <f>+'Libro Diario'!E824</f>
        <v>0</v>
      </c>
      <c r="E1404" s="139" t="s">
        <v>446</v>
      </c>
      <c r="F1404" t="str">
        <f t="shared" si="63"/>
        <v>Sin Mov.</v>
      </c>
      <c r="G1404" t="str">
        <f>IF(+'Libro Diario'!H824=0,"",+'Libro Diario'!H824)</f>
        <v/>
      </c>
      <c r="H1404" t="str">
        <f>IF(+'Libro Diario'!I824=0,"",+'Libro Diario'!I824)</f>
        <v/>
      </c>
      <c r="I1404" t="str">
        <f>+IF(Table3[[#This Row],[Tipo Movimiento]]="Estructura Balance y PyG","Excluir","Incluir")</f>
        <v>Incluir</v>
      </c>
      <c r="J1404" s="153">
        <f>+IF(Table3[[#This Row],[Sin cuenta]]="Con Mov.",(IF(Table3[[#This Row],[Movimiento]]="Debe",Table3[[#This Row],[Importe]],IF(Table3[[#This Row],[Movimiento]]="Haber",Table3[[#This Row],[Importe]]*-1,0))),0)</f>
        <v>0</v>
      </c>
      <c r="K1404" s="145" t="str">
        <f t="shared" si="64"/>
        <v/>
      </c>
      <c r="L1404" s="145">
        <f t="shared" si="65"/>
        <v>0</v>
      </c>
      <c r="M1404" t="str">
        <f>_xlfn.XLOOKUP(Table3[[#This Row],[Cuenta]],Estructura_Balance[Nombre Cuenta ()],Estructura_Balance[Grupo],"",0)</f>
        <v/>
      </c>
      <c r="N1404" t="str">
        <f>_xlfn.XLOOKUP(Table3[[#This Row],[Cuenta]],Estructura_Balance[Nombre Cuenta ()],Estructura_Balance[Nivel 1],"",0)</f>
        <v/>
      </c>
      <c r="O1404" t="str">
        <f>_xlfn.XLOOKUP(Table3[[#This Row],[Cuenta]],Estructura_Balance[Nombre Cuenta ()],Estructura_Balance[Nivel 2],"",0)</f>
        <v/>
      </c>
      <c r="P1404" t="str">
        <f>_xlfn.XLOOKUP(Table3[[#This Row],[Cuenta]],Estructura_Balance[Nombre Cuenta ()],Estructura_Balance[Nivel 3],"",0)</f>
        <v/>
      </c>
      <c r="Q1404" t="str">
        <f>_xlfn.XLOOKUP(Table3[[#This Row],[Cuenta]],Estructura_Balance[Nombre Cuenta ()],Estructura_Balance[Nivel 4],"",0)</f>
        <v/>
      </c>
      <c r="R1404" t="str">
        <f>_xlfn.XLOOKUP(Table3[[#This Row],[Cuenta]],Table8[Nombre Cuenta ()],Table8[Nivel 1],"",0)</f>
        <v/>
      </c>
      <c r="S1404" t="str">
        <f>_xlfn.XLOOKUP(Table3[[#This Row],[Cuenta]],Table8[Nombre Cuenta ()],Table8[Nivel 2],"",0)</f>
        <v/>
      </c>
      <c r="T1404" t="str">
        <f>_xlfn.XLOOKUP(Table3[[#This Row],[Cuenta]],Table8[Nombre Cuenta ()],Table8[Nivel 3],"",0)</f>
        <v/>
      </c>
      <c r="U1404">
        <v>1357</v>
      </c>
      <c r="V1404" t="str">
        <f>_xlfn.XLOOKUP(Table3[[#This Row],[Cuenta]],Estructura_Balance[Nombre Cuenta ()],Estructura_Balance[Niveles:2],"",0)</f>
        <v/>
      </c>
      <c r="W1404" t="str">
        <f>_xlfn.XLOOKUP(Table3[[#This Row],[Cuenta]],Estructura_Balance[Nombre Cuenta ()],Estructura_Balance[Niveles:3],"",0)</f>
        <v/>
      </c>
      <c r="X1404" t="str">
        <f>_xlfn.XLOOKUP(Table3[[#This Row],[Cuenta]],Estructura_Balance[Nombre Cuenta ()],Estructura_Balance[Grupos],"Grupo 1",0)</f>
        <v>Grupo 1</v>
      </c>
      <c r="Y1404" t="str">
        <f>+Table3[[#This Row],[BS_Nivel_1]]</f>
        <v/>
      </c>
    </row>
    <row r="1405" spans="1:25" ht="15" customHeight="1">
      <c r="A1405">
        <f>+'Libro Diario'!F825</f>
        <v>0</v>
      </c>
      <c r="B1405" s="144">
        <f>VALUE(IF(+'Libro Diario'!G825="","01/01/2025",+'Libro Diario'!G825))</f>
        <v>45658</v>
      </c>
      <c r="C1405">
        <f>IF(ISNUMBER(+IF(IFERROR(VALUE(MID('Libro Diario'!D825,1,4)),0)&lt;&gt;0,'Libro Diario'!D825,0))=FALSE,'Libro Diario'!D825,0)</f>
        <v>0</v>
      </c>
      <c r="D1405" s="145">
        <f>+'Libro Diario'!E825</f>
        <v>0</v>
      </c>
      <c r="E1405" s="139" t="s">
        <v>446</v>
      </c>
      <c r="F1405" t="str">
        <f t="shared" si="63"/>
        <v>Sin Mov.</v>
      </c>
      <c r="G1405" t="str">
        <f>IF(+'Libro Diario'!H825=0,"",+'Libro Diario'!H825)</f>
        <v/>
      </c>
      <c r="H1405" t="str">
        <f>IF(+'Libro Diario'!I825=0,"",+'Libro Diario'!I825)</f>
        <v/>
      </c>
      <c r="I1405" t="str">
        <f>+IF(Table3[[#This Row],[Tipo Movimiento]]="Estructura Balance y PyG","Excluir","Incluir")</f>
        <v>Incluir</v>
      </c>
      <c r="J1405" s="153">
        <f>+IF(Table3[[#This Row],[Sin cuenta]]="Con Mov.",(IF(Table3[[#This Row],[Movimiento]]="Debe",Table3[[#This Row],[Importe]],IF(Table3[[#This Row],[Movimiento]]="Haber",Table3[[#This Row],[Importe]]*-1,0))),0)</f>
        <v>0</v>
      </c>
      <c r="K1405" s="145" t="str">
        <f t="shared" si="64"/>
        <v/>
      </c>
      <c r="L1405" s="145">
        <f t="shared" si="65"/>
        <v>0</v>
      </c>
      <c r="M1405" t="str">
        <f>_xlfn.XLOOKUP(Table3[[#This Row],[Cuenta]],Estructura_Balance[Nombre Cuenta ()],Estructura_Balance[Grupo],"",0)</f>
        <v/>
      </c>
      <c r="N1405" t="str">
        <f>_xlfn.XLOOKUP(Table3[[#This Row],[Cuenta]],Estructura_Balance[Nombre Cuenta ()],Estructura_Balance[Nivel 1],"",0)</f>
        <v/>
      </c>
      <c r="O1405" t="str">
        <f>_xlfn.XLOOKUP(Table3[[#This Row],[Cuenta]],Estructura_Balance[Nombre Cuenta ()],Estructura_Balance[Nivel 2],"",0)</f>
        <v/>
      </c>
      <c r="P1405" t="str">
        <f>_xlfn.XLOOKUP(Table3[[#This Row],[Cuenta]],Estructura_Balance[Nombre Cuenta ()],Estructura_Balance[Nivel 3],"",0)</f>
        <v/>
      </c>
      <c r="Q1405" t="str">
        <f>_xlfn.XLOOKUP(Table3[[#This Row],[Cuenta]],Estructura_Balance[Nombre Cuenta ()],Estructura_Balance[Nivel 4],"",0)</f>
        <v/>
      </c>
      <c r="R1405" t="str">
        <f>_xlfn.XLOOKUP(Table3[[#This Row],[Cuenta]],Table8[Nombre Cuenta ()],Table8[Nivel 1],"",0)</f>
        <v/>
      </c>
      <c r="S1405" t="str">
        <f>_xlfn.XLOOKUP(Table3[[#This Row],[Cuenta]],Table8[Nombre Cuenta ()],Table8[Nivel 2],"",0)</f>
        <v/>
      </c>
      <c r="T1405" t="str">
        <f>_xlfn.XLOOKUP(Table3[[#This Row],[Cuenta]],Table8[Nombre Cuenta ()],Table8[Nivel 3],"",0)</f>
        <v/>
      </c>
      <c r="U1405">
        <v>1358</v>
      </c>
      <c r="V1405" t="str">
        <f>_xlfn.XLOOKUP(Table3[[#This Row],[Cuenta]],Estructura_Balance[Nombre Cuenta ()],Estructura_Balance[Niveles:2],"",0)</f>
        <v/>
      </c>
      <c r="W1405" t="str">
        <f>_xlfn.XLOOKUP(Table3[[#This Row],[Cuenta]],Estructura_Balance[Nombre Cuenta ()],Estructura_Balance[Niveles:3],"",0)</f>
        <v/>
      </c>
      <c r="X1405" t="str">
        <f>_xlfn.XLOOKUP(Table3[[#This Row],[Cuenta]],Estructura_Balance[Nombre Cuenta ()],Estructura_Balance[Grupos],"Grupo 1",0)</f>
        <v>Grupo 1</v>
      </c>
      <c r="Y1405" t="str">
        <f>+Table3[[#This Row],[BS_Nivel_1]]</f>
        <v/>
      </c>
    </row>
    <row r="1406" spans="1:25" ht="15" customHeight="1">
      <c r="A1406">
        <f>+'Libro Diario'!F826</f>
        <v>0</v>
      </c>
      <c r="B1406" s="144">
        <f>VALUE(IF(+'Libro Diario'!G826="","01/01/2025",+'Libro Diario'!G826))</f>
        <v>45658</v>
      </c>
      <c r="C1406">
        <f>IF(ISNUMBER(+IF(IFERROR(VALUE(MID('Libro Diario'!D826,1,4)),0)&lt;&gt;0,'Libro Diario'!D826,0))=FALSE,'Libro Diario'!D826,0)</f>
        <v>0</v>
      </c>
      <c r="D1406" s="145">
        <f>+'Libro Diario'!E826</f>
        <v>0</v>
      </c>
      <c r="E1406" s="139" t="s">
        <v>446</v>
      </c>
      <c r="F1406" t="str">
        <f t="shared" si="63"/>
        <v>Sin Mov.</v>
      </c>
      <c r="G1406" t="str">
        <f>IF(+'Libro Diario'!H826=0,"",+'Libro Diario'!H826)</f>
        <v/>
      </c>
      <c r="H1406" t="str">
        <f>IF(+'Libro Diario'!I826=0,"",+'Libro Diario'!I826)</f>
        <v/>
      </c>
      <c r="I1406" t="str">
        <f>+IF(Table3[[#This Row],[Tipo Movimiento]]="Estructura Balance y PyG","Excluir","Incluir")</f>
        <v>Incluir</v>
      </c>
      <c r="J1406" s="153">
        <f>+IF(Table3[[#This Row],[Sin cuenta]]="Con Mov.",(IF(Table3[[#This Row],[Movimiento]]="Debe",Table3[[#This Row],[Importe]],IF(Table3[[#This Row],[Movimiento]]="Haber",Table3[[#This Row],[Importe]]*-1,0))),0)</f>
        <v>0</v>
      </c>
      <c r="K1406" s="145" t="str">
        <f t="shared" si="64"/>
        <v/>
      </c>
      <c r="L1406" s="145">
        <f t="shared" si="65"/>
        <v>0</v>
      </c>
      <c r="M1406" t="str">
        <f>_xlfn.XLOOKUP(Table3[[#This Row],[Cuenta]],Estructura_Balance[Nombre Cuenta ()],Estructura_Balance[Grupo],"",0)</f>
        <v/>
      </c>
      <c r="N1406" t="str">
        <f>_xlfn.XLOOKUP(Table3[[#This Row],[Cuenta]],Estructura_Balance[Nombre Cuenta ()],Estructura_Balance[Nivel 1],"",0)</f>
        <v/>
      </c>
      <c r="O1406" t="str">
        <f>_xlfn.XLOOKUP(Table3[[#This Row],[Cuenta]],Estructura_Balance[Nombre Cuenta ()],Estructura_Balance[Nivel 2],"",0)</f>
        <v/>
      </c>
      <c r="P1406" t="str">
        <f>_xlfn.XLOOKUP(Table3[[#This Row],[Cuenta]],Estructura_Balance[Nombre Cuenta ()],Estructura_Balance[Nivel 3],"",0)</f>
        <v/>
      </c>
      <c r="Q1406" t="str">
        <f>_xlfn.XLOOKUP(Table3[[#This Row],[Cuenta]],Estructura_Balance[Nombre Cuenta ()],Estructura_Balance[Nivel 4],"",0)</f>
        <v/>
      </c>
      <c r="R1406" t="str">
        <f>_xlfn.XLOOKUP(Table3[[#This Row],[Cuenta]],Table8[Nombre Cuenta ()],Table8[Nivel 1],"",0)</f>
        <v/>
      </c>
      <c r="S1406" t="str">
        <f>_xlfn.XLOOKUP(Table3[[#This Row],[Cuenta]],Table8[Nombre Cuenta ()],Table8[Nivel 2],"",0)</f>
        <v/>
      </c>
      <c r="T1406" t="str">
        <f>_xlfn.XLOOKUP(Table3[[#This Row],[Cuenta]],Table8[Nombre Cuenta ()],Table8[Nivel 3],"",0)</f>
        <v/>
      </c>
      <c r="U1406">
        <v>1359</v>
      </c>
      <c r="V1406" t="str">
        <f>_xlfn.XLOOKUP(Table3[[#This Row],[Cuenta]],Estructura_Balance[Nombre Cuenta ()],Estructura_Balance[Niveles:2],"",0)</f>
        <v/>
      </c>
      <c r="W1406" t="str">
        <f>_xlfn.XLOOKUP(Table3[[#This Row],[Cuenta]],Estructura_Balance[Nombre Cuenta ()],Estructura_Balance[Niveles:3],"",0)</f>
        <v/>
      </c>
      <c r="X1406" t="str">
        <f>_xlfn.XLOOKUP(Table3[[#This Row],[Cuenta]],Estructura_Balance[Nombre Cuenta ()],Estructura_Balance[Grupos],"Grupo 1",0)</f>
        <v>Grupo 1</v>
      </c>
      <c r="Y1406" t="str">
        <f>+Table3[[#This Row],[BS_Nivel_1]]</f>
        <v/>
      </c>
    </row>
    <row r="1407" spans="1:25" ht="15" customHeight="1">
      <c r="A1407">
        <f>+'Libro Diario'!F827</f>
        <v>0</v>
      </c>
      <c r="B1407" s="144">
        <f>VALUE(IF(+'Libro Diario'!G827="","01/01/2025",+'Libro Diario'!G827))</f>
        <v>45658</v>
      </c>
      <c r="C1407">
        <f>IF(ISNUMBER(+IF(IFERROR(VALUE(MID('Libro Diario'!D827,1,4)),0)&lt;&gt;0,'Libro Diario'!D827,0))=FALSE,'Libro Diario'!D827,0)</f>
        <v>0</v>
      </c>
      <c r="D1407" s="145">
        <f>+'Libro Diario'!E827</f>
        <v>0</v>
      </c>
      <c r="E1407" s="139" t="s">
        <v>446</v>
      </c>
      <c r="F1407" t="str">
        <f t="shared" si="63"/>
        <v>Sin Mov.</v>
      </c>
      <c r="G1407" t="str">
        <f>IF(+'Libro Diario'!H827=0,"",+'Libro Diario'!H827)</f>
        <v/>
      </c>
      <c r="H1407" t="str">
        <f>IF(+'Libro Diario'!I827=0,"",+'Libro Diario'!I827)</f>
        <v/>
      </c>
      <c r="I1407" t="str">
        <f>+IF(Table3[[#This Row],[Tipo Movimiento]]="Estructura Balance y PyG","Excluir","Incluir")</f>
        <v>Incluir</v>
      </c>
      <c r="J1407" s="153">
        <f>+IF(Table3[[#This Row],[Sin cuenta]]="Con Mov.",(IF(Table3[[#This Row],[Movimiento]]="Debe",Table3[[#This Row],[Importe]],IF(Table3[[#This Row],[Movimiento]]="Haber",Table3[[#This Row],[Importe]]*-1,0))),0)</f>
        <v>0</v>
      </c>
      <c r="K1407" s="145" t="str">
        <f t="shared" si="64"/>
        <v/>
      </c>
      <c r="L1407" s="145">
        <f t="shared" si="65"/>
        <v>0</v>
      </c>
      <c r="M1407" t="str">
        <f>_xlfn.XLOOKUP(Table3[[#This Row],[Cuenta]],Estructura_Balance[Nombre Cuenta ()],Estructura_Balance[Grupo],"",0)</f>
        <v/>
      </c>
      <c r="N1407" t="str">
        <f>_xlfn.XLOOKUP(Table3[[#This Row],[Cuenta]],Estructura_Balance[Nombre Cuenta ()],Estructura_Balance[Nivel 1],"",0)</f>
        <v/>
      </c>
      <c r="O1407" t="str">
        <f>_xlfn.XLOOKUP(Table3[[#This Row],[Cuenta]],Estructura_Balance[Nombre Cuenta ()],Estructura_Balance[Nivel 2],"",0)</f>
        <v/>
      </c>
      <c r="P1407" t="str">
        <f>_xlfn.XLOOKUP(Table3[[#This Row],[Cuenta]],Estructura_Balance[Nombre Cuenta ()],Estructura_Balance[Nivel 3],"",0)</f>
        <v/>
      </c>
      <c r="Q1407" t="str">
        <f>_xlfn.XLOOKUP(Table3[[#This Row],[Cuenta]],Estructura_Balance[Nombre Cuenta ()],Estructura_Balance[Nivel 4],"",0)</f>
        <v/>
      </c>
      <c r="R1407" t="str">
        <f>_xlfn.XLOOKUP(Table3[[#This Row],[Cuenta]],Table8[Nombre Cuenta ()],Table8[Nivel 1],"",0)</f>
        <v/>
      </c>
      <c r="S1407" t="str">
        <f>_xlfn.XLOOKUP(Table3[[#This Row],[Cuenta]],Table8[Nombre Cuenta ()],Table8[Nivel 2],"",0)</f>
        <v/>
      </c>
      <c r="T1407" t="str">
        <f>_xlfn.XLOOKUP(Table3[[#This Row],[Cuenta]],Table8[Nombre Cuenta ()],Table8[Nivel 3],"",0)</f>
        <v/>
      </c>
      <c r="U1407">
        <v>367</v>
      </c>
      <c r="V1407" t="str">
        <f>_xlfn.XLOOKUP(Table3[[#This Row],[Cuenta]],Estructura_Balance[Nombre Cuenta ()],Estructura_Balance[Niveles:2],"",0)</f>
        <v/>
      </c>
      <c r="W1407" t="str">
        <f>_xlfn.XLOOKUP(Table3[[#This Row],[Cuenta]],Estructura_Balance[Nombre Cuenta ()],Estructura_Balance[Niveles:3],"",0)</f>
        <v/>
      </c>
      <c r="X1407" t="str">
        <f>_xlfn.XLOOKUP(Table3[[#This Row],[Cuenta]],Estructura_Balance[Nombre Cuenta ()],Estructura_Balance[Grupos],"Grupo 1",0)</f>
        <v>Grupo 1</v>
      </c>
      <c r="Y1407" t="str">
        <f>+Table3[[#This Row],[BS_Nivel_1]]</f>
        <v/>
      </c>
    </row>
    <row r="1408" spans="1:25" ht="15" customHeight="1">
      <c r="A1408">
        <f>+'Libro Diario'!F828</f>
        <v>0</v>
      </c>
      <c r="B1408" s="144">
        <f>VALUE(IF(+'Libro Diario'!G828="","01/01/2025",+'Libro Diario'!G828))</f>
        <v>45658</v>
      </c>
      <c r="C1408">
        <f>IF(ISNUMBER(+IF(IFERROR(VALUE(MID('Libro Diario'!D828,1,4)),0)&lt;&gt;0,'Libro Diario'!D828,0))=FALSE,'Libro Diario'!D828,0)</f>
        <v>0</v>
      </c>
      <c r="D1408" s="145">
        <f>+'Libro Diario'!E828</f>
        <v>0</v>
      </c>
      <c r="E1408" s="139" t="s">
        <v>446</v>
      </c>
      <c r="F1408" t="str">
        <f t="shared" si="63"/>
        <v>Sin Mov.</v>
      </c>
      <c r="G1408" t="str">
        <f>IF(+'Libro Diario'!H828=0,"",+'Libro Diario'!H828)</f>
        <v/>
      </c>
      <c r="H1408" t="str">
        <f>IF(+'Libro Diario'!I828=0,"",+'Libro Diario'!I828)</f>
        <v/>
      </c>
      <c r="I1408" t="str">
        <f>+IF(Table3[[#This Row],[Tipo Movimiento]]="Estructura Balance y PyG","Excluir","Incluir")</f>
        <v>Incluir</v>
      </c>
      <c r="J1408" s="153">
        <f>+IF(Table3[[#This Row],[Sin cuenta]]="Con Mov.",(IF(Table3[[#This Row],[Movimiento]]="Debe",Table3[[#This Row],[Importe]],IF(Table3[[#This Row],[Movimiento]]="Haber",Table3[[#This Row],[Importe]]*-1,0))),0)</f>
        <v>0</v>
      </c>
      <c r="K1408" s="145" t="str">
        <f t="shared" si="64"/>
        <v/>
      </c>
      <c r="L1408" s="145">
        <f t="shared" si="65"/>
        <v>0</v>
      </c>
      <c r="M1408" t="str">
        <f>_xlfn.XLOOKUP(Table3[[#This Row],[Cuenta]],Estructura_Balance[Nombre Cuenta ()],Estructura_Balance[Grupo],"",0)</f>
        <v/>
      </c>
      <c r="N1408" t="str">
        <f>_xlfn.XLOOKUP(Table3[[#This Row],[Cuenta]],Estructura_Balance[Nombre Cuenta ()],Estructura_Balance[Nivel 1],"",0)</f>
        <v/>
      </c>
      <c r="O1408" t="str">
        <f>_xlfn.XLOOKUP(Table3[[#This Row],[Cuenta]],Estructura_Balance[Nombre Cuenta ()],Estructura_Balance[Nivel 2],"",0)</f>
        <v/>
      </c>
      <c r="P1408" t="str">
        <f>_xlfn.XLOOKUP(Table3[[#This Row],[Cuenta]],Estructura_Balance[Nombre Cuenta ()],Estructura_Balance[Nivel 3],"",0)</f>
        <v/>
      </c>
      <c r="Q1408" t="str">
        <f>_xlfn.XLOOKUP(Table3[[#This Row],[Cuenta]],Estructura_Balance[Nombre Cuenta ()],Estructura_Balance[Nivel 4],"",0)</f>
        <v/>
      </c>
      <c r="R1408" t="str">
        <f>_xlfn.XLOOKUP(Table3[[#This Row],[Cuenta]],Table8[Nombre Cuenta ()],Table8[Nivel 1],"",0)</f>
        <v/>
      </c>
      <c r="S1408" t="str">
        <f>_xlfn.XLOOKUP(Table3[[#This Row],[Cuenta]],Table8[Nombre Cuenta ()],Table8[Nivel 2],"",0)</f>
        <v/>
      </c>
      <c r="T1408" t="str">
        <f>_xlfn.XLOOKUP(Table3[[#This Row],[Cuenta]],Table8[Nombre Cuenta ()],Table8[Nivel 3],"",0)</f>
        <v/>
      </c>
      <c r="U1408">
        <v>368</v>
      </c>
      <c r="V1408" t="str">
        <f>_xlfn.XLOOKUP(Table3[[#This Row],[Cuenta]],Estructura_Balance[Nombre Cuenta ()],Estructura_Balance[Niveles:2],"",0)</f>
        <v/>
      </c>
      <c r="W1408" t="str">
        <f>_xlfn.XLOOKUP(Table3[[#This Row],[Cuenta]],Estructura_Balance[Nombre Cuenta ()],Estructura_Balance[Niveles:3],"",0)</f>
        <v/>
      </c>
      <c r="X1408" t="str">
        <f>_xlfn.XLOOKUP(Table3[[#This Row],[Cuenta]],Estructura_Balance[Nombre Cuenta ()],Estructura_Balance[Grupos],"Grupo 1",0)</f>
        <v>Grupo 1</v>
      </c>
      <c r="Y1408" t="str">
        <f>+Table3[[#This Row],[BS_Nivel_1]]</f>
        <v/>
      </c>
    </row>
    <row r="1409" spans="1:25" ht="15" customHeight="1">
      <c r="A1409">
        <f>+'Libro Diario'!F829</f>
        <v>0</v>
      </c>
      <c r="B1409" s="144">
        <f>VALUE(IF(+'Libro Diario'!G829="","01/01/2025",+'Libro Diario'!G829))</f>
        <v>45658</v>
      </c>
      <c r="C1409">
        <f>IF(ISNUMBER(+IF(IFERROR(VALUE(MID('Libro Diario'!D829,1,4)),0)&lt;&gt;0,'Libro Diario'!D829,0))=FALSE,'Libro Diario'!D829,0)</f>
        <v>0</v>
      </c>
      <c r="D1409" s="145">
        <f>+'Libro Diario'!E829</f>
        <v>0</v>
      </c>
      <c r="E1409" s="139" t="s">
        <v>446</v>
      </c>
      <c r="F1409" t="str">
        <f t="shared" si="63"/>
        <v>Sin Mov.</v>
      </c>
      <c r="G1409" t="str">
        <f>IF(+'Libro Diario'!H829=0,"",+'Libro Diario'!H829)</f>
        <v/>
      </c>
      <c r="H1409" t="str">
        <f>IF(+'Libro Diario'!I829=0,"",+'Libro Diario'!I829)</f>
        <v/>
      </c>
      <c r="I1409" t="str">
        <f>+IF(Table3[[#This Row],[Tipo Movimiento]]="Estructura Balance y PyG","Excluir","Incluir")</f>
        <v>Incluir</v>
      </c>
      <c r="J1409" s="153">
        <f>+IF(Table3[[#This Row],[Sin cuenta]]="Con Mov.",(IF(Table3[[#This Row],[Movimiento]]="Debe",Table3[[#This Row],[Importe]],IF(Table3[[#This Row],[Movimiento]]="Haber",Table3[[#This Row],[Importe]]*-1,0))),0)</f>
        <v>0</v>
      </c>
      <c r="K1409" s="145" t="str">
        <f t="shared" si="64"/>
        <v/>
      </c>
      <c r="L1409" s="145">
        <f t="shared" si="65"/>
        <v>0</v>
      </c>
      <c r="M1409" t="str">
        <f>_xlfn.XLOOKUP(Table3[[#This Row],[Cuenta]],Estructura_Balance[Nombre Cuenta ()],Estructura_Balance[Grupo],"",0)</f>
        <v/>
      </c>
      <c r="N1409" t="str">
        <f>_xlfn.XLOOKUP(Table3[[#This Row],[Cuenta]],Estructura_Balance[Nombre Cuenta ()],Estructura_Balance[Nivel 1],"",0)</f>
        <v/>
      </c>
      <c r="O1409" t="str">
        <f>_xlfn.XLOOKUP(Table3[[#This Row],[Cuenta]],Estructura_Balance[Nombre Cuenta ()],Estructura_Balance[Nivel 2],"",0)</f>
        <v/>
      </c>
      <c r="P1409" t="str">
        <f>_xlfn.XLOOKUP(Table3[[#This Row],[Cuenta]],Estructura_Balance[Nombre Cuenta ()],Estructura_Balance[Nivel 3],"",0)</f>
        <v/>
      </c>
      <c r="Q1409" t="str">
        <f>_xlfn.XLOOKUP(Table3[[#This Row],[Cuenta]],Estructura_Balance[Nombre Cuenta ()],Estructura_Balance[Nivel 4],"",0)</f>
        <v/>
      </c>
      <c r="R1409" t="str">
        <f>_xlfn.XLOOKUP(Table3[[#This Row],[Cuenta]],Table8[Nombre Cuenta ()],Table8[Nivel 1],"",0)</f>
        <v/>
      </c>
      <c r="S1409" t="str">
        <f>_xlfn.XLOOKUP(Table3[[#This Row],[Cuenta]],Table8[Nombre Cuenta ()],Table8[Nivel 2],"",0)</f>
        <v/>
      </c>
      <c r="T1409" t="str">
        <f>_xlfn.XLOOKUP(Table3[[#This Row],[Cuenta]],Table8[Nombre Cuenta ()],Table8[Nivel 3],"",0)</f>
        <v/>
      </c>
      <c r="U1409">
        <v>1365</v>
      </c>
      <c r="V1409" t="str">
        <f>_xlfn.XLOOKUP(Table3[[#This Row],[Cuenta]],Estructura_Balance[Nombre Cuenta ()],Estructura_Balance[Niveles:2],"",0)</f>
        <v/>
      </c>
      <c r="W1409" t="str">
        <f>_xlfn.XLOOKUP(Table3[[#This Row],[Cuenta]],Estructura_Balance[Nombre Cuenta ()],Estructura_Balance[Niveles:3],"",0)</f>
        <v/>
      </c>
      <c r="X1409" t="str">
        <f>_xlfn.XLOOKUP(Table3[[#This Row],[Cuenta]],Estructura_Balance[Nombre Cuenta ()],Estructura_Balance[Grupos],"Grupo 1",0)</f>
        <v>Grupo 1</v>
      </c>
      <c r="Y1409" t="str">
        <f>+Table3[[#This Row],[BS_Nivel_1]]</f>
        <v/>
      </c>
    </row>
    <row r="1410" spans="1:25" ht="15" customHeight="1">
      <c r="A1410">
        <f>+'Libro Diario'!F830</f>
        <v>0</v>
      </c>
      <c r="B1410" s="144">
        <f>VALUE(IF(+'Libro Diario'!G830="","01/01/2025",+'Libro Diario'!G830))</f>
        <v>45658</v>
      </c>
      <c r="C1410">
        <f>IF(ISNUMBER(+IF(IFERROR(VALUE(MID('Libro Diario'!D830,1,4)),0)&lt;&gt;0,'Libro Diario'!D830,0))=FALSE,'Libro Diario'!D830,0)</f>
        <v>0</v>
      </c>
      <c r="D1410" s="145">
        <f>+'Libro Diario'!E830</f>
        <v>0</v>
      </c>
      <c r="E1410" s="139" t="s">
        <v>446</v>
      </c>
      <c r="F1410" t="str">
        <f t="shared" si="63"/>
        <v>Sin Mov.</v>
      </c>
      <c r="G1410" t="str">
        <f>IF(+'Libro Diario'!H830=0,"",+'Libro Diario'!H830)</f>
        <v/>
      </c>
      <c r="H1410" t="str">
        <f>IF(+'Libro Diario'!I830=0,"",+'Libro Diario'!I830)</f>
        <v/>
      </c>
      <c r="I1410" t="str">
        <f>+IF(Table3[[#This Row],[Tipo Movimiento]]="Estructura Balance y PyG","Excluir","Incluir")</f>
        <v>Incluir</v>
      </c>
      <c r="J1410" s="153">
        <f>+IF(Table3[[#This Row],[Sin cuenta]]="Con Mov.",(IF(Table3[[#This Row],[Movimiento]]="Debe",Table3[[#This Row],[Importe]],IF(Table3[[#This Row],[Movimiento]]="Haber",Table3[[#This Row],[Importe]]*-1,0))),0)</f>
        <v>0</v>
      </c>
      <c r="K1410" s="145" t="str">
        <f t="shared" si="64"/>
        <v/>
      </c>
      <c r="L1410" s="145">
        <f t="shared" si="65"/>
        <v>0</v>
      </c>
      <c r="M1410" t="str">
        <f>_xlfn.XLOOKUP(Table3[[#This Row],[Cuenta]],Estructura_Balance[Nombre Cuenta ()],Estructura_Balance[Grupo],"",0)</f>
        <v/>
      </c>
      <c r="N1410" t="str">
        <f>_xlfn.XLOOKUP(Table3[[#This Row],[Cuenta]],Estructura_Balance[Nombre Cuenta ()],Estructura_Balance[Nivel 1],"",0)</f>
        <v/>
      </c>
      <c r="O1410" t="str">
        <f>_xlfn.XLOOKUP(Table3[[#This Row],[Cuenta]],Estructura_Balance[Nombre Cuenta ()],Estructura_Balance[Nivel 2],"",0)</f>
        <v/>
      </c>
      <c r="P1410" t="str">
        <f>_xlfn.XLOOKUP(Table3[[#This Row],[Cuenta]],Estructura_Balance[Nombre Cuenta ()],Estructura_Balance[Nivel 3],"",0)</f>
        <v/>
      </c>
      <c r="Q1410" t="str">
        <f>_xlfn.XLOOKUP(Table3[[#This Row],[Cuenta]],Estructura_Balance[Nombre Cuenta ()],Estructura_Balance[Nivel 4],"",0)</f>
        <v/>
      </c>
      <c r="R1410" t="str">
        <f>_xlfn.XLOOKUP(Table3[[#This Row],[Cuenta]],Table8[Nombre Cuenta ()],Table8[Nivel 1],"",0)</f>
        <v/>
      </c>
      <c r="S1410" t="str">
        <f>_xlfn.XLOOKUP(Table3[[#This Row],[Cuenta]],Table8[Nombre Cuenta ()],Table8[Nivel 2],"",0)</f>
        <v/>
      </c>
      <c r="T1410" t="str">
        <f>_xlfn.XLOOKUP(Table3[[#This Row],[Cuenta]],Table8[Nombre Cuenta ()],Table8[Nivel 3],"",0)</f>
        <v/>
      </c>
      <c r="U1410">
        <v>1366</v>
      </c>
      <c r="V1410" t="str">
        <f>_xlfn.XLOOKUP(Table3[[#This Row],[Cuenta]],Estructura_Balance[Nombre Cuenta ()],Estructura_Balance[Niveles:2],"",0)</f>
        <v/>
      </c>
      <c r="W1410" t="str">
        <f>_xlfn.XLOOKUP(Table3[[#This Row],[Cuenta]],Estructura_Balance[Nombre Cuenta ()],Estructura_Balance[Niveles:3],"",0)</f>
        <v/>
      </c>
      <c r="X1410" t="str">
        <f>_xlfn.XLOOKUP(Table3[[#This Row],[Cuenta]],Estructura_Balance[Nombre Cuenta ()],Estructura_Balance[Grupos],"Grupo 1",0)</f>
        <v>Grupo 1</v>
      </c>
      <c r="Y1410" t="str">
        <f>+Table3[[#This Row],[BS_Nivel_1]]</f>
        <v/>
      </c>
    </row>
    <row r="1411" spans="1:25" ht="15" customHeight="1">
      <c r="A1411">
        <f>+'Libro Diario'!F831</f>
        <v>0</v>
      </c>
      <c r="B1411" s="144">
        <f>VALUE(IF(+'Libro Diario'!G831="","01/01/2025",+'Libro Diario'!G831))</f>
        <v>45658</v>
      </c>
      <c r="C1411">
        <f>IF(ISNUMBER(+IF(IFERROR(VALUE(MID('Libro Diario'!D831,1,4)),0)&lt;&gt;0,'Libro Diario'!D831,0))=FALSE,'Libro Diario'!D831,0)</f>
        <v>0</v>
      </c>
      <c r="D1411" s="145">
        <f>+'Libro Diario'!E831</f>
        <v>0</v>
      </c>
      <c r="E1411" s="139" t="s">
        <v>446</v>
      </c>
      <c r="F1411" t="str">
        <f t="shared" ref="F1411:F1474" si="66">+IF(C1411=0,"Sin Mov.","Con Mov.")</f>
        <v>Sin Mov.</v>
      </c>
      <c r="G1411" t="str">
        <f>IF(+'Libro Diario'!H831=0,"",+'Libro Diario'!H831)</f>
        <v/>
      </c>
      <c r="H1411" t="str">
        <f>IF(+'Libro Diario'!I831=0,"",+'Libro Diario'!I831)</f>
        <v/>
      </c>
      <c r="I1411" t="str">
        <f>+IF(Table3[[#This Row],[Tipo Movimiento]]="Estructura Balance y PyG","Excluir","Incluir")</f>
        <v>Incluir</v>
      </c>
      <c r="J1411" s="153">
        <f>+IF(Table3[[#This Row],[Sin cuenta]]="Con Mov.",(IF(Table3[[#This Row],[Movimiento]]="Debe",Table3[[#This Row],[Importe]],IF(Table3[[#This Row],[Movimiento]]="Haber",Table3[[#This Row],[Importe]]*-1,0))),0)</f>
        <v>0</v>
      </c>
      <c r="K1411" s="145" t="str">
        <f t="shared" ref="K1411:K1474" si="67">+IF(E1411="Debe",D1411,"")</f>
        <v/>
      </c>
      <c r="L1411" s="145">
        <f t="shared" ref="L1411:L1474" si="68">+IF(E1411="Haber",D1411,"")</f>
        <v>0</v>
      </c>
      <c r="M1411" t="str">
        <f>_xlfn.XLOOKUP(Table3[[#This Row],[Cuenta]],Estructura_Balance[Nombre Cuenta ()],Estructura_Balance[Grupo],"",0)</f>
        <v/>
      </c>
      <c r="N1411" t="str">
        <f>_xlfn.XLOOKUP(Table3[[#This Row],[Cuenta]],Estructura_Balance[Nombre Cuenta ()],Estructura_Balance[Nivel 1],"",0)</f>
        <v/>
      </c>
      <c r="O1411" t="str">
        <f>_xlfn.XLOOKUP(Table3[[#This Row],[Cuenta]],Estructura_Balance[Nombre Cuenta ()],Estructura_Balance[Nivel 2],"",0)</f>
        <v/>
      </c>
      <c r="P1411" t="str">
        <f>_xlfn.XLOOKUP(Table3[[#This Row],[Cuenta]],Estructura_Balance[Nombre Cuenta ()],Estructura_Balance[Nivel 3],"",0)</f>
        <v/>
      </c>
      <c r="Q1411" t="str">
        <f>_xlfn.XLOOKUP(Table3[[#This Row],[Cuenta]],Estructura_Balance[Nombre Cuenta ()],Estructura_Balance[Nivel 4],"",0)</f>
        <v/>
      </c>
      <c r="R1411" t="str">
        <f>_xlfn.XLOOKUP(Table3[[#This Row],[Cuenta]],Table8[Nombre Cuenta ()],Table8[Nivel 1],"",0)</f>
        <v/>
      </c>
      <c r="S1411" t="str">
        <f>_xlfn.XLOOKUP(Table3[[#This Row],[Cuenta]],Table8[Nombre Cuenta ()],Table8[Nivel 2],"",0)</f>
        <v/>
      </c>
      <c r="T1411" t="str">
        <f>_xlfn.XLOOKUP(Table3[[#This Row],[Cuenta]],Table8[Nombre Cuenta ()],Table8[Nivel 3],"",0)</f>
        <v/>
      </c>
      <c r="U1411">
        <v>374</v>
      </c>
      <c r="V1411" t="str">
        <f>_xlfn.XLOOKUP(Table3[[#This Row],[Cuenta]],Estructura_Balance[Nombre Cuenta ()],Estructura_Balance[Niveles:2],"",0)</f>
        <v/>
      </c>
      <c r="W1411" t="str">
        <f>_xlfn.XLOOKUP(Table3[[#This Row],[Cuenta]],Estructura_Balance[Nombre Cuenta ()],Estructura_Balance[Niveles:3],"",0)</f>
        <v/>
      </c>
      <c r="X1411" t="str">
        <f>_xlfn.XLOOKUP(Table3[[#This Row],[Cuenta]],Estructura_Balance[Nombre Cuenta ()],Estructura_Balance[Grupos],"Grupo 1",0)</f>
        <v>Grupo 1</v>
      </c>
      <c r="Y1411" t="str">
        <f>+Table3[[#This Row],[BS_Nivel_1]]</f>
        <v/>
      </c>
    </row>
    <row r="1412" spans="1:25" ht="15" customHeight="1">
      <c r="A1412">
        <f>+'Libro Diario'!F832</f>
        <v>0</v>
      </c>
      <c r="B1412" s="144">
        <f>VALUE(IF(+'Libro Diario'!G832="","01/01/2025",+'Libro Diario'!G832))</f>
        <v>45658</v>
      </c>
      <c r="C1412">
        <f>IF(ISNUMBER(+IF(IFERROR(VALUE(MID('Libro Diario'!D832,1,4)),0)&lt;&gt;0,'Libro Diario'!D832,0))=FALSE,'Libro Diario'!D832,0)</f>
        <v>0</v>
      </c>
      <c r="D1412" s="145">
        <f>+'Libro Diario'!E832</f>
        <v>0</v>
      </c>
      <c r="E1412" s="139" t="s">
        <v>446</v>
      </c>
      <c r="F1412" t="str">
        <f t="shared" si="66"/>
        <v>Sin Mov.</v>
      </c>
      <c r="G1412" t="str">
        <f>IF(+'Libro Diario'!H832=0,"",+'Libro Diario'!H832)</f>
        <v/>
      </c>
      <c r="H1412" t="str">
        <f>IF(+'Libro Diario'!I832=0,"",+'Libro Diario'!I832)</f>
        <v/>
      </c>
      <c r="I1412" t="str">
        <f>+IF(Table3[[#This Row],[Tipo Movimiento]]="Estructura Balance y PyG","Excluir","Incluir")</f>
        <v>Incluir</v>
      </c>
      <c r="J1412" s="153">
        <f>+IF(Table3[[#This Row],[Sin cuenta]]="Con Mov.",(IF(Table3[[#This Row],[Movimiento]]="Debe",Table3[[#This Row],[Importe]],IF(Table3[[#This Row],[Movimiento]]="Haber",Table3[[#This Row],[Importe]]*-1,0))),0)</f>
        <v>0</v>
      </c>
      <c r="K1412" s="145" t="str">
        <f t="shared" si="67"/>
        <v/>
      </c>
      <c r="L1412" s="145">
        <f t="shared" si="68"/>
        <v>0</v>
      </c>
      <c r="M1412" t="str">
        <f>_xlfn.XLOOKUP(Table3[[#This Row],[Cuenta]],Estructura_Balance[Nombre Cuenta ()],Estructura_Balance[Grupo],"",0)</f>
        <v/>
      </c>
      <c r="N1412" t="str">
        <f>_xlfn.XLOOKUP(Table3[[#This Row],[Cuenta]],Estructura_Balance[Nombre Cuenta ()],Estructura_Balance[Nivel 1],"",0)</f>
        <v/>
      </c>
      <c r="O1412" t="str">
        <f>_xlfn.XLOOKUP(Table3[[#This Row],[Cuenta]],Estructura_Balance[Nombre Cuenta ()],Estructura_Balance[Nivel 2],"",0)</f>
        <v/>
      </c>
      <c r="P1412" t="str">
        <f>_xlfn.XLOOKUP(Table3[[#This Row],[Cuenta]],Estructura_Balance[Nombre Cuenta ()],Estructura_Balance[Nivel 3],"",0)</f>
        <v/>
      </c>
      <c r="Q1412" t="str">
        <f>_xlfn.XLOOKUP(Table3[[#This Row],[Cuenta]],Estructura_Balance[Nombre Cuenta ()],Estructura_Balance[Nivel 4],"",0)</f>
        <v/>
      </c>
      <c r="R1412" t="str">
        <f>_xlfn.XLOOKUP(Table3[[#This Row],[Cuenta]],Table8[Nombre Cuenta ()],Table8[Nivel 1],"",0)</f>
        <v/>
      </c>
      <c r="S1412" t="str">
        <f>_xlfn.XLOOKUP(Table3[[#This Row],[Cuenta]],Table8[Nombre Cuenta ()],Table8[Nivel 2],"",0)</f>
        <v/>
      </c>
      <c r="T1412" t="str">
        <f>_xlfn.XLOOKUP(Table3[[#This Row],[Cuenta]],Table8[Nombre Cuenta ()],Table8[Nivel 3],"",0)</f>
        <v/>
      </c>
      <c r="U1412">
        <v>375</v>
      </c>
      <c r="V1412" t="str">
        <f>_xlfn.XLOOKUP(Table3[[#This Row],[Cuenta]],Estructura_Balance[Nombre Cuenta ()],Estructura_Balance[Niveles:2],"",0)</f>
        <v/>
      </c>
      <c r="W1412" t="str">
        <f>_xlfn.XLOOKUP(Table3[[#This Row],[Cuenta]],Estructura_Balance[Nombre Cuenta ()],Estructura_Balance[Niveles:3],"",0)</f>
        <v/>
      </c>
      <c r="X1412" t="str">
        <f>_xlfn.XLOOKUP(Table3[[#This Row],[Cuenta]],Estructura_Balance[Nombre Cuenta ()],Estructura_Balance[Grupos],"Grupo 1",0)</f>
        <v>Grupo 1</v>
      </c>
      <c r="Y1412" t="str">
        <f>+Table3[[#This Row],[BS_Nivel_1]]</f>
        <v/>
      </c>
    </row>
    <row r="1413" spans="1:25" ht="15" customHeight="1">
      <c r="A1413">
        <f>+'Libro Diario'!F833</f>
        <v>0</v>
      </c>
      <c r="B1413" s="144">
        <f>VALUE(IF(+'Libro Diario'!G833="","01/01/2025",+'Libro Diario'!G833))</f>
        <v>45658</v>
      </c>
      <c r="C1413">
        <f>IF(ISNUMBER(+IF(IFERROR(VALUE(MID('Libro Diario'!D833,1,4)),0)&lt;&gt;0,'Libro Diario'!D833,0))=FALSE,'Libro Diario'!D833,0)</f>
        <v>0</v>
      </c>
      <c r="D1413" s="145">
        <f>+'Libro Diario'!E833</f>
        <v>0</v>
      </c>
      <c r="E1413" s="139" t="s">
        <v>446</v>
      </c>
      <c r="F1413" t="str">
        <f t="shared" si="66"/>
        <v>Sin Mov.</v>
      </c>
      <c r="G1413" t="str">
        <f>IF(+'Libro Diario'!H833=0,"",+'Libro Diario'!H833)</f>
        <v/>
      </c>
      <c r="H1413" t="str">
        <f>IF(+'Libro Diario'!I833=0,"",+'Libro Diario'!I833)</f>
        <v/>
      </c>
      <c r="I1413" t="str">
        <f>+IF(Table3[[#This Row],[Tipo Movimiento]]="Estructura Balance y PyG","Excluir","Incluir")</f>
        <v>Incluir</v>
      </c>
      <c r="J1413" s="153">
        <f>+IF(Table3[[#This Row],[Sin cuenta]]="Con Mov.",(IF(Table3[[#This Row],[Movimiento]]="Debe",Table3[[#This Row],[Importe]],IF(Table3[[#This Row],[Movimiento]]="Haber",Table3[[#This Row],[Importe]]*-1,0))),0)</f>
        <v>0</v>
      </c>
      <c r="K1413" s="145" t="str">
        <f t="shared" si="67"/>
        <v/>
      </c>
      <c r="L1413" s="145">
        <f t="shared" si="68"/>
        <v>0</v>
      </c>
      <c r="M1413" t="str">
        <f>_xlfn.XLOOKUP(Table3[[#This Row],[Cuenta]],Estructura_Balance[Nombre Cuenta ()],Estructura_Balance[Grupo],"",0)</f>
        <v/>
      </c>
      <c r="N1413" t="str">
        <f>_xlfn.XLOOKUP(Table3[[#This Row],[Cuenta]],Estructura_Balance[Nombre Cuenta ()],Estructura_Balance[Nivel 1],"",0)</f>
        <v/>
      </c>
      <c r="O1413" t="str">
        <f>_xlfn.XLOOKUP(Table3[[#This Row],[Cuenta]],Estructura_Balance[Nombre Cuenta ()],Estructura_Balance[Nivel 2],"",0)</f>
        <v/>
      </c>
      <c r="P1413" t="str">
        <f>_xlfn.XLOOKUP(Table3[[#This Row],[Cuenta]],Estructura_Balance[Nombre Cuenta ()],Estructura_Balance[Nivel 3],"",0)</f>
        <v/>
      </c>
      <c r="Q1413" t="str">
        <f>_xlfn.XLOOKUP(Table3[[#This Row],[Cuenta]],Estructura_Balance[Nombre Cuenta ()],Estructura_Balance[Nivel 4],"",0)</f>
        <v/>
      </c>
      <c r="R1413" t="str">
        <f>_xlfn.XLOOKUP(Table3[[#This Row],[Cuenta]],Table8[Nombre Cuenta ()],Table8[Nivel 1],"",0)</f>
        <v/>
      </c>
      <c r="S1413" t="str">
        <f>_xlfn.XLOOKUP(Table3[[#This Row],[Cuenta]],Table8[Nombre Cuenta ()],Table8[Nivel 2],"",0)</f>
        <v/>
      </c>
      <c r="T1413" t="str">
        <f>_xlfn.XLOOKUP(Table3[[#This Row],[Cuenta]],Table8[Nombre Cuenta ()],Table8[Nivel 3],"",0)</f>
        <v/>
      </c>
      <c r="U1413">
        <v>1372</v>
      </c>
      <c r="V1413" t="str">
        <f>_xlfn.XLOOKUP(Table3[[#This Row],[Cuenta]],Estructura_Balance[Nombre Cuenta ()],Estructura_Balance[Niveles:2],"",0)</f>
        <v/>
      </c>
      <c r="W1413" t="str">
        <f>_xlfn.XLOOKUP(Table3[[#This Row],[Cuenta]],Estructura_Balance[Nombre Cuenta ()],Estructura_Balance[Niveles:3],"",0)</f>
        <v/>
      </c>
      <c r="X1413" t="str">
        <f>_xlfn.XLOOKUP(Table3[[#This Row],[Cuenta]],Estructura_Balance[Nombre Cuenta ()],Estructura_Balance[Grupos],"Grupo 1",0)</f>
        <v>Grupo 1</v>
      </c>
      <c r="Y1413" t="str">
        <f>+Table3[[#This Row],[BS_Nivel_1]]</f>
        <v/>
      </c>
    </row>
    <row r="1414" spans="1:25" ht="15" customHeight="1">
      <c r="A1414">
        <f>+'Libro Diario'!F834</f>
        <v>0</v>
      </c>
      <c r="B1414" s="144">
        <f>VALUE(IF(+'Libro Diario'!G834="","01/01/2025",+'Libro Diario'!G834))</f>
        <v>45658</v>
      </c>
      <c r="C1414">
        <f>IF(ISNUMBER(+IF(IFERROR(VALUE(MID('Libro Diario'!D834,1,4)),0)&lt;&gt;0,'Libro Diario'!D834,0))=FALSE,'Libro Diario'!D834,0)</f>
        <v>0</v>
      </c>
      <c r="D1414" s="145">
        <f>+'Libro Diario'!E834</f>
        <v>0</v>
      </c>
      <c r="E1414" s="139" t="s">
        <v>446</v>
      </c>
      <c r="F1414" t="str">
        <f t="shared" si="66"/>
        <v>Sin Mov.</v>
      </c>
      <c r="G1414" t="str">
        <f>IF(+'Libro Diario'!H834=0,"",+'Libro Diario'!H834)</f>
        <v/>
      </c>
      <c r="H1414" t="str">
        <f>IF(+'Libro Diario'!I834=0,"",+'Libro Diario'!I834)</f>
        <v/>
      </c>
      <c r="I1414" t="str">
        <f>+IF(Table3[[#This Row],[Tipo Movimiento]]="Estructura Balance y PyG","Excluir","Incluir")</f>
        <v>Incluir</v>
      </c>
      <c r="J1414" s="153">
        <f>+IF(Table3[[#This Row],[Sin cuenta]]="Con Mov.",(IF(Table3[[#This Row],[Movimiento]]="Debe",Table3[[#This Row],[Importe]],IF(Table3[[#This Row],[Movimiento]]="Haber",Table3[[#This Row],[Importe]]*-1,0))),0)</f>
        <v>0</v>
      </c>
      <c r="K1414" s="145" t="str">
        <f t="shared" si="67"/>
        <v/>
      </c>
      <c r="L1414" s="145">
        <f t="shared" si="68"/>
        <v>0</v>
      </c>
      <c r="M1414" t="str">
        <f>_xlfn.XLOOKUP(Table3[[#This Row],[Cuenta]],Estructura_Balance[Nombre Cuenta ()],Estructura_Balance[Grupo],"",0)</f>
        <v/>
      </c>
      <c r="N1414" t="str">
        <f>_xlfn.XLOOKUP(Table3[[#This Row],[Cuenta]],Estructura_Balance[Nombre Cuenta ()],Estructura_Balance[Nivel 1],"",0)</f>
        <v/>
      </c>
      <c r="O1414" t="str">
        <f>_xlfn.XLOOKUP(Table3[[#This Row],[Cuenta]],Estructura_Balance[Nombre Cuenta ()],Estructura_Balance[Nivel 2],"",0)</f>
        <v/>
      </c>
      <c r="P1414" t="str">
        <f>_xlfn.XLOOKUP(Table3[[#This Row],[Cuenta]],Estructura_Balance[Nombre Cuenta ()],Estructura_Balance[Nivel 3],"",0)</f>
        <v/>
      </c>
      <c r="Q1414" t="str">
        <f>_xlfn.XLOOKUP(Table3[[#This Row],[Cuenta]],Estructura_Balance[Nombre Cuenta ()],Estructura_Balance[Nivel 4],"",0)</f>
        <v/>
      </c>
      <c r="R1414" t="str">
        <f>_xlfn.XLOOKUP(Table3[[#This Row],[Cuenta]],Table8[Nombre Cuenta ()],Table8[Nivel 1],"",0)</f>
        <v/>
      </c>
      <c r="S1414" t="str">
        <f>_xlfn.XLOOKUP(Table3[[#This Row],[Cuenta]],Table8[Nombre Cuenta ()],Table8[Nivel 2],"",0)</f>
        <v/>
      </c>
      <c r="T1414" t="str">
        <f>_xlfn.XLOOKUP(Table3[[#This Row],[Cuenta]],Table8[Nombre Cuenta ()],Table8[Nivel 3],"",0)</f>
        <v/>
      </c>
      <c r="U1414">
        <v>1373</v>
      </c>
      <c r="V1414" t="str">
        <f>_xlfn.XLOOKUP(Table3[[#This Row],[Cuenta]],Estructura_Balance[Nombre Cuenta ()],Estructura_Balance[Niveles:2],"",0)</f>
        <v/>
      </c>
      <c r="W1414" t="str">
        <f>_xlfn.XLOOKUP(Table3[[#This Row],[Cuenta]],Estructura_Balance[Nombre Cuenta ()],Estructura_Balance[Niveles:3],"",0)</f>
        <v/>
      </c>
      <c r="X1414" t="str">
        <f>_xlfn.XLOOKUP(Table3[[#This Row],[Cuenta]],Estructura_Balance[Nombre Cuenta ()],Estructura_Balance[Grupos],"Grupo 1",0)</f>
        <v>Grupo 1</v>
      </c>
      <c r="Y1414" t="str">
        <f>+Table3[[#This Row],[BS_Nivel_1]]</f>
        <v/>
      </c>
    </row>
    <row r="1415" spans="1:25" ht="15" customHeight="1">
      <c r="A1415">
        <f>+'Libro Diario'!F835</f>
        <v>0</v>
      </c>
      <c r="B1415" s="144">
        <f>VALUE(IF(+'Libro Diario'!G835="","01/01/2025",+'Libro Diario'!G835))</f>
        <v>45658</v>
      </c>
      <c r="C1415">
        <f>IF(ISNUMBER(+IF(IFERROR(VALUE(MID('Libro Diario'!D835,1,4)),0)&lt;&gt;0,'Libro Diario'!D835,0))=FALSE,'Libro Diario'!D835,0)</f>
        <v>0</v>
      </c>
      <c r="D1415" s="145">
        <f>+'Libro Diario'!E835</f>
        <v>0</v>
      </c>
      <c r="E1415" s="139" t="s">
        <v>446</v>
      </c>
      <c r="F1415" t="str">
        <f t="shared" si="66"/>
        <v>Sin Mov.</v>
      </c>
      <c r="G1415" t="str">
        <f>IF(+'Libro Diario'!H835=0,"",+'Libro Diario'!H835)</f>
        <v/>
      </c>
      <c r="H1415" t="str">
        <f>IF(+'Libro Diario'!I835=0,"",+'Libro Diario'!I835)</f>
        <v/>
      </c>
      <c r="I1415" t="str">
        <f>+IF(Table3[[#This Row],[Tipo Movimiento]]="Estructura Balance y PyG","Excluir","Incluir")</f>
        <v>Incluir</v>
      </c>
      <c r="J1415" s="153">
        <f>+IF(Table3[[#This Row],[Sin cuenta]]="Con Mov.",(IF(Table3[[#This Row],[Movimiento]]="Debe",Table3[[#This Row],[Importe]],IF(Table3[[#This Row],[Movimiento]]="Haber",Table3[[#This Row],[Importe]]*-1,0))),0)</f>
        <v>0</v>
      </c>
      <c r="K1415" s="145" t="str">
        <f t="shared" si="67"/>
        <v/>
      </c>
      <c r="L1415" s="145">
        <f t="shared" si="68"/>
        <v>0</v>
      </c>
      <c r="M1415" t="str">
        <f>_xlfn.XLOOKUP(Table3[[#This Row],[Cuenta]],Estructura_Balance[Nombre Cuenta ()],Estructura_Balance[Grupo],"",0)</f>
        <v/>
      </c>
      <c r="N1415" t="str">
        <f>_xlfn.XLOOKUP(Table3[[#This Row],[Cuenta]],Estructura_Balance[Nombre Cuenta ()],Estructura_Balance[Nivel 1],"",0)</f>
        <v/>
      </c>
      <c r="O1415" t="str">
        <f>_xlfn.XLOOKUP(Table3[[#This Row],[Cuenta]],Estructura_Balance[Nombre Cuenta ()],Estructura_Balance[Nivel 2],"",0)</f>
        <v/>
      </c>
      <c r="P1415" t="str">
        <f>_xlfn.XLOOKUP(Table3[[#This Row],[Cuenta]],Estructura_Balance[Nombre Cuenta ()],Estructura_Balance[Nivel 3],"",0)</f>
        <v/>
      </c>
      <c r="Q1415" t="str">
        <f>_xlfn.XLOOKUP(Table3[[#This Row],[Cuenta]],Estructura_Balance[Nombre Cuenta ()],Estructura_Balance[Nivel 4],"",0)</f>
        <v/>
      </c>
      <c r="R1415" t="str">
        <f>_xlfn.XLOOKUP(Table3[[#This Row],[Cuenta]],Table8[Nombre Cuenta ()],Table8[Nivel 1],"",0)</f>
        <v/>
      </c>
      <c r="S1415" t="str">
        <f>_xlfn.XLOOKUP(Table3[[#This Row],[Cuenta]],Table8[Nombre Cuenta ()],Table8[Nivel 2],"",0)</f>
        <v/>
      </c>
      <c r="T1415" t="str">
        <f>_xlfn.XLOOKUP(Table3[[#This Row],[Cuenta]],Table8[Nombre Cuenta ()],Table8[Nivel 3],"",0)</f>
        <v/>
      </c>
      <c r="U1415">
        <v>381</v>
      </c>
      <c r="V1415" t="str">
        <f>_xlfn.XLOOKUP(Table3[[#This Row],[Cuenta]],Estructura_Balance[Nombre Cuenta ()],Estructura_Balance[Niveles:2],"",0)</f>
        <v/>
      </c>
      <c r="W1415" t="str">
        <f>_xlfn.XLOOKUP(Table3[[#This Row],[Cuenta]],Estructura_Balance[Nombre Cuenta ()],Estructura_Balance[Niveles:3],"",0)</f>
        <v/>
      </c>
      <c r="X1415" t="str">
        <f>_xlfn.XLOOKUP(Table3[[#This Row],[Cuenta]],Estructura_Balance[Nombre Cuenta ()],Estructura_Balance[Grupos],"Grupo 1",0)</f>
        <v>Grupo 1</v>
      </c>
      <c r="Y1415" t="str">
        <f>+Table3[[#This Row],[BS_Nivel_1]]</f>
        <v/>
      </c>
    </row>
    <row r="1416" spans="1:25" ht="15" customHeight="1">
      <c r="A1416">
        <f>+'Libro Diario'!F836</f>
        <v>0</v>
      </c>
      <c r="B1416" s="144">
        <f>VALUE(IF(+'Libro Diario'!G836="","01/01/2025",+'Libro Diario'!G836))</f>
        <v>45658</v>
      </c>
      <c r="C1416">
        <f>IF(ISNUMBER(+IF(IFERROR(VALUE(MID('Libro Diario'!D836,1,4)),0)&lt;&gt;0,'Libro Diario'!D836,0))=FALSE,'Libro Diario'!D836,0)</f>
        <v>0</v>
      </c>
      <c r="D1416" s="145">
        <f>+'Libro Diario'!E836</f>
        <v>0</v>
      </c>
      <c r="E1416" s="139" t="s">
        <v>446</v>
      </c>
      <c r="F1416" t="str">
        <f t="shared" si="66"/>
        <v>Sin Mov.</v>
      </c>
      <c r="G1416" t="str">
        <f>IF(+'Libro Diario'!H836=0,"",+'Libro Diario'!H836)</f>
        <v/>
      </c>
      <c r="H1416" t="str">
        <f>IF(+'Libro Diario'!I836=0,"",+'Libro Diario'!I836)</f>
        <v/>
      </c>
      <c r="I1416" t="str">
        <f>+IF(Table3[[#This Row],[Tipo Movimiento]]="Estructura Balance y PyG","Excluir","Incluir")</f>
        <v>Incluir</v>
      </c>
      <c r="J1416" s="153">
        <f>+IF(Table3[[#This Row],[Sin cuenta]]="Con Mov.",(IF(Table3[[#This Row],[Movimiento]]="Debe",Table3[[#This Row],[Importe]],IF(Table3[[#This Row],[Movimiento]]="Haber",Table3[[#This Row],[Importe]]*-1,0))),0)</f>
        <v>0</v>
      </c>
      <c r="K1416" s="145" t="str">
        <f t="shared" si="67"/>
        <v/>
      </c>
      <c r="L1416" s="145">
        <f t="shared" si="68"/>
        <v>0</v>
      </c>
      <c r="M1416" t="str">
        <f>_xlfn.XLOOKUP(Table3[[#This Row],[Cuenta]],Estructura_Balance[Nombre Cuenta ()],Estructura_Balance[Grupo],"",0)</f>
        <v/>
      </c>
      <c r="N1416" t="str">
        <f>_xlfn.XLOOKUP(Table3[[#This Row],[Cuenta]],Estructura_Balance[Nombre Cuenta ()],Estructura_Balance[Nivel 1],"",0)</f>
        <v/>
      </c>
      <c r="O1416" t="str">
        <f>_xlfn.XLOOKUP(Table3[[#This Row],[Cuenta]],Estructura_Balance[Nombre Cuenta ()],Estructura_Balance[Nivel 2],"",0)</f>
        <v/>
      </c>
      <c r="P1416" t="str">
        <f>_xlfn.XLOOKUP(Table3[[#This Row],[Cuenta]],Estructura_Balance[Nombre Cuenta ()],Estructura_Balance[Nivel 3],"",0)</f>
        <v/>
      </c>
      <c r="Q1416" t="str">
        <f>_xlfn.XLOOKUP(Table3[[#This Row],[Cuenta]],Estructura_Balance[Nombre Cuenta ()],Estructura_Balance[Nivel 4],"",0)</f>
        <v/>
      </c>
      <c r="R1416" t="str">
        <f>_xlfn.XLOOKUP(Table3[[#This Row],[Cuenta]],Table8[Nombre Cuenta ()],Table8[Nivel 1],"",0)</f>
        <v/>
      </c>
      <c r="S1416" t="str">
        <f>_xlfn.XLOOKUP(Table3[[#This Row],[Cuenta]],Table8[Nombre Cuenta ()],Table8[Nivel 2],"",0)</f>
        <v/>
      </c>
      <c r="T1416" t="str">
        <f>_xlfn.XLOOKUP(Table3[[#This Row],[Cuenta]],Table8[Nombre Cuenta ()],Table8[Nivel 3],"",0)</f>
        <v/>
      </c>
      <c r="U1416">
        <v>382</v>
      </c>
      <c r="V1416" t="str">
        <f>_xlfn.XLOOKUP(Table3[[#This Row],[Cuenta]],Estructura_Balance[Nombre Cuenta ()],Estructura_Balance[Niveles:2],"",0)</f>
        <v/>
      </c>
      <c r="W1416" t="str">
        <f>_xlfn.XLOOKUP(Table3[[#This Row],[Cuenta]],Estructura_Balance[Nombre Cuenta ()],Estructura_Balance[Niveles:3],"",0)</f>
        <v/>
      </c>
      <c r="X1416" t="str">
        <f>_xlfn.XLOOKUP(Table3[[#This Row],[Cuenta]],Estructura_Balance[Nombre Cuenta ()],Estructura_Balance[Grupos],"Grupo 1",0)</f>
        <v>Grupo 1</v>
      </c>
      <c r="Y1416" t="str">
        <f>+Table3[[#This Row],[BS_Nivel_1]]</f>
        <v/>
      </c>
    </row>
    <row r="1417" spans="1:25" ht="15" customHeight="1">
      <c r="A1417">
        <f>+'Libro Diario'!F837</f>
        <v>0</v>
      </c>
      <c r="B1417" s="144">
        <f>VALUE(IF(+'Libro Diario'!G837="","01/01/2025",+'Libro Diario'!G837))</f>
        <v>45658</v>
      </c>
      <c r="C1417">
        <f>IF(ISNUMBER(+IF(IFERROR(VALUE(MID('Libro Diario'!D837,1,4)),0)&lt;&gt;0,'Libro Diario'!D837,0))=FALSE,'Libro Diario'!D837,0)</f>
        <v>0</v>
      </c>
      <c r="D1417" s="145">
        <f>+'Libro Diario'!E837</f>
        <v>0</v>
      </c>
      <c r="E1417" s="139" t="s">
        <v>446</v>
      </c>
      <c r="F1417" t="str">
        <f t="shared" si="66"/>
        <v>Sin Mov.</v>
      </c>
      <c r="G1417" t="str">
        <f>IF(+'Libro Diario'!H837=0,"",+'Libro Diario'!H837)</f>
        <v/>
      </c>
      <c r="H1417" t="str">
        <f>IF(+'Libro Diario'!I837=0,"",+'Libro Diario'!I837)</f>
        <v/>
      </c>
      <c r="I1417" t="str">
        <f>+IF(Table3[[#This Row],[Tipo Movimiento]]="Estructura Balance y PyG","Excluir","Incluir")</f>
        <v>Incluir</v>
      </c>
      <c r="J1417" s="153">
        <f>+IF(Table3[[#This Row],[Sin cuenta]]="Con Mov.",(IF(Table3[[#This Row],[Movimiento]]="Debe",Table3[[#This Row],[Importe]],IF(Table3[[#This Row],[Movimiento]]="Haber",Table3[[#This Row],[Importe]]*-1,0))),0)</f>
        <v>0</v>
      </c>
      <c r="K1417" s="145" t="str">
        <f t="shared" si="67"/>
        <v/>
      </c>
      <c r="L1417" s="145">
        <f t="shared" si="68"/>
        <v>0</v>
      </c>
      <c r="M1417" t="str">
        <f>_xlfn.XLOOKUP(Table3[[#This Row],[Cuenta]],Estructura_Balance[Nombre Cuenta ()],Estructura_Balance[Grupo],"",0)</f>
        <v/>
      </c>
      <c r="N1417" t="str">
        <f>_xlfn.XLOOKUP(Table3[[#This Row],[Cuenta]],Estructura_Balance[Nombre Cuenta ()],Estructura_Balance[Nivel 1],"",0)</f>
        <v/>
      </c>
      <c r="O1417" t="str">
        <f>_xlfn.XLOOKUP(Table3[[#This Row],[Cuenta]],Estructura_Balance[Nombre Cuenta ()],Estructura_Balance[Nivel 2],"",0)</f>
        <v/>
      </c>
      <c r="P1417" t="str">
        <f>_xlfn.XLOOKUP(Table3[[#This Row],[Cuenta]],Estructura_Balance[Nombre Cuenta ()],Estructura_Balance[Nivel 3],"",0)</f>
        <v/>
      </c>
      <c r="Q1417" t="str">
        <f>_xlfn.XLOOKUP(Table3[[#This Row],[Cuenta]],Estructura_Balance[Nombre Cuenta ()],Estructura_Balance[Nivel 4],"",0)</f>
        <v/>
      </c>
      <c r="R1417" t="str">
        <f>_xlfn.XLOOKUP(Table3[[#This Row],[Cuenta]],Table8[Nombre Cuenta ()],Table8[Nivel 1],"",0)</f>
        <v/>
      </c>
      <c r="S1417" t="str">
        <f>_xlfn.XLOOKUP(Table3[[#This Row],[Cuenta]],Table8[Nombre Cuenta ()],Table8[Nivel 2],"",0)</f>
        <v/>
      </c>
      <c r="T1417" t="str">
        <f>_xlfn.XLOOKUP(Table3[[#This Row],[Cuenta]],Table8[Nombre Cuenta ()],Table8[Nivel 3],"",0)</f>
        <v/>
      </c>
      <c r="U1417">
        <v>1379</v>
      </c>
      <c r="V1417" t="str">
        <f>_xlfn.XLOOKUP(Table3[[#This Row],[Cuenta]],Estructura_Balance[Nombre Cuenta ()],Estructura_Balance[Niveles:2],"",0)</f>
        <v/>
      </c>
      <c r="W1417" t="str">
        <f>_xlfn.XLOOKUP(Table3[[#This Row],[Cuenta]],Estructura_Balance[Nombre Cuenta ()],Estructura_Balance[Niveles:3],"",0)</f>
        <v/>
      </c>
      <c r="X1417" t="str">
        <f>_xlfn.XLOOKUP(Table3[[#This Row],[Cuenta]],Estructura_Balance[Nombre Cuenta ()],Estructura_Balance[Grupos],"Grupo 1",0)</f>
        <v>Grupo 1</v>
      </c>
      <c r="Y1417" t="str">
        <f>+Table3[[#This Row],[BS_Nivel_1]]</f>
        <v/>
      </c>
    </row>
    <row r="1418" spans="1:25" ht="15" customHeight="1">
      <c r="A1418">
        <f>+'Libro Diario'!F838</f>
        <v>0</v>
      </c>
      <c r="B1418" s="144">
        <f>VALUE(IF(+'Libro Diario'!G838="","01/01/2025",+'Libro Diario'!G838))</f>
        <v>45658</v>
      </c>
      <c r="C1418">
        <f>IF(ISNUMBER(+IF(IFERROR(VALUE(MID('Libro Diario'!D838,1,4)),0)&lt;&gt;0,'Libro Diario'!D838,0))=FALSE,'Libro Diario'!D838,0)</f>
        <v>0</v>
      </c>
      <c r="D1418" s="145">
        <f>+'Libro Diario'!E838</f>
        <v>0</v>
      </c>
      <c r="E1418" s="139" t="s">
        <v>446</v>
      </c>
      <c r="F1418" t="str">
        <f t="shared" si="66"/>
        <v>Sin Mov.</v>
      </c>
      <c r="G1418" t="str">
        <f>IF(+'Libro Diario'!H838=0,"",+'Libro Diario'!H838)</f>
        <v/>
      </c>
      <c r="H1418" t="str">
        <f>IF(+'Libro Diario'!I838=0,"",+'Libro Diario'!I838)</f>
        <v/>
      </c>
      <c r="I1418" t="str">
        <f>+IF(Table3[[#This Row],[Tipo Movimiento]]="Estructura Balance y PyG","Excluir","Incluir")</f>
        <v>Incluir</v>
      </c>
      <c r="J1418" s="153">
        <f>+IF(Table3[[#This Row],[Sin cuenta]]="Con Mov.",(IF(Table3[[#This Row],[Movimiento]]="Debe",Table3[[#This Row],[Importe]],IF(Table3[[#This Row],[Movimiento]]="Haber",Table3[[#This Row],[Importe]]*-1,0))),0)</f>
        <v>0</v>
      </c>
      <c r="K1418" s="145" t="str">
        <f t="shared" si="67"/>
        <v/>
      </c>
      <c r="L1418" s="145">
        <f t="shared" si="68"/>
        <v>0</v>
      </c>
      <c r="M1418" t="str">
        <f>_xlfn.XLOOKUP(Table3[[#This Row],[Cuenta]],Estructura_Balance[Nombre Cuenta ()],Estructura_Balance[Grupo],"",0)</f>
        <v/>
      </c>
      <c r="N1418" t="str">
        <f>_xlfn.XLOOKUP(Table3[[#This Row],[Cuenta]],Estructura_Balance[Nombre Cuenta ()],Estructura_Balance[Nivel 1],"",0)</f>
        <v/>
      </c>
      <c r="O1418" t="str">
        <f>_xlfn.XLOOKUP(Table3[[#This Row],[Cuenta]],Estructura_Balance[Nombre Cuenta ()],Estructura_Balance[Nivel 2],"",0)</f>
        <v/>
      </c>
      <c r="P1418" t="str">
        <f>_xlfn.XLOOKUP(Table3[[#This Row],[Cuenta]],Estructura_Balance[Nombre Cuenta ()],Estructura_Balance[Nivel 3],"",0)</f>
        <v/>
      </c>
      <c r="Q1418" t="str">
        <f>_xlfn.XLOOKUP(Table3[[#This Row],[Cuenta]],Estructura_Balance[Nombre Cuenta ()],Estructura_Balance[Nivel 4],"",0)</f>
        <v/>
      </c>
      <c r="R1418" t="str">
        <f>_xlfn.XLOOKUP(Table3[[#This Row],[Cuenta]],Table8[Nombre Cuenta ()],Table8[Nivel 1],"",0)</f>
        <v/>
      </c>
      <c r="S1418" t="str">
        <f>_xlfn.XLOOKUP(Table3[[#This Row],[Cuenta]],Table8[Nombre Cuenta ()],Table8[Nivel 2],"",0)</f>
        <v/>
      </c>
      <c r="T1418" t="str">
        <f>_xlfn.XLOOKUP(Table3[[#This Row],[Cuenta]],Table8[Nombre Cuenta ()],Table8[Nivel 3],"",0)</f>
        <v/>
      </c>
      <c r="U1418">
        <v>1380</v>
      </c>
      <c r="V1418" t="str">
        <f>_xlfn.XLOOKUP(Table3[[#This Row],[Cuenta]],Estructura_Balance[Nombre Cuenta ()],Estructura_Balance[Niveles:2],"",0)</f>
        <v/>
      </c>
      <c r="W1418" t="str">
        <f>_xlfn.XLOOKUP(Table3[[#This Row],[Cuenta]],Estructura_Balance[Nombre Cuenta ()],Estructura_Balance[Niveles:3],"",0)</f>
        <v/>
      </c>
      <c r="X1418" t="str">
        <f>_xlfn.XLOOKUP(Table3[[#This Row],[Cuenta]],Estructura_Balance[Nombre Cuenta ()],Estructura_Balance[Grupos],"Grupo 1",0)</f>
        <v>Grupo 1</v>
      </c>
      <c r="Y1418" t="str">
        <f>+Table3[[#This Row],[BS_Nivel_1]]</f>
        <v/>
      </c>
    </row>
    <row r="1419" spans="1:25" ht="15" customHeight="1">
      <c r="A1419">
        <f>+'Libro Diario'!F839</f>
        <v>0</v>
      </c>
      <c r="B1419" s="144">
        <f>VALUE(IF(+'Libro Diario'!G839="","01/01/2025",+'Libro Diario'!G839))</f>
        <v>45658</v>
      </c>
      <c r="C1419">
        <f>IF(ISNUMBER(+IF(IFERROR(VALUE(MID('Libro Diario'!D839,1,4)),0)&lt;&gt;0,'Libro Diario'!D839,0))=FALSE,'Libro Diario'!D839,0)</f>
        <v>0</v>
      </c>
      <c r="D1419" s="145">
        <f>+'Libro Diario'!E839</f>
        <v>0</v>
      </c>
      <c r="E1419" s="139" t="s">
        <v>446</v>
      </c>
      <c r="F1419" t="str">
        <f t="shared" si="66"/>
        <v>Sin Mov.</v>
      </c>
      <c r="G1419" t="str">
        <f>IF(+'Libro Diario'!H839=0,"",+'Libro Diario'!H839)</f>
        <v/>
      </c>
      <c r="H1419" t="str">
        <f>IF(+'Libro Diario'!I839=0,"",+'Libro Diario'!I839)</f>
        <v/>
      </c>
      <c r="I1419" t="str">
        <f>+IF(Table3[[#This Row],[Tipo Movimiento]]="Estructura Balance y PyG","Excluir","Incluir")</f>
        <v>Incluir</v>
      </c>
      <c r="J1419" s="153">
        <f>+IF(Table3[[#This Row],[Sin cuenta]]="Con Mov.",(IF(Table3[[#This Row],[Movimiento]]="Debe",Table3[[#This Row],[Importe]],IF(Table3[[#This Row],[Movimiento]]="Haber",Table3[[#This Row],[Importe]]*-1,0))),0)</f>
        <v>0</v>
      </c>
      <c r="K1419" s="145" t="str">
        <f t="shared" si="67"/>
        <v/>
      </c>
      <c r="L1419" s="145">
        <f t="shared" si="68"/>
        <v>0</v>
      </c>
      <c r="M1419" t="str">
        <f>_xlfn.XLOOKUP(Table3[[#This Row],[Cuenta]],Estructura_Balance[Nombre Cuenta ()],Estructura_Balance[Grupo],"",0)</f>
        <v/>
      </c>
      <c r="N1419" t="str">
        <f>_xlfn.XLOOKUP(Table3[[#This Row],[Cuenta]],Estructura_Balance[Nombre Cuenta ()],Estructura_Balance[Nivel 1],"",0)</f>
        <v/>
      </c>
      <c r="O1419" t="str">
        <f>_xlfn.XLOOKUP(Table3[[#This Row],[Cuenta]],Estructura_Balance[Nombre Cuenta ()],Estructura_Balance[Nivel 2],"",0)</f>
        <v/>
      </c>
      <c r="P1419" t="str">
        <f>_xlfn.XLOOKUP(Table3[[#This Row],[Cuenta]],Estructura_Balance[Nombre Cuenta ()],Estructura_Balance[Nivel 3],"",0)</f>
        <v/>
      </c>
      <c r="Q1419" t="str">
        <f>_xlfn.XLOOKUP(Table3[[#This Row],[Cuenta]],Estructura_Balance[Nombre Cuenta ()],Estructura_Balance[Nivel 4],"",0)</f>
        <v/>
      </c>
      <c r="R1419" t="str">
        <f>_xlfn.XLOOKUP(Table3[[#This Row],[Cuenta]],Table8[Nombre Cuenta ()],Table8[Nivel 1],"",0)</f>
        <v/>
      </c>
      <c r="S1419" t="str">
        <f>_xlfn.XLOOKUP(Table3[[#This Row],[Cuenta]],Table8[Nombre Cuenta ()],Table8[Nivel 2],"",0)</f>
        <v/>
      </c>
      <c r="T1419" t="str">
        <f>_xlfn.XLOOKUP(Table3[[#This Row],[Cuenta]],Table8[Nombre Cuenta ()],Table8[Nivel 3],"",0)</f>
        <v/>
      </c>
      <c r="U1419">
        <v>388</v>
      </c>
      <c r="V1419" t="str">
        <f>_xlfn.XLOOKUP(Table3[[#This Row],[Cuenta]],Estructura_Balance[Nombre Cuenta ()],Estructura_Balance[Niveles:2],"",0)</f>
        <v/>
      </c>
      <c r="W1419" t="str">
        <f>_xlfn.XLOOKUP(Table3[[#This Row],[Cuenta]],Estructura_Balance[Nombre Cuenta ()],Estructura_Balance[Niveles:3],"",0)</f>
        <v/>
      </c>
      <c r="X1419" t="str">
        <f>_xlfn.XLOOKUP(Table3[[#This Row],[Cuenta]],Estructura_Balance[Nombre Cuenta ()],Estructura_Balance[Grupos],"Grupo 1",0)</f>
        <v>Grupo 1</v>
      </c>
      <c r="Y1419" t="str">
        <f>+Table3[[#This Row],[BS_Nivel_1]]</f>
        <v/>
      </c>
    </row>
    <row r="1420" spans="1:25" ht="15" customHeight="1">
      <c r="A1420">
        <f>+'Libro Diario'!F840</f>
        <v>0</v>
      </c>
      <c r="B1420" s="144">
        <f>VALUE(IF(+'Libro Diario'!G840="","01/01/2025",+'Libro Diario'!G840))</f>
        <v>45658</v>
      </c>
      <c r="C1420">
        <f>IF(ISNUMBER(+IF(IFERROR(VALUE(MID('Libro Diario'!D840,1,4)),0)&lt;&gt;0,'Libro Diario'!D840,0))=FALSE,'Libro Diario'!D840,0)</f>
        <v>0</v>
      </c>
      <c r="D1420" s="145">
        <f>+'Libro Diario'!E840</f>
        <v>0</v>
      </c>
      <c r="E1420" s="139" t="s">
        <v>446</v>
      </c>
      <c r="F1420" t="str">
        <f t="shared" si="66"/>
        <v>Sin Mov.</v>
      </c>
      <c r="G1420" t="str">
        <f>IF(+'Libro Diario'!H840=0,"",+'Libro Diario'!H840)</f>
        <v/>
      </c>
      <c r="H1420" t="str">
        <f>IF(+'Libro Diario'!I840=0,"",+'Libro Diario'!I840)</f>
        <v/>
      </c>
      <c r="I1420" t="str">
        <f>+IF(Table3[[#This Row],[Tipo Movimiento]]="Estructura Balance y PyG","Excluir","Incluir")</f>
        <v>Incluir</v>
      </c>
      <c r="J1420" s="153">
        <f>+IF(Table3[[#This Row],[Sin cuenta]]="Con Mov.",(IF(Table3[[#This Row],[Movimiento]]="Debe",Table3[[#This Row],[Importe]],IF(Table3[[#This Row],[Movimiento]]="Haber",Table3[[#This Row],[Importe]]*-1,0))),0)</f>
        <v>0</v>
      </c>
      <c r="K1420" s="145" t="str">
        <f t="shared" si="67"/>
        <v/>
      </c>
      <c r="L1420" s="145">
        <f t="shared" si="68"/>
        <v>0</v>
      </c>
      <c r="M1420" t="str">
        <f>_xlfn.XLOOKUP(Table3[[#This Row],[Cuenta]],Estructura_Balance[Nombre Cuenta ()],Estructura_Balance[Grupo],"",0)</f>
        <v/>
      </c>
      <c r="N1420" t="str">
        <f>_xlfn.XLOOKUP(Table3[[#This Row],[Cuenta]],Estructura_Balance[Nombre Cuenta ()],Estructura_Balance[Nivel 1],"",0)</f>
        <v/>
      </c>
      <c r="O1420" t="str">
        <f>_xlfn.XLOOKUP(Table3[[#This Row],[Cuenta]],Estructura_Balance[Nombre Cuenta ()],Estructura_Balance[Nivel 2],"",0)</f>
        <v/>
      </c>
      <c r="P1420" t="str">
        <f>_xlfn.XLOOKUP(Table3[[#This Row],[Cuenta]],Estructura_Balance[Nombre Cuenta ()],Estructura_Balance[Nivel 3],"",0)</f>
        <v/>
      </c>
      <c r="Q1420" t="str">
        <f>_xlfn.XLOOKUP(Table3[[#This Row],[Cuenta]],Estructura_Balance[Nombre Cuenta ()],Estructura_Balance[Nivel 4],"",0)</f>
        <v/>
      </c>
      <c r="R1420" t="str">
        <f>_xlfn.XLOOKUP(Table3[[#This Row],[Cuenta]],Table8[Nombre Cuenta ()],Table8[Nivel 1],"",0)</f>
        <v/>
      </c>
      <c r="S1420" t="str">
        <f>_xlfn.XLOOKUP(Table3[[#This Row],[Cuenta]],Table8[Nombre Cuenta ()],Table8[Nivel 2],"",0)</f>
        <v/>
      </c>
      <c r="T1420" t="str">
        <f>_xlfn.XLOOKUP(Table3[[#This Row],[Cuenta]],Table8[Nombre Cuenta ()],Table8[Nivel 3],"",0)</f>
        <v/>
      </c>
      <c r="U1420">
        <v>389</v>
      </c>
      <c r="V1420" t="str">
        <f>_xlfn.XLOOKUP(Table3[[#This Row],[Cuenta]],Estructura_Balance[Nombre Cuenta ()],Estructura_Balance[Niveles:2],"",0)</f>
        <v/>
      </c>
      <c r="W1420" t="str">
        <f>_xlfn.XLOOKUP(Table3[[#This Row],[Cuenta]],Estructura_Balance[Nombre Cuenta ()],Estructura_Balance[Niveles:3],"",0)</f>
        <v/>
      </c>
      <c r="X1420" t="str">
        <f>_xlfn.XLOOKUP(Table3[[#This Row],[Cuenta]],Estructura_Balance[Nombre Cuenta ()],Estructura_Balance[Grupos],"Grupo 1",0)</f>
        <v>Grupo 1</v>
      </c>
      <c r="Y1420" t="str">
        <f>+Table3[[#This Row],[BS_Nivel_1]]</f>
        <v/>
      </c>
    </row>
    <row r="1421" spans="1:25" ht="15" customHeight="1">
      <c r="A1421">
        <f>+'Libro Diario'!F841</f>
        <v>0</v>
      </c>
      <c r="B1421" s="144">
        <f>VALUE(IF(+'Libro Diario'!G841="","01/01/2025",+'Libro Diario'!G841))</f>
        <v>45658</v>
      </c>
      <c r="C1421">
        <f>IF(ISNUMBER(+IF(IFERROR(VALUE(MID('Libro Diario'!D841,1,4)),0)&lt;&gt;0,'Libro Diario'!D841,0))=FALSE,'Libro Diario'!D841,0)</f>
        <v>0</v>
      </c>
      <c r="D1421" s="145">
        <f>+'Libro Diario'!E841</f>
        <v>0</v>
      </c>
      <c r="E1421" s="139" t="s">
        <v>446</v>
      </c>
      <c r="F1421" t="str">
        <f t="shared" si="66"/>
        <v>Sin Mov.</v>
      </c>
      <c r="G1421" t="str">
        <f>IF(+'Libro Diario'!H841=0,"",+'Libro Diario'!H841)</f>
        <v/>
      </c>
      <c r="H1421" t="str">
        <f>IF(+'Libro Diario'!I841=0,"",+'Libro Diario'!I841)</f>
        <v/>
      </c>
      <c r="I1421" t="str">
        <f>+IF(Table3[[#This Row],[Tipo Movimiento]]="Estructura Balance y PyG","Excluir","Incluir")</f>
        <v>Incluir</v>
      </c>
      <c r="J1421" s="153">
        <f>+IF(Table3[[#This Row],[Sin cuenta]]="Con Mov.",(IF(Table3[[#This Row],[Movimiento]]="Debe",Table3[[#This Row],[Importe]],IF(Table3[[#This Row],[Movimiento]]="Haber",Table3[[#This Row],[Importe]]*-1,0))),0)</f>
        <v>0</v>
      </c>
      <c r="K1421" s="145" t="str">
        <f t="shared" si="67"/>
        <v/>
      </c>
      <c r="L1421" s="145">
        <f t="shared" si="68"/>
        <v>0</v>
      </c>
      <c r="M1421" t="str">
        <f>_xlfn.XLOOKUP(Table3[[#This Row],[Cuenta]],Estructura_Balance[Nombre Cuenta ()],Estructura_Balance[Grupo],"",0)</f>
        <v/>
      </c>
      <c r="N1421" t="str">
        <f>_xlfn.XLOOKUP(Table3[[#This Row],[Cuenta]],Estructura_Balance[Nombre Cuenta ()],Estructura_Balance[Nivel 1],"",0)</f>
        <v/>
      </c>
      <c r="O1421" t="str">
        <f>_xlfn.XLOOKUP(Table3[[#This Row],[Cuenta]],Estructura_Balance[Nombre Cuenta ()],Estructura_Balance[Nivel 2],"",0)</f>
        <v/>
      </c>
      <c r="P1421" t="str">
        <f>_xlfn.XLOOKUP(Table3[[#This Row],[Cuenta]],Estructura_Balance[Nombre Cuenta ()],Estructura_Balance[Nivel 3],"",0)</f>
        <v/>
      </c>
      <c r="Q1421" t="str">
        <f>_xlfn.XLOOKUP(Table3[[#This Row],[Cuenta]],Estructura_Balance[Nombre Cuenta ()],Estructura_Balance[Nivel 4],"",0)</f>
        <v/>
      </c>
      <c r="R1421" t="str">
        <f>_xlfn.XLOOKUP(Table3[[#This Row],[Cuenta]],Table8[Nombre Cuenta ()],Table8[Nivel 1],"",0)</f>
        <v/>
      </c>
      <c r="S1421" t="str">
        <f>_xlfn.XLOOKUP(Table3[[#This Row],[Cuenta]],Table8[Nombre Cuenta ()],Table8[Nivel 2],"",0)</f>
        <v/>
      </c>
      <c r="T1421" t="str">
        <f>_xlfn.XLOOKUP(Table3[[#This Row],[Cuenta]],Table8[Nombre Cuenta ()],Table8[Nivel 3],"",0)</f>
        <v/>
      </c>
      <c r="U1421">
        <v>1386</v>
      </c>
      <c r="V1421" t="str">
        <f>_xlfn.XLOOKUP(Table3[[#This Row],[Cuenta]],Estructura_Balance[Nombre Cuenta ()],Estructura_Balance[Niveles:2],"",0)</f>
        <v/>
      </c>
      <c r="W1421" t="str">
        <f>_xlfn.XLOOKUP(Table3[[#This Row],[Cuenta]],Estructura_Balance[Nombre Cuenta ()],Estructura_Balance[Niveles:3],"",0)</f>
        <v/>
      </c>
      <c r="X1421" t="str">
        <f>_xlfn.XLOOKUP(Table3[[#This Row],[Cuenta]],Estructura_Balance[Nombre Cuenta ()],Estructura_Balance[Grupos],"Grupo 1",0)</f>
        <v>Grupo 1</v>
      </c>
      <c r="Y1421" t="str">
        <f>+Table3[[#This Row],[BS_Nivel_1]]</f>
        <v/>
      </c>
    </row>
    <row r="1422" spans="1:25" ht="15" customHeight="1">
      <c r="A1422">
        <f>+'Libro Diario'!F842</f>
        <v>0</v>
      </c>
      <c r="B1422" s="144">
        <f>VALUE(IF(+'Libro Diario'!G842="","01/01/2025",+'Libro Diario'!G842))</f>
        <v>45658</v>
      </c>
      <c r="C1422">
        <f>IF(ISNUMBER(+IF(IFERROR(VALUE(MID('Libro Diario'!D842,1,4)),0)&lt;&gt;0,'Libro Diario'!D842,0))=FALSE,'Libro Diario'!D842,0)</f>
        <v>0</v>
      </c>
      <c r="D1422" s="145">
        <f>+'Libro Diario'!E842</f>
        <v>0</v>
      </c>
      <c r="E1422" s="139" t="s">
        <v>446</v>
      </c>
      <c r="F1422" t="str">
        <f t="shared" si="66"/>
        <v>Sin Mov.</v>
      </c>
      <c r="G1422" t="str">
        <f>IF(+'Libro Diario'!H842=0,"",+'Libro Diario'!H842)</f>
        <v/>
      </c>
      <c r="H1422" t="str">
        <f>IF(+'Libro Diario'!I842=0,"",+'Libro Diario'!I842)</f>
        <v/>
      </c>
      <c r="I1422" t="str">
        <f>+IF(Table3[[#This Row],[Tipo Movimiento]]="Estructura Balance y PyG","Excluir","Incluir")</f>
        <v>Incluir</v>
      </c>
      <c r="J1422" s="153">
        <f>+IF(Table3[[#This Row],[Sin cuenta]]="Con Mov.",(IF(Table3[[#This Row],[Movimiento]]="Debe",Table3[[#This Row],[Importe]],IF(Table3[[#This Row],[Movimiento]]="Haber",Table3[[#This Row],[Importe]]*-1,0))),0)</f>
        <v>0</v>
      </c>
      <c r="K1422" s="145" t="str">
        <f t="shared" si="67"/>
        <v/>
      </c>
      <c r="L1422" s="145">
        <f t="shared" si="68"/>
        <v>0</v>
      </c>
      <c r="M1422" t="str">
        <f>_xlfn.XLOOKUP(Table3[[#This Row],[Cuenta]],Estructura_Balance[Nombre Cuenta ()],Estructura_Balance[Grupo],"",0)</f>
        <v/>
      </c>
      <c r="N1422" t="str">
        <f>_xlfn.XLOOKUP(Table3[[#This Row],[Cuenta]],Estructura_Balance[Nombre Cuenta ()],Estructura_Balance[Nivel 1],"",0)</f>
        <v/>
      </c>
      <c r="O1422" t="str">
        <f>_xlfn.XLOOKUP(Table3[[#This Row],[Cuenta]],Estructura_Balance[Nombre Cuenta ()],Estructura_Balance[Nivel 2],"",0)</f>
        <v/>
      </c>
      <c r="P1422" t="str">
        <f>_xlfn.XLOOKUP(Table3[[#This Row],[Cuenta]],Estructura_Balance[Nombre Cuenta ()],Estructura_Balance[Nivel 3],"",0)</f>
        <v/>
      </c>
      <c r="Q1422" t="str">
        <f>_xlfn.XLOOKUP(Table3[[#This Row],[Cuenta]],Estructura_Balance[Nombre Cuenta ()],Estructura_Balance[Nivel 4],"",0)</f>
        <v/>
      </c>
      <c r="R1422" t="str">
        <f>_xlfn.XLOOKUP(Table3[[#This Row],[Cuenta]],Table8[Nombre Cuenta ()],Table8[Nivel 1],"",0)</f>
        <v/>
      </c>
      <c r="S1422" t="str">
        <f>_xlfn.XLOOKUP(Table3[[#This Row],[Cuenta]],Table8[Nombre Cuenta ()],Table8[Nivel 2],"",0)</f>
        <v/>
      </c>
      <c r="T1422" t="str">
        <f>_xlfn.XLOOKUP(Table3[[#This Row],[Cuenta]],Table8[Nombre Cuenta ()],Table8[Nivel 3],"",0)</f>
        <v/>
      </c>
      <c r="U1422">
        <v>1387</v>
      </c>
      <c r="V1422" t="str">
        <f>_xlfn.XLOOKUP(Table3[[#This Row],[Cuenta]],Estructura_Balance[Nombre Cuenta ()],Estructura_Balance[Niveles:2],"",0)</f>
        <v/>
      </c>
      <c r="W1422" t="str">
        <f>_xlfn.XLOOKUP(Table3[[#This Row],[Cuenta]],Estructura_Balance[Nombre Cuenta ()],Estructura_Balance[Niveles:3],"",0)</f>
        <v/>
      </c>
      <c r="X1422" t="str">
        <f>_xlfn.XLOOKUP(Table3[[#This Row],[Cuenta]],Estructura_Balance[Nombre Cuenta ()],Estructura_Balance[Grupos],"Grupo 1",0)</f>
        <v>Grupo 1</v>
      </c>
      <c r="Y1422" t="str">
        <f>+Table3[[#This Row],[BS_Nivel_1]]</f>
        <v/>
      </c>
    </row>
    <row r="1423" spans="1:25" ht="15" customHeight="1">
      <c r="A1423">
        <f>+'Libro Diario'!F843</f>
        <v>0</v>
      </c>
      <c r="B1423" s="144">
        <f>VALUE(IF(+'Libro Diario'!G843="","01/01/2025",+'Libro Diario'!G843))</f>
        <v>45658</v>
      </c>
      <c r="C1423">
        <f>IF(ISNUMBER(+IF(IFERROR(VALUE(MID('Libro Diario'!D843,1,4)),0)&lt;&gt;0,'Libro Diario'!D843,0))=FALSE,'Libro Diario'!D843,0)</f>
        <v>0</v>
      </c>
      <c r="D1423" s="145">
        <f>+'Libro Diario'!E843</f>
        <v>0</v>
      </c>
      <c r="E1423" s="139" t="s">
        <v>446</v>
      </c>
      <c r="F1423" t="str">
        <f t="shared" si="66"/>
        <v>Sin Mov.</v>
      </c>
      <c r="G1423" t="str">
        <f>IF(+'Libro Diario'!H843=0,"",+'Libro Diario'!H843)</f>
        <v/>
      </c>
      <c r="H1423" t="str">
        <f>IF(+'Libro Diario'!I843=0,"",+'Libro Diario'!I843)</f>
        <v/>
      </c>
      <c r="I1423" t="str">
        <f>+IF(Table3[[#This Row],[Tipo Movimiento]]="Estructura Balance y PyG","Excluir","Incluir")</f>
        <v>Incluir</v>
      </c>
      <c r="J1423" s="153">
        <f>+IF(Table3[[#This Row],[Sin cuenta]]="Con Mov.",(IF(Table3[[#This Row],[Movimiento]]="Debe",Table3[[#This Row],[Importe]],IF(Table3[[#This Row],[Movimiento]]="Haber",Table3[[#This Row],[Importe]]*-1,0))),0)</f>
        <v>0</v>
      </c>
      <c r="K1423" s="145" t="str">
        <f t="shared" si="67"/>
        <v/>
      </c>
      <c r="L1423" s="145">
        <f t="shared" si="68"/>
        <v>0</v>
      </c>
      <c r="M1423" t="str">
        <f>_xlfn.XLOOKUP(Table3[[#This Row],[Cuenta]],Estructura_Balance[Nombre Cuenta ()],Estructura_Balance[Grupo],"",0)</f>
        <v/>
      </c>
      <c r="N1423" t="str">
        <f>_xlfn.XLOOKUP(Table3[[#This Row],[Cuenta]],Estructura_Balance[Nombre Cuenta ()],Estructura_Balance[Nivel 1],"",0)</f>
        <v/>
      </c>
      <c r="O1423" t="str">
        <f>_xlfn.XLOOKUP(Table3[[#This Row],[Cuenta]],Estructura_Balance[Nombre Cuenta ()],Estructura_Balance[Nivel 2],"",0)</f>
        <v/>
      </c>
      <c r="P1423" t="str">
        <f>_xlfn.XLOOKUP(Table3[[#This Row],[Cuenta]],Estructura_Balance[Nombre Cuenta ()],Estructura_Balance[Nivel 3],"",0)</f>
        <v/>
      </c>
      <c r="Q1423" t="str">
        <f>_xlfn.XLOOKUP(Table3[[#This Row],[Cuenta]],Estructura_Balance[Nombre Cuenta ()],Estructura_Balance[Nivel 4],"",0)</f>
        <v/>
      </c>
      <c r="R1423" t="str">
        <f>_xlfn.XLOOKUP(Table3[[#This Row],[Cuenta]],Table8[Nombre Cuenta ()],Table8[Nivel 1],"",0)</f>
        <v/>
      </c>
      <c r="S1423" t="str">
        <f>_xlfn.XLOOKUP(Table3[[#This Row],[Cuenta]],Table8[Nombre Cuenta ()],Table8[Nivel 2],"",0)</f>
        <v/>
      </c>
      <c r="T1423" t="str">
        <f>_xlfn.XLOOKUP(Table3[[#This Row],[Cuenta]],Table8[Nombre Cuenta ()],Table8[Nivel 3],"",0)</f>
        <v/>
      </c>
      <c r="U1423">
        <v>395</v>
      </c>
      <c r="V1423" t="str">
        <f>_xlfn.XLOOKUP(Table3[[#This Row],[Cuenta]],Estructura_Balance[Nombre Cuenta ()],Estructura_Balance[Niveles:2],"",0)</f>
        <v/>
      </c>
      <c r="W1423" t="str">
        <f>_xlfn.XLOOKUP(Table3[[#This Row],[Cuenta]],Estructura_Balance[Nombre Cuenta ()],Estructura_Balance[Niveles:3],"",0)</f>
        <v/>
      </c>
      <c r="X1423" t="str">
        <f>_xlfn.XLOOKUP(Table3[[#This Row],[Cuenta]],Estructura_Balance[Nombre Cuenta ()],Estructura_Balance[Grupos],"Grupo 1",0)</f>
        <v>Grupo 1</v>
      </c>
      <c r="Y1423" t="str">
        <f>+Table3[[#This Row],[BS_Nivel_1]]</f>
        <v/>
      </c>
    </row>
    <row r="1424" spans="1:25" ht="15" customHeight="1">
      <c r="A1424">
        <f>+'Libro Diario'!F844</f>
        <v>0</v>
      </c>
      <c r="B1424" s="144">
        <f>VALUE(IF(+'Libro Diario'!G844="","01/01/2025",+'Libro Diario'!G844))</f>
        <v>45658</v>
      </c>
      <c r="C1424">
        <f>IF(ISNUMBER(+IF(IFERROR(VALUE(MID('Libro Diario'!D844,1,4)),0)&lt;&gt;0,'Libro Diario'!D844,0))=FALSE,'Libro Diario'!D844,0)</f>
        <v>0</v>
      </c>
      <c r="D1424" s="145">
        <f>+'Libro Diario'!E844</f>
        <v>0</v>
      </c>
      <c r="E1424" s="139" t="s">
        <v>446</v>
      </c>
      <c r="F1424" t="str">
        <f t="shared" si="66"/>
        <v>Sin Mov.</v>
      </c>
      <c r="G1424" t="str">
        <f>IF(+'Libro Diario'!H844=0,"",+'Libro Diario'!H844)</f>
        <v/>
      </c>
      <c r="H1424" t="str">
        <f>IF(+'Libro Diario'!I844=0,"",+'Libro Diario'!I844)</f>
        <v/>
      </c>
      <c r="I1424" t="str">
        <f>+IF(Table3[[#This Row],[Tipo Movimiento]]="Estructura Balance y PyG","Excluir","Incluir")</f>
        <v>Incluir</v>
      </c>
      <c r="J1424" s="153">
        <f>+IF(Table3[[#This Row],[Sin cuenta]]="Con Mov.",(IF(Table3[[#This Row],[Movimiento]]="Debe",Table3[[#This Row],[Importe]],IF(Table3[[#This Row],[Movimiento]]="Haber",Table3[[#This Row],[Importe]]*-1,0))),0)</f>
        <v>0</v>
      </c>
      <c r="K1424" s="145" t="str">
        <f t="shared" si="67"/>
        <v/>
      </c>
      <c r="L1424" s="145">
        <f t="shared" si="68"/>
        <v>0</v>
      </c>
      <c r="M1424" t="str">
        <f>_xlfn.XLOOKUP(Table3[[#This Row],[Cuenta]],Estructura_Balance[Nombre Cuenta ()],Estructura_Balance[Grupo],"",0)</f>
        <v/>
      </c>
      <c r="N1424" t="str">
        <f>_xlfn.XLOOKUP(Table3[[#This Row],[Cuenta]],Estructura_Balance[Nombre Cuenta ()],Estructura_Balance[Nivel 1],"",0)</f>
        <v/>
      </c>
      <c r="O1424" t="str">
        <f>_xlfn.XLOOKUP(Table3[[#This Row],[Cuenta]],Estructura_Balance[Nombre Cuenta ()],Estructura_Balance[Nivel 2],"",0)</f>
        <v/>
      </c>
      <c r="P1424" t="str">
        <f>_xlfn.XLOOKUP(Table3[[#This Row],[Cuenta]],Estructura_Balance[Nombre Cuenta ()],Estructura_Balance[Nivel 3],"",0)</f>
        <v/>
      </c>
      <c r="Q1424" t="str">
        <f>_xlfn.XLOOKUP(Table3[[#This Row],[Cuenta]],Estructura_Balance[Nombre Cuenta ()],Estructura_Balance[Nivel 4],"",0)</f>
        <v/>
      </c>
      <c r="R1424" t="str">
        <f>_xlfn.XLOOKUP(Table3[[#This Row],[Cuenta]],Table8[Nombre Cuenta ()],Table8[Nivel 1],"",0)</f>
        <v/>
      </c>
      <c r="S1424" t="str">
        <f>_xlfn.XLOOKUP(Table3[[#This Row],[Cuenta]],Table8[Nombre Cuenta ()],Table8[Nivel 2],"",0)</f>
        <v/>
      </c>
      <c r="T1424" t="str">
        <f>_xlfn.XLOOKUP(Table3[[#This Row],[Cuenta]],Table8[Nombre Cuenta ()],Table8[Nivel 3],"",0)</f>
        <v/>
      </c>
      <c r="U1424">
        <v>396</v>
      </c>
      <c r="V1424" t="str">
        <f>_xlfn.XLOOKUP(Table3[[#This Row],[Cuenta]],Estructura_Balance[Nombre Cuenta ()],Estructura_Balance[Niveles:2],"",0)</f>
        <v/>
      </c>
      <c r="W1424" t="str">
        <f>_xlfn.XLOOKUP(Table3[[#This Row],[Cuenta]],Estructura_Balance[Nombre Cuenta ()],Estructura_Balance[Niveles:3],"",0)</f>
        <v/>
      </c>
      <c r="X1424" t="str">
        <f>_xlfn.XLOOKUP(Table3[[#This Row],[Cuenta]],Estructura_Balance[Nombre Cuenta ()],Estructura_Balance[Grupos],"Grupo 1",0)</f>
        <v>Grupo 1</v>
      </c>
      <c r="Y1424" t="str">
        <f>+Table3[[#This Row],[BS_Nivel_1]]</f>
        <v/>
      </c>
    </row>
    <row r="1425" spans="1:25" ht="15" customHeight="1">
      <c r="A1425">
        <f>+'Libro Diario'!F845</f>
        <v>0</v>
      </c>
      <c r="B1425" s="144">
        <f>VALUE(IF(+'Libro Diario'!G845="","01/01/2025",+'Libro Diario'!G845))</f>
        <v>45658</v>
      </c>
      <c r="C1425">
        <f>IF(ISNUMBER(+IF(IFERROR(VALUE(MID('Libro Diario'!D845,1,4)),0)&lt;&gt;0,'Libro Diario'!D845,0))=FALSE,'Libro Diario'!D845,0)</f>
        <v>0</v>
      </c>
      <c r="D1425" s="145">
        <f>+'Libro Diario'!E845</f>
        <v>0</v>
      </c>
      <c r="E1425" s="139" t="s">
        <v>446</v>
      </c>
      <c r="F1425" t="str">
        <f t="shared" si="66"/>
        <v>Sin Mov.</v>
      </c>
      <c r="G1425" t="str">
        <f>IF(+'Libro Diario'!H845=0,"",+'Libro Diario'!H845)</f>
        <v/>
      </c>
      <c r="H1425" t="str">
        <f>IF(+'Libro Diario'!I845=0,"",+'Libro Diario'!I845)</f>
        <v/>
      </c>
      <c r="I1425" t="str">
        <f>+IF(Table3[[#This Row],[Tipo Movimiento]]="Estructura Balance y PyG","Excluir","Incluir")</f>
        <v>Incluir</v>
      </c>
      <c r="J1425" s="153">
        <f>+IF(Table3[[#This Row],[Sin cuenta]]="Con Mov.",(IF(Table3[[#This Row],[Movimiento]]="Debe",Table3[[#This Row],[Importe]],IF(Table3[[#This Row],[Movimiento]]="Haber",Table3[[#This Row],[Importe]]*-1,0))),0)</f>
        <v>0</v>
      </c>
      <c r="K1425" s="145" t="str">
        <f t="shared" si="67"/>
        <v/>
      </c>
      <c r="L1425" s="145">
        <f t="shared" si="68"/>
        <v>0</v>
      </c>
      <c r="M1425" t="str">
        <f>_xlfn.XLOOKUP(Table3[[#This Row],[Cuenta]],Estructura_Balance[Nombre Cuenta ()],Estructura_Balance[Grupo],"",0)</f>
        <v/>
      </c>
      <c r="N1425" t="str">
        <f>_xlfn.XLOOKUP(Table3[[#This Row],[Cuenta]],Estructura_Balance[Nombre Cuenta ()],Estructura_Balance[Nivel 1],"",0)</f>
        <v/>
      </c>
      <c r="O1425" t="str">
        <f>_xlfn.XLOOKUP(Table3[[#This Row],[Cuenta]],Estructura_Balance[Nombre Cuenta ()],Estructura_Balance[Nivel 2],"",0)</f>
        <v/>
      </c>
      <c r="P1425" t="str">
        <f>_xlfn.XLOOKUP(Table3[[#This Row],[Cuenta]],Estructura_Balance[Nombre Cuenta ()],Estructura_Balance[Nivel 3],"",0)</f>
        <v/>
      </c>
      <c r="Q1425" t="str">
        <f>_xlfn.XLOOKUP(Table3[[#This Row],[Cuenta]],Estructura_Balance[Nombre Cuenta ()],Estructura_Balance[Nivel 4],"",0)</f>
        <v/>
      </c>
      <c r="R1425" t="str">
        <f>_xlfn.XLOOKUP(Table3[[#This Row],[Cuenta]],Table8[Nombre Cuenta ()],Table8[Nivel 1],"",0)</f>
        <v/>
      </c>
      <c r="S1425" t="str">
        <f>_xlfn.XLOOKUP(Table3[[#This Row],[Cuenta]],Table8[Nombre Cuenta ()],Table8[Nivel 2],"",0)</f>
        <v/>
      </c>
      <c r="T1425" t="str">
        <f>_xlfn.XLOOKUP(Table3[[#This Row],[Cuenta]],Table8[Nombre Cuenta ()],Table8[Nivel 3],"",0)</f>
        <v/>
      </c>
      <c r="U1425">
        <v>1393</v>
      </c>
      <c r="V1425" t="str">
        <f>_xlfn.XLOOKUP(Table3[[#This Row],[Cuenta]],Estructura_Balance[Nombre Cuenta ()],Estructura_Balance[Niveles:2],"",0)</f>
        <v/>
      </c>
      <c r="W1425" t="str">
        <f>_xlfn.XLOOKUP(Table3[[#This Row],[Cuenta]],Estructura_Balance[Nombre Cuenta ()],Estructura_Balance[Niveles:3],"",0)</f>
        <v/>
      </c>
      <c r="X1425" t="str">
        <f>_xlfn.XLOOKUP(Table3[[#This Row],[Cuenta]],Estructura_Balance[Nombre Cuenta ()],Estructura_Balance[Grupos],"Grupo 1",0)</f>
        <v>Grupo 1</v>
      </c>
      <c r="Y1425" t="str">
        <f>+Table3[[#This Row],[BS_Nivel_1]]</f>
        <v/>
      </c>
    </row>
    <row r="1426" spans="1:25" ht="15" customHeight="1">
      <c r="A1426">
        <f>+'Libro Diario'!F846</f>
        <v>0</v>
      </c>
      <c r="B1426" s="144">
        <f>VALUE(IF(+'Libro Diario'!G846="","01/01/2025",+'Libro Diario'!G846))</f>
        <v>45658</v>
      </c>
      <c r="C1426">
        <f>IF(ISNUMBER(+IF(IFERROR(VALUE(MID('Libro Diario'!D846,1,4)),0)&lt;&gt;0,'Libro Diario'!D846,0))=FALSE,'Libro Diario'!D846,0)</f>
        <v>0</v>
      </c>
      <c r="D1426" s="145">
        <f>+'Libro Diario'!E846</f>
        <v>0</v>
      </c>
      <c r="E1426" s="139" t="s">
        <v>446</v>
      </c>
      <c r="F1426" t="str">
        <f t="shared" si="66"/>
        <v>Sin Mov.</v>
      </c>
      <c r="G1426" t="str">
        <f>IF(+'Libro Diario'!H846=0,"",+'Libro Diario'!H846)</f>
        <v/>
      </c>
      <c r="H1426" t="str">
        <f>IF(+'Libro Diario'!I846=0,"",+'Libro Diario'!I846)</f>
        <v/>
      </c>
      <c r="I1426" t="str">
        <f>+IF(Table3[[#This Row],[Tipo Movimiento]]="Estructura Balance y PyG","Excluir","Incluir")</f>
        <v>Incluir</v>
      </c>
      <c r="J1426" s="153">
        <f>+IF(Table3[[#This Row],[Sin cuenta]]="Con Mov.",(IF(Table3[[#This Row],[Movimiento]]="Debe",Table3[[#This Row],[Importe]],IF(Table3[[#This Row],[Movimiento]]="Haber",Table3[[#This Row],[Importe]]*-1,0))),0)</f>
        <v>0</v>
      </c>
      <c r="K1426" s="145" t="str">
        <f t="shared" si="67"/>
        <v/>
      </c>
      <c r="L1426" s="145">
        <f t="shared" si="68"/>
        <v>0</v>
      </c>
      <c r="M1426" t="str">
        <f>_xlfn.XLOOKUP(Table3[[#This Row],[Cuenta]],Estructura_Balance[Nombre Cuenta ()],Estructura_Balance[Grupo],"",0)</f>
        <v/>
      </c>
      <c r="N1426" t="str">
        <f>_xlfn.XLOOKUP(Table3[[#This Row],[Cuenta]],Estructura_Balance[Nombre Cuenta ()],Estructura_Balance[Nivel 1],"",0)</f>
        <v/>
      </c>
      <c r="O1426" t="str">
        <f>_xlfn.XLOOKUP(Table3[[#This Row],[Cuenta]],Estructura_Balance[Nombre Cuenta ()],Estructura_Balance[Nivel 2],"",0)</f>
        <v/>
      </c>
      <c r="P1426" t="str">
        <f>_xlfn.XLOOKUP(Table3[[#This Row],[Cuenta]],Estructura_Balance[Nombre Cuenta ()],Estructura_Balance[Nivel 3],"",0)</f>
        <v/>
      </c>
      <c r="Q1426" t="str">
        <f>_xlfn.XLOOKUP(Table3[[#This Row],[Cuenta]],Estructura_Balance[Nombre Cuenta ()],Estructura_Balance[Nivel 4],"",0)</f>
        <v/>
      </c>
      <c r="R1426" t="str">
        <f>_xlfn.XLOOKUP(Table3[[#This Row],[Cuenta]],Table8[Nombre Cuenta ()],Table8[Nivel 1],"",0)</f>
        <v/>
      </c>
      <c r="S1426" t="str">
        <f>_xlfn.XLOOKUP(Table3[[#This Row],[Cuenta]],Table8[Nombre Cuenta ()],Table8[Nivel 2],"",0)</f>
        <v/>
      </c>
      <c r="T1426" t="str">
        <f>_xlfn.XLOOKUP(Table3[[#This Row],[Cuenta]],Table8[Nombre Cuenta ()],Table8[Nivel 3],"",0)</f>
        <v/>
      </c>
      <c r="U1426">
        <v>1394</v>
      </c>
      <c r="V1426" t="str">
        <f>_xlfn.XLOOKUP(Table3[[#This Row],[Cuenta]],Estructura_Balance[Nombre Cuenta ()],Estructura_Balance[Niveles:2],"",0)</f>
        <v/>
      </c>
      <c r="W1426" t="str">
        <f>_xlfn.XLOOKUP(Table3[[#This Row],[Cuenta]],Estructura_Balance[Nombre Cuenta ()],Estructura_Balance[Niveles:3],"",0)</f>
        <v/>
      </c>
      <c r="X1426" t="str">
        <f>_xlfn.XLOOKUP(Table3[[#This Row],[Cuenta]],Estructura_Balance[Nombre Cuenta ()],Estructura_Balance[Grupos],"Grupo 1",0)</f>
        <v>Grupo 1</v>
      </c>
      <c r="Y1426" t="str">
        <f>+Table3[[#This Row],[BS_Nivel_1]]</f>
        <v/>
      </c>
    </row>
    <row r="1427" spans="1:25" ht="15" customHeight="1">
      <c r="A1427">
        <f>+'Libro Diario'!F847</f>
        <v>0</v>
      </c>
      <c r="B1427" s="144">
        <f>VALUE(IF(+'Libro Diario'!G847="","01/01/2025",+'Libro Diario'!G847))</f>
        <v>45658</v>
      </c>
      <c r="C1427">
        <f>IF(ISNUMBER(+IF(IFERROR(VALUE(MID('Libro Diario'!D847,1,4)),0)&lt;&gt;0,'Libro Diario'!D847,0))=FALSE,'Libro Diario'!D847,0)</f>
        <v>0</v>
      </c>
      <c r="D1427" s="145">
        <f>+'Libro Diario'!E847</f>
        <v>0</v>
      </c>
      <c r="E1427" s="139" t="s">
        <v>446</v>
      </c>
      <c r="F1427" t="str">
        <f t="shared" si="66"/>
        <v>Sin Mov.</v>
      </c>
      <c r="G1427" t="str">
        <f>IF(+'Libro Diario'!H847=0,"",+'Libro Diario'!H847)</f>
        <v/>
      </c>
      <c r="H1427" t="str">
        <f>IF(+'Libro Diario'!I847=0,"",+'Libro Diario'!I847)</f>
        <v/>
      </c>
      <c r="I1427" t="str">
        <f>+IF(Table3[[#This Row],[Tipo Movimiento]]="Estructura Balance y PyG","Excluir","Incluir")</f>
        <v>Incluir</v>
      </c>
      <c r="J1427" s="153">
        <f>+IF(Table3[[#This Row],[Sin cuenta]]="Con Mov.",(IF(Table3[[#This Row],[Movimiento]]="Debe",Table3[[#This Row],[Importe]],IF(Table3[[#This Row],[Movimiento]]="Haber",Table3[[#This Row],[Importe]]*-1,0))),0)</f>
        <v>0</v>
      </c>
      <c r="K1427" s="145" t="str">
        <f t="shared" si="67"/>
        <v/>
      </c>
      <c r="L1427" s="145">
        <f t="shared" si="68"/>
        <v>0</v>
      </c>
      <c r="M1427" t="str">
        <f>_xlfn.XLOOKUP(Table3[[#This Row],[Cuenta]],Estructura_Balance[Nombre Cuenta ()],Estructura_Balance[Grupo],"",0)</f>
        <v/>
      </c>
      <c r="N1427" t="str">
        <f>_xlfn.XLOOKUP(Table3[[#This Row],[Cuenta]],Estructura_Balance[Nombre Cuenta ()],Estructura_Balance[Nivel 1],"",0)</f>
        <v/>
      </c>
      <c r="O1427" t="str">
        <f>_xlfn.XLOOKUP(Table3[[#This Row],[Cuenta]],Estructura_Balance[Nombre Cuenta ()],Estructura_Balance[Nivel 2],"",0)</f>
        <v/>
      </c>
      <c r="P1427" t="str">
        <f>_xlfn.XLOOKUP(Table3[[#This Row],[Cuenta]],Estructura_Balance[Nombre Cuenta ()],Estructura_Balance[Nivel 3],"",0)</f>
        <v/>
      </c>
      <c r="Q1427" t="str">
        <f>_xlfn.XLOOKUP(Table3[[#This Row],[Cuenta]],Estructura_Balance[Nombre Cuenta ()],Estructura_Balance[Nivel 4],"",0)</f>
        <v/>
      </c>
      <c r="R1427" t="str">
        <f>_xlfn.XLOOKUP(Table3[[#This Row],[Cuenta]],Table8[Nombre Cuenta ()],Table8[Nivel 1],"",0)</f>
        <v/>
      </c>
      <c r="S1427" t="str">
        <f>_xlfn.XLOOKUP(Table3[[#This Row],[Cuenta]],Table8[Nombre Cuenta ()],Table8[Nivel 2],"",0)</f>
        <v/>
      </c>
      <c r="T1427" t="str">
        <f>_xlfn.XLOOKUP(Table3[[#This Row],[Cuenta]],Table8[Nombre Cuenta ()],Table8[Nivel 3],"",0)</f>
        <v/>
      </c>
      <c r="U1427">
        <v>402</v>
      </c>
      <c r="V1427" t="str">
        <f>_xlfn.XLOOKUP(Table3[[#This Row],[Cuenta]],Estructura_Balance[Nombre Cuenta ()],Estructura_Balance[Niveles:2],"",0)</f>
        <v/>
      </c>
      <c r="W1427" t="str">
        <f>_xlfn.XLOOKUP(Table3[[#This Row],[Cuenta]],Estructura_Balance[Nombre Cuenta ()],Estructura_Balance[Niveles:3],"",0)</f>
        <v/>
      </c>
      <c r="X1427" t="str">
        <f>_xlfn.XLOOKUP(Table3[[#This Row],[Cuenta]],Estructura_Balance[Nombre Cuenta ()],Estructura_Balance[Grupos],"Grupo 1",0)</f>
        <v>Grupo 1</v>
      </c>
      <c r="Y1427" t="str">
        <f>+Table3[[#This Row],[BS_Nivel_1]]</f>
        <v/>
      </c>
    </row>
    <row r="1428" spans="1:25" ht="15" customHeight="1">
      <c r="A1428">
        <f>+'Libro Diario'!F848</f>
        <v>0</v>
      </c>
      <c r="B1428" s="144">
        <f>VALUE(IF(+'Libro Diario'!G848="","01/01/2025",+'Libro Diario'!G848))</f>
        <v>45658</v>
      </c>
      <c r="C1428">
        <f>IF(ISNUMBER(+IF(IFERROR(VALUE(MID('Libro Diario'!D848,1,4)),0)&lt;&gt;0,'Libro Diario'!D848,0))=FALSE,'Libro Diario'!D848,0)</f>
        <v>0</v>
      </c>
      <c r="D1428" s="145">
        <f>+'Libro Diario'!E848</f>
        <v>0</v>
      </c>
      <c r="E1428" s="139" t="s">
        <v>446</v>
      </c>
      <c r="F1428" t="str">
        <f t="shared" si="66"/>
        <v>Sin Mov.</v>
      </c>
      <c r="G1428" t="str">
        <f>IF(+'Libro Diario'!H848=0,"",+'Libro Diario'!H848)</f>
        <v/>
      </c>
      <c r="H1428" t="str">
        <f>IF(+'Libro Diario'!I848=0,"",+'Libro Diario'!I848)</f>
        <v/>
      </c>
      <c r="I1428" t="str">
        <f>+IF(Table3[[#This Row],[Tipo Movimiento]]="Estructura Balance y PyG","Excluir","Incluir")</f>
        <v>Incluir</v>
      </c>
      <c r="J1428" s="153">
        <f>+IF(Table3[[#This Row],[Sin cuenta]]="Con Mov.",(IF(Table3[[#This Row],[Movimiento]]="Debe",Table3[[#This Row],[Importe]],IF(Table3[[#This Row],[Movimiento]]="Haber",Table3[[#This Row],[Importe]]*-1,0))),0)</f>
        <v>0</v>
      </c>
      <c r="K1428" s="145" t="str">
        <f t="shared" si="67"/>
        <v/>
      </c>
      <c r="L1428" s="145">
        <f t="shared" si="68"/>
        <v>0</v>
      </c>
      <c r="M1428" t="str">
        <f>_xlfn.XLOOKUP(Table3[[#This Row],[Cuenta]],Estructura_Balance[Nombre Cuenta ()],Estructura_Balance[Grupo],"",0)</f>
        <v/>
      </c>
      <c r="N1428" t="str">
        <f>_xlfn.XLOOKUP(Table3[[#This Row],[Cuenta]],Estructura_Balance[Nombre Cuenta ()],Estructura_Balance[Nivel 1],"",0)</f>
        <v/>
      </c>
      <c r="O1428" t="str">
        <f>_xlfn.XLOOKUP(Table3[[#This Row],[Cuenta]],Estructura_Balance[Nombre Cuenta ()],Estructura_Balance[Nivel 2],"",0)</f>
        <v/>
      </c>
      <c r="P1428" t="str">
        <f>_xlfn.XLOOKUP(Table3[[#This Row],[Cuenta]],Estructura_Balance[Nombre Cuenta ()],Estructura_Balance[Nivel 3],"",0)</f>
        <v/>
      </c>
      <c r="Q1428" t="str">
        <f>_xlfn.XLOOKUP(Table3[[#This Row],[Cuenta]],Estructura_Balance[Nombre Cuenta ()],Estructura_Balance[Nivel 4],"",0)</f>
        <v/>
      </c>
      <c r="R1428" t="str">
        <f>_xlfn.XLOOKUP(Table3[[#This Row],[Cuenta]],Table8[Nombre Cuenta ()],Table8[Nivel 1],"",0)</f>
        <v/>
      </c>
      <c r="S1428" t="str">
        <f>_xlfn.XLOOKUP(Table3[[#This Row],[Cuenta]],Table8[Nombre Cuenta ()],Table8[Nivel 2],"",0)</f>
        <v/>
      </c>
      <c r="T1428" t="str">
        <f>_xlfn.XLOOKUP(Table3[[#This Row],[Cuenta]],Table8[Nombre Cuenta ()],Table8[Nivel 3],"",0)</f>
        <v/>
      </c>
      <c r="U1428">
        <v>403</v>
      </c>
      <c r="V1428" t="str">
        <f>_xlfn.XLOOKUP(Table3[[#This Row],[Cuenta]],Estructura_Balance[Nombre Cuenta ()],Estructura_Balance[Niveles:2],"",0)</f>
        <v/>
      </c>
      <c r="W1428" t="str">
        <f>_xlfn.XLOOKUP(Table3[[#This Row],[Cuenta]],Estructura_Balance[Nombre Cuenta ()],Estructura_Balance[Niveles:3],"",0)</f>
        <v/>
      </c>
      <c r="X1428" t="str">
        <f>_xlfn.XLOOKUP(Table3[[#This Row],[Cuenta]],Estructura_Balance[Nombre Cuenta ()],Estructura_Balance[Grupos],"Grupo 1",0)</f>
        <v>Grupo 1</v>
      </c>
      <c r="Y1428" t="str">
        <f>+Table3[[#This Row],[BS_Nivel_1]]</f>
        <v/>
      </c>
    </row>
    <row r="1429" spans="1:25" ht="15" customHeight="1">
      <c r="A1429">
        <f>+'Libro Diario'!F849</f>
        <v>0</v>
      </c>
      <c r="B1429" s="144">
        <f>VALUE(IF(+'Libro Diario'!G849="","01/01/2025",+'Libro Diario'!G849))</f>
        <v>45658</v>
      </c>
      <c r="C1429">
        <f>IF(ISNUMBER(+IF(IFERROR(VALUE(MID('Libro Diario'!D849,1,4)),0)&lt;&gt;0,'Libro Diario'!D849,0))=FALSE,'Libro Diario'!D849,0)</f>
        <v>0</v>
      </c>
      <c r="D1429" s="145">
        <f>+'Libro Diario'!E849</f>
        <v>0</v>
      </c>
      <c r="E1429" s="139" t="s">
        <v>446</v>
      </c>
      <c r="F1429" t="str">
        <f t="shared" si="66"/>
        <v>Sin Mov.</v>
      </c>
      <c r="G1429" t="str">
        <f>IF(+'Libro Diario'!H849=0,"",+'Libro Diario'!H849)</f>
        <v/>
      </c>
      <c r="H1429" t="str">
        <f>IF(+'Libro Diario'!I849=0,"",+'Libro Diario'!I849)</f>
        <v/>
      </c>
      <c r="I1429" t="str">
        <f>+IF(Table3[[#This Row],[Tipo Movimiento]]="Estructura Balance y PyG","Excluir","Incluir")</f>
        <v>Incluir</v>
      </c>
      <c r="J1429" s="153">
        <f>+IF(Table3[[#This Row],[Sin cuenta]]="Con Mov.",(IF(Table3[[#This Row],[Movimiento]]="Debe",Table3[[#This Row],[Importe]],IF(Table3[[#This Row],[Movimiento]]="Haber",Table3[[#This Row],[Importe]]*-1,0))),0)</f>
        <v>0</v>
      </c>
      <c r="K1429" s="145" t="str">
        <f t="shared" si="67"/>
        <v/>
      </c>
      <c r="L1429" s="145">
        <f t="shared" si="68"/>
        <v>0</v>
      </c>
      <c r="M1429" t="str">
        <f>_xlfn.XLOOKUP(Table3[[#This Row],[Cuenta]],Estructura_Balance[Nombre Cuenta ()],Estructura_Balance[Grupo],"",0)</f>
        <v/>
      </c>
      <c r="N1429" t="str">
        <f>_xlfn.XLOOKUP(Table3[[#This Row],[Cuenta]],Estructura_Balance[Nombre Cuenta ()],Estructura_Balance[Nivel 1],"",0)</f>
        <v/>
      </c>
      <c r="O1429" t="str">
        <f>_xlfn.XLOOKUP(Table3[[#This Row],[Cuenta]],Estructura_Balance[Nombre Cuenta ()],Estructura_Balance[Nivel 2],"",0)</f>
        <v/>
      </c>
      <c r="P1429" t="str">
        <f>_xlfn.XLOOKUP(Table3[[#This Row],[Cuenta]],Estructura_Balance[Nombre Cuenta ()],Estructura_Balance[Nivel 3],"",0)</f>
        <v/>
      </c>
      <c r="Q1429" t="str">
        <f>_xlfn.XLOOKUP(Table3[[#This Row],[Cuenta]],Estructura_Balance[Nombre Cuenta ()],Estructura_Balance[Nivel 4],"",0)</f>
        <v/>
      </c>
      <c r="R1429" t="str">
        <f>_xlfn.XLOOKUP(Table3[[#This Row],[Cuenta]],Table8[Nombre Cuenta ()],Table8[Nivel 1],"",0)</f>
        <v/>
      </c>
      <c r="S1429" t="str">
        <f>_xlfn.XLOOKUP(Table3[[#This Row],[Cuenta]],Table8[Nombre Cuenta ()],Table8[Nivel 2],"",0)</f>
        <v/>
      </c>
      <c r="T1429" t="str">
        <f>_xlfn.XLOOKUP(Table3[[#This Row],[Cuenta]],Table8[Nombre Cuenta ()],Table8[Nivel 3],"",0)</f>
        <v/>
      </c>
      <c r="U1429">
        <v>1400</v>
      </c>
      <c r="V1429" t="str">
        <f>_xlfn.XLOOKUP(Table3[[#This Row],[Cuenta]],Estructura_Balance[Nombre Cuenta ()],Estructura_Balance[Niveles:2],"",0)</f>
        <v/>
      </c>
      <c r="W1429" t="str">
        <f>_xlfn.XLOOKUP(Table3[[#This Row],[Cuenta]],Estructura_Balance[Nombre Cuenta ()],Estructura_Balance[Niveles:3],"",0)</f>
        <v/>
      </c>
      <c r="X1429" t="str">
        <f>_xlfn.XLOOKUP(Table3[[#This Row],[Cuenta]],Estructura_Balance[Nombre Cuenta ()],Estructura_Balance[Grupos],"Grupo 1",0)</f>
        <v>Grupo 1</v>
      </c>
      <c r="Y1429" t="str">
        <f>+Table3[[#This Row],[BS_Nivel_1]]</f>
        <v/>
      </c>
    </row>
    <row r="1430" spans="1:25" ht="15" customHeight="1">
      <c r="A1430">
        <f>+'Libro Diario'!F850</f>
        <v>0</v>
      </c>
      <c r="B1430" s="144">
        <f>VALUE(IF(+'Libro Diario'!G850="","01/01/2025",+'Libro Diario'!G850))</f>
        <v>45658</v>
      </c>
      <c r="C1430">
        <f>IF(ISNUMBER(+IF(IFERROR(VALUE(MID('Libro Diario'!D850,1,4)),0)&lt;&gt;0,'Libro Diario'!D850,0))=FALSE,'Libro Diario'!D850,0)</f>
        <v>0</v>
      </c>
      <c r="D1430" s="145">
        <f>+'Libro Diario'!E850</f>
        <v>0</v>
      </c>
      <c r="E1430" s="139" t="s">
        <v>446</v>
      </c>
      <c r="F1430" t="str">
        <f t="shared" si="66"/>
        <v>Sin Mov.</v>
      </c>
      <c r="G1430" t="str">
        <f>IF(+'Libro Diario'!H850=0,"",+'Libro Diario'!H850)</f>
        <v/>
      </c>
      <c r="H1430" t="str">
        <f>IF(+'Libro Diario'!I850=0,"",+'Libro Diario'!I850)</f>
        <v/>
      </c>
      <c r="I1430" t="str">
        <f>+IF(Table3[[#This Row],[Tipo Movimiento]]="Estructura Balance y PyG","Excluir","Incluir")</f>
        <v>Incluir</v>
      </c>
      <c r="J1430" s="153">
        <f>+IF(Table3[[#This Row],[Sin cuenta]]="Con Mov.",(IF(Table3[[#This Row],[Movimiento]]="Debe",Table3[[#This Row],[Importe]],IF(Table3[[#This Row],[Movimiento]]="Haber",Table3[[#This Row],[Importe]]*-1,0))),0)</f>
        <v>0</v>
      </c>
      <c r="K1430" s="145" t="str">
        <f t="shared" si="67"/>
        <v/>
      </c>
      <c r="L1430" s="145">
        <f t="shared" si="68"/>
        <v>0</v>
      </c>
      <c r="M1430" t="str">
        <f>_xlfn.XLOOKUP(Table3[[#This Row],[Cuenta]],Estructura_Balance[Nombre Cuenta ()],Estructura_Balance[Grupo],"",0)</f>
        <v/>
      </c>
      <c r="N1430" t="str">
        <f>_xlfn.XLOOKUP(Table3[[#This Row],[Cuenta]],Estructura_Balance[Nombre Cuenta ()],Estructura_Balance[Nivel 1],"",0)</f>
        <v/>
      </c>
      <c r="O1430" t="str">
        <f>_xlfn.XLOOKUP(Table3[[#This Row],[Cuenta]],Estructura_Balance[Nombre Cuenta ()],Estructura_Balance[Nivel 2],"",0)</f>
        <v/>
      </c>
      <c r="P1430" t="str">
        <f>_xlfn.XLOOKUP(Table3[[#This Row],[Cuenta]],Estructura_Balance[Nombre Cuenta ()],Estructura_Balance[Nivel 3],"",0)</f>
        <v/>
      </c>
      <c r="Q1430" t="str">
        <f>_xlfn.XLOOKUP(Table3[[#This Row],[Cuenta]],Estructura_Balance[Nombre Cuenta ()],Estructura_Balance[Nivel 4],"",0)</f>
        <v/>
      </c>
      <c r="R1430" t="str">
        <f>_xlfn.XLOOKUP(Table3[[#This Row],[Cuenta]],Table8[Nombre Cuenta ()],Table8[Nivel 1],"",0)</f>
        <v/>
      </c>
      <c r="S1430" t="str">
        <f>_xlfn.XLOOKUP(Table3[[#This Row],[Cuenta]],Table8[Nombre Cuenta ()],Table8[Nivel 2],"",0)</f>
        <v/>
      </c>
      <c r="T1430" t="str">
        <f>_xlfn.XLOOKUP(Table3[[#This Row],[Cuenta]],Table8[Nombre Cuenta ()],Table8[Nivel 3],"",0)</f>
        <v/>
      </c>
      <c r="U1430">
        <v>1401</v>
      </c>
      <c r="V1430" t="str">
        <f>_xlfn.XLOOKUP(Table3[[#This Row],[Cuenta]],Estructura_Balance[Nombre Cuenta ()],Estructura_Balance[Niveles:2],"",0)</f>
        <v/>
      </c>
      <c r="W1430" t="str">
        <f>_xlfn.XLOOKUP(Table3[[#This Row],[Cuenta]],Estructura_Balance[Nombre Cuenta ()],Estructura_Balance[Niveles:3],"",0)</f>
        <v/>
      </c>
      <c r="X1430" t="str">
        <f>_xlfn.XLOOKUP(Table3[[#This Row],[Cuenta]],Estructura_Balance[Nombre Cuenta ()],Estructura_Balance[Grupos],"Grupo 1",0)</f>
        <v>Grupo 1</v>
      </c>
      <c r="Y1430" t="str">
        <f>+Table3[[#This Row],[BS_Nivel_1]]</f>
        <v/>
      </c>
    </row>
    <row r="1431" spans="1:25" ht="15" customHeight="1">
      <c r="A1431">
        <f>+'Libro Diario'!F851</f>
        <v>0</v>
      </c>
      <c r="B1431" s="144">
        <f>VALUE(IF(+'Libro Diario'!G851="","01/01/2025",+'Libro Diario'!G851))</f>
        <v>45658</v>
      </c>
      <c r="C1431">
        <f>IF(ISNUMBER(+IF(IFERROR(VALUE(MID('Libro Diario'!D851,1,4)),0)&lt;&gt;0,'Libro Diario'!D851,0))=FALSE,'Libro Diario'!D851,0)</f>
        <v>0</v>
      </c>
      <c r="D1431" s="145">
        <f>+'Libro Diario'!E851</f>
        <v>0</v>
      </c>
      <c r="E1431" s="139" t="s">
        <v>446</v>
      </c>
      <c r="F1431" t="str">
        <f t="shared" si="66"/>
        <v>Sin Mov.</v>
      </c>
      <c r="G1431" t="str">
        <f>IF(+'Libro Diario'!H851=0,"",+'Libro Diario'!H851)</f>
        <v/>
      </c>
      <c r="H1431" t="str">
        <f>IF(+'Libro Diario'!I851=0,"",+'Libro Diario'!I851)</f>
        <v/>
      </c>
      <c r="I1431" t="str">
        <f>+IF(Table3[[#This Row],[Tipo Movimiento]]="Estructura Balance y PyG","Excluir","Incluir")</f>
        <v>Incluir</v>
      </c>
      <c r="J1431" s="153">
        <f>+IF(Table3[[#This Row],[Sin cuenta]]="Con Mov.",(IF(Table3[[#This Row],[Movimiento]]="Debe",Table3[[#This Row],[Importe]],IF(Table3[[#This Row],[Movimiento]]="Haber",Table3[[#This Row],[Importe]]*-1,0))),0)</f>
        <v>0</v>
      </c>
      <c r="K1431" s="145" t="str">
        <f t="shared" si="67"/>
        <v/>
      </c>
      <c r="L1431" s="145">
        <f t="shared" si="68"/>
        <v>0</v>
      </c>
      <c r="M1431" t="str">
        <f>_xlfn.XLOOKUP(Table3[[#This Row],[Cuenta]],Estructura_Balance[Nombre Cuenta ()],Estructura_Balance[Grupo],"",0)</f>
        <v/>
      </c>
      <c r="N1431" t="str">
        <f>_xlfn.XLOOKUP(Table3[[#This Row],[Cuenta]],Estructura_Balance[Nombre Cuenta ()],Estructura_Balance[Nivel 1],"",0)</f>
        <v/>
      </c>
      <c r="O1431" t="str">
        <f>_xlfn.XLOOKUP(Table3[[#This Row],[Cuenta]],Estructura_Balance[Nombre Cuenta ()],Estructura_Balance[Nivel 2],"",0)</f>
        <v/>
      </c>
      <c r="P1431" t="str">
        <f>_xlfn.XLOOKUP(Table3[[#This Row],[Cuenta]],Estructura_Balance[Nombre Cuenta ()],Estructura_Balance[Nivel 3],"",0)</f>
        <v/>
      </c>
      <c r="Q1431" t="str">
        <f>_xlfn.XLOOKUP(Table3[[#This Row],[Cuenta]],Estructura_Balance[Nombre Cuenta ()],Estructura_Balance[Nivel 4],"",0)</f>
        <v/>
      </c>
      <c r="R1431" t="str">
        <f>_xlfn.XLOOKUP(Table3[[#This Row],[Cuenta]],Table8[Nombre Cuenta ()],Table8[Nivel 1],"",0)</f>
        <v/>
      </c>
      <c r="S1431" t="str">
        <f>_xlfn.XLOOKUP(Table3[[#This Row],[Cuenta]],Table8[Nombre Cuenta ()],Table8[Nivel 2],"",0)</f>
        <v/>
      </c>
      <c r="T1431" t="str">
        <f>_xlfn.XLOOKUP(Table3[[#This Row],[Cuenta]],Table8[Nombre Cuenta ()],Table8[Nivel 3],"",0)</f>
        <v/>
      </c>
      <c r="U1431">
        <v>409</v>
      </c>
      <c r="V1431" t="str">
        <f>_xlfn.XLOOKUP(Table3[[#This Row],[Cuenta]],Estructura_Balance[Nombre Cuenta ()],Estructura_Balance[Niveles:2],"",0)</f>
        <v/>
      </c>
      <c r="W1431" t="str">
        <f>_xlfn.XLOOKUP(Table3[[#This Row],[Cuenta]],Estructura_Balance[Nombre Cuenta ()],Estructura_Balance[Niveles:3],"",0)</f>
        <v/>
      </c>
      <c r="X1431" t="str">
        <f>_xlfn.XLOOKUP(Table3[[#This Row],[Cuenta]],Estructura_Balance[Nombre Cuenta ()],Estructura_Balance[Grupos],"Grupo 1",0)</f>
        <v>Grupo 1</v>
      </c>
      <c r="Y1431" t="str">
        <f>+Table3[[#This Row],[BS_Nivel_1]]</f>
        <v/>
      </c>
    </row>
    <row r="1432" spans="1:25" ht="15" customHeight="1">
      <c r="A1432">
        <f>+'Libro Diario'!F852</f>
        <v>0</v>
      </c>
      <c r="B1432" s="144">
        <f>VALUE(IF(+'Libro Diario'!G852="","01/01/2025",+'Libro Diario'!G852))</f>
        <v>45658</v>
      </c>
      <c r="C1432">
        <f>IF(ISNUMBER(+IF(IFERROR(VALUE(MID('Libro Diario'!D852,1,4)),0)&lt;&gt;0,'Libro Diario'!D852,0))=FALSE,'Libro Diario'!D852,0)</f>
        <v>0</v>
      </c>
      <c r="D1432" s="145">
        <f>+'Libro Diario'!E852</f>
        <v>0</v>
      </c>
      <c r="E1432" s="139" t="s">
        <v>446</v>
      </c>
      <c r="F1432" t="str">
        <f t="shared" si="66"/>
        <v>Sin Mov.</v>
      </c>
      <c r="G1432" t="str">
        <f>IF(+'Libro Diario'!H852=0,"",+'Libro Diario'!H852)</f>
        <v/>
      </c>
      <c r="H1432" t="str">
        <f>IF(+'Libro Diario'!I852=0,"",+'Libro Diario'!I852)</f>
        <v/>
      </c>
      <c r="I1432" t="str">
        <f>+IF(Table3[[#This Row],[Tipo Movimiento]]="Estructura Balance y PyG","Excluir","Incluir")</f>
        <v>Incluir</v>
      </c>
      <c r="J1432" s="153">
        <f>+IF(Table3[[#This Row],[Sin cuenta]]="Con Mov.",(IF(Table3[[#This Row],[Movimiento]]="Debe",Table3[[#This Row],[Importe]],IF(Table3[[#This Row],[Movimiento]]="Haber",Table3[[#This Row],[Importe]]*-1,0))),0)</f>
        <v>0</v>
      </c>
      <c r="K1432" s="145" t="str">
        <f t="shared" si="67"/>
        <v/>
      </c>
      <c r="L1432" s="145">
        <f t="shared" si="68"/>
        <v>0</v>
      </c>
      <c r="M1432" t="str">
        <f>_xlfn.XLOOKUP(Table3[[#This Row],[Cuenta]],Estructura_Balance[Nombre Cuenta ()],Estructura_Balance[Grupo],"",0)</f>
        <v/>
      </c>
      <c r="N1432" t="str">
        <f>_xlfn.XLOOKUP(Table3[[#This Row],[Cuenta]],Estructura_Balance[Nombre Cuenta ()],Estructura_Balance[Nivel 1],"",0)</f>
        <v/>
      </c>
      <c r="O1432" t="str">
        <f>_xlfn.XLOOKUP(Table3[[#This Row],[Cuenta]],Estructura_Balance[Nombre Cuenta ()],Estructura_Balance[Nivel 2],"",0)</f>
        <v/>
      </c>
      <c r="P1432" t="str">
        <f>_xlfn.XLOOKUP(Table3[[#This Row],[Cuenta]],Estructura_Balance[Nombre Cuenta ()],Estructura_Balance[Nivel 3],"",0)</f>
        <v/>
      </c>
      <c r="Q1432" t="str">
        <f>_xlfn.XLOOKUP(Table3[[#This Row],[Cuenta]],Estructura_Balance[Nombre Cuenta ()],Estructura_Balance[Nivel 4],"",0)</f>
        <v/>
      </c>
      <c r="R1432" t="str">
        <f>_xlfn.XLOOKUP(Table3[[#This Row],[Cuenta]],Table8[Nombre Cuenta ()],Table8[Nivel 1],"",0)</f>
        <v/>
      </c>
      <c r="S1432" t="str">
        <f>_xlfn.XLOOKUP(Table3[[#This Row],[Cuenta]],Table8[Nombre Cuenta ()],Table8[Nivel 2],"",0)</f>
        <v/>
      </c>
      <c r="T1432" t="str">
        <f>_xlfn.XLOOKUP(Table3[[#This Row],[Cuenta]],Table8[Nombre Cuenta ()],Table8[Nivel 3],"",0)</f>
        <v/>
      </c>
      <c r="U1432">
        <v>410</v>
      </c>
      <c r="V1432" t="str">
        <f>_xlfn.XLOOKUP(Table3[[#This Row],[Cuenta]],Estructura_Balance[Nombre Cuenta ()],Estructura_Balance[Niveles:2],"",0)</f>
        <v/>
      </c>
      <c r="W1432" t="str">
        <f>_xlfn.XLOOKUP(Table3[[#This Row],[Cuenta]],Estructura_Balance[Nombre Cuenta ()],Estructura_Balance[Niveles:3],"",0)</f>
        <v/>
      </c>
      <c r="X1432" t="str">
        <f>_xlfn.XLOOKUP(Table3[[#This Row],[Cuenta]],Estructura_Balance[Nombre Cuenta ()],Estructura_Balance[Grupos],"Grupo 1",0)</f>
        <v>Grupo 1</v>
      </c>
      <c r="Y1432" t="str">
        <f>+Table3[[#This Row],[BS_Nivel_1]]</f>
        <v/>
      </c>
    </row>
    <row r="1433" spans="1:25" ht="15" customHeight="1">
      <c r="A1433">
        <f>+'Libro Diario'!F853</f>
        <v>0</v>
      </c>
      <c r="B1433" s="144">
        <f>VALUE(IF(+'Libro Diario'!G853="","01/01/2025",+'Libro Diario'!G853))</f>
        <v>45658</v>
      </c>
      <c r="C1433">
        <f>IF(ISNUMBER(+IF(IFERROR(VALUE(MID('Libro Diario'!D853,1,4)),0)&lt;&gt;0,'Libro Diario'!D853,0))=FALSE,'Libro Diario'!D853,0)</f>
        <v>0</v>
      </c>
      <c r="D1433" s="145">
        <f>+'Libro Diario'!E853</f>
        <v>0</v>
      </c>
      <c r="E1433" s="139" t="s">
        <v>446</v>
      </c>
      <c r="F1433" t="str">
        <f t="shared" si="66"/>
        <v>Sin Mov.</v>
      </c>
      <c r="G1433" t="str">
        <f>IF(+'Libro Diario'!H853=0,"",+'Libro Diario'!H853)</f>
        <v/>
      </c>
      <c r="H1433" t="str">
        <f>IF(+'Libro Diario'!I853=0,"",+'Libro Diario'!I853)</f>
        <v/>
      </c>
      <c r="I1433" t="str">
        <f>+IF(Table3[[#This Row],[Tipo Movimiento]]="Estructura Balance y PyG","Excluir","Incluir")</f>
        <v>Incluir</v>
      </c>
      <c r="J1433" s="153">
        <f>+IF(Table3[[#This Row],[Sin cuenta]]="Con Mov.",(IF(Table3[[#This Row],[Movimiento]]="Debe",Table3[[#This Row],[Importe]],IF(Table3[[#This Row],[Movimiento]]="Haber",Table3[[#This Row],[Importe]]*-1,0))),0)</f>
        <v>0</v>
      </c>
      <c r="K1433" s="145" t="str">
        <f t="shared" si="67"/>
        <v/>
      </c>
      <c r="L1433" s="145">
        <f t="shared" si="68"/>
        <v>0</v>
      </c>
      <c r="M1433" t="str">
        <f>_xlfn.XLOOKUP(Table3[[#This Row],[Cuenta]],Estructura_Balance[Nombre Cuenta ()],Estructura_Balance[Grupo],"",0)</f>
        <v/>
      </c>
      <c r="N1433" t="str">
        <f>_xlfn.XLOOKUP(Table3[[#This Row],[Cuenta]],Estructura_Balance[Nombre Cuenta ()],Estructura_Balance[Nivel 1],"",0)</f>
        <v/>
      </c>
      <c r="O1433" t="str">
        <f>_xlfn.XLOOKUP(Table3[[#This Row],[Cuenta]],Estructura_Balance[Nombre Cuenta ()],Estructura_Balance[Nivel 2],"",0)</f>
        <v/>
      </c>
      <c r="P1433" t="str">
        <f>_xlfn.XLOOKUP(Table3[[#This Row],[Cuenta]],Estructura_Balance[Nombre Cuenta ()],Estructura_Balance[Nivel 3],"",0)</f>
        <v/>
      </c>
      <c r="Q1433" t="str">
        <f>_xlfn.XLOOKUP(Table3[[#This Row],[Cuenta]],Estructura_Balance[Nombre Cuenta ()],Estructura_Balance[Nivel 4],"",0)</f>
        <v/>
      </c>
      <c r="R1433" t="str">
        <f>_xlfn.XLOOKUP(Table3[[#This Row],[Cuenta]],Table8[Nombre Cuenta ()],Table8[Nivel 1],"",0)</f>
        <v/>
      </c>
      <c r="S1433" t="str">
        <f>_xlfn.XLOOKUP(Table3[[#This Row],[Cuenta]],Table8[Nombre Cuenta ()],Table8[Nivel 2],"",0)</f>
        <v/>
      </c>
      <c r="T1433" t="str">
        <f>_xlfn.XLOOKUP(Table3[[#This Row],[Cuenta]],Table8[Nombre Cuenta ()],Table8[Nivel 3],"",0)</f>
        <v/>
      </c>
      <c r="U1433">
        <v>1407</v>
      </c>
      <c r="V1433" t="str">
        <f>_xlfn.XLOOKUP(Table3[[#This Row],[Cuenta]],Estructura_Balance[Nombre Cuenta ()],Estructura_Balance[Niveles:2],"",0)</f>
        <v/>
      </c>
      <c r="W1433" t="str">
        <f>_xlfn.XLOOKUP(Table3[[#This Row],[Cuenta]],Estructura_Balance[Nombre Cuenta ()],Estructura_Balance[Niveles:3],"",0)</f>
        <v/>
      </c>
      <c r="X1433" t="str">
        <f>_xlfn.XLOOKUP(Table3[[#This Row],[Cuenta]],Estructura_Balance[Nombre Cuenta ()],Estructura_Balance[Grupos],"Grupo 1",0)</f>
        <v>Grupo 1</v>
      </c>
      <c r="Y1433" t="str">
        <f>+Table3[[#This Row],[BS_Nivel_1]]</f>
        <v/>
      </c>
    </row>
    <row r="1434" spans="1:25" ht="15" customHeight="1">
      <c r="A1434">
        <f>+'Libro Diario'!F854</f>
        <v>0</v>
      </c>
      <c r="B1434" s="144">
        <f>VALUE(IF(+'Libro Diario'!G854="","01/01/2025",+'Libro Diario'!G854))</f>
        <v>45658</v>
      </c>
      <c r="C1434">
        <f>IF(ISNUMBER(+IF(IFERROR(VALUE(MID('Libro Diario'!D854,1,4)),0)&lt;&gt;0,'Libro Diario'!D854,0))=FALSE,'Libro Diario'!D854,0)</f>
        <v>0</v>
      </c>
      <c r="D1434" s="145">
        <f>+'Libro Diario'!E854</f>
        <v>0</v>
      </c>
      <c r="E1434" s="139" t="s">
        <v>446</v>
      </c>
      <c r="F1434" t="str">
        <f t="shared" si="66"/>
        <v>Sin Mov.</v>
      </c>
      <c r="G1434" t="str">
        <f>IF(+'Libro Diario'!H854=0,"",+'Libro Diario'!H854)</f>
        <v/>
      </c>
      <c r="H1434" t="str">
        <f>IF(+'Libro Diario'!I854=0,"",+'Libro Diario'!I854)</f>
        <v/>
      </c>
      <c r="I1434" t="str">
        <f>+IF(Table3[[#This Row],[Tipo Movimiento]]="Estructura Balance y PyG","Excluir","Incluir")</f>
        <v>Incluir</v>
      </c>
      <c r="J1434" s="153">
        <f>+IF(Table3[[#This Row],[Sin cuenta]]="Con Mov.",(IF(Table3[[#This Row],[Movimiento]]="Debe",Table3[[#This Row],[Importe]],IF(Table3[[#This Row],[Movimiento]]="Haber",Table3[[#This Row],[Importe]]*-1,0))),0)</f>
        <v>0</v>
      </c>
      <c r="K1434" s="145" t="str">
        <f t="shared" si="67"/>
        <v/>
      </c>
      <c r="L1434" s="145">
        <f t="shared" si="68"/>
        <v>0</v>
      </c>
      <c r="M1434" t="str">
        <f>_xlfn.XLOOKUP(Table3[[#This Row],[Cuenta]],Estructura_Balance[Nombre Cuenta ()],Estructura_Balance[Grupo],"",0)</f>
        <v/>
      </c>
      <c r="N1434" t="str">
        <f>_xlfn.XLOOKUP(Table3[[#This Row],[Cuenta]],Estructura_Balance[Nombre Cuenta ()],Estructura_Balance[Nivel 1],"",0)</f>
        <v/>
      </c>
      <c r="O1434" t="str">
        <f>_xlfn.XLOOKUP(Table3[[#This Row],[Cuenta]],Estructura_Balance[Nombre Cuenta ()],Estructura_Balance[Nivel 2],"",0)</f>
        <v/>
      </c>
      <c r="P1434" t="str">
        <f>_xlfn.XLOOKUP(Table3[[#This Row],[Cuenta]],Estructura_Balance[Nombre Cuenta ()],Estructura_Balance[Nivel 3],"",0)</f>
        <v/>
      </c>
      <c r="Q1434" t="str">
        <f>_xlfn.XLOOKUP(Table3[[#This Row],[Cuenta]],Estructura_Balance[Nombre Cuenta ()],Estructura_Balance[Nivel 4],"",0)</f>
        <v/>
      </c>
      <c r="R1434" t="str">
        <f>_xlfn.XLOOKUP(Table3[[#This Row],[Cuenta]],Table8[Nombre Cuenta ()],Table8[Nivel 1],"",0)</f>
        <v/>
      </c>
      <c r="S1434" t="str">
        <f>_xlfn.XLOOKUP(Table3[[#This Row],[Cuenta]],Table8[Nombre Cuenta ()],Table8[Nivel 2],"",0)</f>
        <v/>
      </c>
      <c r="T1434" t="str">
        <f>_xlfn.XLOOKUP(Table3[[#This Row],[Cuenta]],Table8[Nombre Cuenta ()],Table8[Nivel 3],"",0)</f>
        <v/>
      </c>
      <c r="U1434">
        <v>1408</v>
      </c>
      <c r="V1434" t="str">
        <f>_xlfn.XLOOKUP(Table3[[#This Row],[Cuenta]],Estructura_Balance[Nombre Cuenta ()],Estructura_Balance[Niveles:2],"",0)</f>
        <v/>
      </c>
      <c r="W1434" t="str">
        <f>_xlfn.XLOOKUP(Table3[[#This Row],[Cuenta]],Estructura_Balance[Nombre Cuenta ()],Estructura_Balance[Niveles:3],"",0)</f>
        <v/>
      </c>
      <c r="X1434" t="str">
        <f>_xlfn.XLOOKUP(Table3[[#This Row],[Cuenta]],Estructura_Balance[Nombre Cuenta ()],Estructura_Balance[Grupos],"Grupo 1",0)</f>
        <v>Grupo 1</v>
      </c>
      <c r="Y1434" t="str">
        <f>+Table3[[#This Row],[BS_Nivel_1]]</f>
        <v/>
      </c>
    </row>
    <row r="1435" spans="1:25" ht="15" customHeight="1">
      <c r="A1435">
        <f>+'Libro Diario'!F855</f>
        <v>0</v>
      </c>
      <c r="B1435" s="144">
        <f>VALUE(IF(+'Libro Diario'!G855="","01/01/2025",+'Libro Diario'!G855))</f>
        <v>45658</v>
      </c>
      <c r="C1435">
        <f>IF(ISNUMBER(+IF(IFERROR(VALUE(MID('Libro Diario'!D855,1,4)),0)&lt;&gt;0,'Libro Diario'!D855,0))=FALSE,'Libro Diario'!D855,0)</f>
        <v>0</v>
      </c>
      <c r="D1435" s="145">
        <f>+'Libro Diario'!E855</f>
        <v>0</v>
      </c>
      <c r="E1435" s="139" t="s">
        <v>446</v>
      </c>
      <c r="F1435" t="str">
        <f t="shared" si="66"/>
        <v>Sin Mov.</v>
      </c>
      <c r="G1435" t="str">
        <f>IF(+'Libro Diario'!H855=0,"",+'Libro Diario'!H855)</f>
        <v/>
      </c>
      <c r="H1435" t="str">
        <f>IF(+'Libro Diario'!I855=0,"",+'Libro Diario'!I855)</f>
        <v/>
      </c>
      <c r="I1435" t="str">
        <f>+IF(Table3[[#This Row],[Tipo Movimiento]]="Estructura Balance y PyG","Excluir","Incluir")</f>
        <v>Incluir</v>
      </c>
      <c r="J1435" s="153">
        <f>+IF(Table3[[#This Row],[Sin cuenta]]="Con Mov.",(IF(Table3[[#This Row],[Movimiento]]="Debe",Table3[[#This Row],[Importe]],IF(Table3[[#This Row],[Movimiento]]="Haber",Table3[[#This Row],[Importe]]*-1,0))),0)</f>
        <v>0</v>
      </c>
      <c r="K1435" s="145" t="str">
        <f t="shared" si="67"/>
        <v/>
      </c>
      <c r="L1435" s="145">
        <f t="shared" si="68"/>
        <v>0</v>
      </c>
      <c r="M1435" t="str">
        <f>_xlfn.XLOOKUP(Table3[[#This Row],[Cuenta]],Estructura_Balance[Nombre Cuenta ()],Estructura_Balance[Grupo],"",0)</f>
        <v/>
      </c>
      <c r="N1435" t="str">
        <f>_xlfn.XLOOKUP(Table3[[#This Row],[Cuenta]],Estructura_Balance[Nombre Cuenta ()],Estructura_Balance[Nivel 1],"",0)</f>
        <v/>
      </c>
      <c r="O1435" t="str">
        <f>_xlfn.XLOOKUP(Table3[[#This Row],[Cuenta]],Estructura_Balance[Nombre Cuenta ()],Estructura_Balance[Nivel 2],"",0)</f>
        <v/>
      </c>
      <c r="P1435" t="str">
        <f>_xlfn.XLOOKUP(Table3[[#This Row],[Cuenta]],Estructura_Balance[Nombre Cuenta ()],Estructura_Balance[Nivel 3],"",0)</f>
        <v/>
      </c>
      <c r="Q1435" t="str">
        <f>_xlfn.XLOOKUP(Table3[[#This Row],[Cuenta]],Estructura_Balance[Nombre Cuenta ()],Estructura_Balance[Nivel 4],"",0)</f>
        <v/>
      </c>
      <c r="R1435" t="str">
        <f>_xlfn.XLOOKUP(Table3[[#This Row],[Cuenta]],Table8[Nombre Cuenta ()],Table8[Nivel 1],"",0)</f>
        <v/>
      </c>
      <c r="S1435" t="str">
        <f>_xlfn.XLOOKUP(Table3[[#This Row],[Cuenta]],Table8[Nombre Cuenta ()],Table8[Nivel 2],"",0)</f>
        <v/>
      </c>
      <c r="T1435" t="str">
        <f>_xlfn.XLOOKUP(Table3[[#This Row],[Cuenta]],Table8[Nombre Cuenta ()],Table8[Nivel 3],"",0)</f>
        <v/>
      </c>
      <c r="U1435">
        <v>416</v>
      </c>
      <c r="V1435" t="str">
        <f>_xlfn.XLOOKUP(Table3[[#This Row],[Cuenta]],Estructura_Balance[Nombre Cuenta ()],Estructura_Balance[Niveles:2],"",0)</f>
        <v/>
      </c>
      <c r="W1435" t="str">
        <f>_xlfn.XLOOKUP(Table3[[#This Row],[Cuenta]],Estructura_Balance[Nombre Cuenta ()],Estructura_Balance[Niveles:3],"",0)</f>
        <v/>
      </c>
      <c r="X1435" t="str">
        <f>_xlfn.XLOOKUP(Table3[[#This Row],[Cuenta]],Estructura_Balance[Nombre Cuenta ()],Estructura_Balance[Grupos],"Grupo 1",0)</f>
        <v>Grupo 1</v>
      </c>
      <c r="Y1435" t="str">
        <f>+Table3[[#This Row],[BS_Nivel_1]]</f>
        <v/>
      </c>
    </row>
    <row r="1436" spans="1:25" ht="15" customHeight="1">
      <c r="A1436">
        <f>+'Libro Diario'!F856</f>
        <v>0</v>
      </c>
      <c r="B1436" s="144">
        <f>VALUE(IF(+'Libro Diario'!G856="","01/01/2025",+'Libro Diario'!G856))</f>
        <v>45658</v>
      </c>
      <c r="C1436">
        <f>IF(ISNUMBER(+IF(IFERROR(VALUE(MID('Libro Diario'!D856,1,4)),0)&lt;&gt;0,'Libro Diario'!D856,0))=FALSE,'Libro Diario'!D856,0)</f>
        <v>0</v>
      </c>
      <c r="D1436" s="145">
        <f>+'Libro Diario'!E856</f>
        <v>0</v>
      </c>
      <c r="E1436" s="139" t="s">
        <v>446</v>
      </c>
      <c r="F1436" t="str">
        <f t="shared" si="66"/>
        <v>Sin Mov.</v>
      </c>
      <c r="G1436" t="str">
        <f>IF(+'Libro Diario'!H856=0,"",+'Libro Diario'!H856)</f>
        <v/>
      </c>
      <c r="H1436" t="str">
        <f>IF(+'Libro Diario'!I856=0,"",+'Libro Diario'!I856)</f>
        <v/>
      </c>
      <c r="I1436" t="str">
        <f>+IF(Table3[[#This Row],[Tipo Movimiento]]="Estructura Balance y PyG","Excluir","Incluir")</f>
        <v>Incluir</v>
      </c>
      <c r="J1436" s="153">
        <f>+IF(Table3[[#This Row],[Sin cuenta]]="Con Mov.",(IF(Table3[[#This Row],[Movimiento]]="Debe",Table3[[#This Row],[Importe]],IF(Table3[[#This Row],[Movimiento]]="Haber",Table3[[#This Row],[Importe]]*-1,0))),0)</f>
        <v>0</v>
      </c>
      <c r="K1436" s="145" t="str">
        <f t="shared" si="67"/>
        <v/>
      </c>
      <c r="L1436" s="145">
        <f t="shared" si="68"/>
        <v>0</v>
      </c>
      <c r="M1436" t="str">
        <f>_xlfn.XLOOKUP(Table3[[#This Row],[Cuenta]],Estructura_Balance[Nombre Cuenta ()],Estructura_Balance[Grupo],"",0)</f>
        <v/>
      </c>
      <c r="N1436" t="str">
        <f>_xlfn.XLOOKUP(Table3[[#This Row],[Cuenta]],Estructura_Balance[Nombre Cuenta ()],Estructura_Balance[Nivel 1],"",0)</f>
        <v/>
      </c>
      <c r="O1436" t="str">
        <f>_xlfn.XLOOKUP(Table3[[#This Row],[Cuenta]],Estructura_Balance[Nombre Cuenta ()],Estructura_Balance[Nivel 2],"",0)</f>
        <v/>
      </c>
      <c r="P1436" t="str">
        <f>_xlfn.XLOOKUP(Table3[[#This Row],[Cuenta]],Estructura_Balance[Nombre Cuenta ()],Estructura_Balance[Nivel 3],"",0)</f>
        <v/>
      </c>
      <c r="Q1436" t="str">
        <f>_xlfn.XLOOKUP(Table3[[#This Row],[Cuenta]],Estructura_Balance[Nombre Cuenta ()],Estructura_Balance[Nivel 4],"",0)</f>
        <v/>
      </c>
      <c r="R1436" t="str">
        <f>_xlfn.XLOOKUP(Table3[[#This Row],[Cuenta]],Table8[Nombre Cuenta ()],Table8[Nivel 1],"",0)</f>
        <v/>
      </c>
      <c r="S1436" t="str">
        <f>_xlfn.XLOOKUP(Table3[[#This Row],[Cuenta]],Table8[Nombre Cuenta ()],Table8[Nivel 2],"",0)</f>
        <v/>
      </c>
      <c r="T1436" t="str">
        <f>_xlfn.XLOOKUP(Table3[[#This Row],[Cuenta]],Table8[Nombre Cuenta ()],Table8[Nivel 3],"",0)</f>
        <v/>
      </c>
      <c r="U1436">
        <v>417</v>
      </c>
      <c r="V1436" t="str">
        <f>_xlfn.XLOOKUP(Table3[[#This Row],[Cuenta]],Estructura_Balance[Nombre Cuenta ()],Estructura_Balance[Niveles:2],"",0)</f>
        <v/>
      </c>
      <c r="W1436" t="str">
        <f>_xlfn.XLOOKUP(Table3[[#This Row],[Cuenta]],Estructura_Balance[Nombre Cuenta ()],Estructura_Balance[Niveles:3],"",0)</f>
        <v/>
      </c>
      <c r="X1436" t="str">
        <f>_xlfn.XLOOKUP(Table3[[#This Row],[Cuenta]],Estructura_Balance[Nombre Cuenta ()],Estructura_Balance[Grupos],"Grupo 1",0)</f>
        <v>Grupo 1</v>
      </c>
      <c r="Y1436" t="str">
        <f>+Table3[[#This Row],[BS_Nivel_1]]</f>
        <v/>
      </c>
    </row>
    <row r="1437" spans="1:25" ht="15" customHeight="1">
      <c r="A1437">
        <f>+'Libro Diario'!F857</f>
        <v>0</v>
      </c>
      <c r="B1437" s="144">
        <f>VALUE(IF(+'Libro Diario'!G857="","01/01/2025",+'Libro Diario'!G857))</f>
        <v>45658</v>
      </c>
      <c r="C1437">
        <f>IF(ISNUMBER(+IF(IFERROR(VALUE(MID('Libro Diario'!D857,1,4)),0)&lt;&gt;0,'Libro Diario'!D857,0))=FALSE,'Libro Diario'!D857,0)</f>
        <v>0</v>
      </c>
      <c r="D1437" s="145">
        <f>+'Libro Diario'!E857</f>
        <v>0</v>
      </c>
      <c r="E1437" s="139" t="s">
        <v>446</v>
      </c>
      <c r="F1437" t="str">
        <f t="shared" si="66"/>
        <v>Sin Mov.</v>
      </c>
      <c r="G1437" t="str">
        <f>IF(+'Libro Diario'!H857=0,"",+'Libro Diario'!H857)</f>
        <v/>
      </c>
      <c r="H1437" t="str">
        <f>IF(+'Libro Diario'!I857=0,"",+'Libro Diario'!I857)</f>
        <v/>
      </c>
      <c r="I1437" t="str">
        <f>+IF(Table3[[#This Row],[Tipo Movimiento]]="Estructura Balance y PyG","Excluir","Incluir")</f>
        <v>Incluir</v>
      </c>
      <c r="J1437" s="153">
        <f>+IF(Table3[[#This Row],[Sin cuenta]]="Con Mov.",(IF(Table3[[#This Row],[Movimiento]]="Debe",Table3[[#This Row],[Importe]],IF(Table3[[#This Row],[Movimiento]]="Haber",Table3[[#This Row],[Importe]]*-1,0))),0)</f>
        <v>0</v>
      </c>
      <c r="K1437" s="145" t="str">
        <f t="shared" si="67"/>
        <v/>
      </c>
      <c r="L1437" s="145">
        <f t="shared" si="68"/>
        <v>0</v>
      </c>
      <c r="M1437" t="str">
        <f>_xlfn.XLOOKUP(Table3[[#This Row],[Cuenta]],Estructura_Balance[Nombre Cuenta ()],Estructura_Balance[Grupo],"",0)</f>
        <v/>
      </c>
      <c r="N1437" t="str">
        <f>_xlfn.XLOOKUP(Table3[[#This Row],[Cuenta]],Estructura_Balance[Nombre Cuenta ()],Estructura_Balance[Nivel 1],"",0)</f>
        <v/>
      </c>
      <c r="O1437" t="str">
        <f>_xlfn.XLOOKUP(Table3[[#This Row],[Cuenta]],Estructura_Balance[Nombre Cuenta ()],Estructura_Balance[Nivel 2],"",0)</f>
        <v/>
      </c>
      <c r="P1437" t="str">
        <f>_xlfn.XLOOKUP(Table3[[#This Row],[Cuenta]],Estructura_Balance[Nombre Cuenta ()],Estructura_Balance[Nivel 3],"",0)</f>
        <v/>
      </c>
      <c r="Q1437" t="str">
        <f>_xlfn.XLOOKUP(Table3[[#This Row],[Cuenta]],Estructura_Balance[Nombre Cuenta ()],Estructura_Balance[Nivel 4],"",0)</f>
        <v/>
      </c>
      <c r="R1437" t="str">
        <f>_xlfn.XLOOKUP(Table3[[#This Row],[Cuenta]],Table8[Nombre Cuenta ()],Table8[Nivel 1],"",0)</f>
        <v/>
      </c>
      <c r="S1437" t="str">
        <f>_xlfn.XLOOKUP(Table3[[#This Row],[Cuenta]],Table8[Nombre Cuenta ()],Table8[Nivel 2],"",0)</f>
        <v/>
      </c>
      <c r="T1437" t="str">
        <f>_xlfn.XLOOKUP(Table3[[#This Row],[Cuenta]],Table8[Nombre Cuenta ()],Table8[Nivel 3],"",0)</f>
        <v/>
      </c>
      <c r="U1437">
        <v>1414</v>
      </c>
      <c r="V1437" t="str">
        <f>_xlfn.XLOOKUP(Table3[[#This Row],[Cuenta]],Estructura_Balance[Nombre Cuenta ()],Estructura_Balance[Niveles:2],"",0)</f>
        <v/>
      </c>
      <c r="W1437" t="str">
        <f>_xlfn.XLOOKUP(Table3[[#This Row],[Cuenta]],Estructura_Balance[Nombre Cuenta ()],Estructura_Balance[Niveles:3],"",0)</f>
        <v/>
      </c>
      <c r="X1437" t="str">
        <f>_xlfn.XLOOKUP(Table3[[#This Row],[Cuenta]],Estructura_Balance[Nombre Cuenta ()],Estructura_Balance[Grupos],"Grupo 1",0)</f>
        <v>Grupo 1</v>
      </c>
      <c r="Y1437" t="str">
        <f>+Table3[[#This Row],[BS_Nivel_1]]</f>
        <v/>
      </c>
    </row>
    <row r="1438" spans="1:25" ht="15" customHeight="1">
      <c r="A1438">
        <f>+'Libro Diario'!F858</f>
        <v>0</v>
      </c>
      <c r="B1438" s="144">
        <f>VALUE(IF(+'Libro Diario'!G858="","01/01/2025",+'Libro Diario'!G858))</f>
        <v>45658</v>
      </c>
      <c r="C1438">
        <f>IF(ISNUMBER(+IF(IFERROR(VALUE(MID('Libro Diario'!D858,1,4)),0)&lt;&gt;0,'Libro Diario'!D858,0))=FALSE,'Libro Diario'!D858,0)</f>
        <v>0</v>
      </c>
      <c r="D1438" s="145">
        <f>+'Libro Diario'!E858</f>
        <v>0</v>
      </c>
      <c r="E1438" s="139" t="s">
        <v>446</v>
      </c>
      <c r="F1438" t="str">
        <f t="shared" si="66"/>
        <v>Sin Mov.</v>
      </c>
      <c r="G1438" t="str">
        <f>IF(+'Libro Diario'!H858=0,"",+'Libro Diario'!H858)</f>
        <v/>
      </c>
      <c r="H1438" t="str">
        <f>IF(+'Libro Diario'!I858=0,"",+'Libro Diario'!I858)</f>
        <v/>
      </c>
      <c r="I1438" t="str">
        <f>+IF(Table3[[#This Row],[Tipo Movimiento]]="Estructura Balance y PyG","Excluir","Incluir")</f>
        <v>Incluir</v>
      </c>
      <c r="J1438" s="153">
        <f>+IF(Table3[[#This Row],[Sin cuenta]]="Con Mov.",(IF(Table3[[#This Row],[Movimiento]]="Debe",Table3[[#This Row],[Importe]],IF(Table3[[#This Row],[Movimiento]]="Haber",Table3[[#This Row],[Importe]]*-1,0))),0)</f>
        <v>0</v>
      </c>
      <c r="K1438" s="145" t="str">
        <f t="shared" si="67"/>
        <v/>
      </c>
      <c r="L1438" s="145">
        <f t="shared" si="68"/>
        <v>0</v>
      </c>
      <c r="M1438" t="str">
        <f>_xlfn.XLOOKUP(Table3[[#This Row],[Cuenta]],Estructura_Balance[Nombre Cuenta ()],Estructura_Balance[Grupo],"",0)</f>
        <v/>
      </c>
      <c r="N1438" t="str">
        <f>_xlfn.XLOOKUP(Table3[[#This Row],[Cuenta]],Estructura_Balance[Nombre Cuenta ()],Estructura_Balance[Nivel 1],"",0)</f>
        <v/>
      </c>
      <c r="O1438" t="str">
        <f>_xlfn.XLOOKUP(Table3[[#This Row],[Cuenta]],Estructura_Balance[Nombre Cuenta ()],Estructura_Balance[Nivel 2],"",0)</f>
        <v/>
      </c>
      <c r="P1438" t="str">
        <f>_xlfn.XLOOKUP(Table3[[#This Row],[Cuenta]],Estructura_Balance[Nombre Cuenta ()],Estructura_Balance[Nivel 3],"",0)</f>
        <v/>
      </c>
      <c r="Q1438" t="str">
        <f>_xlfn.XLOOKUP(Table3[[#This Row],[Cuenta]],Estructura_Balance[Nombre Cuenta ()],Estructura_Balance[Nivel 4],"",0)</f>
        <v/>
      </c>
      <c r="R1438" t="str">
        <f>_xlfn.XLOOKUP(Table3[[#This Row],[Cuenta]],Table8[Nombre Cuenta ()],Table8[Nivel 1],"",0)</f>
        <v/>
      </c>
      <c r="S1438" t="str">
        <f>_xlfn.XLOOKUP(Table3[[#This Row],[Cuenta]],Table8[Nombre Cuenta ()],Table8[Nivel 2],"",0)</f>
        <v/>
      </c>
      <c r="T1438" t="str">
        <f>_xlfn.XLOOKUP(Table3[[#This Row],[Cuenta]],Table8[Nombre Cuenta ()],Table8[Nivel 3],"",0)</f>
        <v/>
      </c>
      <c r="U1438">
        <v>1415</v>
      </c>
      <c r="V1438" t="str">
        <f>_xlfn.XLOOKUP(Table3[[#This Row],[Cuenta]],Estructura_Balance[Nombre Cuenta ()],Estructura_Balance[Niveles:2],"",0)</f>
        <v/>
      </c>
      <c r="W1438" t="str">
        <f>_xlfn.XLOOKUP(Table3[[#This Row],[Cuenta]],Estructura_Balance[Nombre Cuenta ()],Estructura_Balance[Niveles:3],"",0)</f>
        <v/>
      </c>
      <c r="X1438" t="str">
        <f>_xlfn.XLOOKUP(Table3[[#This Row],[Cuenta]],Estructura_Balance[Nombre Cuenta ()],Estructura_Balance[Grupos],"Grupo 1",0)</f>
        <v>Grupo 1</v>
      </c>
      <c r="Y1438" t="str">
        <f>+Table3[[#This Row],[BS_Nivel_1]]</f>
        <v/>
      </c>
    </row>
    <row r="1439" spans="1:25" ht="15" customHeight="1">
      <c r="A1439">
        <f>+'Libro Diario'!F859</f>
        <v>0</v>
      </c>
      <c r="B1439" s="144">
        <f>VALUE(IF(+'Libro Diario'!G859="","01/01/2025",+'Libro Diario'!G859))</f>
        <v>45658</v>
      </c>
      <c r="C1439">
        <f>IF(ISNUMBER(+IF(IFERROR(VALUE(MID('Libro Diario'!D859,1,4)),0)&lt;&gt;0,'Libro Diario'!D859,0))=FALSE,'Libro Diario'!D859,0)</f>
        <v>0</v>
      </c>
      <c r="D1439" s="145">
        <f>+'Libro Diario'!E859</f>
        <v>0</v>
      </c>
      <c r="E1439" s="139" t="s">
        <v>446</v>
      </c>
      <c r="F1439" t="str">
        <f t="shared" si="66"/>
        <v>Sin Mov.</v>
      </c>
      <c r="G1439" t="str">
        <f>IF(+'Libro Diario'!H859=0,"",+'Libro Diario'!H859)</f>
        <v/>
      </c>
      <c r="H1439" t="str">
        <f>IF(+'Libro Diario'!I859=0,"",+'Libro Diario'!I859)</f>
        <v/>
      </c>
      <c r="I1439" t="str">
        <f>+IF(Table3[[#This Row],[Tipo Movimiento]]="Estructura Balance y PyG","Excluir","Incluir")</f>
        <v>Incluir</v>
      </c>
      <c r="J1439" s="153">
        <f>+IF(Table3[[#This Row],[Sin cuenta]]="Con Mov.",(IF(Table3[[#This Row],[Movimiento]]="Debe",Table3[[#This Row],[Importe]],IF(Table3[[#This Row],[Movimiento]]="Haber",Table3[[#This Row],[Importe]]*-1,0))),0)</f>
        <v>0</v>
      </c>
      <c r="K1439" s="145" t="str">
        <f t="shared" si="67"/>
        <v/>
      </c>
      <c r="L1439" s="145">
        <f t="shared" si="68"/>
        <v>0</v>
      </c>
      <c r="M1439" t="str">
        <f>_xlfn.XLOOKUP(Table3[[#This Row],[Cuenta]],Estructura_Balance[Nombre Cuenta ()],Estructura_Balance[Grupo],"",0)</f>
        <v/>
      </c>
      <c r="N1439" t="str">
        <f>_xlfn.XLOOKUP(Table3[[#This Row],[Cuenta]],Estructura_Balance[Nombre Cuenta ()],Estructura_Balance[Nivel 1],"",0)</f>
        <v/>
      </c>
      <c r="O1439" t="str">
        <f>_xlfn.XLOOKUP(Table3[[#This Row],[Cuenta]],Estructura_Balance[Nombre Cuenta ()],Estructura_Balance[Nivel 2],"",0)</f>
        <v/>
      </c>
      <c r="P1439" t="str">
        <f>_xlfn.XLOOKUP(Table3[[#This Row],[Cuenta]],Estructura_Balance[Nombre Cuenta ()],Estructura_Balance[Nivel 3],"",0)</f>
        <v/>
      </c>
      <c r="Q1439" t="str">
        <f>_xlfn.XLOOKUP(Table3[[#This Row],[Cuenta]],Estructura_Balance[Nombre Cuenta ()],Estructura_Balance[Nivel 4],"",0)</f>
        <v/>
      </c>
      <c r="R1439" t="str">
        <f>_xlfn.XLOOKUP(Table3[[#This Row],[Cuenta]],Table8[Nombre Cuenta ()],Table8[Nivel 1],"",0)</f>
        <v/>
      </c>
      <c r="S1439" t="str">
        <f>_xlfn.XLOOKUP(Table3[[#This Row],[Cuenta]],Table8[Nombre Cuenta ()],Table8[Nivel 2],"",0)</f>
        <v/>
      </c>
      <c r="T1439" t="str">
        <f>_xlfn.XLOOKUP(Table3[[#This Row],[Cuenta]],Table8[Nombre Cuenta ()],Table8[Nivel 3],"",0)</f>
        <v/>
      </c>
      <c r="U1439">
        <v>423</v>
      </c>
      <c r="V1439" t="str">
        <f>_xlfn.XLOOKUP(Table3[[#This Row],[Cuenta]],Estructura_Balance[Nombre Cuenta ()],Estructura_Balance[Niveles:2],"",0)</f>
        <v/>
      </c>
      <c r="W1439" t="str">
        <f>_xlfn.XLOOKUP(Table3[[#This Row],[Cuenta]],Estructura_Balance[Nombre Cuenta ()],Estructura_Balance[Niveles:3],"",0)</f>
        <v/>
      </c>
      <c r="X1439" t="str">
        <f>_xlfn.XLOOKUP(Table3[[#This Row],[Cuenta]],Estructura_Balance[Nombre Cuenta ()],Estructura_Balance[Grupos],"Grupo 1",0)</f>
        <v>Grupo 1</v>
      </c>
      <c r="Y1439" t="str">
        <f>+Table3[[#This Row],[BS_Nivel_1]]</f>
        <v/>
      </c>
    </row>
    <row r="1440" spans="1:25" ht="15" customHeight="1">
      <c r="A1440">
        <f>+'Libro Diario'!F860</f>
        <v>0</v>
      </c>
      <c r="B1440" s="144">
        <f>VALUE(IF(+'Libro Diario'!G860="","01/01/2025",+'Libro Diario'!G860))</f>
        <v>45658</v>
      </c>
      <c r="C1440">
        <f>IF(ISNUMBER(+IF(IFERROR(VALUE(MID('Libro Diario'!D860,1,4)),0)&lt;&gt;0,'Libro Diario'!D860,0))=FALSE,'Libro Diario'!D860,0)</f>
        <v>0</v>
      </c>
      <c r="D1440" s="145">
        <f>+'Libro Diario'!E860</f>
        <v>0</v>
      </c>
      <c r="E1440" s="139" t="s">
        <v>446</v>
      </c>
      <c r="F1440" t="str">
        <f t="shared" si="66"/>
        <v>Sin Mov.</v>
      </c>
      <c r="G1440" t="str">
        <f>IF(+'Libro Diario'!H860=0,"",+'Libro Diario'!H860)</f>
        <v/>
      </c>
      <c r="H1440" t="str">
        <f>IF(+'Libro Diario'!I860=0,"",+'Libro Diario'!I860)</f>
        <v/>
      </c>
      <c r="I1440" t="str">
        <f>+IF(Table3[[#This Row],[Tipo Movimiento]]="Estructura Balance y PyG","Excluir","Incluir")</f>
        <v>Incluir</v>
      </c>
      <c r="J1440" s="153">
        <f>+IF(Table3[[#This Row],[Sin cuenta]]="Con Mov.",(IF(Table3[[#This Row],[Movimiento]]="Debe",Table3[[#This Row],[Importe]],IF(Table3[[#This Row],[Movimiento]]="Haber",Table3[[#This Row],[Importe]]*-1,0))),0)</f>
        <v>0</v>
      </c>
      <c r="K1440" s="145" t="str">
        <f t="shared" si="67"/>
        <v/>
      </c>
      <c r="L1440" s="145">
        <f t="shared" si="68"/>
        <v>0</v>
      </c>
      <c r="M1440" t="str">
        <f>_xlfn.XLOOKUP(Table3[[#This Row],[Cuenta]],Estructura_Balance[Nombre Cuenta ()],Estructura_Balance[Grupo],"",0)</f>
        <v/>
      </c>
      <c r="N1440" t="str">
        <f>_xlfn.XLOOKUP(Table3[[#This Row],[Cuenta]],Estructura_Balance[Nombre Cuenta ()],Estructura_Balance[Nivel 1],"",0)</f>
        <v/>
      </c>
      <c r="O1440" t="str">
        <f>_xlfn.XLOOKUP(Table3[[#This Row],[Cuenta]],Estructura_Balance[Nombre Cuenta ()],Estructura_Balance[Nivel 2],"",0)</f>
        <v/>
      </c>
      <c r="P1440" t="str">
        <f>_xlfn.XLOOKUP(Table3[[#This Row],[Cuenta]],Estructura_Balance[Nombre Cuenta ()],Estructura_Balance[Nivel 3],"",0)</f>
        <v/>
      </c>
      <c r="Q1440" t="str">
        <f>_xlfn.XLOOKUP(Table3[[#This Row],[Cuenta]],Estructura_Balance[Nombre Cuenta ()],Estructura_Balance[Nivel 4],"",0)</f>
        <v/>
      </c>
      <c r="R1440" t="str">
        <f>_xlfn.XLOOKUP(Table3[[#This Row],[Cuenta]],Table8[Nombre Cuenta ()],Table8[Nivel 1],"",0)</f>
        <v/>
      </c>
      <c r="S1440" t="str">
        <f>_xlfn.XLOOKUP(Table3[[#This Row],[Cuenta]],Table8[Nombre Cuenta ()],Table8[Nivel 2],"",0)</f>
        <v/>
      </c>
      <c r="T1440" t="str">
        <f>_xlfn.XLOOKUP(Table3[[#This Row],[Cuenta]],Table8[Nombre Cuenta ()],Table8[Nivel 3],"",0)</f>
        <v/>
      </c>
      <c r="U1440">
        <v>424</v>
      </c>
      <c r="V1440" t="str">
        <f>_xlfn.XLOOKUP(Table3[[#This Row],[Cuenta]],Estructura_Balance[Nombre Cuenta ()],Estructura_Balance[Niveles:2],"",0)</f>
        <v/>
      </c>
      <c r="W1440" t="str">
        <f>_xlfn.XLOOKUP(Table3[[#This Row],[Cuenta]],Estructura_Balance[Nombre Cuenta ()],Estructura_Balance[Niveles:3],"",0)</f>
        <v/>
      </c>
      <c r="X1440" t="str">
        <f>_xlfn.XLOOKUP(Table3[[#This Row],[Cuenta]],Estructura_Balance[Nombre Cuenta ()],Estructura_Balance[Grupos],"Grupo 1",0)</f>
        <v>Grupo 1</v>
      </c>
      <c r="Y1440" t="str">
        <f>+Table3[[#This Row],[BS_Nivel_1]]</f>
        <v/>
      </c>
    </row>
    <row r="1441" spans="1:25" ht="15" customHeight="1">
      <c r="A1441">
        <f>+'Libro Diario'!F861</f>
        <v>0</v>
      </c>
      <c r="B1441" s="144">
        <f>VALUE(IF(+'Libro Diario'!G861="","01/01/2025",+'Libro Diario'!G861))</f>
        <v>45658</v>
      </c>
      <c r="C1441">
        <f>IF(ISNUMBER(+IF(IFERROR(VALUE(MID('Libro Diario'!D861,1,4)),0)&lt;&gt;0,'Libro Diario'!D861,0))=FALSE,'Libro Diario'!D861,0)</f>
        <v>0</v>
      </c>
      <c r="D1441" s="145">
        <f>+'Libro Diario'!E861</f>
        <v>0</v>
      </c>
      <c r="E1441" s="139" t="s">
        <v>446</v>
      </c>
      <c r="F1441" t="str">
        <f t="shared" si="66"/>
        <v>Sin Mov.</v>
      </c>
      <c r="G1441" t="str">
        <f>IF(+'Libro Diario'!H861=0,"",+'Libro Diario'!H861)</f>
        <v/>
      </c>
      <c r="H1441" t="str">
        <f>IF(+'Libro Diario'!I861=0,"",+'Libro Diario'!I861)</f>
        <v/>
      </c>
      <c r="I1441" t="str">
        <f>+IF(Table3[[#This Row],[Tipo Movimiento]]="Estructura Balance y PyG","Excluir","Incluir")</f>
        <v>Incluir</v>
      </c>
      <c r="J1441" s="153">
        <f>+IF(Table3[[#This Row],[Sin cuenta]]="Con Mov.",(IF(Table3[[#This Row],[Movimiento]]="Debe",Table3[[#This Row],[Importe]],IF(Table3[[#This Row],[Movimiento]]="Haber",Table3[[#This Row],[Importe]]*-1,0))),0)</f>
        <v>0</v>
      </c>
      <c r="K1441" s="145" t="str">
        <f t="shared" si="67"/>
        <v/>
      </c>
      <c r="L1441" s="145">
        <f t="shared" si="68"/>
        <v>0</v>
      </c>
      <c r="M1441" t="str">
        <f>_xlfn.XLOOKUP(Table3[[#This Row],[Cuenta]],Estructura_Balance[Nombre Cuenta ()],Estructura_Balance[Grupo],"",0)</f>
        <v/>
      </c>
      <c r="N1441" t="str">
        <f>_xlfn.XLOOKUP(Table3[[#This Row],[Cuenta]],Estructura_Balance[Nombre Cuenta ()],Estructura_Balance[Nivel 1],"",0)</f>
        <v/>
      </c>
      <c r="O1441" t="str">
        <f>_xlfn.XLOOKUP(Table3[[#This Row],[Cuenta]],Estructura_Balance[Nombre Cuenta ()],Estructura_Balance[Nivel 2],"",0)</f>
        <v/>
      </c>
      <c r="P1441" t="str">
        <f>_xlfn.XLOOKUP(Table3[[#This Row],[Cuenta]],Estructura_Balance[Nombre Cuenta ()],Estructura_Balance[Nivel 3],"",0)</f>
        <v/>
      </c>
      <c r="Q1441" t="str">
        <f>_xlfn.XLOOKUP(Table3[[#This Row],[Cuenta]],Estructura_Balance[Nombre Cuenta ()],Estructura_Balance[Nivel 4],"",0)</f>
        <v/>
      </c>
      <c r="R1441" t="str">
        <f>_xlfn.XLOOKUP(Table3[[#This Row],[Cuenta]],Table8[Nombre Cuenta ()],Table8[Nivel 1],"",0)</f>
        <v/>
      </c>
      <c r="S1441" t="str">
        <f>_xlfn.XLOOKUP(Table3[[#This Row],[Cuenta]],Table8[Nombre Cuenta ()],Table8[Nivel 2],"",0)</f>
        <v/>
      </c>
      <c r="T1441" t="str">
        <f>_xlfn.XLOOKUP(Table3[[#This Row],[Cuenta]],Table8[Nombre Cuenta ()],Table8[Nivel 3],"",0)</f>
        <v/>
      </c>
      <c r="U1441">
        <v>1421</v>
      </c>
      <c r="V1441" t="str">
        <f>_xlfn.XLOOKUP(Table3[[#This Row],[Cuenta]],Estructura_Balance[Nombre Cuenta ()],Estructura_Balance[Niveles:2],"",0)</f>
        <v/>
      </c>
      <c r="W1441" t="str">
        <f>_xlfn.XLOOKUP(Table3[[#This Row],[Cuenta]],Estructura_Balance[Nombre Cuenta ()],Estructura_Balance[Niveles:3],"",0)</f>
        <v/>
      </c>
      <c r="X1441" t="str">
        <f>_xlfn.XLOOKUP(Table3[[#This Row],[Cuenta]],Estructura_Balance[Nombre Cuenta ()],Estructura_Balance[Grupos],"Grupo 1",0)</f>
        <v>Grupo 1</v>
      </c>
      <c r="Y1441" t="str">
        <f>+Table3[[#This Row],[BS_Nivel_1]]</f>
        <v/>
      </c>
    </row>
    <row r="1442" spans="1:25" ht="15" customHeight="1">
      <c r="A1442">
        <f>+'Libro Diario'!F862</f>
        <v>0</v>
      </c>
      <c r="B1442" s="144">
        <f>VALUE(IF(+'Libro Diario'!G862="","01/01/2025",+'Libro Diario'!G862))</f>
        <v>45658</v>
      </c>
      <c r="C1442">
        <f>IF(ISNUMBER(+IF(IFERROR(VALUE(MID('Libro Diario'!D862,1,4)),0)&lt;&gt;0,'Libro Diario'!D862,0))=FALSE,'Libro Diario'!D862,0)</f>
        <v>0</v>
      </c>
      <c r="D1442" s="145">
        <f>+'Libro Diario'!E862</f>
        <v>0</v>
      </c>
      <c r="E1442" s="139" t="s">
        <v>446</v>
      </c>
      <c r="F1442" t="str">
        <f t="shared" si="66"/>
        <v>Sin Mov.</v>
      </c>
      <c r="G1442" t="str">
        <f>IF(+'Libro Diario'!H862=0,"",+'Libro Diario'!H862)</f>
        <v/>
      </c>
      <c r="H1442" t="str">
        <f>IF(+'Libro Diario'!I862=0,"",+'Libro Diario'!I862)</f>
        <v/>
      </c>
      <c r="I1442" t="str">
        <f>+IF(Table3[[#This Row],[Tipo Movimiento]]="Estructura Balance y PyG","Excluir","Incluir")</f>
        <v>Incluir</v>
      </c>
      <c r="J1442" s="153">
        <f>+IF(Table3[[#This Row],[Sin cuenta]]="Con Mov.",(IF(Table3[[#This Row],[Movimiento]]="Debe",Table3[[#This Row],[Importe]],IF(Table3[[#This Row],[Movimiento]]="Haber",Table3[[#This Row],[Importe]]*-1,0))),0)</f>
        <v>0</v>
      </c>
      <c r="K1442" s="145" t="str">
        <f t="shared" si="67"/>
        <v/>
      </c>
      <c r="L1442" s="145">
        <f t="shared" si="68"/>
        <v>0</v>
      </c>
      <c r="M1442" t="str">
        <f>_xlfn.XLOOKUP(Table3[[#This Row],[Cuenta]],Estructura_Balance[Nombre Cuenta ()],Estructura_Balance[Grupo],"",0)</f>
        <v/>
      </c>
      <c r="N1442" t="str">
        <f>_xlfn.XLOOKUP(Table3[[#This Row],[Cuenta]],Estructura_Balance[Nombre Cuenta ()],Estructura_Balance[Nivel 1],"",0)</f>
        <v/>
      </c>
      <c r="O1442" t="str">
        <f>_xlfn.XLOOKUP(Table3[[#This Row],[Cuenta]],Estructura_Balance[Nombre Cuenta ()],Estructura_Balance[Nivel 2],"",0)</f>
        <v/>
      </c>
      <c r="P1442" t="str">
        <f>_xlfn.XLOOKUP(Table3[[#This Row],[Cuenta]],Estructura_Balance[Nombre Cuenta ()],Estructura_Balance[Nivel 3],"",0)</f>
        <v/>
      </c>
      <c r="Q1442" t="str">
        <f>_xlfn.XLOOKUP(Table3[[#This Row],[Cuenta]],Estructura_Balance[Nombre Cuenta ()],Estructura_Balance[Nivel 4],"",0)</f>
        <v/>
      </c>
      <c r="R1442" t="str">
        <f>_xlfn.XLOOKUP(Table3[[#This Row],[Cuenta]],Table8[Nombre Cuenta ()],Table8[Nivel 1],"",0)</f>
        <v/>
      </c>
      <c r="S1442" t="str">
        <f>_xlfn.XLOOKUP(Table3[[#This Row],[Cuenta]],Table8[Nombre Cuenta ()],Table8[Nivel 2],"",0)</f>
        <v/>
      </c>
      <c r="T1442" t="str">
        <f>_xlfn.XLOOKUP(Table3[[#This Row],[Cuenta]],Table8[Nombre Cuenta ()],Table8[Nivel 3],"",0)</f>
        <v/>
      </c>
      <c r="U1442">
        <v>1422</v>
      </c>
      <c r="V1442" t="str">
        <f>_xlfn.XLOOKUP(Table3[[#This Row],[Cuenta]],Estructura_Balance[Nombre Cuenta ()],Estructura_Balance[Niveles:2],"",0)</f>
        <v/>
      </c>
      <c r="W1442" t="str">
        <f>_xlfn.XLOOKUP(Table3[[#This Row],[Cuenta]],Estructura_Balance[Nombre Cuenta ()],Estructura_Balance[Niveles:3],"",0)</f>
        <v/>
      </c>
      <c r="X1442" t="str">
        <f>_xlfn.XLOOKUP(Table3[[#This Row],[Cuenta]],Estructura_Balance[Nombre Cuenta ()],Estructura_Balance[Grupos],"Grupo 1",0)</f>
        <v>Grupo 1</v>
      </c>
      <c r="Y1442" t="str">
        <f>+Table3[[#This Row],[BS_Nivel_1]]</f>
        <v/>
      </c>
    </row>
    <row r="1443" spans="1:25" ht="15" customHeight="1">
      <c r="A1443">
        <f>+'Libro Diario'!F863</f>
        <v>0</v>
      </c>
      <c r="B1443" s="144">
        <f>VALUE(IF(+'Libro Diario'!G863="","01/01/2025",+'Libro Diario'!G863))</f>
        <v>45658</v>
      </c>
      <c r="C1443">
        <f>IF(ISNUMBER(+IF(IFERROR(VALUE(MID('Libro Diario'!D863,1,4)),0)&lt;&gt;0,'Libro Diario'!D863,0))=FALSE,'Libro Diario'!D863,0)</f>
        <v>0</v>
      </c>
      <c r="D1443" s="145">
        <f>+'Libro Diario'!E863</f>
        <v>0</v>
      </c>
      <c r="E1443" s="139" t="s">
        <v>446</v>
      </c>
      <c r="F1443" t="str">
        <f t="shared" si="66"/>
        <v>Sin Mov.</v>
      </c>
      <c r="G1443" t="str">
        <f>IF(+'Libro Diario'!H863=0,"",+'Libro Diario'!H863)</f>
        <v/>
      </c>
      <c r="H1443" t="str">
        <f>IF(+'Libro Diario'!I863=0,"",+'Libro Diario'!I863)</f>
        <v/>
      </c>
      <c r="I1443" t="str">
        <f>+IF(Table3[[#This Row],[Tipo Movimiento]]="Estructura Balance y PyG","Excluir","Incluir")</f>
        <v>Incluir</v>
      </c>
      <c r="J1443" s="153">
        <f>+IF(Table3[[#This Row],[Sin cuenta]]="Con Mov.",(IF(Table3[[#This Row],[Movimiento]]="Debe",Table3[[#This Row],[Importe]],IF(Table3[[#This Row],[Movimiento]]="Haber",Table3[[#This Row],[Importe]]*-1,0))),0)</f>
        <v>0</v>
      </c>
      <c r="K1443" s="145" t="str">
        <f t="shared" si="67"/>
        <v/>
      </c>
      <c r="L1443" s="145">
        <f t="shared" si="68"/>
        <v>0</v>
      </c>
      <c r="M1443" t="str">
        <f>_xlfn.XLOOKUP(Table3[[#This Row],[Cuenta]],Estructura_Balance[Nombre Cuenta ()],Estructura_Balance[Grupo],"",0)</f>
        <v/>
      </c>
      <c r="N1443" t="str">
        <f>_xlfn.XLOOKUP(Table3[[#This Row],[Cuenta]],Estructura_Balance[Nombre Cuenta ()],Estructura_Balance[Nivel 1],"",0)</f>
        <v/>
      </c>
      <c r="O1443" t="str">
        <f>_xlfn.XLOOKUP(Table3[[#This Row],[Cuenta]],Estructura_Balance[Nombre Cuenta ()],Estructura_Balance[Nivel 2],"",0)</f>
        <v/>
      </c>
      <c r="P1443" t="str">
        <f>_xlfn.XLOOKUP(Table3[[#This Row],[Cuenta]],Estructura_Balance[Nombre Cuenta ()],Estructura_Balance[Nivel 3],"",0)</f>
        <v/>
      </c>
      <c r="Q1443" t="str">
        <f>_xlfn.XLOOKUP(Table3[[#This Row],[Cuenta]],Estructura_Balance[Nombre Cuenta ()],Estructura_Balance[Nivel 4],"",0)</f>
        <v/>
      </c>
      <c r="R1443" t="str">
        <f>_xlfn.XLOOKUP(Table3[[#This Row],[Cuenta]],Table8[Nombre Cuenta ()],Table8[Nivel 1],"",0)</f>
        <v/>
      </c>
      <c r="S1443" t="str">
        <f>_xlfn.XLOOKUP(Table3[[#This Row],[Cuenta]],Table8[Nombre Cuenta ()],Table8[Nivel 2],"",0)</f>
        <v/>
      </c>
      <c r="T1443" t="str">
        <f>_xlfn.XLOOKUP(Table3[[#This Row],[Cuenta]],Table8[Nombre Cuenta ()],Table8[Nivel 3],"",0)</f>
        <v/>
      </c>
      <c r="U1443">
        <v>430</v>
      </c>
      <c r="V1443" t="str">
        <f>_xlfn.XLOOKUP(Table3[[#This Row],[Cuenta]],Estructura_Balance[Nombre Cuenta ()],Estructura_Balance[Niveles:2],"",0)</f>
        <v/>
      </c>
      <c r="W1443" t="str">
        <f>_xlfn.XLOOKUP(Table3[[#This Row],[Cuenta]],Estructura_Balance[Nombre Cuenta ()],Estructura_Balance[Niveles:3],"",0)</f>
        <v/>
      </c>
      <c r="X1443" t="str">
        <f>_xlfn.XLOOKUP(Table3[[#This Row],[Cuenta]],Estructura_Balance[Nombre Cuenta ()],Estructura_Balance[Grupos],"Grupo 1",0)</f>
        <v>Grupo 1</v>
      </c>
      <c r="Y1443" t="str">
        <f>+Table3[[#This Row],[BS_Nivel_1]]</f>
        <v/>
      </c>
    </row>
    <row r="1444" spans="1:25" ht="15" customHeight="1">
      <c r="A1444">
        <f>+'Libro Diario'!F864</f>
        <v>0</v>
      </c>
      <c r="B1444" s="144">
        <f>VALUE(IF(+'Libro Diario'!G864="","01/01/2025",+'Libro Diario'!G864))</f>
        <v>45658</v>
      </c>
      <c r="C1444">
        <f>IF(ISNUMBER(+IF(IFERROR(VALUE(MID('Libro Diario'!D864,1,4)),0)&lt;&gt;0,'Libro Diario'!D864,0))=FALSE,'Libro Diario'!D864,0)</f>
        <v>0</v>
      </c>
      <c r="D1444" s="145">
        <f>+'Libro Diario'!E864</f>
        <v>0</v>
      </c>
      <c r="E1444" s="139" t="s">
        <v>446</v>
      </c>
      <c r="F1444" t="str">
        <f t="shared" si="66"/>
        <v>Sin Mov.</v>
      </c>
      <c r="G1444" t="str">
        <f>IF(+'Libro Diario'!H864=0,"",+'Libro Diario'!H864)</f>
        <v/>
      </c>
      <c r="H1444" t="str">
        <f>IF(+'Libro Diario'!I864=0,"",+'Libro Diario'!I864)</f>
        <v/>
      </c>
      <c r="I1444" t="str">
        <f>+IF(Table3[[#This Row],[Tipo Movimiento]]="Estructura Balance y PyG","Excluir","Incluir")</f>
        <v>Incluir</v>
      </c>
      <c r="J1444" s="153">
        <f>+IF(Table3[[#This Row],[Sin cuenta]]="Con Mov.",(IF(Table3[[#This Row],[Movimiento]]="Debe",Table3[[#This Row],[Importe]],IF(Table3[[#This Row],[Movimiento]]="Haber",Table3[[#This Row],[Importe]]*-1,0))),0)</f>
        <v>0</v>
      </c>
      <c r="K1444" s="145" t="str">
        <f t="shared" si="67"/>
        <v/>
      </c>
      <c r="L1444" s="145">
        <f t="shared" si="68"/>
        <v>0</v>
      </c>
      <c r="M1444" t="str">
        <f>_xlfn.XLOOKUP(Table3[[#This Row],[Cuenta]],Estructura_Balance[Nombre Cuenta ()],Estructura_Balance[Grupo],"",0)</f>
        <v/>
      </c>
      <c r="N1444" t="str">
        <f>_xlfn.XLOOKUP(Table3[[#This Row],[Cuenta]],Estructura_Balance[Nombre Cuenta ()],Estructura_Balance[Nivel 1],"",0)</f>
        <v/>
      </c>
      <c r="O1444" t="str">
        <f>_xlfn.XLOOKUP(Table3[[#This Row],[Cuenta]],Estructura_Balance[Nombre Cuenta ()],Estructura_Balance[Nivel 2],"",0)</f>
        <v/>
      </c>
      <c r="P1444" t="str">
        <f>_xlfn.XLOOKUP(Table3[[#This Row],[Cuenta]],Estructura_Balance[Nombre Cuenta ()],Estructura_Balance[Nivel 3],"",0)</f>
        <v/>
      </c>
      <c r="Q1444" t="str">
        <f>_xlfn.XLOOKUP(Table3[[#This Row],[Cuenta]],Estructura_Balance[Nombre Cuenta ()],Estructura_Balance[Nivel 4],"",0)</f>
        <v/>
      </c>
      <c r="R1444" t="str">
        <f>_xlfn.XLOOKUP(Table3[[#This Row],[Cuenta]],Table8[Nombre Cuenta ()],Table8[Nivel 1],"",0)</f>
        <v/>
      </c>
      <c r="S1444" t="str">
        <f>_xlfn.XLOOKUP(Table3[[#This Row],[Cuenta]],Table8[Nombre Cuenta ()],Table8[Nivel 2],"",0)</f>
        <v/>
      </c>
      <c r="T1444" t="str">
        <f>_xlfn.XLOOKUP(Table3[[#This Row],[Cuenta]],Table8[Nombre Cuenta ()],Table8[Nivel 3],"",0)</f>
        <v/>
      </c>
      <c r="U1444">
        <v>431</v>
      </c>
      <c r="V1444" t="str">
        <f>_xlfn.XLOOKUP(Table3[[#This Row],[Cuenta]],Estructura_Balance[Nombre Cuenta ()],Estructura_Balance[Niveles:2],"",0)</f>
        <v/>
      </c>
      <c r="W1444" t="str">
        <f>_xlfn.XLOOKUP(Table3[[#This Row],[Cuenta]],Estructura_Balance[Nombre Cuenta ()],Estructura_Balance[Niveles:3],"",0)</f>
        <v/>
      </c>
      <c r="X1444" t="str">
        <f>_xlfn.XLOOKUP(Table3[[#This Row],[Cuenta]],Estructura_Balance[Nombre Cuenta ()],Estructura_Balance[Grupos],"Grupo 1",0)</f>
        <v>Grupo 1</v>
      </c>
      <c r="Y1444" t="str">
        <f>+Table3[[#This Row],[BS_Nivel_1]]</f>
        <v/>
      </c>
    </row>
    <row r="1445" spans="1:25" ht="15" customHeight="1">
      <c r="A1445">
        <f>+'Libro Diario'!F865</f>
        <v>0</v>
      </c>
      <c r="B1445" s="144">
        <f>VALUE(IF(+'Libro Diario'!G865="","01/01/2025",+'Libro Diario'!G865))</f>
        <v>45658</v>
      </c>
      <c r="C1445">
        <f>IF(ISNUMBER(+IF(IFERROR(VALUE(MID('Libro Diario'!D865,1,4)),0)&lt;&gt;0,'Libro Diario'!D865,0))=FALSE,'Libro Diario'!D865,0)</f>
        <v>0</v>
      </c>
      <c r="D1445" s="145">
        <f>+'Libro Diario'!E865</f>
        <v>0</v>
      </c>
      <c r="E1445" s="139" t="s">
        <v>446</v>
      </c>
      <c r="F1445" t="str">
        <f t="shared" si="66"/>
        <v>Sin Mov.</v>
      </c>
      <c r="G1445" t="str">
        <f>IF(+'Libro Diario'!H865=0,"",+'Libro Diario'!H865)</f>
        <v/>
      </c>
      <c r="H1445" t="str">
        <f>IF(+'Libro Diario'!I865=0,"",+'Libro Diario'!I865)</f>
        <v/>
      </c>
      <c r="I1445" t="str">
        <f>+IF(Table3[[#This Row],[Tipo Movimiento]]="Estructura Balance y PyG","Excluir","Incluir")</f>
        <v>Incluir</v>
      </c>
      <c r="J1445" s="153">
        <f>+IF(Table3[[#This Row],[Sin cuenta]]="Con Mov.",(IF(Table3[[#This Row],[Movimiento]]="Debe",Table3[[#This Row],[Importe]],IF(Table3[[#This Row],[Movimiento]]="Haber",Table3[[#This Row],[Importe]]*-1,0))),0)</f>
        <v>0</v>
      </c>
      <c r="K1445" s="145" t="str">
        <f t="shared" si="67"/>
        <v/>
      </c>
      <c r="L1445" s="145">
        <f t="shared" si="68"/>
        <v>0</v>
      </c>
      <c r="M1445" t="str">
        <f>_xlfn.XLOOKUP(Table3[[#This Row],[Cuenta]],Estructura_Balance[Nombre Cuenta ()],Estructura_Balance[Grupo],"",0)</f>
        <v/>
      </c>
      <c r="N1445" t="str">
        <f>_xlfn.XLOOKUP(Table3[[#This Row],[Cuenta]],Estructura_Balance[Nombre Cuenta ()],Estructura_Balance[Nivel 1],"",0)</f>
        <v/>
      </c>
      <c r="O1445" t="str">
        <f>_xlfn.XLOOKUP(Table3[[#This Row],[Cuenta]],Estructura_Balance[Nombre Cuenta ()],Estructura_Balance[Nivel 2],"",0)</f>
        <v/>
      </c>
      <c r="P1445" t="str">
        <f>_xlfn.XLOOKUP(Table3[[#This Row],[Cuenta]],Estructura_Balance[Nombre Cuenta ()],Estructura_Balance[Nivel 3],"",0)</f>
        <v/>
      </c>
      <c r="Q1445" t="str">
        <f>_xlfn.XLOOKUP(Table3[[#This Row],[Cuenta]],Estructura_Balance[Nombre Cuenta ()],Estructura_Balance[Nivel 4],"",0)</f>
        <v/>
      </c>
      <c r="R1445" t="str">
        <f>_xlfn.XLOOKUP(Table3[[#This Row],[Cuenta]],Table8[Nombre Cuenta ()],Table8[Nivel 1],"",0)</f>
        <v/>
      </c>
      <c r="S1445" t="str">
        <f>_xlfn.XLOOKUP(Table3[[#This Row],[Cuenta]],Table8[Nombre Cuenta ()],Table8[Nivel 2],"",0)</f>
        <v/>
      </c>
      <c r="T1445" t="str">
        <f>_xlfn.XLOOKUP(Table3[[#This Row],[Cuenta]],Table8[Nombre Cuenta ()],Table8[Nivel 3],"",0)</f>
        <v/>
      </c>
      <c r="U1445">
        <v>1428</v>
      </c>
      <c r="V1445" t="str">
        <f>_xlfn.XLOOKUP(Table3[[#This Row],[Cuenta]],Estructura_Balance[Nombre Cuenta ()],Estructura_Balance[Niveles:2],"",0)</f>
        <v/>
      </c>
      <c r="W1445" t="str">
        <f>_xlfn.XLOOKUP(Table3[[#This Row],[Cuenta]],Estructura_Balance[Nombre Cuenta ()],Estructura_Balance[Niveles:3],"",0)</f>
        <v/>
      </c>
      <c r="X1445" t="str">
        <f>_xlfn.XLOOKUP(Table3[[#This Row],[Cuenta]],Estructura_Balance[Nombre Cuenta ()],Estructura_Balance[Grupos],"Grupo 1",0)</f>
        <v>Grupo 1</v>
      </c>
      <c r="Y1445" t="str">
        <f>+Table3[[#This Row],[BS_Nivel_1]]</f>
        <v/>
      </c>
    </row>
    <row r="1446" spans="1:25" ht="15" customHeight="1">
      <c r="A1446">
        <f>+'Libro Diario'!F866</f>
        <v>0</v>
      </c>
      <c r="B1446" s="144">
        <f>VALUE(IF(+'Libro Diario'!G866="","01/01/2025",+'Libro Diario'!G866))</f>
        <v>45658</v>
      </c>
      <c r="C1446">
        <f>IF(ISNUMBER(+IF(IFERROR(VALUE(MID('Libro Diario'!D866,1,4)),0)&lt;&gt;0,'Libro Diario'!D866,0))=FALSE,'Libro Diario'!D866,0)</f>
        <v>0</v>
      </c>
      <c r="D1446" s="145">
        <f>+'Libro Diario'!E866</f>
        <v>0</v>
      </c>
      <c r="E1446" s="139" t="s">
        <v>446</v>
      </c>
      <c r="F1446" t="str">
        <f t="shared" si="66"/>
        <v>Sin Mov.</v>
      </c>
      <c r="G1446" t="str">
        <f>IF(+'Libro Diario'!H866=0,"",+'Libro Diario'!H866)</f>
        <v/>
      </c>
      <c r="H1446" t="str">
        <f>IF(+'Libro Diario'!I866=0,"",+'Libro Diario'!I866)</f>
        <v/>
      </c>
      <c r="I1446" t="str">
        <f>+IF(Table3[[#This Row],[Tipo Movimiento]]="Estructura Balance y PyG","Excluir","Incluir")</f>
        <v>Incluir</v>
      </c>
      <c r="J1446" s="153">
        <f>+IF(Table3[[#This Row],[Sin cuenta]]="Con Mov.",(IF(Table3[[#This Row],[Movimiento]]="Debe",Table3[[#This Row],[Importe]],IF(Table3[[#This Row],[Movimiento]]="Haber",Table3[[#This Row],[Importe]]*-1,0))),0)</f>
        <v>0</v>
      </c>
      <c r="K1446" s="145" t="str">
        <f t="shared" si="67"/>
        <v/>
      </c>
      <c r="L1446" s="145">
        <f t="shared" si="68"/>
        <v>0</v>
      </c>
      <c r="M1446" t="str">
        <f>_xlfn.XLOOKUP(Table3[[#This Row],[Cuenta]],Estructura_Balance[Nombre Cuenta ()],Estructura_Balance[Grupo],"",0)</f>
        <v/>
      </c>
      <c r="N1446" t="str">
        <f>_xlfn.XLOOKUP(Table3[[#This Row],[Cuenta]],Estructura_Balance[Nombre Cuenta ()],Estructura_Balance[Nivel 1],"",0)</f>
        <v/>
      </c>
      <c r="O1446" t="str">
        <f>_xlfn.XLOOKUP(Table3[[#This Row],[Cuenta]],Estructura_Balance[Nombre Cuenta ()],Estructura_Balance[Nivel 2],"",0)</f>
        <v/>
      </c>
      <c r="P1446" t="str">
        <f>_xlfn.XLOOKUP(Table3[[#This Row],[Cuenta]],Estructura_Balance[Nombre Cuenta ()],Estructura_Balance[Nivel 3],"",0)</f>
        <v/>
      </c>
      <c r="Q1446" t="str">
        <f>_xlfn.XLOOKUP(Table3[[#This Row],[Cuenta]],Estructura_Balance[Nombre Cuenta ()],Estructura_Balance[Nivel 4],"",0)</f>
        <v/>
      </c>
      <c r="R1446" t="str">
        <f>_xlfn.XLOOKUP(Table3[[#This Row],[Cuenta]],Table8[Nombre Cuenta ()],Table8[Nivel 1],"",0)</f>
        <v/>
      </c>
      <c r="S1446" t="str">
        <f>_xlfn.XLOOKUP(Table3[[#This Row],[Cuenta]],Table8[Nombre Cuenta ()],Table8[Nivel 2],"",0)</f>
        <v/>
      </c>
      <c r="T1446" t="str">
        <f>_xlfn.XLOOKUP(Table3[[#This Row],[Cuenta]],Table8[Nombre Cuenta ()],Table8[Nivel 3],"",0)</f>
        <v/>
      </c>
      <c r="U1446">
        <v>1429</v>
      </c>
      <c r="V1446" t="str">
        <f>_xlfn.XLOOKUP(Table3[[#This Row],[Cuenta]],Estructura_Balance[Nombre Cuenta ()],Estructura_Balance[Niveles:2],"",0)</f>
        <v/>
      </c>
      <c r="W1446" t="str">
        <f>_xlfn.XLOOKUP(Table3[[#This Row],[Cuenta]],Estructura_Balance[Nombre Cuenta ()],Estructura_Balance[Niveles:3],"",0)</f>
        <v/>
      </c>
      <c r="X1446" t="str">
        <f>_xlfn.XLOOKUP(Table3[[#This Row],[Cuenta]],Estructura_Balance[Nombre Cuenta ()],Estructura_Balance[Grupos],"Grupo 1",0)</f>
        <v>Grupo 1</v>
      </c>
      <c r="Y1446" t="str">
        <f>+Table3[[#This Row],[BS_Nivel_1]]</f>
        <v/>
      </c>
    </row>
    <row r="1447" spans="1:25" ht="15" customHeight="1">
      <c r="A1447">
        <f>+'Libro Diario'!F867</f>
        <v>0</v>
      </c>
      <c r="B1447" s="144">
        <f>VALUE(IF(+'Libro Diario'!G867="","01/01/2025",+'Libro Diario'!G867))</f>
        <v>45658</v>
      </c>
      <c r="C1447">
        <f>IF(ISNUMBER(+IF(IFERROR(VALUE(MID('Libro Diario'!D867,1,4)),0)&lt;&gt;0,'Libro Diario'!D867,0))=FALSE,'Libro Diario'!D867,0)</f>
        <v>0</v>
      </c>
      <c r="D1447" s="145">
        <f>+'Libro Diario'!E867</f>
        <v>0</v>
      </c>
      <c r="E1447" s="139" t="s">
        <v>446</v>
      </c>
      <c r="F1447" t="str">
        <f t="shared" si="66"/>
        <v>Sin Mov.</v>
      </c>
      <c r="G1447" t="str">
        <f>IF(+'Libro Diario'!H867=0,"",+'Libro Diario'!H867)</f>
        <v/>
      </c>
      <c r="H1447" t="str">
        <f>IF(+'Libro Diario'!I867=0,"",+'Libro Diario'!I867)</f>
        <v/>
      </c>
      <c r="I1447" t="str">
        <f>+IF(Table3[[#This Row],[Tipo Movimiento]]="Estructura Balance y PyG","Excluir","Incluir")</f>
        <v>Incluir</v>
      </c>
      <c r="J1447" s="153">
        <f>+IF(Table3[[#This Row],[Sin cuenta]]="Con Mov.",(IF(Table3[[#This Row],[Movimiento]]="Debe",Table3[[#This Row],[Importe]],IF(Table3[[#This Row],[Movimiento]]="Haber",Table3[[#This Row],[Importe]]*-1,0))),0)</f>
        <v>0</v>
      </c>
      <c r="K1447" s="145" t="str">
        <f t="shared" si="67"/>
        <v/>
      </c>
      <c r="L1447" s="145">
        <f t="shared" si="68"/>
        <v>0</v>
      </c>
      <c r="M1447" t="str">
        <f>_xlfn.XLOOKUP(Table3[[#This Row],[Cuenta]],Estructura_Balance[Nombre Cuenta ()],Estructura_Balance[Grupo],"",0)</f>
        <v/>
      </c>
      <c r="N1447" t="str">
        <f>_xlfn.XLOOKUP(Table3[[#This Row],[Cuenta]],Estructura_Balance[Nombre Cuenta ()],Estructura_Balance[Nivel 1],"",0)</f>
        <v/>
      </c>
      <c r="O1447" t="str">
        <f>_xlfn.XLOOKUP(Table3[[#This Row],[Cuenta]],Estructura_Balance[Nombre Cuenta ()],Estructura_Balance[Nivel 2],"",0)</f>
        <v/>
      </c>
      <c r="P1447" t="str">
        <f>_xlfn.XLOOKUP(Table3[[#This Row],[Cuenta]],Estructura_Balance[Nombre Cuenta ()],Estructura_Balance[Nivel 3],"",0)</f>
        <v/>
      </c>
      <c r="Q1447" t="str">
        <f>_xlfn.XLOOKUP(Table3[[#This Row],[Cuenta]],Estructura_Balance[Nombre Cuenta ()],Estructura_Balance[Nivel 4],"",0)</f>
        <v/>
      </c>
      <c r="R1447" t="str">
        <f>_xlfn.XLOOKUP(Table3[[#This Row],[Cuenta]],Table8[Nombre Cuenta ()],Table8[Nivel 1],"",0)</f>
        <v/>
      </c>
      <c r="S1447" t="str">
        <f>_xlfn.XLOOKUP(Table3[[#This Row],[Cuenta]],Table8[Nombre Cuenta ()],Table8[Nivel 2],"",0)</f>
        <v/>
      </c>
      <c r="T1447" t="str">
        <f>_xlfn.XLOOKUP(Table3[[#This Row],[Cuenta]],Table8[Nombre Cuenta ()],Table8[Nivel 3],"",0)</f>
        <v/>
      </c>
      <c r="U1447">
        <v>437</v>
      </c>
      <c r="V1447" t="str">
        <f>_xlfn.XLOOKUP(Table3[[#This Row],[Cuenta]],Estructura_Balance[Nombre Cuenta ()],Estructura_Balance[Niveles:2],"",0)</f>
        <v/>
      </c>
      <c r="W1447" t="str">
        <f>_xlfn.XLOOKUP(Table3[[#This Row],[Cuenta]],Estructura_Balance[Nombre Cuenta ()],Estructura_Balance[Niveles:3],"",0)</f>
        <v/>
      </c>
      <c r="X1447" t="str">
        <f>_xlfn.XLOOKUP(Table3[[#This Row],[Cuenta]],Estructura_Balance[Nombre Cuenta ()],Estructura_Balance[Grupos],"Grupo 1",0)</f>
        <v>Grupo 1</v>
      </c>
      <c r="Y1447" t="str">
        <f>+Table3[[#This Row],[BS_Nivel_1]]</f>
        <v/>
      </c>
    </row>
    <row r="1448" spans="1:25" ht="15" customHeight="1">
      <c r="A1448">
        <f>+'Libro Diario'!F868</f>
        <v>0</v>
      </c>
      <c r="B1448" s="144">
        <f>VALUE(IF(+'Libro Diario'!G868="","01/01/2025",+'Libro Diario'!G868))</f>
        <v>45658</v>
      </c>
      <c r="C1448">
        <f>IF(ISNUMBER(+IF(IFERROR(VALUE(MID('Libro Diario'!D868,1,4)),0)&lt;&gt;0,'Libro Diario'!D868,0))=FALSE,'Libro Diario'!D868,0)</f>
        <v>0</v>
      </c>
      <c r="D1448" s="145">
        <f>+'Libro Diario'!E868</f>
        <v>0</v>
      </c>
      <c r="E1448" s="139" t="s">
        <v>446</v>
      </c>
      <c r="F1448" t="str">
        <f t="shared" si="66"/>
        <v>Sin Mov.</v>
      </c>
      <c r="G1448" t="str">
        <f>IF(+'Libro Diario'!H868=0,"",+'Libro Diario'!H868)</f>
        <v/>
      </c>
      <c r="H1448" t="str">
        <f>IF(+'Libro Diario'!I868=0,"",+'Libro Diario'!I868)</f>
        <v/>
      </c>
      <c r="I1448" t="str">
        <f>+IF(Table3[[#This Row],[Tipo Movimiento]]="Estructura Balance y PyG","Excluir","Incluir")</f>
        <v>Incluir</v>
      </c>
      <c r="J1448" s="153">
        <f>+IF(Table3[[#This Row],[Sin cuenta]]="Con Mov.",(IF(Table3[[#This Row],[Movimiento]]="Debe",Table3[[#This Row],[Importe]],IF(Table3[[#This Row],[Movimiento]]="Haber",Table3[[#This Row],[Importe]]*-1,0))),0)</f>
        <v>0</v>
      </c>
      <c r="K1448" s="145" t="str">
        <f t="shared" si="67"/>
        <v/>
      </c>
      <c r="L1448" s="145">
        <f t="shared" si="68"/>
        <v>0</v>
      </c>
      <c r="M1448" t="str">
        <f>_xlfn.XLOOKUP(Table3[[#This Row],[Cuenta]],Estructura_Balance[Nombre Cuenta ()],Estructura_Balance[Grupo],"",0)</f>
        <v/>
      </c>
      <c r="N1448" t="str">
        <f>_xlfn.XLOOKUP(Table3[[#This Row],[Cuenta]],Estructura_Balance[Nombre Cuenta ()],Estructura_Balance[Nivel 1],"",0)</f>
        <v/>
      </c>
      <c r="O1448" t="str">
        <f>_xlfn.XLOOKUP(Table3[[#This Row],[Cuenta]],Estructura_Balance[Nombre Cuenta ()],Estructura_Balance[Nivel 2],"",0)</f>
        <v/>
      </c>
      <c r="P1448" t="str">
        <f>_xlfn.XLOOKUP(Table3[[#This Row],[Cuenta]],Estructura_Balance[Nombre Cuenta ()],Estructura_Balance[Nivel 3],"",0)</f>
        <v/>
      </c>
      <c r="Q1448" t="str">
        <f>_xlfn.XLOOKUP(Table3[[#This Row],[Cuenta]],Estructura_Balance[Nombre Cuenta ()],Estructura_Balance[Nivel 4],"",0)</f>
        <v/>
      </c>
      <c r="R1448" t="str">
        <f>_xlfn.XLOOKUP(Table3[[#This Row],[Cuenta]],Table8[Nombre Cuenta ()],Table8[Nivel 1],"",0)</f>
        <v/>
      </c>
      <c r="S1448" t="str">
        <f>_xlfn.XLOOKUP(Table3[[#This Row],[Cuenta]],Table8[Nombre Cuenta ()],Table8[Nivel 2],"",0)</f>
        <v/>
      </c>
      <c r="T1448" t="str">
        <f>_xlfn.XLOOKUP(Table3[[#This Row],[Cuenta]],Table8[Nombre Cuenta ()],Table8[Nivel 3],"",0)</f>
        <v/>
      </c>
      <c r="U1448">
        <v>438</v>
      </c>
      <c r="V1448" t="str">
        <f>_xlfn.XLOOKUP(Table3[[#This Row],[Cuenta]],Estructura_Balance[Nombre Cuenta ()],Estructura_Balance[Niveles:2],"",0)</f>
        <v/>
      </c>
      <c r="W1448" t="str">
        <f>_xlfn.XLOOKUP(Table3[[#This Row],[Cuenta]],Estructura_Balance[Nombre Cuenta ()],Estructura_Balance[Niveles:3],"",0)</f>
        <v/>
      </c>
      <c r="X1448" t="str">
        <f>_xlfn.XLOOKUP(Table3[[#This Row],[Cuenta]],Estructura_Balance[Nombre Cuenta ()],Estructura_Balance[Grupos],"Grupo 1",0)</f>
        <v>Grupo 1</v>
      </c>
      <c r="Y1448" t="str">
        <f>+Table3[[#This Row],[BS_Nivel_1]]</f>
        <v/>
      </c>
    </row>
    <row r="1449" spans="1:25" ht="15" customHeight="1">
      <c r="A1449">
        <f>+'Libro Diario'!F869</f>
        <v>0</v>
      </c>
      <c r="B1449" s="144">
        <f>VALUE(IF(+'Libro Diario'!G869="","01/01/2025",+'Libro Diario'!G869))</f>
        <v>45658</v>
      </c>
      <c r="C1449">
        <f>IF(ISNUMBER(+IF(IFERROR(VALUE(MID('Libro Diario'!D869,1,4)),0)&lt;&gt;0,'Libro Diario'!D869,0))=FALSE,'Libro Diario'!D869,0)</f>
        <v>0</v>
      </c>
      <c r="D1449" s="145">
        <f>+'Libro Diario'!E869</f>
        <v>0</v>
      </c>
      <c r="E1449" s="139" t="s">
        <v>446</v>
      </c>
      <c r="F1449" t="str">
        <f t="shared" si="66"/>
        <v>Sin Mov.</v>
      </c>
      <c r="G1449" t="str">
        <f>IF(+'Libro Diario'!H869=0,"",+'Libro Diario'!H869)</f>
        <v/>
      </c>
      <c r="H1449" t="str">
        <f>IF(+'Libro Diario'!I869=0,"",+'Libro Diario'!I869)</f>
        <v/>
      </c>
      <c r="I1449" t="str">
        <f>+IF(Table3[[#This Row],[Tipo Movimiento]]="Estructura Balance y PyG","Excluir","Incluir")</f>
        <v>Incluir</v>
      </c>
      <c r="J1449" s="153">
        <f>+IF(Table3[[#This Row],[Sin cuenta]]="Con Mov.",(IF(Table3[[#This Row],[Movimiento]]="Debe",Table3[[#This Row],[Importe]],IF(Table3[[#This Row],[Movimiento]]="Haber",Table3[[#This Row],[Importe]]*-1,0))),0)</f>
        <v>0</v>
      </c>
      <c r="K1449" s="145" t="str">
        <f t="shared" si="67"/>
        <v/>
      </c>
      <c r="L1449" s="145">
        <f t="shared" si="68"/>
        <v>0</v>
      </c>
      <c r="M1449" t="str">
        <f>_xlfn.XLOOKUP(Table3[[#This Row],[Cuenta]],Estructura_Balance[Nombre Cuenta ()],Estructura_Balance[Grupo],"",0)</f>
        <v/>
      </c>
      <c r="N1449" t="str">
        <f>_xlfn.XLOOKUP(Table3[[#This Row],[Cuenta]],Estructura_Balance[Nombre Cuenta ()],Estructura_Balance[Nivel 1],"",0)</f>
        <v/>
      </c>
      <c r="O1449" t="str">
        <f>_xlfn.XLOOKUP(Table3[[#This Row],[Cuenta]],Estructura_Balance[Nombre Cuenta ()],Estructura_Balance[Nivel 2],"",0)</f>
        <v/>
      </c>
      <c r="P1449" t="str">
        <f>_xlfn.XLOOKUP(Table3[[#This Row],[Cuenta]],Estructura_Balance[Nombre Cuenta ()],Estructura_Balance[Nivel 3],"",0)</f>
        <v/>
      </c>
      <c r="Q1449" t="str">
        <f>_xlfn.XLOOKUP(Table3[[#This Row],[Cuenta]],Estructura_Balance[Nombre Cuenta ()],Estructura_Balance[Nivel 4],"",0)</f>
        <v/>
      </c>
      <c r="R1449" t="str">
        <f>_xlfn.XLOOKUP(Table3[[#This Row],[Cuenta]],Table8[Nombre Cuenta ()],Table8[Nivel 1],"",0)</f>
        <v/>
      </c>
      <c r="S1449" t="str">
        <f>_xlfn.XLOOKUP(Table3[[#This Row],[Cuenta]],Table8[Nombre Cuenta ()],Table8[Nivel 2],"",0)</f>
        <v/>
      </c>
      <c r="T1449" t="str">
        <f>_xlfn.XLOOKUP(Table3[[#This Row],[Cuenta]],Table8[Nombre Cuenta ()],Table8[Nivel 3],"",0)</f>
        <v/>
      </c>
      <c r="U1449">
        <v>1435</v>
      </c>
      <c r="V1449" t="str">
        <f>_xlfn.XLOOKUP(Table3[[#This Row],[Cuenta]],Estructura_Balance[Nombre Cuenta ()],Estructura_Balance[Niveles:2],"",0)</f>
        <v/>
      </c>
      <c r="W1449" t="str">
        <f>_xlfn.XLOOKUP(Table3[[#This Row],[Cuenta]],Estructura_Balance[Nombre Cuenta ()],Estructura_Balance[Niveles:3],"",0)</f>
        <v/>
      </c>
      <c r="X1449" t="str">
        <f>_xlfn.XLOOKUP(Table3[[#This Row],[Cuenta]],Estructura_Balance[Nombre Cuenta ()],Estructura_Balance[Grupos],"Grupo 1",0)</f>
        <v>Grupo 1</v>
      </c>
      <c r="Y1449" t="str">
        <f>+Table3[[#This Row],[BS_Nivel_1]]</f>
        <v/>
      </c>
    </row>
    <row r="1450" spans="1:25" ht="15" customHeight="1">
      <c r="A1450">
        <f>+'Libro Diario'!F870</f>
        <v>0</v>
      </c>
      <c r="B1450" s="144">
        <f>VALUE(IF(+'Libro Diario'!G870="","01/01/2025",+'Libro Diario'!G870))</f>
        <v>45658</v>
      </c>
      <c r="C1450">
        <f>IF(ISNUMBER(+IF(IFERROR(VALUE(MID('Libro Diario'!D870,1,4)),0)&lt;&gt;0,'Libro Diario'!D870,0))=FALSE,'Libro Diario'!D870,0)</f>
        <v>0</v>
      </c>
      <c r="D1450" s="145">
        <f>+'Libro Diario'!E870</f>
        <v>0</v>
      </c>
      <c r="E1450" s="139" t="s">
        <v>446</v>
      </c>
      <c r="F1450" t="str">
        <f t="shared" si="66"/>
        <v>Sin Mov.</v>
      </c>
      <c r="G1450" t="str">
        <f>IF(+'Libro Diario'!H870=0,"",+'Libro Diario'!H870)</f>
        <v/>
      </c>
      <c r="H1450" t="str">
        <f>IF(+'Libro Diario'!I870=0,"",+'Libro Diario'!I870)</f>
        <v/>
      </c>
      <c r="I1450" t="str">
        <f>+IF(Table3[[#This Row],[Tipo Movimiento]]="Estructura Balance y PyG","Excluir","Incluir")</f>
        <v>Incluir</v>
      </c>
      <c r="J1450" s="153">
        <f>+IF(Table3[[#This Row],[Sin cuenta]]="Con Mov.",(IF(Table3[[#This Row],[Movimiento]]="Debe",Table3[[#This Row],[Importe]],IF(Table3[[#This Row],[Movimiento]]="Haber",Table3[[#This Row],[Importe]]*-1,0))),0)</f>
        <v>0</v>
      </c>
      <c r="K1450" s="145" t="str">
        <f t="shared" si="67"/>
        <v/>
      </c>
      <c r="L1450" s="145">
        <f t="shared" si="68"/>
        <v>0</v>
      </c>
      <c r="M1450" t="str">
        <f>_xlfn.XLOOKUP(Table3[[#This Row],[Cuenta]],Estructura_Balance[Nombre Cuenta ()],Estructura_Balance[Grupo],"",0)</f>
        <v/>
      </c>
      <c r="N1450" t="str">
        <f>_xlfn.XLOOKUP(Table3[[#This Row],[Cuenta]],Estructura_Balance[Nombre Cuenta ()],Estructura_Balance[Nivel 1],"",0)</f>
        <v/>
      </c>
      <c r="O1450" t="str">
        <f>_xlfn.XLOOKUP(Table3[[#This Row],[Cuenta]],Estructura_Balance[Nombre Cuenta ()],Estructura_Balance[Nivel 2],"",0)</f>
        <v/>
      </c>
      <c r="P1450" t="str">
        <f>_xlfn.XLOOKUP(Table3[[#This Row],[Cuenta]],Estructura_Balance[Nombre Cuenta ()],Estructura_Balance[Nivel 3],"",0)</f>
        <v/>
      </c>
      <c r="Q1450" t="str">
        <f>_xlfn.XLOOKUP(Table3[[#This Row],[Cuenta]],Estructura_Balance[Nombre Cuenta ()],Estructura_Balance[Nivel 4],"",0)</f>
        <v/>
      </c>
      <c r="R1450" t="str">
        <f>_xlfn.XLOOKUP(Table3[[#This Row],[Cuenta]],Table8[Nombre Cuenta ()],Table8[Nivel 1],"",0)</f>
        <v/>
      </c>
      <c r="S1450" t="str">
        <f>_xlfn.XLOOKUP(Table3[[#This Row],[Cuenta]],Table8[Nombre Cuenta ()],Table8[Nivel 2],"",0)</f>
        <v/>
      </c>
      <c r="T1450" t="str">
        <f>_xlfn.XLOOKUP(Table3[[#This Row],[Cuenta]],Table8[Nombre Cuenta ()],Table8[Nivel 3],"",0)</f>
        <v/>
      </c>
      <c r="U1450">
        <v>1436</v>
      </c>
      <c r="V1450" t="str">
        <f>_xlfn.XLOOKUP(Table3[[#This Row],[Cuenta]],Estructura_Balance[Nombre Cuenta ()],Estructura_Balance[Niveles:2],"",0)</f>
        <v/>
      </c>
      <c r="W1450" t="str">
        <f>_xlfn.XLOOKUP(Table3[[#This Row],[Cuenta]],Estructura_Balance[Nombre Cuenta ()],Estructura_Balance[Niveles:3],"",0)</f>
        <v/>
      </c>
      <c r="X1450" t="str">
        <f>_xlfn.XLOOKUP(Table3[[#This Row],[Cuenta]],Estructura_Balance[Nombre Cuenta ()],Estructura_Balance[Grupos],"Grupo 1",0)</f>
        <v>Grupo 1</v>
      </c>
      <c r="Y1450" t="str">
        <f>+Table3[[#This Row],[BS_Nivel_1]]</f>
        <v/>
      </c>
    </row>
    <row r="1451" spans="1:25" ht="15" customHeight="1">
      <c r="A1451">
        <f>+'Libro Diario'!F871</f>
        <v>0</v>
      </c>
      <c r="B1451" s="144">
        <f>VALUE(IF(+'Libro Diario'!G871="","01/01/2025",+'Libro Diario'!G871))</f>
        <v>45658</v>
      </c>
      <c r="C1451">
        <f>IF(ISNUMBER(+IF(IFERROR(VALUE(MID('Libro Diario'!D871,1,4)),0)&lt;&gt;0,'Libro Diario'!D871,0))=FALSE,'Libro Diario'!D871,0)</f>
        <v>0</v>
      </c>
      <c r="D1451" s="145">
        <f>+'Libro Diario'!E871</f>
        <v>0</v>
      </c>
      <c r="E1451" s="139" t="s">
        <v>446</v>
      </c>
      <c r="F1451" t="str">
        <f t="shared" si="66"/>
        <v>Sin Mov.</v>
      </c>
      <c r="G1451" t="str">
        <f>IF(+'Libro Diario'!H871=0,"",+'Libro Diario'!H871)</f>
        <v/>
      </c>
      <c r="H1451" t="str">
        <f>IF(+'Libro Diario'!I871=0,"",+'Libro Diario'!I871)</f>
        <v/>
      </c>
      <c r="I1451" t="str">
        <f>+IF(Table3[[#This Row],[Tipo Movimiento]]="Estructura Balance y PyG","Excluir","Incluir")</f>
        <v>Incluir</v>
      </c>
      <c r="J1451" s="153">
        <f>+IF(Table3[[#This Row],[Sin cuenta]]="Con Mov.",(IF(Table3[[#This Row],[Movimiento]]="Debe",Table3[[#This Row],[Importe]],IF(Table3[[#This Row],[Movimiento]]="Haber",Table3[[#This Row],[Importe]]*-1,0))),0)</f>
        <v>0</v>
      </c>
      <c r="K1451" s="145" t="str">
        <f t="shared" si="67"/>
        <v/>
      </c>
      <c r="L1451" s="145">
        <f t="shared" si="68"/>
        <v>0</v>
      </c>
      <c r="M1451" t="str">
        <f>_xlfn.XLOOKUP(Table3[[#This Row],[Cuenta]],Estructura_Balance[Nombre Cuenta ()],Estructura_Balance[Grupo],"",0)</f>
        <v/>
      </c>
      <c r="N1451" t="str">
        <f>_xlfn.XLOOKUP(Table3[[#This Row],[Cuenta]],Estructura_Balance[Nombre Cuenta ()],Estructura_Balance[Nivel 1],"",0)</f>
        <v/>
      </c>
      <c r="O1451" t="str">
        <f>_xlfn.XLOOKUP(Table3[[#This Row],[Cuenta]],Estructura_Balance[Nombre Cuenta ()],Estructura_Balance[Nivel 2],"",0)</f>
        <v/>
      </c>
      <c r="P1451" t="str">
        <f>_xlfn.XLOOKUP(Table3[[#This Row],[Cuenta]],Estructura_Balance[Nombre Cuenta ()],Estructura_Balance[Nivel 3],"",0)</f>
        <v/>
      </c>
      <c r="Q1451" t="str">
        <f>_xlfn.XLOOKUP(Table3[[#This Row],[Cuenta]],Estructura_Balance[Nombre Cuenta ()],Estructura_Balance[Nivel 4],"",0)</f>
        <v/>
      </c>
      <c r="R1451" t="str">
        <f>_xlfn.XLOOKUP(Table3[[#This Row],[Cuenta]],Table8[Nombre Cuenta ()],Table8[Nivel 1],"",0)</f>
        <v/>
      </c>
      <c r="S1451" t="str">
        <f>_xlfn.XLOOKUP(Table3[[#This Row],[Cuenta]],Table8[Nombre Cuenta ()],Table8[Nivel 2],"",0)</f>
        <v/>
      </c>
      <c r="T1451" t="str">
        <f>_xlfn.XLOOKUP(Table3[[#This Row],[Cuenta]],Table8[Nombre Cuenta ()],Table8[Nivel 3],"",0)</f>
        <v/>
      </c>
      <c r="U1451">
        <v>444</v>
      </c>
      <c r="V1451" t="str">
        <f>_xlfn.XLOOKUP(Table3[[#This Row],[Cuenta]],Estructura_Balance[Nombre Cuenta ()],Estructura_Balance[Niveles:2],"",0)</f>
        <v/>
      </c>
      <c r="W1451" t="str">
        <f>_xlfn.XLOOKUP(Table3[[#This Row],[Cuenta]],Estructura_Balance[Nombre Cuenta ()],Estructura_Balance[Niveles:3],"",0)</f>
        <v/>
      </c>
      <c r="X1451" t="str">
        <f>_xlfn.XLOOKUP(Table3[[#This Row],[Cuenta]],Estructura_Balance[Nombre Cuenta ()],Estructura_Balance[Grupos],"Grupo 1",0)</f>
        <v>Grupo 1</v>
      </c>
      <c r="Y1451" t="str">
        <f>+Table3[[#This Row],[BS_Nivel_1]]</f>
        <v/>
      </c>
    </row>
    <row r="1452" spans="1:25" ht="15" customHeight="1">
      <c r="A1452">
        <f>+'Libro Diario'!F872</f>
        <v>0</v>
      </c>
      <c r="B1452" s="144">
        <f>VALUE(IF(+'Libro Diario'!G872="","01/01/2025",+'Libro Diario'!G872))</f>
        <v>45658</v>
      </c>
      <c r="C1452">
        <f>IF(ISNUMBER(+IF(IFERROR(VALUE(MID('Libro Diario'!D872,1,4)),0)&lt;&gt;0,'Libro Diario'!D872,0))=FALSE,'Libro Diario'!D872,0)</f>
        <v>0</v>
      </c>
      <c r="D1452" s="145">
        <f>+'Libro Diario'!E872</f>
        <v>0</v>
      </c>
      <c r="E1452" s="139" t="s">
        <v>446</v>
      </c>
      <c r="F1452" t="str">
        <f t="shared" si="66"/>
        <v>Sin Mov.</v>
      </c>
      <c r="G1452" t="str">
        <f>IF(+'Libro Diario'!H872=0,"",+'Libro Diario'!H872)</f>
        <v/>
      </c>
      <c r="H1452" t="str">
        <f>IF(+'Libro Diario'!I872=0,"",+'Libro Diario'!I872)</f>
        <v/>
      </c>
      <c r="I1452" t="str">
        <f>+IF(Table3[[#This Row],[Tipo Movimiento]]="Estructura Balance y PyG","Excluir","Incluir")</f>
        <v>Incluir</v>
      </c>
      <c r="J1452" s="153">
        <f>+IF(Table3[[#This Row],[Sin cuenta]]="Con Mov.",(IF(Table3[[#This Row],[Movimiento]]="Debe",Table3[[#This Row],[Importe]],IF(Table3[[#This Row],[Movimiento]]="Haber",Table3[[#This Row],[Importe]]*-1,0))),0)</f>
        <v>0</v>
      </c>
      <c r="K1452" s="145" t="str">
        <f t="shared" si="67"/>
        <v/>
      </c>
      <c r="L1452" s="145">
        <f t="shared" si="68"/>
        <v>0</v>
      </c>
      <c r="M1452" t="str">
        <f>_xlfn.XLOOKUP(Table3[[#This Row],[Cuenta]],Estructura_Balance[Nombre Cuenta ()],Estructura_Balance[Grupo],"",0)</f>
        <v/>
      </c>
      <c r="N1452" t="str">
        <f>_xlfn.XLOOKUP(Table3[[#This Row],[Cuenta]],Estructura_Balance[Nombre Cuenta ()],Estructura_Balance[Nivel 1],"",0)</f>
        <v/>
      </c>
      <c r="O1452" t="str">
        <f>_xlfn.XLOOKUP(Table3[[#This Row],[Cuenta]],Estructura_Balance[Nombre Cuenta ()],Estructura_Balance[Nivel 2],"",0)</f>
        <v/>
      </c>
      <c r="P1452" t="str">
        <f>_xlfn.XLOOKUP(Table3[[#This Row],[Cuenta]],Estructura_Balance[Nombre Cuenta ()],Estructura_Balance[Nivel 3],"",0)</f>
        <v/>
      </c>
      <c r="Q1452" t="str">
        <f>_xlfn.XLOOKUP(Table3[[#This Row],[Cuenta]],Estructura_Balance[Nombre Cuenta ()],Estructura_Balance[Nivel 4],"",0)</f>
        <v/>
      </c>
      <c r="R1452" t="str">
        <f>_xlfn.XLOOKUP(Table3[[#This Row],[Cuenta]],Table8[Nombre Cuenta ()],Table8[Nivel 1],"",0)</f>
        <v/>
      </c>
      <c r="S1452" t="str">
        <f>_xlfn.XLOOKUP(Table3[[#This Row],[Cuenta]],Table8[Nombre Cuenta ()],Table8[Nivel 2],"",0)</f>
        <v/>
      </c>
      <c r="T1452" t="str">
        <f>_xlfn.XLOOKUP(Table3[[#This Row],[Cuenta]],Table8[Nombre Cuenta ()],Table8[Nivel 3],"",0)</f>
        <v/>
      </c>
      <c r="U1452">
        <v>445</v>
      </c>
      <c r="V1452" t="str">
        <f>_xlfn.XLOOKUP(Table3[[#This Row],[Cuenta]],Estructura_Balance[Nombre Cuenta ()],Estructura_Balance[Niveles:2],"",0)</f>
        <v/>
      </c>
      <c r="W1452" t="str">
        <f>_xlfn.XLOOKUP(Table3[[#This Row],[Cuenta]],Estructura_Balance[Nombre Cuenta ()],Estructura_Balance[Niveles:3],"",0)</f>
        <v/>
      </c>
      <c r="X1452" t="str">
        <f>_xlfn.XLOOKUP(Table3[[#This Row],[Cuenta]],Estructura_Balance[Nombre Cuenta ()],Estructura_Balance[Grupos],"Grupo 1",0)</f>
        <v>Grupo 1</v>
      </c>
      <c r="Y1452" t="str">
        <f>+Table3[[#This Row],[BS_Nivel_1]]</f>
        <v/>
      </c>
    </row>
    <row r="1453" spans="1:25" ht="15" customHeight="1">
      <c r="A1453">
        <f>+'Libro Diario'!F873</f>
        <v>0</v>
      </c>
      <c r="B1453" s="144">
        <f>VALUE(IF(+'Libro Diario'!G873="","01/01/2025",+'Libro Diario'!G873))</f>
        <v>45658</v>
      </c>
      <c r="C1453">
        <f>IF(ISNUMBER(+IF(IFERROR(VALUE(MID('Libro Diario'!D873,1,4)),0)&lt;&gt;0,'Libro Diario'!D873,0))=FALSE,'Libro Diario'!D873,0)</f>
        <v>0</v>
      </c>
      <c r="D1453" s="145">
        <f>+'Libro Diario'!E873</f>
        <v>0</v>
      </c>
      <c r="E1453" s="139" t="s">
        <v>446</v>
      </c>
      <c r="F1453" t="str">
        <f t="shared" si="66"/>
        <v>Sin Mov.</v>
      </c>
      <c r="G1453" t="str">
        <f>IF(+'Libro Diario'!H873=0,"",+'Libro Diario'!H873)</f>
        <v/>
      </c>
      <c r="H1453" t="str">
        <f>IF(+'Libro Diario'!I873=0,"",+'Libro Diario'!I873)</f>
        <v/>
      </c>
      <c r="I1453" t="str">
        <f>+IF(Table3[[#This Row],[Tipo Movimiento]]="Estructura Balance y PyG","Excluir","Incluir")</f>
        <v>Incluir</v>
      </c>
      <c r="J1453" s="153">
        <f>+IF(Table3[[#This Row],[Sin cuenta]]="Con Mov.",(IF(Table3[[#This Row],[Movimiento]]="Debe",Table3[[#This Row],[Importe]],IF(Table3[[#This Row],[Movimiento]]="Haber",Table3[[#This Row],[Importe]]*-1,0))),0)</f>
        <v>0</v>
      </c>
      <c r="K1453" s="145" t="str">
        <f t="shared" si="67"/>
        <v/>
      </c>
      <c r="L1453" s="145">
        <f t="shared" si="68"/>
        <v>0</v>
      </c>
      <c r="M1453" t="str">
        <f>_xlfn.XLOOKUP(Table3[[#This Row],[Cuenta]],Estructura_Balance[Nombre Cuenta ()],Estructura_Balance[Grupo],"",0)</f>
        <v/>
      </c>
      <c r="N1453" t="str">
        <f>_xlfn.XLOOKUP(Table3[[#This Row],[Cuenta]],Estructura_Balance[Nombre Cuenta ()],Estructura_Balance[Nivel 1],"",0)</f>
        <v/>
      </c>
      <c r="O1453" t="str">
        <f>_xlfn.XLOOKUP(Table3[[#This Row],[Cuenta]],Estructura_Balance[Nombre Cuenta ()],Estructura_Balance[Nivel 2],"",0)</f>
        <v/>
      </c>
      <c r="P1453" t="str">
        <f>_xlfn.XLOOKUP(Table3[[#This Row],[Cuenta]],Estructura_Balance[Nombre Cuenta ()],Estructura_Balance[Nivel 3],"",0)</f>
        <v/>
      </c>
      <c r="Q1453" t="str">
        <f>_xlfn.XLOOKUP(Table3[[#This Row],[Cuenta]],Estructura_Balance[Nombre Cuenta ()],Estructura_Balance[Nivel 4],"",0)</f>
        <v/>
      </c>
      <c r="R1453" t="str">
        <f>_xlfn.XLOOKUP(Table3[[#This Row],[Cuenta]],Table8[Nombre Cuenta ()],Table8[Nivel 1],"",0)</f>
        <v/>
      </c>
      <c r="S1453" t="str">
        <f>_xlfn.XLOOKUP(Table3[[#This Row],[Cuenta]],Table8[Nombre Cuenta ()],Table8[Nivel 2],"",0)</f>
        <v/>
      </c>
      <c r="T1453" t="str">
        <f>_xlfn.XLOOKUP(Table3[[#This Row],[Cuenta]],Table8[Nombre Cuenta ()],Table8[Nivel 3],"",0)</f>
        <v/>
      </c>
      <c r="U1453">
        <v>1442</v>
      </c>
      <c r="V1453" t="str">
        <f>_xlfn.XLOOKUP(Table3[[#This Row],[Cuenta]],Estructura_Balance[Nombre Cuenta ()],Estructura_Balance[Niveles:2],"",0)</f>
        <v/>
      </c>
      <c r="W1453" t="str">
        <f>_xlfn.XLOOKUP(Table3[[#This Row],[Cuenta]],Estructura_Balance[Nombre Cuenta ()],Estructura_Balance[Niveles:3],"",0)</f>
        <v/>
      </c>
      <c r="X1453" t="str">
        <f>_xlfn.XLOOKUP(Table3[[#This Row],[Cuenta]],Estructura_Balance[Nombre Cuenta ()],Estructura_Balance[Grupos],"Grupo 1",0)</f>
        <v>Grupo 1</v>
      </c>
      <c r="Y1453" t="str">
        <f>+Table3[[#This Row],[BS_Nivel_1]]</f>
        <v/>
      </c>
    </row>
    <row r="1454" spans="1:25" ht="15" customHeight="1">
      <c r="A1454">
        <f>+'Libro Diario'!F874</f>
        <v>0</v>
      </c>
      <c r="B1454" s="144">
        <f>VALUE(IF(+'Libro Diario'!G874="","01/01/2025",+'Libro Diario'!G874))</f>
        <v>45658</v>
      </c>
      <c r="C1454">
        <f>IF(ISNUMBER(+IF(IFERROR(VALUE(MID('Libro Diario'!D874,1,4)),0)&lt;&gt;0,'Libro Diario'!D874,0))=FALSE,'Libro Diario'!D874,0)</f>
        <v>0</v>
      </c>
      <c r="D1454" s="145">
        <f>+'Libro Diario'!E874</f>
        <v>0</v>
      </c>
      <c r="E1454" s="139" t="s">
        <v>446</v>
      </c>
      <c r="F1454" t="str">
        <f t="shared" si="66"/>
        <v>Sin Mov.</v>
      </c>
      <c r="G1454" t="str">
        <f>IF(+'Libro Diario'!H874=0,"",+'Libro Diario'!H874)</f>
        <v/>
      </c>
      <c r="H1454" t="str">
        <f>IF(+'Libro Diario'!I874=0,"",+'Libro Diario'!I874)</f>
        <v/>
      </c>
      <c r="I1454" t="str">
        <f>+IF(Table3[[#This Row],[Tipo Movimiento]]="Estructura Balance y PyG","Excluir","Incluir")</f>
        <v>Incluir</v>
      </c>
      <c r="J1454" s="153">
        <f>+IF(Table3[[#This Row],[Sin cuenta]]="Con Mov.",(IF(Table3[[#This Row],[Movimiento]]="Debe",Table3[[#This Row],[Importe]],IF(Table3[[#This Row],[Movimiento]]="Haber",Table3[[#This Row],[Importe]]*-1,0))),0)</f>
        <v>0</v>
      </c>
      <c r="K1454" s="145" t="str">
        <f t="shared" si="67"/>
        <v/>
      </c>
      <c r="L1454" s="145">
        <f t="shared" si="68"/>
        <v>0</v>
      </c>
      <c r="M1454" t="str">
        <f>_xlfn.XLOOKUP(Table3[[#This Row],[Cuenta]],Estructura_Balance[Nombre Cuenta ()],Estructura_Balance[Grupo],"",0)</f>
        <v/>
      </c>
      <c r="N1454" t="str">
        <f>_xlfn.XLOOKUP(Table3[[#This Row],[Cuenta]],Estructura_Balance[Nombre Cuenta ()],Estructura_Balance[Nivel 1],"",0)</f>
        <v/>
      </c>
      <c r="O1454" t="str">
        <f>_xlfn.XLOOKUP(Table3[[#This Row],[Cuenta]],Estructura_Balance[Nombre Cuenta ()],Estructura_Balance[Nivel 2],"",0)</f>
        <v/>
      </c>
      <c r="P1454" t="str">
        <f>_xlfn.XLOOKUP(Table3[[#This Row],[Cuenta]],Estructura_Balance[Nombre Cuenta ()],Estructura_Balance[Nivel 3],"",0)</f>
        <v/>
      </c>
      <c r="Q1454" t="str">
        <f>_xlfn.XLOOKUP(Table3[[#This Row],[Cuenta]],Estructura_Balance[Nombre Cuenta ()],Estructura_Balance[Nivel 4],"",0)</f>
        <v/>
      </c>
      <c r="R1454" t="str">
        <f>_xlfn.XLOOKUP(Table3[[#This Row],[Cuenta]],Table8[Nombre Cuenta ()],Table8[Nivel 1],"",0)</f>
        <v/>
      </c>
      <c r="S1454" t="str">
        <f>_xlfn.XLOOKUP(Table3[[#This Row],[Cuenta]],Table8[Nombre Cuenta ()],Table8[Nivel 2],"",0)</f>
        <v/>
      </c>
      <c r="T1454" t="str">
        <f>_xlfn.XLOOKUP(Table3[[#This Row],[Cuenta]],Table8[Nombre Cuenta ()],Table8[Nivel 3],"",0)</f>
        <v/>
      </c>
      <c r="U1454">
        <v>1443</v>
      </c>
      <c r="V1454" t="str">
        <f>_xlfn.XLOOKUP(Table3[[#This Row],[Cuenta]],Estructura_Balance[Nombre Cuenta ()],Estructura_Balance[Niveles:2],"",0)</f>
        <v/>
      </c>
      <c r="W1454" t="str">
        <f>_xlfn.XLOOKUP(Table3[[#This Row],[Cuenta]],Estructura_Balance[Nombre Cuenta ()],Estructura_Balance[Niveles:3],"",0)</f>
        <v/>
      </c>
      <c r="X1454" t="str">
        <f>_xlfn.XLOOKUP(Table3[[#This Row],[Cuenta]],Estructura_Balance[Nombre Cuenta ()],Estructura_Balance[Grupos],"Grupo 1",0)</f>
        <v>Grupo 1</v>
      </c>
      <c r="Y1454" t="str">
        <f>+Table3[[#This Row],[BS_Nivel_1]]</f>
        <v/>
      </c>
    </row>
    <row r="1455" spans="1:25" ht="15" customHeight="1">
      <c r="A1455">
        <f>+'Libro Diario'!F875</f>
        <v>0</v>
      </c>
      <c r="B1455" s="144">
        <f>VALUE(IF(+'Libro Diario'!G875="","01/01/2025",+'Libro Diario'!G875))</f>
        <v>45658</v>
      </c>
      <c r="C1455">
        <f>IF(ISNUMBER(+IF(IFERROR(VALUE(MID('Libro Diario'!D875,1,4)),0)&lt;&gt;0,'Libro Diario'!D875,0))=FALSE,'Libro Diario'!D875,0)</f>
        <v>0</v>
      </c>
      <c r="D1455" s="145">
        <f>+'Libro Diario'!E875</f>
        <v>0</v>
      </c>
      <c r="E1455" s="139" t="s">
        <v>446</v>
      </c>
      <c r="F1455" t="str">
        <f t="shared" si="66"/>
        <v>Sin Mov.</v>
      </c>
      <c r="G1455" t="str">
        <f>IF(+'Libro Diario'!H875=0,"",+'Libro Diario'!H875)</f>
        <v/>
      </c>
      <c r="H1455" t="str">
        <f>IF(+'Libro Diario'!I875=0,"",+'Libro Diario'!I875)</f>
        <v/>
      </c>
      <c r="I1455" t="str">
        <f>+IF(Table3[[#This Row],[Tipo Movimiento]]="Estructura Balance y PyG","Excluir","Incluir")</f>
        <v>Incluir</v>
      </c>
      <c r="J1455" s="153">
        <f>+IF(Table3[[#This Row],[Sin cuenta]]="Con Mov.",(IF(Table3[[#This Row],[Movimiento]]="Debe",Table3[[#This Row],[Importe]],IF(Table3[[#This Row],[Movimiento]]="Haber",Table3[[#This Row],[Importe]]*-1,0))),0)</f>
        <v>0</v>
      </c>
      <c r="K1455" s="145" t="str">
        <f t="shared" si="67"/>
        <v/>
      </c>
      <c r="L1455" s="145">
        <f t="shared" si="68"/>
        <v>0</v>
      </c>
      <c r="M1455" t="str">
        <f>_xlfn.XLOOKUP(Table3[[#This Row],[Cuenta]],Estructura_Balance[Nombre Cuenta ()],Estructura_Balance[Grupo],"",0)</f>
        <v/>
      </c>
      <c r="N1455" t="str">
        <f>_xlfn.XLOOKUP(Table3[[#This Row],[Cuenta]],Estructura_Balance[Nombre Cuenta ()],Estructura_Balance[Nivel 1],"",0)</f>
        <v/>
      </c>
      <c r="O1455" t="str">
        <f>_xlfn.XLOOKUP(Table3[[#This Row],[Cuenta]],Estructura_Balance[Nombre Cuenta ()],Estructura_Balance[Nivel 2],"",0)</f>
        <v/>
      </c>
      <c r="P1455" t="str">
        <f>_xlfn.XLOOKUP(Table3[[#This Row],[Cuenta]],Estructura_Balance[Nombre Cuenta ()],Estructura_Balance[Nivel 3],"",0)</f>
        <v/>
      </c>
      <c r="Q1455" t="str">
        <f>_xlfn.XLOOKUP(Table3[[#This Row],[Cuenta]],Estructura_Balance[Nombre Cuenta ()],Estructura_Balance[Nivel 4],"",0)</f>
        <v/>
      </c>
      <c r="R1455" t="str">
        <f>_xlfn.XLOOKUP(Table3[[#This Row],[Cuenta]],Table8[Nombre Cuenta ()],Table8[Nivel 1],"",0)</f>
        <v/>
      </c>
      <c r="S1455" t="str">
        <f>_xlfn.XLOOKUP(Table3[[#This Row],[Cuenta]],Table8[Nombre Cuenta ()],Table8[Nivel 2],"",0)</f>
        <v/>
      </c>
      <c r="T1455" t="str">
        <f>_xlfn.XLOOKUP(Table3[[#This Row],[Cuenta]],Table8[Nombre Cuenta ()],Table8[Nivel 3],"",0)</f>
        <v/>
      </c>
      <c r="U1455">
        <v>451</v>
      </c>
      <c r="V1455" t="str">
        <f>_xlfn.XLOOKUP(Table3[[#This Row],[Cuenta]],Estructura_Balance[Nombre Cuenta ()],Estructura_Balance[Niveles:2],"",0)</f>
        <v/>
      </c>
      <c r="W1455" t="str">
        <f>_xlfn.XLOOKUP(Table3[[#This Row],[Cuenta]],Estructura_Balance[Nombre Cuenta ()],Estructura_Balance[Niveles:3],"",0)</f>
        <v/>
      </c>
      <c r="X1455" t="str">
        <f>_xlfn.XLOOKUP(Table3[[#This Row],[Cuenta]],Estructura_Balance[Nombre Cuenta ()],Estructura_Balance[Grupos],"Grupo 1",0)</f>
        <v>Grupo 1</v>
      </c>
      <c r="Y1455" t="str">
        <f>+Table3[[#This Row],[BS_Nivel_1]]</f>
        <v/>
      </c>
    </row>
    <row r="1456" spans="1:25" ht="15" customHeight="1">
      <c r="A1456">
        <f>+'Libro Diario'!F876</f>
        <v>0</v>
      </c>
      <c r="B1456" s="144">
        <f>VALUE(IF(+'Libro Diario'!G876="","01/01/2025",+'Libro Diario'!G876))</f>
        <v>45658</v>
      </c>
      <c r="C1456">
        <f>IF(ISNUMBER(+IF(IFERROR(VALUE(MID('Libro Diario'!D876,1,4)),0)&lt;&gt;0,'Libro Diario'!D876,0))=FALSE,'Libro Diario'!D876,0)</f>
        <v>0</v>
      </c>
      <c r="D1456" s="145">
        <f>+'Libro Diario'!E876</f>
        <v>0</v>
      </c>
      <c r="E1456" s="139" t="s">
        <v>446</v>
      </c>
      <c r="F1456" t="str">
        <f t="shared" si="66"/>
        <v>Sin Mov.</v>
      </c>
      <c r="G1456" t="str">
        <f>IF(+'Libro Diario'!H876=0,"",+'Libro Diario'!H876)</f>
        <v/>
      </c>
      <c r="H1456" t="str">
        <f>IF(+'Libro Diario'!I876=0,"",+'Libro Diario'!I876)</f>
        <v/>
      </c>
      <c r="I1456" t="str">
        <f>+IF(Table3[[#This Row],[Tipo Movimiento]]="Estructura Balance y PyG","Excluir","Incluir")</f>
        <v>Incluir</v>
      </c>
      <c r="J1456" s="153">
        <f>+IF(Table3[[#This Row],[Sin cuenta]]="Con Mov.",(IF(Table3[[#This Row],[Movimiento]]="Debe",Table3[[#This Row],[Importe]],IF(Table3[[#This Row],[Movimiento]]="Haber",Table3[[#This Row],[Importe]]*-1,0))),0)</f>
        <v>0</v>
      </c>
      <c r="K1456" s="145" t="str">
        <f t="shared" si="67"/>
        <v/>
      </c>
      <c r="L1456" s="145">
        <f t="shared" si="68"/>
        <v>0</v>
      </c>
      <c r="M1456" t="str">
        <f>_xlfn.XLOOKUP(Table3[[#This Row],[Cuenta]],Estructura_Balance[Nombre Cuenta ()],Estructura_Balance[Grupo],"",0)</f>
        <v/>
      </c>
      <c r="N1456" t="str">
        <f>_xlfn.XLOOKUP(Table3[[#This Row],[Cuenta]],Estructura_Balance[Nombre Cuenta ()],Estructura_Balance[Nivel 1],"",0)</f>
        <v/>
      </c>
      <c r="O1456" t="str">
        <f>_xlfn.XLOOKUP(Table3[[#This Row],[Cuenta]],Estructura_Balance[Nombre Cuenta ()],Estructura_Balance[Nivel 2],"",0)</f>
        <v/>
      </c>
      <c r="P1456" t="str">
        <f>_xlfn.XLOOKUP(Table3[[#This Row],[Cuenta]],Estructura_Balance[Nombre Cuenta ()],Estructura_Balance[Nivel 3],"",0)</f>
        <v/>
      </c>
      <c r="Q1456" t="str">
        <f>_xlfn.XLOOKUP(Table3[[#This Row],[Cuenta]],Estructura_Balance[Nombre Cuenta ()],Estructura_Balance[Nivel 4],"",0)</f>
        <v/>
      </c>
      <c r="R1456" t="str">
        <f>_xlfn.XLOOKUP(Table3[[#This Row],[Cuenta]],Table8[Nombre Cuenta ()],Table8[Nivel 1],"",0)</f>
        <v/>
      </c>
      <c r="S1456" t="str">
        <f>_xlfn.XLOOKUP(Table3[[#This Row],[Cuenta]],Table8[Nombre Cuenta ()],Table8[Nivel 2],"",0)</f>
        <v/>
      </c>
      <c r="T1456" t="str">
        <f>_xlfn.XLOOKUP(Table3[[#This Row],[Cuenta]],Table8[Nombre Cuenta ()],Table8[Nivel 3],"",0)</f>
        <v/>
      </c>
      <c r="U1456">
        <v>452</v>
      </c>
      <c r="V1456" t="str">
        <f>_xlfn.XLOOKUP(Table3[[#This Row],[Cuenta]],Estructura_Balance[Nombre Cuenta ()],Estructura_Balance[Niveles:2],"",0)</f>
        <v/>
      </c>
      <c r="W1456" t="str">
        <f>_xlfn.XLOOKUP(Table3[[#This Row],[Cuenta]],Estructura_Balance[Nombre Cuenta ()],Estructura_Balance[Niveles:3],"",0)</f>
        <v/>
      </c>
      <c r="X1456" t="str">
        <f>_xlfn.XLOOKUP(Table3[[#This Row],[Cuenta]],Estructura_Balance[Nombre Cuenta ()],Estructura_Balance[Grupos],"Grupo 1",0)</f>
        <v>Grupo 1</v>
      </c>
      <c r="Y1456" t="str">
        <f>+Table3[[#This Row],[BS_Nivel_1]]</f>
        <v/>
      </c>
    </row>
    <row r="1457" spans="1:25" ht="15" customHeight="1">
      <c r="A1457">
        <f>+'Libro Diario'!F877</f>
        <v>0</v>
      </c>
      <c r="B1457" s="144">
        <f>VALUE(IF(+'Libro Diario'!G877="","01/01/2025",+'Libro Diario'!G877))</f>
        <v>45658</v>
      </c>
      <c r="C1457">
        <f>IF(ISNUMBER(+IF(IFERROR(VALUE(MID('Libro Diario'!D877,1,4)),0)&lt;&gt;0,'Libro Diario'!D877,0))=FALSE,'Libro Diario'!D877,0)</f>
        <v>0</v>
      </c>
      <c r="D1457" s="145">
        <f>+'Libro Diario'!E877</f>
        <v>0</v>
      </c>
      <c r="E1457" s="139" t="s">
        <v>446</v>
      </c>
      <c r="F1457" t="str">
        <f t="shared" si="66"/>
        <v>Sin Mov.</v>
      </c>
      <c r="G1457" t="str">
        <f>IF(+'Libro Diario'!H877=0,"",+'Libro Diario'!H877)</f>
        <v/>
      </c>
      <c r="H1457" t="str">
        <f>IF(+'Libro Diario'!I877=0,"",+'Libro Diario'!I877)</f>
        <v/>
      </c>
      <c r="I1457" t="str">
        <f>+IF(Table3[[#This Row],[Tipo Movimiento]]="Estructura Balance y PyG","Excluir","Incluir")</f>
        <v>Incluir</v>
      </c>
      <c r="J1457" s="153">
        <f>+IF(Table3[[#This Row],[Sin cuenta]]="Con Mov.",(IF(Table3[[#This Row],[Movimiento]]="Debe",Table3[[#This Row],[Importe]],IF(Table3[[#This Row],[Movimiento]]="Haber",Table3[[#This Row],[Importe]]*-1,0))),0)</f>
        <v>0</v>
      </c>
      <c r="K1457" s="145" t="str">
        <f t="shared" si="67"/>
        <v/>
      </c>
      <c r="L1457" s="145">
        <f t="shared" si="68"/>
        <v>0</v>
      </c>
      <c r="M1457" t="str">
        <f>_xlfn.XLOOKUP(Table3[[#This Row],[Cuenta]],Estructura_Balance[Nombre Cuenta ()],Estructura_Balance[Grupo],"",0)</f>
        <v/>
      </c>
      <c r="N1457" t="str">
        <f>_xlfn.XLOOKUP(Table3[[#This Row],[Cuenta]],Estructura_Balance[Nombre Cuenta ()],Estructura_Balance[Nivel 1],"",0)</f>
        <v/>
      </c>
      <c r="O1457" t="str">
        <f>_xlfn.XLOOKUP(Table3[[#This Row],[Cuenta]],Estructura_Balance[Nombre Cuenta ()],Estructura_Balance[Nivel 2],"",0)</f>
        <v/>
      </c>
      <c r="P1457" t="str">
        <f>_xlfn.XLOOKUP(Table3[[#This Row],[Cuenta]],Estructura_Balance[Nombre Cuenta ()],Estructura_Balance[Nivel 3],"",0)</f>
        <v/>
      </c>
      <c r="Q1457" t="str">
        <f>_xlfn.XLOOKUP(Table3[[#This Row],[Cuenta]],Estructura_Balance[Nombre Cuenta ()],Estructura_Balance[Nivel 4],"",0)</f>
        <v/>
      </c>
      <c r="R1457" t="str">
        <f>_xlfn.XLOOKUP(Table3[[#This Row],[Cuenta]],Table8[Nombre Cuenta ()],Table8[Nivel 1],"",0)</f>
        <v/>
      </c>
      <c r="S1457" t="str">
        <f>_xlfn.XLOOKUP(Table3[[#This Row],[Cuenta]],Table8[Nombre Cuenta ()],Table8[Nivel 2],"",0)</f>
        <v/>
      </c>
      <c r="T1457" t="str">
        <f>_xlfn.XLOOKUP(Table3[[#This Row],[Cuenta]],Table8[Nombre Cuenta ()],Table8[Nivel 3],"",0)</f>
        <v/>
      </c>
      <c r="U1457">
        <v>1449</v>
      </c>
      <c r="V1457" t="str">
        <f>_xlfn.XLOOKUP(Table3[[#This Row],[Cuenta]],Estructura_Balance[Nombre Cuenta ()],Estructura_Balance[Niveles:2],"",0)</f>
        <v/>
      </c>
      <c r="W1457" t="str">
        <f>_xlfn.XLOOKUP(Table3[[#This Row],[Cuenta]],Estructura_Balance[Nombre Cuenta ()],Estructura_Balance[Niveles:3],"",0)</f>
        <v/>
      </c>
      <c r="X1457" t="str">
        <f>_xlfn.XLOOKUP(Table3[[#This Row],[Cuenta]],Estructura_Balance[Nombre Cuenta ()],Estructura_Balance[Grupos],"Grupo 1",0)</f>
        <v>Grupo 1</v>
      </c>
      <c r="Y1457" t="str">
        <f>+Table3[[#This Row],[BS_Nivel_1]]</f>
        <v/>
      </c>
    </row>
    <row r="1458" spans="1:25" ht="15" customHeight="1">
      <c r="A1458">
        <f>+'Libro Diario'!F878</f>
        <v>0</v>
      </c>
      <c r="B1458" s="144">
        <f>VALUE(IF(+'Libro Diario'!G878="","01/01/2025",+'Libro Diario'!G878))</f>
        <v>45658</v>
      </c>
      <c r="C1458">
        <f>IF(ISNUMBER(+IF(IFERROR(VALUE(MID('Libro Diario'!D878,1,4)),0)&lt;&gt;0,'Libro Diario'!D878,0))=FALSE,'Libro Diario'!D878,0)</f>
        <v>0</v>
      </c>
      <c r="D1458" s="145">
        <f>+'Libro Diario'!E878</f>
        <v>0</v>
      </c>
      <c r="E1458" s="139" t="s">
        <v>446</v>
      </c>
      <c r="F1458" t="str">
        <f t="shared" si="66"/>
        <v>Sin Mov.</v>
      </c>
      <c r="G1458" t="str">
        <f>IF(+'Libro Diario'!H878=0,"",+'Libro Diario'!H878)</f>
        <v/>
      </c>
      <c r="H1458" t="str">
        <f>IF(+'Libro Diario'!I878=0,"",+'Libro Diario'!I878)</f>
        <v/>
      </c>
      <c r="I1458" t="str">
        <f>+IF(Table3[[#This Row],[Tipo Movimiento]]="Estructura Balance y PyG","Excluir","Incluir")</f>
        <v>Incluir</v>
      </c>
      <c r="J1458" s="153">
        <f>+IF(Table3[[#This Row],[Sin cuenta]]="Con Mov.",(IF(Table3[[#This Row],[Movimiento]]="Debe",Table3[[#This Row],[Importe]],IF(Table3[[#This Row],[Movimiento]]="Haber",Table3[[#This Row],[Importe]]*-1,0))),0)</f>
        <v>0</v>
      </c>
      <c r="K1458" s="145" t="str">
        <f t="shared" si="67"/>
        <v/>
      </c>
      <c r="L1458" s="145">
        <f t="shared" si="68"/>
        <v>0</v>
      </c>
      <c r="M1458" t="str">
        <f>_xlfn.XLOOKUP(Table3[[#This Row],[Cuenta]],Estructura_Balance[Nombre Cuenta ()],Estructura_Balance[Grupo],"",0)</f>
        <v/>
      </c>
      <c r="N1458" t="str">
        <f>_xlfn.XLOOKUP(Table3[[#This Row],[Cuenta]],Estructura_Balance[Nombre Cuenta ()],Estructura_Balance[Nivel 1],"",0)</f>
        <v/>
      </c>
      <c r="O1458" t="str">
        <f>_xlfn.XLOOKUP(Table3[[#This Row],[Cuenta]],Estructura_Balance[Nombre Cuenta ()],Estructura_Balance[Nivel 2],"",0)</f>
        <v/>
      </c>
      <c r="P1458" t="str">
        <f>_xlfn.XLOOKUP(Table3[[#This Row],[Cuenta]],Estructura_Balance[Nombre Cuenta ()],Estructura_Balance[Nivel 3],"",0)</f>
        <v/>
      </c>
      <c r="Q1458" t="str">
        <f>_xlfn.XLOOKUP(Table3[[#This Row],[Cuenta]],Estructura_Balance[Nombre Cuenta ()],Estructura_Balance[Nivel 4],"",0)</f>
        <v/>
      </c>
      <c r="R1458" t="str">
        <f>_xlfn.XLOOKUP(Table3[[#This Row],[Cuenta]],Table8[Nombre Cuenta ()],Table8[Nivel 1],"",0)</f>
        <v/>
      </c>
      <c r="S1458" t="str">
        <f>_xlfn.XLOOKUP(Table3[[#This Row],[Cuenta]],Table8[Nombre Cuenta ()],Table8[Nivel 2],"",0)</f>
        <v/>
      </c>
      <c r="T1458" t="str">
        <f>_xlfn.XLOOKUP(Table3[[#This Row],[Cuenta]],Table8[Nombre Cuenta ()],Table8[Nivel 3],"",0)</f>
        <v/>
      </c>
      <c r="U1458">
        <v>1450</v>
      </c>
      <c r="V1458" t="str">
        <f>_xlfn.XLOOKUP(Table3[[#This Row],[Cuenta]],Estructura_Balance[Nombre Cuenta ()],Estructura_Balance[Niveles:2],"",0)</f>
        <v/>
      </c>
      <c r="W1458" t="str">
        <f>_xlfn.XLOOKUP(Table3[[#This Row],[Cuenta]],Estructura_Balance[Nombre Cuenta ()],Estructura_Balance[Niveles:3],"",0)</f>
        <v/>
      </c>
      <c r="X1458" t="str">
        <f>_xlfn.XLOOKUP(Table3[[#This Row],[Cuenta]],Estructura_Balance[Nombre Cuenta ()],Estructura_Balance[Grupos],"Grupo 1",0)</f>
        <v>Grupo 1</v>
      </c>
      <c r="Y1458" t="str">
        <f>+Table3[[#This Row],[BS_Nivel_1]]</f>
        <v/>
      </c>
    </row>
    <row r="1459" spans="1:25" ht="15" customHeight="1">
      <c r="A1459">
        <f>+'Libro Diario'!F879</f>
        <v>0</v>
      </c>
      <c r="B1459" s="144">
        <f>VALUE(IF(+'Libro Diario'!G879="","01/01/2025",+'Libro Diario'!G879))</f>
        <v>45658</v>
      </c>
      <c r="C1459">
        <f>IF(ISNUMBER(+IF(IFERROR(VALUE(MID('Libro Diario'!D879,1,4)),0)&lt;&gt;0,'Libro Diario'!D879,0))=FALSE,'Libro Diario'!D879,0)</f>
        <v>0</v>
      </c>
      <c r="D1459" s="145">
        <f>+'Libro Diario'!E879</f>
        <v>0</v>
      </c>
      <c r="E1459" s="139" t="s">
        <v>446</v>
      </c>
      <c r="F1459" t="str">
        <f t="shared" si="66"/>
        <v>Sin Mov.</v>
      </c>
      <c r="G1459" t="str">
        <f>IF(+'Libro Diario'!H879=0,"",+'Libro Diario'!H879)</f>
        <v/>
      </c>
      <c r="H1459" t="str">
        <f>IF(+'Libro Diario'!I879=0,"",+'Libro Diario'!I879)</f>
        <v/>
      </c>
      <c r="I1459" t="str">
        <f>+IF(Table3[[#This Row],[Tipo Movimiento]]="Estructura Balance y PyG","Excluir","Incluir")</f>
        <v>Incluir</v>
      </c>
      <c r="J1459" s="153">
        <f>+IF(Table3[[#This Row],[Sin cuenta]]="Con Mov.",(IF(Table3[[#This Row],[Movimiento]]="Debe",Table3[[#This Row],[Importe]],IF(Table3[[#This Row],[Movimiento]]="Haber",Table3[[#This Row],[Importe]]*-1,0))),0)</f>
        <v>0</v>
      </c>
      <c r="K1459" s="145" t="str">
        <f t="shared" si="67"/>
        <v/>
      </c>
      <c r="L1459" s="145">
        <f t="shared" si="68"/>
        <v>0</v>
      </c>
      <c r="M1459" t="str">
        <f>_xlfn.XLOOKUP(Table3[[#This Row],[Cuenta]],Estructura_Balance[Nombre Cuenta ()],Estructura_Balance[Grupo],"",0)</f>
        <v/>
      </c>
      <c r="N1459" t="str">
        <f>_xlfn.XLOOKUP(Table3[[#This Row],[Cuenta]],Estructura_Balance[Nombre Cuenta ()],Estructura_Balance[Nivel 1],"",0)</f>
        <v/>
      </c>
      <c r="O1459" t="str">
        <f>_xlfn.XLOOKUP(Table3[[#This Row],[Cuenta]],Estructura_Balance[Nombre Cuenta ()],Estructura_Balance[Nivel 2],"",0)</f>
        <v/>
      </c>
      <c r="P1459" t="str">
        <f>_xlfn.XLOOKUP(Table3[[#This Row],[Cuenta]],Estructura_Balance[Nombre Cuenta ()],Estructura_Balance[Nivel 3],"",0)</f>
        <v/>
      </c>
      <c r="Q1459" t="str">
        <f>_xlfn.XLOOKUP(Table3[[#This Row],[Cuenta]],Estructura_Balance[Nombre Cuenta ()],Estructura_Balance[Nivel 4],"",0)</f>
        <v/>
      </c>
      <c r="R1459" t="str">
        <f>_xlfn.XLOOKUP(Table3[[#This Row],[Cuenta]],Table8[Nombre Cuenta ()],Table8[Nivel 1],"",0)</f>
        <v/>
      </c>
      <c r="S1459" t="str">
        <f>_xlfn.XLOOKUP(Table3[[#This Row],[Cuenta]],Table8[Nombre Cuenta ()],Table8[Nivel 2],"",0)</f>
        <v/>
      </c>
      <c r="T1459" t="str">
        <f>_xlfn.XLOOKUP(Table3[[#This Row],[Cuenta]],Table8[Nombre Cuenta ()],Table8[Nivel 3],"",0)</f>
        <v/>
      </c>
      <c r="U1459">
        <v>458</v>
      </c>
      <c r="V1459" t="str">
        <f>_xlfn.XLOOKUP(Table3[[#This Row],[Cuenta]],Estructura_Balance[Nombre Cuenta ()],Estructura_Balance[Niveles:2],"",0)</f>
        <v/>
      </c>
      <c r="W1459" t="str">
        <f>_xlfn.XLOOKUP(Table3[[#This Row],[Cuenta]],Estructura_Balance[Nombre Cuenta ()],Estructura_Balance[Niveles:3],"",0)</f>
        <v/>
      </c>
      <c r="X1459" t="str">
        <f>_xlfn.XLOOKUP(Table3[[#This Row],[Cuenta]],Estructura_Balance[Nombre Cuenta ()],Estructura_Balance[Grupos],"Grupo 1",0)</f>
        <v>Grupo 1</v>
      </c>
      <c r="Y1459" t="str">
        <f>+Table3[[#This Row],[BS_Nivel_1]]</f>
        <v/>
      </c>
    </row>
    <row r="1460" spans="1:25" ht="15" customHeight="1">
      <c r="A1460">
        <f>+'Libro Diario'!F880</f>
        <v>0</v>
      </c>
      <c r="B1460" s="144">
        <f>VALUE(IF(+'Libro Diario'!G880="","01/01/2025",+'Libro Diario'!G880))</f>
        <v>45658</v>
      </c>
      <c r="C1460">
        <f>IF(ISNUMBER(+IF(IFERROR(VALUE(MID('Libro Diario'!D880,1,4)),0)&lt;&gt;0,'Libro Diario'!D880,0))=FALSE,'Libro Diario'!D880,0)</f>
        <v>0</v>
      </c>
      <c r="D1460" s="145">
        <f>+'Libro Diario'!E880</f>
        <v>0</v>
      </c>
      <c r="E1460" s="139" t="s">
        <v>446</v>
      </c>
      <c r="F1460" t="str">
        <f t="shared" si="66"/>
        <v>Sin Mov.</v>
      </c>
      <c r="G1460" t="str">
        <f>IF(+'Libro Diario'!H880=0,"",+'Libro Diario'!H880)</f>
        <v/>
      </c>
      <c r="H1460" t="str">
        <f>IF(+'Libro Diario'!I880=0,"",+'Libro Diario'!I880)</f>
        <v/>
      </c>
      <c r="I1460" t="str">
        <f>+IF(Table3[[#This Row],[Tipo Movimiento]]="Estructura Balance y PyG","Excluir","Incluir")</f>
        <v>Incluir</v>
      </c>
      <c r="J1460" s="153">
        <f>+IF(Table3[[#This Row],[Sin cuenta]]="Con Mov.",(IF(Table3[[#This Row],[Movimiento]]="Debe",Table3[[#This Row],[Importe]],IF(Table3[[#This Row],[Movimiento]]="Haber",Table3[[#This Row],[Importe]]*-1,0))),0)</f>
        <v>0</v>
      </c>
      <c r="K1460" s="145" t="str">
        <f t="shared" si="67"/>
        <v/>
      </c>
      <c r="L1460" s="145">
        <f t="shared" si="68"/>
        <v>0</v>
      </c>
      <c r="M1460" t="str">
        <f>_xlfn.XLOOKUP(Table3[[#This Row],[Cuenta]],Estructura_Balance[Nombre Cuenta ()],Estructura_Balance[Grupo],"",0)</f>
        <v/>
      </c>
      <c r="N1460" t="str">
        <f>_xlfn.XLOOKUP(Table3[[#This Row],[Cuenta]],Estructura_Balance[Nombre Cuenta ()],Estructura_Balance[Nivel 1],"",0)</f>
        <v/>
      </c>
      <c r="O1460" t="str">
        <f>_xlfn.XLOOKUP(Table3[[#This Row],[Cuenta]],Estructura_Balance[Nombre Cuenta ()],Estructura_Balance[Nivel 2],"",0)</f>
        <v/>
      </c>
      <c r="P1460" t="str">
        <f>_xlfn.XLOOKUP(Table3[[#This Row],[Cuenta]],Estructura_Balance[Nombre Cuenta ()],Estructura_Balance[Nivel 3],"",0)</f>
        <v/>
      </c>
      <c r="Q1460" t="str">
        <f>_xlfn.XLOOKUP(Table3[[#This Row],[Cuenta]],Estructura_Balance[Nombre Cuenta ()],Estructura_Balance[Nivel 4],"",0)</f>
        <v/>
      </c>
      <c r="R1460" t="str">
        <f>_xlfn.XLOOKUP(Table3[[#This Row],[Cuenta]],Table8[Nombre Cuenta ()],Table8[Nivel 1],"",0)</f>
        <v/>
      </c>
      <c r="S1460" t="str">
        <f>_xlfn.XLOOKUP(Table3[[#This Row],[Cuenta]],Table8[Nombre Cuenta ()],Table8[Nivel 2],"",0)</f>
        <v/>
      </c>
      <c r="T1460" t="str">
        <f>_xlfn.XLOOKUP(Table3[[#This Row],[Cuenta]],Table8[Nombre Cuenta ()],Table8[Nivel 3],"",0)</f>
        <v/>
      </c>
      <c r="U1460">
        <v>459</v>
      </c>
      <c r="V1460" t="str">
        <f>_xlfn.XLOOKUP(Table3[[#This Row],[Cuenta]],Estructura_Balance[Nombre Cuenta ()],Estructura_Balance[Niveles:2],"",0)</f>
        <v/>
      </c>
      <c r="W1460" t="str">
        <f>_xlfn.XLOOKUP(Table3[[#This Row],[Cuenta]],Estructura_Balance[Nombre Cuenta ()],Estructura_Balance[Niveles:3],"",0)</f>
        <v/>
      </c>
      <c r="X1460" t="str">
        <f>_xlfn.XLOOKUP(Table3[[#This Row],[Cuenta]],Estructura_Balance[Nombre Cuenta ()],Estructura_Balance[Grupos],"Grupo 1",0)</f>
        <v>Grupo 1</v>
      </c>
      <c r="Y1460" t="str">
        <f>+Table3[[#This Row],[BS_Nivel_1]]</f>
        <v/>
      </c>
    </row>
    <row r="1461" spans="1:25" ht="15" customHeight="1">
      <c r="A1461">
        <f>+'Libro Diario'!F881</f>
        <v>0</v>
      </c>
      <c r="B1461" s="144">
        <f>VALUE(IF(+'Libro Diario'!G881="","01/01/2025",+'Libro Diario'!G881))</f>
        <v>45658</v>
      </c>
      <c r="C1461">
        <f>IF(ISNUMBER(+IF(IFERROR(VALUE(MID('Libro Diario'!D881,1,4)),0)&lt;&gt;0,'Libro Diario'!D881,0))=FALSE,'Libro Diario'!D881,0)</f>
        <v>0</v>
      </c>
      <c r="D1461" s="145">
        <f>+'Libro Diario'!E881</f>
        <v>0</v>
      </c>
      <c r="E1461" s="139" t="s">
        <v>446</v>
      </c>
      <c r="F1461" t="str">
        <f t="shared" si="66"/>
        <v>Sin Mov.</v>
      </c>
      <c r="G1461" t="str">
        <f>IF(+'Libro Diario'!H881=0,"",+'Libro Diario'!H881)</f>
        <v/>
      </c>
      <c r="H1461" t="str">
        <f>IF(+'Libro Diario'!I881=0,"",+'Libro Diario'!I881)</f>
        <v/>
      </c>
      <c r="I1461" t="str">
        <f>+IF(Table3[[#This Row],[Tipo Movimiento]]="Estructura Balance y PyG","Excluir","Incluir")</f>
        <v>Incluir</v>
      </c>
      <c r="J1461" s="153">
        <f>+IF(Table3[[#This Row],[Sin cuenta]]="Con Mov.",(IF(Table3[[#This Row],[Movimiento]]="Debe",Table3[[#This Row],[Importe]],IF(Table3[[#This Row],[Movimiento]]="Haber",Table3[[#This Row],[Importe]]*-1,0))),0)</f>
        <v>0</v>
      </c>
      <c r="K1461" s="145" t="str">
        <f t="shared" si="67"/>
        <v/>
      </c>
      <c r="L1461" s="145">
        <f t="shared" si="68"/>
        <v>0</v>
      </c>
      <c r="M1461" t="str">
        <f>_xlfn.XLOOKUP(Table3[[#This Row],[Cuenta]],Estructura_Balance[Nombre Cuenta ()],Estructura_Balance[Grupo],"",0)</f>
        <v/>
      </c>
      <c r="N1461" t="str">
        <f>_xlfn.XLOOKUP(Table3[[#This Row],[Cuenta]],Estructura_Balance[Nombre Cuenta ()],Estructura_Balance[Nivel 1],"",0)</f>
        <v/>
      </c>
      <c r="O1461" t="str">
        <f>_xlfn.XLOOKUP(Table3[[#This Row],[Cuenta]],Estructura_Balance[Nombre Cuenta ()],Estructura_Balance[Nivel 2],"",0)</f>
        <v/>
      </c>
      <c r="P1461" t="str">
        <f>_xlfn.XLOOKUP(Table3[[#This Row],[Cuenta]],Estructura_Balance[Nombre Cuenta ()],Estructura_Balance[Nivel 3],"",0)</f>
        <v/>
      </c>
      <c r="Q1461" t="str">
        <f>_xlfn.XLOOKUP(Table3[[#This Row],[Cuenta]],Estructura_Balance[Nombre Cuenta ()],Estructura_Balance[Nivel 4],"",0)</f>
        <v/>
      </c>
      <c r="R1461" t="str">
        <f>_xlfn.XLOOKUP(Table3[[#This Row],[Cuenta]],Table8[Nombre Cuenta ()],Table8[Nivel 1],"",0)</f>
        <v/>
      </c>
      <c r="S1461" t="str">
        <f>_xlfn.XLOOKUP(Table3[[#This Row],[Cuenta]],Table8[Nombre Cuenta ()],Table8[Nivel 2],"",0)</f>
        <v/>
      </c>
      <c r="T1461" t="str">
        <f>_xlfn.XLOOKUP(Table3[[#This Row],[Cuenta]],Table8[Nombre Cuenta ()],Table8[Nivel 3],"",0)</f>
        <v/>
      </c>
      <c r="U1461">
        <v>1456</v>
      </c>
      <c r="V1461" t="str">
        <f>_xlfn.XLOOKUP(Table3[[#This Row],[Cuenta]],Estructura_Balance[Nombre Cuenta ()],Estructura_Balance[Niveles:2],"",0)</f>
        <v/>
      </c>
      <c r="W1461" t="str">
        <f>_xlfn.XLOOKUP(Table3[[#This Row],[Cuenta]],Estructura_Balance[Nombre Cuenta ()],Estructura_Balance[Niveles:3],"",0)</f>
        <v/>
      </c>
      <c r="X1461" t="str">
        <f>_xlfn.XLOOKUP(Table3[[#This Row],[Cuenta]],Estructura_Balance[Nombre Cuenta ()],Estructura_Balance[Grupos],"Grupo 1",0)</f>
        <v>Grupo 1</v>
      </c>
      <c r="Y1461" t="str">
        <f>+Table3[[#This Row],[BS_Nivel_1]]</f>
        <v/>
      </c>
    </row>
    <row r="1462" spans="1:25" ht="15" customHeight="1">
      <c r="A1462">
        <f>+'Libro Diario'!F882</f>
        <v>0</v>
      </c>
      <c r="B1462" s="144">
        <f>VALUE(IF(+'Libro Diario'!G882="","01/01/2025",+'Libro Diario'!G882))</f>
        <v>45658</v>
      </c>
      <c r="C1462">
        <f>IF(ISNUMBER(+IF(IFERROR(VALUE(MID('Libro Diario'!D882,1,4)),0)&lt;&gt;0,'Libro Diario'!D882,0))=FALSE,'Libro Diario'!D882,0)</f>
        <v>0</v>
      </c>
      <c r="D1462" s="145">
        <f>+'Libro Diario'!E882</f>
        <v>0</v>
      </c>
      <c r="E1462" s="139" t="s">
        <v>446</v>
      </c>
      <c r="F1462" t="str">
        <f t="shared" si="66"/>
        <v>Sin Mov.</v>
      </c>
      <c r="G1462" t="str">
        <f>IF(+'Libro Diario'!H882=0,"",+'Libro Diario'!H882)</f>
        <v/>
      </c>
      <c r="H1462" t="str">
        <f>IF(+'Libro Diario'!I882=0,"",+'Libro Diario'!I882)</f>
        <v/>
      </c>
      <c r="I1462" t="str">
        <f>+IF(Table3[[#This Row],[Tipo Movimiento]]="Estructura Balance y PyG","Excluir","Incluir")</f>
        <v>Incluir</v>
      </c>
      <c r="J1462" s="153">
        <f>+IF(Table3[[#This Row],[Sin cuenta]]="Con Mov.",(IF(Table3[[#This Row],[Movimiento]]="Debe",Table3[[#This Row],[Importe]],IF(Table3[[#This Row],[Movimiento]]="Haber",Table3[[#This Row],[Importe]]*-1,0))),0)</f>
        <v>0</v>
      </c>
      <c r="K1462" s="145" t="str">
        <f t="shared" si="67"/>
        <v/>
      </c>
      <c r="L1462" s="145">
        <f t="shared" si="68"/>
        <v>0</v>
      </c>
      <c r="M1462" t="str">
        <f>_xlfn.XLOOKUP(Table3[[#This Row],[Cuenta]],Estructura_Balance[Nombre Cuenta ()],Estructura_Balance[Grupo],"",0)</f>
        <v/>
      </c>
      <c r="N1462" t="str">
        <f>_xlfn.XLOOKUP(Table3[[#This Row],[Cuenta]],Estructura_Balance[Nombre Cuenta ()],Estructura_Balance[Nivel 1],"",0)</f>
        <v/>
      </c>
      <c r="O1462" t="str">
        <f>_xlfn.XLOOKUP(Table3[[#This Row],[Cuenta]],Estructura_Balance[Nombre Cuenta ()],Estructura_Balance[Nivel 2],"",0)</f>
        <v/>
      </c>
      <c r="P1462" t="str">
        <f>_xlfn.XLOOKUP(Table3[[#This Row],[Cuenta]],Estructura_Balance[Nombre Cuenta ()],Estructura_Balance[Nivel 3],"",0)</f>
        <v/>
      </c>
      <c r="Q1462" t="str">
        <f>_xlfn.XLOOKUP(Table3[[#This Row],[Cuenta]],Estructura_Balance[Nombre Cuenta ()],Estructura_Balance[Nivel 4],"",0)</f>
        <v/>
      </c>
      <c r="R1462" t="str">
        <f>_xlfn.XLOOKUP(Table3[[#This Row],[Cuenta]],Table8[Nombre Cuenta ()],Table8[Nivel 1],"",0)</f>
        <v/>
      </c>
      <c r="S1462" t="str">
        <f>_xlfn.XLOOKUP(Table3[[#This Row],[Cuenta]],Table8[Nombre Cuenta ()],Table8[Nivel 2],"",0)</f>
        <v/>
      </c>
      <c r="T1462" t="str">
        <f>_xlfn.XLOOKUP(Table3[[#This Row],[Cuenta]],Table8[Nombre Cuenta ()],Table8[Nivel 3],"",0)</f>
        <v/>
      </c>
      <c r="U1462">
        <v>1457</v>
      </c>
      <c r="V1462" t="str">
        <f>_xlfn.XLOOKUP(Table3[[#This Row],[Cuenta]],Estructura_Balance[Nombre Cuenta ()],Estructura_Balance[Niveles:2],"",0)</f>
        <v/>
      </c>
      <c r="W1462" t="str">
        <f>_xlfn.XLOOKUP(Table3[[#This Row],[Cuenta]],Estructura_Balance[Nombre Cuenta ()],Estructura_Balance[Niveles:3],"",0)</f>
        <v/>
      </c>
      <c r="X1462" t="str">
        <f>_xlfn.XLOOKUP(Table3[[#This Row],[Cuenta]],Estructura_Balance[Nombre Cuenta ()],Estructura_Balance[Grupos],"Grupo 1",0)</f>
        <v>Grupo 1</v>
      </c>
      <c r="Y1462" t="str">
        <f>+Table3[[#This Row],[BS_Nivel_1]]</f>
        <v/>
      </c>
    </row>
    <row r="1463" spans="1:25" ht="15" customHeight="1">
      <c r="A1463">
        <f>+'Libro Diario'!F883</f>
        <v>0</v>
      </c>
      <c r="B1463" s="144">
        <f>VALUE(IF(+'Libro Diario'!G883="","01/01/2025",+'Libro Diario'!G883))</f>
        <v>45658</v>
      </c>
      <c r="C1463">
        <f>IF(ISNUMBER(+IF(IFERROR(VALUE(MID('Libro Diario'!D883,1,4)),0)&lt;&gt;0,'Libro Diario'!D883,0))=FALSE,'Libro Diario'!D883,0)</f>
        <v>0</v>
      </c>
      <c r="D1463" s="145">
        <f>+'Libro Diario'!E883</f>
        <v>0</v>
      </c>
      <c r="E1463" s="139" t="s">
        <v>446</v>
      </c>
      <c r="F1463" t="str">
        <f t="shared" si="66"/>
        <v>Sin Mov.</v>
      </c>
      <c r="G1463" t="str">
        <f>IF(+'Libro Diario'!H883=0,"",+'Libro Diario'!H883)</f>
        <v/>
      </c>
      <c r="H1463" t="str">
        <f>IF(+'Libro Diario'!I883=0,"",+'Libro Diario'!I883)</f>
        <v/>
      </c>
      <c r="I1463" t="str">
        <f>+IF(Table3[[#This Row],[Tipo Movimiento]]="Estructura Balance y PyG","Excluir","Incluir")</f>
        <v>Incluir</v>
      </c>
      <c r="J1463" s="153">
        <f>+IF(Table3[[#This Row],[Sin cuenta]]="Con Mov.",(IF(Table3[[#This Row],[Movimiento]]="Debe",Table3[[#This Row],[Importe]],IF(Table3[[#This Row],[Movimiento]]="Haber",Table3[[#This Row],[Importe]]*-1,0))),0)</f>
        <v>0</v>
      </c>
      <c r="K1463" s="145" t="str">
        <f t="shared" si="67"/>
        <v/>
      </c>
      <c r="L1463" s="145">
        <f t="shared" si="68"/>
        <v>0</v>
      </c>
      <c r="M1463" t="str">
        <f>_xlfn.XLOOKUP(Table3[[#This Row],[Cuenta]],Estructura_Balance[Nombre Cuenta ()],Estructura_Balance[Grupo],"",0)</f>
        <v/>
      </c>
      <c r="N1463" t="str">
        <f>_xlfn.XLOOKUP(Table3[[#This Row],[Cuenta]],Estructura_Balance[Nombre Cuenta ()],Estructura_Balance[Nivel 1],"",0)</f>
        <v/>
      </c>
      <c r="O1463" t="str">
        <f>_xlfn.XLOOKUP(Table3[[#This Row],[Cuenta]],Estructura_Balance[Nombre Cuenta ()],Estructura_Balance[Nivel 2],"",0)</f>
        <v/>
      </c>
      <c r="P1463" t="str">
        <f>_xlfn.XLOOKUP(Table3[[#This Row],[Cuenta]],Estructura_Balance[Nombre Cuenta ()],Estructura_Balance[Nivel 3],"",0)</f>
        <v/>
      </c>
      <c r="Q1463" t="str">
        <f>_xlfn.XLOOKUP(Table3[[#This Row],[Cuenta]],Estructura_Balance[Nombre Cuenta ()],Estructura_Balance[Nivel 4],"",0)</f>
        <v/>
      </c>
      <c r="R1463" t="str">
        <f>_xlfn.XLOOKUP(Table3[[#This Row],[Cuenta]],Table8[Nombre Cuenta ()],Table8[Nivel 1],"",0)</f>
        <v/>
      </c>
      <c r="S1463" t="str">
        <f>_xlfn.XLOOKUP(Table3[[#This Row],[Cuenta]],Table8[Nombre Cuenta ()],Table8[Nivel 2],"",0)</f>
        <v/>
      </c>
      <c r="T1463" t="str">
        <f>_xlfn.XLOOKUP(Table3[[#This Row],[Cuenta]],Table8[Nombre Cuenta ()],Table8[Nivel 3],"",0)</f>
        <v/>
      </c>
      <c r="U1463">
        <v>465</v>
      </c>
      <c r="V1463" t="str">
        <f>_xlfn.XLOOKUP(Table3[[#This Row],[Cuenta]],Estructura_Balance[Nombre Cuenta ()],Estructura_Balance[Niveles:2],"",0)</f>
        <v/>
      </c>
      <c r="W1463" t="str">
        <f>_xlfn.XLOOKUP(Table3[[#This Row],[Cuenta]],Estructura_Balance[Nombre Cuenta ()],Estructura_Balance[Niveles:3],"",0)</f>
        <v/>
      </c>
      <c r="X1463" t="str">
        <f>_xlfn.XLOOKUP(Table3[[#This Row],[Cuenta]],Estructura_Balance[Nombre Cuenta ()],Estructura_Balance[Grupos],"Grupo 1",0)</f>
        <v>Grupo 1</v>
      </c>
      <c r="Y1463" t="str">
        <f>+Table3[[#This Row],[BS_Nivel_1]]</f>
        <v/>
      </c>
    </row>
    <row r="1464" spans="1:25" ht="15" customHeight="1">
      <c r="A1464">
        <f>+'Libro Diario'!F884</f>
        <v>0</v>
      </c>
      <c r="B1464" s="144">
        <f>VALUE(IF(+'Libro Diario'!G884="","01/01/2025",+'Libro Diario'!G884))</f>
        <v>45658</v>
      </c>
      <c r="C1464">
        <f>IF(ISNUMBER(+IF(IFERROR(VALUE(MID('Libro Diario'!D884,1,4)),0)&lt;&gt;0,'Libro Diario'!D884,0))=FALSE,'Libro Diario'!D884,0)</f>
        <v>0</v>
      </c>
      <c r="D1464" s="145">
        <f>+'Libro Diario'!E884</f>
        <v>0</v>
      </c>
      <c r="E1464" s="139" t="s">
        <v>446</v>
      </c>
      <c r="F1464" t="str">
        <f t="shared" si="66"/>
        <v>Sin Mov.</v>
      </c>
      <c r="G1464" t="str">
        <f>IF(+'Libro Diario'!H884=0,"",+'Libro Diario'!H884)</f>
        <v/>
      </c>
      <c r="H1464" t="str">
        <f>IF(+'Libro Diario'!I884=0,"",+'Libro Diario'!I884)</f>
        <v/>
      </c>
      <c r="I1464" t="str">
        <f>+IF(Table3[[#This Row],[Tipo Movimiento]]="Estructura Balance y PyG","Excluir","Incluir")</f>
        <v>Incluir</v>
      </c>
      <c r="J1464" s="153">
        <f>+IF(Table3[[#This Row],[Sin cuenta]]="Con Mov.",(IF(Table3[[#This Row],[Movimiento]]="Debe",Table3[[#This Row],[Importe]],IF(Table3[[#This Row],[Movimiento]]="Haber",Table3[[#This Row],[Importe]]*-1,0))),0)</f>
        <v>0</v>
      </c>
      <c r="K1464" s="145" t="str">
        <f t="shared" si="67"/>
        <v/>
      </c>
      <c r="L1464" s="145">
        <f t="shared" si="68"/>
        <v>0</v>
      </c>
      <c r="M1464" t="str">
        <f>_xlfn.XLOOKUP(Table3[[#This Row],[Cuenta]],Estructura_Balance[Nombre Cuenta ()],Estructura_Balance[Grupo],"",0)</f>
        <v/>
      </c>
      <c r="N1464" t="str">
        <f>_xlfn.XLOOKUP(Table3[[#This Row],[Cuenta]],Estructura_Balance[Nombre Cuenta ()],Estructura_Balance[Nivel 1],"",0)</f>
        <v/>
      </c>
      <c r="O1464" t="str">
        <f>_xlfn.XLOOKUP(Table3[[#This Row],[Cuenta]],Estructura_Balance[Nombre Cuenta ()],Estructura_Balance[Nivel 2],"",0)</f>
        <v/>
      </c>
      <c r="P1464" t="str">
        <f>_xlfn.XLOOKUP(Table3[[#This Row],[Cuenta]],Estructura_Balance[Nombre Cuenta ()],Estructura_Balance[Nivel 3],"",0)</f>
        <v/>
      </c>
      <c r="Q1464" t="str">
        <f>_xlfn.XLOOKUP(Table3[[#This Row],[Cuenta]],Estructura_Balance[Nombre Cuenta ()],Estructura_Balance[Nivel 4],"",0)</f>
        <v/>
      </c>
      <c r="R1464" t="str">
        <f>_xlfn.XLOOKUP(Table3[[#This Row],[Cuenta]],Table8[Nombre Cuenta ()],Table8[Nivel 1],"",0)</f>
        <v/>
      </c>
      <c r="S1464" t="str">
        <f>_xlfn.XLOOKUP(Table3[[#This Row],[Cuenta]],Table8[Nombre Cuenta ()],Table8[Nivel 2],"",0)</f>
        <v/>
      </c>
      <c r="T1464" t="str">
        <f>_xlfn.XLOOKUP(Table3[[#This Row],[Cuenta]],Table8[Nombre Cuenta ()],Table8[Nivel 3],"",0)</f>
        <v/>
      </c>
      <c r="U1464">
        <v>466</v>
      </c>
      <c r="V1464" t="str">
        <f>_xlfn.XLOOKUP(Table3[[#This Row],[Cuenta]],Estructura_Balance[Nombre Cuenta ()],Estructura_Balance[Niveles:2],"",0)</f>
        <v/>
      </c>
      <c r="W1464" t="str">
        <f>_xlfn.XLOOKUP(Table3[[#This Row],[Cuenta]],Estructura_Balance[Nombre Cuenta ()],Estructura_Balance[Niveles:3],"",0)</f>
        <v/>
      </c>
      <c r="X1464" t="str">
        <f>_xlfn.XLOOKUP(Table3[[#This Row],[Cuenta]],Estructura_Balance[Nombre Cuenta ()],Estructura_Balance[Grupos],"Grupo 1",0)</f>
        <v>Grupo 1</v>
      </c>
      <c r="Y1464" t="str">
        <f>+Table3[[#This Row],[BS_Nivel_1]]</f>
        <v/>
      </c>
    </row>
    <row r="1465" spans="1:25" ht="15" customHeight="1">
      <c r="A1465">
        <f>+'Libro Diario'!F885</f>
        <v>0</v>
      </c>
      <c r="B1465" s="144">
        <f>VALUE(IF(+'Libro Diario'!G885="","01/01/2025",+'Libro Diario'!G885))</f>
        <v>45658</v>
      </c>
      <c r="C1465">
        <f>IF(ISNUMBER(+IF(IFERROR(VALUE(MID('Libro Diario'!D885,1,4)),0)&lt;&gt;0,'Libro Diario'!D885,0))=FALSE,'Libro Diario'!D885,0)</f>
        <v>0</v>
      </c>
      <c r="D1465" s="145">
        <f>+'Libro Diario'!E885</f>
        <v>0</v>
      </c>
      <c r="E1465" s="139" t="s">
        <v>446</v>
      </c>
      <c r="F1465" t="str">
        <f t="shared" si="66"/>
        <v>Sin Mov.</v>
      </c>
      <c r="G1465" t="str">
        <f>IF(+'Libro Diario'!H885=0,"",+'Libro Diario'!H885)</f>
        <v/>
      </c>
      <c r="H1465" t="str">
        <f>IF(+'Libro Diario'!I885=0,"",+'Libro Diario'!I885)</f>
        <v/>
      </c>
      <c r="I1465" t="str">
        <f>+IF(Table3[[#This Row],[Tipo Movimiento]]="Estructura Balance y PyG","Excluir","Incluir")</f>
        <v>Incluir</v>
      </c>
      <c r="J1465" s="153">
        <f>+IF(Table3[[#This Row],[Sin cuenta]]="Con Mov.",(IF(Table3[[#This Row],[Movimiento]]="Debe",Table3[[#This Row],[Importe]],IF(Table3[[#This Row],[Movimiento]]="Haber",Table3[[#This Row],[Importe]]*-1,0))),0)</f>
        <v>0</v>
      </c>
      <c r="K1465" s="145" t="str">
        <f t="shared" si="67"/>
        <v/>
      </c>
      <c r="L1465" s="145">
        <f t="shared" si="68"/>
        <v>0</v>
      </c>
      <c r="M1465" t="str">
        <f>_xlfn.XLOOKUP(Table3[[#This Row],[Cuenta]],Estructura_Balance[Nombre Cuenta ()],Estructura_Balance[Grupo],"",0)</f>
        <v/>
      </c>
      <c r="N1465" t="str">
        <f>_xlfn.XLOOKUP(Table3[[#This Row],[Cuenta]],Estructura_Balance[Nombre Cuenta ()],Estructura_Balance[Nivel 1],"",0)</f>
        <v/>
      </c>
      <c r="O1465" t="str">
        <f>_xlfn.XLOOKUP(Table3[[#This Row],[Cuenta]],Estructura_Balance[Nombre Cuenta ()],Estructura_Balance[Nivel 2],"",0)</f>
        <v/>
      </c>
      <c r="P1465" t="str">
        <f>_xlfn.XLOOKUP(Table3[[#This Row],[Cuenta]],Estructura_Balance[Nombre Cuenta ()],Estructura_Balance[Nivel 3],"",0)</f>
        <v/>
      </c>
      <c r="Q1465" t="str">
        <f>_xlfn.XLOOKUP(Table3[[#This Row],[Cuenta]],Estructura_Balance[Nombre Cuenta ()],Estructura_Balance[Nivel 4],"",0)</f>
        <v/>
      </c>
      <c r="R1465" t="str">
        <f>_xlfn.XLOOKUP(Table3[[#This Row],[Cuenta]],Table8[Nombre Cuenta ()],Table8[Nivel 1],"",0)</f>
        <v/>
      </c>
      <c r="S1465" t="str">
        <f>_xlfn.XLOOKUP(Table3[[#This Row],[Cuenta]],Table8[Nombre Cuenta ()],Table8[Nivel 2],"",0)</f>
        <v/>
      </c>
      <c r="T1465" t="str">
        <f>_xlfn.XLOOKUP(Table3[[#This Row],[Cuenta]],Table8[Nombre Cuenta ()],Table8[Nivel 3],"",0)</f>
        <v/>
      </c>
      <c r="U1465">
        <v>1463</v>
      </c>
      <c r="V1465" t="str">
        <f>_xlfn.XLOOKUP(Table3[[#This Row],[Cuenta]],Estructura_Balance[Nombre Cuenta ()],Estructura_Balance[Niveles:2],"",0)</f>
        <v/>
      </c>
      <c r="W1465" t="str">
        <f>_xlfn.XLOOKUP(Table3[[#This Row],[Cuenta]],Estructura_Balance[Nombre Cuenta ()],Estructura_Balance[Niveles:3],"",0)</f>
        <v/>
      </c>
      <c r="X1465" t="str">
        <f>_xlfn.XLOOKUP(Table3[[#This Row],[Cuenta]],Estructura_Balance[Nombre Cuenta ()],Estructura_Balance[Grupos],"Grupo 1",0)</f>
        <v>Grupo 1</v>
      </c>
      <c r="Y1465" t="str">
        <f>+Table3[[#This Row],[BS_Nivel_1]]</f>
        <v/>
      </c>
    </row>
    <row r="1466" spans="1:25" ht="15" customHeight="1">
      <c r="A1466">
        <f>+'Libro Diario'!F886</f>
        <v>0</v>
      </c>
      <c r="B1466" s="144">
        <f>VALUE(IF(+'Libro Diario'!G886="","01/01/2025",+'Libro Diario'!G886))</f>
        <v>45658</v>
      </c>
      <c r="C1466">
        <f>IF(ISNUMBER(+IF(IFERROR(VALUE(MID('Libro Diario'!D886,1,4)),0)&lt;&gt;0,'Libro Diario'!D886,0))=FALSE,'Libro Diario'!D886,0)</f>
        <v>0</v>
      </c>
      <c r="D1466" s="145">
        <f>+'Libro Diario'!E886</f>
        <v>0</v>
      </c>
      <c r="E1466" s="139" t="s">
        <v>446</v>
      </c>
      <c r="F1466" t="str">
        <f t="shared" si="66"/>
        <v>Sin Mov.</v>
      </c>
      <c r="G1466" t="str">
        <f>IF(+'Libro Diario'!H886=0,"",+'Libro Diario'!H886)</f>
        <v/>
      </c>
      <c r="H1466" t="str">
        <f>IF(+'Libro Diario'!I886=0,"",+'Libro Diario'!I886)</f>
        <v/>
      </c>
      <c r="I1466" t="str">
        <f>+IF(Table3[[#This Row],[Tipo Movimiento]]="Estructura Balance y PyG","Excluir","Incluir")</f>
        <v>Incluir</v>
      </c>
      <c r="J1466" s="153">
        <f>+IF(Table3[[#This Row],[Sin cuenta]]="Con Mov.",(IF(Table3[[#This Row],[Movimiento]]="Debe",Table3[[#This Row],[Importe]],IF(Table3[[#This Row],[Movimiento]]="Haber",Table3[[#This Row],[Importe]]*-1,0))),0)</f>
        <v>0</v>
      </c>
      <c r="K1466" s="145" t="str">
        <f t="shared" si="67"/>
        <v/>
      </c>
      <c r="L1466" s="145">
        <f t="shared" si="68"/>
        <v>0</v>
      </c>
      <c r="M1466" t="str">
        <f>_xlfn.XLOOKUP(Table3[[#This Row],[Cuenta]],Estructura_Balance[Nombre Cuenta ()],Estructura_Balance[Grupo],"",0)</f>
        <v/>
      </c>
      <c r="N1466" t="str">
        <f>_xlfn.XLOOKUP(Table3[[#This Row],[Cuenta]],Estructura_Balance[Nombre Cuenta ()],Estructura_Balance[Nivel 1],"",0)</f>
        <v/>
      </c>
      <c r="O1466" t="str">
        <f>_xlfn.XLOOKUP(Table3[[#This Row],[Cuenta]],Estructura_Balance[Nombre Cuenta ()],Estructura_Balance[Nivel 2],"",0)</f>
        <v/>
      </c>
      <c r="P1466" t="str">
        <f>_xlfn.XLOOKUP(Table3[[#This Row],[Cuenta]],Estructura_Balance[Nombre Cuenta ()],Estructura_Balance[Nivel 3],"",0)</f>
        <v/>
      </c>
      <c r="Q1466" t="str">
        <f>_xlfn.XLOOKUP(Table3[[#This Row],[Cuenta]],Estructura_Balance[Nombre Cuenta ()],Estructura_Balance[Nivel 4],"",0)</f>
        <v/>
      </c>
      <c r="R1466" t="str">
        <f>_xlfn.XLOOKUP(Table3[[#This Row],[Cuenta]],Table8[Nombre Cuenta ()],Table8[Nivel 1],"",0)</f>
        <v/>
      </c>
      <c r="S1466" t="str">
        <f>_xlfn.XLOOKUP(Table3[[#This Row],[Cuenta]],Table8[Nombre Cuenta ()],Table8[Nivel 2],"",0)</f>
        <v/>
      </c>
      <c r="T1466" t="str">
        <f>_xlfn.XLOOKUP(Table3[[#This Row],[Cuenta]],Table8[Nombre Cuenta ()],Table8[Nivel 3],"",0)</f>
        <v/>
      </c>
      <c r="U1466">
        <v>1464</v>
      </c>
      <c r="V1466" t="str">
        <f>_xlfn.XLOOKUP(Table3[[#This Row],[Cuenta]],Estructura_Balance[Nombre Cuenta ()],Estructura_Balance[Niveles:2],"",0)</f>
        <v/>
      </c>
      <c r="W1466" t="str">
        <f>_xlfn.XLOOKUP(Table3[[#This Row],[Cuenta]],Estructura_Balance[Nombre Cuenta ()],Estructura_Balance[Niveles:3],"",0)</f>
        <v/>
      </c>
      <c r="X1466" t="str">
        <f>_xlfn.XLOOKUP(Table3[[#This Row],[Cuenta]],Estructura_Balance[Nombre Cuenta ()],Estructura_Balance[Grupos],"Grupo 1",0)</f>
        <v>Grupo 1</v>
      </c>
      <c r="Y1466" t="str">
        <f>+Table3[[#This Row],[BS_Nivel_1]]</f>
        <v/>
      </c>
    </row>
    <row r="1467" spans="1:25" ht="15" customHeight="1">
      <c r="A1467">
        <f>+'Libro Diario'!F887</f>
        <v>0</v>
      </c>
      <c r="B1467" s="144">
        <f>VALUE(IF(+'Libro Diario'!G887="","01/01/2025",+'Libro Diario'!G887))</f>
        <v>45658</v>
      </c>
      <c r="C1467">
        <f>IF(ISNUMBER(+IF(IFERROR(VALUE(MID('Libro Diario'!D887,1,4)),0)&lt;&gt;0,'Libro Diario'!D887,0))=FALSE,'Libro Diario'!D887,0)</f>
        <v>0</v>
      </c>
      <c r="D1467" s="145">
        <f>+'Libro Diario'!E887</f>
        <v>0</v>
      </c>
      <c r="E1467" s="139" t="s">
        <v>446</v>
      </c>
      <c r="F1467" t="str">
        <f t="shared" si="66"/>
        <v>Sin Mov.</v>
      </c>
      <c r="G1467" t="str">
        <f>IF(+'Libro Diario'!H887=0,"",+'Libro Diario'!H887)</f>
        <v/>
      </c>
      <c r="H1467" t="str">
        <f>IF(+'Libro Diario'!I887=0,"",+'Libro Diario'!I887)</f>
        <v/>
      </c>
      <c r="I1467" t="str">
        <f>+IF(Table3[[#This Row],[Tipo Movimiento]]="Estructura Balance y PyG","Excluir","Incluir")</f>
        <v>Incluir</v>
      </c>
      <c r="J1467" s="153">
        <f>+IF(Table3[[#This Row],[Sin cuenta]]="Con Mov.",(IF(Table3[[#This Row],[Movimiento]]="Debe",Table3[[#This Row],[Importe]],IF(Table3[[#This Row],[Movimiento]]="Haber",Table3[[#This Row],[Importe]]*-1,0))),0)</f>
        <v>0</v>
      </c>
      <c r="K1467" s="145" t="str">
        <f t="shared" si="67"/>
        <v/>
      </c>
      <c r="L1467" s="145">
        <f t="shared" si="68"/>
        <v>0</v>
      </c>
      <c r="M1467" t="str">
        <f>_xlfn.XLOOKUP(Table3[[#This Row],[Cuenta]],Estructura_Balance[Nombre Cuenta ()],Estructura_Balance[Grupo],"",0)</f>
        <v/>
      </c>
      <c r="N1467" t="str">
        <f>_xlfn.XLOOKUP(Table3[[#This Row],[Cuenta]],Estructura_Balance[Nombre Cuenta ()],Estructura_Balance[Nivel 1],"",0)</f>
        <v/>
      </c>
      <c r="O1467" t="str">
        <f>_xlfn.XLOOKUP(Table3[[#This Row],[Cuenta]],Estructura_Balance[Nombre Cuenta ()],Estructura_Balance[Nivel 2],"",0)</f>
        <v/>
      </c>
      <c r="P1467" t="str">
        <f>_xlfn.XLOOKUP(Table3[[#This Row],[Cuenta]],Estructura_Balance[Nombre Cuenta ()],Estructura_Balance[Nivel 3],"",0)</f>
        <v/>
      </c>
      <c r="Q1467" t="str">
        <f>_xlfn.XLOOKUP(Table3[[#This Row],[Cuenta]],Estructura_Balance[Nombre Cuenta ()],Estructura_Balance[Nivel 4],"",0)</f>
        <v/>
      </c>
      <c r="R1467" t="str">
        <f>_xlfn.XLOOKUP(Table3[[#This Row],[Cuenta]],Table8[Nombre Cuenta ()],Table8[Nivel 1],"",0)</f>
        <v/>
      </c>
      <c r="S1467" t="str">
        <f>_xlfn.XLOOKUP(Table3[[#This Row],[Cuenta]],Table8[Nombre Cuenta ()],Table8[Nivel 2],"",0)</f>
        <v/>
      </c>
      <c r="T1467" t="str">
        <f>_xlfn.XLOOKUP(Table3[[#This Row],[Cuenta]],Table8[Nombre Cuenta ()],Table8[Nivel 3],"",0)</f>
        <v/>
      </c>
      <c r="U1467">
        <v>472</v>
      </c>
      <c r="V1467" t="str">
        <f>_xlfn.XLOOKUP(Table3[[#This Row],[Cuenta]],Estructura_Balance[Nombre Cuenta ()],Estructura_Balance[Niveles:2],"",0)</f>
        <v/>
      </c>
      <c r="W1467" t="str">
        <f>_xlfn.XLOOKUP(Table3[[#This Row],[Cuenta]],Estructura_Balance[Nombre Cuenta ()],Estructura_Balance[Niveles:3],"",0)</f>
        <v/>
      </c>
      <c r="X1467" t="str">
        <f>_xlfn.XLOOKUP(Table3[[#This Row],[Cuenta]],Estructura_Balance[Nombre Cuenta ()],Estructura_Balance[Grupos],"Grupo 1",0)</f>
        <v>Grupo 1</v>
      </c>
      <c r="Y1467" t="str">
        <f>+Table3[[#This Row],[BS_Nivel_1]]</f>
        <v/>
      </c>
    </row>
    <row r="1468" spans="1:25" ht="15" customHeight="1">
      <c r="A1468">
        <f>+'Libro Diario'!F888</f>
        <v>0</v>
      </c>
      <c r="B1468" s="144">
        <f>VALUE(IF(+'Libro Diario'!G888="","01/01/2025",+'Libro Diario'!G888))</f>
        <v>45658</v>
      </c>
      <c r="C1468">
        <f>IF(ISNUMBER(+IF(IFERROR(VALUE(MID('Libro Diario'!D888,1,4)),0)&lt;&gt;0,'Libro Diario'!D888,0))=FALSE,'Libro Diario'!D888,0)</f>
        <v>0</v>
      </c>
      <c r="D1468" s="145">
        <f>+'Libro Diario'!E888</f>
        <v>0</v>
      </c>
      <c r="E1468" s="139" t="s">
        <v>446</v>
      </c>
      <c r="F1468" t="str">
        <f t="shared" si="66"/>
        <v>Sin Mov.</v>
      </c>
      <c r="G1468" t="str">
        <f>IF(+'Libro Diario'!H888=0,"",+'Libro Diario'!H888)</f>
        <v/>
      </c>
      <c r="H1468" t="str">
        <f>IF(+'Libro Diario'!I888=0,"",+'Libro Diario'!I888)</f>
        <v/>
      </c>
      <c r="I1468" t="str">
        <f>+IF(Table3[[#This Row],[Tipo Movimiento]]="Estructura Balance y PyG","Excluir","Incluir")</f>
        <v>Incluir</v>
      </c>
      <c r="J1468" s="153">
        <f>+IF(Table3[[#This Row],[Sin cuenta]]="Con Mov.",(IF(Table3[[#This Row],[Movimiento]]="Debe",Table3[[#This Row],[Importe]],IF(Table3[[#This Row],[Movimiento]]="Haber",Table3[[#This Row],[Importe]]*-1,0))),0)</f>
        <v>0</v>
      </c>
      <c r="K1468" s="145" t="str">
        <f t="shared" si="67"/>
        <v/>
      </c>
      <c r="L1468" s="145">
        <f t="shared" si="68"/>
        <v>0</v>
      </c>
      <c r="M1468" t="str">
        <f>_xlfn.XLOOKUP(Table3[[#This Row],[Cuenta]],Estructura_Balance[Nombre Cuenta ()],Estructura_Balance[Grupo],"",0)</f>
        <v/>
      </c>
      <c r="N1468" t="str">
        <f>_xlfn.XLOOKUP(Table3[[#This Row],[Cuenta]],Estructura_Balance[Nombre Cuenta ()],Estructura_Balance[Nivel 1],"",0)</f>
        <v/>
      </c>
      <c r="O1468" t="str">
        <f>_xlfn.XLOOKUP(Table3[[#This Row],[Cuenta]],Estructura_Balance[Nombre Cuenta ()],Estructura_Balance[Nivel 2],"",0)</f>
        <v/>
      </c>
      <c r="P1468" t="str">
        <f>_xlfn.XLOOKUP(Table3[[#This Row],[Cuenta]],Estructura_Balance[Nombre Cuenta ()],Estructura_Balance[Nivel 3],"",0)</f>
        <v/>
      </c>
      <c r="Q1468" t="str">
        <f>_xlfn.XLOOKUP(Table3[[#This Row],[Cuenta]],Estructura_Balance[Nombre Cuenta ()],Estructura_Balance[Nivel 4],"",0)</f>
        <v/>
      </c>
      <c r="R1468" t="str">
        <f>_xlfn.XLOOKUP(Table3[[#This Row],[Cuenta]],Table8[Nombre Cuenta ()],Table8[Nivel 1],"",0)</f>
        <v/>
      </c>
      <c r="S1468" t="str">
        <f>_xlfn.XLOOKUP(Table3[[#This Row],[Cuenta]],Table8[Nombre Cuenta ()],Table8[Nivel 2],"",0)</f>
        <v/>
      </c>
      <c r="T1468" t="str">
        <f>_xlfn.XLOOKUP(Table3[[#This Row],[Cuenta]],Table8[Nombre Cuenta ()],Table8[Nivel 3],"",0)</f>
        <v/>
      </c>
      <c r="U1468">
        <v>473</v>
      </c>
      <c r="V1468" t="str">
        <f>_xlfn.XLOOKUP(Table3[[#This Row],[Cuenta]],Estructura_Balance[Nombre Cuenta ()],Estructura_Balance[Niveles:2],"",0)</f>
        <v/>
      </c>
      <c r="W1468" t="str">
        <f>_xlfn.XLOOKUP(Table3[[#This Row],[Cuenta]],Estructura_Balance[Nombre Cuenta ()],Estructura_Balance[Niveles:3],"",0)</f>
        <v/>
      </c>
      <c r="X1468" t="str">
        <f>_xlfn.XLOOKUP(Table3[[#This Row],[Cuenta]],Estructura_Balance[Nombre Cuenta ()],Estructura_Balance[Grupos],"Grupo 1",0)</f>
        <v>Grupo 1</v>
      </c>
      <c r="Y1468" t="str">
        <f>+Table3[[#This Row],[BS_Nivel_1]]</f>
        <v/>
      </c>
    </row>
    <row r="1469" spans="1:25" ht="15" customHeight="1">
      <c r="A1469">
        <f>+'Libro Diario'!F889</f>
        <v>0</v>
      </c>
      <c r="B1469" s="144">
        <f>VALUE(IF(+'Libro Diario'!G889="","01/01/2025",+'Libro Diario'!G889))</f>
        <v>45658</v>
      </c>
      <c r="C1469">
        <f>IF(ISNUMBER(+IF(IFERROR(VALUE(MID('Libro Diario'!D889,1,4)),0)&lt;&gt;0,'Libro Diario'!D889,0))=FALSE,'Libro Diario'!D889,0)</f>
        <v>0</v>
      </c>
      <c r="D1469" s="145">
        <f>+'Libro Diario'!E889</f>
        <v>0</v>
      </c>
      <c r="E1469" s="139" t="s">
        <v>446</v>
      </c>
      <c r="F1469" t="str">
        <f t="shared" si="66"/>
        <v>Sin Mov.</v>
      </c>
      <c r="G1469" t="str">
        <f>IF(+'Libro Diario'!H889=0,"",+'Libro Diario'!H889)</f>
        <v/>
      </c>
      <c r="H1469" t="str">
        <f>IF(+'Libro Diario'!I889=0,"",+'Libro Diario'!I889)</f>
        <v/>
      </c>
      <c r="I1469" t="str">
        <f>+IF(Table3[[#This Row],[Tipo Movimiento]]="Estructura Balance y PyG","Excluir","Incluir")</f>
        <v>Incluir</v>
      </c>
      <c r="J1469" s="153">
        <f>+IF(Table3[[#This Row],[Sin cuenta]]="Con Mov.",(IF(Table3[[#This Row],[Movimiento]]="Debe",Table3[[#This Row],[Importe]],IF(Table3[[#This Row],[Movimiento]]="Haber",Table3[[#This Row],[Importe]]*-1,0))),0)</f>
        <v>0</v>
      </c>
      <c r="K1469" s="145" t="str">
        <f t="shared" si="67"/>
        <v/>
      </c>
      <c r="L1469" s="145">
        <f t="shared" si="68"/>
        <v>0</v>
      </c>
      <c r="M1469" t="str">
        <f>_xlfn.XLOOKUP(Table3[[#This Row],[Cuenta]],Estructura_Balance[Nombre Cuenta ()],Estructura_Balance[Grupo],"",0)</f>
        <v/>
      </c>
      <c r="N1469" t="str">
        <f>_xlfn.XLOOKUP(Table3[[#This Row],[Cuenta]],Estructura_Balance[Nombre Cuenta ()],Estructura_Balance[Nivel 1],"",0)</f>
        <v/>
      </c>
      <c r="O1469" t="str">
        <f>_xlfn.XLOOKUP(Table3[[#This Row],[Cuenta]],Estructura_Balance[Nombre Cuenta ()],Estructura_Balance[Nivel 2],"",0)</f>
        <v/>
      </c>
      <c r="P1469" t="str">
        <f>_xlfn.XLOOKUP(Table3[[#This Row],[Cuenta]],Estructura_Balance[Nombre Cuenta ()],Estructura_Balance[Nivel 3],"",0)</f>
        <v/>
      </c>
      <c r="Q1469" t="str">
        <f>_xlfn.XLOOKUP(Table3[[#This Row],[Cuenta]],Estructura_Balance[Nombre Cuenta ()],Estructura_Balance[Nivel 4],"",0)</f>
        <v/>
      </c>
      <c r="R1469" t="str">
        <f>_xlfn.XLOOKUP(Table3[[#This Row],[Cuenta]],Table8[Nombre Cuenta ()],Table8[Nivel 1],"",0)</f>
        <v/>
      </c>
      <c r="S1469" t="str">
        <f>_xlfn.XLOOKUP(Table3[[#This Row],[Cuenta]],Table8[Nombre Cuenta ()],Table8[Nivel 2],"",0)</f>
        <v/>
      </c>
      <c r="T1469" t="str">
        <f>_xlfn.XLOOKUP(Table3[[#This Row],[Cuenta]],Table8[Nombre Cuenta ()],Table8[Nivel 3],"",0)</f>
        <v/>
      </c>
      <c r="U1469">
        <v>1470</v>
      </c>
      <c r="V1469" t="str">
        <f>_xlfn.XLOOKUP(Table3[[#This Row],[Cuenta]],Estructura_Balance[Nombre Cuenta ()],Estructura_Balance[Niveles:2],"",0)</f>
        <v/>
      </c>
      <c r="W1469" t="str">
        <f>_xlfn.XLOOKUP(Table3[[#This Row],[Cuenta]],Estructura_Balance[Nombre Cuenta ()],Estructura_Balance[Niveles:3],"",0)</f>
        <v/>
      </c>
      <c r="X1469" t="str">
        <f>_xlfn.XLOOKUP(Table3[[#This Row],[Cuenta]],Estructura_Balance[Nombre Cuenta ()],Estructura_Balance[Grupos],"Grupo 1",0)</f>
        <v>Grupo 1</v>
      </c>
      <c r="Y1469" t="str">
        <f>+Table3[[#This Row],[BS_Nivel_1]]</f>
        <v/>
      </c>
    </row>
    <row r="1470" spans="1:25" ht="15" customHeight="1">
      <c r="A1470">
        <f>+'Libro Diario'!F890</f>
        <v>0</v>
      </c>
      <c r="B1470" s="144">
        <f>VALUE(IF(+'Libro Diario'!G890="","01/01/2025",+'Libro Diario'!G890))</f>
        <v>45658</v>
      </c>
      <c r="C1470">
        <f>IF(ISNUMBER(+IF(IFERROR(VALUE(MID('Libro Diario'!D890,1,4)),0)&lt;&gt;0,'Libro Diario'!D890,0))=FALSE,'Libro Diario'!D890,0)</f>
        <v>0</v>
      </c>
      <c r="D1470" s="145">
        <f>+'Libro Diario'!E890</f>
        <v>0</v>
      </c>
      <c r="E1470" s="139" t="s">
        <v>446</v>
      </c>
      <c r="F1470" t="str">
        <f t="shared" si="66"/>
        <v>Sin Mov.</v>
      </c>
      <c r="G1470" t="str">
        <f>IF(+'Libro Diario'!H890=0,"",+'Libro Diario'!H890)</f>
        <v/>
      </c>
      <c r="H1470" t="str">
        <f>IF(+'Libro Diario'!I890=0,"",+'Libro Diario'!I890)</f>
        <v/>
      </c>
      <c r="I1470" t="str">
        <f>+IF(Table3[[#This Row],[Tipo Movimiento]]="Estructura Balance y PyG","Excluir","Incluir")</f>
        <v>Incluir</v>
      </c>
      <c r="J1470" s="153">
        <f>+IF(Table3[[#This Row],[Sin cuenta]]="Con Mov.",(IF(Table3[[#This Row],[Movimiento]]="Debe",Table3[[#This Row],[Importe]],IF(Table3[[#This Row],[Movimiento]]="Haber",Table3[[#This Row],[Importe]]*-1,0))),0)</f>
        <v>0</v>
      </c>
      <c r="K1470" s="145" t="str">
        <f t="shared" si="67"/>
        <v/>
      </c>
      <c r="L1470" s="145">
        <f t="shared" si="68"/>
        <v>0</v>
      </c>
      <c r="M1470" t="str">
        <f>_xlfn.XLOOKUP(Table3[[#This Row],[Cuenta]],Estructura_Balance[Nombre Cuenta ()],Estructura_Balance[Grupo],"",0)</f>
        <v/>
      </c>
      <c r="N1470" t="str">
        <f>_xlfn.XLOOKUP(Table3[[#This Row],[Cuenta]],Estructura_Balance[Nombre Cuenta ()],Estructura_Balance[Nivel 1],"",0)</f>
        <v/>
      </c>
      <c r="O1470" t="str">
        <f>_xlfn.XLOOKUP(Table3[[#This Row],[Cuenta]],Estructura_Balance[Nombre Cuenta ()],Estructura_Balance[Nivel 2],"",0)</f>
        <v/>
      </c>
      <c r="P1470" t="str">
        <f>_xlfn.XLOOKUP(Table3[[#This Row],[Cuenta]],Estructura_Balance[Nombre Cuenta ()],Estructura_Balance[Nivel 3],"",0)</f>
        <v/>
      </c>
      <c r="Q1470" t="str">
        <f>_xlfn.XLOOKUP(Table3[[#This Row],[Cuenta]],Estructura_Balance[Nombre Cuenta ()],Estructura_Balance[Nivel 4],"",0)</f>
        <v/>
      </c>
      <c r="R1470" t="str">
        <f>_xlfn.XLOOKUP(Table3[[#This Row],[Cuenta]],Table8[Nombre Cuenta ()],Table8[Nivel 1],"",0)</f>
        <v/>
      </c>
      <c r="S1470" t="str">
        <f>_xlfn.XLOOKUP(Table3[[#This Row],[Cuenta]],Table8[Nombre Cuenta ()],Table8[Nivel 2],"",0)</f>
        <v/>
      </c>
      <c r="T1470" t="str">
        <f>_xlfn.XLOOKUP(Table3[[#This Row],[Cuenta]],Table8[Nombre Cuenta ()],Table8[Nivel 3],"",0)</f>
        <v/>
      </c>
      <c r="U1470">
        <v>1471</v>
      </c>
      <c r="V1470" t="str">
        <f>_xlfn.XLOOKUP(Table3[[#This Row],[Cuenta]],Estructura_Balance[Nombre Cuenta ()],Estructura_Balance[Niveles:2],"",0)</f>
        <v/>
      </c>
      <c r="W1470" t="str">
        <f>_xlfn.XLOOKUP(Table3[[#This Row],[Cuenta]],Estructura_Balance[Nombre Cuenta ()],Estructura_Balance[Niveles:3],"",0)</f>
        <v/>
      </c>
      <c r="X1470" t="str">
        <f>_xlfn.XLOOKUP(Table3[[#This Row],[Cuenta]],Estructura_Balance[Nombre Cuenta ()],Estructura_Balance[Grupos],"Grupo 1",0)</f>
        <v>Grupo 1</v>
      </c>
      <c r="Y1470" t="str">
        <f>+Table3[[#This Row],[BS_Nivel_1]]</f>
        <v/>
      </c>
    </row>
    <row r="1471" spans="1:25" ht="15" customHeight="1">
      <c r="A1471">
        <f>+'Libro Diario'!F891</f>
        <v>0</v>
      </c>
      <c r="B1471" s="144">
        <f>VALUE(IF(+'Libro Diario'!G891="","01/01/2025",+'Libro Diario'!G891))</f>
        <v>45658</v>
      </c>
      <c r="C1471">
        <f>IF(ISNUMBER(+IF(IFERROR(VALUE(MID('Libro Diario'!D891,1,4)),0)&lt;&gt;0,'Libro Diario'!D891,0))=FALSE,'Libro Diario'!D891,0)</f>
        <v>0</v>
      </c>
      <c r="D1471" s="145">
        <f>+'Libro Diario'!E891</f>
        <v>0</v>
      </c>
      <c r="E1471" s="139" t="s">
        <v>446</v>
      </c>
      <c r="F1471" t="str">
        <f t="shared" si="66"/>
        <v>Sin Mov.</v>
      </c>
      <c r="G1471" t="str">
        <f>IF(+'Libro Diario'!H891=0,"",+'Libro Diario'!H891)</f>
        <v/>
      </c>
      <c r="H1471" t="str">
        <f>IF(+'Libro Diario'!I891=0,"",+'Libro Diario'!I891)</f>
        <v/>
      </c>
      <c r="I1471" t="str">
        <f>+IF(Table3[[#This Row],[Tipo Movimiento]]="Estructura Balance y PyG","Excluir","Incluir")</f>
        <v>Incluir</v>
      </c>
      <c r="J1471" s="153">
        <f>+IF(Table3[[#This Row],[Sin cuenta]]="Con Mov.",(IF(Table3[[#This Row],[Movimiento]]="Debe",Table3[[#This Row],[Importe]],IF(Table3[[#This Row],[Movimiento]]="Haber",Table3[[#This Row],[Importe]]*-1,0))),0)</f>
        <v>0</v>
      </c>
      <c r="K1471" s="145" t="str">
        <f t="shared" si="67"/>
        <v/>
      </c>
      <c r="L1471" s="145">
        <f t="shared" si="68"/>
        <v>0</v>
      </c>
      <c r="M1471" t="str">
        <f>_xlfn.XLOOKUP(Table3[[#This Row],[Cuenta]],Estructura_Balance[Nombre Cuenta ()],Estructura_Balance[Grupo],"",0)</f>
        <v/>
      </c>
      <c r="N1471" t="str">
        <f>_xlfn.XLOOKUP(Table3[[#This Row],[Cuenta]],Estructura_Balance[Nombre Cuenta ()],Estructura_Balance[Nivel 1],"",0)</f>
        <v/>
      </c>
      <c r="O1471" t="str">
        <f>_xlfn.XLOOKUP(Table3[[#This Row],[Cuenta]],Estructura_Balance[Nombre Cuenta ()],Estructura_Balance[Nivel 2],"",0)</f>
        <v/>
      </c>
      <c r="P1471" t="str">
        <f>_xlfn.XLOOKUP(Table3[[#This Row],[Cuenta]],Estructura_Balance[Nombre Cuenta ()],Estructura_Balance[Nivel 3],"",0)</f>
        <v/>
      </c>
      <c r="Q1471" t="str">
        <f>_xlfn.XLOOKUP(Table3[[#This Row],[Cuenta]],Estructura_Balance[Nombre Cuenta ()],Estructura_Balance[Nivel 4],"",0)</f>
        <v/>
      </c>
      <c r="R1471" t="str">
        <f>_xlfn.XLOOKUP(Table3[[#This Row],[Cuenta]],Table8[Nombre Cuenta ()],Table8[Nivel 1],"",0)</f>
        <v/>
      </c>
      <c r="S1471" t="str">
        <f>_xlfn.XLOOKUP(Table3[[#This Row],[Cuenta]],Table8[Nombre Cuenta ()],Table8[Nivel 2],"",0)</f>
        <v/>
      </c>
      <c r="T1471" t="str">
        <f>_xlfn.XLOOKUP(Table3[[#This Row],[Cuenta]],Table8[Nombre Cuenta ()],Table8[Nivel 3],"",0)</f>
        <v/>
      </c>
      <c r="U1471">
        <v>479</v>
      </c>
      <c r="V1471" t="str">
        <f>_xlfn.XLOOKUP(Table3[[#This Row],[Cuenta]],Estructura_Balance[Nombre Cuenta ()],Estructura_Balance[Niveles:2],"",0)</f>
        <v/>
      </c>
      <c r="W1471" t="str">
        <f>_xlfn.XLOOKUP(Table3[[#This Row],[Cuenta]],Estructura_Balance[Nombre Cuenta ()],Estructura_Balance[Niveles:3],"",0)</f>
        <v/>
      </c>
      <c r="X1471" t="str">
        <f>_xlfn.XLOOKUP(Table3[[#This Row],[Cuenta]],Estructura_Balance[Nombre Cuenta ()],Estructura_Balance[Grupos],"Grupo 1",0)</f>
        <v>Grupo 1</v>
      </c>
      <c r="Y1471" t="str">
        <f>+Table3[[#This Row],[BS_Nivel_1]]</f>
        <v/>
      </c>
    </row>
    <row r="1472" spans="1:25" ht="15" customHeight="1">
      <c r="A1472">
        <f>+'Libro Diario'!F892</f>
        <v>0</v>
      </c>
      <c r="B1472" s="144">
        <f>VALUE(IF(+'Libro Diario'!G892="","01/01/2025",+'Libro Diario'!G892))</f>
        <v>45658</v>
      </c>
      <c r="C1472">
        <f>IF(ISNUMBER(+IF(IFERROR(VALUE(MID('Libro Diario'!D892,1,4)),0)&lt;&gt;0,'Libro Diario'!D892,0))=FALSE,'Libro Diario'!D892,0)</f>
        <v>0</v>
      </c>
      <c r="D1472" s="145">
        <f>+'Libro Diario'!E892</f>
        <v>0</v>
      </c>
      <c r="E1472" s="139" t="s">
        <v>446</v>
      </c>
      <c r="F1472" t="str">
        <f t="shared" si="66"/>
        <v>Sin Mov.</v>
      </c>
      <c r="G1472" t="str">
        <f>IF(+'Libro Diario'!H892=0,"",+'Libro Diario'!H892)</f>
        <v/>
      </c>
      <c r="H1472" t="str">
        <f>IF(+'Libro Diario'!I892=0,"",+'Libro Diario'!I892)</f>
        <v/>
      </c>
      <c r="I1472" t="str">
        <f>+IF(Table3[[#This Row],[Tipo Movimiento]]="Estructura Balance y PyG","Excluir","Incluir")</f>
        <v>Incluir</v>
      </c>
      <c r="J1472" s="153">
        <f>+IF(Table3[[#This Row],[Sin cuenta]]="Con Mov.",(IF(Table3[[#This Row],[Movimiento]]="Debe",Table3[[#This Row],[Importe]],IF(Table3[[#This Row],[Movimiento]]="Haber",Table3[[#This Row],[Importe]]*-1,0))),0)</f>
        <v>0</v>
      </c>
      <c r="K1472" s="145" t="str">
        <f t="shared" si="67"/>
        <v/>
      </c>
      <c r="L1472" s="145">
        <f t="shared" si="68"/>
        <v>0</v>
      </c>
      <c r="M1472" t="str">
        <f>_xlfn.XLOOKUP(Table3[[#This Row],[Cuenta]],Estructura_Balance[Nombre Cuenta ()],Estructura_Balance[Grupo],"",0)</f>
        <v/>
      </c>
      <c r="N1472" t="str">
        <f>_xlfn.XLOOKUP(Table3[[#This Row],[Cuenta]],Estructura_Balance[Nombre Cuenta ()],Estructura_Balance[Nivel 1],"",0)</f>
        <v/>
      </c>
      <c r="O1472" t="str">
        <f>_xlfn.XLOOKUP(Table3[[#This Row],[Cuenta]],Estructura_Balance[Nombre Cuenta ()],Estructura_Balance[Nivel 2],"",0)</f>
        <v/>
      </c>
      <c r="P1472" t="str">
        <f>_xlfn.XLOOKUP(Table3[[#This Row],[Cuenta]],Estructura_Balance[Nombre Cuenta ()],Estructura_Balance[Nivel 3],"",0)</f>
        <v/>
      </c>
      <c r="Q1472" t="str">
        <f>_xlfn.XLOOKUP(Table3[[#This Row],[Cuenta]],Estructura_Balance[Nombre Cuenta ()],Estructura_Balance[Nivel 4],"",0)</f>
        <v/>
      </c>
      <c r="R1472" t="str">
        <f>_xlfn.XLOOKUP(Table3[[#This Row],[Cuenta]],Table8[Nombre Cuenta ()],Table8[Nivel 1],"",0)</f>
        <v/>
      </c>
      <c r="S1472" t="str">
        <f>_xlfn.XLOOKUP(Table3[[#This Row],[Cuenta]],Table8[Nombre Cuenta ()],Table8[Nivel 2],"",0)</f>
        <v/>
      </c>
      <c r="T1472" t="str">
        <f>_xlfn.XLOOKUP(Table3[[#This Row],[Cuenta]],Table8[Nombre Cuenta ()],Table8[Nivel 3],"",0)</f>
        <v/>
      </c>
      <c r="U1472">
        <v>480</v>
      </c>
      <c r="V1472" t="str">
        <f>_xlfn.XLOOKUP(Table3[[#This Row],[Cuenta]],Estructura_Balance[Nombre Cuenta ()],Estructura_Balance[Niveles:2],"",0)</f>
        <v/>
      </c>
      <c r="W1472" t="str">
        <f>_xlfn.XLOOKUP(Table3[[#This Row],[Cuenta]],Estructura_Balance[Nombre Cuenta ()],Estructura_Balance[Niveles:3],"",0)</f>
        <v/>
      </c>
      <c r="X1472" t="str">
        <f>_xlfn.XLOOKUP(Table3[[#This Row],[Cuenta]],Estructura_Balance[Nombre Cuenta ()],Estructura_Balance[Grupos],"Grupo 1",0)</f>
        <v>Grupo 1</v>
      </c>
      <c r="Y1472" t="str">
        <f>+Table3[[#This Row],[BS_Nivel_1]]</f>
        <v/>
      </c>
    </row>
    <row r="1473" spans="1:25" ht="15" customHeight="1">
      <c r="A1473">
        <f>+'Libro Diario'!F893</f>
        <v>0</v>
      </c>
      <c r="B1473" s="144">
        <f>VALUE(IF(+'Libro Diario'!G893="","01/01/2025",+'Libro Diario'!G893))</f>
        <v>45658</v>
      </c>
      <c r="C1473">
        <f>IF(ISNUMBER(+IF(IFERROR(VALUE(MID('Libro Diario'!D893,1,4)),0)&lt;&gt;0,'Libro Diario'!D893,0))=FALSE,'Libro Diario'!D893,0)</f>
        <v>0</v>
      </c>
      <c r="D1473" s="145">
        <f>+'Libro Diario'!E893</f>
        <v>0</v>
      </c>
      <c r="E1473" s="139" t="s">
        <v>446</v>
      </c>
      <c r="F1473" t="str">
        <f t="shared" si="66"/>
        <v>Sin Mov.</v>
      </c>
      <c r="G1473" t="str">
        <f>IF(+'Libro Diario'!H893=0,"",+'Libro Diario'!H893)</f>
        <v/>
      </c>
      <c r="H1473" t="str">
        <f>IF(+'Libro Diario'!I893=0,"",+'Libro Diario'!I893)</f>
        <v/>
      </c>
      <c r="I1473" t="str">
        <f>+IF(Table3[[#This Row],[Tipo Movimiento]]="Estructura Balance y PyG","Excluir","Incluir")</f>
        <v>Incluir</v>
      </c>
      <c r="J1473" s="153">
        <f>+IF(Table3[[#This Row],[Sin cuenta]]="Con Mov.",(IF(Table3[[#This Row],[Movimiento]]="Debe",Table3[[#This Row],[Importe]],IF(Table3[[#This Row],[Movimiento]]="Haber",Table3[[#This Row],[Importe]]*-1,0))),0)</f>
        <v>0</v>
      </c>
      <c r="K1473" s="145" t="str">
        <f t="shared" si="67"/>
        <v/>
      </c>
      <c r="L1473" s="145">
        <f t="shared" si="68"/>
        <v>0</v>
      </c>
      <c r="M1473" t="str">
        <f>_xlfn.XLOOKUP(Table3[[#This Row],[Cuenta]],Estructura_Balance[Nombre Cuenta ()],Estructura_Balance[Grupo],"",0)</f>
        <v/>
      </c>
      <c r="N1473" t="str">
        <f>_xlfn.XLOOKUP(Table3[[#This Row],[Cuenta]],Estructura_Balance[Nombre Cuenta ()],Estructura_Balance[Nivel 1],"",0)</f>
        <v/>
      </c>
      <c r="O1473" t="str">
        <f>_xlfn.XLOOKUP(Table3[[#This Row],[Cuenta]],Estructura_Balance[Nombre Cuenta ()],Estructura_Balance[Nivel 2],"",0)</f>
        <v/>
      </c>
      <c r="P1473" t="str">
        <f>_xlfn.XLOOKUP(Table3[[#This Row],[Cuenta]],Estructura_Balance[Nombre Cuenta ()],Estructura_Balance[Nivel 3],"",0)</f>
        <v/>
      </c>
      <c r="Q1473" t="str">
        <f>_xlfn.XLOOKUP(Table3[[#This Row],[Cuenta]],Estructura_Balance[Nombre Cuenta ()],Estructura_Balance[Nivel 4],"",0)</f>
        <v/>
      </c>
      <c r="R1473" t="str">
        <f>_xlfn.XLOOKUP(Table3[[#This Row],[Cuenta]],Table8[Nombre Cuenta ()],Table8[Nivel 1],"",0)</f>
        <v/>
      </c>
      <c r="S1473" t="str">
        <f>_xlfn.XLOOKUP(Table3[[#This Row],[Cuenta]],Table8[Nombre Cuenta ()],Table8[Nivel 2],"",0)</f>
        <v/>
      </c>
      <c r="T1473" t="str">
        <f>_xlfn.XLOOKUP(Table3[[#This Row],[Cuenta]],Table8[Nombre Cuenta ()],Table8[Nivel 3],"",0)</f>
        <v/>
      </c>
      <c r="U1473">
        <v>1477</v>
      </c>
      <c r="V1473" t="str">
        <f>_xlfn.XLOOKUP(Table3[[#This Row],[Cuenta]],Estructura_Balance[Nombre Cuenta ()],Estructura_Balance[Niveles:2],"",0)</f>
        <v/>
      </c>
      <c r="W1473" t="str">
        <f>_xlfn.XLOOKUP(Table3[[#This Row],[Cuenta]],Estructura_Balance[Nombre Cuenta ()],Estructura_Balance[Niveles:3],"",0)</f>
        <v/>
      </c>
      <c r="X1473" t="str">
        <f>_xlfn.XLOOKUP(Table3[[#This Row],[Cuenta]],Estructura_Balance[Nombre Cuenta ()],Estructura_Balance[Grupos],"Grupo 1",0)</f>
        <v>Grupo 1</v>
      </c>
      <c r="Y1473" t="str">
        <f>+Table3[[#This Row],[BS_Nivel_1]]</f>
        <v/>
      </c>
    </row>
    <row r="1474" spans="1:25" ht="15" customHeight="1">
      <c r="A1474">
        <f>+'Libro Diario'!F894</f>
        <v>0</v>
      </c>
      <c r="B1474" s="144">
        <f>VALUE(IF(+'Libro Diario'!G894="","01/01/2025",+'Libro Diario'!G894))</f>
        <v>45658</v>
      </c>
      <c r="C1474">
        <f>IF(ISNUMBER(+IF(IFERROR(VALUE(MID('Libro Diario'!D894,1,4)),0)&lt;&gt;0,'Libro Diario'!D894,0))=FALSE,'Libro Diario'!D894,0)</f>
        <v>0</v>
      </c>
      <c r="D1474" s="145">
        <f>+'Libro Diario'!E894</f>
        <v>0</v>
      </c>
      <c r="E1474" s="139" t="s">
        <v>446</v>
      </c>
      <c r="F1474" t="str">
        <f t="shared" si="66"/>
        <v>Sin Mov.</v>
      </c>
      <c r="G1474" t="str">
        <f>IF(+'Libro Diario'!H894=0,"",+'Libro Diario'!H894)</f>
        <v/>
      </c>
      <c r="H1474" t="str">
        <f>IF(+'Libro Diario'!I894=0,"",+'Libro Diario'!I894)</f>
        <v/>
      </c>
      <c r="I1474" t="str">
        <f>+IF(Table3[[#This Row],[Tipo Movimiento]]="Estructura Balance y PyG","Excluir","Incluir")</f>
        <v>Incluir</v>
      </c>
      <c r="J1474" s="153">
        <f>+IF(Table3[[#This Row],[Sin cuenta]]="Con Mov.",(IF(Table3[[#This Row],[Movimiento]]="Debe",Table3[[#This Row],[Importe]],IF(Table3[[#This Row],[Movimiento]]="Haber",Table3[[#This Row],[Importe]]*-1,0))),0)</f>
        <v>0</v>
      </c>
      <c r="K1474" s="145" t="str">
        <f t="shared" si="67"/>
        <v/>
      </c>
      <c r="L1474" s="145">
        <f t="shared" si="68"/>
        <v>0</v>
      </c>
      <c r="M1474" t="str">
        <f>_xlfn.XLOOKUP(Table3[[#This Row],[Cuenta]],Estructura_Balance[Nombre Cuenta ()],Estructura_Balance[Grupo],"",0)</f>
        <v/>
      </c>
      <c r="N1474" t="str">
        <f>_xlfn.XLOOKUP(Table3[[#This Row],[Cuenta]],Estructura_Balance[Nombre Cuenta ()],Estructura_Balance[Nivel 1],"",0)</f>
        <v/>
      </c>
      <c r="O1474" t="str">
        <f>_xlfn.XLOOKUP(Table3[[#This Row],[Cuenta]],Estructura_Balance[Nombre Cuenta ()],Estructura_Balance[Nivel 2],"",0)</f>
        <v/>
      </c>
      <c r="P1474" t="str">
        <f>_xlfn.XLOOKUP(Table3[[#This Row],[Cuenta]],Estructura_Balance[Nombre Cuenta ()],Estructura_Balance[Nivel 3],"",0)</f>
        <v/>
      </c>
      <c r="Q1474" t="str">
        <f>_xlfn.XLOOKUP(Table3[[#This Row],[Cuenta]],Estructura_Balance[Nombre Cuenta ()],Estructura_Balance[Nivel 4],"",0)</f>
        <v/>
      </c>
      <c r="R1474" t="str">
        <f>_xlfn.XLOOKUP(Table3[[#This Row],[Cuenta]],Table8[Nombre Cuenta ()],Table8[Nivel 1],"",0)</f>
        <v/>
      </c>
      <c r="S1474" t="str">
        <f>_xlfn.XLOOKUP(Table3[[#This Row],[Cuenta]],Table8[Nombre Cuenta ()],Table8[Nivel 2],"",0)</f>
        <v/>
      </c>
      <c r="T1474" t="str">
        <f>_xlfn.XLOOKUP(Table3[[#This Row],[Cuenta]],Table8[Nombre Cuenta ()],Table8[Nivel 3],"",0)</f>
        <v/>
      </c>
      <c r="U1474">
        <v>1478</v>
      </c>
      <c r="V1474" t="str">
        <f>_xlfn.XLOOKUP(Table3[[#This Row],[Cuenta]],Estructura_Balance[Nombre Cuenta ()],Estructura_Balance[Niveles:2],"",0)</f>
        <v/>
      </c>
      <c r="W1474" t="str">
        <f>_xlfn.XLOOKUP(Table3[[#This Row],[Cuenta]],Estructura_Balance[Nombre Cuenta ()],Estructura_Balance[Niveles:3],"",0)</f>
        <v/>
      </c>
      <c r="X1474" t="str">
        <f>_xlfn.XLOOKUP(Table3[[#This Row],[Cuenta]],Estructura_Balance[Nombre Cuenta ()],Estructura_Balance[Grupos],"Grupo 1",0)</f>
        <v>Grupo 1</v>
      </c>
      <c r="Y1474" t="str">
        <f>+Table3[[#This Row],[BS_Nivel_1]]</f>
        <v/>
      </c>
    </row>
    <row r="1475" spans="1:25" ht="15" customHeight="1">
      <c r="A1475">
        <f>+'Libro Diario'!F895</f>
        <v>0</v>
      </c>
      <c r="B1475" s="144">
        <f>VALUE(IF(+'Libro Diario'!G895="","01/01/2025",+'Libro Diario'!G895))</f>
        <v>45658</v>
      </c>
      <c r="C1475">
        <f>IF(ISNUMBER(+IF(IFERROR(VALUE(MID('Libro Diario'!D895,1,4)),0)&lt;&gt;0,'Libro Diario'!D895,0))=FALSE,'Libro Diario'!D895,0)</f>
        <v>0</v>
      </c>
      <c r="D1475" s="145">
        <f>+'Libro Diario'!E895</f>
        <v>0</v>
      </c>
      <c r="E1475" s="139" t="s">
        <v>446</v>
      </c>
      <c r="F1475" t="str">
        <f t="shared" ref="F1475:F1538" si="69">+IF(C1475=0,"Sin Mov.","Con Mov.")</f>
        <v>Sin Mov.</v>
      </c>
      <c r="G1475" t="str">
        <f>IF(+'Libro Diario'!H895=0,"",+'Libro Diario'!H895)</f>
        <v/>
      </c>
      <c r="H1475" t="str">
        <f>IF(+'Libro Diario'!I895=0,"",+'Libro Diario'!I895)</f>
        <v/>
      </c>
      <c r="I1475" t="str">
        <f>+IF(Table3[[#This Row],[Tipo Movimiento]]="Estructura Balance y PyG","Excluir","Incluir")</f>
        <v>Incluir</v>
      </c>
      <c r="J1475" s="153">
        <f>+IF(Table3[[#This Row],[Sin cuenta]]="Con Mov.",(IF(Table3[[#This Row],[Movimiento]]="Debe",Table3[[#This Row],[Importe]],IF(Table3[[#This Row],[Movimiento]]="Haber",Table3[[#This Row],[Importe]]*-1,0))),0)</f>
        <v>0</v>
      </c>
      <c r="K1475" s="145" t="str">
        <f t="shared" ref="K1475:K1538" si="70">+IF(E1475="Debe",D1475,"")</f>
        <v/>
      </c>
      <c r="L1475" s="145">
        <f t="shared" ref="L1475:L1538" si="71">+IF(E1475="Haber",D1475,"")</f>
        <v>0</v>
      </c>
      <c r="M1475" t="str">
        <f>_xlfn.XLOOKUP(Table3[[#This Row],[Cuenta]],Estructura_Balance[Nombre Cuenta ()],Estructura_Balance[Grupo],"",0)</f>
        <v/>
      </c>
      <c r="N1475" t="str">
        <f>_xlfn.XLOOKUP(Table3[[#This Row],[Cuenta]],Estructura_Balance[Nombre Cuenta ()],Estructura_Balance[Nivel 1],"",0)</f>
        <v/>
      </c>
      <c r="O1475" t="str">
        <f>_xlfn.XLOOKUP(Table3[[#This Row],[Cuenta]],Estructura_Balance[Nombre Cuenta ()],Estructura_Balance[Nivel 2],"",0)</f>
        <v/>
      </c>
      <c r="P1475" t="str">
        <f>_xlfn.XLOOKUP(Table3[[#This Row],[Cuenta]],Estructura_Balance[Nombre Cuenta ()],Estructura_Balance[Nivel 3],"",0)</f>
        <v/>
      </c>
      <c r="Q1475" t="str">
        <f>_xlfn.XLOOKUP(Table3[[#This Row],[Cuenta]],Estructura_Balance[Nombre Cuenta ()],Estructura_Balance[Nivel 4],"",0)</f>
        <v/>
      </c>
      <c r="R1475" t="str">
        <f>_xlfn.XLOOKUP(Table3[[#This Row],[Cuenta]],Table8[Nombre Cuenta ()],Table8[Nivel 1],"",0)</f>
        <v/>
      </c>
      <c r="S1475" t="str">
        <f>_xlfn.XLOOKUP(Table3[[#This Row],[Cuenta]],Table8[Nombre Cuenta ()],Table8[Nivel 2],"",0)</f>
        <v/>
      </c>
      <c r="T1475" t="str">
        <f>_xlfn.XLOOKUP(Table3[[#This Row],[Cuenta]],Table8[Nombre Cuenta ()],Table8[Nivel 3],"",0)</f>
        <v/>
      </c>
      <c r="U1475">
        <v>486</v>
      </c>
      <c r="V1475" t="str">
        <f>_xlfn.XLOOKUP(Table3[[#This Row],[Cuenta]],Estructura_Balance[Nombre Cuenta ()],Estructura_Balance[Niveles:2],"",0)</f>
        <v/>
      </c>
      <c r="W1475" t="str">
        <f>_xlfn.XLOOKUP(Table3[[#This Row],[Cuenta]],Estructura_Balance[Nombre Cuenta ()],Estructura_Balance[Niveles:3],"",0)</f>
        <v/>
      </c>
      <c r="X1475" t="str">
        <f>_xlfn.XLOOKUP(Table3[[#This Row],[Cuenta]],Estructura_Balance[Nombre Cuenta ()],Estructura_Balance[Grupos],"Grupo 1",0)</f>
        <v>Grupo 1</v>
      </c>
      <c r="Y1475" t="str">
        <f>+Table3[[#This Row],[BS_Nivel_1]]</f>
        <v/>
      </c>
    </row>
    <row r="1476" spans="1:25" ht="15" customHeight="1">
      <c r="A1476">
        <f>+'Libro Diario'!F896</f>
        <v>0</v>
      </c>
      <c r="B1476" s="144">
        <f>VALUE(IF(+'Libro Diario'!G896="","01/01/2025",+'Libro Diario'!G896))</f>
        <v>45658</v>
      </c>
      <c r="C1476">
        <f>IF(ISNUMBER(+IF(IFERROR(VALUE(MID('Libro Diario'!D896,1,4)),0)&lt;&gt;0,'Libro Diario'!D896,0))=FALSE,'Libro Diario'!D896,0)</f>
        <v>0</v>
      </c>
      <c r="D1476" s="145">
        <f>+'Libro Diario'!E896</f>
        <v>0</v>
      </c>
      <c r="E1476" s="139" t="s">
        <v>446</v>
      </c>
      <c r="F1476" t="str">
        <f t="shared" si="69"/>
        <v>Sin Mov.</v>
      </c>
      <c r="G1476" t="str">
        <f>IF(+'Libro Diario'!H896=0,"",+'Libro Diario'!H896)</f>
        <v/>
      </c>
      <c r="H1476" t="str">
        <f>IF(+'Libro Diario'!I896=0,"",+'Libro Diario'!I896)</f>
        <v/>
      </c>
      <c r="I1476" t="str">
        <f>+IF(Table3[[#This Row],[Tipo Movimiento]]="Estructura Balance y PyG","Excluir","Incluir")</f>
        <v>Incluir</v>
      </c>
      <c r="J1476" s="153">
        <f>+IF(Table3[[#This Row],[Sin cuenta]]="Con Mov.",(IF(Table3[[#This Row],[Movimiento]]="Debe",Table3[[#This Row],[Importe]],IF(Table3[[#This Row],[Movimiento]]="Haber",Table3[[#This Row],[Importe]]*-1,0))),0)</f>
        <v>0</v>
      </c>
      <c r="K1476" s="145" t="str">
        <f t="shared" si="70"/>
        <v/>
      </c>
      <c r="L1476" s="145">
        <f t="shared" si="71"/>
        <v>0</v>
      </c>
      <c r="M1476" t="str">
        <f>_xlfn.XLOOKUP(Table3[[#This Row],[Cuenta]],Estructura_Balance[Nombre Cuenta ()],Estructura_Balance[Grupo],"",0)</f>
        <v/>
      </c>
      <c r="N1476" t="str">
        <f>_xlfn.XLOOKUP(Table3[[#This Row],[Cuenta]],Estructura_Balance[Nombre Cuenta ()],Estructura_Balance[Nivel 1],"",0)</f>
        <v/>
      </c>
      <c r="O1476" t="str">
        <f>_xlfn.XLOOKUP(Table3[[#This Row],[Cuenta]],Estructura_Balance[Nombre Cuenta ()],Estructura_Balance[Nivel 2],"",0)</f>
        <v/>
      </c>
      <c r="P1476" t="str">
        <f>_xlfn.XLOOKUP(Table3[[#This Row],[Cuenta]],Estructura_Balance[Nombre Cuenta ()],Estructura_Balance[Nivel 3],"",0)</f>
        <v/>
      </c>
      <c r="Q1476" t="str">
        <f>_xlfn.XLOOKUP(Table3[[#This Row],[Cuenta]],Estructura_Balance[Nombre Cuenta ()],Estructura_Balance[Nivel 4],"",0)</f>
        <v/>
      </c>
      <c r="R1476" t="str">
        <f>_xlfn.XLOOKUP(Table3[[#This Row],[Cuenta]],Table8[Nombre Cuenta ()],Table8[Nivel 1],"",0)</f>
        <v/>
      </c>
      <c r="S1476" t="str">
        <f>_xlfn.XLOOKUP(Table3[[#This Row],[Cuenta]],Table8[Nombre Cuenta ()],Table8[Nivel 2],"",0)</f>
        <v/>
      </c>
      <c r="T1476" t="str">
        <f>_xlfn.XLOOKUP(Table3[[#This Row],[Cuenta]],Table8[Nombre Cuenta ()],Table8[Nivel 3],"",0)</f>
        <v/>
      </c>
      <c r="U1476">
        <v>487</v>
      </c>
      <c r="V1476" t="str">
        <f>_xlfn.XLOOKUP(Table3[[#This Row],[Cuenta]],Estructura_Balance[Nombre Cuenta ()],Estructura_Balance[Niveles:2],"",0)</f>
        <v/>
      </c>
      <c r="W1476" t="str">
        <f>_xlfn.XLOOKUP(Table3[[#This Row],[Cuenta]],Estructura_Balance[Nombre Cuenta ()],Estructura_Balance[Niveles:3],"",0)</f>
        <v/>
      </c>
      <c r="X1476" t="str">
        <f>_xlfn.XLOOKUP(Table3[[#This Row],[Cuenta]],Estructura_Balance[Nombre Cuenta ()],Estructura_Balance[Grupos],"Grupo 1",0)</f>
        <v>Grupo 1</v>
      </c>
      <c r="Y1476" t="str">
        <f>+Table3[[#This Row],[BS_Nivel_1]]</f>
        <v/>
      </c>
    </row>
    <row r="1477" spans="1:25" ht="15" customHeight="1">
      <c r="A1477">
        <f>+'Libro Diario'!F897</f>
        <v>0</v>
      </c>
      <c r="B1477" s="144">
        <f>VALUE(IF(+'Libro Diario'!G897="","01/01/2025",+'Libro Diario'!G897))</f>
        <v>45658</v>
      </c>
      <c r="C1477">
        <f>IF(ISNUMBER(+IF(IFERROR(VALUE(MID('Libro Diario'!D897,1,4)),0)&lt;&gt;0,'Libro Diario'!D897,0))=FALSE,'Libro Diario'!D897,0)</f>
        <v>0</v>
      </c>
      <c r="D1477" s="145">
        <f>+'Libro Diario'!E897</f>
        <v>0</v>
      </c>
      <c r="E1477" s="139" t="s">
        <v>446</v>
      </c>
      <c r="F1477" t="str">
        <f t="shared" si="69"/>
        <v>Sin Mov.</v>
      </c>
      <c r="G1477" t="str">
        <f>IF(+'Libro Diario'!H897=0,"",+'Libro Diario'!H897)</f>
        <v/>
      </c>
      <c r="H1477" t="str">
        <f>IF(+'Libro Diario'!I897=0,"",+'Libro Diario'!I897)</f>
        <v/>
      </c>
      <c r="I1477" t="str">
        <f>+IF(Table3[[#This Row],[Tipo Movimiento]]="Estructura Balance y PyG","Excluir","Incluir")</f>
        <v>Incluir</v>
      </c>
      <c r="J1477" s="153">
        <f>+IF(Table3[[#This Row],[Sin cuenta]]="Con Mov.",(IF(Table3[[#This Row],[Movimiento]]="Debe",Table3[[#This Row],[Importe]],IF(Table3[[#This Row],[Movimiento]]="Haber",Table3[[#This Row],[Importe]]*-1,0))),0)</f>
        <v>0</v>
      </c>
      <c r="K1477" s="145" t="str">
        <f t="shared" si="70"/>
        <v/>
      </c>
      <c r="L1477" s="145">
        <f t="shared" si="71"/>
        <v>0</v>
      </c>
      <c r="M1477" t="str">
        <f>_xlfn.XLOOKUP(Table3[[#This Row],[Cuenta]],Estructura_Balance[Nombre Cuenta ()],Estructura_Balance[Grupo],"",0)</f>
        <v/>
      </c>
      <c r="N1477" t="str">
        <f>_xlfn.XLOOKUP(Table3[[#This Row],[Cuenta]],Estructura_Balance[Nombre Cuenta ()],Estructura_Balance[Nivel 1],"",0)</f>
        <v/>
      </c>
      <c r="O1477" t="str">
        <f>_xlfn.XLOOKUP(Table3[[#This Row],[Cuenta]],Estructura_Balance[Nombre Cuenta ()],Estructura_Balance[Nivel 2],"",0)</f>
        <v/>
      </c>
      <c r="P1477" t="str">
        <f>_xlfn.XLOOKUP(Table3[[#This Row],[Cuenta]],Estructura_Balance[Nombre Cuenta ()],Estructura_Balance[Nivel 3],"",0)</f>
        <v/>
      </c>
      <c r="Q1477" t="str">
        <f>_xlfn.XLOOKUP(Table3[[#This Row],[Cuenta]],Estructura_Balance[Nombre Cuenta ()],Estructura_Balance[Nivel 4],"",0)</f>
        <v/>
      </c>
      <c r="R1477" t="str">
        <f>_xlfn.XLOOKUP(Table3[[#This Row],[Cuenta]],Table8[Nombre Cuenta ()],Table8[Nivel 1],"",0)</f>
        <v/>
      </c>
      <c r="S1477" t="str">
        <f>_xlfn.XLOOKUP(Table3[[#This Row],[Cuenta]],Table8[Nombre Cuenta ()],Table8[Nivel 2],"",0)</f>
        <v/>
      </c>
      <c r="T1477" t="str">
        <f>_xlfn.XLOOKUP(Table3[[#This Row],[Cuenta]],Table8[Nombre Cuenta ()],Table8[Nivel 3],"",0)</f>
        <v/>
      </c>
      <c r="U1477">
        <v>1484</v>
      </c>
      <c r="V1477" t="str">
        <f>_xlfn.XLOOKUP(Table3[[#This Row],[Cuenta]],Estructura_Balance[Nombre Cuenta ()],Estructura_Balance[Niveles:2],"",0)</f>
        <v/>
      </c>
      <c r="W1477" t="str">
        <f>_xlfn.XLOOKUP(Table3[[#This Row],[Cuenta]],Estructura_Balance[Nombre Cuenta ()],Estructura_Balance[Niveles:3],"",0)</f>
        <v/>
      </c>
      <c r="X1477" t="str">
        <f>_xlfn.XLOOKUP(Table3[[#This Row],[Cuenta]],Estructura_Balance[Nombre Cuenta ()],Estructura_Balance[Grupos],"Grupo 1",0)</f>
        <v>Grupo 1</v>
      </c>
      <c r="Y1477" t="str">
        <f>+Table3[[#This Row],[BS_Nivel_1]]</f>
        <v/>
      </c>
    </row>
    <row r="1478" spans="1:25" ht="15" customHeight="1">
      <c r="A1478">
        <f>+'Libro Diario'!F898</f>
        <v>0</v>
      </c>
      <c r="B1478" s="144">
        <f>VALUE(IF(+'Libro Diario'!G898="","01/01/2025",+'Libro Diario'!G898))</f>
        <v>45658</v>
      </c>
      <c r="C1478">
        <f>IF(ISNUMBER(+IF(IFERROR(VALUE(MID('Libro Diario'!D898,1,4)),0)&lt;&gt;0,'Libro Diario'!D898,0))=FALSE,'Libro Diario'!D898,0)</f>
        <v>0</v>
      </c>
      <c r="D1478" s="145">
        <f>+'Libro Diario'!E898</f>
        <v>0</v>
      </c>
      <c r="E1478" s="139" t="s">
        <v>446</v>
      </c>
      <c r="F1478" t="str">
        <f t="shared" si="69"/>
        <v>Sin Mov.</v>
      </c>
      <c r="G1478" t="str">
        <f>IF(+'Libro Diario'!H898=0,"",+'Libro Diario'!H898)</f>
        <v/>
      </c>
      <c r="H1478" t="str">
        <f>IF(+'Libro Diario'!I898=0,"",+'Libro Diario'!I898)</f>
        <v/>
      </c>
      <c r="I1478" t="str">
        <f>+IF(Table3[[#This Row],[Tipo Movimiento]]="Estructura Balance y PyG","Excluir","Incluir")</f>
        <v>Incluir</v>
      </c>
      <c r="J1478" s="153">
        <f>+IF(Table3[[#This Row],[Sin cuenta]]="Con Mov.",(IF(Table3[[#This Row],[Movimiento]]="Debe",Table3[[#This Row],[Importe]],IF(Table3[[#This Row],[Movimiento]]="Haber",Table3[[#This Row],[Importe]]*-1,0))),0)</f>
        <v>0</v>
      </c>
      <c r="K1478" s="145" t="str">
        <f t="shared" si="70"/>
        <v/>
      </c>
      <c r="L1478" s="145">
        <f t="shared" si="71"/>
        <v>0</v>
      </c>
      <c r="M1478" t="str">
        <f>_xlfn.XLOOKUP(Table3[[#This Row],[Cuenta]],Estructura_Balance[Nombre Cuenta ()],Estructura_Balance[Grupo],"",0)</f>
        <v/>
      </c>
      <c r="N1478" t="str">
        <f>_xlfn.XLOOKUP(Table3[[#This Row],[Cuenta]],Estructura_Balance[Nombre Cuenta ()],Estructura_Balance[Nivel 1],"",0)</f>
        <v/>
      </c>
      <c r="O1478" t="str">
        <f>_xlfn.XLOOKUP(Table3[[#This Row],[Cuenta]],Estructura_Balance[Nombre Cuenta ()],Estructura_Balance[Nivel 2],"",0)</f>
        <v/>
      </c>
      <c r="P1478" t="str">
        <f>_xlfn.XLOOKUP(Table3[[#This Row],[Cuenta]],Estructura_Balance[Nombre Cuenta ()],Estructura_Balance[Nivel 3],"",0)</f>
        <v/>
      </c>
      <c r="Q1478" t="str">
        <f>_xlfn.XLOOKUP(Table3[[#This Row],[Cuenta]],Estructura_Balance[Nombre Cuenta ()],Estructura_Balance[Nivel 4],"",0)</f>
        <v/>
      </c>
      <c r="R1478" t="str">
        <f>_xlfn.XLOOKUP(Table3[[#This Row],[Cuenta]],Table8[Nombre Cuenta ()],Table8[Nivel 1],"",0)</f>
        <v/>
      </c>
      <c r="S1478" t="str">
        <f>_xlfn.XLOOKUP(Table3[[#This Row],[Cuenta]],Table8[Nombre Cuenta ()],Table8[Nivel 2],"",0)</f>
        <v/>
      </c>
      <c r="T1478" t="str">
        <f>_xlfn.XLOOKUP(Table3[[#This Row],[Cuenta]],Table8[Nombre Cuenta ()],Table8[Nivel 3],"",0)</f>
        <v/>
      </c>
      <c r="U1478">
        <v>1485</v>
      </c>
      <c r="V1478" t="str">
        <f>_xlfn.XLOOKUP(Table3[[#This Row],[Cuenta]],Estructura_Balance[Nombre Cuenta ()],Estructura_Balance[Niveles:2],"",0)</f>
        <v/>
      </c>
      <c r="W1478" t="str">
        <f>_xlfn.XLOOKUP(Table3[[#This Row],[Cuenta]],Estructura_Balance[Nombre Cuenta ()],Estructura_Balance[Niveles:3],"",0)</f>
        <v/>
      </c>
      <c r="X1478" t="str">
        <f>_xlfn.XLOOKUP(Table3[[#This Row],[Cuenta]],Estructura_Balance[Nombre Cuenta ()],Estructura_Balance[Grupos],"Grupo 1",0)</f>
        <v>Grupo 1</v>
      </c>
      <c r="Y1478" t="str">
        <f>+Table3[[#This Row],[BS_Nivel_1]]</f>
        <v/>
      </c>
    </row>
    <row r="1479" spans="1:25" ht="15" customHeight="1">
      <c r="A1479">
        <f>+'Libro Diario'!F899</f>
        <v>0</v>
      </c>
      <c r="B1479" s="144">
        <f>VALUE(IF(+'Libro Diario'!G899="","01/01/2025",+'Libro Diario'!G899))</f>
        <v>45658</v>
      </c>
      <c r="C1479">
        <f>IF(ISNUMBER(+IF(IFERROR(VALUE(MID('Libro Diario'!D899,1,4)),0)&lt;&gt;0,'Libro Diario'!D899,0))=FALSE,'Libro Diario'!D899,0)</f>
        <v>0</v>
      </c>
      <c r="D1479" s="145">
        <f>+'Libro Diario'!E899</f>
        <v>0</v>
      </c>
      <c r="E1479" s="139" t="s">
        <v>446</v>
      </c>
      <c r="F1479" t="str">
        <f t="shared" si="69"/>
        <v>Sin Mov.</v>
      </c>
      <c r="G1479" t="str">
        <f>IF(+'Libro Diario'!H899=0,"",+'Libro Diario'!H899)</f>
        <v/>
      </c>
      <c r="H1479" t="str">
        <f>IF(+'Libro Diario'!I899=0,"",+'Libro Diario'!I899)</f>
        <v/>
      </c>
      <c r="I1479" t="str">
        <f>+IF(Table3[[#This Row],[Tipo Movimiento]]="Estructura Balance y PyG","Excluir","Incluir")</f>
        <v>Incluir</v>
      </c>
      <c r="J1479" s="153">
        <f>+IF(Table3[[#This Row],[Sin cuenta]]="Con Mov.",(IF(Table3[[#This Row],[Movimiento]]="Debe",Table3[[#This Row],[Importe]],IF(Table3[[#This Row],[Movimiento]]="Haber",Table3[[#This Row],[Importe]]*-1,0))),0)</f>
        <v>0</v>
      </c>
      <c r="K1479" s="145" t="str">
        <f t="shared" si="70"/>
        <v/>
      </c>
      <c r="L1479" s="145">
        <f t="shared" si="71"/>
        <v>0</v>
      </c>
      <c r="M1479" t="str">
        <f>_xlfn.XLOOKUP(Table3[[#This Row],[Cuenta]],Estructura_Balance[Nombre Cuenta ()],Estructura_Balance[Grupo],"",0)</f>
        <v/>
      </c>
      <c r="N1479" t="str">
        <f>_xlfn.XLOOKUP(Table3[[#This Row],[Cuenta]],Estructura_Balance[Nombre Cuenta ()],Estructura_Balance[Nivel 1],"",0)</f>
        <v/>
      </c>
      <c r="O1479" t="str">
        <f>_xlfn.XLOOKUP(Table3[[#This Row],[Cuenta]],Estructura_Balance[Nombre Cuenta ()],Estructura_Balance[Nivel 2],"",0)</f>
        <v/>
      </c>
      <c r="P1479" t="str">
        <f>_xlfn.XLOOKUP(Table3[[#This Row],[Cuenta]],Estructura_Balance[Nombre Cuenta ()],Estructura_Balance[Nivel 3],"",0)</f>
        <v/>
      </c>
      <c r="Q1479" t="str">
        <f>_xlfn.XLOOKUP(Table3[[#This Row],[Cuenta]],Estructura_Balance[Nombre Cuenta ()],Estructura_Balance[Nivel 4],"",0)</f>
        <v/>
      </c>
      <c r="R1479" t="str">
        <f>_xlfn.XLOOKUP(Table3[[#This Row],[Cuenta]],Table8[Nombre Cuenta ()],Table8[Nivel 1],"",0)</f>
        <v/>
      </c>
      <c r="S1479" t="str">
        <f>_xlfn.XLOOKUP(Table3[[#This Row],[Cuenta]],Table8[Nombre Cuenta ()],Table8[Nivel 2],"",0)</f>
        <v/>
      </c>
      <c r="T1479" t="str">
        <f>_xlfn.XLOOKUP(Table3[[#This Row],[Cuenta]],Table8[Nombre Cuenta ()],Table8[Nivel 3],"",0)</f>
        <v/>
      </c>
      <c r="U1479">
        <v>493</v>
      </c>
      <c r="V1479" t="str">
        <f>_xlfn.XLOOKUP(Table3[[#This Row],[Cuenta]],Estructura_Balance[Nombre Cuenta ()],Estructura_Balance[Niveles:2],"",0)</f>
        <v/>
      </c>
      <c r="W1479" t="str">
        <f>_xlfn.XLOOKUP(Table3[[#This Row],[Cuenta]],Estructura_Balance[Nombre Cuenta ()],Estructura_Balance[Niveles:3],"",0)</f>
        <v/>
      </c>
      <c r="X1479" t="str">
        <f>_xlfn.XLOOKUP(Table3[[#This Row],[Cuenta]],Estructura_Balance[Nombre Cuenta ()],Estructura_Balance[Grupos],"Grupo 1",0)</f>
        <v>Grupo 1</v>
      </c>
      <c r="Y1479" t="str">
        <f>+Table3[[#This Row],[BS_Nivel_1]]</f>
        <v/>
      </c>
    </row>
    <row r="1480" spans="1:25" ht="15" customHeight="1">
      <c r="A1480">
        <f>+'Libro Diario'!F900</f>
        <v>0</v>
      </c>
      <c r="B1480" s="144">
        <f>VALUE(IF(+'Libro Diario'!G900="","01/01/2025",+'Libro Diario'!G900))</f>
        <v>45658</v>
      </c>
      <c r="C1480">
        <f>IF(ISNUMBER(+IF(IFERROR(VALUE(MID('Libro Diario'!D900,1,4)),0)&lt;&gt;0,'Libro Diario'!D900,0))=FALSE,'Libro Diario'!D900,0)</f>
        <v>0</v>
      </c>
      <c r="D1480" s="145">
        <f>+'Libro Diario'!E900</f>
        <v>0</v>
      </c>
      <c r="E1480" s="139" t="s">
        <v>446</v>
      </c>
      <c r="F1480" t="str">
        <f t="shared" si="69"/>
        <v>Sin Mov.</v>
      </c>
      <c r="G1480" t="str">
        <f>IF(+'Libro Diario'!H900=0,"",+'Libro Diario'!H900)</f>
        <v/>
      </c>
      <c r="H1480" t="str">
        <f>IF(+'Libro Diario'!I900=0,"",+'Libro Diario'!I900)</f>
        <v/>
      </c>
      <c r="I1480" t="str">
        <f>+IF(Table3[[#This Row],[Tipo Movimiento]]="Estructura Balance y PyG","Excluir","Incluir")</f>
        <v>Incluir</v>
      </c>
      <c r="J1480" s="153">
        <f>+IF(Table3[[#This Row],[Sin cuenta]]="Con Mov.",(IF(Table3[[#This Row],[Movimiento]]="Debe",Table3[[#This Row],[Importe]],IF(Table3[[#This Row],[Movimiento]]="Haber",Table3[[#This Row],[Importe]]*-1,0))),0)</f>
        <v>0</v>
      </c>
      <c r="K1480" s="145" t="str">
        <f t="shared" si="70"/>
        <v/>
      </c>
      <c r="L1480" s="145">
        <f t="shared" si="71"/>
        <v>0</v>
      </c>
      <c r="M1480" t="str">
        <f>_xlfn.XLOOKUP(Table3[[#This Row],[Cuenta]],Estructura_Balance[Nombre Cuenta ()],Estructura_Balance[Grupo],"",0)</f>
        <v/>
      </c>
      <c r="N1480" t="str">
        <f>_xlfn.XLOOKUP(Table3[[#This Row],[Cuenta]],Estructura_Balance[Nombre Cuenta ()],Estructura_Balance[Nivel 1],"",0)</f>
        <v/>
      </c>
      <c r="O1480" t="str">
        <f>_xlfn.XLOOKUP(Table3[[#This Row],[Cuenta]],Estructura_Balance[Nombre Cuenta ()],Estructura_Balance[Nivel 2],"",0)</f>
        <v/>
      </c>
      <c r="P1480" t="str">
        <f>_xlfn.XLOOKUP(Table3[[#This Row],[Cuenta]],Estructura_Balance[Nombre Cuenta ()],Estructura_Balance[Nivel 3],"",0)</f>
        <v/>
      </c>
      <c r="Q1480" t="str">
        <f>_xlfn.XLOOKUP(Table3[[#This Row],[Cuenta]],Estructura_Balance[Nombre Cuenta ()],Estructura_Balance[Nivel 4],"",0)</f>
        <v/>
      </c>
      <c r="R1480" t="str">
        <f>_xlfn.XLOOKUP(Table3[[#This Row],[Cuenta]],Table8[Nombre Cuenta ()],Table8[Nivel 1],"",0)</f>
        <v/>
      </c>
      <c r="S1480" t="str">
        <f>_xlfn.XLOOKUP(Table3[[#This Row],[Cuenta]],Table8[Nombre Cuenta ()],Table8[Nivel 2],"",0)</f>
        <v/>
      </c>
      <c r="T1480" t="str">
        <f>_xlfn.XLOOKUP(Table3[[#This Row],[Cuenta]],Table8[Nombre Cuenta ()],Table8[Nivel 3],"",0)</f>
        <v/>
      </c>
      <c r="U1480">
        <v>494</v>
      </c>
      <c r="V1480" t="str">
        <f>_xlfn.XLOOKUP(Table3[[#This Row],[Cuenta]],Estructura_Balance[Nombre Cuenta ()],Estructura_Balance[Niveles:2],"",0)</f>
        <v/>
      </c>
      <c r="W1480" t="str">
        <f>_xlfn.XLOOKUP(Table3[[#This Row],[Cuenta]],Estructura_Balance[Nombre Cuenta ()],Estructura_Balance[Niveles:3],"",0)</f>
        <v/>
      </c>
      <c r="X1480" t="str">
        <f>_xlfn.XLOOKUP(Table3[[#This Row],[Cuenta]],Estructura_Balance[Nombre Cuenta ()],Estructura_Balance[Grupos],"Grupo 1",0)</f>
        <v>Grupo 1</v>
      </c>
      <c r="Y1480" t="str">
        <f>+Table3[[#This Row],[BS_Nivel_1]]</f>
        <v/>
      </c>
    </row>
    <row r="1481" spans="1:25" ht="15" customHeight="1">
      <c r="A1481">
        <f>+'Libro Diario'!F901</f>
        <v>0</v>
      </c>
      <c r="B1481" s="144">
        <f>VALUE(IF(+'Libro Diario'!G901="","01/01/2025",+'Libro Diario'!G901))</f>
        <v>45658</v>
      </c>
      <c r="C1481">
        <f>IF(ISNUMBER(+IF(IFERROR(VALUE(MID('Libro Diario'!D901,1,4)),0)&lt;&gt;0,'Libro Diario'!D901,0))=FALSE,'Libro Diario'!D901,0)</f>
        <v>0</v>
      </c>
      <c r="D1481" s="145">
        <f>+'Libro Diario'!E901</f>
        <v>0</v>
      </c>
      <c r="E1481" s="139" t="s">
        <v>446</v>
      </c>
      <c r="F1481" t="str">
        <f t="shared" si="69"/>
        <v>Sin Mov.</v>
      </c>
      <c r="G1481" t="str">
        <f>IF(+'Libro Diario'!H901=0,"",+'Libro Diario'!H901)</f>
        <v/>
      </c>
      <c r="H1481" t="str">
        <f>IF(+'Libro Diario'!I901=0,"",+'Libro Diario'!I901)</f>
        <v/>
      </c>
      <c r="I1481" t="str">
        <f>+IF(Table3[[#This Row],[Tipo Movimiento]]="Estructura Balance y PyG","Excluir","Incluir")</f>
        <v>Incluir</v>
      </c>
      <c r="J1481" s="153">
        <f>+IF(Table3[[#This Row],[Sin cuenta]]="Con Mov.",(IF(Table3[[#This Row],[Movimiento]]="Debe",Table3[[#This Row],[Importe]],IF(Table3[[#This Row],[Movimiento]]="Haber",Table3[[#This Row],[Importe]]*-1,0))),0)</f>
        <v>0</v>
      </c>
      <c r="K1481" s="145" t="str">
        <f t="shared" si="70"/>
        <v/>
      </c>
      <c r="L1481" s="145">
        <f t="shared" si="71"/>
        <v>0</v>
      </c>
      <c r="M1481" t="str">
        <f>_xlfn.XLOOKUP(Table3[[#This Row],[Cuenta]],Estructura_Balance[Nombre Cuenta ()],Estructura_Balance[Grupo],"",0)</f>
        <v/>
      </c>
      <c r="N1481" t="str">
        <f>_xlfn.XLOOKUP(Table3[[#This Row],[Cuenta]],Estructura_Balance[Nombre Cuenta ()],Estructura_Balance[Nivel 1],"",0)</f>
        <v/>
      </c>
      <c r="O1481" t="str">
        <f>_xlfn.XLOOKUP(Table3[[#This Row],[Cuenta]],Estructura_Balance[Nombre Cuenta ()],Estructura_Balance[Nivel 2],"",0)</f>
        <v/>
      </c>
      <c r="P1481" t="str">
        <f>_xlfn.XLOOKUP(Table3[[#This Row],[Cuenta]],Estructura_Balance[Nombre Cuenta ()],Estructura_Balance[Nivel 3],"",0)</f>
        <v/>
      </c>
      <c r="Q1481" t="str">
        <f>_xlfn.XLOOKUP(Table3[[#This Row],[Cuenta]],Estructura_Balance[Nombre Cuenta ()],Estructura_Balance[Nivel 4],"",0)</f>
        <v/>
      </c>
      <c r="R1481" t="str">
        <f>_xlfn.XLOOKUP(Table3[[#This Row],[Cuenta]],Table8[Nombre Cuenta ()],Table8[Nivel 1],"",0)</f>
        <v/>
      </c>
      <c r="S1481" t="str">
        <f>_xlfn.XLOOKUP(Table3[[#This Row],[Cuenta]],Table8[Nombre Cuenta ()],Table8[Nivel 2],"",0)</f>
        <v/>
      </c>
      <c r="T1481" t="str">
        <f>_xlfn.XLOOKUP(Table3[[#This Row],[Cuenta]],Table8[Nombre Cuenta ()],Table8[Nivel 3],"",0)</f>
        <v/>
      </c>
      <c r="U1481">
        <v>1491</v>
      </c>
      <c r="V1481" t="str">
        <f>_xlfn.XLOOKUP(Table3[[#This Row],[Cuenta]],Estructura_Balance[Nombre Cuenta ()],Estructura_Balance[Niveles:2],"",0)</f>
        <v/>
      </c>
      <c r="W1481" t="str">
        <f>_xlfn.XLOOKUP(Table3[[#This Row],[Cuenta]],Estructura_Balance[Nombre Cuenta ()],Estructura_Balance[Niveles:3],"",0)</f>
        <v/>
      </c>
      <c r="X1481" t="str">
        <f>_xlfn.XLOOKUP(Table3[[#This Row],[Cuenta]],Estructura_Balance[Nombre Cuenta ()],Estructura_Balance[Grupos],"Grupo 1",0)</f>
        <v>Grupo 1</v>
      </c>
      <c r="Y1481" t="str">
        <f>+Table3[[#This Row],[BS_Nivel_1]]</f>
        <v/>
      </c>
    </row>
    <row r="1482" spans="1:25" ht="15" customHeight="1">
      <c r="A1482">
        <f>+'Libro Diario'!F902</f>
        <v>0</v>
      </c>
      <c r="B1482" s="144">
        <f>VALUE(IF(+'Libro Diario'!G902="","01/01/2025",+'Libro Diario'!G902))</f>
        <v>45658</v>
      </c>
      <c r="C1482">
        <f>IF(ISNUMBER(+IF(IFERROR(VALUE(MID('Libro Diario'!D902,1,4)),0)&lt;&gt;0,'Libro Diario'!D902,0))=FALSE,'Libro Diario'!D902,0)</f>
        <v>0</v>
      </c>
      <c r="D1482" s="145">
        <f>+'Libro Diario'!E902</f>
        <v>0</v>
      </c>
      <c r="E1482" s="139" t="s">
        <v>446</v>
      </c>
      <c r="F1482" t="str">
        <f t="shared" si="69"/>
        <v>Sin Mov.</v>
      </c>
      <c r="G1482" t="str">
        <f>IF(+'Libro Diario'!H902=0,"",+'Libro Diario'!H902)</f>
        <v/>
      </c>
      <c r="H1482" t="str">
        <f>IF(+'Libro Diario'!I902=0,"",+'Libro Diario'!I902)</f>
        <v/>
      </c>
      <c r="I1482" t="str">
        <f>+IF(Table3[[#This Row],[Tipo Movimiento]]="Estructura Balance y PyG","Excluir","Incluir")</f>
        <v>Incluir</v>
      </c>
      <c r="J1482" s="153">
        <f>+IF(Table3[[#This Row],[Sin cuenta]]="Con Mov.",(IF(Table3[[#This Row],[Movimiento]]="Debe",Table3[[#This Row],[Importe]],IF(Table3[[#This Row],[Movimiento]]="Haber",Table3[[#This Row],[Importe]]*-1,0))),0)</f>
        <v>0</v>
      </c>
      <c r="K1482" s="145" t="str">
        <f t="shared" si="70"/>
        <v/>
      </c>
      <c r="L1482" s="145">
        <f t="shared" si="71"/>
        <v>0</v>
      </c>
      <c r="M1482" t="str">
        <f>_xlfn.XLOOKUP(Table3[[#This Row],[Cuenta]],Estructura_Balance[Nombre Cuenta ()],Estructura_Balance[Grupo],"",0)</f>
        <v/>
      </c>
      <c r="N1482" t="str">
        <f>_xlfn.XLOOKUP(Table3[[#This Row],[Cuenta]],Estructura_Balance[Nombre Cuenta ()],Estructura_Balance[Nivel 1],"",0)</f>
        <v/>
      </c>
      <c r="O1482" t="str">
        <f>_xlfn.XLOOKUP(Table3[[#This Row],[Cuenta]],Estructura_Balance[Nombre Cuenta ()],Estructura_Balance[Nivel 2],"",0)</f>
        <v/>
      </c>
      <c r="P1482" t="str">
        <f>_xlfn.XLOOKUP(Table3[[#This Row],[Cuenta]],Estructura_Balance[Nombre Cuenta ()],Estructura_Balance[Nivel 3],"",0)</f>
        <v/>
      </c>
      <c r="Q1482" t="str">
        <f>_xlfn.XLOOKUP(Table3[[#This Row],[Cuenta]],Estructura_Balance[Nombre Cuenta ()],Estructura_Balance[Nivel 4],"",0)</f>
        <v/>
      </c>
      <c r="R1482" t="str">
        <f>_xlfn.XLOOKUP(Table3[[#This Row],[Cuenta]],Table8[Nombre Cuenta ()],Table8[Nivel 1],"",0)</f>
        <v/>
      </c>
      <c r="S1482" t="str">
        <f>_xlfn.XLOOKUP(Table3[[#This Row],[Cuenta]],Table8[Nombre Cuenta ()],Table8[Nivel 2],"",0)</f>
        <v/>
      </c>
      <c r="T1482" t="str">
        <f>_xlfn.XLOOKUP(Table3[[#This Row],[Cuenta]],Table8[Nombre Cuenta ()],Table8[Nivel 3],"",0)</f>
        <v/>
      </c>
      <c r="U1482">
        <v>1492</v>
      </c>
      <c r="V1482" t="str">
        <f>_xlfn.XLOOKUP(Table3[[#This Row],[Cuenta]],Estructura_Balance[Nombre Cuenta ()],Estructura_Balance[Niveles:2],"",0)</f>
        <v/>
      </c>
      <c r="W1482" t="str">
        <f>_xlfn.XLOOKUP(Table3[[#This Row],[Cuenta]],Estructura_Balance[Nombre Cuenta ()],Estructura_Balance[Niveles:3],"",0)</f>
        <v/>
      </c>
      <c r="X1482" t="str">
        <f>_xlfn.XLOOKUP(Table3[[#This Row],[Cuenta]],Estructura_Balance[Nombre Cuenta ()],Estructura_Balance[Grupos],"Grupo 1",0)</f>
        <v>Grupo 1</v>
      </c>
      <c r="Y1482" t="str">
        <f>+Table3[[#This Row],[BS_Nivel_1]]</f>
        <v/>
      </c>
    </row>
    <row r="1483" spans="1:25" ht="15" customHeight="1">
      <c r="A1483">
        <f>+'Libro Diario'!F903</f>
        <v>0</v>
      </c>
      <c r="B1483" s="144">
        <f>VALUE(IF(+'Libro Diario'!G903="","01/01/2025",+'Libro Diario'!G903))</f>
        <v>45658</v>
      </c>
      <c r="C1483">
        <f>IF(ISNUMBER(+IF(IFERROR(VALUE(MID('Libro Diario'!D903,1,4)),0)&lt;&gt;0,'Libro Diario'!D903,0))=FALSE,'Libro Diario'!D903,0)</f>
        <v>0</v>
      </c>
      <c r="D1483" s="145">
        <f>+'Libro Diario'!E903</f>
        <v>0</v>
      </c>
      <c r="E1483" s="139" t="s">
        <v>446</v>
      </c>
      <c r="F1483" t="str">
        <f t="shared" si="69"/>
        <v>Sin Mov.</v>
      </c>
      <c r="G1483" t="str">
        <f>IF(+'Libro Diario'!H903=0,"",+'Libro Diario'!H903)</f>
        <v/>
      </c>
      <c r="H1483" t="str">
        <f>IF(+'Libro Diario'!I903=0,"",+'Libro Diario'!I903)</f>
        <v/>
      </c>
      <c r="I1483" t="str">
        <f>+IF(Table3[[#This Row],[Tipo Movimiento]]="Estructura Balance y PyG","Excluir","Incluir")</f>
        <v>Incluir</v>
      </c>
      <c r="J1483" s="153">
        <f>+IF(Table3[[#This Row],[Sin cuenta]]="Con Mov.",(IF(Table3[[#This Row],[Movimiento]]="Debe",Table3[[#This Row],[Importe]],IF(Table3[[#This Row],[Movimiento]]="Haber",Table3[[#This Row],[Importe]]*-1,0))),0)</f>
        <v>0</v>
      </c>
      <c r="K1483" s="145" t="str">
        <f t="shared" si="70"/>
        <v/>
      </c>
      <c r="L1483" s="145">
        <f t="shared" si="71"/>
        <v>0</v>
      </c>
      <c r="M1483" t="str">
        <f>_xlfn.XLOOKUP(Table3[[#This Row],[Cuenta]],Estructura_Balance[Nombre Cuenta ()],Estructura_Balance[Grupo],"",0)</f>
        <v/>
      </c>
      <c r="N1483" t="str">
        <f>_xlfn.XLOOKUP(Table3[[#This Row],[Cuenta]],Estructura_Balance[Nombre Cuenta ()],Estructura_Balance[Nivel 1],"",0)</f>
        <v/>
      </c>
      <c r="O1483" t="str">
        <f>_xlfn.XLOOKUP(Table3[[#This Row],[Cuenta]],Estructura_Balance[Nombre Cuenta ()],Estructura_Balance[Nivel 2],"",0)</f>
        <v/>
      </c>
      <c r="P1483" t="str">
        <f>_xlfn.XLOOKUP(Table3[[#This Row],[Cuenta]],Estructura_Balance[Nombre Cuenta ()],Estructura_Balance[Nivel 3],"",0)</f>
        <v/>
      </c>
      <c r="Q1483" t="str">
        <f>_xlfn.XLOOKUP(Table3[[#This Row],[Cuenta]],Estructura_Balance[Nombre Cuenta ()],Estructura_Balance[Nivel 4],"",0)</f>
        <v/>
      </c>
      <c r="R1483" t="str">
        <f>_xlfn.XLOOKUP(Table3[[#This Row],[Cuenta]],Table8[Nombre Cuenta ()],Table8[Nivel 1],"",0)</f>
        <v/>
      </c>
      <c r="S1483" t="str">
        <f>_xlfn.XLOOKUP(Table3[[#This Row],[Cuenta]],Table8[Nombre Cuenta ()],Table8[Nivel 2],"",0)</f>
        <v/>
      </c>
      <c r="T1483" t="str">
        <f>_xlfn.XLOOKUP(Table3[[#This Row],[Cuenta]],Table8[Nombre Cuenta ()],Table8[Nivel 3],"",0)</f>
        <v/>
      </c>
      <c r="U1483">
        <v>500</v>
      </c>
      <c r="V1483" t="str">
        <f>_xlfn.XLOOKUP(Table3[[#This Row],[Cuenta]],Estructura_Balance[Nombre Cuenta ()],Estructura_Balance[Niveles:2],"",0)</f>
        <v/>
      </c>
      <c r="W1483" t="str">
        <f>_xlfn.XLOOKUP(Table3[[#This Row],[Cuenta]],Estructura_Balance[Nombre Cuenta ()],Estructura_Balance[Niveles:3],"",0)</f>
        <v/>
      </c>
      <c r="X1483" t="str">
        <f>_xlfn.XLOOKUP(Table3[[#This Row],[Cuenta]],Estructura_Balance[Nombre Cuenta ()],Estructura_Balance[Grupos],"Grupo 1",0)</f>
        <v>Grupo 1</v>
      </c>
      <c r="Y1483" t="str">
        <f>+Table3[[#This Row],[BS_Nivel_1]]</f>
        <v/>
      </c>
    </row>
    <row r="1484" spans="1:25" ht="15" customHeight="1">
      <c r="A1484">
        <f>+'Libro Diario'!F904</f>
        <v>0</v>
      </c>
      <c r="B1484" s="144">
        <f>VALUE(IF(+'Libro Diario'!G904="","01/01/2025",+'Libro Diario'!G904))</f>
        <v>45658</v>
      </c>
      <c r="C1484">
        <f>IF(ISNUMBER(+IF(IFERROR(VALUE(MID('Libro Diario'!D904,1,4)),0)&lt;&gt;0,'Libro Diario'!D904,0))=FALSE,'Libro Diario'!D904,0)</f>
        <v>0</v>
      </c>
      <c r="D1484" s="145">
        <f>+'Libro Diario'!E904</f>
        <v>0</v>
      </c>
      <c r="E1484" s="139" t="s">
        <v>446</v>
      </c>
      <c r="F1484" t="str">
        <f t="shared" si="69"/>
        <v>Sin Mov.</v>
      </c>
      <c r="G1484" t="str">
        <f>IF(+'Libro Diario'!H904=0,"",+'Libro Diario'!H904)</f>
        <v/>
      </c>
      <c r="H1484" t="str">
        <f>IF(+'Libro Diario'!I904=0,"",+'Libro Diario'!I904)</f>
        <v/>
      </c>
      <c r="I1484" t="str">
        <f>+IF(Table3[[#This Row],[Tipo Movimiento]]="Estructura Balance y PyG","Excluir","Incluir")</f>
        <v>Incluir</v>
      </c>
      <c r="J1484" s="153">
        <f>+IF(Table3[[#This Row],[Sin cuenta]]="Con Mov.",(IF(Table3[[#This Row],[Movimiento]]="Debe",Table3[[#This Row],[Importe]],IF(Table3[[#This Row],[Movimiento]]="Haber",Table3[[#This Row],[Importe]]*-1,0))),0)</f>
        <v>0</v>
      </c>
      <c r="K1484" s="145" t="str">
        <f t="shared" si="70"/>
        <v/>
      </c>
      <c r="L1484" s="145">
        <f t="shared" si="71"/>
        <v>0</v>
      </c>
      <c r="M1484" t="str">
        <f>_xlfn.XLOOKUP(Table3[[#This Row],[Cuenta]],Estructura_Balance[Nombre Cuenta ()],Estructura_Balance[Grupo],"",0)</f>
        <v/>
      </c>
      <c r="N1484" t="str">
        <f>_xlfn.XLOOKUP(Table3[[#This Row],[Cuenta]],Estructura_Balance[Nombre Cuenta ()],Estructura_Balance[Nivel 1],"",0)</f>
        <v/>
      </c>
      <c r="O1484" t="str">
        <f>_xlfn.XLOOKUP(Table3[[#This Row],[Cuenta]],Estructura_Balance[Nombre Cuenta ()],Estructura_Balance[Nivel 2],"",0)</f>
        <v/>
      </c>
      <c r="P1484" t="str">
        <f>_xlfn.XLOOKUP(Table3[[#This Row],[Cuenta]],Estructura_Balance[Nombre Cuenta ()],Estructura_Balance[Nivel 3],"",0)</f>
        <v/>
      </c>
      <c r="Q1484" t="str">
        <f>_xlfn.XLOOKUP(Table3[[#This Row],[Cuenta]],Estructura_Balance[Nombre Cuenta ()],Estructura_Balance[Nivel 4],"",0)</f>
        <v/>
      </c>
      <c r="R1484" t="str">
        <f>_xlfn.XLOOKUP(Table3[[#This Row],[Cuenta]],Table8[Nombre Cuenta ()],Table8[Nivel 1],"",0)</f>
        <v/>
      </c>
      <c r="S1484" t="str">
        <f>_xlfn.XLOOKUP(Table3[[#This Row],[Cuenta]],Table8[Nombre Cuenta ()],Table8[Nivel 2],"",0)</f>
        <v/>
      </c>
      <c r="T1484" t="str">
        <f>_xlfn.XLOOKUP(Table3[[#This Row],[Cuenta]],Table8[Nombre Cuenta ()],Table8[Nivel 3],"",0)</f>
        <v/>
      </c>
      <c r="U1484">
        <v>501</v>
      </c>
      <c r="V1484" t="str">
        <f>_xlfn.XLOOKUP(Table3[[#This Row],[Cuenta]],Estructura_Balance[Nombre Cuenta ()],Estructura_Balance[Niveles:2],"",0)</f>
        <v/>
      </c>
      <c r="W1484" t="str">
        <f>_xlfn.XLOOKUP(Table3[[#This Row],[Cuenta]],Estructura_Balance[Nombre Cuenta ()],Estructura_Balance[Niveles:3],"",0)</f>
        <v/>
      </c>
      <c r="X1484" t="str">
        <f>_xlfn.XLOOKUP(Table3[[#This Row],[Cuenta]],Estructura_Balance[Nombre Cuenta ()],Estructura_Balance[Grupos],"Grupo 1",0)</f>
        <v>Grupo 1</v>
      </c>
      <c r="Y1484" t="str">
        <f>+Table3[[#This Row],[BS_Nivel_1]]</f>
        <v/>
      </c>
    </row>
    <row r="1485" spans="1:25" ht="15" customHeight="1">
      <c r="A1485">
        <f>+'Libro Diario'!F905</f>
        <v>0</v>
      </c>
      <c r="B1485" s="144">
        <f>VALUE(IF(+'Libro Diario'!G905="","01/01/2025",+'Libro Diario'!G905))</f>
        <v>45658</v>
      </c>
      <c r="C1485">
        <f>IF(ISNUMBER(+IF(IFERROR(VALUE(MID('Libro Diario'!D905,1,4)),0)&lt;&gt;0,'Libro Diario'!D905,0))=FALSE,'Libro Diario'!D905,0)</f>
        <v>0</v>
      </c>
      <c r="D1485" s="145">
        <f>+'Libro Diario'!E905</f>
        <v>0</v>
      </c>
      <c r="E1485" s="139" t="s">
        <v>446</v>
      </c>
      <c r="F1485" t="str">
        <f t="shared" si="69"/>
        <v>Sin Mov.</v>
      </c>
      <c r="G1485" t="str">
        <f>IF(+'Libro Diario'!H905=0,"",+'Libro Diario'!H905)</f>
        <v/>
      </c>
      <c r="H1485" t="str">
        <f>IF(+'Libro Diario'!I905=0,"",+'Libro Diario'!I905)</f>
        <v/>
      </c>
      <c r="I1485" t="str">
        <f>+IF(Table3[[#This Row],[Tipo Movimiento]]="Estructura Balance y PyG","Excluir","Incluir")</f>
        <v>Incluir</v>
      </c>
      <c r="J1485" s="153">
        <f>+IF(Table3[[#This Row],[Sin cuenta]]="Con Mov.",(IF(Table3[[#This Row],[Movimiento]]="Debe",Table3[[#This Row],[Importe]],IF(Table3[[#This Row],[Movimiento]]="Haber",Table3[[#This Row],[Importe]]*-1,0))),0)</f>
        <v>0</v>
      </c>
      <c r="K1485" s="145" t="str">
        <f t="shared" si="70"/>
        <v/>
      </c>
      <c r="L1485" s="145">
        <f t="shared" si="71"/>
        <v>0</v>
      </c>
      <c r="M1485" t="str">
        <f>_xlfn.XLOOKUP(Table3[[#This Row],[Cuenta]],Estructura_Balance[Nombre Cuenta ()],Estructura_Balance[Grupo],"",0)</f>
        <v/>
      </c>
      <c r="N1485" t="str">
        <f>_xlfn.XLOOKUP(Table3[[#This Row],[Cuenta]],Estructura_Balance[Nombre Cuenta ()],Estructura_Balance[Nivel 1],"",0)</f>
        <v/>
      </c>
      <c r="O1485" t="str">
        <f>_xlfn.XLOOKUP(Table3[[#This Row],[Cuenta]],Estructura_Balance[Nombre Cuenta ()],Estructura_Balance[Nivel 2],"",0)</f>
        <v/>
      </c>
      <c r="P1485" t="str">
        <f>_xlfn.XLOOKUP(Table3[[#This Row],[Cuenta]],Estructura_Balance[Nombre Cuenta ()],Estructura_Balance[Nivel 3],"",0)</f>
        <v/>
      </c>
      <c r="Q1485" t="str">
        <f>_xlfn.XLOOKUP(Table3[[#This Row],[Cuenta]],Estructura_Balance[Nombre Cuenta ()],Estructura_Balance[Nivel 4],"",0)</f>
        <v/>
      </c>
      <c r="R1485" t="str">
        <f>_xlfn.XLOOKUP(Table3[[#This Row],[Cuenta]],Table8[Nombre Cuenta ()],Table8[Nivel 1],"",0)</f>
        <v/>
      </c>
      <c r="S1485" t="str">
        <f>_xlfn.XLOOKUP(Table3[[#This Row],[Cuenta]],Table8[Nombre Cuenta ()],Table8[Nivel 2],"",0)</f>
        <v/>
      </c>
      <c r="T1485" t="str">
        <f>_xlfn.XLOOKUP(Table3[[#This Row],[Cuenta]],Table8[Nombre Cuenta ()],Table8[Nivel 3],"",0)</f>
        <v/>
      </c>
      <c r="U1485">
        <v>502</v>
      </c>
      <c r="V1485" t="str">
        <f>_xlfn.XLOOKUP(Table3[[#This Row],[Cuenta]],Estructura_Balance[Nombre Cuenta ()],Estructura_Balance[Niveles:2],"",0)</f>
        <v/>
      </c>
      <c r="W1485" t="str">
        <f>_xlfn.XLOOKUP(Table3[[#This Row],[Cuenta]],Estructura_Balance[Nombre Cuenta ()],Estructura_Balance[Niveles:3],"",0)</f>
        <v/>
      </c>
      <c r="X1485" t="str">
        <f>_xlfn.XLOOKUP(Table3[[#This Row],[Cuenta]],Estructura_Balance[Nombre Cuenta ()],Estructura_Balance[Grupos],"Grupo 1",0)</f>
        <v>Grupo 1</v>
      </c>
      <c r="Y1485" t="str">
        <f>+Table3[[#This Row],[BS_Nivel_1]]</f>
        <v/>
      </c>
    </row>
    <row r="1486" spans="1:25" ht="15" customHeight="1">
      <c r="A1486">
        <f>+'Libro Diario'!F906</f>
        <v>0</v>
      </c>
      <c r="B1486" s="144">
        <f>VALUE(IF(+'Libro Diario'!G906="","01/01/2025",+'Libro Diario'!G906))</f>
        <v>45658</v>
      </c>
      <c r="C1486">
        <f>IF(ISNUMBER(+IF(IFERROR(VALUE(MID('Libro Diario'!D906,1,4)),0)&lt;&gt;0,'Libro Diario'!D906,0))=FALSE,'Libro Diario'!D906,0)</f>
        <v>0</v>
      </c>
      <c r="D1486" s="145">
        <f>+'Libro Diario'!E906</f>
        <v>0</v>
      </c>
      <c r="E1486" s="139" t="s">
        <v>446</v>
      </c>
      <c r="F1486" t="str">
        <f t="shared" si="69"/>
        <v>Sin Mov.</v>
      </c>
      <c r="G1486" t="str">
        <f>IF(+'Libro Diario'!H906=0,"",+'Libro Diario'!H906)</f>
        <v/>
      </c>
      <c r="H1486" t="str">
        <f>IF(+'Libro Diario'!I906=0,"",+'Libro Diario'!I906)</f>
        <v/>
      </c>
      <c r="I1486" t="str">
        <f>+IF(Table3[[#This Row],[Tipo Movimiento]]="Estructura Balance y PyG","Excluir","Incluir")</f>
        <v>Incluir</v>
      </c>
      <c r="J1486" s="153">
        <f>+IF(Table3[[#This Row],[Sin cuenta]]="Con Mov.",(IF(Table3[[#This Row],[Movimiento]]="Debe",Table3[[#This Row],[Importe]],IF(Table3[[#This Row],[Movimiento]]="Haber",Table3[[#This Row],[Importe]]*-1,0))),0)</f>
        <v>0</v>
      </c>
      <c r="K1486" s="145" t="str">
        <f t="shared" si="70"/>
        <v/>
      </c>
      <c r="L1486" s="145">
        <f t="shared" si="71"/>
        <v>0</v>
      </c>
      <c r="M1486" t="str">
        <f>_xlfn.XLOOKUP(Table3[[#This Row],[Cuenta]],Estructura_Balance[Nombre Cuenta ()],Estructura_Balance[Grupo],"",0)</f>
        <v/>
      </c>
      <c r="N1486" t="str">
        <f>_xlfn.XLOOKUP(Table3[[#This Row],[Cuenta]],Estructura_Balance[Nombre Cuenta ()],Estructura_Balance[Nivel 1],"",0)</f>
        <v/>
      </c>
      <c r="O1486" t="str">
        <f>_xlfn.XLOOKUP(Table3[[#This Row],[Cuenta]],Estructura_Balance[Nombre Cuenta ()],Estructura_Balance[Nivel 2],"",0)</f>
        <v/>
      </c>
      <c r="P1486" t="str">
        <f>_xlfn.XLOOKUP(Table3[[#This Row],[Cuenta]],Estructura_Balance[Nombre Cuenta ()],Estructura_Balance[Nivel 3],"",0)</f>
        <v/>
      </c>
      <c r="Q1486" t="str">
        <f>_xlfn.XLOOKUP(Table3[[#This Row],[Cuenta]],Estructura_Balance[Nombre Cuenta ()],Estructura_Balance[Nivel 4],"",0)</f>
        <v/>
      </c>
      <c r="R1486" t="str">
        <f>_xlfn.XLOOKUP(Table3[[#This Row],[Cuenta]],Table8[Nombre Cuenta ()],Table8[Nivel 1],"",0)</f>
        <v/>
      </c>
      <c r="S1486" t="str">
        <f>_xlfn.XLOOKUP(Table3[[#This Row],[Cuenta]],Table8[Nombre Cuenta ()],Table8[Nivel 2],"",0)</f>
        <v/>
      </c>
      <c r="T1486" t="str">
        <f>_xlfn.XLOOKUP(Table3[[#This Row],[Cuenta]],Table8[Nombre Cuenta ()],Table8[Nivel 3],"",0)</f>
        <v/>
      </c>
      <c r="U1486">
        <v>503</v>
      </c>
      <c r="V1486" t="str">
        <f>_xlfn.XLOOKUP(Table3[[#This Row],[Cuenta]],Estructura_Balance[Nombre Cuenta ()],Estructura_Balance[Niveles:2],"",0)</f>
        <v/>
      </c>
      <c r="W1486" t="str">
        <f>_xlfn.XLOOKUP(Table3[[#This Row],[Cuenta]],Estructura_Balance[Nombre Cuenta ()],Estructura_Balance[Niveles:3],"",0)</f>
        <v/>
      </c>
      <c r="X1486" t="str">
        <f>_xlfn.XLOOKUP(Table3[[#This Row],[Cuenta]],Estructura_Balance[Nombre Cuenta ()],Estructura_Balance[Grupos],"Grupo 1",0)</f>
        <v>Grupo 1</v>
      </c>
      <c r="Y1486" t="str">
        <f>+Table3[[#This Row],[BS_Nivel_1]]</f>
        <v/>
      </c>
    </row>
    <row r="1487" spans="1:25" ht="15" customHeight="1">
      <c r="A1487">
        <f>+'Libro Diario'!F907</f>
        <v>0</v>
      </c>
      <c r="B1487" s="144">
        <f>VALUE(IF(+'Libro Diario'!G907="","01/01/2025",+'Libro Diario'!G907))</f>
        <v>45658</v>
      </c>
      <c r="C1487">
        <f>IF(ISNUMBER(+IF(IFERROR(VALUE(MID('Libro Diario'!D907,1,4)),0)&lt;&gt;0,'Libro Diario'!D907,0))=FALSE,'Libro Diario'!D907,0)</f>
        <v>0</v>
      </c>
      <c r="D1487" s="145">
        <f>+'Libro Diario'!E907</f>
        <v>0</v>
      </c>
      <c r="E1487" s="139" t="s">
        <v>446</v>
      </c>
      <c r="F1487" t="str">
        <f t="shared" si="69"/>
        <v>Sin Mov.</v>
      </c>
      <c r="G1487" t="str">
        <f>IF(+'Libro Diario'!H907=0,"",+'Libro Diario'!H907)</f>
        <v/>
      </c>
      <c r="H1487" t="str">
        <f>IF(+'Libro Diario'!I907=0,"",+'Libro Diario'!I907)</f>
        <v/>
      </c>
      <c r="I1487" t="str">
        <f>+IF(Table3[[#This Row],[Tipo Movimiento]]="Estructura Balance y PyG","Excluir","Incluir")</f>
        <v>Incluir</v>
      </c>
      <c r="J1487" s="153">
        <f>+IF(Table3[[#This Row],[Sin cuenta]]="Con Mov.",(IF(Table3[[#This Row],[Movimiento]]="Debe",Table3[[#This Row],[Importe]],IF(Table3[[#This Row],[Movimiento]]="Haber",Table3[[#This Row],[Importe]]*-1,0))),0)</f>
        <v>0</v>
      </c>
      <c r="K1487" s="145" t="str">
        <f t="shared" si="70"/>
        <v/>
      </c>
      <c r="L1487" s="145">
        <f t="shared" si="71"/>
        <v>0</v>
      </c>
      <c r="M1487" t="str">
        <f>_xlfn.XLOOKUP(Table3[[#This Row],[Cuenta]],Estructura_Balance[Nombre Cuenta ()],Estructura_Balance[Grupo],"",0)</f>
        <v/>
      </c>
      <c r="N1487" t="str">
        <f>_xlfn.XLOOKUP(Table3[[#This Row],[Cuenta]],Estructura_Balance[Nombre Cuenta ()],Estructura_Balance[Nivel 1],"",0)</f>
        <v/>
      </c>
      <c r="O1487" t="str">
        <f>_xlfn.XLOOKUP(Table3[[#This Row],[Cuenta]],Estructura_Balance[Nombre Cuenta ()],Estructura_Balance[Nivel 2],"",0)</f>
        <v/>
      </c>
      <c r="P1487" t="str">
        <f>_xlfn.XLOOKUP(Table3[[#This Row],[Cuenta]],Estructura_Balance[Nombre Cuenta ()],Estructura_Balance[Nivel 3],"",0)</f>
        <v/>
      </c>
      <c r="Q1487" t="str">
        <f>_xlfn.XLOOKUP(Table3[[#This Row],[Cuenta]],Estructura_Balance[Nombre Cuenta ()],Estructura_Balance[Nivel 4],"",0)</f>
        <v/>
      </c>
      <c r="R1487" t="str">
        <f>_xlfn.XLOOKUP(Table3[[#This Row],[Cuenta]],Table8[Nombre Cuenta ()],Table8[Nivel 1],"",0)</f>
        <v/>
      </c>
      <c r="S1487" t="str">
        <f>_xlfn.XLOOKUP(Table3[[#This Row],[Cuenta]],Table8[Nombre Cuenta ()],Table8[Nivel 2],"",0)</f>
        <v/>
      </c>
      <c r="T1487" t="str">
        <f>_xlfn.XLOOKUP(Table3[[#This Row],[Cuenta]],Table8[Nombre Cuenta ()],Table8[Nivel 3],"",0)</f>
        <v/>
      </c>
      <c r="U1487">
        <v>504</v>
      </c>
      <c r="V1487" t="str">
        <f>_xlfn.XLOOKUP(Table3[[#This Row],[Cuenta]],Estructura_Balance[Nombre Cuenta ()],Estructura_Balance[Niveles:2],"",0)</f>
        <v/>
      </c>
      <c r="W1487" t="str">
        <f>_xlfn.XLOOKUP(Table3[[#This Row],[Cuenta]],Estructura_Balance[Nombre Cuenta ()],Estructura_Balance[Niveles:3],"",0)</f>
        <v/>
      </c>
      <c r="X1487" t="str">
        <f>_xlfn.XLOOKUP(Table3[[#This Row],[Cuenta]],Estructura_Balance[Nombre Cuenta ()],Estructura_Balance[Grupos],"Grupo 1",0)</f>
        <v>Grupo 1</v>
      </c>
      <c r="Y1487" t="str">
        <f>+Table3[[#This Row],[BS_Nivel_1]]</f>
        <v/>
      </c>
    </row>
    <row r="1488" spans="1:25" ht="15" customHeight="1">
      <c r="A1488">
        <f>+'Libro Diario'!F908</f>
        <v>0</v>
      </c>
      <c r="B1488" s="144">
        <f>VALUE(IF(+'Libro Diario'!G908="","01/01/2025",+'Libro Diario'!G908))</f>
        <v>45658</v>
      </c>
      <c r="C1488">
        <f>IF(ISNUMBER(+IF(IFERROR(VALUE(MID('Libro Diario'!D908,1,4)),0)&lt;&gt;0,'Libro Diario'!D908,0))=FALSE,'Libro Diario'!D908,0)</f>
        <v>0</v>
      </c>
      <c r="D1488" s="145">
        <f>+'Libro Diario'!E908</f>
        <v>0</v>
      </c>
      <c r="E1488" s="139" t="s">
        <v>446</v>
      </c>
      <c r="F1488" t="str">
        <f t="shared" si="69"/>
        <v>Sin Mov.</v>
      </c>
      <c r="G1488" t="str">
        <f>IF(+'Libro Diario'!H908=0,"",+'Libro Diario'!H908)</f>
        <v/>
      </c>
      <c r="H1488" t="str">
        <f>IF(+'Libro Diario'!I908=0,"",+'Libro Diario'!I908)</f>
        <v/>
      </c>
      <c r="I1488" t="str">
        <f>+IF(Table3[[#This Row],[Tipo Movimiento]]="Estructura Balance y PyG","Excluir","Incluir")</f>
        <v>Incluir</v>
      </c>
      <c r="J1488" s="153">
        <f>+IF(Table3[[#This Row],[Sin cuenta]]="Con Mov.",(IF(Table3[[#This Row],[Movimiento]]="Debe",Table3[[#This Row],[Importe]],IF(Table3[[#This Row],[Movimiento]]="Haber",Table3[[#This Row],[Importe]]*-1,0))),0)</f>
        <v>0</v>
      </c>
      <c r="K1488" s="145" t="str">
        <f t="shared" si="70"/>
        <v/>
      </c>
      <c r="L1488" s="145">
        <f t="shared" si="71"/>
        <v>0</v>
      </c>
      <c r="M1488" t="str">
        <f>_xlfn.XLOOKUP(Table3[[#This Row],[Cuenta]],Estructura_Balance[Nombre Cuenta ()],Estructura_Balance[Grupo],"",0)</f>
        <v/>
      </c>
      <c r="N1488" t="str">
        <f>_xlfn.XLOOKUP(Table3[[#This Row],[Cuenta]],Estructura_Balance[Nombre Cuenta ()],Estructura_Balance[Nivel 1],"",0)</f>
        <v/>
      </c>
      <c r="O1488" t="str">
        <f>_xlfn.XLOOKUP(Table3[[#This Row],[Cuenta]],Estructura_Balance[Nombre Cuenta ()],Estructura_Balance[Nivel 2],"",0)</f>
        <v/>
      </c>
      <c r="P1488" t="str">
        <f>_xlfn.XLOOKUP(Table3[[#This Row],[Cuenta]],Estructura_Balance[Nombre Cuenta ()],Estructura_Balance[Nivel 3],"",0)</f>
        <v/>
      </c>
      <c r="Q1488" t="str">
        <f>_xlfn.XLOOKUP(Table3[[#This Row],[Cuenta]],Estructura_Balance[Nombre Cuenta ()],Estructura_Balance[Nivel 4],"",0)</f>
        <v/>
      </c>
      <c r="R1488" t="str">
        <f>_xlfn.XLOOKUP(Table3[[#This Row],[Cuenta]],Table8[Nombre Cuenta ()],Table8[Nivel 1],"",0)</f>
        <v/>
      </c>
      <c r="S1488" t="str">
        <f>_xlfn.XLOOKUP(Table3[[#This Row],[Cuenta]],Table8[Nombre Cuenta ()],Table8[Nivel 2],"",0)</f>
        <v/>
      </c>
      <c r="T1488" t="str">
        <f>_xlfn.XLOOKUP(Table3[[#This Row],[Cuenta]],Table8[Nombre Cuenta ()],Table8[Nivel 3],"",0)</f>
        <v/>
      </c>
      <c r="U1488">
        <v>505</v>
      </c>
      <c r="V1488" t="str">
        <f>_xlfn.XLOOKUP(Table3[[#This Row],[Cuenta]],Estructura_Balance[Nombre Cuenta ()],Estructura_Balance[Niveles:2],"",0)</f>
        <v/>
      </c>
      <c r="W1488" t="str">
        <f>_xlfn.XLOOKUP(Table3[[#This Row],[Cuenta]],Estructura_Balance[Nombre Cuenta ()],Estructura_Balance[Niveles:3],"",0)</f>
        <v/>
      </c>
      <c r="X1488" t="str">
        <f>_xlfn.XLOOKUP(Table3[[#This Row],[Cuenta]],Estructura_Balance[Nombre Cuenta ()],Estructura_Balance[Grupos],"Grupo 1",0)</f>
        <v>Grupo 1</v>
      </c>
      <c r="Y1488" t="str">
        <f>+Table3[[#This Row],[BS_Nivel_1]]</f>
        <v/>
      </c>
    </row>
    <row r="1489" spans="1:25" ht="15" customHeight="1">
      <c r="A1489">
        <f>+'Libro Diario'!F909</f>
        <v>0</v>
      </c>
      <c r="B1489" s="144">
        <f>VALUE(IF(+'Libro Diario'!G909="","01/01/2025",+'Libro Diario'!G909))</f>
        <v>45658</v>
      </c>
      <c r="C1489">
        <f>IF(ISNUMBER(+IF(IFERROR(VALUE(MID('Libro Diario'!D909,1,4)),0)&lt;&gt;0,'Libro Diario'!D909,0))=FALSE,'Libro Diario'!D909,0)</f>
        <v>0</v>
      </c>
      <c r="D1489" s="145">
        <f>+'Libro Diario'!E909</f>
        <v>0</v>
      </c>
      <c r="E1489" s="139" t="s">
        <v>446</v>
      </c>
      <c r="F1489" t="str">
        <f t="shared" si="69"/>
        <v>Sin Mov.</v>
      </c>
      <c r="G1489" t="str">
        <f>IF(+'Libro Diario'!H909=0,"",+'Libro Diario'!H909)</f>
        <v/>
      </c>
      <c r="H1489" t="str">
        <f>IF(+'Libro Diario'!I909=0,"",+'Libro Diario'!I909)</f>
        <v/>
      </c>
      <c r="I1489" t="str">
        <f>+IF(Table3[[#This Row],[Tipo Movimiento]]="Estructura Balance y PyG","Excluir","Incluir")</f>
        <v>Incluir</v>
      </c>
      <c r="J1489" s="153">
        <f>+IF(Table3[[#This Row],[Sin cuenta]]="Con Mov.",(IF(Table3[[#This Row],[Movimiento]]="Debe",Table3[[#This Row],[Importe]],IF(Table3[[#This Row],[Movimiento]]="Haber",Table3[[#This Row],[Importe]]*-1,0))),0)</f>
        <v>0</v>
      </c>
      <c r="K1489" s="145" t="str">
        <f t="shared" si="70"/>
        <v/>
      </c>
      <c r="L1489" s="145">
        <f t="shared" si="71"/>
        <v>0</v>
      </c>
      <c r="M1489" t="str">
        <f>_xlfn.XLOOKUP(Table3[[#This Row],[Cuenta]],Estructura_Balance[Nombre Cuenta ()],Estructura_Balance[Grupo],"",0)</f>
        <v/>
      </c>
      <c r="N1489" t="str">
        <f>_xlfn.XLOOKUP(Table3[[#This Row],[Cuenta]],Estructura_Balance[Nombre Cuenta ()],Estructura_Balance[Nivel 1],"",0)</f>
        <v/>
      </c>
      <c r="O1489" t="str">
        <f>_xlfn.XLOOKUP(Table3[[#This Row],[Cuenta]],Estructura_Balance[Nombre Cuenta ()],Estructura_Balance[Nivel 2],"",0)</f>
        <v/>
      </c>
      <c r="P1489" t="str">
        <f>_xlfn.XLOOKUP(Table3[[#This Row],[Cuenta]],Estructura_Balance[Nombre Cuenta ()],Estructura_Balance[Nivel 3],"",0)</f>
        <v/>
      </c>
      <c r="Q1489" t="str">
        <f>_xlfn.XLOOKUP(Table3[[#This Row],[Cuenta]],Estructura_Balance[Nombre Cuenta ()],Estructura_Balance[Nivel 4],"",0)</f>
        <v/>
      </c>
      <c r="R1489" t="str">
        <f>_xlfn.XLOOKUP(Table3[[#This Row],[Cuenta]],Table8[Nombre Cuenta ()],Table8[Nivel 1],"",0)</f>
        <v/>
      </c>
      <c r="S1489" t="str">
        <f>_xlfn.XLOOKUP(Table3[[#This Row],[Cuenta]],Table8[Nombre Cuenta ()],Table8[Nivel 2],"",0)</f>
        <v/>
      </c>
      <c r="T1489" t="str">
        <f>_xlfn.XLOOKUP(Table3[[#This Row],[Cuenta]],Table8[Nombre Cuenta ()],Table8[Nivel 3],"",0)</f>
        <v/>
      </c>
      <c r="U1489">
        <v>506</v>
      </c>
      <c r="V1489" t="str">
        <f>_xlfn.XLOOKUP(Table3[[#This Row],[Cuenta]],Estructura_Balance[Nombre Cuenta ()],Estructura_Balance[Niveles:2],"",0)</f>
        <v/>
      </c>
      <c r="W1489" t="str">
        <f>_xlfn.XLOOKUP(Table3[[#This Row],[Cuenta]],Estructura_Balance[Nombre Cuenta ()],Estructura_Balance[Niveles:3],"",0)</f>
        <v/>
      </c>
      <c r="X1489" t="str">
        <f>_xlfn.XLOOKUP(Table3[[#This Row],[Cuenta]],Estructura_Balance[Nombre Cuenta ()],Estructura_Balance[Grupos],"Grupo 1",0)</f>
        <v>Grupo 1</v>
      </c>
      <c r="Y1489" t="str">
        <f>+Table3[[#This Row],[BS_Nivel_1]]</f>
        <v/>
      </c>
    </row>
    <row r="1490" spans="1:25" ht="15" customHeight="1">
      <c r="A1490">
        <f>+'Libro Diario'!F910</f>
        <v>0</v>
      </c>
      <c r="B1490" s="144">
        <f>VALUE(IF(+'Libro Diario'!G910="","01/01/2025",+'Libro Diario'!G910))</f>
        <v>45658</v>
      </c>
      <c r="C1490">
        <f>IF(ISNUMBER(+IF(IFERROR(VALUE(MID('Libro Diario'!D910,1,4)),0)&lt;&gt;0,'Libro Diario'!D910,0))=FALSE,'Libro Diario'!D910,0)</f>
        <v>0</v>
      </c>
      <c r="D1490" s="145">
        <f>+'Libro Diario'!E910</f>
        <v>0</v>
      </c>
      <c r="E1490" s="139" t="s">
        <v>446</v>
      </c>
      <c r="F1490" t="str">
        <f t="shared" si="69"/>
        <v>Sin Mov.</v>
      </c>
      <c r="G1490" t="str">
        <f>IF(+'Libro Diario'!H910=0,"",+'Libro Diario'!H910)</f>
        <v/>
      </c>
      <c r="H1490" t="str">
        <f>IF(+'Libro Diario'!I910=0,"",+'Libro Diario'!I910)</f>
        <v/>
      </c>
      <c r="I1490" t="str">
        <f>+IF(Table3[[#This Row],[Tipo Movimiento]]="Estructura Balance y PyG","Excluir","Incluir")</f>
        <v>Incluir</v>
      </c>
      <c r="J1490" s="153">
        <f>+IF(Table3[[#This Row],[Sin cuenta]]="Con Mov.",(IF(Table3[[#This Row],[Movimiento]]="Debe",Table3[[#This Row],[Importe]],IF(Table3[[#This Row],[Movimiento]]="Haber",Table3[[#This Row],[Importe]]*-1,0))),0)</f>
        <v>0</v>
      </c>
      <c r="K1490" s="145" t="str">
        <f t="shared" si="70"/>
        <v/>
      </c>
      <c r="L1490" s="145">
        <f t="shared" si="71"/>
        <v>0</v>
      </c>
      <c r="M1490" t="str">
        <f>_xlfn.XLOOKUP(Table3[[#This Row],[Cuenta]],Estructura_Balance[Nombre Cuenta ()],Estructura_Balance[Grupo],"",0)</f>
        <v/>
      </c>
      <c r="N1490" t="str">
        <f>_xlfn.XLOOKUP(Table3[[#This Row],[Cuenta]],Estructura_Balance[Nombre Cuenta ()],Estructura_Balance[Nivel 1],"",0)</f>
        <v/>
      </c>
      <c r="O1490" t="str">
        <f>_xlfn.XLOOKUP(Table3[[#This Row],[Cuenta]],Estructura_Balance[Nombre Cuenta ()],Estructura_Balance[Nivel 2],"",0)</f>
        <v/>
      </c>
      <c r="P1490" t="str">
        <f>_xlfn.XLOOKUP(Table3[[#This Row],[Cuenta]],Estructura_Balance[Nombre Cuenta ()],Estructura_Balance[Nivel 3],"",0)</f>
        <v/>
      </c>
      <c r="Q1490" t="str">
        <f>_xlfn.XLOOKUP(Table3[[#This Row],[Cuenta]],Estructura_Balance[Nombre Cuenta ()],Estructura_Balance[Nivel 4],"",0)</f>
        <v/>
      </c>
      <c r="R1490" t="str">
        <f>_xlfn.XLOOKUP(Table3[[#This Row],[Cuenta]],Table8[Nombre Cuenta ()],Table8[Nivel 1],"",0)</f>
        <v/>
      </c>
      <c r="S1490" t="str">
        <f>_xlfn.XLOOKUP(Table3[[#This Row],[Cuenta]],Table8[Nombre Cuenta ()],Table8[Nivel 2],"",0)</f>
        <v/>
      </c>
      <c r="T1490" t="str">
        <f>_xlfn.XLOOKUP(Table3[[#This Row],[Cuenta]],Table8[Nombre Cuenta ()],Table8[Nivel 3],"",0)</f>
        <v/>
      </c>
      <c r="U1490">
        <v>507</v>
      </c>
      <c r="V1490" t="str">
        <f>_xlfn.XLOOKUP(Table3[[#This Row],[Cuenta]],Estructura_Balance[Nombre Cuenta ()],Estructura_Balance[Niveles:2],"",0)</f>
        <v/>
      </c>
      <c r="W1490" t="str">
        <f>_xlfn.XLOOKUP(Table3[[#This Row],[Cuenta]],Estructura_Balance[Nombre Cuenta ()],Estructura_Balance[Niveles:3],"",0)</f>
        <v/>
      </c>
      <c r="X1490" t="str">
        <f>_xlfn.XLOOKUP(Table3[[#This Row],[Cuenta]],Estructura_Balance[Nombre Cuenta ()],Estructura_Balance[Grupos],"Grupo 1",0)</f>
        <v>Grupo 1</v>
      </c>
      <c r="Y1490" t="str">
        <f>+Table3[[#This Row],[BS_Nivel_1]]</f>
        <v/>
      </c>
    </row>
    <row r="1491" spans="1:25" ht="15" customHeight="1">
      <c r="A1491">
        <f>+'Libro Diario'!F911</f>
        <v>0</v>
      </c>
      <c r="B1491" s="144">
        <f>VALUE(IF(+'Libro Diario'!G911="","01/01/2025",+'Libro Diario'!G911))</f>
        <v>45658</v>
      </c>
      <c r="C1491">
        <f>IF(ISNUMBER(+IF(IFERROR(VALUE(MID('Libro Diario'!D911,1,4)),0)&lt;&gt;0,'Libro Diario'!D911,0))=FALSE,'Libro Diario'!D911,0)</f>
        <v>0</v>
      </c>
      <c r="D1491" s="145">
        <f>+'Libro Diario'!E911</f>
        <v>0</v>
      </c>
      <c r="E1491" s="139" t="s">
        <v>446</v>
      </c>
      <c r="F1491" t="str">
        <f t="shared" si="69"/>
        <v>Sin Mov.</v>
      </c>
      <c r="G1491" t="str">
        <f>IF(+'Libro Diario'!H911=0,"",+'Libro Diario'!H911)</f>
        <v/>
      </c>
      <c r="H1491" t="str">
        <f>IF(+'Libro Diario'!I911=0,"",+'Libro Diario'!I911)</f>
        <v/>
      </c>
      <c r="I1491" t="str">
        <f>+IF(Table3[[#This Row],[Tipo Movimiento]]="Estructura Balance y PyG","Excluir","Incluir")</f>
        <v>Incluir</v>
      </c>
      <c r="J1491" s="153">
        <f>+IF(Table3[[#This Row],[Sin cuenta]]="Con Mov.",(IF(Table3[[#This Row],[Movimiento]]="Debe",Table3[[#This Row],[Importe]],IF(Table3[[#This Row],[Movimiento]]="Haber",Table3[[#This Row],[Importe]]*-1,0))),0)</f>
        <v>0</v>
      </c>
      <c r="K1491" s="145" t="str">
        <f t="shared" si="70"/>
        <v/>
      </c>
      <c r="L1491" s="145">
        <f t="shared" si="71"/>
        <v>0</v>
      </c>
      <c r="M1491" t="str">
        <f>_xlfn.XLOOKUP(Table3[[#This Row],[Cuenta]],Estructura_Balance[Nombre Cuenta ()],Estructura_Balance[Grupo],"",0)</f>
        <v/>
      </c>
      <c r="N1491" t="str">
        <f>_xlfn.XLOOKUP(Table3[[#This Row],[Cuenta]],Estructura_Balance[Nombre Cuenta ()],Estructura_Balance[Nivel 1],"",0)</f>
        <v/>
      </c>
      <c r="O1491" t="str">
        <f>_xlfn.XLOOKUP(Table3[[#This Row],[Cuenta]],Estructura_Balance[Nombre Cuenta ()],Estructura_Balance[Nivel 2],"",0)</f>
        <v/>
      </c>
      <c r="P1491" t="str">
        <f>_xlfn.XLOOKUP(Table3[[#This Row],[Cuenta]],Estructura_Balance[Nombre Cuenta ()],Estructura_Balance[Nivel 3],"",0)</f>
        <v/>
      </c>
      <c r="Q1491" t="str">
        <f>_xlfn.XLOOKUP(Table3[[#This Row],[Cuenta]],Estructura_Balance[Nombre Cuenta ()],Estructura_Balance[Nivel 4],"",0)</f>
        <v/>
      </c>
      <c r="R1491" t="str">
        <f>_xlfn.XLOOKUP(Table3[[#This Row],[Cuenta]],Table8[Nombre Cuenta ()],Table8[Nivel 1],"",0)</f>
        <v/>
      </c>
      <c r="S1491" t="str">
        <f>_xlfn.XLOOKUP(Table3[[#This Row],[Cuenta]],Table8[Nombre Cuenta ()],Table8[Nivel 2],"",0)</f>
        <v/>
      </c>
      <c r="T1491" t="str">
        <f>_xlfn.XLOOKUP(Table3[[#This Row],[Cuenta]],Table8[Nombre Cuenta ()],Table8[Nivel 3],"",0)</f>
        <v/>
      </c>
      <c r="U1491">
        <v>508</v>
      </c>
      <c r="V1491" t="str">
        <f>_xlfn.XLOOKUP(Table3[[#This Row],[Cuenta]],Estructura_Balance[Nombre Cuenta ()],Estructura_Balance[Niveles:2],"",0)</f>
        <v/>
      </c>
      <c r="W1491" t="str">
        <f>_xlfn.XLOOKUP(Table3[[#This Row],[Cuenta]],Estructura_Balance[Nombre Cuenta ()],Estructura_Balance[Niveles:3],"",0)</f>
        <v/>
      </c>
      <c r="X1491" t="str">
        <f>_xlfn.XLOOKUP(Table3[[#This Row],[Cuenta]],Estructura_Balance[Nombre Cuenta ()],Estructura_Balance[Grupos],"Grupo 1",0)</f>
        <v>Grupo 1</v>
      </c>
      <c r="Y1491" t="str">
        <f>+Table3[[#This Row],[BS_Nivel_1]]</f>
        <v/>
      </c>
    </row>
    <row r="1492" spans="1:25" ht="15" customHeight="1">
      <c r="A1492">
        <f>+'Libro Diario'!F912</f>
        <v>0</v>
      </c>
      <c r="B1492" s="144">
        <f>VALUE(IF(+'Libro Diario'!G912="","01/01/2025",+'Libro Diario'!G912))</f>
        <v>45658</v>
      </c>
      <c r="C1492">
        <f>IF(ISNUMBER(+IF(IFERROR(VALUE(MID('Libro Diario'!D912,1,4)),0)&lt;&gt;0,'Libro Diario'!D912,0))=FALSE,'Libro Diario'!D912,0)</f>
        <v>0</v>
      </c>
      <c r="D1492" s="145">
        <f>+'Libro Diario'!E912</f>
        <v>0</v>
      </c>
      <c r="E1492" s="139" t="s">
        <v>446</v>
      </c>
      <c r="F1492" t="str">
        <f t="shared" si="69"/>
        <v>Sin Mov.</v>
      </c>
      <c r="G1492" t="str">
        <f>IF(+'Libro Diario'!H912=0,"",+'Libro Diario'!H912)</f>
        <v/>
      </c>
      <c r="H1492" t="str">
        <f>IF(+'Libro Diario'!I912=0,"",+'Libro Diario'!I912)</f>
        <v/>
      </c>
      <c r="I1492" t="str">
        <f>+IF(Table3[[#This Row],[Tipo Movimiento]]="Estructura Balance y PyG","Excluir","Incluir")</f>
        <v>Incluir</v>
      </c>
      <c r="J1492" s="153">
        <f>+IF(Table3[[#This Row],[Sin cuenta]]="Con Mov.",(IF(Table3[[#This Row],[Movimiento]]="Debe",Table3[[#This Row],[Importe]],IF(Table3[[#This Row],[Movimiento]]="Haber",Table3[[#This Row],[Importe]]*-1,0))),0)</f>
        <v>0</v>
      </c>
      <c r="K1492" s="145" t="str">
        <f t="shared" si="70"/>
        <v/>
      </c>
      <c r="L1492" s="145">
        <f t="shared" si="71"/>
        <v>0</v>
      </c>
      <c r="M1492" t="str">
        <f>_xlfn.XLOOKUP(Table3[[#This Row],[Cuenta]],Estructura_Balance[Nombre Cuenta ()],Estructura_Balance[Grupo],"",0)</f>
        <v/>
      </c>
      <c r="N1492" t="str">
        <f>_xlfn.XLOOKUP(Table3[[#This Row],[Cuenta]],Estructura_Balance[Nombre Cuenta ()],Estructura_Balance[Nivel 1],"",0)</f>
        <v/>
      </c>
      <c r="O1492" t="str">
        <f>_xlfn.XLOOKUP(Table3[[#This Row],[Cuenta]],Estructura_Balance[Nombre Cuenta ()],Estructura_Balance[Nivel 2],"",0)</f>
        <v/>
      </c>
      <c r="P1492" t="str">
        <f>_xlfn.XLOOKUP(Table3[[#This Row],[Cuenta]],Estructura_Balance[Nombre Cuenta ()],Estructura_Balance[Nivel 3],"",0)</f>
        <v/>
      </c>
      <c r="Q1492" t="str">
        <f>_xlfn.XLOOKUP(Table3[[#This Row],[Cuenta]],Estructura_Balance[Nombre Cuenta ()],Estructura_Balance[Nivel 4],"",0)</f>
        <v/>
      </c>
      <c r="R1492" t="str">
        <f>_xlfn.XLOOKUP(Table3[[#This Row],[Cuenta]],Table8[Nombre Cuenta ()],Table8[Nivel 1],"",0)</f>
        <v/>
      </c>
      <c r="S1492" t="str">
        <f>_xlfn.XLOOKUP(Table3[[#This Row],[Cuenta]],Table8[Nombre Cuenta ()],Table8[Nivel 2],"",0)</f>
        <v/>
      </c>
      <c r="T1492" t="str">
        <f>_xlfn.XLOOKUP(Table3[[#This Row],[Cuenta]],Table8[Nombre Cuenta ()],Table8[Nivel 3],"",0)</f>
        <v/>
      </c>
      <c r="U1492">
        <v>509</v>
      </c>
      <c r="V1492" t="str">
        <f>_xlfn.XLOOKUP(Table3[[#This Row],[Cuenta]],Estructura_Balance[Nombre Cuenta ()],Estructura_Balance[Niveles:2],"",0)</f>
        <v/>
      </c>
      <c r="W1492" t="str">
        <f>_xlfn.XLOOKUP(Table3[[#This Row],[Cuenta]],Estructura_Balance[Nombre Cuenta ()],Estructura_Balance[Niveles:3],"",0)</f>
        <v/>
      </c>
      <c r="X1492" t="str">
        <f>_xlfn.XLOOKUP(Table3[[#This Row],[Cuenta]],Estructura_Balance[Nombre Cuenta ()],Estructura_Balance[Grupos],"Grupo 1",0)</f>
        <v>Grupo 1</v>
      </c>
      <c r="Y1492" t="str">
        <f>+Table3[[#This Row],[BS_Nivel_1]]</f>
        <v/>
      </c>
    </row>
    <row r="1493" spans="1:25" ht="15" customHeight="1">
      <c r="A1493">
        <f>+'Libro Diario'!F913</f>
        <v>0</v>
      </c>
      <c r="B1493" s="144">
        <f>VALUE(IF(+'Libro Diario'!G913="","01/01/2025",+'Libro Diario'!G913))</f>
        <v>45658</v>
      </c>
      <c r="C1493">
        <f>IF(ISNUMBER(+IF(IFERROR(VALUE(MID('Libro Diario'!D913,1,4)),0)&lt;&gt;0,'Libro Diario'!D913,0))=FALSE,'Libro Diario'!D913,0)</f>
        <v>0</v>
      </c>
      <c r="D1493" s="145">
        <f>+'Libro Diario'!E913</f>
        <v>0</v>
      </c>
      <c r="E1493" s="139" t="s">
        <v>446</v>
      </c>
      <c r="F1493" t="str">
        <f t="shared" si="69"/>
        <v>Sin Mov.</v>
      </c>
      <c r="G1493" t="str">
        <f>IF(+'Libro Diario'!H913=0,"",+'Libro Diario'!H913)</f>
        <v/>
      </c>
      <c r="H1493" t="str">
        <f>IF(+'Libro Diario'!I913=0,"",+'Libro Diario'!I913)</f>
        <v/>
      </c>
      <c r="I1493" t="str">
        <f>+IF(Table3[[#This Row],[Tipo Movimiento]]="Estructura Balance y PyG","Excluir","Incluir")</f>
        <v>Incluir</v>
      </c>
      <c r="J1493" s="153">
        <f>+IF(Table3[[#This Row],[Sin cuenta]]="Con Mov.",(IF(Table3[[#This Row],[Movimiento]]="Debe",Table3[[#This Row],[Importe]],IF(Table3[[#This Row],[Movimiento]]="Haber",Table3[[#This Row],[Importe]]*-1,0))),0)</f>
        <v>0</v>
      </c>
      <c r="K1493" s="145" t="str">
        <f t="shared" si="70"/>
        <v/>
      </c>
      <c r="L1493" s="145">
        <f t="shared" si="71"/>
        <v>0</v>
      </c>
      <c r="M1493" t="str">
        <f>_xlfn.XLOOKUP(Table3[[#This Row],[Cuenta]],Estructura_Balance[Nombre Cuenta ()],Estructura_Balance[Grupo],"",0)</f>
        <v/>
      </c>
      <c r="N1493" t="str">
        <f>_xlfn.XLOOKUP(Table3[[#This Row],[Cuenta]],Estructura_Balance[Nombre Cuenta ()],Estructura_Balance[Nivel 1],"",0)</f>
        <v/>
      </c>
      <c r="O1493" t="str">
        <f>_xlfn.XLOOKUP(Table3[[#This Row],[Cuenta]],Estructura_Balance[Nombre Cuenta ()],Estructura_Balance[Nivel 2],"",0)</f>
        <v/>
      </c>
      <c r="P1493" t="str">
        <f>_xlfn.XLOOKUP(Table3[[#This Row],[Cuenta]],Estructura_Balance[Nombre Cuenta ()],Estructura_Balance[Nivel 3],"",0)</f>
        <v/>
      </c>
      <c r="Q1493" t="str">
        <f>_xlfn.XLOOKUP(Table3[[#This Row],[Cuenta]],Estructura_Balance[Nombre Cuenta ()],Estructura_Balance[Nivel 4],"",0)</f>
        <v/>
      </c>
      <c r="R1493" t="str">
        <f>_xlfn.XLOOKUP(Table3[[#This Row],[Cuenta]],Table8[Nombre Cuenta ()],Table8[Nivel 1],"",0)</f>
        <v/>
      </c>
      <c r="S1493" t="str">
        <f>_xlfn.XLOOKUP(Table3[[#This Row],[Cuenta]],Table8[Nombre Cuenta ()],Table8[Nivel 2],"",0)</f>
        <v/>
      </c>
      <c r="T1493" t="str">
        <f>_xlfn.XLOOKUP(Table3[[#This Row],[Cuenta]],Table8[Nombre Cuenta ()],Table8[Nivel 3],"",0)</f>
        <v/>
      </c>
      <c r="U1493">
        <v>510</v>
      </c>
      <c r="V1493" t="str">
        <f>_xlfn.XLOOKUP(Table3[[#This Row],[Cuenta]],Estructura_Balance[Nombre Cuenta ()],Estructura_Balance[Niveles:2],"",0)</f>
        <v/>
      </c>
      <c r="W1493" t="str">
        <f>_xlfn.XLOOKUP(Table3[[#This Row],[Cuenta]],Estructura_Balance[Nombre Cuenta ()],Estructura_Balance[Niveles:3],"",0)</f>
        <v/>
      </c>
      <c r="X1493" t="str">
        <f>_xlfn.XLOOKUP(Table3[[#This Row],[Cuenta]],Estructura_Balance[Nombre Cuenta ()],Estructura_Balance[Grupos],"Grupo 1",0)</f>
        <v>Grupo 1</v>
      </c>
      <c r="Y1493" t="str">
        <f>+Table3[[#This Row],[BS_Nivel_1]]</f>
        <v/>
      </c>
    </row>
    <row r="1494" spans="1:25" ht="15" customHeight="1">
      <c r="A1494">
        <f>+'Libro Diario'!F914</f>
        <v>0</v>
      </c>
      <c r="B1494" s="144">
        <f>VALUE(IF(+'Libro Diario'!G914="","01/01/2025",+'Libro Diario'!G914))</f>
        <v>45658</v>
      </c>
      <c r="C1494">
        <f>IF(ISNUMBER(+IF(IFERROR(VALUE(MID('Libro Diario'!D914,1,4)),0)&lt;&gt;0,'Libro Diario'!D914,0))=FALSE,'Libro Diario'!D914,0)</f>
        <v>0</v>
      </c>
      <c r="D1494" s="145">
        <f>+'Libro Diario'!E914</f>
        <v>0</v>
      </c>
      <c r="E1494" s="139" t="s">
        <v>446</v>
      </c>
      <c r="F1494" t="str">
        <f t="shared" si="69"/>
        <v>Sin Mov.</v>
      </c>
      <c r="G1494" t="str">
        <f>IF(+'Libro Diario'!H914=0,"",+'Libro Diario'!H914)</f>
        <v/>
      </c>
      <c r="H1494" t="str">
        <f>IF(+'Libro Diario'!I914=0,"",+'Libro Diario'!I914)</f>
        <v/>
      </c>
      <c r="I1494" t="str">
        <f>+IF(Table3[[#This Row],[Tipo Movimiento]]="Estructura Balance y PyG","Excluir","Incluir")</f>
        <v>Incluir</v>
      </c>
      <c r="J1494" s="153">
        <f>+IF(Table3[[#This Row],[Sin cuenta]]="Con Mov.",(IF(Table3[[#This Row],[Movimiento]]="Debe",Table3[[#This Row],[Importe]],IF(Table3[[#This Row],[Movimiento]]="Haber",Table3[[#This Row],[Importe]]*-1,0))),0)</f>
        <v>0</v>
      </c>
      <c r="K1494" s="145" t="str">
        <f t="shared" si="70"/>
        <v/>
      </c>
      <c r="L1494" s="145">
        <f t="shared" si="71"/>
        <v>0</v>
      </c>
      <c r="M1494" t="str">
        <f>_xlfn.XLOOKUP(Table3[[#This Row],[Cuenta]],Estructura_Balance[Nombre Cuenta ()],Estructura_Balance[Grupo],"",0)</f>
        <v/>
      </c>
      <c r="N1494" t="str">
        <f>_xlfn.XLOOKUP(Table3[[#This Row],[Cuenta]],Estructura_Balance[Nombre Cuenta ()],Estructura_Balance[Nivel 1],"",0)</f>
        <v/>
      </c>
      <c r="O1494" t="str">
        <f>_xlfn.XLOOKUP(Table3[[#This Row],[Cuenta]],Estructura_Balance[Nombre Cuenta ()],Estructura_Balance[Nivel 2],"",0)</f>
        <v/>
      </c>
      <c r="P1494" t="str">
        <f>_xlfn.XLOOKUP(Table3[[#This Row],[Cuenta]],Estructura_Balance[Nombre Cuenta ()],Estructura_Balance[Nivel 3],"",0)</f>
        <v/>
      </c>
      <c r="Q1494" t="str">
        <f>_xlfn.XLOOKUP(Table3[[#This Row],[Cuenta]],Estructura_Balance[Nombre Cuenta ()],Estructura_Balance[Nivel 4],"",0)</f>
        <v/>
      </c>
      <c r="R1494" t="str">
        <f>_xlfn.XLOOKUP(Table3[[#This Row],[Cuenta]],Table8[Nombre Cuenta ()],Table8[Nivel 1],"",0)</f>
        <v/>
      </c>
      <c r="S1494" t="str">
        <f>_xlfn.XLOOKUP(Table3[[#This Row],[Cuenta]],Table8[Nombre Cuenta ()],Table8[Nivel 2],"",0)</f>
        <v/>
      </c>
      <c r="T1494" t="str">
        <f>_xlfn.XLOOKUP(Table3[[#This Row],[Cuenta]],Table8[Nombre Cuenta ()],Table8[Nivel 3],"",0)</f>
        <v/>
      </c>
      <c r="U1494">
        <v>511</v>
      </c>
      <c r="V1494" t="str">
        <f>_xlfn.XLOOKUP(Table3[[#This Row],[Cuenta]],Estructura_Balance[Nombre Cuenta ()],Estructura_Balance[Niveles:2],"",0)</f>
        <v/>
      </c>
      <c r="W1494" t="str">
        <f>_xlfn.XLOOKUP(Table3[[#This Row],[Cuenta]],Estructura_Balance[Nombre Cuenta ()],Estructura_Balance[Niveles:3],"",0)</f>
        <v/>
      </c>
      <c r="X1494" t="str">
        <f>_xlfn.XLOOKUP(Table3[[#This Row],[Cuenta]],Estructura_Balance[Nombre Cuenta ()],Estructura_Balance[Grupos],"Grupo 1",0)</f>
        <v>Grupo 1</v>
      </c>
      <c r="Y1494" t="str">
        <f>+Table3[[#This Row],[BS_Nivel_1]]</f>
        <v/>
      </c>
    </row>
    <row r="1495" spans="1:25" ht="15" customHeight="1">
      <c r="A1495">
        <f>+'Libro Diario'!F915</f>
        <v>0</v>
      </c>
      <c r="B1495" s="144">
        <f>VALUE(IF(+'Libro Diario'!G915="","01/01/2025",+'Libro Diario'!G915))</f>
        <v>45658</v>
      </c>
      <c r="C1495">
        <f>IF(ISNUMBER(+IF(IFERROR(VALUE(MID('Libro Diario'!D915,1,4)),0)&lt;&gt;0,'Libro Diario'!D915,0))=FALSE,'Libro Diario'!D915,0)</f>
        <v>0</v>
      </c>
      <c r="D1495" s="145">
        <f>+'Libro Diario'!E915</f>
        <v>0</v>
      </c>
      <c r="E1495" s="139" t="s">
        <v>446</v>
      </c>
      <c r="F1495" t="str">
        <f t="shared" si="69"/>
        <v>Sin Mov.</v>
      </c>
      <c r="G1495" t="str">
        <f>IF(+'Libro Diario'!H915=0,"",+'Libro Diario'!H915)</f>
        <v/>
      </c>
      <c r="H1495" t="str">
        <f>IF(+'Libro Diario'!I915=0,"",+'Libro Diario'!I915)</f>
        <v/>
      </c>
      <c r="I1495" t="str">
        <f>+IF(Table3[[#This Row],[Tipo Movimiento]]="Estructura Balance y PyG","Excluir","Incluir")</f>
        <v>Incluir</v>
      </c>
      <c r="J1495" s="153">
        <f>+IF(Table3[[#This Row],[Sin cuenta]]="Con Mov.",(IF(Table3[[#This Row],[Movimiento]]="Debe",Table3[[#This Row],[Importe]],IF(Table3[[#This Row],[Movimiento]]="Haber",Table3[[#This Row],[Importe]]*-1,0))),0)</f>
        <v>0</v>
      </c>
      <c r="K1495" s="145" t="str">
        <f t="shared" si="70"/>
        <v/>
      </c>
      <c r="L1495" s="145">
        <f t="shared" si="71"/>
        <v>0</v>
      </c>
      <c r="M1495" t="str">
        <f>_xlfn.XLOOKUP(Table3[[#This Row],[Cuenta]],Estructura_Balance[Nombre Cuenta ()],Estructura_Balance[Grupo],"",0)</f>
        <v/>
      </c>
      <c r="N1495" t="str">
        <f>_xlfn.XLOOKUP(Table3[[#This Row],[Cuenta]],Estructura_Balance[Nombre Cuenta ()],Estructura_Balance[Nivel 1],"",0)</f>
        <v/>
      </c>
      <c r="O1495" t="str">
        <f>_xlfn.XLOOKUP(Table3[[#This Row],[Cuenta]],Estructura_Balance[Nombre Cuenta ()],Estructura_Balance[Nivel 2],"",0)</f>
        <v/>
      </c>
      <c r="P1495" t="str">
        <f>_xlfn.XLOOKUP(Table3[[#This Row],[Cuenta]],Estructura_Balance[Nombre Cuenta ()],Estructura_Balance[Nivel 3],"",0)</f>
        <v/>
      </c>
      <c r="Q1495" t="str">
        <f>_xlfn.XLOOKUP(Table3[[#This Row],[Cuenta]],Estructura_Balance[Nombre Cuenta ()],Estructura_Balance[Nivel 4],"",0)</f>
        <v/>
      </c>
      <c r="R1495" t="str">
        <f>_xlfn.XLOOKUP(Table3[[#This Row],[Cuenta]],Table8[Nombre Cuenta ()],Table8[Nivel 1],"",0)</f>
        <v/>
      </c>
      <c r="S1495" t="str">
        <f>_xlfn.XLOOKUP(Table3[[#This Row],[Cuenta]],Table8[Nombre Cuenta ()],Table8[Nivel 2],"",0)</f>
        <v/>
      </c>
      <c r="T1495" t="str">
        <f>_xlfn.XLOOKUP(Table3[[#This Row],[Cuenta]],Table8[Nombre Cuenta ()],Table8[Nivel 3],"",0)</f>
        <v/>
      </c>
      <c r="U1495">
        <v>512</v>
      </c>
      <c r="V1495" t="str">
        <f>_xlfn.XLOOKUP(Table3[[#This Row],[Cuenta]],Estructura_Balance[Nombre Cuenta ()],Estructura_Balance[Niveles:2],"",0)</f>
        <v/>
      </c>
      <c r="W1495" t="str">
        <f>_xlfn.XLOOKUP(Table3[[#This Row],[Cuenta]],Estructura_Balance[Nombre Cuenta ()],Estructura_Balance[Niveles:3],"",0)</f>
        <v/>
      </c>
      <c r="X1495" t="str">
        <f>_xlfn.XLOOKUP(Table3[[#This Row],[Cuenta]],Estructura_Balance[Nombre Cuenta ()],Estructura_Balance[Grupos],"Grupo 1",0)</f>
        <v>Grupo 1</v>
      </c>
      <c r="Y1495" t="str">
        <f>+Table3[[#This Row],[BS_Nivel_1]]</f>
        <v/>
      </c>
    </row>
    <row r="1496" spans="1:25" ht="15" customHeight="1">
      <c r="A1496">
        <f>+'Libro Diario'!F916</f>
        <v>0</v>
      </c>
      <c r="B1496" s="144">
        <f>VALUE(IF(+'Libro Diario'!G916="","01/01/2025",+'Libro Diario'!G916))</f>
        <v>45658</v>
      </c>
      <c r="C1496">
        <f>IF(ISNUMBER(+IF(IFERROR(VALUE(MID('Libro Diario'!D916,1,4)),0)&lt;&gt;0,'Libro Diario'!D916,0))=FALSE,'Libro Diario'!D916,0)</f>
        <v>0</v>
      </c>
      <c r="D1496" s="145">
        <f>+'Libro Diario'!E916</f>
        <v>0</v>
      </c>
      <c r="E1496" s="139" t="s">
        <v>446</v>
      </c>
      <c r="F1496" t="str">
        <f t="shared" si="69"/>
        <v>Sin Mov.</v>
      </c>
      <c r="G1496" t="str">
        <f>IF(+'Libro Diario'!H916=0,"",+'Libro Diario'!H916)</f>
        <v/>
      </c>
      <c r="H1496" t="str">
        <f>IF(+'Libro Diario'!I916=0,"",+'Libro Diario'!I916)</f>
        <v/>
      </c>
      <c r="I1496" t="str">
        <f>+IF(Table3[[#This Row],[Tipo Movimiento]]="Estructura Balance y PyG","Excluir","Incluir")</f>
        <v>Incluir</v>
      </c>
      <c r="J1496" s="153">
        <f>+IF(Table3[[#This Row],[Sin cuenta]]="Con Mov.",(IF(Table3[[#This Row],[Movimiento]]="Debe",Table3[[#This Row],[Importe]],IF(Table3[[#This Row],[Movimiento]]="Haber",Table3[[#This Row],[Importe]]*-1,0))),0)</f>
        <v>0</v>
      </c>
      <c r="K1496" s="145" t="str">
        <f t="shared" si="70"/>
        <v/>
      </c>
      <c r="L1496" s="145">
        <f t="shared" si="71"/>
        <v>0</v>
      </c>
      <c r="M1496" t="str">
        <f>_xlfn.XLOOKUP(Table3[[#This Row],[Cuenta]],Estructura_Balance[Nombre Cuenta ()],Estructura_Balance[Grupo],"",0)</f>
        <v/>
      </c>
      <c r="N1496" t="str">
        <f>_xlfn.XLOOKUP(Table3[[#This Row],[Cuenta]],Estructura_Balance[Nombre Cuenta ()],Estructura_Balance[Nivel 1],"",0)</f>
        <v/>
      </c>
      <c r="O1496" t="str">
        <f>_xlfn.XLOOKUP(Table3[[#This Row],[Cuenta]],Estructura_Balance[Nombre Cuenta ()],Estructura_Balance[Nivel 2],"",0)</f>
        <v/>
      </c>
      <c r="P1496" t="str">
        <f>_xlfn.XLOOKUP(Table3[[#This Row],[Cuenta]],Estructura_Balance[Nombre Cuenta ()],Estructura_Balance[Nivel 3],"",0)</f>
        <v/>
      </c>
      <c r="Q1496" t="str">
        <f>_xlfn.XLOOKUP(Table3[[#This Row],[Cuenta]],Estructura_Balance[Nombre Cuenta ()],Estructura_Balance[Nivel 4],"",0)</f>
        <v/>
      </c>
      <c r="R1496" t="str">
        <f>_xlfn.XLOOKUP(Table3[[#This Row],[Cuenta]],Table8[Nombre Cuenta ()],Table8[Nivel 1],"",0)</f>
        <v/>
      </c>
      <c r="S1496" t="str">
        <f>_xlfn.XLOOKUP(Table3[[#This Row],[Cuenta]],Table8[Nombre Cuenta ()],Table8[Nivel 2],"",0)</f>
        <v/>
      </c>
      <c r="T1496" t="str">
        <f>_xlfn.XLOOKUP(Table3[[#This Row],[Cuenta]],Table8[Nombre Cuenta ()],Table8[Nivel 3],"",0)</f>
        <v/>
      </c>
      <c r="U1496">
        <v>513</v>
      </c>
      <c r="V1496" t="str">
        <f>_xlfn.XLOOKUP(Table3[[#This Row],[Cuenta]],Estructura_Balance[Nombre Cuenta ()],Estructura_Balance[Niveles:2],"",0)</f>
        <v/>
      </c>
      <c r="W1496" t="str">
        <f>_xlfn.XLOOKUP(Table3[[#This Row],[Cuenta]],Estructura_Balance[Nombre Cuenta ()],Estructura_Balance[Niveles:3],"",0)</f>
        <v/>
      </c>
      <c r="X1496" t="str">
        <f>_xlfn.XLOOKUP(Table3[[#This Row],[Cuenta]],Estructura_Balance[Nombre Cuenta ()],Estructura_Balance[Grupos],"Grupo 1",0)</f>
        <v>Grupo 1</v>
      </c>
      <c r="Y1496" t="str">
        <f>+Table3[[#This Row],[BS_Nivel_1]]</f>
        <v/>
      </c>
    </row>
    <row r="1497" spans="1:25" ht="15" customHeight="1">
      <c r="A1497">
        <f>+'Libro Diario'!F917</f>
        <v>0</v>
      </c>
      <c r="B1497" s="144">
        <f>VALUE(IF(+'Libro Diario'!G917="","01/01/2025",+'Libro Diario'!G917))</f>
        <v>45658</v>
      </c>
      <c r="C1497">
        <f>IF(ISNUMBER(+IF(IFERROR(VALUE(MID('Libro Diario'!D917,1,4)),0)&lt;&gt;0,'Libro Diario'!D917,0))=FALSE,'Libro Diario'!D917,0)</f>
        <v>0</v>
      </c>
      <c r="D1497" s="145">
        <f>+'Libro Diario'!E917</f>
        <v>0</v>
      </c>
      <c r="E1497" s="139" t="s">
        <v>446</v>
      </c>
      <c r="F1497" t="str">
        <f t="shared" si="69"/>
        <v>Sin Mov.</v>
      </c>
      <c r="G1497" t="str">
        <f>IF(+'Libro Diario'!H917=0,"",+'Libro Diario'!H917)</f>
        <v/>
      </c>
      <c r="H1497" t="str">
        <f>IF(+'Libro Diario'!I917=0,"",+'Libro Diario'!I917)</f>
        <v/>
      </c>
      <c r="I1497" t="str">
        <f>+IF(Table3[[#This Row],[Tipo Movimiento]]="Estructura Balance y PyG","Excluir","Incluir")</f>
        <v>Incluir</v>
      </c>
      <c r="J1497" s="153">
        <f>+IF(Table3[[#This Row],[Sin cuenta]]="Con Mov.",(IF(Table3[[#This Row],[Movimiento]]="Debe",Table3[[#This Row],[Importe]],IF(Table3[[#This Row],[Movimiento]]="Haber",Table3[[#This Row],[Importe]]*-1,0))),0)</f>
        <v>0</v>
      </c>
      <c r="K1497" s="145" t="str">
        <f t="shared" si="70"/>
        <v/>
      </c>
      <c r="L1497" s="145">
        <f t="shared" si="71"/>
        <v>0</v>
      </c>
      <c r="M1497" t="str">
        <f>_xlfn.XLOOKUP(Table3[[#This Row],[Cuenta]],Estructura_Balance[Nombre Cuenta ()],Estructura_Balance[Grupo],"",0)</f>
        <v/>
      </c>
      <c r="N1497" t="str">
        <f>_xlfn.XLOOKUP(Table3[[#This Row],[Cuenta]],Estructura_Balance[Nombre Cuenta ()],Estructura_Balance[Nivel 1],"",0)</f>
        <v/>
      </c>
      <c r="O1497" t="str">
        <f>_xlfn.XLOOKUP(Table3[[#This Row],[Cuenta]],Estructura_Balance[Nombre Cuenta ()],Estructura_Balance[Nivel 2],"",0)</f>
        <v/>
      </c>
      <c r="P1497" t="str">
        <f>_xlfn.XLOOKUP(Table3[[#This Row],[Cuenta]],Estructura_Balance[Nombre Cuenta ()],Estructura_Balance[Nivel 3],"",0)</f>
        <v/>
      </c>
      <c r="Q1497" t="str">
        <f>_xlfn.XLOOKUP(Table3[[#This Row],[Cuenta]],Estructura_Balance[Nombre Cuenta ()],Estructura_Balance[Nivel 4],"",0)</f>
        <v/>
      </c>
      <c r="R1497" t="str">
        <f>_xlfn.XLOOKUP(Table3[[#This Row],[Cuenta]],Table8[Nombre Cuenta ()],Table8[Nivel 1],"",0)</f>
        <v/>
      </c>
      <c r="S1497" t="str">
        <f>_xlfn.XLOOKUP(Table3[[#This Row],[Cuenta]],Table8[Nombre Cuenta ()],Table8[Nivel 2],"",0)</f>
        <v/>
      </c>
      <c r="T1497" t="str">
        <f>_xlfn.XLOOKUP(Table3[[#This Row],[Cuenta]],Table8[Nombre Cuenta ()],Table8[Nivel 3],"",0)</f>
        <v/>
      </c>
      <c r="U1497">
        <v>514</v>
      </c>
      <c r="V1497" t="str">
        <f>_xlfn.XLOOKUP(Table3[[#This Row],[Cuenta]],Estructura_Balance[Nombre Cuenta ()],Estructura_Balance[Niveles:2],"",0)</f>
        <v/>
      </c>
      <c r="W1497" t="str">
        <f>_xlfn.XLOOKUP(Table3[[#This Row],[Cuenta]],Estructura_Balance[Nombre Cuenta ()],Estructura_Balance[Niveles:3],"",0)</f>
        <v/>
      </c>
      <c r="X1497" t="str">
        <f>_xlfn.XLOOKUP(Table3[[#This Row],[Cuenta]],Estructura_Balance[Nombre Cuenta ()],Estructura_Balance[Grupos],"Grupo 1",0)</f>
        <v>Grupo 1</v>
      </c>
      <c r="Y1497" t="str">
        <f>+Table3[[#This Row],[BS_Nivel_1]]</f>
        <v/>
      </c>
    </row>
    <row r="1498" spans="1:25" ht="15" customHeight="1">
      <c r="A1498">
        <f>+'Libro Diario'!F918</f>
        <v>0</v>
      </c>
      <c r="B1498" s="144">
        <f>VALUE(IF(+'Libro Diario'!G918="","01/01/2025",+'Libro Diario'!G918))</f>
        <v>45658</v>
      </c>
      <c r="C1498">
        <f>IF(ISNUMBER(+IF(IFERROR(VALUE(MID('Libro Diario'!D918,1,4)),0)&lt;&gt;0,'Libro Diario'!D918,0))=FALSE,'Libro Diario'!D918,0)</f>
        <v>0</v>
      </c>
      <c r="D1498" s="145">
        <f>+'Libro Diario'!E918</f>
        <v>0</v>
      </c>
      <c r="E1498" s="139" t="s">
        <v>446</v>
      </c>
      <c r="F1498" t="str">
        <f t="shared" si="69"/>
        <v>Sin Mov.</v>
      </c>
      <c r="G1498" t="str">
        <f>IF(+'Libro Diario'!H918=0,"",+'Libro Diario'!H918)</f>
        <v/>
      </c>
      <c r="H1498" t="str">
        <f>IF(+'Libro Diario'!I918=0,"",+'Libro Diario'!I918)</f>
        <v/>
      </c>
      <c r="I1498" t="str">
        <f>+IF(Table3[[#This Row],[Tipo Movimiento]]="Estructura Balance y PyG","Excluir","Incluir")</f>
        <v>Incluir</v>
      </c>
      <c r="J1498" s="153">
        <f>+IF(Table3[[#This Row],[Sin cuenta]]="Con Mov.",(IF(Table3[[#This Row],[Movimiento]]="Debe",Table3[[#This Row],[Importe]],IF(Table3[[#This Row],[Movimiento]]="Haber",Table3[[#This Row],[Importe]]*-1,0))),0)</f>
        <v>0</v>
      </c>
      <c r="K1498" s="145" t="str">
        <f t="shared" si="70"/>
        <v/>
      </c>
      <c r="L1498" s="145">
        <f t="shared" si="71"/>
        <v>0</v>
      </c>
      <c r="M1498" t="str">
        <f>_xlfn.XLOOKUP(Table3[[#This Row],[Cuenta]],Estructura_Balance[Nombre Cuenta ()],Estructura_Balance[Grupo],"",0)</f>
        <v/>
      </c>
      <c r="N1498" t="str">
        <f>_xlfn.XLOOKUP(Table3[[#This Row],[Cuenta]],Estructura_Balance[Nombre Cuenta ()],Estructura_Balance[Nivel 1],"",0)</f>
        <v/>
      </c>
      <c r="O1498" t="str">
        <f>_xlfn.XLOOKUP(Table3[[#This Row],[Cuenta]],Estructura_Balance[Nombre Cuenta ()],Estructura_Balance[Nivel 2],"",0)</f>
        <v/>
      </c>
      <c r="P1498" t="str">
        <f>_xlfn.XLOOKUP(Table3[[#This Row],[Cuenta]],Estructura_Balance[Nombre Cuenta ()],Estructura_Balance[Nivel 3],"",0)</f>
        <v/>
      </c>
      <c r="Q1498" t="str">
        <f>_xlfn.XLOOKUP(Table3[[#This Row],[Cuenta]],Estructura_Balance[Nombre Cuenta ()],Estructura_Balance[Nivel 4],"",0)</f>
        <v/>
      </c>
      <c r="R1498" t="str">
        <f>_xlfn.XLOOKUP(Table3[[#This Row],[Cuenta]],Table8[Nombre Cuenta ()],Table8[Nivel 1],"",0)</f>
        <v/>
      </c>
      <c r="S1498" t="str">
        <f>_xlfn.XLOOKUP(Table3[[#This Row],[Cuenta]],Table8[Nombre Cuenta ()],Table8[Nivel 2],"",0)</f>
        <v/>
      </c>
      <c r="T1498" t="str">
        <f>_xlfn.XLOOKUP(Table3[[#This Row],[Cuenta]],Table8[Nombre Cuenta ()],Table8[Nivel 3],"",0)</f>
        <v/>
      </c>
      <c r="U1498">
        <v>515</v>
      </c>
      <c r="V1498" t="str">
        <f>_xlfn.XLOOKUP(Table3[[#This Row],[Cuenta]],Estructura_Balance[Nombre Cuenta ()],Estructura_Balance[Niveles:2],"",0)</f>
        <v/>
      </c>
      <c r="W1498" t="str">
        <f>_xlfn.XLOOKUP(Table3[[#This Row],[Cuenta]],Estructura_Balance[Nombre Cuenta ()],Estructura_Balance[Niveles:3],"",0)</f>
        <v/>
      </c>
      <c r="X1498" t="str">
        <f>_xlfn.XLOOKUP(Table3[[#This Row],[Cuenta]],Estructura_Balance[Nombre Cuenta ()],Estructura_Balance[Grupos],"Grupo 1",0)</f>
        <v>Grupo 1</v>
      </c>
      <c r="Y1498" t="str">
        <f>+Table3[[#This Row],[BS_Nivel_1]]</f>
        <v/>
      </c>
    </row>
    <row r="1499" spans="1:25" ht="15" customHeight="1">
      <c r="A1499">
        <f>+'Libro Diario'!F919</f>
        <v>0</v>
      </c>
      <c r="B1499" s="144">
        <f>VALUE(IF(+'Libro Diario'!G919="","01/01/2025",+'Libro Diario'!G919))</f>
        <v>45658</v>
      </c>
      <c r="C1499">
        <f>IF(ISNUMBER(+IF(IFERROR(VALUE(MID('Libro Diario'!D919,1,4)),0)&lt;&gt;0,'Libro Diario'!D919,0))=FALSE,'Libro Diario'!D919,0)</f>
        <v>0</v>
      </c>
      <c r="D1499" s="145">
        <f>+'Libro Diario'!E919</f>
        <v>0</v>
      </c>
      <c r="E1499" s="139" t="s">
        <v>446</v>
      </c>
      <c r="F1499" t="str">
        <f t="shared" si="69"/>
        <v>Sin Mov.</v>
      </c>
      <c r="G1499" t="str">
        <f>IF(+'Libro Diario'!H919=0,"",+'Libro Diario'!H919)</f>
        <v/>
      </c>
      <c r="H1499" t="str">
        <f>IF(+'Libro Diario'!I919=0,"",+'Libro Diario'!I919)</f>
        <v/>
      </c>
      <c r="I1499" t="str">
        <f>+IF(Table3[[#This Row],[Tipo Movimiento]]="Estructura Balance y PyG","Excluir","Incluir")</f>
        <v>Incluir</v>
      </c>
      <c r="J1499" s="153">
        <f>+IF(Table3[[#This Row],[Sin cuenta]]="Con Mov.",(IF(Table3[[#This Row],[Movimiento]]="Debe",Table3[[#This Row],[Importe]],IF(Table3[[#This Row],[Movimiento]]="Haber",Table3[[#This Row],[Importe]]*-1,0))),0)</f>
        <v>0</v>
      </c>
      <c r="K1499" s="145" t="str">
        <f t="shared" si="70"/>
        <v/>
      </c>
      <c r="L1499" s="145">
        <f t="shared" si="71"/>
        <v>0</v>
      </c>
      <c r="M1499" t="str">
        <f>_xlfn.XLOOKUP(Table3[[#This Row],[Cuenta]],Estructura_Balance[Nombre Cuenta ()],Estructura_Balance[Grupo],"",0)</f>
        <v/>
      </c>
      <c r="N1499" t="str">
        <f>_xlfn.XLOOKUP(Table3[[#This Row],[Cuenta]],Estructura_Balance[Nombre Cuenta ()],Estructura_Balance[Nivel 1],"",0)</f>
        <v/>
      </c>
      <c r="O1499" t="str">
        <f>_xlfn.XLOOKUP(Table3[[#This Row],[Cuenta]],Estructura_Balance[Nombre Cuenta ()],Estructura_Balance[Nivel 2],"",0)</f>
        <v/>
      </c>
      <c r="P1499" t="str">
        <f>_xlfn.XLOOKUP(Table3[[#This Row],[Cuenta]],Estructura_Balance[Nombre Cuenta ()],Estructura_Balance[Nivel 3],"",0)</f>
        <v/>
      </c>
      <c r="Q1499" t="str">
        <f>_xlfn.XLOOKUP(Table3[[#This Row],[Cuenta]],Estructura_Balance[Nombre Cuenta ()],Estructura_Balance[Nivel 4],"",0)</f>
        <v/>
      </c>
      <c r="R1499" t="str">
        <f>_xlfn.XLOOKUP(Table3[[#This Row],[Cuenta]],Table8[Nombre Cuenta ()],Table8[Nivel 1],"",0)</f>
        <v/>
      </c>
      <c r="S1499" t="str">
        <f>_xlfn.XLOOKUP(Table3[[#This Row],[Cuenta]],Table8[Nombre Cuenta ()],Table8[Nivel 2],"",0)</f>
        <v/>
      </c>
      <c r="T1499" t="str">
        <f>_xlfn.XLOOKUP(Table3[[#This Row],[Cuenta]],Table8[Nombre Cuenta ()],Table8[Nivel 3],"",0)</f>
        <v/>
      </c>
      <c r="U1499">
        <v>1498</v>
      </c>
      <c r="V1499" t="str">
        <f>_xlfn.XLOOKUP(Table3[[#This Row],[Cuenta]],Estructura_Balance[Nombre Cuenta ()],Estructura_Balance[Niveles:2],"",0)</f>
        <v/>
      </c>
      <c r="W1499" t="str">
        <f>_xlfn.XLOOKUP(Table3[[#This Row],[Cuenta]],Estructura_Balance[Nombre Cuenta ()],Estructura_Balance[Niveles:3],"",0)</f>
        <v/>
      </c>
      <c r="X1499" t="str">
        <f>_xlfn.XLOOKUP(Table3[[#This Row],[Cuenta]],Estructura_Balance[Nombre Cuenta ()],Estructura_Balance[Grupos],"Grupo 1",0)</f>
        <v>Grupo 1</v>
      </c>
      <c r="Y1499" t="str">
        <f>+Table3[[#This Row],[BS_Nivel_1]]</f>
        <v/>
      </c>
    </row>
    <row r="1500" spans="1:25" ht="15" customHeight="1">
      <c r="A1500">
        <f>+'Libro Diario'!F920</f>
        <v>0</v>
      </c>
      <c r="B1500" s="144">
        <f>VALUE(IF(+'Libro Diario'!G920="","01/01/2025",+'Libro Diario'!G920))</f>
        <v>45658</v>
      </c>
      <c r="C1500">
        <f>IF(ISNUMBER(+IF(IFERROR(VALUE(MID('Libro Diario'!D920,1,4)),0)&lt;&gt;0,'Libro Diario'!D920,0))=FALSE,'Libro Diario'!D920,0)</f>
        <v>0</v>
      </c>
      <c r="D1500" s="145">
        <f>+'Libro Diario'!E920</f>
        <v>0</v>
      </c>
      <c r="E1500" s="139" t="s">
        <v>446</v>
      </c>
      <c r="F1500" t="str">
        <f t="shared" si="69"/>
        <v>Sin Mov.</v>
      </c>
      <c r="G1500" t="str">
        <f>IF(+'Libro Diario'!H920=0,"",+'Libro Diario'!H920)</f>
        <v/>
      </c>
      <c r="H1500" t="str">
        <f>IF(+'Libro Diario'!I920=0,"",+'Libro Diario'!I920)</f>
        <v/>
      </c>
      <c r="I1500" t="str">
        <f>+IF(Table3[[#This Row],[Tipo Movimiento]]="Estructura Balance y PyG","Excluir","Incluir")</f>
        <v>Incluir</v>
      </c>
      <c r="J1500" s="153">
        <f>+IF(Table3[[#This Row],[Sin cuenta]]="Con Mov.",(IF(Table3[[#This Row],[Movimiento]]="Debe",Table3[[#This Row],[Importe]],IF(Table3[[#This Row],[Movimiento]]="Haber",Table3[[#This Row],[Importe]]*-1,0))),0)</f>
        <v>0</v>
      </c>
      <c r="K1500" s="145" t="str">
        <f t="shared" si="70"/>
        <v/>
      </c>
      <c r="L1500" s="145">
        <f t="shared" si="71"/>
        <v>0</v>
      </c>
      <c r="M1500" t="str">
        <f>_xlfn.XLOOKUP(Table3[[#This Row],[Cuenta]],Estructura_Balance[Nombre Cuenta ()],Estructura_Balance[Grupo],"",0)</f>
        <v/>
      </c>
      <c r="N1500" t="str">
        <f>_xlfn.XLOOKUP(Table3[[#This Row],[Cuenta]],Estructura_Balance[Nombre Cuenta ()],Estructura_Balance[Nivel 1],"",0)</f>
        <v/>
      </c>
      <c r="O1500" t="str">
        <f>_xlfn.XLOOKUP(Table3[[#This Row],[Cuenta]],Estructura_Balance[Nombre Cuenta ()],Estructura_Balance[Nivel 2],"",0)</f>
        <v/>
      </c>
      <c r="P1500" t="str">
        <f>_xlfn.XLOOKUP(Table3[[#This Row],[Cuenta]],Estructura_Balance[Nombre Cuenta ()],Estructura_Balance[Nivel 3],"",0)</f>
        <v/>
      </c>
      <c r="Q1500" t="str">
        <f>_xlfn.XLOOKUP(Table3[[#This Row],[Cuenta]],Estructura_Balance[Nombre Cuenta ()],Estructura_Balance[Nivel 4],"",0)</f>
        <v/>
      </c>
      <c r="R1500" t="str">
        <f>_xlfn.XLOOKUP(Table3[[#This Row],[Cuenta]],Table8[Nombre Cuenta ()],Table8[Nivel 1],"",0)</f>
        <v/>
      </c>
      <c r="S1500" t="str">
        <f>_xlfn.XLOOKUP(Table3[[#This Row],[Cuenta]],Table8[Nombre Cuenta ()],Table8[Nivel 2],"",0)</f>
        <v/>
      </c>
      <c r="T1500" t="str">
        <f>_xlfn.XLOOKUP(Table3[[#This Row],[Cuenta]],Table8[Nombre Cuenta ()],Table8[Nivel 3],"",0)</f>
        <v/>
      </c>
      <c r="U1500">
        <v>1499</v>
      </c>
      <c r="V1500" t="str">
        <f>_xlfn.XLOOKUP(Table3[[#This Row],[Cuenta]],Estructura_Balance[Nombre Cuenta ()],Estructura_Balance[Niveles:2],"",0)</f>
        <v/>
      </c>
      <c r="W1500" t="str">
        <f>_xlfn.XLOOKUP(Table3[[#This Row],[Cuenta]],Estructura_Balance[Nombre Cuenta ()],Estructura_Balance[Niveles:3],"",0)</f>
        <v/>
      </c>
      <c r="X1500" t="str">
        <f>_xlfn.XLOOKUP(Table3[[#This Row],[Cuenta]],Estructura_Balance[Nombre Cuenta ()],Estructura_Balance[Grupos],"Grupo 1",0)</f>
        <v>Grupo 1</v>
      </c>
      <c r="Y1500" t="str">
        <f>+Table3[[#This Row],[BS_Nivel_1]]</f>
        <v/>
      </c>
    </row>
    <row r="1501" spans="1:25" ht="15" customHeight="1">
      <c r="A1501">
        <f>+'Libro Diario'!F921</f>
        <v>0</v>
      </c>
      <c r="B1501" s="144">
        <f>VALUE(IF(+'Libro Diario'!G921="","01/01/2025",+'Libro Diario'!G921))</f>
        <v>45658</v>
      </c>
      <c r="C1501">
        <f>IF(ISNUMBER(+IF(IFERROR(VALUE(MID('Libro Diario'!D921,1,4)),0)&lt;&gt;0,'Libro Diario'!D921,0))=FALSE,'Libro Diario'!D921,0)</f>
        <v>0</v>
      </c>
      <c r="D1501" s="145">
        <f>+'Libro Diario'!E921</f>
        <v>0</v>
      </c>
      <c r="E1501" s="139" t="s">
        <v>446</v>
      </c>
      <c r="F1501" t="str">
        <f t="shared" si="69"/>
        <v>Sin Mov.</v>
      </c>
      <c r="G1501" t="str">
        <f>IF(+'Libro Diario'!H921=0,"",+'Libro Diario'!H921)</f>
        <v/>
      </c>
      <c r="H1501" t="str">
        <f>IF(+'Libro Diario'!I921=0,"",+'Libro Diario'!I921)</f>
        <v/>
      </c>
      <c r="I1501" t="str">
        <f>+IF(Table3[[#This Row],[Tipo Movimiento]]="Estructura Balance y PyG","Excluir","Incluir")</f>
        <v>Incluir</v>
      </c>
      <c r="J1501" s="153">
        <f>+IF(Table3[[#This Row],[Sin cuenta]]="Con Mov.",(IF(Table3[[#This Row],[Movimiento]]="Debe",Table3[[#This Row],[Importe]],IF(Table3[[#This Row],[Movimiento]]="Haber",Table3[[#This Row],[Importe]]*-1,0))),0)</f>
        <v>0</v>
      </c>
      <c r="K1501" s="145" t="str">
        <f t="shared" si="70"/>
        <v/>
      </c>
      <c r="L1501" s="145">
        <f t="shared" si="71"/>
        <v>0</v>
      </c>
      <c r="M1501" t="str">
        <f>_xlfn.XLOOKUP(Table3[[#This Row],[Cuenta]],Estructura_Balance[Nombre Cuenta ()],Estructura_Balance[Grupo],"",0)</f>
        <v/>
      </c>
      <c r="N1501" t="str">
        <f>_xlfn.XLOOKUP(Table3[[#This Row],[Cuenta]],Estructura_Balance[Nombre Cuenta ()],Estructura_Balance[Nivel 1],"",0)</f>
        <v/>
      </c>
      <c r="O1501" t="str">
        <f>_xlfn.XLOOKUP(Table3[[#This Row],[Cuenta]],Estructura_Balance[Nombre Cuenta ()],Estructura_Balance[Nivel 2],"",0)</f>
        <v/>
      </c>
      <c r="P1501" t="str">
        <f>_xlfn.XLOOKUP(Table3[[#This Row],[Cuenta]],Estructura_Balance[Nombre Cuenta ()],Estructura_Balance[Nivel 3],"",0)</f>
        <v/>
      </c>
      <c r="Q1501" t="str">
        <f>_xlfn.XLOOKUP(Table3[[#This Row],[Cuenta]],Estructura_Balance[Nombre Cuenta ()],Estructura_Balance[Nivel 4],"",0)</f>
        <v/>
      </c>
      <c r="R1501" t="str">
        <f>_xlfn.XLOOKUP(Table3[[#This Row],[Cuenta]],Table8[Nombre Cuenta ()],Table8[Nivel 1],"",0)</f>
        <v/>
      </c>
      <c r="S1501" t="str">
        <f>_xlfn.XLOOKUP(Table3[[#This Row],[Cuenta]],Table8[Nombre Cuenta ()],Table8[Nivel 2],"",0)</f>
        <v/>
      </c>
      <c r="T1501" t="str">
        <f>_xlfn.XLOOKUP(Table3[[#This Row],[Cuenta]],Table8[Nombre Cuenta ()],Table8[Nivel 3],"",0)</f>
        <v/>
      </c>
      <c r="U1501">
        <v>1500</v>
      </c>
      <c r="V1501" t="str">
        <f>_xlfn.XLOOKUP(Table3[[#This Row],[Cuenta]],Estructura_Balance[Nombre Cuenta ()],Estructura_Balance[Niveles:2],"",0)</f>
        <v/>
      </c>
      <c r="W1501" t="str">
        <f>_xlfn.XLOOKUP(Table3[[#This Row],[Cuenta]],Estructura_Balance[Nombre Cuenta ()],Estructura_Balance[Niveles:3],"",0)</f>
        <v/>
      </c>
      <c r="X1501" t="str">
        <f>_xlfn.XLOOKUP(Table3[[#This Row],[Cuenta]],Estructura_Balance[Nombre Cuenta ()],Estructura_Balance[Grupos],"Grupo 1",0)</f>
        <v>Grupo 1</v>
      </c>
      <c r="Y1501" t="str">
        <f>+Table3[[#This Row],[BS_Nivel_1]]</f>
        <v/>
      </c>
    </row>
    <row r="1502" spans="1:25" ht="15" customHeight="1">
      <c r="A1502">
        <f>+'Libro Diario'!F922</f>
        <v>0</v>
      </c>
      <c r="B1502" s="144">
        <f>VALUE(IF(+'Libro Diario'!G922="","01/01/2025",+'Libro Diario'!G922))</f>
        <v>45658</v>
      </c>
      <c r="C1502">
        <f>IF(ISNUMBER(+IF(IFERROR(VALUE(MID('Libro Diario'!D922,1,4)),0)&lt;&gt;0,'Libro Diario'!D922,0))=FALSE,'Libro Diario'!D922,0)</f>
        <v>0</v>
      </c>
      <c r="D1502" s="145">
        <f>+'Libro Diario'!E922</f>
        <v>0</v>
      </c>
      <c r="E1502" s="139" t="s">
        <v>446</v>
      </c>
      <c r="F1502" t="str">
        <f t="shared" si="69"/>
        <v>Sin Mov.</v>
      </c>
      <c r="G1502" t="str">
        <f>IF(+'Libro Diario'!H922=0,"",+'Libro Diario'!H922)</f>
        <v/>
      </c>
      <c r="H1502" t="str">
        <f>IF(+'Libro Diario'!I922=0,"",+'Libro Diario'!I922)</f>
        <v/>
      </c>
      <c r="I1502" t="str">
        <f>+IF(Table3[[#This Row],[Tipo Movimiento]]="Estructura Balance y PyG","Excluir","Incluir")</f>
        <v>Incluir</v>
      </c>
      <c r="J1502" s="153">
        <f>+IF(Table3[[#This Row],[Sin cuenta]]="Con Mov.",(IF(Table3[[#This Row],[Movimiento]]="Debe",Table3[[#This Row],[Importe]],IF(Table3[[#This Row],[Movimiento]]="Haber",Table3[[#This Row],[Importe]]*-1,0))),0)</f>
        <v>0</v>
      </c>
      <c r="K1502" s="145" t="str">
        <f t="shared" si="70"/>
        <v/>
      </c>
      <c r="L1502" s="145">
        <f t="shared" si="71"/>
        <v>0</v>
      </c>
      <c r="M1502" t="str">
        <f>_xlfn.XLOOKUP(Table3[[#This Row],[Cuenta]],Estructura_Balance[Nombre Cuenta ()],Estructura_Balance[Grupo],"",0)</f>
        <v/>
      </c>
      <c r="N1502" t="str">
        <f>_xlfn.XLOOKUP(Table3[[#This Row],[Cuenta]],Estructura_Balance[Nombre Cuenta ()],Estructura_Balance[Nivel 1],"",0)</f>
        <v/>
      </c>
      <c r="O1502" t="str">
        <f>_xlfn.XLOOKUP(Table3[[#This Row],[Cuenta]],Estructura_Balance[Nombre Cuenta ()],Estructura_Balance[Nivel 2],"",0)</f>
        <v/>
      </c>
      <c r="P1502" t="str">
        <f>_xlfn.XLOOKUP(Table3[[#This Row],[Cuenta]],Estructura_Balance[Nombre Cuenta ()],Estructura_Balance[Nivel 3],"",0)</f>
        <v/>
      </c>
      <c r="Q1502" t="str">
        <f>_xlfn.XLOOKUP(Table3[[#This Row],[Cuenta]],Estructura_Balance[Nombre Cuenta ()],Estructura_Balance[Nivel 4],"",0)</f>
        <v/>
      </c>
      <c r="R1502" t="str">
        <f>_xlfn.XLOOKUP(Table3[[#This Row],[Cuenta]],Table8[Nombre Cuenta ()],Table8[Nivel 1],"",0)</f>
        <v/>
      </c>
      <c r="S1502" t="str">
        <f>_xlfn.XLOOKUP(Table3[[#This Row],[Cuenta]],Table8[Nombre Cuenta ()],Table8[Nivel 2],"",0)</f>
        <v/>
      </c>
      <c r="T1502" t="str">
        <f>_xlfn.XLOOKUP(Table3[[#This Row],[Cuenta]],Table8[Nombre Cuenta ()],Table8[Nivel 3],"",0)</f>
        <v/>
      </c>
      <c r="U1502">
        <v>1501</v>
      </c>
      <c r="V1502" t="str">
        <f>_xlfn.XLOOKUP(Table3[[#This Row],[Cuenta]],Estructura_Balance[Nombre Cuenta ()],Estructura_Balance[Niveles:2],"",0)</f>
        <v/>
      </c>
      <c r="W1502" t="str">
        <f>_xlfn.XLOOKUP(Table3[[#This Row],[Cuenta]],Estructura_Balance[Nombre Cuenta ()],Estructura_Balance[Niveles:3],"",0)</f>
        <v/>
      </c>
      <c r="X1502" t="str">
        <f>_xlfn.XLOOKUP(Table3[[#This Row],[Cuenta]],Estructura_Balance[Nombre Cuenta ()],Estructura_Balance[Grupos],"Grupo 1",0)</f>
        <v>Grupo 1</v>
      </c>
      <c r="Y1502" t="str">
        <f>+Table3[[#This Row],[BS_Nivel_1]]</f>
        <v/>
      </c>
    </row>
    <row r="1503" spans="1:25" ht="15" customHeight="1">
      <c r="A1503">
        <f>+'Libro Diario'!F923</f>
        <v>0</v>
      </c>
      <c r="B1503" s="144">
        <f>VALUE(IF(+'Libro Diario'!G923="","01/01/2025",+'Libro Diario'!G923))</f>
        <v>45658</v>
      </c>
      <c r="C1503">
        <f>IF(ISNUMBER(+IF(IFERROR(VALUE(MID('Libro Diario'!D923,1,4)),0)&lt;&gt;0,'Libro Diario'!D923,0))=FALSE,'Libro Diario'!D923,0)</f>
        <v>0</v>
      </c>
      <c r="D1503" s="145">
        <f>+'Libro Diario'!E923</f>
        <v>0</v>
      </c>
      <c r="E1503" s="139" t="s">
        <v>446</v>
      </c>
      <c r="F1503" t="str">
        <f t="shared" si="69"/>
        <v>Sin Mov.</v>
      </c>
      <c r="G1503" t="str">
        <f>IF(+'Libro Diario'!H923=0,"",+'Libro Diario'!H923)</f>
        <v/>
      </c>
      <c r="H1503" t="str">
        <f>IF(+'Libro Diario'!I923=0,"",+'Libro Diario'!I923)</f>
        <v/>
      </c>
      <c r="I1503" t="str">
        <f>+IF(Table3[[#This Row],[Tipo Movimiento]]="Estructura Balance y PyG","Excluir","Incluir")</f>
        <v>Incluir</v>
      </c>
      <c r="J1503" s="153">
        <f>+IF(Table3[[#This Row],[Sin cuenta]]="Con Mov.",(IF(Table3[[#This Row],[Movimiento]]="Debe",Table3[[#This Row],[Importe]],IF(Table3[[#This Row],[Movimiento]]="Haber",Table3[[#This Row],[Importe]]*-1,0))),0)</f>
        <v>0</v>
      </c>
      <c r="K1503" s="145" t="str">
        <f t="shared" si="70"/>
        <v/>
      </c>
      <c r="L1503" s="145">
        <f t="shared" si="71"/>
        <v>0</v>
      </c>
      <c r="M1503" t="str">
        <f>_xlfn.XLOOKUP(Table3[[#This Row],[Cuenta]],Estructura_Balance[Nombre Cuenta ()],Estructura_Balance[Grupo],"",0)</f>
        <v/>
      </c>
      <c r="N1503" t="str">
        <f>_xlfn.XLOOKUP(Table3[[#This Row],[Cuenta]],Estructura_Balance[Nombre Cuenta ()],Estructura_Balance[Nivel 1],"",0)</f>
        <v/>
      </c>
      <c r="O1503" t="str">
        <f>_xlfn.XLOOKUP(Table3[[#This Row],[Cuenta]],Estructura_Balance[Nombre Cuenta ()],Estructura_Balance[Nivel 2],"",0)</f>
        <v/>
      </c>
      <c r="P1503" t="str">
        <f>_xlfn.XLOOKUP(Table3[[#This Row],[Cuenta]],Estructura_Balance[Nombre Cuenta ()],Estructura_Balance[Nivel 3],"",0)</f>
        <v/>
      </c>
      <c r="Q1503" t="str">
        <f>_xlfn.XLOOKUP(Table3[[#This Row],[Cuenta]],Estructura_Balance[Nombre Cuenta ()],Estructura_Balance[Nivel 4],"",0)</f>
        <v/>
      </c>
      <c r="R1503" t="str">
        <f>_xlfn.XLOOKUP(Table3[[#This Row],[Cuenta]],Table8[Nombre Cuenta ()],Table8[Nivel 1],"",0)</f>
        <v/>
      </c>
      <c r="S1503" t="str">
        <f>_xlfn.XLOOKUP(Table3[[#This Row],[Cuenta]],Table8[Nombre Cuenta ()],Table8[Nivel 2],"",0)</f>
        <v/>
      </c>
      <c r="T1503" t="str">
        <f>_xlfn.XLOOKUP(Table3[[#This Row],[Cuenta]],Table8[Nombre Cuenta ()],Table8[Nivel 3],"",0)</f>
        <v/>
      </c>
      <c r="U1503">
        <v>1502</v>
      </c>
      <c r="V1503" t="str">
        <f>_xlfn.XLOOKUP(Table3[[#This Row],[Cuenta]],Estructura_Balance[Nombre Cuenta ()],Estructura_Balance[Niveles:2],"",0)</f>
        <v/>
      </c>
      <c r="W1503" t="str">
        <f>_xlfn.XLOOKUP(Table3[[#This Row],[Cuenta]],Estructura_Balance[Nombre Cuenta ()],Estructura_Balance[Niveles:3],"",0)</f>
        <v/>
      </c>
      <c r="X1503" t="str">
        <f>_xlfn.XLOOKUP(Table3[[#This Row],[Cuenta]],Estructura_Balance[Nombre Cuenta ()],Estructura_Balance[Grupos],"Grupo 1",0)</f>
        <v>Grupo 1</v>
      </c>
      <c r="Y1503" t="str">
        <f>+Table3[[#This Row],[BS_Nivel_1]]</f>
        <v/>
      </c>
    </row>
    <row r="1504" spans="1:25" ht="15" customHeight="1">
      <c r="A1504">
        <f>+'Libro Diario'!F924</f>
        <v>0</v>
      </c>
      <c r="B1504" s="144">
        <f>VALUE(IF(+'Libro Diario'!G924="","01/01/2025",+'Libro Diario'!G924))</f>
        <v>45658</v>
      </c>
      <c r="C1504">
        <f>IF(ISNUMBER(+IF(IFERROR(VALUE(MID('Libro Diario'!D924,1,4)),0)&lt;&gt;0,'Libro Diario'!D924,0))=FALSE,'Libro Diario'!D924,0)</f>
        <v>0</v>
      </c>
      <c r="D1504" s="145">
        <f>+'Libro Diario'!E924</f>
        <v>0</v>
      </c>
      <c r="E1504" s="139" t="s">
        <v>446</v>
      </c>
      <c r="F1504" t="str">
        <f t="shared" si="69"/>
        <v>Sin Mov.</v>
      </c>
      <c r="G1504" t="str">
        <f>IF(+'Libro Diario'!H924=0,"",+'Libro Diario'!H924)</f>
        <v/>
      </c>
      <c r="H1504" t="str">
        <f>IF(+'Libro Diario'!I924=0,"",+'Libro Diario'!I924)</f>
        <v/>
      </c>
      <c r="I1504" t="str">
        <f>+IF(Table3[[#This Row],[Tipo Movimiento]]="Estructura Balance y PyG","Excluir","Incluir")</f>
        <v>Incluir</v>
      </c>
      <c r="J1504" s="153">
        <f>+IF(Table3[[#This Row],[Sin cuenta]]="Con Mov.",(IF(Table3[[#This Row],[Movimiento]]="Debe",Table3[[#This Row],[Importe]],IF(Table3[[#This Row],[Movimiento]]="Haber",Table3[[#This Row],[Importe]]*-1,0))),0)</f>
        <v>0</v>
      </c>
      <c r="K1504" s="145" t="str">
        <f t="shared" si="70"/>
        <v/>
      </c>
      <c r="L1504" s="145">
        <f t="shared" si="71"/>
        <v>0</v>
      </c>
      <c r="M1504" t="str">
        <f>_xlfn.XLOOKUP(Table3[[#This Row],[Cuenta]],Estructura_Balance[Nombre Cuenta ()],Estructura_Balance[Grupo],"",0)</f>
        <v/>
      </c>
      <c r="N1504" t="str">
        <f>_xlfn.XLOOKUP(Table3[[#This Row],[Cuenta]],Estructura_Balance[Nombre Cuenta ()],Estructura_Balance[Nivel 1],"",0)</f>
        <v/>
      </c>
      <c r="O1504" t="str">
        <f>_xlfn.XLOOKUP(Table3[[#This Row],[Cuenta]],Estructura_Balance[Nombre Cuenta ()],Estructura_Balance[Nivel 2],"",0)</f>
        <v/>
      </c>
      <c r="P1504" t="str">
        <f>_xlfn.XLOOKUP(Table3[[#This Row],[Cuenta]],Estructura_Balance[Nombre Cuenta ()],Estructura_Balance[Nivel 3],"",0)</f>
        <v/>
      </c>
      <c r="Q1504" t="str">
        <f>_xlfn.XLOOKUP(Table3[[#This Row],[Cuenta]],Estructura_Balance[Nombre Cuenta ()],Estructura_Balance[Nivel 4],"",0)</f>
        <v/>
      </c>
      <c r="R1504" t="str">
        <f>_xlfn.XLOOKUP(Table3[[#This Row],[Cuenta]],Table8[Nombre Cuenta ()],Table8[Nivel 1],"",0)</f>
        <v/>
      </c>
      <c r="S1504" t="str">
        <f>_xlfn.XLOOKUP(Table3[[#This Row],[Cuenta]],Table8[Nombre Cuenta ()],Table8[Nivel 2],"",0)</f>
        <v/>
      </c>
      <c r="T1504" t="str">
        <f>_xlfn.XLOOKUP(Table3[[#This Row],[Cuenta]],Table8[Nombre Cuenta ()],Table8[Nivel 3],"",0)</f>
        <v/>
      </c>
      <c r="U1504">
        <v>1503</v>
      </c>
      <c r="V1504" t="str">
        <f>_xlfn.XLOOKUP(Table3[[#This Row],[Cuenta]],Estructura_Balance[Nombre Cuenta ()],Estructura_Balance[Niveles:2],"",0)</f>
        <v/>
      </c>
      <c r="W1504" t="str">
        <f>_xlfn.XLOOKUP(Table3[[#This Row],[Cuenta]],Estructura_Balance[Nombre Cuenta ()],Estructura_Balance[Niveles:3],"",0)</f>
        <v/>
      </c>
      <c r="X1504" t="str">
        <f>_xlfn.XLOOKUP(Table3[[#This Row],[Cuenta]],Estructura_Balance[Nombre Cuenta ()],Estructura_Balance[Grupos],"Grupo 1",0)</f>
        <v>Grupo 1</v>
      </c>
      <c r="Y1504" t="str">
        <f>+Table3[[#This Row],[BS_Nivel_1]]</f>
        <v/>
      </c>
    </row>
    <row r="1505" spans="1:25" ht="15" customHeight="1">
      <c r="A1505">
        <f>+'Libro Diario'!F925</f>
        <v>0</v>
      </c>
      <c r="B1505" s="144">
        <f>VALUE(IF(+'Libro Diario'!G925="","01/01/2025",+'Libro Diario'!G925))</f>
        <v>45658</v>
      </c>
      <c r="C1505">
        <f>IF(ISNUMBER(+IF(IFERROR(VALUE(MID('Libro Diario'!D925,1,4)),0)&lt;&gt;0,'Libro Diario'!D925,0))=FALSE,'Libro Diario'!D925,0)</f>
        <v>0</v>
      </c>
      <c r="D1505" s="145">
        <f>+'Libro Diario'!E925</f>
        <v>0</v>
      </c>
      <c r="E1505" s="139" t="s">
        <v>446</v>
      </c>
      <c r="F1505" t="str">
        <f t="shared" si="69"/>
        <v>Sin Mov.</v>
      </c>
      <c r="G1505" t="str">
        <f>IF(+'Libro Diario'!H925=0,"",+'Libro Diario'!H925)</f>
        <v/>
      </c>
      <c r="H1505" t="str">
        <f>IF(+'Libro Diario'!I925=0,"",+'Libro Diario'!I925)</f>
        <v/>
      </c>
      <c r="I1505" t="str">
        <f>+IF(Table3[[#This Row],[Tipo Movimiento]]="Estructura Balance y PyG","Excluir","Incluir")</f>
        <v>Incluir</v>
      </c>
      <c r="J1505" s="153">
        <f>+IF(Table3[[#This Row],[Sin cuenta]]="Con Mov.",(IF(Table3[[#This Row],[Movimiento]]="Debe",Table3[[#This Row],[Importe]],IF(Table3[[#This Row],[Movimiento]]="Haber",Table3[[#This Row],[Importe]]*-1,0))),0)</f>
        <v>0</v>
      </c>
      <c r="K1505" s="145" t="str">
        <f t="shared" si="70"/>
        <v/>
      </c>
      <c r="L1505" s="145">
        <f t="shared" si="71"/>
        <v>0</v>
      </c>
      <c r="M1505" t="str">
        <f>_xlfn.XLOOKUP(Table3[[#This Row],[Cuenta]],Estructura_Balance[Nombre Cuenta ()],Estructura_Balance[Grupo],"",0)</f>
        <v/>
      </c>
      <c r="N1505" t="str">
        <f>_xlfn.XLOOKUP(Table3[[#This Row],[Cuenta]],Estructura_Balance[Nombre Cuenta ()],Estructura_Balance[Nivel 1],"",0)</f>
        <v/>
      </c>
      <c r="O1505" t="str">
        <f>_xlfn.XLOOKUP(Table3[[#This Row],[Cuenta]],Estructura_Balance[Nombre Cuenta ()],Estructura_Balance[Nivel 2],"",0)</f>
        <v/>
      </c>
      <c r="P1505" t="str">
        <f>_xlfn.XLOOKUP(Table3[[#This Row],[Cuenta]],Estructura_Balance[Nombre Cuenta ()],Estructura_Balance[Nivel 3],"",0)</f>
        <v/>
      </c>
      <c r="Q1505" t="str">
        <f>_xlfn.XLOOKUP(Table3[[#This Row],[Cuenta]],Estructura_Balance[Nombre Cuenta ()],Estructura_Balance[Nivel 4],"",0)</f>
        <v/>
      </c>
      <c r="R1505" t="str">
        <f>_xlfn.XLOOKUP(Table3[[#This Row],[Cuenta]],Table8[Nombre Cuenta ()],Table8[Nivel 1],"",0)</f>
        <v/>
      </c>
      <c r="S1505" t="str">
        <f>_xlfn.XLOOKUP(Table3[[#This Row],[Cuenta]],Table8[Nombre Cuenta ()],Table8[Nivel 2],"",0)</f>
        <v/>
      </c>
      <c r="T1505" t="str">
        <f>_xlfn.XLOOKUP(Table3[[#This Row],[Cuenta]],Table8[Nombre Cuenta ()],Table8[Nivel 3],"",0)</f>
        <v/>
      </c>
      <c r="U1505">
        <v>1504</v>
      </c>
      <c r="V1505" t="str">
        <f>_xlfn.XLOOKUP(Table3[[#This Row],[Cuenta]],Estructura_Balance[Nombre Cuenta ()],Estructura_Balance[Niveles:2],"",0)</f>
        <v/>
      </c>
      <c r="W1505" t="str">
        <f>_xlfn.XLOOKUP(Table3[[#This Row],[Cuenta]],Estructura_Balance[Nombre Cuenta ()],Estructura_Balance[Niveles:3],"",0)</f>
        <v/>
      </c>
      <c r="X1505" t="str">
        <f>_xlfn.XLOOKUP(Table3[[#This Row],[Cuenta]],Estructura_Balance[Nombre Cuenta ()],Estructura_Balance[Grupos],"Grupo 1",0)</f>
        <v>Grupo 1</v>
      </c>
      <c r="Y1505" t="str">
        <f>+Table3[[#This Row],[BS_Nivel_1]]</f>
        <v/>
      </c>
    </row>
    <row r="1506" spans="1:25" ht="15" customHeight="1">
      <c r="A1506">
        <f>+'Libro Diario'!F926</f>
        <v>0</v>
      </c>
      <c r="B1506" s="144">
        <f>VALUE(IF(+'Libro Diario'!G926="","01/01/2025",+'Libro Diario'!G926))</f>
        <v>45658</v>
      </c>
      <c r="C1506">
        <f>IF(ISNUMBER(+IF(IFERROR(VALUE(MID('Libro Diario'!D926,1,4)),0)&lt;&gt;0,'Libro Diario'!D926,0))=FALSE,'Libro Diario'!D926,0)</f>
        <v>0</v>
      </c>
      <c r="D1506" s="145">
        <f>+'Libro Diario'!E926</f>
        <v>0</v>
      </c>
      <c r="E1506" s="139" t="s">
        <v>446</v>
      </c>
      <c r="F1506" t="str">
        <f t="shared" si="69"/>
        <v>Sin Mov.</v>
      </c>
      <c r="G1506" t="str">
        <f>IF(+'Libro Diario'!H926=0,"",+'Libro Diario'!H926)</f>
        <v/>
      </c>
      <c r="H1506" t="str">
        <f>IF(+'Libro Diario'!I926=0,"",+'Libro Diario'!I926)</f>
        <v/>
      </c>
      <c r="I1506" t="str">
        <f>+IF(Table3[[#This Row],[Tipo Movimiento]]="Estructura Balance y PyG","Excluir","Incluir")</f>
        <v>Incluir</v>
      </c>
      <c r="J1506" s="153">
        <f>+IF(Table3[[#This Row],[Sin cuenta]]="Con Mov.",(IF(Table3[[#This Row],[Movimiento]]="Debe",Table3[[#This Row],[Importe]],IF(Table3[[#This Row],[Movimiento]]="Haber",Table3[[#This Row],[Importe]]*-1,0))),0)</f>
        <v>0</v>
      </c>
      <c r="K1506" s="145" t="str">
        <f t="shared" si="70"/>
        <v/>
      </c>
      <c r="L1506" s="145">
        <f t="shared" si="71"/>
        <v>0</v>
      </c>
      <c r="M1506" t="str">
        <f>_xlfn.XLOOKUP(Table3[[#This Row],[Cuenta]],Estructura_Balance[Nombre Cuenta ()],Estructura_Balance[Grupo],"",0)</f>
        <v/>
      </c>
      <c r="N1506" t="str">
        <f>_xlfn.XLOOKUP(Table3[[#This Row],[Cuenta]],Estructura_Balance[Nombre Cuenta ()],Estructura_Balance[Nivel 1],"",0)</f>
        <v/>
      </c>
      <c r="O1506" t="str">
        <f>_xlfn.XLOOKUP(Table3[[#This Row],[Cuenta]],Estructura_Balance[Nombre Cuenta ()],Estructura_Balance[Nivel 2],"",0)</f>
        <v/>
      </c>
      <c r="P1506" t="str">
        <f>_xlfn.XLOOKUP(Table3[[#This Row],[Cuenta]],Estructura_Balance[Nombre Cuenta ()],Estructura_Balance[Nivel 3],"",0)</f>
        <v/>
      </c>
      <c r="Q1506" t="str">
        <f>_xlfn.XLOOKUP(Table3[[#This Row],[Cuenta]],Estructura_Balance[Nombre Cuenta ()],Estructura_Balance[Nivel 4],"",0)</f>
        <v/>
      </c>
      <c r="R1506" t="str">
        <f>_xlfn.XLOOKUP(Table3[[#This Row],[Cuenta]],Table8[Nombre Cuenta ()],Table8[Nivel 1],"",0)</f>
        <v/>
      </c>
      <c r="S1506" t="str">
        <f>_xlfn.XLOOKUP(Table3[[#This Row],[Cuenta]],Table8[Nombre Cuenta ()],Table8[Nivel 2],"",0)</f>
        <v/>
      </c>
      <c r="T1506" t="str">
        <f>_xlfn.XLOOKUP(Table3[[#This Row],[Cuenta]],Table8[Nombre Cuenta ()],Table8[Nivel 3],"",0)</f>
        <v/>
      </c>
      <c r="U1506">
        <v>1505</v>
      </c>
      <c r="V1506" t="str">
        <f>_xlfn.XLOOKUP(Table3[[#This Row],[Cuenta]],Estructura_Balance[Nombre Cuenta ()],Estructura_Balance[Niveles:2],"",0)</f>
        <v/>
      </c>
      <c r="W1506" t="str">
        <f>_xlfn.XLOOKUP(Table3[[#This Row],[Cuenta]],Estructura_Balance[Nombre Cuenta ()],Estructura_Balance[Niveles:3],"",0)</f>
        <v/>
      </c>
      <c r="X1506" t="str">
        <f>_xlfn.XLOOKUP(Table3[[#This Row],[Cuenta]],Estructura_Balance[Nombre Cuenta ()],Estructura_Balance[Grupos],"Grupo 1",0)</f>
        <v>Grupo 1</v>
      </c>
      <c r="Y1506" t="str">
        <f>+Table3[[#This Row],[BS_Nivel_1]]</f>
        <v/>
      </c>
    </row>
    <row r="1507" spans="1:25" ht="15" customHeight="1">
      <c r="A1507">
        <f>+'Libro Diario'!F927</f>
        <v>0</v>
      </c>
      <c r="B1507" s="144">
        <f>VALUE(IF(+'Libro Diario'!G927="","01/01/2025",+'Libro Diario'!G927))</f>
        <v>45658</v>
      </c>
      <c r="C1507">
        <f>IF(ISNUMBER(+IF(IFERROR(VALUE(MID('Libro Diario'!D927,1,4)),0)&lt;&gt;0,'Libro Diario'!D927,0))=FALSE,'Libro Diario'!D927,0)</f>
        <v>0</v>
      </c>
      <c r="D1507" s="145">
        <f>+'Libro Diario'!E927</f>
        <v>0</v>
      </c>
      <c r="E1507" s="139" t="s">
        <v>446</v>
      </c>
      <c r="F1507" t="str">
        <f t="shared" si="69"/>
        <v>Sin Mov.</v>
      </c>
      <c r="G1507" t="str">
        <f>IF(+'Libro Diario'!H927=0,"",+'Libro Diario'!H927)</f>
        <v/>
      </c>
      <c r="H1507" t="str">
        <f>IF(+'Libro Diario'!I927=0,"",+'Libro Diario'!I927)</f>
        <v/>
      </c>
      <c r="I1507" t="str">
        <f>+IF(Table3[[#This Row],[Tipo Movimiento]]="Estructura Balance y PyG","Excluir","Incluir")</f>
        <v>Incluir</v>
      </c>
      <c r="J1507" s="153">
        <f>+IF(Table3[[#This Row],[Sin cuenta]]="Con Mov.",(IF(Table3[[#This Row],[Movimiento]]="Debe",Table3[[#This Row],[Importe]],IF(Table3[[#This Row],[Movimiento]]="Haber",Table3[[#This Row],[Importe]]*-1,0))),0)</f>
        <v>0</v>
      </c>
      <c r="K1507" s="145" t="str">
        <f t="shared" si="70"/>
        <v/>
      </c>
      <c r="L1507" s="145">
        <f t="shared" si="71"/>
        <v>0</v>
      </c>
      <c r="M1507" t="str">
        <f>_xlfn.XLOOKUP(Table3[[#This Row],[Cuenta]],Estructura_Balance[Nombre Cuenta ()],Estructura_Balance[Grupo],"",0)</f>
        <v/>
      </c>
      <c r="N1507" t="str">
        <f>_xlfn.XLOOKUP(Table3[[#This Row],[Cuenta]],Estructura_Balance[Nombre Cuenta ()],Estructura_Balance[Nivel 1],"",0)</f>
        <v/>
      </c>
      <c r="O1507" t="str">
        <f>_xlfn.XLOOKUP(Table3[[#This Row],[Cuenta]],Estructura_Balance[Nombre Cuenta ()],Estructura_Balance[Nivel 2],"",0)</f>
        <v/>
      </c>
      <c r="P1507" t="str">
        <f>_xlfn.XLOOKUP(Table3[[#This Row],[Cuenta]],Estructura_Balance[Nombre Cuenta ()],Estructura_Balance[Nivel 3],"",0)</f>
        <v/>
      </c>
      <c r="Q1507" t="str">
        <f>_xlfn.XLOOKUP(Table3[[#This Row],[Cuenta]],Estructura_Balance[Nombre Cuenta ()],Estructura_Balance[Nivel 4],"",0)</f>
        <v/>
      </c>
      <c r="R1507" t="str">
        <f>_xlfn.XLOOKUP(Table3[[#This Row],[Cuenta]],Table8[Nombre Cuenta ()],Table8[Nivel 1],"",0)</f>
        <v/>
      </c>
      <c r="S1507" t="str">
        <f>_xlfn.XLOOKUP(Table3[[#This Row],[Cuenta]],Table8[Nombre Cuenta ()],Table8[Nivel 2],"",0)</f>
        <v/>
      </c>
      <c r="T1507" t="str">
        <f>_xlfn.XLOOKUP(Table3[[#This Row],[Cuenta]],Table8[Nombre Cuenta ()],Table8[Nivel 3],"",0)</f>
        <v/>
      </c>
      <c r="U1507">
        <v>1506</v>
      </c>
      <c r="V1507" t="str">
        <f>_xlfn.XLOOKUP(Table3[[#This Row],[Cuenta]],Estructura_Balance[Nombre Cuenta ()],Estructura_Balance[Niveles:2],"",0)</f>
        <v/>
      </c>
      <c r="W1507" t="str">
        <f>_xlfn.XLOOKUP(Table3[[#This Row],[Cuenta]],Estructura_Balance[Nombre Cuenta ()],Estructura_Balance[Niveles:3],"",0)</f>
        <v/>
      </c>
      <c r="X1507" t="str">
        <f>_xlfn.XLOOKUP(Table3[[#This Row],[Cuenta]],Estructura_Balance[Nombre Cuenta ()],Estructura_Balance[Grupos],"Grupo 1",0)</f>
        <v>Grupo 1</v>
      </c>
      <c r="Y1507" t="str">
        <f>+Table3[[#This Row],[BS_Nivel_1]]</f>
        <v/>
      </c>
    </row>
    <row r="1508" spans="1:25" ht="15" customHeight="1">
      <c r="A1508">
        <f>+'Libro Diario'!F928</f>
        <v>0</v>
      </c>
      <c r="B1508" s="144">
        <f>VALUE(IF(+'Libro Diario'!G928="","01/01/2025",+'Libro Diario'!G928))</f>
        <v>45658</v>
      </c>
      <c r="C1508">
        <f>IF(ISNUMBER(+IF(IFERROR(VALUE(MID('Libro Diario'!D928,1,4)),0)&lt;&gt;0,'Libro Diario'!D928,0))=FALSE,'Libro Diario'!D928,0)</f>
        <v>0</v>
      </c>
      <c r="D1508" s="145">
        <f>+'Libro Diario'!E928</f>
        <v>0</v>
      </c>
      <c r="E1508" s="139" t="s">
        <v>446</v>
      </c>
      <c r="F1508" t="str">
        <f t="shared" si="69"/>
        <v>Sin Mov.</v>
      </c>
      <c r="G1508" t="str">
        <f>IF(+'Libro Diario'!H928=0,"",+'Libro Diario'!H928)</f>
        <v/>
      </c>
      <c r="H1508" t="str">
        <f>IF(+'Libro Diario'!I928=0,"",+'Libro Diario'!I928)</f>
        <v/>
      </c>
      <c r="I1508" t="str">
        <f>+IF(Table3[[#This Row],[Tipo Movimiento]]="Estructura Balance y PyG","Excluir","Incluir")</f>
        <v>Incluir</v>
      </c>
      <c r="J1508" s="153">
        <f>+IF(Table3[[#This Row],[Sin cuenta]]="Con Mov.",(IF(Table3[[#This Row],[Movimiento]]="Debe",Table3[[#This Row],[Importe]],IF(Table3[[#This Row],[Movimiento]]="Haber",Table3[[#This Row],[Importe]]*-1,0))),0)</f>
        <v>0</v>
      </c>
      <c r="K1508" s="145" t="str">
        <f t="shared" si="70"/>
        <v/>
      </c>
      <c r="L1508" s="145">
        <f t="shared" si="71"/>
        <v>0</v>
      </c>
      <c r="M1508" t="str">
        <f>_xlfn.XLOOKUP(Table3[[#This Row],[Cuenta]],Estructura_Balance[Nombre Cuenta ()],Estructura_Balance[Grupo],"",0)</f>
        <v/>
      </c>
      <c r="N1508" t="str">
        <f>_xlfn.XLOOKUP(Table3[[#This Row],[Cuenta]],Estructura_Balance[Nombre Cuenta ()],Estructura_Balance[Nivel 1],"",0)</f>
        <v/>
      </c>
      <c r="O1508" t="str">
        <f>_xlfn.XLOOKUP(Table3[[#This Row],[Cuenta]],Estructura_Balance[Nombre Cuenta ()],Estructura_Balance[Nivel 2],"",0)</f>
        <v/>
      </c>
      <c r="P1508" t="str">
        <f>_xlfn.XLOOKUP(Table3[[#This Row],[Cuenta]],Estructura_Balance[Nombre Cuenta ()],Estructura_Balance[Nivel 3],"",0)</f>
        <v/>
      </c>
      <c r="Q1508" t="str">
        <f>_xlfn.XLOOKUP(Table3[[#This Row],[Cuenta]],Estructura_Balance[Nombre Cuenta ()],Estructura_Balance[Nivel 4],"",0)</f>
        <v/>
      </c>
      <c r="R1508" t="str">
        <f>_xlfn.XLOOKUP(Table3[[#This Row],[Cuenta]],Table8[Nombre Cuenta ()],Table8[Nivel 1],"",0)</f>
        <v/>
      </c>
      <c r="S1508" t="str">
        <f>_xlfn.XLOOKUP(Table3[[#This Row],[Cuenta]],Table8[Nombre Cuenta ()],Table8[Nivel 2],"",0)</f>
        <v/>
      </c>
      <c r="T1508" t="str">
        <f>_xlfn.XLOOKUP(Table3[[#This Row],[Cuenta]],Table8[Nombre Cuenta ()],Table8[Nivel 3],"",0)</f>
        <v/>
      </c>
      <c r="U1508">
        <v>1507</v>
      </c>
      <c r="V1508" t="str">
        <f>_xlfn.XLOOKUP(Table3[[#This Row],[Cuenta]],Estructura_Balance[Nombre Cuenta ()],Estructura_Balance[Niveles:2],"",0)</f>
        <v/>
      </c>
      <c r="W1508" t="str">
        <f>_xlfn.XLOOKUP(Table3[[#This Row],[Cuenta]],Estructura_Balance[Nombre Cuenta ()],Estructura_Balance[Niveles:3],"",0)</f>
        <v/>
      </c>
      <c r="X1508" t="str">
        <f>_xlfn.XLOOKUP(Table3[[#This Row],[Cuenta]],Estructura_Balance[Nombre Cuenta ()],Estructura_Balance[Grupos],"Grupo 1",0)</f>
        <v>Grupo 1</v>
      </c>
      <c r="Y1508" t="str">
        <f>+Table3[[#This Row],[BS_Nivel_1]]</f>
        <v/>
      </c>
    </row>
    <row r="1509" spans="1:25" ht="15" customHeight="1">
      <c r="A1509">
        <f>+'Libro Diario'!F929</f>
        <v>0</v>
      </c>
      <c r="B1509" s="144">
        <f>VALUE(IF(+'Libro Diario'!G929="","01/01/2025",+'Libro Diario'!G929))</f>
        <v>45658</v>
      </c>
      <c r="C1509">
        <f>IF(ISNUMBER(+IF(IFERROR(VALUE(MID('Libro Diario'!D929,1,4)),0)&lt;&gt;0,'Libro Diario'!D929,0))=FALSE,'Libro Diario'!D929,0)</f>
        <v>0</v>
      </c>
      <c r="D1509" s="145">
        <f>+'Libro Diario'!E929</f>
        <v>0</v>
      </c>
      <c r="E1509" s="139" t="s">
        <v>446</v>
      </c>
      <c r="F1509" t="str">
        <f t="shared" si="69"/>
        <v>Sin Mov.</v>
      </c>
      <c r="G1509" t="str">
        <f>IF(+'Libro Diario'!H929=0,"",+'Libro Diario'!H929)</f>
        <v/>
      </c>
      <c r="H1509" t="str">
        <f>IF(+'Libro Diario'!I929=0,"",+'Libro Diario'!I929)</f>
        <v/>
      </c>
      <c r="I1509" t="str">
        <f>+IF(Table3[[#This Row],[Tipo Movimiento]]="Estructura Balance y PyG","Excluir","Incluir")</f>
        <v>Incluir</v>
      </c>
      <c r="J1509" s="153">
        <f>+IF(Table3[[#This Row],[Sin cuenta]]="Con Mov.",(IF(Table3[[#This Row],[Movimiento]]="Debe",Table3[[#This Row],[Importe]],IF(Table3[[#This Row],[Movimiento]]="Haber",Table3[[#This Row],[Importe]]*-1,0))),0)</f>
        <v>0</v>
      </c>
      <c r="K1509" s="145" t="str">
        <f t="shared" si="70"/>
        <v/>
      </c>
      <c r="L1509" s="145">
        <f t="shared" si="71"/>
        <v>0</v>
      </c>
      <c r="M1509" t="str">
        <f>_xlfn.XLOOKUP(Table3[[#This Row],[Cuenta]],Estructura_Balance[Nombre Cuenta ()],Estructura_Balance[Grupo],"",0)</f>
        <v/>
      </c>
      <c r="N1509" t="str">
        <f>_xlfn.XLOOKUP(Table3[[#This Row],[Cuenta]],Estructura_Balance[Nombre Cuenta ()],Estructura_Balance[Nivel 1],"",0)</f>
        <v/>
      </c>
      <c r="O1509" t="str">
        <f>_xlfn.XLOOKUP(Table3[[#This Row],[Cuenta]],Estructura_Balance[Nombre Cuenta ()],Estructura_Balance[Nivel 2],"",0)</f>
        <v/>
      </c>
      <c r="P1509" t="str">
        <f>_xlfn.XLOOKUP(Table3[[#This Row],[Cuenta]],Estructura_Balance[Nombre Cuenta ()],Estructura_Balance[Nivel 3],"",0)</f>
        <v/>
      </c>
      <c r="Q1509" t="str">
        <f>_xlfn.XLOOKUP(Table3[[#This Row],[Cuenta]],Estructura_Balance[Nombre Cuenta ()],Estructura_Balance[Nivel 4],"",0)</f>
        <v/>
      </c>
      <c r="R1509" t="str">
        <f>_xlfn.XLOOKUP(Table3[[#This Row],[Cuenta]],Table8[Nombre Cuenta ()],Table8[Nivel 1],"",0)</f>
        <v/>
      </c>
      <c r="S1509" t="str">
        <f>_xlfn.XLOOKUP(Table3[[#This Row],[Cuenta]],Table8[Nombre Cuenta ()],Table8[Nivel 2],"",0)</f>
        <v/>
      </c>
      <c r="T1509" t="str">
        <f>_xlfn.XLOOKUP(Table3[[#This Row],[Cuenta]],Table8[Nombre Cuenta ()],Table8[Nivel 3],"",0)</f>
        <v/>
      </c>
      <c r="U1509">
        <v>1508</v>
      </c>
      <c r="V1509" t="str">
        <f>_xlfn.XLOOKUP(Table3[[#This Row],[Cuenta]],Estructura_Balance[Nombre Cuenta ()],Estructura_Balance[Niveles:2],"",0)</f>
        <v/>
      </c>
      <c r="W1509" t="str">
        <f>_xlfn.XLOOKUP(Table3[[#This Row],[Cuenta]],Estructura_Balance[Nombre Cuenta ()],Estructura_Balance[Niveles:3],"",0)</f>
        <v/>
      </c>
      <c r="X1509" t="str">
        <f>_xlfn.XLOOKUP(Table3[[#This Row],[Cuenta]],Estructura_Balance[Nombre Cuenta ()],Estructura_Balance[Grupos],"Grupo 1",0)</f>
        <v>Grupo 1</v>
      </c>
      <c r="Y1509" t="str">
        <f>+Table3[[#This Row],[BS_Nivel_1]]</f>
        <v/>
      </c>
    </row>
    <row r="1510" spans="1:25" ht="15" customHeight="1">
      <c r="A1510">
        <f>+'Libro Diario'!F930</f>
        <v>0</v>
      </c>
      <c r="B1510" s="144">
        <f>VALUE(IF(+'Libro Diario'!G930="","01/01/2025",+'Libro Diario'!G930))</f>
        <v>45658</v>
      </c>
      <c r="C1510">
        <f>IF(ISNUMBER(+IF(IFERROR(VALUE(MID('Libro Diario'!D930,1,4)),0)&lt;&gt;0,'Libro Diario'!D930,0))=FALSE,'Libro Diario'!D930,0)</f>
        <v>0</v>
      </c>
      <c r="D1510" s="145">
        <f>+'Libro Diario'!E930</f>
        <v>0</v>
      </c>
      <c r="E1510" s="139" t="s">
        <v>446</v>
      </c>
      <c r="F1510" t="str">
        <f t="shared" si="69"/>
        <v>Sin Mov.</v>
      </c>
      <c r="G1510" t="str">
        <f>IF(+'Libro Diario'!H930=0,"",+'Libro Diario'!H930)</f>
        <v/>
      </c>
      <c r="H1510" t="str">
        <f>IF(+'Libro Diario'!I930=0,"",+'Libro Diario'!I930)</f>
        <v/>
      </c>
      <c r="I1510" t="str">
        <f>+IF(Table3[[#This Row],[Tipo Movimiento]]="Estructura Balance y PyG","Excluir","Incluir")</f>
        <v>Incluir</v>
      </c>
      <c r="J1510" s="153">
        <f>+IF(Table3[[#This Row],[Sin cuenta]]="Con Mov.",(IF(Table3[[#This Row],[Movimiento]]="Debe",Table3[[#This Row],[Importe]],IF(Table3[[#This Row],[Movimiento]]="Haber",Table3[[#This Row],[Importe]]*-1,0))),0)</f>
        <v>0</v>
      </c>
      <c r="K1510" s="145" t="str">
        <f t="shared" si="70"/>
        <v/>
      </c>
      <c r="L1510" s="145">
        <f t="shared" si="71"/>
        <v>0</v>
      </c>
      <c r="M1510" t="str">
        <f>_xlfn.XLOOKUP(Table3[[#This Row],[Cuenta]],Estructura_Balance[Nombre Cuenta ()],Estructura_Balance[Grupo],"",0)</f>
        <v/>
      </c>
      <c r="N1510" t="str">
        <f>_xlfn.XLOOKUP(Table3[[#This Row],[Cuenta]],Estructura_Balance[Nombre Cuenta ()],Estructura_Balance[Nivel 1],"",0)</f>
        <v/>
      </c>
      <c r="O1510" t="str">
        <f>_xlfn.XLOOKUP(Table3[[#This Row],[Cuenta]],Estructura_Balance[Nombre Cuenta ()],Estructura_Balance[Nivel 2],"",0)</f>
        <v/>
      </c>
      <c r="P1510" t="str">
        <f>_xlfn.XLOOKUP(Table3[[#This Row],[Cuenta]],Estructura_Balance[Nombre Cuenta ()],Estructura_Balance[Nivel 3],"",0)</f>
        <v/>
      </c>
      <c r="Q1510" t="str">
        <f>_xlfn.XLOOKUP(Table3[[#This Row],[Cuenta]],Estructura_Balance[Nombre Cuenta ()],Estructura_Balance[Nivel 4],"",0)</f>
        <v/>
      </c>
      <c r="R1510" t="str">
        <f>_xlfn.XLOOKUP(Table3[[#This Row],[Cuenta]],Table8[Nombre Cuenta ()],Table8[Nivel 1],"",0)</f>
        <v/>
      </c>
      <c r="S1510" t="str">
        <f>_xlfn.XLOOKUP(Table3[[#This Row],[Cuenta]],Table8[Nombre Cuenta ()],Table8[Nivel 2],"",0)</f>
        <v/>
      </c>
      <c r="T1510" t="str">
        <f>_xlfn.XLOOKUP(Table3[[#This Row],[Cuenta]],Table8[Nombre Cuenta ()],Table8[Nivel 3],"",0)</f>
        <v/>
      </c>
      <c r="U1510">
        <v>1509</v>
      </c>
      <c r="V1510" t="str">
        <f>_xlfn.XLOOKUP(Table3[[#This Row],[Cuenta]],Estructura_Balance[Nombre Cuenta ()],Estructura_Balance[Niveles:2],"",0)</f>
        <v/>
      </c>
      <c r="W1510" t="str">
        <f>_xlfn.XLOOKUP(Table3[[#This Row],[Cuenta]],Estructura_Balance[Nombre Cuenta ()],Estructura_Balance[Niveles:3],"",0)</f>
        <v/>
      </c>
      <c r="X1510" t="str">
        <f>_xlfn.XLOOKUP(Table3[[#This Row],[Cuenta]],Estructura_Balance[Nombre Cuenta ()],Estructura_Balance[Grupos],"Grupo 1",0)</f>
        <v>Grupo 1</v>
      </c>
      <c r="Y1510" t="str">
        <f>+Table3[[#This Row],[BS_Nivel_1]]</f>
        <v/>
      </c>
    </row>
    <row r="1511" spans="1:25" ht="15" customHeight="1">
      <c r="A1511">
        <f>+'Libro Diario'!F931</f>
        <v>0</v>
      </c>
      <c r="B1511" s="144">
        <f>VALUE(IF(+'Libro Diario'!G931="","01/01/2025",+'Libro Diario'!G931))</f>
        <v>45658</v>
      </c>
      <c r="C1511">
        <f>IF(ISNUMBER(+IF(IFERROR(VALUE(MID('Libro Diario'!D931,1,4)),0)&lt;&gt;0,'Libro Diario'!D931,0))=FALSE,'Libro Diario'!D931,0)</f>
        <v>0</v>
      </c>
      <c r="D1511" s="145">
        <f>+'Libro Diario'!E931</f>
        <v>0</v>
      </c>
      <c r="E1511" s="139" t="s">
        <v>446</v>
      </c>
      <c r="F1511" t="str">
        <f t="shared" si="69"/>
        <v>Sin Mov.</v>
      </c>
      <c r="G1511" t="str">
        <f>IF(+'Libro Diario'!H931=0,"",+'Libro Diario'!H931)</f>
        <v/>
      </c>
      <c r="H1511" t="str">
        <f>IF(+'Libro Diario'!I931=0,"",+'Libro Diario'!I931)</f>
        <v/>
      </c>
      <c r="I1511" t="str">
        <f>+IF(Table3[[#This Row],[Tipo Movimiento]]="Estructura Balance y PyG","Excluir","Incluir")</f>
        <v>Incluir</v>
      </c>
      <c r="J1511" s="153">
        <f>+IF(Table3[[#This Row],[Sin cuenta]]="Con Mov.",(IF(Table3[[#This Row],[Movimiento]]="Debe",Table3[[#This Row],[Importe]],IF(Table3[[#This Row],[Movimiento]]="Haber",Table3[[#This Row],[Importe]]*-1,0))),0)</f>
        <v>0</v>
      </c>
      <c r="K1511" s="145" t="str">
        <f t="shared" si="70"/>
        <v/>
      </c>
      <c r="L1511" s="145">
        <f t="shared" si="71"/>
        <v>0</v>
      </c>
      <c r="M1511" t="str">
        <f>_xlfn.XLOOKUP(Table3[[#This Row],[Cuenta]],Estructura_Balance[Nombre Cuenta ()],Estructura_Balance[Grupo],"",0)</f>
        <v/>
      </c>
      <c r="N1511" t="str">
        <f>_xlfn.XLOOKUP(Table3[[#This Row],[Cuenta]],Estructura_Balance[Nombre Cuenta ()],Estructura_Balance[Nivel 1],"",0)</f>
        <v/>
      </c>
      <c r="O1511" t="str">
        <f>_xlfn.XLOOKUP(Table3[[#This Row],[Cuenta]],Estructura_Balance[Nombre Cuenta ()],Estructura_Balance[Nivel 2],"",0)</f>
        <v/>
      </c>
      <c r="P1511" t="str">
        <f>_xlfn.XLOOKUP(Table3[[#This Row],[Cuenta]],Estructura_Balance[Nombre Cuenta ()],Estructura_Balance[Nivel 3],"",0)</f>
        <v/>
      </c>
      <c r="Q1511" t="str">
        <f>_xlfn.XLOOKUP(Table3[[#This Row],[Cuenta]],Estructura_Balance[Nombre Cuenta ()],Estructura_Balance[Nivel 4],"",0)</f>
        <v/>
      </c>
      <c r="R1511" t="str">
        <f>_xlfn.XLOOKUP(Table3[[#This Row],[Cuenta]],Table8[Nombre Cuenta ()],Table8[Nivel 1],"",0)</f>
        <v/>
      </c>
      <c r="S1511" t="str">
        <f>_xlfn.XLOOKUP(Table3[[#This Row],[Cuenta]],Table8[Nombre Cuenta ()],Table8[Nivel 2],"",0)</f>
        <v/>
      </c>
      <c r="T1511" t="str">
        <f>_xlfn.XLOOKUP(Table3[[#This Row],[Cuenta]],Table8[Nombre Cuenta ()],Table8[Nivel 3],"",0)</f>
        <v/>
      </c>
      <c r="U1511">
        <v>1510</v>
      </c>
      <c r="V1511" t="str">
        <f>_xlfn.XLOOKUP(Table3[[#This Row],[Cuenta]],Estructura_Balance[Nombre Cuenta ()],Estructura_Balance[Niveles:2],"",0)</f>
        <v/>
      </c>
      <c r="W1511" t="str">
        <f>_xlfn.XLOOKUP(Table3[[#This Row],[Cuenta]],Estructura_Balance[Nombre Cuenta ()],Estructura_Balance[Niveles:3],"",0)</f>
        <v/>
      </c>
      <c r="X1511" t="str">
        <f>_xlfn.XLOOKUP(Table3[[#This Row],[Cuenta]],Estructura_Balance[Nombre Cuenta ()],Estructura_Balance[Grupos],"Grupo 1",0)</f>
        <v>Grupo 1</v>
      </c>
      <c r="Y1511" t="str">
        <f>+Table3[[#This Row],[BS_Nivel_1]]</f>
        <v/>
      </c>
    </row>
    <row r="1512" spans="1:25" ht="15" customHeight="1">
      <c r="A1512">
        <f>+'Libro Diario'!F932</f>
        <v>0</v>
      </c>
      <c r="B1512" s="144">
        <f>VALUE(IF(+'Libro Diario'!G932="","01/01/2025",+'Libro Diario'!G932))</f>
        <v>45658</v>
      </c>
      <c r="C1512">
        <f>IF(ISNUMBER(+IF(IFERROR(VALUE(MID('Libro Diario'!D932,1,4)),0)&lt;&gt;0,'Libro Diario'!D932,0))=FALSE,'Libro Diario'!D932,0)</f>
        <v>0</v>
      </c>
      <c r="D1512" s="145">
        <f>+'Libro Diario'!E932</f>
        <v>0</v>
      </c>
      <c r="E1512" s="139" t="s">
        <v>446</v>
      </c>
      <c r="F1512" t="str">
        <f t="shared" si="69"/>
        <v>Sin Mov.</v>
      </c>
      <c r="G1512" t="str">
        <f>IF(+'Libro Diario'!H932=0,"",+'Libro Diario'!H932)</f>
        <v/>
      </c>
      <c r="H1512" t="str">
        <f>IF(+'Libro Diario'!I932=0,"",+'Libro Diario'!I932)</f>
        <v/>
      </c>
      <c r="I1512" t="str">
        <f>+IF(Table3[[#This Row],[Tipo Movimiento]]="Estructura Balance y PyG","Excluir","Incluir")</f>
        <v>Incluir</v>
      </c>
      <c r="J1512" s="153">
        <f>+IF(Table3[[#This Row],[Sin cuenta]]="Con Mov.",(IF(Table3[[#This Row],[Movimiento]]="Debe",Table3[[#This Row],[Importe]],IF(Table3[[#This Row],[Movimiento]]="Haber",Table3[[#This Row],[Importe]]*-1,0))),0)</f>
        <v>0</v>
      </c>
      <c r="K1512" s="145" t="str">
        <f t="shared" si="70"/>
        <v/>
      </c>
      <c r="L1512" s="145">
        <f t="shared" si="71"/>
        <v>0</v>
      </c>
      <c r="M1512" t="str">
        <f>_xlfn.XLOOKUP(Table3[[#This Row],[Cuenta]],Estructura_Balance[Nombre Cuenta ()],Estructura_Balance[Grupo],"",0)</f>
        <v/>
      </c>
      <c r="N1512" t="str">
        <f>_xlfn.XLOOKUP(Table3[[#This Row],[Cuenta]],Estructura_Balance[Nombre Cuenta ()],Estructura_Balance[Nivel 1],"",0)</f>
        <v/>
      </c>
      <c r="O1512" t="str">
        <f>_xlfn.XLOOKUP(Table3[[#This Row],[Cuenta]],Estructura_Balance[Nombre Cuenta ()],Estructura_Balance[Nivel 2],"",0)</f>
        <v/>
      </c>
      <c r="P1512" t="str">
        <f>_xlfn.XLOOKUP(Table3[[#This Row],[Cuenta]],Estructura_Balance[Nombre Cuenta ()],Estructura_Balance[Nivel 3],"",0)</f>
        <v/>
      </c>
      <c r="Q1512" t="str">
        <f>_xlfn.XLOOKUP(Table3[[#This Row],[Cuenta]],Estructura_Balance[Nombre Cuenta ()],Estructura_Balance[Nivel 4],"",0)</f>
        <v/>
      </c>
      <c r="R1512" t="str">
        <f>_xlfn.XLOOKUP(Table3[[#This Row],[Cuenta]],Table8[Nombre Cuenta ()],Table8[Nivel 1],"",0)</f>
        <v/>
      </c>
      <c r="S1512" t="str">
        <f>_xlfn.XLOOKUP(Table3[[#This Row],[Cuenta]],Table8[Nombre Cuenta ()],Table8[Nivel 2],"",0)</f>
        <v/>
      </c>
      <c r="T1512" t="str">
        <f>_xlfn.XLOOKUP(Table3[[#This Row],[Cuenta]],Table8[Nombre Cuenta ()],Table8[Nivel 3],"",0)</f>
        <v/>
      </c>
      <c r="U1512">
        <v>1511</v>
      </c>
      <c r="V1512" t="str">
        <f>_xlfn.XLOOKUP(Table3[[#This Row],[Cuenta]],Estructura_Balance[Nombre Cuenta ()],Estructura_Balance[Niveles:2],"",0)</f>
        <v/>
      </c>
      <c r="W1512" t="str">
        <f>_xlfn.XLOOKUP(Table3[[#This Row],[Cuenta]],Estructura_Balance[Nombre Cuenta ()],Estructura_Balance[Niveles:3],"",0)</f>
        <v/>
      </c>
      <c r="X1512" t="str">
        <f>_xlfn.XLOOKUP(Table3[[#This Row],[Cuenta]],Estructura_Balance[Nombre Cuenta ()],Estructura_Balance[Grupos],"Grupo 1",0)</f>
        <v>Grupo 1</v>
      </c>
      <c r="Y1512" t="str">
        <f>+Table3[[#This Row],[BS_Nivel_1]]</f>
        <v/>
      </c>
    </row>
    <row r="1513" spans="1:25" ht="15" customHeight="1">
      <c r="A1513">
        <f>+'Libro Diario'!F933</f>
        <v>0</v>
      </c>
      <c r="B1513" s="144">
        <f>VALUE(IF(+'Libro Diario'!G933="","01/01/2025",+'Libro Diario'!G933))</f>
        <v>45658</v>
      </c>
      <c r="C1513">
        <f>IF(ISNUMBER(+IF(IFERROR(VALUE(MID('Libro Diario'!D933,1,4)),0)&lt;&gt;0,'Libro Diario'!D933,0))=FALSE,'Libro Diario'!D933,0)</f>
        <v>0</v>
      </c>
      <c r="D1513" s="145">
        <f>+'Libro Diario'!E933</f>
        <v>0</v>
      </c>
      <c r="E1513" s="139" t="s">
        <v>446</v>
      </c>
      <c r="F1513" t="str">
        <f t="shared" si="69"/>
        <v>Sin Mov.</v>
      </c>
      <c r="G1513" t="str">
        <f>IF(+'Libro Diario'!H933=0,"",+'Libro Diario'!H933)</f>
        <v/>
      </c>
      <c r="H1513" t="str">
        <f>IF(+'Libro Diario'!I933=0,"",+'Libro Diario'!I933)</f>
        <v/>
      </c>
      <c r="I1513" t="str">
        <f>+IF(Table3[[#This Row],[Tipo Movimiento]]="Estructura Balance y PyG","Excluir","Incluir")</f>
        <v>Incluir</v>
      </c>
      <c r="J1513" s="153">
        <f>+IF(Table3[[#This Row],[Sin cuenta]]="Con Mov.",(IF(Table3[[#This Row],[Movimiento]]="Debe",Table3[[#This Row],[Importe]],IF(Table3[[#This Row],[Movimiento]]="Haber",Table3[[#This Row],[Importe]]*-1,0))),0)</f>
        <v>0</v>
      </c>
      <c r="K1513" s="145" t="str">
        <f t="shared" si="70"/>
        <v/>
      </c>
      <c r="L1513" s="145">
        <f t="shared" si="71"/>
        <v>0</v>
      </c>
      <c r="M1513" t="str">
        <f>_xlfn.XLOOKUP(Table3[[#This Row],[Cuenta]],Estructura_Balance[Nombre Cuenta ()],Estructura_Balance[Grupo],"",0)</f>
        <v/>
      </c>
      <c r="N1513" t="str">
        <f>_xlfn.XLOOKUP(Table3[[#This Row],[Cuenta]],Estructura_Balance[Nombre Cuenta ()],Estructura_Balance[Nivel 1],"",0)</f>
        <v/>
      </c>
      <c r="O1513" t="str">
        <f>_xlfn.XLOOKUP(Table3[[#This Row],[Cuenta]],Estructura_Balance[Nombre Cuenta ()],Estructura_Balance[Nivel 2],"",0)</f>
        <v/>
      </c>
      <c r="P1513" t="str">
        <f>_xlfn.XLOOKUP(Table3[[#This Row],[Cuenta]],Estructura_Balance[Nombre Cuenta ()],Estructura_Balance[Nivel 3],"",0)</f>
        <v/>
      </c>
      <c r="Q1513" t="str">
        <f>_xlfn.XLOOKUP(Table3[[#This Row],[Cuenta]],Estructura_Balance[Nombre Cuenta ()],Estructura_Balance[Nivel 4],"",0)</f>
        <v/>
      </c>
      <c r="R1513" t="str">
        <f>_xlfn.XLOOKUP(Table3[[#This Row],[Cuenta]],Table8[Nombre Cuenta ()],Table8[Nivel 1],"",0)</f>
        <v/>
      </c>
      <c r="S1513" t="str">
        <f>_xlfn.XLOOKUP(Table3[[#This Row],[Cuenta]],Table8[Nombre Cuenta ()],Table8[Nivel 2],"",0)</f>
        <v/>
      </c>
      <c r="T1513" t="str">
        <f>_xlfn.XLOOKUP(Table3[[#This Row],[Cuenta]],Table8[Nombre Cuenta ()],Table8[Nivel 3],"",0)</f>
        <v/>
      </c>
      <c r="U1513">
        <v>1512</v>
      </c>
      <c r="V1513" t="str">
        <f>_xlfn.XLOOKUP(Table3[[#This Row],[Cuenta]],Estructura_Balance[Nombre Cuenta ()],Estructura_Balance[Niveles:2],"",0)</f>
        <v/>
      </c>
      <c r="W1513" t="str">
        <f>_xlfn.XLOOKUP(Table3[[#This Row],[Cuenta]],Estructura_Balance[Nombre Cuenta ()],Estructura_Balance[Niveles:3],"",0)</f>
        <v/>
      </c>
      <c r="X1513" t="str">
        <f>_xlfn.XLOOKUP(Table3[[#This Row],[Cuenta]],Estructura_Balance[Nombre Cuenta ()],Estructura_Balance[Grupos],"Grupo 1",0)</f>
        <v>Grupo 1</v>
      </c>
      <c r="Y1513" t="str">
        <f>+Table3[[#This Row],[BS_Nivel_1]]</f>
        <v/>
      </c>
    </row>
    <row r="1514" spans="1:25" ht="15" customHeight="1">
      <c r="A1514">
        <f>+'Libro Diario'!F934</f>
        <v>0</v>
      </c>
      <c r="B1514" s="144">
        <f>VALUE(IF(+'Libro Diario'!G934="","01/01/2025",+'Libro Diario'!G934))</f>
        <v>45658</v>
      </c>
      <c r="C1514">
        <f>IF(ISNUMBER(+IF(IFERROR(VALUE(MID('Libro Diario'!D934,1,4)),0)&lt;&gt;0,'Libro Diario'!D934,0))=FALSE,'Libro Diario'!D934,0)</f>
        <v>0</v>
      </c>
      <c r="D1514" s="145">
        <f>+'Libro Diario'!E934</f>
        <v>0</v>
      </c>
      <c r="E1514" s="139" t="s">
        <v>446</v>
      </c>
      <c r="F1514" t="str">
        <f t="shared" si="69"/>
        <v>Sin Mov.</v>
      </c>
      <c r="G1514" t="str">
        <f>IF(+'Libro Diario'!H934=0,"",+'Libro Diario'!H934)</f>
        <v/>
      </c>
      <c r="H1514" t="str">
        <f>IF(+'Libro Diario'!I934=0,"",+'Libro Diario'!I934)</f>
        <v/>
      </c>
      <c r="I1514" t="str">
        <f>+IF(Table3[[#This Row],[Tipo Movimiento]]="Estructura Balance y PyG","Excluir","Incluir")</f>
        <v>Incluir</v>
      </c>
      <c r="J1514" s="153">
        <f>+IF(Table3[[#This Row],[Sin cuenta]]="Con Mov.",(IF(Table3[[#This Row],[Movimiento]]="Debe",Table3[[#This Row],[Importe]],IF(Table3[[#This Row],[Movimiento]]="Haber",Table3[[#This Row],[Importe]]*-1,0))),0)</f>
        <v>0</v>
      </c>
      <c r="K1514" s="145" t="str">
        <f t="shared" si="70"/>
        <v/>
      </c>
      <c r="L1514" s="145">
        <f t="shared" si="71"/>
        <v>0</v>
      </c>
      <c r="M1514" t="str">
        <f>_xlfn.XLOOKUP(Table3[[#This Row],[Cuenta]],Estructura_Balance[Nombre Cuenta ()],Estructura_Balance[Grupo],"",0)</f>
        <v/>
      </c>
      <c r="N1514" t="str">
        <f>_xlfn.XLOOKUP(Table3[[#This Row],[Cuenta]],Estructura_Balance[Nombre Cuenta ()],Estructura_Balance[Nivel 1],"",0)</f>
        <v/>
      </c>
      <c r="O1514" t="str">
        <f>_xlfn.XLOOKUP(Table3[[#This Row],[Cuenta]],Estructura_Balance[Nombre Cuenta ()],Estructura_Balance[Nivel 2],"",0)</f>
        <v/>
      </c>
      <c r="P1514" t="str">
        <f>_xlfn.XLOOKUP(Table3[[#This Row],[Cuenta]],Estructura_Balance[Nombre Cuenta ()],Estructura_Balance[Nivel 3],"",0)</f>
        <v/>
      </c>
      <c r="Q1514" t="str">
        <f>_xlfn.XLOOKUP(Table3[[#This Row],[Cuenta]],Estructura_Balance[Nombre Cuenta ()],Estructura_Balance[Nivel 4],"",0)</f>
        <v/>
      </c>
      <c r="R1514" t="str">
        <f>_xlfn.XLOOKUP(Table3[[#This Row],[Cuenta]],Table8[Nombre Cuenta ()],Table8[Nivel 1],"",0)</f>
        <v/>
      </c>
      <c r="S1514" t="str">
        <f>_xlfn.XLOOKUP(Table3[[#This Row],[Cuenta]],Table8[Nombre Cuenta ()],Table8[Nivel 2],"",0)</f>
        <v/>
      </c>
      <c r="T1514" t="str">
        <f>_xlfn.XLOOKUP(Table3[[#This Row],[Cuenta]],Table8[Nombre Cuenta ()],Table8[Nivel 3],"",0)</f>
        <v/>
      </c>
      <c r="U1514">
        <v>1513</v>
      </c>
      <c r="V1514" t="str">
        <f>_xlfn.XLOOKUP(Table3[[#This Row],[Cuenta]],Estructura_Balance[Nombre Cuenta ()],Estructura_Balance[Niveles:2],"",0)</f>
        <v/>
      </c>
      <c r="W1514" t="str">
        <f>_xlfn.XLOOKUP(Table3[[#This Row],[Cuenta]],Estructura_Balance[Nombre Cuenta ()],Estructura_Balance[Niveles:3],"",0)</f>
        <v/>
      </c>
      <c r="X1514" t="str">
        <f>_xlfn.XLOOKUP(Table3[[#This Row],[Cuenta]],Estructura_Balance[Nombre Cuenta ()],Estructura_Balance[Grupos],"Grupo 1",0)</f>
        <v>Grupo 1</v>
      </c>
      <c r="Y1514" t="str">
        <f>+Table3[[#This Row],[BS_Nivel_1]]</f>
        <v/>
      </c>
    </row>
    <row r="1515" spans="1:25" ht="15" customHeight="1">
      <c r="A1515">
        <f>+'Libro Diario'!F935</f>
        <v>0</v>
      </c>
      <c r="B1515" s="144">
        <f>VALUE(IF(+'Libro Diario'!G935="","01/01/2025",+'Libro Diario'!G935))</f>
        <v>45658</v>
      </c>
      <c r="C1515">
        <f>IF(ISNUMBER(+IF(IFERROR(VALUE(MID('Libro Diario'!D935,1,4)),0)&lt;&gt;0,'Libro Diario'!D935,0))=FALSE,'Libro Diario'!D935,0)</f>
        <v>0</v>
      </c>
      <c r="D1515" s="145">
        <f>+'Libro Diario'!E935</f>
        <v>0</v>
      </c>
      <c r="E1515" s="139" t="s">
        <v>446</v>
      </c>
      <c r="F1515" t="str">
        <f t="shared" si="69"/>
        <v>Sin Mov.</v>
      </c>
      <c r="G1515" t="str">
        <f>IF(+'Libro Diario'!H935=0,"",+'Libro Diario'!H935)</f>
        <v/>
      </c>
      <c r="H1515" t="str">
        <f>IF(+'Libro Diario'!I935=0,"",+'Libro Diario'!I935)</f>
        <v/>
      </c>
      <c r="I1515" t="str">
        <f>+IF(Table3[[#This Row],[Tipo Movimiento]]="Estructura Balance y PyG","Excluir","Incluir")</f>
        <v>Incluir</v>
      </c>
      <c r="J1515" s="153">
        <f>+IF(Table3[[#This Row],[Sin cuenta]]="Con Mov.",(IF(Table3[[#This Row],[Movimiento]]="Debe",Table3[[#This Row],[Importe]],IF(Table3[[#This Row],[Movimiento]]="Haber",Table3[[#This Row],[Importe]]*-1,0))),0)</f>
        <v>0</v>
      </c>
      <c r="K1515" s="145" t="str">
        <f t="shared" si="70"/>
        <v/>
      </c>
      <c r="L1515" s="145">
        <f t="shared" si="71"/>
        <v>0</v>
      </c>
      <c r="M1515" t="str">
        <f>_xlfn.XLOOKUP(Table3[[#This Row],[Cuenta]],Estructura_Balance[Nombre Cuenta ()],Estructura_Balance[Grupo],"",0)</f>
        <v/>
      </c>
      <c r="N1515" t="str">
        <f>_xlfn.XLOOKUP(Table3[[#This Row],[Cuenta]],Estructura_Balance[Nombre Cuenta ()],Estructura_Balance[Nivel 1],"",0)</f>
        <v/>
      </c>
      <c r="O1515" t="str">
        <f>_xlfn.XLOOKUP(Table3[[#This Row],[Cuenta]],Estructura_Balance[Nombre Cuenta ()],Estructura_Balance[Nivel 2],"",0)</f>
        <v/>
      </c>
      <c r="P1515" t="str">
        <f>_xlfn.XLOOKUP(Table3[[#This Row],[Cuenta]],Estructura_Balance[Nombre Cuenta ()],Estructura_Balance[Nivel 3],"",0)</f>
        <v/>
      </c>
      <c r="Q1515" t="str">
        <f>_xlfn.XLOOKUP(Table3[[#This Row],[Cuenta]],Estructura_Balance[Nombre Cuenta ()],Estructura_Balance[Nivel 4],"",0)</f>
        <v/>
      </c>
      <c r="R1515" t="str">
        <f>_xlfn.XLOOKUP(Table3[[#This Row],[Cuenta]],Table8[Nombre Cuenta ()],Table8[Nivel 1],"",0)</f>
        <v/>
      </c>
      <c r="S1515" t="str">
        <f>_xlfn.XLOOKUP(Table3[[#This Row],[Cuenta]],Table8[Nombre Cuenta ()],Table8[Nivel 2],"",0)</f>
        <v/>
      </c>
      <c r="T1515" t="str">
        <f>_xlfn.XLOOKUP(Table3[[#This Row],[Cuenta]],Table8[Nombre Cuenta ()],Table8[Nivel 3],"",0)</f>
        <v/>
      </c>
      <c r="U1515">
        <v>521</v>
      </c>
      <c r="V1515" t="str">
        <f>_xlfn.XLOOKUP(Table3[[#This Row],[Cuenta]],Estructura_Balance[Nombre Cuenta ()],Estructura_Balance[Niveles:2],"",0)</f>
        <v/>
      </c>
      <c r="W1515" t="str">
        <f>_xlfn.XLOOKUP(Table3[[#This Row],[Cuenta]],Estructura_Balance[Nombre Cuenta ()],Estructura_Balance[Niveles:3],"",0)</f>
        <v/>
      </c>
      <c r="X1515" t="str">
        <f>_xlfn.XLOOKUP(Table3[[#This Row],[Cuenta]],Estructura_Balance[Nombre Cuenta ()],Estructura_Balance[Grupos],"Grupo 1",0)</f>
        <v>Grupo 1</v>
      </c>
      <c r="Y1515" t="str">
        <f>+Table3[[#This Row],[BS_Nivel_1]]</f>
        <v/>
      </c>
    </row>
    <row r="1516" spans="1:25" ht="15" customHeight="1">
      <c r="A1516">
        <f>+'Libro Diario'!F936</f>
        <v>0</v>
      </c>
      <c r="B1516" s="144">
        <f>VALUE(IF(+'Libro Diario'!G936="","01/01/2025",+'Libro Diario'!G936))</f>
        <v>45658</v>
      </c>
      <c r="C1516">
        <f>IF(ISNUMBER(+IF(IFERROR(VALUE(MID('Libro Diario'!D936,1,4)),0)&lt;&gt;0,'Libro Diario'!D936,0))=FALSE,'Libro Diario'!D936,0)</f>
        <v>0</v>
      </c>
      <c r="D1516" s="145">
        <f>+'Libro Diario'!E936</f>
        <v>0</v>
      </c>
      <c r="E1516" s="139" t="s">
        <v>446</v>
      </c>
      <c r="F1516" t="str">
        <f t="shared" si="69"/>
        <v>Sin Mov.</v>
      </c>
      <c r="G1516" t="str">
        <f>IF(+'Libro Diario'!H936=0,"",+'Libro Diario'!H936)</f>
        <v/>
      </c>
      <c r="H1516" t="str">
        <f>IF(+'Libro Diario'!I936=0,"",+'Libro Diario'!I936)</f>
        <v/>
      </c>
      <c r="I1516" t="str">
        <f>+IF(Table3[[#This Row],[Tipo Movimiento]]="Estructura Balance y PyG","Excluir","Incluir")</f>
        <v>Incluir</v>
      </c>
      <c r="J1516" s="153">
        <f>+IF(Table3[[#This Row],[Sin cuenta]]="Con Mov.",(IF(Table3[[#This Row],[Movimiento]]="Debe",Table3[[#This Row],[Importe]],IF(Table3[[#This Row],[Movimiento]]="Haber",Table3[[#This Row],[Importe]]*-1,0))),0)</f>
        <v>0</v>
      </c>
      <c r="K1516" s="145" t="str">
        <f t="shared" si="70"/>
        <v/>
      </c>
      <c r="L1516" s="145">
        <f t="shared" si="71"/>
        <v>0</v>
      </c>
      <c r="M1516" t="str">
        <f>_xlfn.XLOOKUP(Table3[[#This Row],[Cuenta]],Estructura_Balance[Nombre Cuenta ()],Estructura_Balance[Grupo],"",0)</f>
        <v/>
      </c>
      <c r="N1516" t="str">
        <f>_xlfn.XLOOKUP(Table3[[#This Row],[Cuenta]],Estructura_Balance[Nombre Cuenta ()],Estructura_Balance[Nivel 1],"",0)</f>
        <v/>
      </c>
      <c r="O1516" t="str">
        <f>_xlfn.XLOOKUP(Table3[[#This Row],[Cuenta]],Estructura_Balance[Nombre Cuenta ()],Estructura_Balance[Nivel 2],"",0)</f>
        <v/>
      </c>
      <c r="P1516" t="str">
        <f>_xlfn.XLOOKUP(Table3[[#This Row],[Cuenta]],Estructura_Balance[Nombre Cuenta ()],Estructura_Balance[Nivel 3],"",0)</f>
        <v/>
      </c>
      <c r="Q1516" t="str">
        <f>_xlfn.XLOOKUP(Table3[[#This Row],[Cuenta]],Estructura_Balance[Nombre Cuenta ()],Estructura_Balance[Nivel 4],"",0)</f>
        <v/>
      </c>
      <c r="R1516" t="str">
        <f>_xlfn.XLOOKUP(Table3[[#This Row],[Cuenta]],Table8[Nombre Cuenta ()],Table8[Nivel 1],"",0)</f>
        <v/>
      </c>
      <c r="S1516" t="str">
        <f>_xlfn.XLOOKUP(Table3[[#This Row],[Cuenta]],Table8[Nombre Cuenta ()],Table8[Nivel 2],"",0)</f>
        <v/>
      </c>
      <c r="T1516" t="str">
        <f>_xlfn.XLOOKUP(Table3[[#This Row],[Cuenta]],Table8[Nombre Cuenta ()],Table8[Nivel 3],"",0)</f>
        <v/>
      </c>
      <c r="U1516">
        <v>522</v>
      </c>
      <c r="V1516" t="str">
        <f>_xlfn.XLOOKUP(Table3[[#This Row],[Cuenta]],Estructura_Balance[Nombre Cuenta ()],Estructura_Balance[Niveles:2],"",0)</f>
        <v/>
      </c>
      <c r="W1516" t="str">
        <f>_xlfn.XLOOKUP(Table3[[#This Row],[Cuenta]],Estructura_Balance[Nombre Cuenta ()],Estructura_Balance[Niveles:3],"",0)</f>
        <v/>
      </c>
      <c r="X1516" t="str">
        <f>_xlfn.XLOOKUP(Table3[[#This Row],[Cuenta]],Estructura_Balance[Nombre Cuenta ()],Estructura_Balance[Grupos],"Grupo 1",0)</f>
        <v>Grupo 1</v>
      </c>
      <c r="Y1516" t="str">
        <f>+Table3[[#This Row],[BS_Nivel_1]]</f>
        <v/>
      </c>
    </row>
    <row r="1517" spans="1:25" ht="15" customHeight="1">
      <c r="A1517">
        <f>+'Libro Diario'!F937</f>
        <v>0</v>
      </c>
      <c r="B1517" s="144">
        <f>VALUE(IF(+'Libro Diario'!G937="","01/01/2025",+'Libro Diario'!G937))</f>
        <v>45658</v>
      </c>
      <c r="C1517">
        <f>IF(ISNUMBER(+IF(IFERROR(VALUE(MID('Libro Diario'!D937,1,4)),0)&lt;&gt;0,'Libro Diario'!D937,0))=FALSE,'Libro Diario'!D937,0)</f>
        <v>0</v>
      </c>
      <c r="D1517" s="145">
        <f>+'Libro Diario'!E937</f>
        <v>0</v>
      </c>
      <c r="E1517" s="139" t="s">
        <v>446</v>
      </c>
      <c r="F1517" t="str">
        <f t="shared" si="69"/>
        <v>Sin Mov.</v>
      </c>
      <c r="G1517" t="str">
        <f>IF(+'Libro Diario'!H937=0,"",+'Libro Diario'!H937)</f>
        <v/>
      </c>
      <c r="H1517" t="str">
        <f>IF(+'Libro Diario'!I937=0,"",+'Libro Diario'!I937)</f>
        <v/>
      </c>
      <c r="I1517" t="str">
        <f>+IF(Table3[[#This Row],[Tipo Movimiento]]="Estructura Balance y PyG","Excluir","Incluir")</f>
        <v>Incluir</v>
      </c>
      <c r="J1517" s="153">
        <f>+IF(Table3[[#This Row],[Sin cuenta]]="Con Mov.",(IF(Table3[[#This Row],[Movimiento]]="Debe",Table3[[#This Row],[Importe]],IF(Table3[[#This Row],[Movimiento]]="Haber",Table3[[#This Row],[Importe]]*-1,0))),0)</f>
        <v>0</v>
      </c>
      <c r="K1517" s="145" t="str">
        <f t="shared" si="70"/>
        <v/>
      </c>
      <c r="L1517" s="145">
        <f t="shared" si="71"/>
        <v>0</v>
      </c>
      <c r="M1517" t="str">
        <f>_xlfn.XLOOKUP(Table3[[#This Row],[Cuenta]],Estructura_Balance[Nombre Cuenta ()],Estructura_Balance[Grupo],"",0)</f>
        <v/>
      </c>
      <c r="N1517" t="str">
        <f>_xlfn.XLOOKUP(Table3[[#This Row],[Cuenta]],Estructura_Balance[Nombre Cuenta ()],Estructura_Balance[Nivel 1],"",0)</f>
        <v/>
      </c>
      <c r="O1517" t="str">
        <f>_xlfn.XLOOKUP(Table3[[#This Row],[Cuenta]],Estructura_Balance[Nombre Cuenta ()],Estructura_Balance[Nivel 2],"",0)</f>
        <v/>
      </c>
      <c r="P1517" t="str">
        <f>_xlfn.XLOOKUP(Table3[[#This Row],[Cuenta]],Estructura_Balance[Nombre Cuenta ()],Estructura_Balance[Nivel 3],"",0)</f>
        <v/>
      </c>
      <c r="Q1517" t="str">
        <f>_xlfn.XLOOKUP(Table3[[#This Row],[Cuenta]],Estructura_Balance[Nombre Cuenta ()],Estructura_Balance[Nivel 4],"",0)</f>
        <v/>
      </c>
      <c r="R1517" t="str">
        <f>_xlfn.XLOOKUP(Table3[[#This Row],[Cuenta]],Table8[Nombre Cuenta ()],Table8[Nivel 1],"",0)</f>
        <v/>
      </c>
      <c r="S1517" t="str">
        <f>_xlfn.XLOOKUP(Table3[[#This Row],[Cuenta]],Table8[Nombre Cuenta ()],Table8[Nivel 2],"",0)</f>
        <v/>
      </c>
      <c r="T1517" t="str">
        <f>_xlfn.XLOOKUP(Table3[[#This Row],[Cuenta]],Table8[Nombre Cuenta ()],Table8[Nivel 3],"",0)</f>
        <v/>
      </c>
      <c r="U1517">
        <v>523</v>
      </c>
      <c r="V1517" t="str">
        <f>_xlfn.XLOOKUP(Table3[[#This Row],[Cuenta]],Estructura_Balance[Nombre Cuenta ()],Estructura_Balance[Niveles:2],"",0)</f>
        <v/>
      </c>
      <c r="W1517" t="str">
        <f>_xlfn.XLOOKUP(Table3[[#This Row],[Cuenta]],Estructura_Balance[Nombre Cuenta ()],Estructura_Balance[Niveles:3],"",0)</f>
        <v/>
      </c>
      <c r="X1517" t="str">
        <f>_xlfn.XLOOKUP(Table3[[#This Row],[Cuenta]],Estructura_Balance[Nombre Cuenta ()],Estructura_Balance[Grupos],"Grupo 1",0)</f>
        <v>Grupo 1</v>
      </c>
      <c r="Y1517" t="str">
        <f>+Table3[[#This Row],[BS_Nivel_1]]</f>
        <v/>
      </c>
    </row>
    <row r="1518" spans="1:25" ht="15" customHeight="1">
      <c r="A1518">
        <f>+'Libro Diario'!F938</f>
        <v>0</v>
      </c>
      <c r="B1518" s="144">
        <f>VALUE(IF(+'Libro Diario'!G938="","01/01/2025",+'Libro Diario'!G938))</f>
        <v>45658</v>
      </c>
      <c r="C1518">
        <f>IF(ISNUMBER(+IF(IFERROR(VALUE(MID('Libro Diario'!D938,1,4)),0)&lt;&gt;0,'Libro Diario'!D938,0))=FALSE,'Libro Diario'!D938,0)</f>
        <v>0</v>
      </c>
      <c r="D1518" s="145">
        <f>+'Libro Diario'!E938</f>
        <v>0</v>
      </c>
      <c r="E1518" s="139" t="s">
        <v>446</v>
      </c>
      <c r="F1518" t="str">
        <f t="shared" si="69"/>
        <v>Sin Mov.</v>
      </c>
      <c r="G1518" t="str">
        <f>IF(+'Libro Diario'!H938=0,"",+'Libro Diario'!H938)</f>
        <v/>
      </c>
      <c r="H1518" t="str">
        <f>IF(+'Libro Diario'!I938=0,"",+'Libro Diario'!I938)</f>
        <v/>
      </c>
      <c r="I1518" t="str">
        <f>+IF(Table3[[#This Row],[Tipo Movimiento]]="Estructura Balance y PyG","Excluir","Incluir")</f>
        <v>Incluir</v>
      </c>
      <c r="J1518" s="153">
        <f>+IF(Table3[[#This Row],[Sin cuenta]]="Con Mov.",(IF(Table3[[#This Row],[Movimiento]]="Debe",Table3[[#This Row],[Importe]],IF(Table3[[#This Row],[Movimiento]]="Haber",Table3[[#This Row],[Importe]]*-1,0))),0)</f>
        <v>0</v>
      </c>
      <c r="K1518" s="145" t="str">
        <f t="shared" si="70"/>
        <v/>
      </c>
      <c r="L1518" s="145">
        <f t="shared" si="71"/>
        <v>0</v>
      </c>
      <c r="M1518" t="str">
        <f>_xlfn.XLOOKUP(Table3[[#This Row],[Cuenta]],Estructura_Balance[Nombre Cuenta ()],Estructura_Balance[Grupo],"",0)</f>
        <v/>
      </c>
      <c r="N1518" t="str">
        <f>_xlfn.XLOOKUP(Table3[[#This Row],[Cuenta]],Estructura_Balance[Nombre Cuenta ()],Estructura_Balance[Nivel 1],"",0)</f>
        <v/>
      </c>
      <c r="O1518" t="str">
        <f>_xlfn.XLOOKUP(Table3[[#This Row],[Cuenta]],Estructura_Balance[Nombre Cuenta ()],Estructura_Balance[Nivel 2],"",0)</f>
        <v/>
      </c>
      <c r="P1518" t="str">
        <f>_xlfn.XLOOKUP(Table3[[#This Row],[Cuenta]],Estructura_Balance[Nombre Cuenta ()],Estructura_Balance[Nivel 3],"",0)</f>
        <v/>
      </c>
      <c r="Q1518" t="str">
        <f>_xlfn.XLOOKUP(Table3[[#This Row],[Cuenta]],Estructura_Balance[Nombre Cuenta ()],Estructura_Balance[Nivel 4],"",0)</f>
        <v/>
      </c>
      <c r="R1518" t="str">
        <f>_xlfn.XLOOKUP(Table3[[#This Row],[Cuenta]],Table8[Nombre Cuenta ()],Table8[Nivel 1],"",0)</f>
        <v/>
      </c>
      <c r="S1518" t="str">
        <f>_xlfn.XLOOKUP(Table3[[#This Row],[Cuenta]],Table8[Nombre Cuenta ()],Table8[Nivel 2],"",0)</f>
        <v/>
      </c>
      <c r="T1518" t="str">
        <f>_xlfn.XLOOKUP(Table3[[#This Row],[Cuenta]],Table8[Nombre Cuenta ()],Table8[Nivel 3],"",0)</f>
        <v/>
      </c>
      <c r="U1518">
        <v>524</v>
      </c>
      <c r="V1518" t="str">
        <f>_xlfn.XLOOKUP(Table3[[#This Row],[Cuenta]],Estructura_Balance[Nombre Cuenta ()],Estructura_Balance[Niveles:2],"",0)</f>
        <v/>
      </c>
      <c r="W1518" t="str">
        <f>_xlfn.XLOOKUP(Table3[[#This Row],[Cuenta]],Estructura_Balance[Nombre Cuenta ()],Estructura_Balance[Niveles:3],"",0)</f>
        <v/>
      </c>
      <c r="X1518" t="str">
        <f>_xlfn.XLOOKUP(Table3[[#This Row],[Cuenta]],Estructura_Balance[Nombre Cuenta ()],Estructura_Balance[Grupos],"Grupo 1",0)</f>
        <v>Grupo 1</v>
      </c>
      <c r="Y1518" t="str">
        <f>+Table3[[#This Row],[BS_Nivel_1]]</f>
        <v/>
      </c>
    </row>
    <row r="1519" spans="1:25" ht="15" customHeight="1">
      <c r="A1519">
        <f>+'Libro Diario'!F939</f>
        <v>0</v>
      </c>
      <c r="B1519" s="144">
        <f>VALUE(IF(+'Libro Diario'!G939="","01/01/2025",+'Libro Diario'!G939))</f>
        <v>45658</v>
      </c>
      <c r="C1519">
        <f>IF(ISNUMBER(+IF(IFERROR(VALUE(MID('Libro Diario'!D939,1,4)),0)&lt;&gt;0,'Libro Diario'!D939,0))=FALSE,'Libro Diario'!D939,0)</f>
        <v>0</v>
      </c>
      <c r="D1519" s="145">
        <f>+'Libro Diario'!E939</f>
        <v>0</v>
      </c>
      <c r="E1519" s="139" t="s">
        <v>446</v>
      </c>
      <c r="F1519" t="str">
        <f t="shared" si="69"/>
        <v>Sin Mov.</v>
      </c>
      <c r="G1519" t="str">
        <f>IF(+'Libro Diario'!H939=0,"",+'Libro Diario'!H939)</f>
        <v/>
      </c>
      <c r="H1519" t="str">
        <f>IF(+'Libro Diario'!I939=0,"",+'Libro Diario'!I939)</f>
        <v/>
      </c>
      <c r="I1519" t="str">
        <f>+IF(Table3[[#This Row],[Tipo Movimiento]]="Estructura Balance y PyG","Excluir","Incluir")</f>
        <v>Incluir</v>
      </c>
      <c r="J1519" s="153">
        <f>+IF(Table3[[#This Row],[Sin cuenta]]="Con Mov.",(IF(Table3[[#This Row],[Movimiento]]="Debe",Table3[[#This Row],[Importe]],IF(Table3[[#This Row],[Movimiento]]="Haber",Table3[[#This Row],[Importe]]*-1,0))),0)</f>
        <v>0</v>
      </c>
      <c r="K1519" s="145" t="str">
        <f t="shared" si="70"/>
        <v/>
      </c>
      <c r="L1519" s="145">
        <f t="shared" si="71"/>
        <v>0</v>
      </c>
      <c r="M1519" t="str">
        <f>_xlfn.XLOOKUP(Table3[[#This Row],[Cuenta]],Estructura_Balance[Nombre Cuenta ()],Estructura_Balance[Grupo],"",0)</f>
        <v/>
      </c>
      <c r="N1519" t="str">
        <f>_xlfn.XLOOKUP(Table3[[#This Row],[Cuenta]],Estructura_Balance[Nombre Cuenta ()],Estructura_Balance[Nivel 1],"",0)</f>
        <v/>
      </c>
      <c r="O1519" t="str">
        <f>_xlfn.XLOOKUP(Table3[[#This Row],[Cuenta]],Estructura_Balance[Nombre Cuenta ()],Estructura_Balance[Nivel 2],"",0)</f>
        <v/>
      </c>
      <c r="P1519" t="str">
        <f>_xlfn.XLOOKUP(Table3[[#This Row],[Cuenta]],Estructura_Balance[Nombre Cuenta ()],Estructura_Balance[Nivel 3],"",0)</f>
        <v/>
      </c>
      <c r="Q1519" t="str">
        <f>_xlfn.XLOOKUP(Table3[[#This Row],[Cuenta]],Estructura_Balance[Nombre Cuenta ()],Estructura_Balance[Nivel 4],"",0)</f>
        <v/>
      </c>
      <c r="R1519" t="str">
        <f>_xlfn.XLOOKUP(Table3[[#This Row],[Cuenta]],Table8[Nombre Cuenta ()],Table8[Nivel 1],"",0)</f>
        <v/>
      </c>
      <c r="S1519" t="str">
        <f>_xlfn.XLOOKUP(Table3[[#This Row],[Cuenta]],Table8[Nombre Cuenta ()],Table8[Nivel 2],"",0)</f>
        <v/>
      </c>
      <c r="T1519" t="str">
        <f>_xlfn.XLOOKUP(Table3[[#This Row],[Cuenta]],Table8[Nombre Cuenta ()],Table8[Nivel 3],"",0)</f>
        <v/>
      </c>
      <c r="U1519">
        <v>525</v>
      </c>
      <c r="V1519" t="str">
        <f>_xlfn.XLOOKUP(Table3[[#This Row],[Cuenta]],Estructura_Balance[Nombre Cuenta ()],Estructura_Balance[Niveles:2],"",0)</f>
        <v/>
      </c>
      <c r="W1519" t="str">
        <f>_xlfn.XLOOKUP(Table3[[#This Row],[Cuenta]],Estructura_Balance[Nombre Cuenta ()],Estructura_Balance[Niveles:3],"",0)</f>
        <v/>
      </c>
      <c r="X1519" t="str">
        <f>_xlfn.XLOOKUP(Table3[[#This Row],[Cuenta]],Estructura_Balance[Nombre Cuenta ()],Estructura_Balance[Grupos],"Grupo 1",0)</f>
        <v>Grupo 1</v>
      </c>
      <c r="Y1519" t="str">
        <f>+Table3[[#This Row],[BS_Nivel_1]]</f>
        <v/>
      </c>
    </row>
    <row r="1520" spans="1:25" ht="15" customHeight="1">
      <c r="A1520">
        <f>+'Libro Diario'!F940</f>
        <v>0</v>
      </c>
      <c r="B1520" s="144">
        <f>VALUE(IF(+'Libro Diario'!G940="","01/01/2025",+'Libro Diario'!G940))</f>
        <v>45658</v>
      </c>
      <c r="C1520">
        <f>IF(ISNUMBER(+IF(IFERROR(VALUE(MID('Libro Diario'!D940,1,4)),0)&lt;&gt;0,'Libro Diario'!D940,0))=FALSE,'Libro Diario'!D940,0)</f>
        <v>0</v>
      </c>
      <c r="D1520" s="145">
        <f>+'Libro Diario'!E940</f>
        <v>0</v>
      </c>
      <c r="E1520" s="139" t="s">
        <v>446</v>
      </c>
      <c r="F1520" t="str">
        <f t="shared" si="69"/>
        <v>Sin Mov.</v>
      </c>
      <c r="G1520" t="str">
        <f>IF(+'Libro Diario'!H940=0,"",+'Libro Diario'!H940)</f>
        <v/>
      </c>
      <c r="H1520" t="str">
        <f>IF(+'Libro Diario'!I940=0,"",+'Libro Diario'!I940)</f>
        <v/>
      </c>
      <c r="I1520" t="str">
        <f>+IF(Table3[[#This Row],[Tipo Movimiento]]="Estructura Balance y PyG","Excluir","Incluir")</f>
        <v>Incluir</v>
      </c>
      <c r="J1520" s="153">
        <f>+IF(Table3[[#This Row],[Sin cuenta]]="Con Mov.",(IF(Table3[[#This Row],[Movimiento]]="Debe",Table3[[#This Row],[Importe]],IF(Table3[[#This Row],[Movimiento]]="Haber",Table3[[#This Row],[Importe]]*-1,0))),0)</f>
        <v>0</v>
      </c>
      <c r="K1520" s="145" t="str">
        <f t="shared" si="70"/>
        <v/>
      </c>
      <c r="L1520" s="145">
        <f t="shared" si="71"/>
        <v>0</v>
      </c>
      <c r="M1520" t="str">
        <f>_xlfn.XLOOKUP(Table3[[#This Row],[Cuenta]],Estructura_Balance[Nombre Cuenta ()],Estructura_Balance[Grupo],"",0)</f>
        <v/>
      </c>
      <c r="N1520" t="str">
        <f>_xlfn.XLOOKUP(Table3[[#This Row],[Cuenta]],Estructura_Balance[Nombre Cuenta ()],Estructura_Balance[Nivel 1],"",0)</f>
        <v/>
      </c>
      <c r="O1520" t="str">
        <f>_xlfn.XLOOKUP(Table3[[#This Row],[Cuenta]],Estructura_Balance[Nombre Cuenta ()],Estructura_Balance[Nivel 2],"",0)</f>
        <v/>
      </c>
      <c r="P1520" t="str">
        <f>_xlfn.XLOOKUP(Table3[[#This Row],[Cuenta]],Estructura_Balance[Nombre Cuenta ()],Estructura_Balance[Nivel 3],"",0)</f>
        <v/>
      </c>
      <c r="Q1520" t="str">
        <f>_xlfn.XLOOKUP(Table3[[#This Row],[Cuenta]],Estructura_Balance[Nombre Cuenta ()],Estructura_Balance[Nivel 4],"",0)</f>
        <v/>
      </c>
      <c r="R1520" t="str">
        <f>_xlfn.XLOOKUP(Table3[[#This Row],[Cuenta]],Table8[Nombre Cuenta ()],Table8[Nivel 1],"",0)</f>
        <v/>
      </c>
      <c r="S1520" t="str">
        <f>_xlfn.XLOOKUP(Table3[[#This Row],[Cuenta]],Table8[Nombre Cuenta ()],Table8[Nivel 2],"",0)</f>
        <v/>
      </c>
      <c r="T1520" t="str">
        <f>_xlfn.XLOOKUP(Table3[[#This Row],[Cuenta]],Table8[Nombre Cuenta ()],Table8[Nivel 3],"",0)</f>
        <v/>
      </c>
      <c r="U1520">
        <v>526</v>
      </c>
      <c r="V1520" t="str">
        <f>_xlfn.XLOOKUP(Table3[[#This Row],[Cuenta]],Estructura_Balance[Nombre Cuenta ()],Estructura_Balance[Niveles:2],"",0)</f>
        <v/>
      </c>
      <c r="W1520" t="str">
        <f>_xlfn.XLOOKUP(Table3[[#This Row],[Cuenta]],Estructura_Balance[Nombre Cuenta ()],Estructura_Balance[Niveles:3],"",0)</f>
        <v/>
      </c>
      <c r="X1520" t="str">
        <f>_xlfn.XLOOKUP(Table3[[#This Row],[Cuenta]],Estructura_Balance[Nombre Cuenta ()],Estructura_Balance[Grupos],"Grupo 1",0)</f>
        <v>Grupo 1</v>
      </c>
      <c r="Y1520" t="str">
        <f>+Table3[[#This Row],[BS_Nivel_1]]</f>
        <v/>
      </c>
    </row>
    <row r="1521" spans="1:25" ht="15" customHeight="1">
      <c r="A1521">
        <f>+'Libro Diario'!F941</f>
        <v>0</v>
      </c>
      <c r="B1521" s="144">
        <f>VALUE(IF(+'Libro Diario'!G941="","01/01/2025",+'Libro Diario'!G941))</f>
        <v>45658</v>
      </c>
      <c r="C1521">
        <f>IF(ISNUMBER(+IF(IFERROR(VALUE(MID('Libro Diario'!D941,1,4)),0)&lt;&gt;0,'Libro Diario'!D941,0))=FALSE,'Libro Diario'!D941,0)</f>
        <v>0</v>
      </c>
      <c r="D1521" s="145">
        <f>+'Libro Diario'!E941</f>
        <v>0</v>
      </c>
      <c r="E1521" s="139" t="s">
        <v>446</v>
      </c>
      <c r="F1521" t="str">
        <f t="shared" si="69"/>
        <v>Sin Mov.</v>
      </c>
      <c r="G1521" t="str">
        <f>IF(+'Libro Diario'!H941=0,"",+'Libro Diario'!H941)</f>
        <v/>
      </c>
      <c r="H1521" t="str">
        <f>IF(+'Libro Diario'!I941=0,"",+'Libro Diario'!I941)</f>
        <v/>
      </c>
      <c r="I1521" t="str">
        <f>+IF(Table3[[#This Row],[Tipo Movimiento]]="Estructura Balance y PyG","Excluir","Incluir")</f>
        <v>Incluir</v>
      </c>
      <c r="J1521" s="153">
        <f>+IF(Table3[[#This Row],[Sin cuenta]]="Con Mov.",(IF(Table3[[#This Row],[Movimiento]]="Debe",Table3[[#This Row],[Importe]],IF(Table3[[#This Row],[Movimiento]]="Haber",Table3[[#This Row],[Importe]]*-1,0))),0)</f>
        <v>0</v>
      </c>
      <c r="K1521" s="145" t="str">
        <f t="shared" si="70"/>
        <v/>
      </c>
      <c r="L1521" s="145">
        <f t="shared" si="71"/>
        <v>0</v>
      </c>
      <c r="M1521" t="str">
        <f>_xlfn.XLOOKUP(Table3[[#This Row],[Cuenta]],Estructura_Balance[Nombre Cuenta ()],Estructura_Balance[Grupo],"",0)</f>
        <v/>
      </c>
      <c r="N1521" t="str">
        <f>_xlfn.XLOOKUP(Table3[[#This Row],[Cuenta]],Estructura_Balance[Nombre Cuenta ()],Estructura_Balance[Nivel 1],"",0)</f>
        <v/>
      </c>
      <c r="O1521" t="str">
        <f>_xlfn.XLOOKUP(Table3[[#This Row],[Cuenta]],Estructura_Balance[Nombre Cuenta ()],Estructura_Balance[Nivel 2],"",0)</f>
        <v/>
      </c>
      <c r="P1521" t="str">
        <f>_xlfn.XLOOKUP(Table3[[#This Row],[Cuenta]],Estructura_Balance[Nombre Cuenta ()],Estructura_Balance[Nivel 3],"",0)</f>
        <v/>
      </c>
      <c r="Q1521" t="str">
        <f>_xlfn.XLOOKUP(Table3[[#This Row],[Cuenta]],Estructura_Balance[Nombre Cuenta ()],Estructura_Balance[Nivel 4],"",0)</f>
        <v/>
      </c>
      <c r="R1521" t="str">
        <f>_xlfn.XLOOKUP(Table3[[#This Row],[Cuenta]],Table8[Nombre Cuenta ()],Table8[Nivel 1],"",0)</f>
        <v/>
      </c>
      <c r="S1521" t="str">
        <f>_xlfn.XLOOKUP(Table3[[#This Row],[Cuenta]],Table8[Nombre Cuenta ()],Table8[Nivel 2],"",0)</f>
        <v/>
      </c>
      <c r="T1521" t="str">
        <f>_xlfn.XLOOKUP(Table3[[#This Row],[Cuenta]],Table8[Nombre Cuenta ()],Table8[Nivel 3],"",0)</f>
        <v/>
      </c>
      <c r="U1521">
        <v>527</v>
      </c>
      <c r="V1521" t="str">
        <f>_xlfn.XLOOKUP(Table3[[#This Row],[Cuenta]],Estructura_Balance[Nombre Cuenta ()],Estructura_Balance[Niveles:2],"",0)</f>
        <v/>
      </c>
      <c r="W1521" t="str">
        <f>_xlfn.XLOOKUP(Table3[[#This Row],[Cuenta]],Estructura_Balance[Nombre Cuenta ()],Estructura_Balance[Niveles:3],"",0)</f>
        <v/>
      </c>
      <c r="X1521" t="str">
        <f>_xlfn.XLOOKUP(Table3[[#This Row],[Cuenta]],Estructura_Balance[Nombre Cuenta ()],Estructura_Balance[Grupos],"Grupo 1",0)</f>
        <v>Grupo 1</v>
      </c>
      <c r="Y1521" t="str">
        <f>+Table3[[#This Row],[BS_Nivel_1]]</f>
        <v/>
      </c>
    </row>
    <row r="1522" spans="1:25" ht="15" customHeight="1">
      <c r="A1522">
        <f>+'Libro Diario'!F942</f>
        <v>0</v>
      </c>
      <c r="B1522" s="144">
        <f>VALUE(IF(+'Libro Diario'!G942="","01/01/2025",+'Libro Diario'!G942))</f>
        <v>45658</v>
      </c>
      <c r="C1522">
        <f>IF(ISNUMBER(+IF(IFERROR(VALUE(MID('Libro Diario'!D942,1,4)),0)&lt;&gt;0,'Libro Diario'!D942,0))=FALSE,'Libro Diario'!D942,0)</f>
        <v>0</v>
      </c>
      <c r="D1522" s="145">
        <f>+'Libro Diario'!E942</f>
        <v>0</v>
      </c>
      <c r="E1522" s="139" t="s">
        <v>446</v>
      </c>
      <c r="F1522" t="str">
        <f t="shared" si="69"/>
        <v>Sin Mov.</v>
      </c>
      <c r="G1522" t="str">
        <f>IF(+'Libro Diario'!H942=0,"",+'Libro Diario'!H942)</f>
        <v/>
      </c>
      <c r="H1522" t="str">
        <f>IF(+'Libro Diario'!I942=0,"",+'Libro Diario'!I942)</f>
        <v/>
      </c>
      <c r="I1522" t="str">
        <f>+IF(Table3[[#This Row],[Tipo Movimiento]]="Estructura Balance y PyG","Excluir","Incluir")</f>
        <v>Incluir</v>
      </c>
      <c r="J1522" s="153">
        <f>+IF(Table3[[#This Row],[Sin cuenta]]="Con Mov.",(IF(Table3[[#This Row],[Movimiento]]="Debe",Table3[[#This Row],[Importe]],IF(Table3[[#This Row],[Movimiento]]="Haber",Table3[[#This Row],[Importe]]*-1,0))),0)</f>
        <v>0</v>
      </c>
      <c r="K1522" s="145" t="str">
        <f t="shared" si="70"/>
        <v/>
      </c>
      <c r="L1522" s="145">
        <f t="shared" si="71"/>
        <v>0</v>
      </c>
      <c r="M1522" t="str">
        <f>_xlfn.XLOOKUP(Table3[[#This Row],[Cuenta]],Estructura_Balance[Nombre Cuenta ()],Estructura_Balance[Grupo],"",0)</f>
        <v/>
      </c>
      <c r="N1522" t="str">
        <f>_xlfn.XLOOKUP(Table3[[#This Row],[Cuenta]],Estructura_Balance[Nombre Cuenta ()],Estructura_Balance[Nivel 1],"",0)</f>
        <v/>
      </c>
      <c r="O1522" t="str">
        <f>_xlfn.XLOOKUP(Table3[[#This Row],[Cuenta]],Estructura_Balance[Nombre Cuenta ()],Estructura_Balance[Nivel 2],"",0)</f>
        <v/>
      </c>
      <c r="P1522" t="str">
        <f>_xlfn.XLOOKUP(Table3[[#This Row],[Cuenta]],Estructura_Balance[Nombre Cuenta ()],Estructura_Balance[Nivel 3],"",0)</f>
        <v/>
      </c>
      <c r="Q1522" t="str">
        <f>_xlfn.XLOOKUP(Table3[[#This Row],[Cuenta]],Estructura_Balance[Nombre Cuenta ()],Estructura_Balance[Nivel 4],"",0)</f>
        <v/>
      </c>
      <c r="R1522" t="str">
        <f>_xlfn.XLOOKUP(Table3[[#This Row],[Cuenta]],Table8[Nombre Cuenta ()],Table8[Nivel 1],"",0)</f>
        <v/>
      </c>
      <c r="S1522" t="str">
        <f>_xlfn.XLOOKUP(Table3[[#This Row],[Cuenta]],Table8[Nombre Cuenta ()],Table8[Nivel 2],"",0)</f>
        <v/>
      </c>
      <c r="T1522" t="str">
        <f>_xlfn.XLOOKUP(Table3[[#This Row],[Cuenta]],Table8[Nombre Cuenta ()],Table8[Nivel 3],"",0)</f>
        <v/>
      </c>
      <c r="U1522">
        <v>528</v>
      </c>
      <c r="V1522" t="str">
        <f>_xlfn.XLOOKUP(Table3[[#This Row],[Cuenta]],Estructura_Balance[Nombre Cuenta ()],Estructura_Balance[Niveles:2],"",0)</f>
        <v/>
      </c>
      <c r="W1522" t="str">
        <f>_xlfn.XLOOKUP(Table3[[#This Row],[Cuenta]],Estructura_Balance[Nombre Cuenta ()],Estructura_Balance[Niveles:3],"",0)</f>
        <v/>
      </c>
      <c r="X1522" t="str">
        <f>_xlfn.XLOOKUP(Table3[[#This Row],[Cuenta]],Estructura_Balance[Nombre Cuenta ()],Estructura_Balance[Grupos],"Grupo 1",0)</f>
        <v>Grupo 1</v>
      </c>
      <c r="Y1522" t="str">
        <f>+Table3[[#This Row],[BS_Nivel_1]]</f>
        <v/>
      </c>
    </row>
    <row r="1523" spans="1:25" ht="15" customHeight="1">
      <c r="A1523">
        <f>+'Libro Diario'!F943</f>
        <v>0</v>
      </c>
      <c r="B1523" s="144">
        <f>VALUE(IF(+'Libro Diario'!G943="","01/01/2025",+'Libro Diario'!G943))</f>
        <v>45658</v>
      </c>
      <c r="C1523">
        <f>IF(ISNUMBER(+IF(IFERROR(VALUE(MID('Libro Diario'!D943,1,4)),0)&lt;&gt;0,'Libro Diario'!D943,0))=FALSE,'Libro Diario'!D943,0)</f>
        <v>0</v>
      </c>
      <c r="D1523" s="145">
        <f>+'Libro Diario'!E943</f>
        <v>0</v>
      </c>
      <c r="E1523" s="139" t="s">
        <v>446</v>
      </c>
      <c r="F1523" t="str">
        <f t="shared" si="69"/>
        <v>Sin Mov.</v>
      </c>
      <c r="G1523" t="str">
        <f>IF(+'Libro Diario'!H943=0,"",+'Libro Diario'!H943)</f>
        <v/>
      </c>
      <c r="H1523" t="str">
        <f>IF(+'Libro Diario'!I943=0,"",+'Libro Diario'!I943)</f>
        <v/>
      </c>
      <c r="I1523" t="str">
        <f>+IF(Table3[[#This Row],[Tipo Movimiento]]="Estructura Balance y PyG","Excluir","Incluir")</f>
        <v>Incluir</v>
      </c>
      <c r="J1523" s="153">
        <f>+IF(Table3[[#This Row],[Sin cuenta]]="Con Mov.",(IF(Table3[[#This Row],[Movimiento]]="Debe",Table3[[#This Row],[Importe]],IF(Table3[[#This Row],[Movimiento]]="Haber",Table3[[#This Row],[Importe]]*-1,0))),0)</f>
        <v>0</v>
      </c>
      <c r="K1523" s="145" t="str">
        <f t="shared" si="70"/>
        <v/>
      </c>
      <c r="L1523" s="145">
        <f t="shared" si="71"/>
        <v>0</v>
      </c>
      <c r="M1523" t="str">
        <f>_xlfn.XLOOKUP(Table3[[#This Row],[Cuenta]],Estructura_Balance[Nombre Cuenta ()],Estructura_Balance[Grupo],"",0)</f>
        <v/>
      </c>
      <c r="N1523" t="str">
        <f>_xlfn.XLOOKUP(Table3[[#This Row],[Cuenta]],Estructura_Balance[Nombre Cuenta ()],Estructura_Balance[Nivel 1],"",0)</f>
        <v/>
      </c>
      <c r="O1523" t="str">
        <f>_xlfn.XLOOKUP(Table3[[#This Row],[Cuenta]],Estructura_Balance[Nombre Cuenta ()],Estructura_Balance[Nivel 2],"",0)</f>
        <v/>
      </c>
      <c r="P1523" t="str">
        <f>_xlfn.XLOOKUP(Table3[[#This Row],[Cuenta]],Estructura_Balance[Nombre Cuenta ()],Estructura_Balance[Nivel 3],"",0)</f>
        <v/>
      </c>
      <c r="Q1523" t="str">
        <f>_xlfn.XLOOKUP(Table3[[#This Row],[Cuenta]],Estructura_Balance[Nombre Cuenta ()],Estructura_Balance[Nivel 4],"",0)</f>
        <v/>
      </c>
      <c r="R1523" t="str">
        <f>_xlfn.XLOOKUP(Table3[[#This Row],[Cuenta]],Table8[Nombre Cuenta ()],Table8[Nivel 1],"",0)</f>
        <v/>
      </c>
      <c r="S1523" t="str">
        <f>_xlfn.XLOOKUP(Table3[[#This Row],[Cuenta]],Table8[Nombre Cuenta ()],Table8[Nivel 2],"",0)</f>
        <v/>
      </c>
      <c r="T1523" t="str">
        <f>_xlfn.XLOOKUP(Table3[[#This Row],[Cuenta]],Table8[Nombre Cuenta ()],Table8[Nivel 3],"",0)</f>
        <v/>
      </c>
      <c r="U1523">
        <v>529</v>
      </c>
      <c r="V1523" t="str">
        <f>_xlfn.XLOOKUP(Table3[[#This Row],[Cuenta]],Estructura_Balance[Nombre Cuenta ()],Estructura_Balance[Niveles:2],"",0)</f>
        <v/>
      </c>
      <c r="W1523" t="str">
        <f>_xlfn.XLOOKUP(Table3[[#This Row],[Cuenta]],Estructura_Balance[Nombre Cuenta ()],Estructura_Balance[Niveles:3],"",0)</f>
        <v/>
      </c>
      <c r="X1523" t="str">
        <f>_xlfn.XLOOKUP(Table3[[#This Row],[Cuenta]],Estructura_Balance[Nombre Cuenta ()],Estructura_Balance[Grupos],"Grupo 1",0)</f>
        <v>Grupo 1</v>
      </c>
      <c r="Y1523" t="str">
        <f>+Table3[[#This Row],[BS_Nivel_1]]</f>
        <v/>
      </c>
    </row>
    <row r="1524" spans="1:25" ht="15" customHeight="1">
      <c r="A1524">
        <f>+'Libro Diario'!F944</f>
        <v>0</v>
      </c>
      <c r="B1524" s="144">
        <f>VALUE(IF(+'Libro Diario'!G944="","01/01/2025",+'Libro Diario'!G944))</f>
        <v>45658</v>
      </c>
      <c r="C1524">
        <f>IF(ISNUMBER(+IF(IFERROR(VALUE(MID('Libro Diario'!D944,1,4)),0)&lt;&gt;0,'Libro Diario'!D944,0))=FALSE,'Libro Diario'!D944,0)</f>
        <v>0</v>
      </c>
      <c r="D1524" s="145">
        <f>+'Libro Diario'!E944</f>
        <v>0</v>
      </c>
      <c r="E1524" s="139" t="s">
        <v>446</v>
      </c>
      <c r="F1524" t="str">
        <f t="shared" si="69"/>
        <v>Sin Mov.</v>
      </c>
      <c r="G1524" t="str">
        <f>IF(+'Libro Diario'!H944=0,"",+'Libro Diario'!H944)</f>
        <v/>
      </c>
      <c r="H1524" t="str">
        <f>IF(+'Libro Diario'!I944=0,"",+'Libro Diario'!I944)</f>
        <v/>
      </c>
      <c r="I1524" t="str">
        <f>+IF(Table3[[#This Row],[Tipo Movimiento]]="Estructura Balance y PyG","Excluir","Incluir")</f>
        <v>Incluir</v>
      </c>
      <c r="J1524" s="153">
        <f>+IF(Table3[[#This Row],[Sin cuenta]]="Con Mov.",(IF(Table3[[#This Row],[Movimiento]]="Debe",Table3[[#This Row],[Importe]],IF(Table3[[#This Row],[Movimiento]]="Haber",Table3[[#This Row],[Importe]]*-1,0))),0)</f>
        <v>0</v>
      </c>
      <c r="K1524" s="145" t="str">
        <f t="shared" si="70"/>
        <v/>
      </c>
      <c r="L1524" s="145">
        <f t="shared" si="71"/>
        <v>0</v>
      </c>
      <c r="M1524" t="str">
        <f>_xlfn.XLOOKUP(Table3[[#This Row],[Cuenta]],Estructura_Balance[Nombre Cuenta ()],Estructura_Balance[Grupo],"",0)</f>
        <v/>
      </c>
      <c r="N1524" t="str">
        <f>_xlfn.XLOOKUP(Table3[[#This Row],[Cuenta]],Estructura_Balance[Nombre Cuenta ()],Estructura_Balance[Nivel 1],"",0)</f>
        <v/>
      </c>
      <c r="O1524" t="str">
        <f>_xlfn.XLOOKUP(Table3[[#This Row],[Cuenta]],Estructura_Balance[Nombre Cuenta ()],Estructura_Balance[Nivel 2],"",0)</f>
        <v/>
      </c>
      <c r="P1524" t="str">
        <f>_xlfn.XLOOKUP(Table3[[#This Row],[Cuenta]],Estructura_Balance[Nombre Cuenta ()],Estructura_Balance[Nivel 3],"",0)</f>
        <v/>
      </c>
      <c r="Q1524" t="str">
        <f>_xlfn.XLOOKUP(Table3[[#This Row],[Cuenta]],Estructura_Balance[Nombre Cuenta ()],Estructura_Balance[Nivel 4],"",0)</f>
        <v/>
      </c>
      <c r="R1524" t="str">
        <f>_xlfn.XLOOKUP(Table3[[#This Row],[Cuenta]],Table8[Nombre Cuenta ()],Table8[Nivel 1],"",0)</f>
        <v/>
      </c>
      <c r="S1524" t="str">
        <f>_xlfn.XLOOKUP(Table3[[#This Row],[Cuenta]],Table8[Nombre Cuenta ()],Table8[Nivel 2],"",0)</f>
        <v/>
      </c>
      <c r="T1524" t="str">
        <f>_xlfn.XLOOKUP(Table3[[#This Row],[Cuenta]],Table8[Nombre Cuenta ()],Table8[Nivel 3],"",0)</f>
        <v/>
      </c>
      <c r="U1524">
        <v>530</v>
      </c>
      <c r="V1524" t="str">
        <f>_xlfn.XLOOKUP(Table3[[#This Row],[Cuenta]],Estructura_Balance[Nombre Cuenta ()],Estructura_Balance[Niveles:2],"",0)</f>
        <v/>
      </c>
      <c r="W1524" t="str">
        <f>_xlfn.XLOOKUP(Table3[[#This Row],[Cuenta]],Estructura_Balance[Nombre Cuenta ()],Estructura_Balance[Niveles:3],"",0)</f>
        <v/>
      </c>
      <c r="X1524" t="str">
        <f>_xlfn.XLOOKUP(Table3[[#This Row],[Cuenta]],Estructura_Balance[Nombre Cuenta ()],Estructura_Balance[Grupos],"Grupo 1",0)</f>
        <v>Grupo 1</v>
      </c>
      <c r="Y1524" t="str">
        <f>+Table3[[#This Row],[BS_Nivel_1]]</f>
        <v/>
      </c>
    </row>
    <row r="1525" spans="1:25" ht="15" customHeight="1">
      <c r="A1525">
        <f>+'Libro Diario'!F945</f>
        <v>0</v>
      </c>
      <c r="B1525" s="144">
        <f>VALUE(IF(+'Libro Diario'!G945="","01/01/2025",+'Libro Diario'!G945))</f>
        <v>45658</v>
      </c>
      <c r="C1525">
        <f>IF(ISNUMBER(+IF(IFERROR(VALUE(MID('Libro Diario'!D945,1,4)),0)&lt;&gt;0,'Libro Diario'!D945,0))=FALSE,'Libro Diario'!D945,0)</f>
        <v>0</v>
      </c>
      <c r="D1525" s="145">
        <f>+'Libro Diario'!E945</f>
        <v>0</v>
      </c>
      <c r="E1525" s="139" t="s">
        <v>446</v>
      </c>
      <c r="F1525" t="str">
        <f t="shared" si="69"/>
        <v>Sin Mov.</v>
      </c>
      <c r="G1525" t="str">
        <f>IF(+'Libro Diario'!H945=0,"",+'Libro Diario'!H945)</f>
        <v/>
      </c>
      <c r="H1525" t="str">
        <f>IF(+'Libro Diario'!I945=0,"",+'Libro Diario'!I945)</f>
        <v/>
      </c>
      <c r="I1525" t="str">
        <f>+IF(Table3[[#This Row],[Tipo Movimiento]]="Estructura Balance y PyG","Excluir","Incluir")</f>
        <v>Incluir</v>
      </c>
      <c r="J1525" s="153">
        <f>+IF(Table3[[#This Row],[Sin cuenta]]="Con Mov.",(IF(Table3[[#This Row],[Movimiento]]="Debe",Table3[[#This Row],[Importe]],IF(Table3[[#This Row],[Movimiento]]="Haber",Table3[[#This Row],[Importe]]*-1,0))),0)</f>
        <v>0</v>
      </c>
      <c r="K1525" s="145" t="str">
        <f t="shared" si="70"/>
        <v/>
      </c>
      <c r="L1525" s="145">
        <f t="shared" si="71"/>
        <v>0</v>
      </c>
      <c r="M1525" t="str">
        <f>_xlfn.XLOOKUP(Table3[[#This Row],[Cuenta]],Estructura_Balance[Nombre Cuenta ()],Estructura_Balance[Grupo],"",0)</f>
        <v/>
      </c>
      <c r="N1525" t="str">
        <f>_xlfn.XLOOKUP(Table3[[#This Row],[Cuenta]],Estructura_Balance[Nombre Cuenta ()],Estructura_Balance[Nivel 1],"",0)</f>
        <v/>
      </c>
      <c r="O1525" t="str">
        <f>_xlfn.XLOOKUP(Table3[[#This Row],[Cuenta]],Estructura_Balance[Nombre Cuenta ()],Estructura_Balance[Nivel 2],"",0)</f>
        <v/>
      </c>
      <c r="P1525" t="str">
        <f>_xlfn.XLOOKUP(Table3[[#This Row],[Cuenta]],Estructura_Balance[Nombre Cuenta ()],Estructura_Balance[Nivel 3],"",0)</f>
        <v/>
      </c>
      <c r="Q1525" t="str">
        <f>_xlfn.XLOOKUP(Table3[[#This Row],[Cuenta]],Estructura_Balance[Nombre Cuenta ()],Estructura_Balance[Nivel 4],"",0)</f>
        <v/>
      </c>
      <c r="R1525" t="str">
        <f>_xlfn.XLOOKUP(Table3[[#This Row],[Cuenta]],Table8[Nombre Cuenta ()],Table8[Nivel 1],"",0)</f>
        <v/>
      </c>
      <c r="S1525" t="str">
        <f>_xlfn.XLOOKUP(Table3[[#This Row],[Cuenta]],Table8[Nombre Cuenta ()],Table8[Nivel 2],"",0)</f>
        <v/>
      </c>
      <c r="T1525" t="str">
        <f>_xlfn.XLOOKUP(Table3[[#This Row],[Cuenta]],Table8[Nombre Cuenta ()],Table8[Nivel 3],"",0)</f>
        <v/>
      </c>
      <c r="U1525">
        <v>531</v>
      </c>
      <c r="V1525" t="str">
        <f>_xlfn.XLOOKUP(Table3[[#This Row],[Cuenta]],Estructura_Balance[Nombre Cuenta ()],Estructura_Balance[Niveles:2],"",0)</f>
        <v/>
      </c>
      <c r="W1525" t="str">
        <f>_xlfn.XLOOKUP(Table3[[#This Row],[Cuenta]],Estructura_Balance[Nombre Cuenta ()],Estructura_Balance[Niveles:3],"",0)</f>
        <v/>
      </c>
      <c r="X1525" t="str">
        <f>_xlfn.XLOOKUP(Table3[[#This Row],[Cuenta]],Estructura_Balance[Nombre Cuenta ()],Estructura_Balance[Grupos],"Grupo 1",0)</f>
        <v>Grupo 1</v>
      </c>
      <c r="Y1525" t="str">
        <f>+Table3[[#This Row],[BS_Nivel_1]]</f>
        <v/>
      </c>
    </row>
    <row r="1526" spans="1:25" ht="15" customHeight="1">
      <c r="A1526">
        <f>+'Libro Diario'!F946</f>
        <v>0</v>
      </c>
      <c r="B1526" s="144">
        <f>VALUE(IF(+'Libro Diario'!G946="","01/01/2025",+'Libro Diario'!G946))</f>
        <v>45658</v>
      </c>
      <c r="C1526">
        <f>IF(ISNUMBER(+IF(IFERROR(VALUE(MID('Libro Diario'!D946,1,4)),0)&lt;&gt;0,'Libro Diario'!D946,0))=FALSE,'Libro Diario'!D946,0)</f>
        <v>0</v>
      </c>
      <c r="D1526" s="145">
        <f>+'Libro Diario'!E946</f>
        <v>0</v>
      </c>
      <c r="E1526" s="139" t="s">
        <v>446</v>
      </c>
      <c r="F1526" t="str">
        <f t="shared" si="69"/>
        <v>Sin Mov.</v>
      </c>
      <c r="G1526" t="str">
        <f>IF(+'Libro Diario'!H946=0,"",+'Libro Diario'!H946)</f>
        <v/>
      </c>
      <c r="H1526" t="str">
        <f>IF(+'Libro Diario'!I946=0,"",+'Libro Diario'!I946)</f>
        <v/>
      </c>
      <c r="I1526" t="str">
        <f>+IF(Table3[[#This Row],[Tipo Movimiento]]="Estructura Balance y PyG","Excluir","Incluir")</f>
        <v>Incluir</v>
      </c>
      <c r="J1526" s="153">
        <f>+IF(Table3[[#This Row],[Sin cuenta]]="Con Mov.",(IF(Table3[[#This Row],[Movimiento]]="Debe",Table3[[#This Row],[Importe]],IF(Table3[[#This Row],[Movimiento]]="Haber",Table3[[#This Row],[Importe]]*-1,0))),0)</f>
        <v>0</v>
      </c>
      <c r="K1526" s="145" t="str">
        <f t="shared" si="70"/>
        <v/>
      </c>
      <c r="L1526" s="145">
        <f t="shared" si="71"/>
        <v>0</v>
      </c>
      <c r="M1526" t="str">
        <f>_xlfn.XLOOKUP(Table3[[#This Row],[Cuenta]],Estructura_Balance[Nombre Cuenta ()],Estructura_Balance[Grupo],"",0)</f>
        <v/>
      </c>
      <c r="N1526" t="str">
        <f>_xlfn.XLOOKUP(Table3[[#This Row],[Cuenta]],Estructura_Balance[Nombre Cuenta ()],Estructura_Balance[Nivel 1],"",0)</f>
        <v/>
      </c>
      <c r="O1526" t="str">
        <f>_xlfn.XLOOKUP(Table3[[#This Row],[Cuenta]],Estructura_Balance[Nombre Cuenta ()],Estructura_Balance[Nivel 2],"",0)</f>
        <v/>
      </c>
      <c r="P1526" t="str">
        <f>_xlfn.XLOOKUP(Table3[[#This Row],[Cuenta]],Estructura_Balance[Nombre Cuenta ()],Estructura_Balance[Nivel 3],"",0)</f>
        <v/>
      </c>
      <c r="Q1526" t="str">
        <f>_xlfn.XLOOKUP(Table3[[#This Row],[Cuenta]],Estructura_Balance[Nombre Cuenta ()],Estructura_Balance[Nivel 4],"",0)</f>
        <v/>
      </c>
      <c r="R1526" t="str">
        <f>_xlfn.XLOOKUP(Table3[[#This Row],[Cuenta]],Table8[Nombre Cuenta ()],Table8[Nivel 1],"",0)</f>
        <v/>
      </c>
      <c r="S1526" t="str">
        <f>_xlfn.XLOOKUP(Table3[[#This Row],[Cuenta]],Table8[Nombre Cuenta ()],Table8[Nivel 2],"",0)</f>
        <v/>
      </c>
      <c r="T1526" t="str">
        <f>_xlfn.XLOOKUP(Table3[[#This Row],[Cuenta]],Table8[Nombre Cuenta ()],Table8[Nivel 3],"",0)</f>
        <v/>
      </c>
      <c r="U1526">
        <v>532</v>
      </c>
      <c r="V1526" t="str">
        <f>_xlfn.XLOOKUP(Table3[[#This Row],[Cuenta]],Estructura_Balance[Nombre Cuenta ()],Estructura_Balance[Niveles:2],"",0)</f>
        <v/>
      </c>
      <c r="W1526" t="str">
        <f>_xlfn.XLOOKUP(Table3[[#This Row],[Cuenta]],Estructura_Balance[Nombre Cuenta ()],Estructura_Balance[Niveles:3],"",0)</f>
        <v/>
      </c>
      <c r="X1526" t="str">
        <f>_xlfn.XLOOKUP(Table3[[#This Row],[Cuenta]],Estructura_Balance[Nombre Cuenta ()],Estructura_Balance[Grupos],"Grupo 1",0)</f>
        <v>Grupo 1</v>
      </c>
      <c r="Y1526" t="str">
        <f>+Table3[[#This Row],[BS_Nivel_1]]</f>
        <v/>
      </c>
    </row>
    <row r="1527" spans="1:25" ht="15" customHeight="1">
      <c r="A1527">
        <f>+'Libro Diario'!F947</f>
        <v>0</v>
      </c>
      <c r="B1527" s="144">
        <f>VALUE(IF(+'Libro Diario'!G947="","01/01/2025",+'Libro Diario'!G947))</f>
        <v>45658</v>
      </c>
      <c r="C1527">
        <f>IF(ISNUMBER(+IF(IFERROR(VALUE(MID('Libro Diario'!D947,1,4)),0)&lt;&gt;0,'Libro Diario'!D947,0))=FALSE,'Libro Diario'!D947,0)</f>
        <v>0</v>
      </c>
      <c r="D1527" s="145">
        <f>+'Libro Diario'!E947</f>
        <v>0</v>
      </c>
      <c r="E1527" s="139" t="s">
        <v>446</v>
      </c>
      <c r="F1527" t="str">
        <f t="shared" si="69"/>
        <v>Sin Mov.</v>
      </c>
      <c r="G1527" t="str">
        <f>IF(+'Libro Diario'!H947=0,"",+'Libro Diario'!H947)</f>
        <v/>
      </c>
      <c r="H1527" t="str">
        <f>IF(+'Libro Diario'!I947=0,"",+'Libro Diario'!I947)</f>
        <v/>
      </c>
      <c r="I1527" t="str">
        <f>+IF(Table3[[#This Row],[Tipo Movimiento]]="Estructura Balance y PyG","Excluir","Incluir")</f>
        <v>Incluir</v>
      </c>
      <c r="J1527" s="153">
        <f>+IF(Table3[[#This Row],[Sin cuenta]]="Con Mov.",(IF(Table3[[#This Row],[Movimiento]]="Debe",Table3[[#This Row],[Importe]],IF(Table3[[#This Row],[Movimiento]]="Haber",Table3[[#This Row],[Importe]]*-1,0))),0)</f>
        <v>0</v>
      </c>
      <c r="K1527" s="145" t="str">
        <f t="shared" si="70"/>
        <v/>
      </c>
      <c r="L1527" s="145">
        <f t="shared" si="71"/>
        <v>0</v>
      </c>
      <c r="M1527" t="str">
        <f>_xlfn.XLOOKUP(Table3[[#This Row],[Cuenta]],Estructura_Balance[Nombre Cuenta ()],Estructura_Balance[Grupo],"",0)</f>
        <v/>
      </c>
      <c r="N1527" t="str">
        <f>_xlfn.XLOOKUP(Table3[[#This Row],[Cuenta]],Estructura_Balance[Nombre Cuenta ()],Estructura_Balance[Nivel 1],"",0)</f>
        <v/>
      </c>
      <c r="O1527" t="str">
        <f>_xlfn.XLOOKUP(Table3[[#This Row],[Cuenta]],Estructura_Balance[Nombre Cuenta ()],Estructura_Balance[Nivel 2],"",0)</f>
        <v/>
      </c>
      <c r="P1527" t="str">
        <f>_xlfn.XLOOKUP(Table3[[#This Row],[Cuenta]],Estructura_Balance[Nombre Cuenta ()],Estructura_Balance[Nivel 3],"",0)</f>
        <v/>
      </c>
      <c r="Q1527" t="str">
        <f>_xlfn.XLOOKUP(Table3[[#This Row],[Cuenta]],Estructura_Balance[Nombre Cuenta ()],Estructura_Balance[Nivel 4],"",0)</f>
        <v/>
      </c>
      <c r="R1527" t="str">
        <f>_xlfn.XLOOKUP(Table3[[#This Row],[Cuenta]],Table8[Nombre Cuenta ()],Table8[Nivel 1],"",0)</f>
        <v/>
      </c>
      <c r="S1527" t="str">
        <f>_xlfn.XLOOKUP(Table3[[#This Row],[Cuenta]],Table8[Nombre Cuenta ()],Table8[Nivel 2],"",0)</f>
        <v/>
      </c>
      <c r="T1527" t="str">
        <f>_xlfn.XLOOKUP(Table3[[#This Row],[Cuenta]],Table8[Nombre Cuenta ()],Table8[Nivel 3],"",0)</f>
        <v/>
      </c>
      <c r="U1527">
        <v>1519</v>
      </c>
      <c r="V1527" t="str">
        <f>_xlfn.XLOOKUP(Table3[[#This Row],[Cuenta]],Estructura_Balance[Nombre Cuenta ()],Estructura_Balance[Niveles:2],"",0)</f>
        <v/>
      </c>
      <c r="W1527" t="str">
        <f>_xlfn.XLOOKUP(Table3[[#This Row],[Cuenta]],Estructura_Balance[Nombre Cuenta ()],Estructura_Balance[Niveles:3],"",0)</f>
        <v/>
      </c>
      <c r="X1527" t="str">
        <f>_xlfn.XLOOKUP(Table3[[#This Row],[Cuenta]],Estructura_Balance[Nombre Cuenta ()],Estructura_Balance[Grupos],"Grupo 1",0)</f>
        <v>Grupo 1</v>
      </c>
      <c r="Y1527" t="str">
        <f>+Table3[[#This Row],[BS_Nivel_1]]</f>
        <v/>
      </c>
    </row>
    <row r="1528" spans="1:25" ht="15" customHeight="1">
      <c r="A1528">
        <f>+'Libro Diario'!F948</f>
        <v>0</v>
      </c>
      <c r="B1528" s="144">
        <f>VALUE(IF(+'Libro Diario'!G948="","01/01/2025",+'Libro Diario'!G948))</f>
        <v>45658</v>
      </c>
      <c r="C1528">
        <f>IF(ISNUMBER(+IF(IFERROR(VALUE(MID('Libro Diario'!D948,1,4)),0)&lt;&gt;0,'Libro Diario'!D948,0))=FALSE,'Libro Diario'!D948,0)</f>
        <v>0</v>
      </c>
      <c r="D1528" s="145">
        <f>+'Libro Diario'!E948</f>
        <v>0</v>
      </c>
      <c r="E1528" s="139" t="s">
        <v>446</v>
      </c>
      <c r="F1528" t="str">
        <f t="shared" si="69"/>
        <v>Sin Mov.</v>
      </c>
      <c r="G1528" t="str">
        <f>IF(+'Libro Diario'!H948=0,"",+'Libro Diario'!H948)</f>
        <v/>
      </c>
      <c r="H1528" t="str">
        <f>IF(+'Libro Diario'!I948=0,"",+'Libro Diario'!I948)</f>
        <v/>
      </c>
      <c r="I1528" t="str">
        <f>+IF(Table3[[#This Row],[Tipo Movimiento]]="Estructura Balance y PyG","Excluir","Incluir")</f>
        <v>Incluir</v>
      </c>
      <c r="J1528" s="153">
        <f>+IF(Table3[[#This Row],[Sin cuenta]]="Con Mov.",(IF(Table3[[#This Row],[Movimiento]]="Debe",Table3[[#This Row],[Importe]],IF(Table3[[#This Row],[Movimiento]]="Haber",Table3[[#This Row],[Importe]]*-1,0))),0)</f>
        <v>0</v>
      </c>
      <c r="K1528" s="145" t="str">
        <f t="shared" si="70"/>
        <v/>
      </c>
      <c r="L1528" s="145">
        <f t="shared" si="71"/>
        <v>0</v>
      </c>
      <c r="M1528" t="str">
        <f>_xlfn.XLOOKUP(Table3[[#This Row],[Cuenta]],Estructura_Balance[Nombre Cuenta ()],Estructura_Balance[Grupo],"",0)</f>
        <v/>
      </c>
      <c r="N1528" t="str">
        <f>_xlfn.XLOOKUP(Table3[[#This Row],[Cuenta]],Estructura_Balance[Nombre Cuenta ()],Estructura_Balance[Nivel 1],"",0)</f>
        <v/>
      </c>
      <c r="O1528" t="str">
        <f>_xlfn.XLOOKUP(Table3[[#This Row],[Cuenta]],Estructura_Balance[Nombre Cuenta ()],Estructura_Balance[Nivel 2],"",0)</f>
        <v/>
      </c>
      <c r="P1528" t="str">
        <f>_xlfn.XLOOKUP(Table3[[#This Row],[Cuenta]],Estructura_Balance[Nombre Cuenta ()],Estructura_Balance[Nivel 3],"",0)</f>
        <v/>
      </c>
      <c r="Q1528" t="str">
        <f>_xlfn.XLOOKUP(Table3[[#This Row],[Cuenta]],Estructura_Balance[Nombre Cuenta ()],Estructura_Balance[Nivel 4],"",0)</f>
        <v/>
      </c>
      <c r="R1528" t="str">
        <f>_xlfn.XLOOKUP(Table3[[#This Row],[Cuenta]],Table8[Nombre Cuenta ()],Table8[Nivel 1],"",0)</f>
        <v/>
      </c>
      <c r="S1528" t="str">
        <f>_xlfn.XLOOKUP(Table3[[#This Row],[Cuenta]],Table8[Nombre Cuenta ()],Table8[Nivel 2],"",0)</f>
        <v/>
      </c>
      <c r="T1528" t="str">
        <f>_xlfn.XLOOKUP(Table3[[#This Row],[Cuenta]],Table8[Nombre Cuenta ()],Table8[Nivel 3],"",0)</f>
        <v/>
      </c>
      <c r="U1528">
        <v>1520</v>
      </c>
      <c r="V1528" t="str">
        <f>_xlfn.XLOOKUP(Table3[[#This Row],[Cuenta]],Estructura_Balance[Nombre Cuenta ()],Estructura_Balance[Niveles:2],"",0)</f>
        <v/>
      </c>
      <c r="W1528" t="str">
        <f>_xlfn.XLOOKUP(Table3[[#This Row],[Cuenta]],Estructura_Balance[Nombre Cuenta ()],Estructura_Balance[Niveles:3],"",0)</f>
        <v/>
      </c>
      <c r="X1528" t="str">
        <f>_xlfn.XLOOKUP(Table3[[#This Row],[Cuenta]],Estructura_Balance[Nombre Cuenta ()],Estructura_Balance[Grupos],"Grupo 1",0)</f>
        <v>Grupo 1</v>
      </c>
      <c r="Y1528" t="str">
        <f>+Table3[[#This Row],[BS_Nivel_1]]</f>
        <v/>
      </c>
    </row>
    <row r="1529" spans="1:25" ht="15" customHeight="1">
      <c r="A1529">
        <f>+'Libro Diario'!F949</f>
        <v>0</v>
      </c>
      <c r="B1529" s="144">
        <f>VALUE(IF(+'Libro Diario'!G949="","01/01/2025",+'Libro Diario'!G949))</f>
        <v>45658</v>
      </c>
      <c r="C1529">
        <f>IF(ISNUMBER(+IF(IFERROR(VALUE(MID('Libro Diario'!D949,1,4)),0)&lt;&gt;0,'Libro Diario'!D949,0))=FALSE,'Libro Diario'!D949,0)</f>
        <v>0</v>
      </c>
      <c r="D1529" s="145">
        <f>+'Libro Diario'!E949</f>
        <v>0</v>
      </c>
      <c r="E1529" s="139" t="s">
        <v>446</v>
      </c>
      <c r="F1529" t="str">
        <f t="shared" si="69"/>
        <v>Sin Mov.</v>
      </c>
      <c r="G1529" t="str">
        <f>IF(+'Libro Diario'!H949=0,"",+'Libro Diario'!H949)</f>
        <v/>
      </c>
      <c r="H1529" t="str">
        <f>IF(+'Libro Diario'!I949=0,"",+'Libro Diario'!I949)</f>
        <v/>
      </c>
      <c r="I1529" t="str">
        <f>+IF(Table3[[#This Row],[Tipo Movimiento]]="Estructura Balance y PyG","Excluir","Incluir")</f>
        <v>Incluir</v>
      </c>
      <c r="J1529" s="153">
        <f>+IF(Table3[[#This Row],[Sin cuenta]]="Con Mov.",(IF(Table3[[#This Row],[Movimiento]]="Debe",Table3[[#This Row],[Importe]],IF(Table3[[#This Row],[Movimiento]]="Haber",Table3[[#This Row],[Importe]]*-1,0))),0)</f>
        <v>0</v>
      </c>
      <c r="K1529" s="145" t="str">
        <f t="shared" si="70"/>
        <v/>
      </c>
      <c r="L1529" s="145">
        <f t="shared" si="71"/>
        <v>0</v>
      </c>
      <c r="M1529" t="str">
        <f>_xlfn.XLOOKUP(Table3[[#This Row],[Cuenta]],Estructura_Balance[Nombre Cuenta ()],Estructura_Balance[Grupo],"",0)</f>
        <v/>
      </c>
      <c r="N1529" t="str">
        <f>_xlfn.XLOOKUP(Table3[[#This Row],[Cuenta]],Estructura_Balance[Nombre Cuenta ()],Estructura_Balance[Nivel 1],"",0)</f>
        <v/>
      </c>
      <c r="O1529" t="str">
        <f>_xlfn.XLOOKUP(Table3[[#This Row],[Cuenta]],Estructura_Balance[Nombre Cuenta ()],Estructura_Balance[Nivel 2],"",0)</f>
        <v/>
      </c>
      <c r="P1529" t="str">
        <f>_xlfn.XLOOKUP(Table3[[#This Row],[Cuenta]],Estructura_Balance[Nombre Cuenta ()],Estructura_Balance[Nivel 3],"",0)</f>
        <v/>
      </c>
      <c r="Q1529" t="str">
        <f>_xlfn.XLOOKUP(Table3[[#This Row],[Cuenta]],Estructura_Balance[Nombre Cuenta ()],Estructura_Balance[Nivel 4],"",0)</f>
        <v/>
      </c>
      <c r="R1529" t="str">
        <f>_xlfn.XLOOKUP(Table3[[#This Row],[Cuenta]],Table8[Nombre Cuenta ()],Table8[Nivel 1],"",0)</f>
        <v/>
      </c>
      <c r="S1529" t="str">
        <f>_xlfn.XLOOKUP(Table3[[#This Row],[Cuenta]],Table8[Nombre Cuenta ()],Table8[Nivel 2],"",0)</f>
        <v/>
      </c>
      <c r="T1529" t="str">
        <f>_xlfn.XLOOKUP(Table3[[#This Row],[Cuenta]],Table8[Nombre Cuenta ()],Table8[Nivel 3],"",0)</f>
        <v/>
      </c>
      <c r="U1529">
        <v>1521</v>
      </c>
      <c r="V1529" t="str">
        <f>_xlfn.XLOOKUP(Table3[[#This Row],[Cuenta]],Estructura_Balance[Nombre Cuenta ()],Estructura_Balance[Niveles:2],"",0)</f>
        <v/>
      </c>
      <c r="W1529" t="str">
        <f>_xlfn.XLOOKUP(Table3[[#This Row],[Cuenta]],Estructura_Balance[Nombre Cuenta ()],Estructura_Balance[Niveles:3],"",0)</f>
        <v/>
      </c>
      <c r="X1529" t="str">
        <f>_xlfn.XLOOKUP(Table3[[#This Row],[Cuenta]],Estructura_Balance[Nombre Cuenta ()],Estructura_Balance[Grupos],"Grupo 1",0)</f>
        <v>Grupo 1</v>
      </c>
      <c r="Y1529" t="str">
        <f>+Table3[[#This Row],[BS_Nivel_1]]</f>
        <v/>
      </c>
    </row>
    <row r="1530" spans="1:25" ht="15" customHeight="1">
      <c r="A1530">
        <f>+'Libro Diario'!F950</f>
        <v>0</v>
      </c>
      <c r="B1530" s="144">
        <f>VALUE(IF(+'Libro Diario'!G950="","01/01/2025",+'Libro Diario'!G950))</f>
        <v>45658</v>
      </c>
      <c r="C1530">
        <f>IF(ISNUMBER(+IF(IFERROR(VALUE(MID('Libro Diario'!D950,1,4)),0)&lt;&gt;0,'Libro Diario'!D950,0))=FALSE,'Libro Diario'!D950,0)</f>
        <v>0</v>
      </c>
      <c r="D1530" s="145">
        <f>+'Libro Diario'!E950</f>
        <v>0</v>
      </c>
      <c r="E1530" s="139" t="s">
        <v>446</v>
      </c>
      <c r="F1530" t="str">
        <f t="shared" si="69"/>
        <v>Sin Mov.</v>
      </c>
      <c r="G1530" t="str">
        <f>IF(+'Libro Diario'!H950=0,"",+'Libro Diario'!H950)</f>
        <v/>
      </c>
      <c r="H1530" t="str">
        <f>IF(+'Libro Diario'!I950=0,"",+'Libro Diario'!I950)</f>
        <v/>
      </c>
      <c r="I1530" t="str">
        <f>+IF(Table3[[#This Row],[Tipo Movimiento]]="Estructura Balance y PyG","Excluir","Incluir")</f>
        <v>Incluir</v>
      </c>
      <c r="J1530" s="153">
        <f>+IF(Table3[[#This Row],[Sin cuenta]]="Con Mov.",(IF(Table3[[#This Row],[Movimiento]]="Debe",Table3[[#This Row],[Importe]],IF(Table3[[#This Row],[Movimiento]]="Haber",Table3[[#This Row],[Importe]]*-1,0))),0)</f>
        <v>0</v>
      </c>
      <c r="K1530" s="145" t="str">
        <f t="shared" si="70"/>
        <v/>
      </c>
      <c r="L1530" s="145">
        <f t="shared" si="71"/>
        <v>0</v>
      </c>
      <c r="M1530" t="str">
        <f>_xlfn.XLOOKUP(Table3[[#This Row],[Cuenta]],Estructura_Balance[Nombre Cuenta ()],Estructura_Balance[Grupo],"",0)</f>
        <v/>
      </c>
      <c r="N1530" t="str">
        <f>_xlfn.XLOOKUP(Table3[[#This Row],[Cuenta]],Estructura_Balance[Nombre Cuenta ()],Estructura_Balance[Nivel 1],"",0)</f>
        <v/>
      </c>
      <c r="O1530" t="str">
        <f>_xlfn.XLOOKUP(Table3[[#This Row],[Cuenta]],Estructura_Balance[Nombre Cuenta ()],Estructura_Balance[Nivel 2],"",0)</f>
        <v/>
      </c>
      <c r="P1530" t="str">
        <f>_xlfn.XLOOKUP(Table3[[#This Row],[Cuenta]],Estructura_Balance[Nombre Cuenta ()],Estructura_Balance[Nivel 3],"",0)</f>
        <v/>
      </c>
      <c r="Q1530" t="str">
        <f>_xlfn.XLOOKUP(Table3[[#This Row],[Cuenta]],Estructura_Balance[Nombre Cuenta ()],Estructura_Balance[Nivel 4],"",0)</f>
        <v/>
      </c>
      <c r="R1530" t="str">
        <f>_xlfn.XLOOKUP(Table3[[#This Row],[Cuenta]],Table8[Nombre Cuenta ()],Table8[Nivel 1],"",0)</f>
        <v/>
      </c>
      <c r="S1530" t="str">
        <f>_xlfn.XLOOKUP(Table3[[#This Row],[Cuenta]],Table8[Nombre Cuenta ()],Table8[Nivel 2],"",0)</f>
        <v/>
      </c>
      <c r="T1530" t="str">
        <f>_xlfn.XLOOKUP(Table3[[#This Row],[Cuenta]],Table8[Nombre Cuenta ()],Table8[Nivel 3],"",0)</f>
        <v/>
      </c>
      <c r="U1530">
        <v>1522</v>
      </c>
      <c r="V1530" t="str">
        <f>_xlfn.XLOOKUP(Table3[[#This Row],[Cuenta]],Estructura_Balance[Nombre Cuenta ()],Estructura_Balance[Niveles:2],"",0)</f>
        <v/>
      </c>
      <c r="W1530" t="str">
        <f>_xlfn.XLOOKUP(Table3[[#This Row],[Cuenta]],Estructura_Balance[Nombre Cuenta ()],Estructura_Balance[Niveles:3],"",0)</f>
        <v/>
      </c>
      <c r="X1530" t="str">
        <f>_xlfn.XLOOKUP(Table3[[#This Row],[Cuenta]],Estructura_Balance[Nombre Cuenta ()],Estructura_Balance[Grupos],"Grupo 1",0)</f>
        <v>Grupo 1</v>
      </c>
      <c r="Y1530" t="str">
        <f>+Table3[[#This Row],[BS_Nivel_1]]</f>
        <v/>
      </c>
    </row>
    <row r="1531" spans="1:25" ht="15" customHeight="1">
      <c r="A1531">
        <f>+'Libro Diario'!F951</f>
        <v>0</v>
      </c>
      <c r="B1531" s="144">
        <f>VALUE(IF(+'Libro Diario'!G951="","01/01/2025",+'Libro Diario'!G951))</f>
        <v>45658</v>
      </c>
      <c r="C1531">
        <f>IF(ISNUMBER(+IF(IFERROR(VALUE(MID('Libro Diario'!D951,1,4)),0)&lt;&gt;0,'Libro Diario'!D951,0))=FALSE,'Libro Diario'!D951,0)</f>
        <v>0</v>
      </c>
      <c r="D1531" s="145">
        <f>+'Libro Diario'!E951</f>
        <v>0</v>
      </c>
      <c r="E1531" s="139" t="s">
        <v>446</v>
      </c>
      <c r="F1531" t="str">
        <f t="shared" si="69"/>
        <v>Sin Mov.</v>
      </c>
      <c r="G1531" t="str">
        <f>IF(+'Libro Diario'!H951=0,"",+'Libro Diario'!H951)</f>
        <v/>
      </c>
      <c r="H1531" t="str">
        <f>IF(+'Libro Diario'!I951=0,"",+'Libro Diario'!I951)</f>
        <v/>
      </c>
      <c r="I1531" t="str">
        <f>+IF(Table3[[#This Row],[Tipo Movimiento]]="Estructura Balance y PyG","Excluir","Incluir")</f>
        <v>Incluir</v>
      </c>
      <c r="J1531" s="153">
        <f>+IF(Table3[[#This Row],[Sin cuenta]]="Con Mov.",(IF(Table3[[#This Row],[Movimiento]]="Debe",Table3[[#This Row],[Importe]],IF(Table3[[#This Row],[Movimiento]]="Haber",Table3[[#This Row],[Importe]]*-1,0))),0)</f>
        <v>0</v>
      </c>
      <c r="K1531" s="145" t="str">
        <f t="shared" si="70"/>
        <v/>
      </c>
      <c r="L1531" s="145">
        <f t="shared" si="71"/>
        <v>0</v>
      </c>
      <c r="M1531" t="str">
        <f>_xlfn.XLOOKUP(Table3[[#This Row],[Cuenta]],Estructura_Balance[Nombre Cuenta ()],Estructura_Balance[Grupo],"",0)</f>
        <v/>
      </c>
      <c r="N1531" t="str">
        <f>_xlfn.XLOOKUP(Table3[[#This Row],[Cuenta]],Estructura_Balance[Nombre Cuenta ()],Estructura_Balance[Nivel 1],"",0)</f>
        <v/>
      </c>
      <c r="O1531" t="str">
        <f>_xlfn.XLOOKUP(Table3[[#This Row],[Cuenta]],Estructura_Balance[Nombre Cuenta ()],Estructura_Balance[Nivel 2],"",0)</f>
        <v/>
      </c>
      <c r="P1531" t="str">
        <f>_xlfn.XLOOKUP(Table3[[#This Row],[Cuenta]],Estructura_Balance[Nombre Cuenta ()],Estructura_Balance[Nivel 3],"",0)</f>
        <v/>
      </c>
      <c r="Q1531" t="str">
        <f>_xlfn.XLOOKUP(Table3[[#This Row],[Cuenta]],Estructura_Balance[Nombre Cuenta ()],Estructura_Balance[Nivel 4],"",0)</f>
        <v/>
      </c>
      <c r="R1531" t="str">
        <f>_xlfn.XLOOKUP(Table3[[#This Row],[Cuenta]],Table8[Nombre Cuenta ()],Table8[Nivel 1],"",0)</f>
        <v/>
      </c>
      <c r="S1531" t="str">
        <f>_xlfn.XLOOKUP(Table3[[#This Row],[Cuenta]],Table8[Nombre Cuenta ()],Table8[Nivel 2],"",0)</f>
        <v/>
      </c>
      <c r="T1531" t="str">
        <f>_xlfn.XLOOKUP(Table3[[#This Row],[Cuenta]],Table8[Nombre Cuenta ()],Table8[Nivel 3],"",0)</f>
        <v/>
      </c>
      <c r="U1531">
        <v>1523</v>
      </c>
      <c r="V1531" t="str">
        <f>_xlfn.XLOOKUP(Table3[[#This Row],[Cuenta]],Estructura_Balance[Nombre Cuenta ()],Estructura_Balance[Niveles:2],"",0)</f>
        <v/>
      </c>
      <c r="W1531" t="str">
        <f>_xlfn.XLOOKUP(Table3[[#This Row],[Cuenta]],Estructura_Balance[Nombre Cuenta ()],Estructura_Balance[Niveles:3],"",0)</f>
        <v/>
      </c>
      <c r="X1531" t="str">
        <f>_xlfn.XLOOKUP(Table3[[#This Row],[Cuenta]],Estructura_Balance[Nombre Cuenta ()],Estructura_Balance[Grupos],"Grupo 1",0)</f>
        <v>Grupo 1</v>
      </c>
      <c r="Y1531" t="str">
        <f>+Table3[[#This Row],[BS_Nivel_1]]</f>
        <v/>
      </c>
    </row>
    <row r="1532" spans="1:25" ht="15" customHeight="1">
      <c r="A1532">
        <f>+'Libro Diario'!F952</f>
        <v>0</v>
      </c>
      <c r="B1532" s="144">
        <f>VALUE(IF(+'Libro Diario'!G952="","01/01/2025",+'Libro Diario'!G952))</f>
        <v>45658</v>
      </c>
      <c r="C1532">
        <f>IF(ISNUMBER(+IF(IFERROR(VALUE(MID('Libro Diario'!D952,1,4)),0)&lt;&gt;0,'Libro Diario'!D952,0))=FALSE,'Libro Diario'!D952,0)</f>
        <v>0</v>
      </c>
      <c r="D1532" s="145">
        <f>+'Libro Diario'!E952</f>
        <v>0</v>
      </c>
      <c r="E1532" s="139" t="s">
        <v>446</v>
      </c>
      <c r="F1532" t="str">
        <f t="shared" si="69"/>
        <v>Sin Mov.</v>
      </c>
      <c r="G1532" t="str">
        <f>IF(+'Libro Diario'!H952=0,"",+'Libro Diario'!H952)</f>
        <v/>
      </c>
      <c r="H1532" t="str">
        <f>IF(+'Libro Diario'!I952=0,"",+'Libro Diario'!I952)</f>
        <v/>
      </c>
      <c r="I1532" t="str">
        <f>+IF(Table3[[#This Row],[Tipo Movimiento]]="Estructura Balance y PyG","Excluir","Incluir")</f>
        <v>Incluir</v>
      </c>
      <c r="J1532" s="153">
        <f>+IF(Table3[[#This Row],[Sin cuenta]]="Con Mov.",(IF(Table3[[#This Row],[Movimiento]]="Debe",Table3[[#This Row],[Importe]],IF(Table3[[#This Row],[Movimiento]]="Haber",Table3[[#This Row],[Importe]]*-1,0))),0)</f>
        <v>0</v>
      </c>
      <c r="K1532" s="145" t="str">
        <f t="shared" si="70"/>
        <v/>
      </c>
      <c r="L1532" s="145">
        <f t="shared" si="71"/>
        <v>0</v>
      </c>
      <c r="M1532" t="str">
        <f>_xlfn.XLOOKUP(Table3[[#This Row],[Cuenta]],Estructura_Balance[Nombre Cuenta ()],Estructura_Balance[Grupo],"",0)</f>
        <v/>
      </c>
      <c r="N1532" t="str">
        <f>_xlfn.XLOOKUP(Table3[[#This Row],[Cuenta]],Estructura_Balance[Nombre Cuenta ()],Estructura_Balance[Nivel 1],"",0)</f>
        <v/>
      </c>
      <c r="O1532" t="str">
        <f>_xlfn.XLOOKUP(Table3[[#This Row],[Cuenta]],Estructura_Balance[Nombre Cuenta ()],Estructura_Balance[Nivel 2],"",0)</f>
        <v/>
      </c>
      <c r="P1532" t="str">
        <f>_xlfn.XLOOKUP(Table3[[#This Row],[Cuenta]],Estructura_Balance[Nombre Cuenta ()],Estructura_Balance[Nivel 3],"",0)</f>
        <v/>
      </c>
      <c r="Q1532" t="str">
        <f>_xlfn.XLOOKUP(Table3[[#This Row],[Cuenta]],Estructura_Balance[Nombre Cuenta ()],Estructura_Balance[Nivel 4],"",0)</f>
        <v/>
      </c>
      <c r="R1532" t="str">
        <f>_xlfn.XLOOKUP(Table3[[#This Row],[Cuenta]],Table8[Nombre Cuenta ()],Table8[Nivel 1],"",0)</f>
        <v/>
      </c>
      <c r="S1532" t="str">
        <f>_xlfn.XLOOKUP(Table3[[#This Row],[Cuenta]],Table8[Nombre Cuenta ()],Table8[Nivel 2],"",0)</f>
        <v/>
      </c>
      <c r="T1532" t="str">
        <f>_xlfn.XLOOKUP(Table3[[#This Row],[Cuenta]],Table8[Nombre Cuenta ()],Table8[Nivel 3],"",0)</f>
        <v/>
      </c>
      <c r="U1532">
        <v>1524</v>
      </c>
      <c r="V1532" t="str">
        <f>_xlfn.XLOOKUP(Table3[[#This Row],[Cuenta]],Estructura_Balance[Nombre Cuenta ()],Estructura_Balance[Niveles:2],"",0)</f>
        <v/>
      </c>
      <c r="W1532" t="str">
        <f>_xlfn.XLOOKUP(Table3[[#This Row],[Cuenta]],Estructura_Balance[Nombre Cuenta ()],Estructura_Balance[Niveles:3],"",0)</f>
        <v/>
      </c>
      <c r="X1532" t="str">
        <f>_xlfn.XLOOKUP(Table3[[#This Row],[Cuenta]],Estructura_Balance[Nombre Cuenta ()],Estructura_Balance[Grupos],"Grupo 1",0)</f>
        <v>Grupo 1</v>
      </c>
      <c r="Y1532" t="str">
        <f>+Table3[[#This Row],[BS_Nivel_1]]</f>
        <v/>
      </c>
    </row>
    <row r="1533" spans="1:25" ht="15" customHeight="1">
      <c r="A1533">
        <f>+'Libro Diario'!F953</f>
        <v>0</v>
      </c>
      <c r="B1533" s="144">
        <f>VALUE(IF(+'Libro Diario'!G953="","01/01/2025",+'Libro Diario'!G953))</f>
        <v>45658</v>
      </c>
      <c r="C1533">
        <f>IF(ISNUMBER(+IF(IFERROR(VALUE(MID('Libro Diario'!D953,1,4)),0)&lt;&gt;0,'Libro Diario'!D953,0))=FALSE,'Libro Diario'!D953,0)</f>
        <v>0</v>
      </c>
      <c r="D1533" s="145">
        <f>+'Libro Diario'!E953</f>
        <v>0</v>
      </c>
      <c r="E1533" s="139" t="s">
        <v>446</v>
      </c>
      <c r="F1533" t="str">
        <f t="shared" si="69"/>
        <v>Sin Mov.</v>
      </c>
      <c r="G1533" t="str">
        <f>IF(+'Libro Diario'!H953=0,"",+'Libro Diario'!H953)</f>
        <v/>
      </c>
      <c r="H1533" t="str">
        <f>IF(+'Libro Diario'!I953=0,"",+'Libro Diario'!I953)</f>
        <v/>
      </c>
      <c r="I1533" t="str">
        <f>+IF(Table3[[#This Row],[Tipo Movimiento]]="Estructura Balance y PyG","Excluir","Incluir")</f>
        <v>Incluir</v>
      </c>
      <c r="J1533" s="153">
        <f>+IF(Table3[[#This Row],[Sin cuenta]]="Con Mov.",(IF(Table3[[#This Row],[Movimiento]]="Debe",Table3[[#This Row],[Importe]],IF(Table3[[#This Row],[Movimiento]]="Haber",Table3[[#This Row],[Importe]]*-1,0))),0)</f>
        <v>0</v>
      </c>
      <c r="K1533" s="145" t="str">
        <f t="shared" si="70"/>
        <v/>
      </c>
      <c r="L1533" s="145">
        <f t="shared" si="71"/>
        <v>0</v>
      </c>
      <c r="M1533" t="str">
        <f>_xlfn.XLOOKUP(Table3[[#This Row],[Cuenta]],Estructura_Balance[Nombre Cuenta ()],Estructura_Balance[Grupo],"",0)</f>
        <v/>
      </c>
      <c r="N1533" t="str">
        <f>_xlfn.XLOOKUP(Table3[[#This Row],[Cuenta]],Estructura_Balance[Nombre Cuenta ()],Estructura_Balance[Nivel 1],"",0)</f>
        <v/>
      </c>
      <c r="O1533" t="str">
        <f>_xlfn.XLOOKUP(Table3[[#This Row],[Cuenta]],Estructura_Balance[Nombre Cuenta ()],Estructura_Balance[Nivel 2],"",0)</f>
        <v/>
      </c>
      <c r="P1533" t="str">
        <f>_xlfn.XLOOKUP(Table3[[#This Row],[Cuenta]],Estructura_Balance[Nombre Cuenta ()],Estructura_Balance[Nivel 3],"",0)</f>
        <v/>
      </c>
      <c r="Q1533" t="str">
        <f>_xlfn.XLOOKUP(Table3[[#This Row],[Cuenta]],Estructura_Balance[Nombre Cuenta ()],Estructura_Balance[Nivel 4],"",0)</f>
        <v/>
      </c>
      <c r="R1533" t="str">
        <f>_xlfn.XLOOKUP(Table3[[#This Row],[Cuenta]],Table8[Nombre Cuenta ()],Table8[Nivel 1],"",0)</f>
        <v/>
      </c>
      <c r="S1533" t="str">
        <f>_xlfn.XLOOKUP(Table3[[#This Row],[Cuenta]],Table8[Nombre Cuenta ()],Table8[Nivel 2],"",0)</f>
        <v/>
      </c>
      <c r="T1533" t="str">
        <f>_xlfn.XLOOKUP(Table3[[#This Row],[Cuenta]],Table8[Nombre Cuenta ()],Table8[Nivel 3],"",0)</f>
        <v/>
      </c>
      <c r="U1533">
        <v>1525</v>
      </c>
      <c r="V1533" t="str">
        <f>_xlfn.XLOOKUP(Table3[[#This Row],[Cuenta]],Estructura_Balance[Nombre Cuenta ()],Estructura_Balance[Niveles:2],"",0)</f>
        <v/>
      </c>
      <c r="W1533" t="str">
        <f>_xlfn.XLOOKUP(Table3[[#This Row],[Cuenta]],Estructura_Balance[Nombre Cuenta ()],Estructura_Balance[Niveles:3],"",0)</f>
        <v/>
      </c>
      <c r="X1533" t="str">
        <f>_xlfn.XLOOKUP(Table3[[#This Row],[Cuenta]],Estructura_Balance[Nombre Cuenta ()],Estructura_Balance[Grupos],"Grupo 1",0)</f>
        <v>Grupo 1</v>
      </c>
      <c r="Y1533" t="str">
        <f>+Table3[[#This Row],[BS_Nivel_1]]</f>
        <v/>
      </c>
    </row>
    <row r="1534" spans="1:25" ht="15" customHeight="1">
      <c r="A1534">
        <f>+'Libro Diario'!F954</f>
        <v>0</v>
      </c>
      <c r="B1534" s="144">
        <f>VALUE(IF(+'Libro Diario'!G954="","01/01/2025",+'Libro Diario'!G954))</f>
        <v>45658</v>
      </c>
      <c r="C1534">
        <f>IF(ISNUMBER(+IF(IFERROR(VALUE(MID('Libro Diario'!D954,1,4)),0)&lt;&gt;0,'Libro Diario'!D954,0))=FALSE,'Libro Diario'!D954,0)</f>
        <v>0</v>
      </c>
      <c r="D1534" s="145">
        <f>+'Libro Diario'!E954</f>
        <v>0</v>
      </c>
      <c r="E1534" s="139" t="s">
        <v>446</v>
      </c>
      <c r="F1534" t="str">
        <f t="shared" si="69"/>
        <v>Sin Mov.</v>
      </c>
      <c r="G1534" t="str">
        <f>IF(+'Libro Diario'!H954=0,"",+'Libro Diario'!H954)</f>
        <v/>
      </c>
      <c r="H1534" t="str">
        <f>IF(+'Libro Diario'!I954=0,"",+'Libro Diario'!I954)</f>
        <v/>
      </c>
      <c r="I1534" t="str">
        <f>+IF(Table3[[#This Row],[Tipo Movimiento]]="Estructura Balance y PyG","Excluir","Incluir")</f>
        <v>Incluir</v>
      </c>
      <c r="J1534" s="153">
        <f>+IF(Table3[[#This Row],[Sin cuenta]]="Con Mov.",(IF(Table3[[#This Row],[Movimiento]]="Debe",Table3[[#This Row],[Importe]],IF(Table3[[#This Row],[Movimiento]]="Haber",Table3[[#This Row],[Importe]]*-1,0))),0)</f>
        <v>0</v>
      </c>
      <c r="K1534" s="145" t="str">
        <f t="shared" si="70"/>
        <v/>
      </c>
      <c r="L1534" s="145">
        <f t="shared" si="71"/>
        <v>0</v>
      </c>
      <c r="M1534" t="str">
        <f>_xlfn.XLOOKUP(Table3[[#This Row],[Cuenta]],Estructura_Balance[Nombre Cuenta ()],Estructura_Balance[Grupo],"",0)</f>
        <v/>
      </c>
      <c r="N1534" t="str">
        <f>_xlfn.XLOOKUP(Table3[[#This Row],[Cuenta]],Estructura_Balance[Nombre Cuenta ()],Estructura_Balance[Nivel 1],"",0)</f>
        <v/>
      </c>
      <c r="O1534" t="str">
        <f>_xlfn.XLOOKUP(Table3[[#This Row],[Cuenta]],Estructura_Balance[Nombre Cuenta ()],Estructura_Balance[Nivel 2],"",0)</f>
        <v/>
      </c>
      <c r="P1534" t="str">
        <f>_xlfn.XLOOKUP(Table3[[#This Row],[Cuenta]],Estructura_Balance[Nombre Cuenta ()],Estructura_Balance[Nivel 3],"",0)</f>
        <v/>
      </c>
      <c r="Q1534" t="str">
        <f>_xlfn.XLOOKUP(Table3[[#This Row],[Cuenta]],Estructura_Balance[Nombre Cuenta ()],Estructura_Balance[Nivel 4],"",0)</f>
        <v/>
      </c>
      <c r="R1534" t="str">
        <f>_xlfn.XLOOKUP(Table3[[#This Row],[Cuenta]],Table8[Nombre Cuenta ()],Table8[Nivel 1],"",0)</f>
        <v/>
      </c>
      <c r="S1534" t="str">
        <f>_xlfn.XLOOKUP(Table3[[#This Row],[Cuenta]],Table8[Nombre Cuenta ()],Table8[Nivel 2],"",0)</f>
        <v/>
      </c>
      <c r="T1534" t="str">
        <f>_xlfn.XLOOKUP(Table3[[#This Row],[Cuenta]],Table8[Nombre Cuenta ()],Table8[Nivel 3],"",0)</f>
        <v/>
      </c>
      <c r="U1534">
        <v>1526</v>
      </c>
      <c r="V1534" t="str">
        <f>_xlfn.XLOOKUP(Table3[[#This Row],[Cuenta]],Estructura_Balance[Nombre Cuenta ()],Estructura_Balance[Niveles:2],"",0)</f>
        <v/>
      </c>
      <c r="W1534" t="str">
        <f>_xlfn.XLOOKUP(Table3[[#This Row],[Cuenta]],Estructura_Balance[Nombre Cuenta ()],Estructura_Balance[Niveles:3],"",0)</f>
        <v/>
      </c>
      <c r="X1534" t="str">
        <f>_xlfn.XLOOKUP(Table3[[#This Row],[Cuenta]],Estructura_Balance[Nombre Cuenta ()],Estructura_Balance[Grupos],"Grupo 1",0)</f>
        <v>Grupo 1</v>
      </c>
      <c r="Y1534" t="str">
        <f>+Table3[[#This Row],[BS_Nivel_1]]</f>
        <v/>
      </c>
    </row>
    <row r="1535" spans="1:25" ht="15" customHeight="1">
      <c r="A1535">
        <f>+'Libro Diario'!F955</f>
        <v>0</v>
      </c>
      <c r="B1535" s="144">
        <f>VALUE(IF(+'Libro Diario'!G955="","01/01/2025",+'Libro Diario'!G955))</f>
        <v>45658</v>
      </c>
      <c r="C1535">
        <f>IF(ISNUMBER(+IF(IFERROR(VALUE(MID('Libro Diario'!D955,1,4)),0)&lt;&gt;0,'Libro Diario'!D955,0))=FALSE,'Libro Diario'!D955,0)</f>
        <v>0</v>
      </c>
      <c r="D1535" s="145">
        <f>+'Libro Diario'!E955</f>
        <v>0</v>
      </c>
      <c r="E1535" s="139" t="s">
        <v>446</v>
      </c>
      <c r="F1535" t="str">
        <f t="shared" si="69"/>
        <v>Sin Mov.</v>
      </c>
      <c r="G1535" t="str">
        <f>IF(+'Libro Diario'!H955=0,"",+'Libro Diario'!H955)</f>
        <v/>
      </c>
      <c r="H1535" t="str">
        <f>IF(+'Libro Diario'!I955=0,"",+'Libro Diario'!I955)</f>
        <v/>
      </c>
      <c r="I1535" t="str">
        <f>+IF(Table3[[#This Row],[Tipo Movimiento]]="Estructura Balance y PyG","Excluir","Incluir")</f>
        <v>Incluir</v>
      </c>
      <c r="J1535" s="153">
        <f>+IF(Table3[[#This Row],[Sin cuenta]]="Con Mov.",(IF(Table3[[#This Row],[Movimiento]]="Debe",Table3[[#This Row],[Importe]],IF(Table3[[#This Row],[Movimiento]]="Haber",Table3[[#This Row],[Importe]]*-1,0))),0)</f>
        <v>0</v>
      </c>
      <c r="K1535" s="145" t="str">
        <f t="shared" si="70"/>
        <v/>
      </c>
      <c r="L1535" s="145">
        <f t="shared" si="71"/>
        <v>0</v>
      </c>
      <c r="M1535" t="str">
        <f>_xlfn.XLOOKUP(Table3[[#This Row],[Cuenta]],Estructura_Balance[Nombre Cuenta ()],Estructura_Balance[Grupo],"",0)</f>
        <v/>
      </c>
      <c r="N1535" t="str">
        <f>_xlfn.XLOOKUP(Table3[[#This Row],[Cuenta]],Estructura_Balance[Nombre Cuenta ()],Estructura_Balance[Nivel 1],"",0)</f>
        <v/>
      </c>
      <c r="O1535" t="str">
        <f>_xlfn.XLOOKUP(Table3[[#This Row],[Cuenta]],Estructura_Balance[Nombre Cuenta ()],Estructura_Balance[Nivel 2],"",0)</f>
        <v/>
      </c>
      <c r="P1535" t="str">
        <f>_xlfn.XLOOKUP(Table3[[#This Row],[Cuenta]],Estructura_Balance[Nombre Cuenta ()],Estructura_Balance[Nivel 3],"",0)</f>
        <v/>
      </c>
      <c r="Q1535" t="str">
        <f>_xlfn.XLOOKUP(Table3[[#This Row],[Cuenta]],Estructura_Balance[Nombre Cuenta ()],Estructura_Balance[Nivel 4],"",0)</f>
        <v/>
      </c>
      <c r="R1535" t="str">
        <f>_xlfn.XLOOKUP(Table3[[#This Row],[Cuenta]],Table8[Nombre Cuenta ()],Table8[Nivel 1],"",0)</f>
        <v/>
      </c>
      <c r="S1535" t="str">
        <f>_xlfn.XLOOKUP(Table3[[#This Row],[Cuenta]],Table8[Nombre Cuenta ()],Table8[Nivel 2],"",0)</f>
        <v/>
      </c>
      <c r="T1535" t="str">
        <f>_xlfn.XLOOKUP(Table3[[#This Row],[Cuenta]],Table8[Nombre Cuenta ()],Table8[Nivel 3],"",0)</f>
        <v/>
      </c>
      <c r="U1535">
        <v>1527</v>
      </c>
      <c r="V1535" t="str">
        <f>_xlfn.XLOOKUP(Table3[[#This Row],[Cuenta]],Estructura_Balance[Nombre Cuenta ()],Estructura_Balance[Niveles:2],"",0)</f>
        <v/>
      </c>
      <c r="W1535" t="str">
        <f>_xlfn.XLOOKUP(Table3[[#This Row],[Cuenta]],Estructura_Balance[Nombre Cuenta ()],Estructura_Balance[Niveles:3],"",0)</f>
        <v/>
      </c>
      <c r="X1535" t="str">
        <f>_xlfn.XLOOKUP(Table3[[#This Row],[Cuenta]],Estructura_Balance[Nombre Cuenta ()],Estructura_Balance[Grupos],"Grupo 1",0)</f>
        <v>Grupo 1</v>
      </c>
      <c r="Y1535" t="str">
        <f>+Table3[[#This Row],[BS_Nivel_1]]</f>
        <v/>
      </c>
    </row>
    <row r="1536" spans="1:25" ht="15" customHeight="1">
      <c r="A1536">
        <f>+'Libro Diario'!F956</f>
        <v>0</v>
      </c>
      <c r="B1536" s="144">
        <f>VALUE(IF(+'Libro Diario'!G956="","01/01/2025",+'Libro Diario'!G956))</f>
        <v>45658</v>
      </c>
      <c r="C1536">
        <f>IF(ISNUMBER(+IF(IFERROR(VALUE(MID('Libro Diario'!D956,1,4)),0)&lt;&gt;0,'Libro Diario'!D956,0))=FALSE,'Libro Diario'!D956,0)</f>
        <v>0</v>
      </c>
      <c r="D1536" s="145">
        <f>+'Libro Diario'!E956</f>
        <v>0</v>
      </c>
      <c r="E1536" s="139" t="s">
        <v>446</v>
      </c>
      <c r="F1536" t="str">
        <f t="shared" si="69"/>
        <v>Sin Mov.</v>
      </c>
      <c r="G1536" t="str">
        <f>IF(+'Libro Diario'!H956=0,"",+'Libro Diario'!H956)</f>
        <v/>
      </c>
      <c r="H1536" t="str">
        <f>IF(+'Libro Diario'!I956=0,"",+'Libro Diario'!I956)</f>
        <v/>
      </c>
      <c r="I1536" t="str">
        <f>+IF(Table3[[#This Row],[Tipo Movimiento]]="Estructura Balance y PyG","Excluir","Incluir")</f>
        <v>Incluir</v>
      </c>
      <c r="J1536" s="153">
        <f>+IF(Table3[[#This Row],[Sin cuenta]]="Con Mov.",(IF(Table3[[#This Row],[Movimiento]]="Debe",Table3[[#This Row],[Importe]],IF(Table3[[#This Row],[Movimiento]]="Haber",Table3[[#This Row],[Importe]]*-1,0))),0)</f>
        <v>0</v>
      </c>
      <c r="K1536" s="145" t="str">
        <f t="shared" si="70"/>
        <v/>
      </c>
      <c r="L1536" s="145">
        <f t="shared" si="71"/>
        <v>0</v>
      </c>
      <c r="M1536" t="str">
        <f>_xlfn.XLOOKUP(Table3[[#This Row],[Cuenta]],Estructura_Balance[Nombre Cuenta ()],Estructura_Balance[Grupo],"",0)</f>
        <v/>
      </c>
      <c r="N1536" t="str">
        <f>_xlfn.XLOOKUP(Table3[[#This Row],[Cuenta]],Estructura_Balance[Nombre Cuenta ()],Estructura_Balance[Nivel 1],"",0)</f>
        <v/>
      </c>
      <c r="O1536" t="str">
        <f>_xlfn.XLOOKUP(Table3[[#This Row],[Cuenta]],Estructura_Balance[Nombre Cuenta ()],Estructura_Balance[Nivel 2],"",0)</f>
        <v/>
      </c>
      <c r="P1536" t="str">
        <f>_xlfn.XLOOKUP(Table3[[#This Row],[Cuenta]],Estructura_Balance[Nombre Cuenta ()],Estructura_Balance[Nivel 3],"",0)</f>
        <v/>
      </c>
      <c r="Q1536" t="str">
        <f>_xlfn.XLOOKUP(Table3[[#This Row],[Cuenta]],Estructura_Balance[Nombre Cuenta ()],Estructura_Balance[Nivel 4],"",0)</f>
        <v/>
      </c>
      <c r="R1536" t="str">
        <f>_xlfn.XLOOKUP(Table3[[#This Row],[Cuenta]],Table8[Nombre Cuenta ()],Table8[Nivel 1],"",0)</f>
        <v/>
      </c>
      <c r="S1536" t="str">
        <f>_xlfn.XLOOKUP(Table3[[#This Row],[Cuenta]],Table8[Nombre Cuenta ()],Table8[Nivel 2],"",0)</f>
        <v/>
      </c>
      <c r="T1536" t="str">
        <f>_xlfn.XLOOKUP(Table3[[#This Row],[Cuenta]],Table8[Nombre Cuenta ()],Table8[Nivel 3],"",0)</f>
        <v/>
      </c>
      <c r="U1536">
        <v>1528</v>
      </c>
      <c r="V1536" t="str">
        <f>_xlfn.XLOOKUP(Table3[[#This Row],[Cuenta]],Estructura_Balance[Nombre Cuenta ()],Estructura_Balance[Niveles:2],"",0)</f>
        <v/>
      </c>
      <c r="W1536" t="str">
        <f>_xlfn.XLOOKUP(Table3[[#This Row],[Cuenta]],Estructura_Balance[Nombre Cuenta ()],Estructura_Balance[Niveles:3],"",0)</f>
        <v/>
      </c>
      <c r="X1536" t="str">
        <f>_xlfn.XLOOKUP(Table3[[#This Row],[Cuenta]],Estructura_Balance[Nombre Cuenta ()],Estructura_Balance[Grupos],"Grupo 1",0)</f>
        <v>Grupo 1</v>
      </c>
      <c r="Y1536" t="str">
        <f>+Table3[[#This Row],[BS_Nivel_1]]</f>
        <v/>
      </c>
    </row>
    <row r="1537" spans="1:25" ht="15" customHeight="1">
      <c r="A1537">
        <f>+'Libro Diario'!F957</f>
        <v>0</v>
      </c>
      <c r="B1537" s="144">
        <f>VALUE(IF(+'Libro Diario'!G957="","01/01/2025",+'Libro Diario'!G957))</f>
        <v>45658</v>
      </c>
      <c r="C1537">
        <f>IF(ISNUMBER(+IF(IFERROR(VALUE(MID('Libro Diario'!D957,1,4)),0)&lt;&gt;0,'Libro Diario'!D957,0))=FALSE,'Libro Diario'!D957,0)</f>
        <v>0</v>
      </c>
      <c r="D1537" s="145">
        <f>+'Libro Diario'!E957</f>
        <v>0</v>
      </c>
      <c r="E1537" s="139" t="s">
        <v>446</v>
      </c>
      <c r="F1537" t="str">
        <f t="shared" si="69"/>
        <v>Sin Mov.</v>
      </c>
      <c r="G1537" t="str">
        <f>IF(+'Libro Diario'!H957=0,"",+'Libro Diario'!H957)</f>
        <v/>
      </c>
      <c r="H1537" t="str">
        <f>IF(+'Libro Diario'!I957=0,"",+'Libro Diario'!I957)</f>
        <v/>
      </c>
      <c r="I1537" t="str">
        <f>+IF(Table3[[#This Row],[Tipo Movimiento]]="Estructura Balance y PyG","Excluir","Incluir")</f>
        <v>Incluir</v>
      </c>
      <c r="J1537" s="153">
        <f>+IF(Table3[[#This Row],[Sin cuenta]]="Con Mov.",(IF(Table3[[#This Row],[Movimiento]]="Debe",Table3[[#This Row],[Importe]],IF(Table3[[#This Row],[Movimiento]]="Haber",Table3[[#This Row],[Importe]]*-1,0))),0)</f>
        <v>0</v>
      </c>
      <c r="K1537" s="145" t="str">
        <f t="shared" si="70"/>
        <v/>
      </c>
      <c r="L1537" s="145">
        <f t="shared" si="71"/>
        <v>0</v>
      </c>
      <c r="M1537" t="str">
        <f>_xlfn.XLOOKUP(Table3[[#This Row],[Cuenta]],Estructura_Balance[Nombre Cuenta ()],Estructura_Balance[Grupo],"",0)</f>
        <v/>
      </c>
      <c r="N1537" t="str">
        <f>_xlfn.XLOOKUP(Table3[[#This Row],[Cuenta]],Estructura_Balance[Nombre Cuenta ()],Estructura_Balance[Nivel 1],"",0)</f>
        <v/>
      </c>
      <c r="O1537" t="str">
        <f>_xlfn.XLOOKUP(Table3[[#This Row],[Cuenta]],Estructura_Balance[Nombre Cuenta ()],Estructura_Balance[Nivel 2],"",0)</f>
        <v/>
      </c>
      <c r="P1537" t="str">
        <f>_xlfn.XLOOKUP(Table3[[#This Row],[Cuenta]],Estructura_Balance[Nombre Cuenta ()],Estructura_Balance[Nivel 3],"",0)</f>
        <v/>
      </c>
      <c r="Q1537" t="str">
        <f>_xlfn.XLOOKUP(Table3[[#This Row],[Cuenta]],Estructura_Balance[Nombre Cuenta ()],Estructura_Balance[Nivel 4],"",0)</f>
        <v/>
      </c>
      <c r="R1537" t="str">
        <f>_xlfn.XLOOKUP(Table3[[#This Row],[Cuenta]],Table8[Nombre Cuenta ()],Table8[Nivel 1],"",0)</f>
        <v/>
      </c>
      <c r="S1537" t="str">
        <f>_xlfn.XLOOKUP(Table3[[#This Row],[Cuenta]],Table8[Nombre Cuenta ()],Table8[Nivel 2],"",0)</f>
        <v/>
      </c>
      <c r="T1537" t="str">
        <f>_xlfn.XLOOKUP(Table3[[#This Row],[Cuenta]],Table8[Nombre Cuenta ()],Table8[Nivel 3],"",0)</f>
        <v/>
      </c>
      <c r="U1537">
        <v>1529</v>
      </c>
      <c r="V1537" t="str">
        <f>_xlfn.XLOOKUP(Table3[[#This Row],[Cuenta]],Estructura_Balance[Nombre Cuenta ()],Estructura_Balance[Niveles:2],"",0)</f>
        <v/>
      </c>
      <c r="W1537" t="str">
        <f>_xlfn.XLOOKUP(Table3[[#This Row],[Cuenta]],Estructura_Balance[Nombre Cuenta ()],Estructura_Balance[Niveles:3],"",0)</f>
        <v/>
      </c>
      <c r="X1537" t="str">
        <f>_xlfn.XLOOKUP(Table3[[#This Row],[Cuenta]],Estructura_Balance[Nombre Cuenta ()],Estructura_Balance[Grupos],"Grupo 1",0)</f>
        <v>Grupo 1</v>
      </c>
      <c r="Y1537" t="str">
        <f>+Table3[[#This Row],[BS_Nivel_1]]</f>
        <v/>
      </c>
    </row>
    <row r="1538" spans="1:25" ht="15" customHeight="1">
      <c r="A1538">
        <f>+'Libro Diario'!F958</f>
        <v>0</v>
      </c>
      <c r="B1538" s="144">
        <f>VALUE(IF(+'Libro Diario'!G958="","01/01/2025",+'Libro Diario'!G958))</f>
        <v>45658</v>
      </c>
      <c r="C1538">
        <f>IF(ISNUMBER(+IF(IFERROR(VALUE(MID('Libro Diario'!D958,1,4)),0)&lt;&gt;0,'Libro Diario'!D958,0))=FALSE,'Libro Diario'!D958,0)</f>
        <v>0</v>
      </c>
      <c r="D1538" s="145">
        <f>+'Libro Diario'!E958</f>
        <v>0</v>
      </c>
      <c r="E1538" s="139" t="s">
        <v>446</v>
      </c>
      <c r="F1538" t="str">
        <f t="shared" si="69"/>
        <v>Sin Mov.</v>
      </c>
      <c r="G1538" t="str">
        <f>IF(+'Libro Diario'!H958=0,"",+'Libro Diario'!H958)</f>
        <v/>
      </c>
      <c r="H1538" t="str">
        <f>IF(+'Libro Diario'!I958=0,"",+'Libro Diario'!I958)</f>
        <v/>
      </c>
      <c r="I1538" t="str">
        <f>+IF(Table3[[#This Row],[Tipo Movimiento]]="Estructura Balance y PyG","Excluir","Incluir")</f>
        <v>Incluir</v>
      </c>
      <c r="J1538" s="153">
        <f>+IF(Table3[[#This Row],[Sin cuenta]]="Con Mov.",(IF(Table3[[#This Row],[Movimiento]]="Debe",Table3[[#This Row],[Importe]],IF(Table3[[#This Row],[Movimiento]]="Haber",Table3[[#This Row],[Importe]]*-1,0))),0)</f>
        <v>0</v>
      </c>
      <c r="K1538" s="145" t="str">
        <f t="shared" si="70"/>
        <v/>
      </c>
      <c r="L1538" s="145">
        <f t="shared" si="71"/>
        <v>0</v>
      </c>
      <c r="M1538" t="str">
        <f>_xlfn.XLOOKUP(Table3[[#This Row],[Cuenta]],Estructura_Balance[Nombre Cuenta ()],Estructura_Balance[Grupo],"",0)</f>
        <v/>
      </c>
      <c r="N1538" t="str">
        <f>_xlfn.XLOOKUP(Table3[[#This Row],[Cuenta]],Estructura_Balance[Nombre Cuenta ()],Estructura_Balance[Nivel 1],"",0)</f>
        <v/>
      </c>
      <c r="O1538" t="str">
        <f>_xlfn.XLOOKUP(Table3[[#This Row],[Cuenta]],Estructura_Balance[Nombre Cuenta ()],Estructura_Balance[Nivel 2],"",0)</f>
        <v/>
      </c>
      <c r="P1538" t="str">
        <f>_xlfn.XLOOKUP(Table3[[#This Row],[Cuenta]],Estructura_Balance[Nombre Cuenta ()],Estructura_Balance[Nivel 3],"",0)</f>
        <v/>
      </c>
      <c r="Q1538" t="str">
        <f>_xlfn.XLOOKUP(Table3[[#This Row],[Cuenta]],Estructura_Balance[Nombre Cuenta ()],Estructura_Balance[Nivel 4],"",0)</f>
        <v/>
      </c>
      <c r="R1538" t="str">
        <f>_xlfn.XLOOKUP(Table3[[#This Row],[Cuenta]],Table8[Nombre Cuenta ()],Table8[Nivel 1],"",0)</f>
        <v/>
      </c>
      <c r="S1538" t="str">
        <f>_xlfn.XLOOKUP(Table3[[#This Row],[Cuenta]],Table8[Nombre Cuenta ()],Table8[Nivel 2],"",0)</f>
        <v/>
      </c>
      <c r="T1538" t="str">
        <f>_xlfn.XLOOKUP(Table3[[#This Row],[Cuenta]],Table8[Nombre Cuenta ()],Table8[Nivel 3],"",0)</f>
        <v/>
      </c>
      <c r="U1538">
        <v>1530</v>
      </c>
      <c r="V1538" t="str">
        <f>_xlfn.XLOOKUP(Table3[[#This Row],[Cuenta]],Estructura_Balance[Nombre Cuenta ()],Estructura_Balance[Niveles:2],"",0)</f>
        <v/>
      </c>
      <c r="W1538" t="str">
        <f>_xlfn.XLOOKUP(Table3[[#This Row],[Cuenta]],Estructura_Balance[Nombre Cuenta ()],Estructura_Balance[Niveles:3],"",0)</f>
        <v/>
      </c>
      <c r="X1538" t="str">
        <f>_xlfn.XLOOKUP(Table3[[#This Row],[Cuenta]],Estructura_Balance[Nombre Cuenta ()],Estructura_Balance[Grupos],"Grupo 1",0)</f>
        <v>Grupo 1</v>
      </c>
      <c r="Y1538" t="str">
        <f>+Table3[[#This Row],[BS_Nivel_1]]</f>
        <v/>
      </c>
    </row>
    <row r="1539" spans="1:25" ht="15" customHeight="1">
      <c r="A1539">
        <f>+'Libro Diario'!F959</f>
        <v>0</v>
      </c>
      <c r="B1539" s="144">
        <f>VALUE(IF(+'Libro Diario'!G959="","01/01/2025",+'Libro Diario'!G959))</f>
        <v>45658</v>
      </c>
      <c r="C1539">
        <f>IF(ISNUMBER(+IF(IFERROR(VALUE(MID('Libro Diario'!D959,1,4)),0)&lt;&gt;0,'Libro Diario'!D959,0))=FALSE,'Libro Diario'!D959,0)</f>
        <v>0</v>
      </c>
      <c r="D1539" s="145">
        <f>+'Libro Diario'!E959</f>
        <v>0</v>
      </c>
      <c r="E1539" s="139" t="s">
        <v>446</v>
      </c>
      <c r="F1539" t="str">
        <f t="shared" ref="F1539:F1602" si="72">+IF(C1539=0,"Sin Mov.","Con Mov.")</f>
        <v>Sin Mov.</v>
      </c>
      <c r="G1539" t="str">
        <f>IF(+'Libro Diario'!H959=0,"",+'Libro Diario'!H959)</f>
        <v/>
      </c>
      <c r="H1539" t="str">
        <f>IF(+'Libro Diario'!I959=0,"",+'Libro Diario'!I959)</f>
        <v/>
      </c>
      <c r="I1539" t="str">
        <f>+IF(Table3[[#This Row],[Tipo Movimiento]]="Estructura Balance y PyG","Excluir","Incluir")</f>
        <v>Incluir</v>
      </c>
      <c r="J1539" s="153">
        <f>+IF(Table3[[#This Row],[Sin cuenta]]="Con Mov.",(IF(Table3[[#This Row],[Movimiento]]="Debe",Table3[[#This Row],[Importe]],IF(Table3[[#This Row],[Movimiento]]="Haber",Table3[[#This Row],[Importe]]*-1,0))),0)</f>
        <v>0</v>
      </c>
      <c r="K1539" s="145" t="str">
        <f t="shared" ref="K1539:K1602" si="73">+IF(E1539="Debe",D1539,"")</f>
        <v/>
      </c>
      <c r="L1539" s="145">
        <f t="shared" ref="L1539:L1602" si="74">+IF(E1539="Haber",D1539,"")</f>
        <v>0</v>
      </c>
      <c r="M1539" t="str">
        <f>_xlfn.XLOOKUP(Table3[[#This Row],[Cuenta]],Estructura_Balance[Nombre Cuenta ()],Estructura_Balance[Grupo],"",0)</f>
        <v/>
      </c>
      <c r="N1539" t="str">
        <f>_xlfn.XLOOKUP(Table3[[#This Row],[Cuenta]],Estructura_Balance[Nombre Cuenta ()],Estructura_Balance[Nivel 1],"",0)</f>
        <v/>
      </c>
      <c r="O1539" t="str">
        <f>_xlfn.XLOOKUP(Table3[[#This Row],[Cuenta]],Estructura_Balance[Nombre Cuenta ()],Estructura_Balance[Nivel 2],"",0)</f>
        <v/>
      </c>
      <c r="P1539" t="str">
        <f>_xlfn.XLOOKUP(Table3[[#This Row],[Cuenta]],Estructura_Balance[Nombre Cuenta ()],Estructura_Balance[Nivel 3],"",0)</f>
        <v/>
      </c>
      <c r="Q1539" t="str">
        <f>_xlfn.XLOOKUP(Table3[[#This Row],[Cuenta]],Estructura_Balance[Nombre Cuenta ()],Estructura_Balance[Nivel 4],"",0)</f>
        <v/>
      </c>
      <c r="R1539" t="str">
        <f>_xlfn.XLOOKUP(Table3[[#This Row],[Cuenta]],Table8[Nombre Cuenta ()],Table8[Nivel 1],"",0)</f>
        <v/>
      </c>
      <c r="S1539" t="str">
        <f>_xlfn.XLOOKUP(Table3[[#This Row],[Cuenta]],Table8[Nombre Cuenta ()],Table8[Nivel 2],"",0)</f>
        <v/>
      </c>
      <c r="T1539" t="str">
        <f>_xlfn.XLOOKUP(Table3[[#This Row],[Cuenta]],Table8[Nombre Cuenta ()],Table8[Nivel 3],"",0)</f>
        <v/>
      </c>
      <c r="U1539">
        <v>538</v>
      </c>
      <c r="V1539" t="str">
        <f>_xlfn.XLOOKUP(Table3[[#This Row],[Cuenta]],Estructura_Balance[Nombre Cuenta ()],Estructura_Balance[Niveles:2],"",0)</f>
        <v/>
      </c>
      <c r="W1539" t="str">
        <f>_xlfn.XLOOKUP(Table3[[#This Row],[Cuenta]],Estructura_Balance[Nombre Cuenta ()],Estructura_Balance[Niveles:3],"",0)</f>
        <v/>
      </c>
      <c r="X1539" t="str">
        <f>_xlfn.XLOOKUP(Table3[[#This Row],[Cuenta]],Estructura_Balance[Nombre Cuenta ()],Estructura_Balance[Grupos],"Grupo 1",0)</f>
        <v>Grupo 1</v>
      </c>
      <c r="Y1539" t="str">
        <f>+Table3[[#This Row],[BS_Nivel_1]]</f>
        <v/>
      </c>
    </row>
    <row r="1540" spans="1:25" ht="15" customHeight="1">
      <c r="A1540">
        <f>+'Libro Diario'!F960</f>
        <v>0</v>
      </c>
      <c r="B1540" s="144">
        <f>VALUE(IF(+'Libro Diario'!G960="","01/01/2025",+'Libro Diario'!G960))</f>
        <v>45658</v>
      </c>
      <c r="C1540">
        <f>IF(ISNUMBER(+IF(IFERROR(VALUE(MID('Libro Diario'!D960,1,4)),0)&lt;&gt;0,'Libro Diario'!D960,0))=FALSE,'Libro Diario'!D960,0)</f>
        <v>0</v>
      </c>
      <c r="D1540" s="145">
        <f>+'Libro Diario'!E960</f>
        <v>0</v>
      </c>
      <c r="E1540" s="139" t="s">
        <v>446</v>
      </c>
      <c r="F1540" t="str">
        <f t="shared" si="72"/>
        <v>Sin Mov.</v>
      </c>
      <c r="G1540" t="str">
        <f>IF(+'Libro Diario'!H960=0,"",+'Libro Diario'!H960)</f>
        <v/>
      </c>
      <c r="H1540" t="str">
        <f>IF(+'Libro Diario'!I960=0,"",+'Libro Diario'!I960)</f>
        <v/>
      </c>
      <c r="I1540" t="str">
        <f>+IF(Table3[[#This Row],[Tipo Movimiento]]="Estructura Balance y PyG","Excluir","Incluir")</f>
        <v>Incluir</v>
      </c>
      <c r="J1540" s="153">
        <f>+IF(Table3[[#This Row],[Sin cuenta]]="Con Mov.",(IF(Table3[[#This Row],[Movimiento]]="Debe",Table3[[#This Row],[Importe]],IF(Table3[[#This Row],[Movimiento]]="Haber",Table3[[#This Row],[Importe]]*-1,0))),0)</f>
        <v>0</v>
      </c>
      <c r="K1540" s="145" t="str">
        <f t="shared" si="73"/>
        <v/>
      </c>
      <c r="L1540" s="145">
        <f t="shared" si="74"/>
        <v>0</v>
      </c>
      <c r="M1540" t="str">
        <f>_xlfn.XLOOKUP(Table3[[#This Row],[Cuenta]],Estructura_Balance[Nombre Cuenta ()],Estructura_Balance[Grupo],"",0)</f>
        <v/>
      </c>
      <c r="N1540" t="str">
        <f>_xlfn.XLOOKUP(Table3[[#This Row],[Cuenta]],Estructura_Balance[Nombre Cuenta ()],Estructura_Balance[Nivel 1],"",0)</f>
        <v/>
      </c>
      <c r="O1540" t="str">
        <f>_xlfn.XLOOKUP(Table3[[#This Row],[Cuenta]],Estructura_Balance[Nombre Cuenta ()],Estructura_Balance[Nivel 2],"",0)</f>
        <v/>
      </c>
      <c r="P1540" t="str">
        <f>_xlfn.XLOOKUP(Table3[[#This Row],[Cuenta]],Estructura_Balance[Nombre Cuenta ()],Estructura_Balance[Nivel 3],"",0)</f>
        <v/>
      </c>
      <c r="Q1540" t="str">
        <f>_xlfn.XLOOKUP(Table3[[#This Row],[Cuenta]],Estructura_Balance[Nombre Cuenta ()],Estructura_Balance[Nivel 4],"",0)</f>
        <v/>
      </c>
      <c r="R1540" t="str">
        <f>_xlfn.XLOOKUP(Table3[[#This Row],[Cuenta]],Table8[Nombre Cuenta ()],Table8[Nivel 1],"",0)</f>
        <v/>
      </c>
      <c r="S1540" t="str">
        <f>_xlfn.XLOOKUP(Table3[[#This Row],[Cuenta]],Table8[Nombre Cuenta ()],Table8[Nivel 2],"",0)</f>
        <v/>
      </c>
      <c r="T1540" t="str">
        <f>_xlfn.XLOOKUP(Table3[[#This Row],[Cuenta]],Table8[Nombre Cuenta ()],Table8[Nivel 3],"",0)</f>
        <v/>
      </c>
      <c r="U1540">
        <v>539</v>
      </c>
      <c r="V1540" t="str">
        <f>_xlfn.XLOOKUP(Table3[[#This Row],[Cuenta]],Estructura_Balance[Nombre Cuenta ()],Estructura_Balance[Niveles:2],"",0)</f>
        <v/>
      </c>
      <c r="W1540" t="str">
        <f>_xlfn.XLOOKUP(Table3[[#This Row],[Cuenta]],Estructura_Balance[Nombre Cuenta ()],Estructura_Balance[Niveles:3],"",0)</f>
        <v/>
      </c>
      <c r="X1540" t="str">
        <f>_xlfn.XLOOKUP(Table3[[#This Row],[Cuenta]],Estructura_Balance[Nombre Cuenta ()],Estructura_Balance[Grupos],"Grupo 1",0)</f>
        <v>Grupo 1</v>
      </c>
      <c r="Y1540" t="str">
        <f>+Table3[[#This Row],[BS_Nivel_1]]</f>
        <v/>
      </c>
    </row>
    <row r="1541" spans="1:25" ht="15" customHeight="1">
      <c r="A1541">
        <f>+'Libro Diario'!F961</f>
        <v>0</v>
      </c>
      <c r="B1541" s="144">
        <f>VALUE(IF(+'Libro Diario'!G961="","01/01/2025",+'Libro Diario'!G961))</f>
        <v>45658</v>
      </c>
      <c r="C1541">
        <f>IF(ISNUMBER(+IF(IFERROR(VALUE(MID('Libro Diario'!D961,1,4)),0)&lt;&gt;0,'Libro Diario'!D961,0))=FALSE,'Libro Diario'!D961,0)</f>
        <v>0</v>
      </c>
      <c r="D1541" s="145">
        <f>+'Libro Diario'!E961</f>
        <v>0</v>
      </c>
      <c r="E1541" s="139" t="s">
        <v>446</v>
      </c>
      <c r="F1541" t="str">
        <f t="shared" si="72"/>
        <v>Sin Mov.</v>
      </c>
      <c r="G1541" t="str">
        <f>IF(+'Libro Diario'!H961=0,"",+'Libro Diario'!H961)</f>
        <v/>
      </c>
      <c r="H1541" t="str">
        <f>IF(+'Libro Diario'!I961=0,"",+'Libro Diario'!I961)</f>
        <v/>
      </c>
      <c r="I1541" t="str">
        <f>+IF(Table3[[#This Row],[Tipo Movimiento]]="Estructura Balance y PyG","Excluir","Incluir")</f>
        <v>Incluir</v>
      </c>
      <c r="J1541" s="153">
        <f>+IF(Table3[[#This Row],[Sin cuenta]]="Con Mov.",(IF(Table3[[#This Row],[Movimiento]]="Debe",Table3[[#This Row],[Importe]],IF(Table3[[#This Row],[Movimiento]]="Haber",Table3[[#This Row],[Importe]]*-1,0))),0)</f>
        <v>0</v>
      </c>
      <c r="K1541" s="145" t="str">
        <f t="shared" si="73"/>
        <v/>
      </c>
      <c r="L1541" s="145">
        <f t="shared" si="74"/>
        <v>0</v>
      </c>
      <c r="M1541" t="str">
        <f>_xlfn.XLOOKUP(Table3[[#This Row],[Cuenta]],Estructura_Balance[Nombre Cuenta ()],Estructura_Balance[Grupo],"",0)</f>
        <v/>
      </c>
      <c r="N1541" t="str">
        <f>_xlfn.XLOOKUP(Table3[[#This Row],[Cuenta]],Estructura_Balance[Nombre Cuenta ()],Estructura_Balance[Nivel 1],"",0)</f>
        <v/>
      </c>
      <c r="O1541" t="str">
        <f>_xlfn.XLOOKUP(Table3[[#This Row],[Cuenta]],Estructura_Balance[Nombre Cuenta ()],Estructura_Balance[Nivel 2],"",0)</f>
        <v/>
      </c>
      <c r="P1541" t="str">
        <f>_xlfn.XLOOKUP(Table3[[#This Row],[Cuenta]],Estructura_Balance[Nombre Cuenta ()],Estructura_Balance[Nivel 3],"",0)</f>
        <v/>
      </c>
      <c r="Q1541" t="str">
        <f>_xlfn.XLOOKUP(Table3[[#This Row],[Cuenta]],Estructura_Balance[Nombre Cuenta ()],Estructura_Balance[Nivel 4],"",0)</f>
        <v/>
      </c>
      <c r="R1541" t="str">
        <f>_xlfn.XLOOKUP(Table3[[#This Row],[Cuenta]],Table8[Nombre Cuenta ()],Table8[Nivel 1],"",0)</f>
        <v/>
      </c>
      <c r="S1541" t="str">
        <f>_xlfn.XLOOKUP(Table3[[#This Row],[Cuenta]],Table8[Nombre Cuenta ()],Table8[Nivel 2],"",0)</f>
        <v/>
      </c>
      <c r="T1541" t="str">
        <f>_xlfn.XLOOKUP(Table3[[#This Row],[Cuenta]],Table8[Nombre Cuenta ()],Table8[Nivel 3],"",0)</f>
        <v/>
      </c>
      <c r="U1541">
        <v>1536</v>
      </c>
      <c r="V1541" t="str">
        <f>_xlfn.XLOOKUP(Table3[[#This Row],[Cuenta]],Estructura_Balance[Nombre Cuenta ()],Estructura_Balance[Niveles:2],"",0)</f>
        <v/>
      </c>
      <c r="W1541" t="str">
        <f>_xlfn.XLOOKUP(Table3[[#This Row],[Cuenta]],Estructura_Balance[Nombre Cuenta ()],Estructura_Balance[Niveles:3],"",0)</f>
        <v/>
      </c>
      <c r="X1541" t="str">
        <f>_xlfn.XLOOKUP(Table3[[#This Row],[Cuenta]],Estructura_Balance[Nombre Cuenta ()],Estructura_Balance[Grupos],"Grupo 1",0)</f>
        <v>Grupo 1</v>
      </c>
      <c r="Y1541" t="str">
        <f>+Table3[[#This Row],[BS_Nivel_1]]</f>
        <v/>
      </c>
    </row>
    <row r="1542" spans="1:25" ht="15" customHeight="1">
      <c r="A1542">
        <f>+'Libro Diario'!F962</f>
        <v>0</v>
      </c>
      <c r="B1542" s="144">
        <f>VALUE(IF(+'Libro Diario'!G962="","01/01/2025",+'Libro Diario'!G962))</f>
        <v>45658</v>
      </c>
      <c r="C1542">
        <f>IF(ISNUMBER(+IF(IFERROR(VALUE(MID('Libro Diario'!D962,1,4)),0)&lt;&gt;0,'Libro Diario'!D962,0))=FALSE,'Libro Diario'!D962,0)</f>
        <v>0</v>
      </c>
      <c r="D1542" s="145">
        <f>+'Libro Diario'!E962</f>
        <v>0</v>
      </c>
      <c r="E1542" s="139" t="s">
        <v>446</v>
      </c>
      <c r="F1542" t="str">
        <f t="shared" si="72"/>
        <v>Sin Mov.</v>
      </c>
      <c r="G1542" t="str">
        <f>IF(+'Libro Diario'!H962=0,"",+'Libro Diario'!H962)</f>
        <v/>
      </c>
      <c r="H1542" t="str">
        <f>IF(+'Libro Diario'!I962=0,"",+'Libro Diario'!I962)</f>
        <v/>
      </c>
      <c r="I1542" t="str">
        <f>+IF(Table3[[#This Row],[Tipo Movimiento]]="Estructura Balance y PyG","Excluir","Incluir")</f>
        <v>Incluir</v>
      </c>
      <c r="J1542" s="153">
        <f>+IF(Table3[[#This Row],[Sin cuenta]]="Con Mov.",(IF(Table3[[#This Row],[Movimiento]]="Debe",Table3[[#This Row],[Importe]],IF(Table3[[#This Row],[Movimiento]]="Haber",Table3[[#This Row],[Importe]]*-1,0))),0)</f>
        <v>0</v>
      </c>
      <c r="K1542" s="145" t="str">
        <f t="shared" si="73"/>
        <v/>
      </c>
      <c r="L1542" s="145">
        <f t="shared" si="74"/>
        <v>0</v>
      </c>
      <c r="M1542" t="str">
        <f>_xlfn.XLOOKUP(Table3[[#This Row],[Cuenta]],Estructura_Balance[Nombre Cuenta ()],Estructura_Balance[Grupo],"",0)</f>
        <v/>
      </c>
      <c r="N1542" t="str">
        <f>_xlfn.XLOOKUP(Table3[[#This Row],[Cuenta]],Estructura_Balance[Nombre Cuenta ()],Estructura_Balance[Nivel 1],"",0)</f>
        <v/>
      </c>
      <c r="O1542" t="str">
        <f>_xlfn.XLOOKUP(Table3[[#This Row],[Cuenta]],Estructura_Balance[Nombre Cuenta ()],Estructura_Balance[Nivel 2],"",0)</f>
        <v/>
      </c>
      <c r="P1542" t="str">
        <f>_xlfn.XLOOKUP(Table3[[#This Row],[Cuenta]],Estructura_Balance[Nombre Cuenta ()],Estructura_Balance[Nivel 3],"",0)</f>
        <v/>
      </c>
      <c r="Q1542" t="str">
        <f>_xlfn.XLOOKUP(Table3[[#This Row],[Cuenta]],Estructura_Balance[Nombre Cuenta ()],Estructura_Balance[Nivel 4],"",0)</f>
        <v/>
      </c>
      <c r="R1542" t="str">
        <f>_xlfn.XLOOKUP(Table3[[#This Row],[Cuenta]],Table8[Nombre Cuenta ()],Table8[Nivel 1],"",0)</f>
        <v/>
      </c>
      <c r="S1542" t="str">
        <f>_xlfn.XLOOKUP(Table3[[#This Row],[Cuenta]],Table8[Nombre Cuenta ()],Table8[Nivel 2],"",0)</f>
        <v/>
      </c>
      <c r="T1542" t="str">
        <f>_xlfn.XLOOKUP(Table3[[#This Row],[Cuenta]],Table8[Nombre Cuenta ()],Table8[Nivel 3],"",0)</f>
        <v/>
      </c>
      <c r="U1542">
        <v>1537</v>
      </c>
      <c r="V1542" t="str">
        <f>_xlfn.XLOOKUP(Table3[[#This Row],[Cuenta]],Estructura_Balance[Nombre Cuenta ()],Estructura_Balance[Niveles:2],"",0)</f>
        <v/>
      </c>
      <c r="W1542" t="str">
        <f>_xlfn.XLOOKUP(Table3[[#This Row],[Cuenta]],Estructura_Balance[Nombre Cuenta ()],Estructura_Balance[Niveles:3],"",0)</f>
        <v/>
      </c>
      <c r="X1542" t="str">
        <f>_xlfn.XLOOKUP(Table3[[#This Row],[Cuenta]],Estructura_Balance[Nombre Cuenta ()],Estructura_Balance[Grupos],"Grupo 1",0)</f>
        <v>Grupo 1</v>
      </c>
      <c r="Y1542" t="str">
        <f>+Table3[[#This Row],[BS_Nivel_1]]</f>
        <v/>
      </c>
    </row>
    <row r="1543" spans="1:25" ht="15" customHeight="1">
      <c r="A1543">
        <f>+'Libro Diario'!F963</f>
        <v>0</v>
      </c>
      <c r="B1543" s="144">
        <f>VALUE(IF(+'Libro Diario'!G963="","01/01/2025",+'Libro Diario'!G963))</f>
        <v>45658</v>
      </c>
      <c r="C1543">
        <f>IF(ISNUMBER(+IF(IFERROR(VALUE(MID('Libro Diario'!D963,1,4)),0)&lt;&gt;0,'Libro Diario'!D963,0))=FALSE,'Libro Diario'!D963,0)</f>
        <v>0</v>
      </c>
      <c r="D1543" s="145">
        <f>+'Libro Diario'!E963</f>
        <v>0</v>
      </c>
      <c r="E1543" s="139" t="s">
        <v>446</v>
      </c>
      <c r="F1543" t="str">
        <f t="shared" si="72"/>
        <v>Sin Mov.</v>
      </c>
      <c r="G1543" t="str">
        <f>IF(+'Libro Diario'!H963=0,"",+'Libro Diario'!H963)</f>
        <v/>
      </c>
      <c r="H1543" t="str">
        <f>IF(+'Libro Diario'!I963=0,"",+'Libro Diario'!I963)</f>
        <v/>
      </c>
      <c r="I1543" t="str">
        <f>+IF(Table3[[#This Row],[Tipo Movimiento]]="Estructura Balance y PyG","Excluir","Incluir")</f>
        <v>Incluir</v>
      </c>
      <c r="J1543" s="153">
        <f>+IF(Table3[[#This Row],[Sin cuenta]]="Con Mov.",(IF(Table3[[#This Row],[Movimiento]]="Debe",Table3[[#This Row],[Importe]],IF(Table3[[#This Row],[Movimiento]]="Haber",Table3[[#This Row],[Importe]]*-1,0))),0)</f>
        <v>0</v>
      </c>
      <c r="K1543" s="145" t="str">
        <f t="shared" si="73"/>
        <v/>
      </c>
      <c r="L1543" s="145">
        <f t="shared" si="74"/>
        <v>0</v>
      </c>
      <c r="M1543" t="str">
        <f>_xlfn.XLOOKUP(Table3[[#This Row],[Cuenta]],Estructura_Balance[Nombre Cuenta ()],Estructura_Balance[Grupo],"",0)</f>
        <v/>
      </c>
      <c r="N1543" t="str">
        <f>_xlfn.XLOOKUP(Table3[[#This Row],[Cuenta]],Estructura_Balance[Nombre Cuenta ()],Estructura_Balance[Nivel 1],"",0)</f>
        <v/>
      </c>
      <c r="O1543" t="str">
        <f>_xlfn.XLOOKUP(Table3[[#This Row],[Cuenta]],Estructura_Balance[Nombre Cuenta ()],Estructura_Balance[Nivel 2],"",0)</f>
        <v/>
      </c>
      <c r="P1543" t="str">
        <f>_xlfn.XLOOKUP(Table3[[#This Row],[Cuenta]],Estructura_Balance[Nombre Cuenta ()],Estructura_Balance[Nivel 3],"",0)</f>
        <v/>
      </c>
      <c r="Q1543" t="str">
        <f>_xlfn.XLOOKUP(Table3[[#This Row],[Cuenta]],Estructura_Balance[Nombre Cuenta ()],Estructura_Balance[Nivel 4],"",0)</f>
        <v/>
      </c>
      <c r="R1543" t="str">
        <f>_xlfn.XLOOKUP(Table3[[#This Row],[Cuenta]],Table8[Nombre Cuenta ()],Table8[Nivel 1],"",0)</f>
        <v/>
      </c>
      <c r="S1543" t="str">
        <f>_xlfn.XLOOKUP(Table3[[#This Row],[Cuenta]],Table8[Nombre Cuenta ()],Table8[Nivel 2],"",0)</f>
        <v/>
      </c>
      <c r="T1543" t="str">
        <f>_xlfn.XLOOKUP(Table3[[#This Row],[Cuenta]],Table8[Nombre Cuenta ()],Table8[Nivel 3],"",0)</f>
        <v/>
      </c>
      <c r="U1543">
        <v>545</v>
      </c>
      <c r="V1543" t="str">
        <f>_xlfn.XLOOKUP(Table3[[#This Row],[Cuenta]],Estructura_Balance[Nombre Cuenta ()],Estructura_Balance[Niveles:2],"",0)</f>
        <v/>
      </c>
      <c r="W1543" t="str">
        <f>_xlfn.XLOOKUP(Table3[[#This Row],[Cuenta]],Estructura_Balance[Nombre Cuenta ()],Estructura_Balance[Niveles:3],"",0)</f>
        <v/>
      </c>
      <c r="X1543" t="str">
        <f>_xlfn.XLOOKUP(Table3[[#This Row],[Cuenta]],Estructura_Balance[Nombre Cuenta ()],Estructura_Balance[Grupos],"Grupo 1",0)</f>
        <v>Grupo 1</v>
      </c>
      <c r="Y1543" t="str">
        <f>+Table3[[#This Row],[BS_Nivel_1]]</f>
        <v/>
      </c>
    </row>
    <row r="1544" spans="1:25" ht="15" customHeight="1">
      <c r="A1544">
        <f>+'Libro Diario'!F964</f>
        <v>0</v>
      </c>
      <c r="B1544" s="144">
        <f>VALUE(IF(+'Libro Diario'!G964="","01/01/2025",+'Libro Diario'!G964))</f>
        <v>45658</v>
      </c>
      <c r="C1544">
        <f>IF(ISNUMBER(+IF(IFERROR(VALUE(MID('Libro Diario'!D964,1,4)),0)&lt;&gt;0,'Libro Diario'!D964,0))=FALSE,'Libro Diario'!D964,0)</f>
        <v>0</v>
      </c>
      <c r="D1544" s="145">
        <f>+'Libro Diario'!E964</f>
        <v>0</v>
      </c>
      <c r="E1544" s="139" t="s">
        <v>446</v>
      </c>
      <c r="F1544" t="str">
        <f t="shared" si="72"/>
        <v>Sin Mov.</v>
      </c>
      <c r="G1544" t="str">
        <f>IF(+'Libro Diario'!H964=0,"",+'Libro Diario'!H964)</f>
        <v/>
      </c>
      <c r="H1544" t="str">
        <f>IF(+'Libro Diario'!I964=0,"",+'Libro Diario'!I964)</f>
        <v/>
      </c>
      <c r="I1544" t="str">
        <f>+IF(Table3[[#This Row],[Tipo Movimiento]]="Estructura Balance y PyG","Excluir","Incluir")</f>
        <v>Incluir</v>
      </c>
      <c r="J1544" s="153">
        <f>+IF(Table3[[#This Row],[Sin cuenta]]="Con Mov.",(IF(Table3[[#This Row],[Movimiento]]="Debe",Table3[[#This Row],[Importe]],IF(Table3[[#This Row],[Movimiento]]="Haber",Table3[[#This Row],[Importe]]*-1,0))),0)</f>
        <v>0</v>
      </c>
      <c r="K1544" s="145" t="str">
        <f t="shared" si="73"/>
        <v/>
      </c>
      <c r="L1544" s="145">
        <f t="shared" si="74"/>
        <v>0</v>
      </c>
      <c r="M1544" t="str">
        <f>_xlfn.XLOOKUP(Table3[[#This Row],[Cuenta]],Estructura_Balance[Nombre Cuenta ()],Estructura_Balance[Grupo],"",0)</f>
        <v/>
      </c>
      <c r="N1544" t="str">
        <f>_xlfn.XLOOKUP(Table3[[#This Row],[Cuenta]],Estructura_Balance[Nombre Cuenta ()],Estructura_Balance[Nivel 1],"",0)</f>
        <v/>
      </c>
      <c r="O1544" t="str">
        <f>_xlfn.XLOOKUP(Table3[[#This Row],[Cuenta]],Estructura_Balance[Nombre Cuenta ()],Estructura_Balance[Nivel 2],"",0)</f>
        <v/>
      </c>
      <c r="P1544" t="str">
        <f>_xlfn.XLOOKUP(Table3[[#This Row],[Cuenta]],Estructura_Balance[Nombre Cuenta ()],Estructura_Balance[Nivel 3],"",0)</f>
        <v/>
      </c>
      <c r="Q1544" t="str">
        <f>_xlfn.XLOOKUP(Table3[[#This Row],[Cuenta]],Estructura_Balance[Nombre Cuenta ()],Estructura_Balance[Nivel 4],"",0)</f>
        <v/>
      </c>
      <c r="R1544" t="str">
        <f>_xlfn.XLOOKUP(Table3[[#This Row],[Cuenta]],Table8[Nombre Cuenta ()],Table8[Nivel 1],"",0)</f>
        <v/>
      </c>
      <c r="S1544" t="str">
        <f>_xlfn.XLOOKUP(Table3[[#This Row],[Cuenta]],Table8[Nombre Cuenta ()],Table8[Nivel 2],"",0)</f>
        <v/>
      </c>
      <c r="T1544" t="str">
        <f>_xlfn.XLOOKUP(Table3[[#This Row],[Cuenta]],Table8[Nombre Cuenta ()],Table8[Nivel 3],"",0)</f>
        <v/>
      </c>
      <c r="U1544">
        <v>546</v>
      </c>
      <c r="V1544" t="str">
        <f>_xlfn.XLOOKUP(Table3[[#This Row],[Cuenta]],Estructura_Balance[Nombre Cuenta ()],Estructura_Balance[Niveles:2],"",0)</f>
        <v/>
      </c>
      <c r="W1544" t="str">
        <f>_xlfn.XLOOKUP(Table3[[#This Row],[Cuenta]],Estructura_Balance[Nombre Cuenta ()],Estructura_Balance[Niveles:3],"",0)</f>
        <v/>
      </c>
      <c r="X1544" t="str">
        <f>_xlfn.XLOOKUP(Table3[[#This Row],[Cuenta]],Estructura_Balance[Nombre Cuenta ()],Estructura_Balance[Grupos],"Grupo 1",0)</f>
        <v>Grupo 1</v>
      </c>
      <c r="Y1544" t="str">
        <f>+Table3[[#This Row],[BS_Nivel_1]]</f>
        <v/>
      </c>
    </row>
    <row r="1545" spans="1:25" ht="15" customHeight="1">
      <c r="A1545">
        <f>+'Libro Diario'!F965</f>
        <v>0</v>
      </c>
      <c r="B1545" s="144">
        <f>VALUE(IF(+'Libro Diario'!G965="","01/01/2025",+'Libro Diario'!G965))</f>
        <v>45658</v>
      </c>
      <c r="C1545">
        <f>IF(ISNUMBER(+IF(IFERROR(VALUE(MID('Libro Diario'!D965,1,4)),0)&lt;&gt;0,'Libro Diario'!D965,0))=FALSE,'Libro Diario'!D965,0)</f>
        <v>0</v>
      </c>
      <c r="D1545" s="145">
        <f>+'Libro Diario'!E965</f>
        <v>0</v>
      </c>
      <c r="E1545" s="139" t="s">
        <v>446</v>
      </c>
      <c r="F1545" t="str">
        <f t="shared" si="72"/>
        <v>Sin Mov.</v>
      </c>
      <c r="G1545" t="str">
        <f>IF(+'Libro Diario'!H965=0,"",+'Libro Diario'!H965)</f>
        <v/>
      </c>
      <c r="H1545" t="str">
        <f>IF(+'Libro Diario'!I965=0,"",+'Libro Diario'!I965)</f>
        <v/>
      </c>
      <c r="I1545" t="str">
        <f>+IF(Table3[[#This Row],[Tipo Movimiento]]="Estructura Balance y PyG","Excluir","Incluir")</f>
        <v>Incluir</v>
      </c>
      <c r="J1545" s="153">
        <f>+IF(Table3[[#This Row],[Sin cuenta]]="Con Mov.",(IF(Table3[[#This Row],[Movimiento]]="Debe",Table3[[#This Row],[Importe]],IF(Table3[[#This Row],[Movimiento]]="Haber",Table3[[#This Row],[Importe]]*-1,0))),0)</f>
        <v>0</v>
      </c>
      <c r="K1545" s="145" t="str">
        <f t="shared" si="73"/>
        <v/>
      </c>
      <c r="L1545" s="145">
        <f t="shared" si="74"/>
        <v>0</v>
      </c>
      <c r="M1545" t="str">
        <f>_xlfn.XLOOKUP(Table3[[#This Row],[Cuenta]],Estructura_Balance[Nombre Cuenta ()],Estructura_Balance[Grupo],"",0)</f>
        <v/>
      </c>
      <c r="N1545" t="str">
        <f>_xlfn.XLOOKUP(Table3[[#This Row],[Cuenta]],Estructura_Balance[Nombre Cuenta ()],Estructura_Balance[Nivel 1],"",0)</f>
        <v/>
      </c>
      <c r="O1545" t="str">
        <f>_xlfn.XLOOKUP(Table3[[#This Row],[Cuenta]],Estructura_Balance[Nombre Cuenta ()],Estructura_Balance[Nivel 2],"",0)</f>
        <v/>
      </c>
      <c r="P1545" t="str">
        <f>_xlfn.XLOOKUP(Table3[[#This Row],[Cuenta]],Estructura_Balance[Nombre Cuenta ()],Estructura_Balance[Nivel 3],"",0)</f>
        <v/>
      </c>
      <c r="Q1545" t="str">
        <f>_xlfn.XLOOKUP(Table3[[#This Row],[Cuenta]],Estructura_Balance[Nombre Cuenta ()],Estructura_Balance[Nivel 4],"",0)</f>
        <v/>
      </c>
      <c r="R1545" t="str">
        <f>_xlfn.XLOOKUP(Table3[[#This Row],[Cuenta]],Table8[Nombre Cuenta ()],Table8[Nivel 1],"",0)</f>
        <v/>
      </c>
      <c r="S1545" t="str">
        <f>_xlfn.XLOOKUP(Table3[[#This Row],[Cuenta]],Table8[Nombre Cuenta ()],Table8[Nivel 2],"",0)</f>
        <v/>
      </c>
      <c r="T1545" t="str">
        <f>_xlfn.XLOOKUP(Table3[[#This Row],[Cuenta]],Table8[Nombre Cuenta ()],Table8[Nivel 3],"",0)</f>
        <v/>
      </c>
      <c r="U1545">
        <v>1543</v>
      </c>
      <c r="V1545" t="str">
        <f>_xlfn.XLOOKUP(Table3[[#This Row],[Cuenta]],Estructura_Balance[Nombre Cuenta ()],Estructura_Balance[Niveles:2],"",0)</f>
        <v/>
      </c>
      <c r="W1545" t="str">
        <f>_xlfn.XLOOKUP(Table3[[#This Row],[Cuenta]],Estructura_Balance[Nombre Cuenta ()],Estructura_Balance[Niveles:3],"",0)</f>
        <v/>
      </c>
      <c r="X1545" t="str">
        <f>_xlfn.XLOOKUP(Table3[[#This Row],[Cuenta]],Estructura_Balance[Nombre Cuenta ()],Estructura_Balance[Grupos],"Grupo 1",0)</f>
        <v>Grupo 1</v>
      </c>
      <c r="Y1545" t="str">
        <f>+Table3[[#This Row],[BS_Nivel_1]]</f>
        <v/>
      </c>
    </row>
    <row r="1546" spans="1:25" ht="15" customHeight="1">
      <c r="A1546">
        <f>+'Libro Diario'!F966</f>
        <v>0</v>
      </c>
      <c r="B1546" s="144">
        <f>VALUE(IF(+'Libro Diario'!G966="","01/01/2025",+'Libro Diario'!G966))</f>
        <v>45658</v>
      </c>
      <c r="C1546">
        <f>IF(ISNUMBER(+IF(IFERROR(VALUE(MID('Libro Diario'!D966,1,4)),0)&lt;&gt;0,'Libro Diario'!D966,0))=FALSE,'Libro Diario'!D966,0)</f>
        <v>0</v>
      </c>
      <c r="D1546" s="145">
        <f>+'Libro Diario'!E966</f>
        <v>0</v>
      </c>
      <c r="E1546" s="139" t="s">
        <v>446</v>
      </c>
      <c r="F1546" t="str">
        <f t="shared" si="72"/>
        <v>Sin Mov.</v>
      </c>
      <c r="G1546" t="str">
        <f>IF(+'Libro Diario'!H966=0,"",+'Libro Diario'!H966)</f>
        <v/>
      </c>
      <c r="H1546" t="str">
        <f>IF(+'Libro Diario'!I966=0,"",+'Libro Diario'!I966)</f>
        <v/>
      </c>
      <c r="I1546" t="str">
        <f>+IF(Table3[[#This Row],[Tipo Movimiento]]="Estructura Balance y PyG","Excluir","Incluir")</f>
        <v>Incluir</v>
      </c>
      <c r="J1546" s="153">
        <f>+IF(Table3[[#This Row],[Sin cuenta]]="Con Mov.",(IF(Table3[[#This Row],[Movimiento]]="Debe",Table3[[#This Row],[Importe]],IF(Table3[[#This Row],[Movimiento]]="Haber",Table3[[#This Row],[Importe]]*-1,0))),0)</f>
        <v>0</v>
      </c>
      <c r="K1546" s="145" t="str">
        <f t="shared" si="73"/>
        <v/>
      </c>
      <c r="L1546" s="145">
        <f t="shared" si="74"/>
        <v>0</v>
      </c>
      <c r="M1546" t="str">
        <f>_xlfn.XLOOKUP(Table3[[#This Row],[Cuenta]],Estructura_Balance[Nombre Cuenta ()],Estructura_Balance[Grupo],"",0)</f>
        <v/>
      </c>
      <c r="N1546" t="str">
        <f>_xlfn.XLOOKUP(Table3[[#This Row],[Cuenta]],Estructura_Balance[Nombre Cuenta ()],Estructura_Balance[Nivel 1],"",0)</f>
        <v/>
      </c>
      <c r="O1546" t="str">
        <f>_xlfn.XLOOKUP(Table3[[#This Row],[Cuenta]],Estructura_Balance[Nombre Cuenta ()],Estructura_Balance[Nivel 2],"",0)</f>
        <v/>
      </c>
      <c r="P1546" t="str">
        <f>_xlfn.XLOOKUP(Table3[[#This Row],[Cuenta]],Estructura_Balance[Nombre Cuenta ()],Estructura_Balance[Nivel 3],"",0)</f>
        <v/>
      </c>
      <c r="Q1546" t="str">
        <f>_xlfn.XLOOKUP(Table3[[#This Row],[Cuenta]],Estructura_Balance[Nombre Cuenta ()],Estructura_Balance[Nivel 4],"",0)</f>
        <v/>
      </c>
      <c r="R1546" t="str">
        <f>_xlfn.XLOOKUP(Table3[[#This Row],[Cuenta]],Table8[Nombre Cuenta ()],Table8[Nivel 1],"",0)</f>
        <v/>
      </c>
      <c r="S1546" t="str">
        <f>_xlfn.XLOOKUP(Table3[[#This Row],[Cuenta]],Table8[Nombre Cuenta ()],Table8[Nivel 2],"",0)</f>
        <v/>
      </c>
      <c r="T1546" t="str">
        <f>_xlfn.XLOOKUP(Table3[[#This Row],[Cuenta]],Table8[Nombre Cuenta ()],Table8[Nivel 3],"",0)</f>
        <v/>
      </c>
      <c r="U1546">
        <v>1544</v>
      </c>
      <c r="V1546" t="str">
        <f>_xlfn.XLOOKUP(Table3[[#This Row],[Cuenta]],Estructura_Balance[Nombre Cuenta ()],Estructura_Balance[Niveles:2],"",0)</f>
        <v/>
      </c>
      <c r="W1546" t="str">
        <f>_xlfn.XLOOKUP(Table3[[#This Row],[Cuenta]],Estructura_Balance[Nombre Cuenta ()],Estructura_Balance[Niveles:3],"",0)</f>
        <v/>
      </c>
      <c r="X1546" t="str">
        <f>_xlfn.XLOOKUP(Table3[[#This Row],[Cuenta]],Estructura_Balance[Nombre Cuenta ()],Estructura_Balance[Grupos],"Grupo 1",0)</f>
        <v>Grupo 1</v>
      </c>
      <c r="Y1546" t="str">
        <f>+Table3[[#This Row],[BS_Nivel_1]]</f>
        <v/>
      </c>
    </row>
    <row r="1547" spans="1:25" ht="15" customHeight="1">
      <c r="A1547">
        <f>+'Libro Diario'!F967</f>
        <v>0</v>
      </c>
      <c r="B1547" s="144">
        <f>VALUE(IF(+'Libro Diario'!G967="","01/01/2025",+'Libro Diario'!G967))</f>
        <v>45658</v>
      </c>
      <c r="C1547">
        <f>IF(ISNUMBER(+IF(IFERROR(VALUE(MID('Libro Diario'!D967,1,4)),0)&lt;&gt;0,'Libro Diario'!D967,0))=FALSE,'Libro Diario'!D967,0)</f>
        <v>0</v>
      </c>
      <c r="D1547" s="145">
        <f>+'Libro Diario'!E967</f>
        <v>0</v>
      </c>
      <c r="E1547" s="139" t="s">
        <v>446</v>
      </c>
      <c r="F1547" t="str">
        <f t="shared" si="72"/>
        <v>Sin Mov.</v>
      </c>
      <c r="G1547" t="str">
        <f>IF(+'Libro Diario'!H967=0,"",+'Libro Diario'!H967)</f>
        <v/>
      </c>
      <c r="H1547" t="str">
        <f>IF(+'Libro Diario'!I967=0,"",+'Libro Diario'!I967)</f>
        <v/>
      </c>
      <c r="I1547" t="str">
        <f>+IF(Table3[[#This Row],[Tipo Movimiento]]="Estructura Balance y PyG","Excluir","Incluir")</f>
        <v>Incluir</v>
      </c>
      <c r="J1547" s="153">
        <f>+IF(Table3[[#This Row],[Sin cuenta]]="Con Mov.",(IF(Table3[[#This Row],[Movimiento]]="Debe",Table3[[#This Row],[Importe]],IF(Table3[[#This Row],[Movimiento]]="Haber",Table3[[#This Row],[Importe]]*-1,0))),0)</f>
        <v>0</v>
      </c>
      <c r="K1547" s="145" t="str">
        <f t="shared" si="73"/>
        <v/>
      </c>
      <c r="L1547" s="145">
        <f t="shared" si="74"/>
        <v>0</v>
      </c>
      <c r="M1547" t="str">
        <f>_xlfn.XLOOKUP(Table3[[#This Row],[Cuenta]],Estructura_Balance[Nombre Cuenta ()],Estructura_Balance[Grupo],"",0)</f>
        <v/>
      </c>
      <c r="N1547" t="str">
        <f>_xlfn.XLOOKUP(Table3[[#This Row],[Cuenta]],Estructura_Balance[Nombre Cuenta ()],Estructura_Balance[Nivel 1],"",0)</f>
        <v/>
      </c>
      <c r="O1547" t="str">
        <f>_xlfn.XLOOKUP(Table3[[#This Row],[Cuenta]],Estructura_Balance[Nombre Cuenta ()],Estructura_Balance[Nivel 2],"",0)</f>
        <v/>
      </c>
      <c r="P1547" t="str">
        <f>_xlfn.XLOOKUP(Table3[[#This Row],[Cuenta]],Estructura_Balance[Nombre Cuenta ()],Estructura_Balance[Nivel 3],"",0)</f>
        <v/>
      </c>
      <c r="Q1547" t="str">
        <f>_xlfn.XLOOKUP(Table3[[#This Row],[Cuenta]],Estructura_Balance[Nombre Cuenta ()],Estructura_Balance[Nivel 4],"",0)</f>
        <v/>
      </c>
      <c r="R1547" t="str">
        <f>_xlfn.XLOOKUP(Table3[[#This Row],[Cuenta]],Table8[Nombre Cuenta ()],Table8[Nivel 1],"",0)</f>
        <v/>
      </c>
      <c r="S1547" t="str">
        <f>_xlfn.XLOOKUP(Table3[[#This Row],[Cuenta]],Table8[Nombre Cuenta ()],Table8[Nivel 2],"",0)</f>
        <v/>
      </c>
      <c r="T1547" t="str">
        <f>_xlfn.XLOOKUP(Table3[[#This Row],[Cuenta]],Table8[Nombre Cuenta ()],Table8[Nivel 3],"",0)</f>
        <v/>
      </c>
      <c r="U1547">
        <v>552</v>
      </c>
      <c r="V1547" t="str">
        <f>_xlfn.XLOOKUP(Table3[[#This Row],[Cuenta]],Estructura_Balance[Nombre Cuenta ()],Estructura_Balance[Niveles:2],"",0)</f>
        <v/>
      </c>
      <c r="W1547" t="str">
        <f>_xlfn.XLOOKUP(Table3[[#This Row],[Cuenta]],Estructura_Balance[Nombre Cuenta ()],Estructura_Balance[Niveles:3],"",0)</f>
        <v/>
      </c>
      <c r="X1547" t="str">
        <f>_xlfn.XLOOKUP(Table3[[#This Row],[Cuenta]],Estructura_Balance[Nombre Cuenta ()],Estructura_Balance[Grupos],"Grupo 1",0)</f>
        <v>Grupo 1</v>
      </c>
      <c r="Y1547" t="str">
        <f>+Table3[[#This Row],[BS_Nivel_1]]</f>
        <v/>
      </c>
    </row>
    <row r="1548" spans="1:25" ht="15" customHeight="1">
      <c r="A1548">
        <f>+'Libro Diario'!F968</f>
        <v>0</v>
      </c>
      <c r="B1548" s="144">
        <f>VALUE(IF(+'Libro Diario'!G968="","01/01/2025",+'Libro Diario'!G968))</f>
        <v>45658</v>
      </c>
      <c r="C1548">
        <f>IF(ISNUMBER(+IF(IFERROR(VALUE(MID('Libro Diario'!D968,1,4)),0)&lt;&gt;0,'Libro Diario'!D968,0))=FALSE,'Libro Diario'!D968,0)</f>
        <v>0</v>
      </c>
      <c r="D1548" s="145">
        <f>+'Libro Diario'!E968</f>
        <v>0</v>
      </c>
      <c r="E1548" s="139" t="s">
        <v>446</v>
      </c>
      <c r="F1548" t="str">
        <f t="shared" si="72"/>
        <v>Sin Mov.</v>
      </c>
      <c r="G1548" t="str">
        <f>IF(+'Libro Diario'!H968=0,"",+'Libro Diario'!H968)</f>
        <v/>
      </c>
      <c r="H1548" t="str">
        <f>IF(+'Libro Diario'!I968=0,"",+'Libro Diario'!I968)</f>
        <v/>
      </c>
      <c r="I1548" t="str">
        <f>+IF(Table3[[#This Row],[Tipo Movimiento]]="Estructura Balance y PyG","Excluir","Incluir")</f>
        <v>Incluir</v>
      </c>
      <c r="J1548" s="153">
        <f>+IF(Table3[[#This Row],[Sin cuenta]]="Con Mov.",(IF(Table3[[#This Row],[Movimiento]]="Debe",Table3[[#This Row],[Importe]],IF(Table3[[#This Row],[Movimiento]]="Haber",Table3[[#This Row],[Importe]]*-1,0))),0)</f>
        <v>0</v>
      </c>
      <c r="K1548" s="145" t="str">
        <f t="shared" si="73"/>
        <v/>
      </c>
      <c r="L1548" s="145">
        <f t="shared" si="74"/>
        <v>0</v>
      </c>
      <c r="M1548" t="str">
        <f>_xlfn.XLOOKUP(Table3[[#This Row],[Cuenta]],Estructura_Balance[Nombre Cuenta ()],Estructura_Balance[Grupo],"",0)</f>
        <v/>
      </c>
      <c r="N1548" t="str">
        <f>_xlfn.XLOOKUP(Table3[[#This Row],[Cuenta]],Estructura_Balance[Nombre Cuenta ()],Estructura_Balance[Nivel 1],"",0)</f>
        <v/>
      </c>
      <c r="O1548" t="str">
        <f>_xlfn.XLOOKUP(Table3[[#This Row],[Cuenta]],Estructura_Balance[Nombre Cuenta ()],Estructura_Balance[Nivel 2],"",0)</f>
        <v/>
      </c>
      <c r="P1548" t="str">
        <f>_xlfn.XLOOKUP(Table3[[#This Row],[Cuenta]],Estructura_Balance[Nombre Cuenta ()],Estructura_Balance[Nivel 3],"",0)</f>
        <v/>
      </c>
      <c r="Q1548" t="str">
        <f>_xlfn.XLOOKUP(Table3[[#This Row],[Cuenta]],Estructura_Balance[Nombre Cuenta ()],Estructura_Balance[Nivel 4],"",0)</f>
        <v/>
      </c>
      <c r="R1548" t="str">
        <f>_xlfn.XLOOKUP(Table3[[#This Row],[Cuenta]],Table8[Nombre Cuenta ()],Table8[Nivel 1],"",0)</f>
        <v/>
      </c>
      <c r="S1548" t="str">
        <f>_xlfn.XLOOKUP(Table3[[#This Row],[Cuenta]],Table8[Nombre Cuenta ()],Table8[Nivel 2],"",0)</f>
        <v/>
      </c>
      <c r="T1548" t="str">
        <f>_xlfn.XLOOKUP(Table3[[#This Row],[Cuenta]],Table8[Nombre Cuenta ()],Table8[Nivel 3],"",0)</f>
        <v/>
      </c>
      <c r="U1548">
        <v>553</v>
      </c>
      <c r="V1548" t="str">
        <f>_xlfn.XLOOKUP(Table3[[#This Row],[Cuenta]],Estructura_Balance[Nombre Cuenta ()],Estructura_Balance[Niveles:2],"",0)</f>
        <v/>
      </c>
      <c r="W1548" t="str">
        <f>_xlfn.XLOOKUP(Table3[[#This Row],[Cuenta]],Estructura_Balance[Nombre Cuenta ()],Estructura_Balance[Niveles:3],"",0)</f>
        <v/>
      </c>
      <c r="X1548" t="str">
        <f>_xlfn.XLOOKUP(Table3[[#This Row],[Cuenta]],Estructura_Balance[Nombre Cuenta ()],Estructura_Balance[Grupos],"Grupo 1",0)</f>
        <v>Grupo 1</v>
      </c>
      <c r="Y1548" t="str">
        <f>+Table3[[#This Row],[BS_Nivel_1]]</f>
        <v/>
      </c>
    </row>
    <row r="1549" spans="1:25" ht="15" customHeight="1">
      <c r="A1549">
        <f>+'Libro Diario'!F969</f>
        <v>0</v>
      </c>
      <c r="B1549" s="144">
        <f>VALUE(IF(+'Libro Diario'!G969="","01/01/2025",+'Libro Diario'!G969))</f>
        <v>45658</v>
      </c>
      <c r="C1549">
        <f>IF(ISNUMBER(+IF(IFERROR(VALUE(MID('Libro Diario'!D969,1,4)),0)&lt;&gt;0,'Libro Diario'!D969,0))=FALSE,'Libro Diario'!D969,0)</f>
        <v>0</v>
      </c>
      <c r="D1549" s="145">
        <f>+'Libro Diario'!E969</f>
        <v>0</v>
      </c>
      <c r="E1549" s="139" t="s">
        <v>446</v>
      </c>
      <c r="F1549" t="str">
        <f t="shared" si="72"/>
        <v>Sin Mov.</v>
      </c>
      <c r="G1549" t="str">
        <f>IF(+'Libro Diario'!H969=0,"",+'Libro Diario'!H969)</f>
        <v/>
      </c>
      <c r="H1549" t="str">
        <f>IF(+'Libro Diario'!I969=0,"",+'Libro Diario'!I969)</f>
        <v/>
      </c>
      <c r="I1549" t="str">
        <f>+IF(Table3[[#This Row],[Tipo Movimiento]]="Estructura Balance y PyG","Excluir","Incluir")</f>
        <v>Incluir</v>
      </c>
      <c r="J1549" s="153">
        <f>+IF(Table3[[#This Row],[Sin cuenta]]="Con Mov.",(IF(Table3[[#This Row],[Movimiento]]="Debe",Table3[[#This Row],[Importe]],IF(Table3[[#This Row],[Movimiento]]="Haber",Table3[[#This Row],[Importe]]*-1,0))),0)</f>
        <v>0</v>
      </c>
      <c r="K1549" s="145" t="str">
        <f t="shared" si="73"/>
        <v/>
      </c>
      <c r="L1549" s="145">
        <f t="shared" si="74"/>
        <v>0</v>
      </c>
      <c r="M1549" t="str">
        <f>_xlfn.XLOOKUP(Table3[[#This Row],[Cuenta]],Estructura_Balance[Nombre Cuenta ()],Estructura_Balance[Grupo],"",0)</f>
        <v/>
      </c>
      <c r="N1549" t="str">
        <f>_xlfn.XLOOKUP(Table3[[#This Row],[Cuenta]],Estructura_Balance[Nombre Cuenta ()],Estructura_Balance[Nivel 1],"",0)</f>
        <v/>
      </c>
      <c r="O1549" t="str">
        <f>_xlfn.XLOOKUP(Table3[[#This Row],[Cuenta]],Estructura_Balance[Nombre Cuenta ()],Estructura_Balance[Nivel 2],"",0)</f>
        <v/>
      </c>
      <c r="P1549" t="str">
        <f>_xlfn.XLOOKUP(Table3[[#This Row],[Cuenta]],Estructura_Balance[Nombre Cuenta ()],Estructura_Balance[Nivel 3],"",0)</f>
        <v/>
      </c>
      <c r="Q1549" t="str">
        <f>_xlfn.XLOOKUP(Table3[[#This Row],[Cuenta]],Estructura_Balance[Nombre Cuenta ()],Estructura_Balance[Nivel 4],"",0)</f>
        <v/>
      </c>
      <c r="R1549" t="str">
        <f>_xlfn.XLOOKUP(Table3[[#This Row],[Cuenta]],Table8[Nombre Cuenta ()],Table8[Nivel 1],"",0)</f>
        <v/>
      </c>
      <c r="S1549" t="str">
        <f>_xlfn.XLOOKUP(Table3[[#This Row],[Cuenta]],Table8[Nombre Cuenta ()],Table8[Nivel 2],"",0)</f>
        <v/>
      </c>
      <c r="T1549" t="str">
        <f>_xlfn.XLOOKUP(Table3[[#This Row],[Cuenta]],Table8[Nombre Cuenta ()],Table8[Nivel 3],"",0)</f>
        <v/>
      </c>
      <c r="U1549">
        <v>554</v>
      </c>
      <c r="V1549" t="str">
        <f>_xlfn.XLOOKUP(Table3[[#This Row],[Cuenta]],Estructura_Balance[Nombre Cuenta ()],Estructura_Balance[Niveles:2],"",0)</f>
        <v/>
      </c>
      <c r="W1549" t="str">
        <f>_xlfn.XLOOKUP(Table3[[#This Row],[Cuenta]],Estructura_Balance[Nombre Cuenta ()],Estructura_Balance[Niveles:3],"",0)</f>
        <v/>
      </c>
      <c r="X1549" t="str">
        <f>_xlfn.XLOOKUP(Table3[[#This Row],[Cuenta]],Estructura_Balance[Nombre Cuenta ()],Estructura_Balance[Grupos],"Grupo 1",0)</f>
        <v>Grupo 1</v>
      </c>
      <c r="Y1549" t="str">
        <f>+Table3[[#This Row],[BS_Nivel_1]]</f>
        <v/>
      </c>
    </row>
    <row r="1550" spans="1:25" ht="15" customHeight="1">
      <c r="A1550">
        <f>+'Libro Diario'!F970</f>
        <v>0</v>
      </c>
      <c r="B1550" s="144">
        <f>VALUE(IF(+'Libro Diario'!G970="","01/01/2025",+'Libro Diario'!G970))</f>
        <v>45658</v>
      </c>
      <c r="C1550">
        <f>IF(ISNUMBER(+IF(IFERROR(VALUE(MID('Libro Diario'!D970,1,4)),0)&lt;&gt;0,'Libro Diario'!D970,0))=FALSE,'Libro Diario'!D970,0)</f>
        <v>0</v>
      </c>
      <c r="D1550" s="145">
        <f>+'Libro Diario'!E970</f>
        <v>0</v>
      </c>
      <c r="E1550" s="139" t="s">
        <v>446</v>
      </c>
      <c r="F1550" t="str">
        <f t="shared" si="72"/>
        <v>Sin Mov.</v>
      </c>
      <c r="G1550" t="str">
        <f>IF(+'Libro Diario'!H970=0,"",+'Libro Diario'!H970)</f>
        <v/>
      </c>
      <c r="H1550" t="str">
        <f>IF(+'Libro Diario'!I970=0,"",+'Libro Diario'!I970)</f>
        <v/>
      </c>
      <c r="I1550" t="str">
        <f>+IF(Table3[[#This Row],[Tipo Movimiento]]="Estructura Balance y PyG","Excluir","Incluir")</f>
        <v>Incluir</v>
      </c>
      <c r="J1550" s="153">
        <f>+IF(Table3[[#This Row],[Sin cuenta]]="Con Mov.",(IF(Table3[[#This Row],[Movimiento]]="Debe",Table3[[#This Row],[Importe]],IF(Table3[[#This Row],[Movimiento]]="Haber",Table3[[#This Row],[Importe]]*-1,0))),0)</f>
        <v>0</v>
      </c>
      <c r="K1550" s="145" t="str">
        <f t="shared" si="73"/>
        <v/>
      </c>
      <c r="L1550" s="145">
        <f t="shared" si="74"/>
        <v>0</v>
      </c>
      <c r="M1550" t="str">
        <f>_xlfn.XLOOKUP(Table3[[#This Row],[Cuenta]],Estructura_Balance[Nombre Cuenta ()],Estructura_Balance[Grupo],"",0)</f>
        <v/>
      </c>
      <c r="N1550" t="str">
        <f>_xlfn.XLOOKUP(Table3[[#This Row],[Cuenta]],Estructura_Balance[Nombre Cuenta ()],Estructura_Balance[Nivel 1],"",0)</f>
        <v/>
      </c>
      <c r="O1550" t="str">
        <f>_xlfn.XLOOKUP(Table3[[#This Row],[Cuenta]],Estructura_Balance[Nombre Cuenta ()],Estructura_Balance[Nivel 2],"",0)</f>
        <v/>
      </c>
      <c r="P1550" t="str">
        <f>_xlfn.XLOOKUP(Table3[[#This Row],[Cuenta]],Estructura_Balance[Nombre Cuenta ()],Estructura_Balance[Nivel 3],"",0)</f>
        <v/>
      </c>
      <c r="Q1550" t="str">
        <f>_xlfn.XLOOKUP(Table3[[#This Row],[Cuenta]],Estructura_Balance[Nombre Cuenta ()],Estructura_Balance[Nivel 4],"",0)</f>
        <v/>
      </c>
      <c r="R1550" t="str">
        <f>_xlfn.XLOOKUP(Table3[[#This Row],[Cuenta]],Table8[Nombre Cuenta ()],Table8[Nivel 1],"",0)</f>
        <v/>
      </c>
      <c r="S1550" t="str">
        <f>_xlfn.XLOOKUP(Table3[[#This Row],[Cuenta]],Table8[Nombre Cuenta ()],Table8[Nivel 2],"",0)</f>
        <v/>
      </c>
      <c r="T1550" t="str">
        <f>_xlfn.XLOOKUP(Table3[[#This Row],[Cuenta]],Table8[Nombre Cuenta ()],Table8[Nivel 3],"",0)</f>
        <v/>
      </c>
      <c r="U1550">
        <v>555</v>
      </c>
      <c r="V1550" t="str">
        <f>_xlfn.XLOOKUP(Table3[[#This Row],[Cuenta]],Estructura_Balance[Nombre Cuenta ()],Estructura_Balance[Niveles:2],"",0)</f>
        <v/>
      </c>
      <c r="W1550" t="str">
        <f>_xlfn.XLOOKUP(Table3[[#This Row],[Cuenta]],Estructura_Balance[Nombre Cuenta ()],Estructura_Balance[Niveles:3],"",0)</f>
        <v/>
      </c>
      <c r="X1550" t="str">
        <f>_xlfn.XLOOKUP(Table3[[#This Row],[Cuenta]],Estructura_Balance[Nombre Cuenta ()],Estructura_Balance[Grupos],"Grupo 1",0)</f>
        <v>Grupo 1</v>
      </c>
      <c r="Y1550" t="str">
        <f>+Table3[[#This Row],[BS_Nivel_1]]</f>
        <v/>
      </c>
    </row>
    <row r="1551" spans="1:25" ht="15" customHeight="1">
      <c r="A1551">
        <f>+'Libro Diario'!F971</f>
        <v>0</v>
      </c>
      <c r="B1551" s="144">
        <f>VALUE(IF(+'Libro Diario'!G971="","01/01/2025",+'Libro Diario'!G971))</f>
        <v>45658</v>
      </c>
      <c r="C1551">
        <f>IF(ISNUMBER(+IF(IFERROR(VALUE(MID('Libro Diario'!D971,1,4)),0)&lt;&gt;0,'Libro Diario'!D971,0))=FALSE,'Libro Diario'!D971,0)</f>
        <v>0</v>
      </c>
      <c r="D1551" s="145">
        <f>+'Libro Diario'!E971</f>
        <v>0</v>
      </c>
      <c r="E1551" s="139" t="s">
        <v>446</v>
      </c>
      <c r="F1551" t="str">
        <f t="shared" si="72"/>
        <v>Sin Mov.</v>
      </c>
      <c r="G1551" t="str">
        <f>IF(+'Libro Diario'!H971=0,"",+'Libro Diario'!H971)</f>
        <v/>
      </c>
      <c r="H1551" t="str">
        <f>IF(+'Libro Diario'!I971=0,"",+'Libro Diario'!I971)</f>
        <v/>
      </c>
      <c r="I1551" t="str">
        <f>+IF(Table3[[#This Row],[Tipo Movimiento]]="Estructura Balance y PyG","Excluir","Incluir")</f>
        <v>Incluir</v>
      </c>
      <c r="J1551" s="153">
        <f>+IF(Table3[[#This Row],[Sin cuenta]]="Con Mov.",(IF(Table3[[#This Row],[Movimiento]]="Debe",Table3[[#This Row],[Importe]],IF(Table3[[#This Row],[Movimiento]]="Haber",Table3[[#This Row],[Importe]]*-1,0))),0)</f>
        <v>0</v>
      </c>
      <c r="K1551" s="145" t="str">
        <f t="shared" si="73"/>
        <v/>
      </c>
      <c r="L1551" s="145">
        <f t="shared" si="74"/>
        <v>0</v>
      </c>
      <c r="M1551" t="str">
        <f>_xlfn.XLOOKUP(Table3[[#This Row],[Cuenta]],Estructura_Balance[Nombre Cuenta ()],Estructura_Balance[Grupo],"",0)</f>
        <v/>
      </c>
      <c r="N1551" t="str">
        <f>_xlfn.XLOOKUP(Table3[[#This Row],[Cuenta]],Estructura_Balance[Nombre Cuenta ()],Estructura_Balance[Nivel 1],"",0)</f>
        <v/>
      </c>
      <c r="O1551" t="str">
        <f>_xlfn.XLOOKUP(Table3[[#This Row],[Cuenta]],Estructura_Balance[Nombre Cuenta ()],Estructura_Balance[Nivel 2],"",0)</f>
        <v/>
      </c>
      <c r="P1551" t="str">
        <f>_xlfn.XLOOKUP(Table3[[#This Row],[Cuenta]],Estructura_Balance[Nombre Cuenta ()],Estructura_Balance[Nivel 3],"",0)</f>
        <v/>
      </c>
      <c r="Q1551" t="str">
        <f>_xlfn.XLOOKUP(Table3[[#This Row],[Cuenta]],Estructura_Balance[Nombre Cuenta ()],Estructura_Balance[Nivel 4],"",0)</f>
        <v/>
      </c>
      <c r="R1551" t="str">
        <f>_xlfn.XLOOKUP(Table3[[#This Row],[Cuenta]],Table8[Nombre Cuenta ()],Table8[Nivel 1],"",0)</f>
        <v/>
      </c>
      <c r="S1551" t="str">
        <f>_xlfn.XLOOKUP(Table3[[#This Row],[Cuenta]],Table8[Nombre Cuenta ()],Table8[Nivel 2],"",0)</f>
        <v/>
      </c>
      <c r="T1551" t="str">
        <f>_xlfn.XLOOKUP(Table3[[#This Row],[Cuenta]],Table8[Nombre Cuenta ()],Table8[Nivel 3],"",0)</f>
        <v/>
      </c>
      <c r="U1551">
        <v>556</v>
      </c>
      <c r="V1551" t="str">
        <f>_xlfn.XLOOKUP(Table3[[#This Row],[Cuenta]],Estructura_Balance[Nombre Cuenta ()],Estructura_Balance[Niveles:2],"",0)</f>
        <v/>
      </c>
      <c r="W1551" t="str">
        <f>_xlfn.XLOOKUP(Table3[[#This Row],[Cuenta]],Estructura_Balance[Nombre Cuenta ()],Estructura_Balance[Niveles:3],"",0)</f>
        <v/>
      </c>
      <c r="X1551" t="str">
        <f>_xlfn.XLOOKUP(Table3[[#This Row],[Cuenta]],Estructura_Balance[Nombre Cuenta ()],Estructura_Balance[Grupos],"Grupo 1",0)</f>
        <v>Grupo 1</v>
      </c>
      <c r="Y1551" t="str">
        <f>+Table3[[#This Row],[BS_Nivel_1]]</f>
        <v/>
      </c>
    </row>
    <row r="1552" spans="1:25" ht="15" customHeight="1">
      <c r="A1552">
        <f>+'Libro Diario'!F972</f>
        <v>0</v>
      </c>
      <c r="B1552" s="144">
        <f>VALUE(IF(+'Libro Diario'!G972="","01/01/2025",+'Libro Diario'!G972))</f>
        <v>45658</v>
      </c>
      <c r="C1552">
        <f>IF(ISNUMBER(+IF(IFERROR(VALUE(MID('Libro Diario'!D972,1,4)),0)&lt;&gt;0,'Libro Diario'!D972,0))=FALSE,'Libro Diario'!D972,0)</f>
        <v>0</v>
      </c>
      <c r="D1552" s="145">
        <f>+'Libro Diario'!E972</f>
        <v>0</v>
      </c>
      <c r="E1552" s="139" t="s">
        <v>446</v>
      </c>
      <c r="F1552" t="str">
        <f t="shared" si="72"/>
        <v>Sin Mov.</v>
      </c>
      <c r="G1552" t="str">
        <f>IF(+'Libro Diario'!H972=0,"",+'Libro Diario'!H972)</f>
        <v/>
      </c>
      <c r="H1552" t="str">
        <f>IF(+'Libro Diario'!I972=0,"",+'Libro Diario'!I972)</f>
        <v/>
      </c>
      <c r="I1552" t="str">
        <f>+IF(Table3[[#This Row],[Tipo Movimiento]]="Estructura Balance y PyG","Excluir","Incluir")</f>
        <v>Incluir</v>
      </c>
      <c r="J1552" s="153">
        <f>+IF(Table3[[#This Row],[Sin cuenta]]="Con Mov.",(IF(Table3[[#This Row],[Movimiento]]="Debe",Table3[[#This Row],[Importe]],IF(Table3[[#This Row],[Movimiento]]="Haber",Table3[[#This Row],[Importe]]*-1,0))),0)</f>
        <v>0</v>
      </c>
      <c r="K1552" s="145" t="str">
        <f t="shared" si="73"/>
        <v/>
      </c>
      <c r="L1552" s="145">
        <f t="shared" si="74"/>
        <v>0</v>
      </c>
      <c r="M1552" t="str">
        <f>_xlfn.XLOOKUP(Table3[[#This Row],[Cuenta]],Estructura_Balance[Nombre Cuenta ()],Estructura_Balance[Grupo],"",0)</f>
        <v/>
      </c>
      <c r="N1552" t="str">
        <f>_xlfn.XLOOKUP(Table3[[#This Row],[Cuenta]],Estructura_Balance[Nombre Cuenta ()],Estructura_Balance[Nivel 1],"",0)</f>
        <v/>
      </c>
      <c r="O1552" t="str">
        <f>_xlfn.XLOOKUP(Table3[[#This Row],[Cuenta]],Estructura_Balance[Nombre Cuenta ()],Estructura_Balance[Nivel 2],"",0)</f>
        <v/>
      </c>
      <c r="P1552" t="str">
        <f>_xlfn.XLOOKUP(Table3[[#This Row],[Cuenta]],Estructura_Balance[Nombre Cuenta ()],Estructura_Balance[Nivel 3],"",0)</f>
        <v/>
      </c>
      <c r="Q1552" t="str">
        <f>_xlfn.XLOOKUP(Table3[[#This Row],[Cuenta]],Estructura_Balance[Nombre Cuenta ()],Estructura_Balance[Nivel 4],"",0)</f>
        <v/>
      </c>
      <c r="R1552" t="str">
        <f>_xlfn.XLOOKUP(Table3[[#This Row],[Cuenta]],Table8[Nombre Cuenta ()],Table8[Nivel 1],"",0)</f>
        <v/>
      </c>
      <c r="S1552" t="str">
        <f>_xlfn.XLOOKUP(Table3[[#This Row],[Cuenta]],Table8[Nombre Cuenta ()],Table8[Nivel 2],"",0)</f>
        <v/>
      </c>
      <c r="T1552" t="str">
        <f>_xlfn.XLOOKUP(Table3[[#This Row],[Cuenta]],Table8[Nombre Cuenta ()],Table8[Nivel 3],"",0)</f>
        <v/>
      </c>
      <c r="U1552">
        <v>557</v>
      </c>
      <c r="V1552" t="str">
        <f>_xlfn.XLOOKUP(Table3[[#This Row],[Cuenta]],Estructura_Balance[Nombre Cuenta ()],Estructura_Balance[Niveles:2],"",0)</f>
        <v/>
      </c>
      <c r="W1552" t="str">
        <f>_xlfn.XLOOKUP(Table3[[#This Row],[Cuenta]],Estructura_Balance[Nombre Cuenta ()],Estructura_Balance[Niveles:3],"",0)</f>
        <v/>
      </c>
      <c r="X1552" t="str">
        <f>_xlfn.XLOOKUP(Table3[[#This Row],[Cuenta]],Estructura_Balance[Nombre Cuenta ()],Estructura_Balance[Grupos],"Grupo 1",0)</f>
        <v>Grupo 1</v>
      </c>
      <c r="Y1552" t="str">
        <f>+Table3[[#This Row],[BS_Nivel_1]]</f>
        <v/>
      </c>
    </row>
    <row r="1553" spans="1:25" ht="15" customHeight="1">
      <c r="A1553">
        <f>+'Libro Diario'!F973</f>
        <v>0</v>
      </c>
      <c r="B1553" s="144">
        <f>VALUE(IF(+'Libro Diario'!G973="","01/01/2025",+'Libro Diario'!G973))</f>
        <v>45658</v>
      </c>
      <c r="C1553">
        <f>IF(ISNUMBER(+IF(IFERROR(VALUE(MID('Libro Diario'!D973,1,4)),0)&lt;&gt;0,'Libro Diario'!D973,0))=FALSE,'Libro Diario'!D973,0)</f>
        <v>0</v>
      </c>
      <c r="D1553" s="145">
        <f>+'Libro Diario'!E973</f>
        <v>0</v>
      </c>
      <c r="E1553" s="139" t="s">
        <v>446</v>
      </c>
      <c r="F1553" t="str">
        <f t="shared" si="72"/>
        <v>Sin Mov.</v>
      </c>
      <c r="G1553" t="str">
        <f>IF(+'Libro Diario'!H973=0,"",+'Libro Diario'!H973)</f>
        <v/>
      </c>
      <c r="H1553" t="str">
        <f>IF(+'Libro Diario'!I973=0,"",+'Libro Diario'!I973)</f>
        <v/>
      </c>
      <c r="I1553" t="str">
        <f>+IF(Table3[[#This Row],[Tipo Movimiento]]="Estructura Balance y PyG","Excluir","Incluir")</f>
        <v>Incluir</v>
      </c>
      <c r="J1553" s="153">
        <f>+IF(Table3[[#This Row],[Sin cuenta]]="Con Mov.",(IF(Table3[[#This Row],[Movimiento]]="Debe",Table3[[#This Row],[Importe]],IF(Table3[[#This Row],[Movimiento]]="Haber",Table3[[#This Row],[Importe]]*-1,0))),0)</f>
        <v>0</v>
      </c>
      <c r="K1553" s="145" t="str">
        <f t="shared" si="73"/>
        <v/>
      </c>
      <c r="L1553" s="145">
        <f t="shared" si="74"/>
        <v>0</v>
      </c>
      <c r="M1553" t="str">
        <f>_xlfn.XLOOKUP(Table3[[#This Row],[Cuenta]],Estructura_Balance[Nombre Cuenta ()],Estructura_Balance[Grupo],"",0)</f>
        <v/>
      </c>
      <c r="N1553" t="str">
        <f>_xlfn.XLOOKUP(Table3[[#This Row],[Cuenta]],Estructura_Balance[Nombre Cuenta ()],Estructura_Balance[Nivel 1],"",0)</f>
        <v/>
      </c>
      <c r="O1553" t="str">
        <f>_xlfn.XLOOKUP(Table3[[#This Row],[Cuenta]],Estructura_Balance[Nombre Cuenta ()],Estructura_Balance[Nivel 2],"",0)</f>
        <v/>
      </c>
      <c r="P1553" t="str">
        <f>_xlfn.XLOOKUP(Table3[[#This Row],[Cuenta]],Estructura_Balance[Nombre Cuenta ()],Estructura_Balance[Nivel 3],"",0)</f>
        <v/>
      </c>
      <c r="Q1553" t="str">
        <f>_xlfn.XLOOKUP(Table3[[#This Row],[Cuenta]],Estructura_Balance[Nombre Cuenta ()],Estructura_Balance[Nivel 4],"",0)</f>
        <v/>
      </c>
      <c r="R1553" t="str">
        <f>_xlfn.XLOOKUP(Table3[[#This Row],[Cuenta]],Table8[Nombre Cuenta ()],Table8[Nivel 1],"",0)</f>
        <v/>
      </c>
      <c r="S1553" t="str">
        <f>_xlfn.XLOOKUP(Table3[[#This Row],[Cuenta]],Table8[Nombre Cuenta ()],Table8[Nivel 2],"",0)</f>
        <v/>
      </c>
      <c r="T1553" t="str">
        <f>_xlfn.XLOOKUP(Table3[[#This Row],[Cuenta]],Table8[Nombre Cuenta ()],Table8[Nivel 3],"",0)</f>
        <v/>
      </c>
      <c r="U1553">
        <v>558</v>
      </c>
      <c r="V1553" t="str">
        <f>_xlfn.XLOOKUP(Table3[[#This Row],[Cuenta]],Estructura_Balance[Nombre Cuenta ()],Estructura_Balance[Niveles:2],"",0)</f>
        <v/>
      </c>
      <c r="W1553" t="str">
        <f>_xlfn.XLOOKUP(Table3[[#This Row],[Cuenta]],Estructura_Balance[Nombre Cuenta ()],Estructura_Balance[Niveles:3],"",0)</f>
        <v/>
      </c>
      <c r="X1553" t="str">
        <f>_xlfn.XLOOKUP(Table3[[#This Row],[Cuenta]],Estructura_Balance[Nombre Cuenta ()],Estructura_Balance[Grupos],"Grupo 1",0)</f>
        <v>Grupo 1</v>
      </c>
      <c r="Y1553" t="str">
        <f>+Table3[[#This Row],[BS_Nivel_1]]</f>
        <v/>
      </c>
    </row>
    <row r="1554" spans="1:25" ht="15" customHeight="1">
      <c r="A1554">
        <f>+'Libro Diario'!F974</f>
        <v>0</v>
      </c>
      <c r="B1554" s="144">
        <f>VALUE(IF(+'Libro Diario'!G974="","01/01/2025",+'Libro Diario'!G974))</f>
        <v>45658</v>
      </c>
      <c r="C1554">
        <f>IF(ISNUMBER(+IF(IFERROR(VALUE(MID('Libro Diario'!D974,1,4)),0)&lt;&gt;0,'Libro Diario'!D974,0))=FALSE,'Libro Diario'!D974,0)</f>
        <v>0</v>
      </c>
      <c r="D1554" s="145">
        <f>+'Libro Diario'!E974</f>
        <v>0</v>
      </c>
      <c r="E1554" s="139" t="s">
        <v>446</v>
      </c>
      <c r="F1554" t="str">
        <f t="shared" si="72"/>
        <v>Sin Mov.</v>
      </c>
      <c r="G1554" t="str">
        <f>IF(+'Libro Diario'!H974=0,"",+'Libro Diario'!H974)</f>
        <v/>
      </c>
      <c r="H1554" t="str">
        <f>IF(+'Libro Diario'!I974=0,"",+'Libro Diario'!I974)</f>
        <v/>
      </c>
      <c r="I1554" t="str">
        <f>+IF(Table3[[#This Row],[Tipo Movimiento]]="Estructura Balance y PyG","Excluir","Incluir")</f>
        <v>Incluir</v>
      </c>
      <c r="J1554" s="153">
        <f>+IF(Table3[[#This Row],[Sin cuenta]]="Con Mov.",(IF(Table3[[#This Row],[Movimiento]]="Debe",Table3[[#This Row],[Importe]],IF(Table3[[#This Row],[Movimiento]]="Haber",Table3[[#This Row],[Importe]]*-1,0))),0)</f>
        <v>0</v>
      </c>
      <c r="K1554" s="145" t="str">
        <f t="shared" si="73"/>
        <v/>
      </c>
      <c r="L1554" s="145">
        <f t="shared" si="74"/>
        <v>0</v>
      </c>
      <c r="M1554" t="str">
        <f>_xlfn.XLOOKUP(Table3[[#This Row],[Cuenta]],Estructura_Balance[Nombre Cuenta ()],Estructura_Balance[Grupo],"",0)</f>
        <v/>
      </c>
      <c r="N1554" t="str">
        <f>_xlfn.XLOOKUP(Table3[[#This Row],[Cuenta]],Estructura_Balance[Nombre Cuenta ()],Estructura_Balance[Nivel 1],"",0)</f>
        <v/>
      </c>
      <c r="O1554" t="str">
        <f>_xlfn.XLOOKUP(Table3[[#This Row],[Cuenta]],Estructura_Balance[Nombre Cuenta ()],Estructura_Balance[Nivel 2],"",0)</f>
        <v/>
      </c>
      <c r="P1554" t="str">
        <f>_xlfn.XLOOKUP(Table3[[#This Row],[Cuenta]],Estructura_Balance[Nombre Cuenta ()],Estructura_Balance[Nivel 3],"",0)</f>
        <v/>
      </c>
      <c r="Q1554" t="str">
        <f>_xlfn.XLOOKUP(Table3[[#This Row],[Cuenta]],Estructura_Balance[Nombre Cuenta ()],Estructura_Balance[Nivel 4],"",0)</f>
        <v/>
      </c>
      <c r="R1554" t="str">
        <f>_xlfn.XLOOKUP(Table3[[#This Row],[Cuenta]],Table8[Nombre Cuenta ()],Table8[Nivel 1],"",0)</f>
        <v/>
      </c>
      <c r="S1554" t="str">
        <f>_xlfn.XLOOKUP(Table3[[#This Row],[Cuenta]],Table8[Nombre Cuenta ()],Table8[Nivel 2],"",0)</f>
        <v/>
      </c>
      <c r="T1554" t="str">
        <f>_xlfn.XLOOKUP(Table3[[#This Row],[Cuenta]],Table8[Nombre Cuenta ()],Table8[Nivel 3],"",0)</f>
        <v/>
      </c>
      <c r="U1554">
        <v>559</v>
      </c>
      <c r="V1554" t="str">
        <f>_xlfn.XLOOKUP(Table3[[#This Row],[Cuenta]],Estructura_Balance[Nombre Cuenta ()],Estructura_Balance[Niveles:2],"",0)</f>
        <v/>
      </c>
      <c r="W1554" t="str">
        <f>_xlfn.XLOOKUP(Table3[[#This Row],[Cuenta]],Estructura_Balance[Nombre Cuenta ()],Estructura_Balance[Niveles:3],"",0)</f>
        <v/>
      </c>
      <c r="X1554" t="str">
        <f>_xlfn.XLOOKUP(Table3[[#This Row],[Cuenta]],Estructura_Balance[Nombre Cuenta ()],Estructura_Balance[Grupos],"Grupo 1",0)</f>
        <v>Grupo 1</v>
      </c>
      <c r="Y1554" t="str">
        <f>+Table3[[#This Row],[BS_Nivel_1]]</f>
        <v/>
      </c>
    </row>
    <row r="1555" spans="1:25" ht="15" customHeight="1">
      <c r="A1555">
        <f>+'Libro Diario'!F975</f>
        <v>0</v>
      </c>
      <c r="B1555" s="144">
        <f>VALUE(IF(+'Libro Diario'!G975="","01/01/2025",+'Libro Diario'!G975))</f>
        <v>45658</v>
      </c>
      <c r="C1555">
        <f>IF(ISNUMBER(+IF(IFERROR(VALUE(MID('Libro Diario'!D975,1,4)),0)&lt;&gt;0,'Libro Diario'!D975,0))=FALSE,'Libro Diario'!D975,0)</f>
        <v>0</v>
      </c>
      <c r="D1555" s="145">
        <f>+'Libro Diario'!E975</f>
        <v>0</v>
      </c>
      <c r="E1555" s="139" t="s">
        <v>446</v>
      </c>
      <c r="F1555" t="str">
        <f t="shared" si="72"/>
        <v>Sin Mov.</v>
      </c>
      <c r="G1555" t="str">
        <f>IF(+'Libro Diario'!H975=0,"",+'Libro Diario'!H975)</f>
        <v/>
      </c>
      <c r="H1555" t="str">
        <f>IF(+'Libro Diario'!I975=0,"",+'Libro Diario'!I975)</f>
        <v/>
      </c>
      <c r="I1555" t="str">
        <f>+IF(Table3[[#This Row],[Tipo Movimiento]]="Estructura Balance y PyG","Excluir","Incluir")</f>
        <v>Incluir</v>
      </c>
      <c r="J1555" s="153">
        <f>+IF(Table3[[#This Row],[Sin cuenta]]="Con Mov.",(IF(Table3[[#This Row],[Movimiento]]="Debe",Table3[[#This Row],[Importe]],IF(Table3[[#This Row],[Movimiento]]="Haber",Table3[[#This Row],[Importe]]*-1,0))),0)</f>
        <v>0</v>
      </c>
      <c r="K1555" s="145" t="str">
        <f t="shared" si="73"/>
        <v/>
      </c>
      <c r="L1555" s="145">
        <f t="shared" si="74"/>
        <v>0</v>
      </c>
      <c r="M1555" t="str">
        <f>_xlfn.XLOOKUP(Table3[[#This Row],[Cuenta]],Estructura_Balance[Nombre Cuenta ()],Estructura_Balance[Grupo],"",0)</f>
        <v/>
      </c>
      <c r="N1555" t="str">
        <f>_xlfn.XLOOKUP(Table3[[#This Row],[Cuenta]],Estructura_Balance[Nombre Cuenta ()],Estructura_Balance[Nivel 1],"",0)</f>
        <v/>
      </c>
      <c r="O1555" t="str">
        <f>_xlfn.XLOOKUP(Table3[[#This Row],[Cuenta]],Estructura_Balance[Nombre Cuenta ()],Estructura_Balance[Nivel 2],"",0)</f>
        <v/>
      </c>
      <c r="P1555" t="str">
        <f>_xlfn.XLOOKUP(Table3[[#This Row],[Cuenta]],Estructura_Balance[Nombre Cuenta ()],Estructura_Balance[Nivel 3],"",0)</f>
        <v/>
      </c>
      <c r="Q1555" t="str">
        <f>_xlfn.XLOOKUP(Table3[[#This Row],[Cuenta]],Estructura_Balance[Nombre Cuenta ()],Estructura_Balance[Nivel 4],"",0)</f>
        <v/>
      </c>
      <c r="R1555" t="str">
        <f>_xlfn.XLOOKUP(Table3[[#This Row],[Cuenta]],Table8[Nombre Cuenta ()],Table8[Nivel 1],"",0)</f>
        <v/>
      </c>
      <c r="S1555" t="str">
        <f>_xlfn.XLOOKUP(Table3[[#This Row],[Cuenta]],Table8[Nombre Cuenta ()],Table8[Nivel 2],"",0)</f>
        <v/>
      </c>
      <c r="T1555" t="str">
        <f>_xlfn.XLOOKUP(Table3[[#This Row],[Cuenta]],Table8[Nombre Cuenta ()],Table8[Nivel 3],"",0)</f>
        <v/>
      </c>
      <c r="U1555">
        <v>560</v>
      </c>
      <c r="V1555" t="str">
        <f>_xlfn.XLOOKUP(Table3[[#This Row],[Cuenta]],Estructura_Balance[Nombre Cuenta ()],Estructura_Balance[Niveles:2],"",0)</f>
        <v/>
      </c>
      <c r="W1555" t="str">
        <f>_xlfn.XLOOKUP(Table3[[#This Row],[Cuenta]],Estructura_Balance[Nombre Cuenta ()],Estructura_Balance[Niveles:3],"",0)</f>
        <v/>
      </c>
      <c r="X1555" t="str">
        <f>_xlfn.XLOOKUP(Table3[[#This Row],[Cuenta]],Estructura_Balance[Nombre Cuenta ()],Estructura_Balance[Grupos],"Grupo 1",0)</f>
        <v>Grupo 1</v>
      </c>
      <c r="Y1555" t="str">
        <f>+Table3[[#This Row],[BS_Nivel_1]]</f>
        <v/>
      </c>
    </row>
    <row r="1556" spans="1:25" ht="15" customHeight="1">
      <c r="A1556">
        <f>+'Libro Diario'!F976</f>
        <v>0</v>
      </c>
      <c r="B1556" s="144">
        <f>VALUE(IF(+'Libro Diario'!G976="","01/01/2025",+'Libro Diario'!G976))</f>
        <v>45658</v>
      </c>
      <c r="C1556">
        <f>IF(ISNUMBER(+IF(IFERROR(VALUE(MID('Libro Diario'!D976,1,4)),0)&lt;&gt;0,'Libro Diario'!D976,0))=FALSE,'Libro Diario'!D976,0)</f>
        <v>0</v>
      </c>
      <c r="D1556" s="145">
        <f>+'Libro Diario'!E976</f>
        <v>0</v>
      </c>
      <c r="E1556" s="139" t="s">
        <v>446</v>
      </c>
      <c r="F1556" t="str">
        <f t="shared" si="72"/>
        <v>Sin Mov.</v>
      </c>
      <c r="G1556" t="str">
        <f>IF(+'Libro Diario'!H976=0,"",+'Libro Diario'!H976)</f>
        <v/>
      </c>
      <c r="H1556" t="str">
        <f>IF(+'Libro Diario'!I976=0,"",+'Libro Diario'!I976)</f>
        <v/>
      </c>
      <c r="I1556" t="str">
        <f>+IF(Table3[[#This Row],[Tipo Movimiento]]="Estructura Balance y PyG","Excluir","Incluir")</f>
        <v>Incluir</v>
      </c>
      <c r="J1556" s="153">
        <f>+IF(Table3[[#This Row],[Sin cuenta]]="Con Mov.",(IF(Table3[[#This Row],[Movimiento]]="Debe",Table3[[#This Row],[Importe]],IF(Table3[[#This Row],[Movimiento]]="Haber",Table3[[#This Row],[Importe]]*-1,0))),0)</f>
        <v>0</v>
      </c>
      <c r="K1556" s="145" t="str">
        <f t="shared" si="73"/>
        <v/>
      </c>
      <c r="L1556" s="145">
        <f t="shared" si="74"/>
        <v>0</v>
      </c>
      <c r="M1556" t="str">
        <f>_xlfn.XLOOKUP(Table3[[#This Row],[Cuenta]],Estructura_Balance[Nombre Cuenta ()],Estructura_Balance[Grupo],"",0)</f>
        <v/>
      </c>
      <c r="N1556" t="str">
        <f>_xlfn.XLOOKUP(Table3[[#This Row],[Cuenta]],Estructura_Balance[Nombre Cuenta ()],Estructura_Balance[Nivel 1],"",0)</f>
        <v/>
      </c>
      <c r="O1556" t="str">
        <f>_xlfn.XLOOKUP(Table3[[#This Row],[Cuenta]],Estructura_Balance[Nombre Cuenta ()],Estructura_Balance[Nivel 2],"",0)</f>
        <v/>
      </c>
      <c r="P1556" t="str">
        <f>_xlfn.XLOOKUP(Table3[[#This Row],[Cuenta]],Estructura_Balance[Nombre Cuenta ()],Estructura_Balance[Nivel 3],"",0)</f>
        <v/>
      </c>
      <c r="Q1556" t="str">
        <f>_xlfn.XLOOKUP(Table3[[#This Row],[Cuenta]],Estructura_Balance[Nombre Cuenta ()],Estructura_Balance[Nivel 4],"",0)</f>
        <v/>
      </c>
      <c r="R1556" t="str">
        <f>_xlfn.XLOOKUP(Table3[[#This Row],[Cuenta]],Table8[Nombre Cuenta ()],Table8[Nivel 1],"",0)</f>
        <v/>
      </c>
      <c r="S1556" t="str">
        <f>_xlfn.XLOOKUP(Table3[[#This Row],[Cuenta]],Table8[Nombre Cuenta ()],Table8[Nivel 2],"",0)</f>
        <v/>
      </c>
      <c r="T1556" t="str">
        <f>_xlfn.XLOOKUP(Table3[[#This Row],[Cuenta]],Table8[Nombre Cuenta ()],Table8[Nivel 3],"",0)</f>
        <v/>
      </c>
      <c r="U1556">
        <v>561</v>
      </c>
      <c r="V1556" t="str">
        <f>_xlfn.XLOOKUP(Table3[[#This Row],[Cuenta]],Estructura_Balance[Nombre Cuenta ()],Estructura_Balance[Niveles:2],"",0)</f>
        <v/>
      </c>
      <c r="W1556" t="str">
        <f>_xlfn.XLOOKUP(Table3[[#This Row],[Cuenta]],Estructura_Balance[Nombre Cuenta ()],Estructura_Balance[Niveles:3],"",0)</f>
        <v/>
      </c>
      <c r="X1556" t="str">
        <f>_xlfn.XLOOKUP(Table3[[#This Row],[Cuenta]],Estructura_Balance[Nombre Cuenta ()],Estructura_Balance[Grupos],"Grupo 1",0)</f>
        <v>Grupo 1</v>
      </c>
      <c r="Y1556" t="str">
        <f>+Table3[[#This Row],[BS_Nivel_1]]</f>
        <v/>
      </c>
    </row>
    <row r="1557" spans="1:25" ht="15" customHeight="1">
      <c r="A1557">
        <f>+'Libro Diario'!F977</f>
        <v>0</v>
      </c>
      <c r="B1557" s="144">
        <f>VALUE(IF(+'Libro Diario'!G977="","01/01/2025",+'Libro Diario'!G977))</f>
        <v>45658</v>
      </c>
      <c r="C1557">
        <f>IF(ISNUMBER(+IF(IFERROR(VALUE(MID('Libro Diario'!D977,1,4)),0)&lt;&gt;0,'Libro Diario'!D977,0))=FALSE,'Libro Diario'!D977,0)</f>
        <v>0</v>
      </c>
      <c r="D1557" s="145">
        <f>+'Libro Diario'!E977</f>
        <v>0</v>
      </c>
      <c r="E1557" s="139" t="s">
        <v>446</v>
      </c>
      <c r="F1557" t="str">
        <f t="shared" si="72"/>
        <v>Sin Mov.</v>
      </c>
      <c r="G1557" t="str">
        <f>IF(+'Libro Diario'!H977=0,"",+'Libro Diario'!H977)</f>
        <v/>
      </c>
      <c r="H1557" t="str">
        <f>IF(+'Libro Diario'!I977=0,"",+'Libro Diario'!I977)</f>
        <v/>
      </c>
      <c r="I1557" t="str">
        <f>+IF(Table3[[#This Row],[Tipo Movimiento]]="Estructura Balance y PyG","Excluir","Incluir")</f>
        <v>Incluir</v>
      </c>
      <c r="J1557" s="153">
        <f>+IF(Table3[[#This Row],[Sin cuenta]]="Con Mov.",(IF(Table3[[#This Row],[Movimiento]]="Debe",Table3[[#This Row],[Importe]],IF(Table3[[#This Row],[Movimiento]]="Haber",Table3[[#This Row],[Importe]]*-1,0))),0)</f>
        <v>0</v>
      </c>
      <c r="K1557" s="145" t="str">
        <f t="shared" si="73"/>
        <v/>
      </c>
      <c r="L1557" s="145">
        <f t="shared" si="74"/>
        <v>0</v>
      </c>
      <c r="M1557" t="str">
        <f>_xlfn.XLOOKUP(Table3[[#This Row],[Cuenta]],Estructura_Balance[Nombre Cuenta ()],Estructura_Balance[Grupo],"",0)</f>
        <v/>
      </c>
      <c r="N1557" t="str">
        <f>_xlfn.XLOOKUP(Table3[[#This Row],[Cuenta]],Estructura_Balance[Nombre Cuenta ()],Estructura_Balance[Nivel 1],"",0)</f>
        <v/>
      </c>
      <c r="O1557" t="str">
        <f>_xlfn.XLOOKUP(Table3[[#This Row],[Cuenta]],Estructura_Balance[Nombre Cuenta ()],Estructura_Balance[Nivel 2],"",0)</f>
        <v/>
      </c>
      <c r="P1557" t="str">
        <f>_xlfn.XLOOKUP(Table3[[#This Row],[Cuenta]],Estructura_Balance[Nombre Cuenta ()],Estructura_Balance[Nivel 3],"",0)</f>
        <v/>
      </c>
      <c r="Q1557" t="str">
        <f>_xlfn.XLOOKUP(Table3[[#This Row],[Cuenta]],Estructura_Balance[Nombre Cuenta ()],Estructura_Balance[Nivel 4],"",0)</f>
        <v/>
      </c>
      <c r="R1557" t="str">
        <f>_xlfn.XLOOKUP(Table3[[#This Row],[Cuenta]],Table8[Nombre Cuenta ()],Table8[Nivel 1],"",0)</f>
        <v/>
      </c>
      <c r="S1557" t="str">
        <f>_xlfn.XLOOKUP(Table3[[#This Row],[Cuenta]],Table8[Nombre Cuenta ()],Table8[Nivel 2],"",0)</f>
        <v/>
      </c>
      <c r="T1557" t="str">
        <f>_xlfn.XLOOKUP(Table3[[#This Row],[Cuenta]],Table8[Nombre Cuenta ()],Table8[Nivel 3],"",0)</f>
        <v/>
      </c>
      <c r="U1557">
        <v>562</v>
      </c>
      <c r="V1557" t="str">
        <f>_xlfn.XLOOKUP(Table3[[#This Row],[Cuenta]],Estructura_Balance[Nombre Cuenta ()],Estructura_Balance[Niveles:2],"",0)</f>
        <v/>
      </c>
      <c r="W1557" t="str">
        <f>_xlfn.XLOOKUP(Table3[[#This Row],[Cuenta]],Estructura_Balance[Nombre Cuenta ()],Estructura_Balance[Niveles:3],"",0)</f>
        <v/>
      </c>
      <c r="X1557" t="str">
        <f>_xlfn.XLOOKUP(Table3[[#This Row],[Cuenta]],Estructura_Balance[Nombre Cuenta ()],Estructura_Balance[Grupos],"Grupo 1",0)</f>
        <v>Grupo 1</v>
      </c>
      <c r="Y1557" t="str">
        <f>+Table3[[#This Row],[BS_Nivel_1]]</f>
        <v/>
      </c>
    </row>
    <row r="1558" spans="1:25" ht="15" customHeight="1">
      <c r="A1558">
        <f>+'Libro Diario'!F978</f>
        <v>0</v>
      </c>
      <c r="B1558" s="144">
        <f>VALUE(IF(+'Libro Diario'!G978="","01/01/2025",+'Libro Diario'!G978))</f>
        <v>45658</v>
      </c>
      <c r="C1558">
        <f>IF(ISNUMBER(+IF(IFERROR(VALUE(MID('Libro Diario'!D978,1,4)),0)&lt;&gt;0,'Libro Diario'!D978,0))=FALSE,'Libro Diario'!D978,0)</f>
        <v>0</v>
      </c>
      <c r="D1558" s="145">
        <f>+'Libro Diario'!E978</f>
        <v>0</v>
      </c>
      <c r="E1558" s="139" t="s">
        <v>446</v>
      </c>
      <c r="F1558" t="str">
        <f t="shared" si="72"/>
        <v>Sin Mov.</v>
      </c>
      <c r="G1558" t="str">
        <f>IF(+'Libro Diario'!H978=0,"",+'Libro Diario'!H978)</f>
        <v/>
      </c>
      <c r="H1558" t="str">
        <f>IF(+'Libro Diario'!I978=0,"",+'Libro Diario'!I978)</f>
        <v/>
      </c>
      <c r="I1558" t="str">
        <f>+IF(Table3[[#This Row],[Tipo Movimiento]]="Estructura Balance y PyG","Excluir","Incluir")</f>
        <v>Incluir</v>
      </c>
      <c r="J1558" s="153">
        <f>+IF(Table3[[#This Row],[Sin cuenta]]="Con Mov.",(IF(Table3[[#This Row],[Movimiento]]="Debe",Table3[[#This Row],[Importe]],IF(Table3[[#This Row],[Movimiento]]="Haber",Table3[[#This Row],[Importe]]*-1,0))),0)</f>
        <v>0</v>
      </c>
      <c r="K1558" s="145" t="str">
        <f t="shared" si="73"/>
        <v/>
      </c>
      <c r="L1558" s="145">
        <f t="shared" si="74"/>
        <v>0</v>
      </c>
      <c r="M1558" t="str">
        <f>_xlfn.XLOOKUP(Table3[[#This Row],[Cuenta]],Estructura_Balance[Nombre Cuenta ()],Estructura_Balance[Grupo],"",0)</f>
        <v/>
      </c>
      <c r="N1558" t="str">
        <f>_xlfn.XLOOKUP(Table3[[#This Row],[Cuenta]],Estructura_Balance[Nombre Cuenta ()],Estructura_Balance[Nivel 1],"",0)</f>
        <v/>
      </c>
      <c r="O1558" t="str">
        <f>_xlfn.XLOOKUP(Table3[[#This Row],[Cuenta]],Estructura_Balance[Nombre Cuenta ()],Estructura_Balance[Nivel 2],"",0)</f>
        <v/>
      </c>
      <c r="P1558" t="str">
        <f>_xlfn.XLOOKUP(Table3[[#This Row],[Cuenta]],Estructura_Balance[Nombre Cuenta ()],Estructura_Balance[Nivel 3],"",0)</f>
        <v/>
      </c>
      <c r="Q1558" t="str">
        <f>_xlfn.XLOOKUP(Table3[[#This Row],[Cuenta]],Estructura_Balance[Nombre Cuenta ()],Estructura_Balance[Nivel 4],"",0)</f>
        <v/>
      </c>
      <c r="R1558" t="str">
        <f>_xlfn.XLOOKUP(Table3[[#This Row],[Cuenta]],Table8[Nombre Cuenta ()],Table8[Nivel 1],"",0)</f>
        <v/>
      </c>
      <c r="S1558" t="str">
        <f>_xlfn.XLOOKUP(Table3[[#This Row],[Cuenta]],Table8[Nombre Cuenta ()],Table8[Nivel 2],"",0)</f>
        <v/>
      </c>
      <c r="T1558" t="str">
        <f>_xlfn.XLOOKUP(Table3[[#This Row],[Cuenta]],Table8[Nombre Cuenta ()],Table8[Nivel 3],"",0)</f>
        <v/>
      </c>
      <c r="U1558">
        <v>563</v>
      </c>
      <c r="V1558" t="str">
        <f>_xlfn.XLOOKUP(Table3[[#This Row],[Cuenta]],Estructura_Balance[Nombre Cuenta ()],Estructura_Balance[Niveles:2],"",0)</f>
        <v/>
      </c>
      <c r="W1558" t="str">
        <f>_xlfn.XLOOKUP(Table3[[#This Row],[Cuenta]],Estructura_Balance[Nombre Cuenta ()],Estructura_Balance[Niveles:3],"",0)</f>
        <v/>
      </c>
      <c r="X1558" t="str">
        <f>_xlfn.XLOOKUP(Table3[[#This Row],[Cuenta]],Estructura_Balance[Nombre Cuenta ()],Estructura_Balance[Grupos],"Grupo 1",0)</f>
        <v>Grupo 1</v>
      </c>
      <c r="Y1558" t="str">
        <f>+Table3[[#This Row],[BS_Nivel_1]]</f>
        <v/>
      </c>
    </row>
    <row r="1559" spans="1:25" ht="15" customHeight="1">
      <c r="A1559">
        <f>+'Libro Diario'!F979</f>
        <v>0</v>
      </c>
      <c r="B1559" s="144">
        <f>VALUE(IF(+'Libro Diario'!G979="","01/01/2025",+'Libro Diario'!G979))</f>
        <v>45658</v>
      </c>
      <c r="C1559">
        <f>IF(ISNUMBER(+IF(IFERROR(VALUE(MID('Libro Diario'!D979,1,4)),0)&lt;&gt;0,'Libro Diario'!D979,0))=FALSE,'Libro Diario'!D979,0)</f>
        <v>0</v>
      </c>
      <c r="D1559" s="145">
        <f>+'Libro Diario'!E979</f>
        <v>0</v>
      </c>
      <c r="E1559" s="139" t="s">
        <v>446</v>
      </c>
      <c r="F1559" t="str">
        <f t="shared" si="72"/>
        <v>Sin Mov.</v>
      </c>
      <c r="G1559" t="str">
        <f>IF(+'Libro Diario'!H979=0,"",+'Libro Diario'!H979)</f>
        <v/>
      </c>
      <c r="H1559" t="str">
        <f>IF(+'Libro Diario'!I979=0,"",+'Libro Diario'!I979)</f>
        <v/>
      </c>
      <c r="I1559" t="str">
        <f>+IF(Table3[[#This Row],[Tipo Movimiento]]="Estructura Balance y PyG","Excluir","Incluir")</f>
        <v>Incluir</v>
      </c>
      <c r="J1559" s="153">
        <f>+IF(Table3[[#This Row],[Sin cuenta]]="Con Mov.",(IF(Table3[[#This Row],[Movimiento]]="Debe",Table3[[#This Row],[Importe]],IF(Table3[[#This Row],[Movimiento]]="Haber",Table3[[#This Row],[Importe]]*-1,0))),0)</f>
        <v>0</v>
      </c>
      <c r="K1559" s="145" t="str">
        <f t="shared" si="73"/>
        <v/>
      </c>
      <c r="L1559" s="145">
        <f t="shared" si="74"/>
        <v>0</v>
      </c>
      <c r="M1559" t="str">
        <f>_xlfn.XLOOKUP(Table3[[#This Row],[Cuenta]],Estructura_Balance[Nombre Cuenta ()],Estructura_Balance[Grupo],"",0)</f>
        <v/>
      </c>
      <c r="N1559" t="str">
        <f>_xlfn.XLOOKUP(Table3[[#This Row],[Cuenta]],Estructura_Balance[Nombre Cuenta ()],Estructura_Balance[Nivel 1],"",0)</f>
        <v/>
      </c>
      <c r="O1559" t="str">
        <f>_xlfn.XLOOKUP(Table3[[#This Row],[Cuenta]],Estructura_Balance[Nombre Cuenta ()],Estructura_Balance[Nivel 2],"",0)</f>
        <v/>
      </c>
      <c r="P1559" t="str">
        <f>_xlfn.XLOOKUP(Table3[[#This Row],[Cuenta]],Estructura_Balance[Nombre Cuenta ()],Estructura_Balance[Nivel 3],"",0)</f>
        <v/>
      </c>
      <c r="Q1559" t="str">
        <f>_xlfn.XLOOKUP(Table3[[#This Row],[Cuenta]],Estructura_Balance[Nombre Cuenta ()],Estructura_Balance[Nivel 4],"",0)</f>
        <v/>
      </c>
      <c r="R1559" t="str">
        <f>_xlfn.XLOOKUP(Table3[[#This Row],[Cuenta]],Table8[Nombre Cuenta ()],Table8[Nivel 1],"",0)</f>
        <v/>
      </c>
      <c r="S1559" t="str">
        <f>_xlfn.XLOOKUP(Table3[[#This Row],[Cuenta]],Table8[Nombre Cuenta ()],Table8[Nivel 2],"",0)</f>
        <v/>
      </c>
      <c r="T1559" t="str">
        <f>_xlfn.XLOOKUP(Table3[[#This Row],[Cuenta]],Table8[Nombre Cuenta ()],Table8[Nivel 3],"",0)</f>
        <v/>
      </c>
      <c r="U1559">
        <v>564</v>
      </c>
      <c r="V1559" t="str">
        <f>_xlfn.XLOOKUP(Table3[[#This Row],[Cuenta]],Estructura_Balance[Nombre Cuenta ()],Estructura_Balance[Niveles:2],"",0)</f>
        <v/>
      </c>
      <c r="W1559" t="str">
        <f>_xlfn.XLOOKUP(Table3[[#This Row],[Cuenta]],Estructura_Balance[Nombre Cuenta ()],Estructura_Balance[Niveles:3],"",0)</f>
        <v/>
      </c>
      <c r="X1559" t="str">
        <f>_xlfn.XLOOKUP(Table3[[#This Row],[Cuenta]],Estructura_Balance[Nombre Cuenta ()],Estructura_Balance[Grupos],"Grupo 1",0)</f>
        <v>Grupo 1</v>
      </c>
      <c r="Y1559" t="str">
        <f>+Table3[[#This Row],[BS_Nivel_1]]</f>
        <v/>
      </c>
    </row>
    <row r="1560" spans="1:25" ht="15" customHeight="1">
      <c r="A1560">
        <f>+'Libro Diario'!F980</f>
        <v>0</v>
      </c>
      <c r="B1560" s="144">
        <f>VALUE(IF(+'Libro Diario'!G980="","01/01/2025",+'Libro Diario'!G980))</f>
        <v>45658</v>
      </c>
      <c r="C1560">
        <f>IF(ISNUMBER(+IF(IFERROR(VALUE(MID('Libro Diario'!D980,1,4)),0)&lt;&gt;0,'Libro Diario'!D980,0))=FALSE,'Libro Diario'!D980,0)</f>
        <v>0</v>
      </c>
      <c r="D1560" s="145">
        <f>+'Libro Diario'!E980</f>
        <v>0</v>
      </c>
      <c r="E1560" s="139" t="s">
        <v>446</v>
      </c>
      <c r="F1560" t="str">
        <f t="shared" si="72"/>
        <v>Sin Mov.</v>
      </c>
      <c r="G1560" t="str">
        <f>IF(+'Libro Diario'!H980=0,"",+'Libro Diario'!H980)</f>
        <v/>
      </c>
      <c r="H1560" t="str">
        <f>IF(+'Libro Diario'!I980=0,"",+'Libro Diario'!I980)</f>
        <v/>
      </c>
      <c r="I1560" t="str">
        <f>+IF(Table3[[#This Row],[Tipo Movimiento]]="Estructura Balance y PyG","Excluir","Incluir")</f>
        <v>Incluir</v>
      </c>
      <c r="J1560" s="153">
        <f>+IF(Table3[[#This Row],[Sin cuenta]]="Con Mov.",(IF(Table3[[#This Row],[Movimiento]]="Debe",Table3[[#This Row],[Importe]],IF(Table3[[#This Row],[Movimiento]]="Haber",Table3[[#This Row],[Importe]]*-1,0))),0)</f>
        <v>0</v>
      </c>
      <c r="K1560" s="145" t="str">
        <f t="shared" si="73"/>
        <v/>
      </c>
      <c r="L1560" s="145">
        <f t="shared" si="74"/>
        <v>0</v>
      </c>
      <c r="M1560" t="str">
        <f>_xlfn.XLOOKUP(Table3[[#This Row],[Cuenta]],Estructura_Balance[Nombre Cuenta ()],Estructura_Balance[Grupo],"",0)</f>
        <v/>
      </c>
      <c r="N1560" t="str">
        <f>_xlfn.XLOOKUP(Table3[[#This Row],[Cuenta]],Estructura_Balance[Nombre Cuenta ()],Estructura_Balance[Nivel 1],"",0)</f>
        <v/>
      </c>
      <c r="O1560" t="str">
        <f>_xlfn.XLOOKUP(Table3[[#This Row],[Cuenta]],Estructura_Balance[Nombre Cuenta ()],Estructura_Balance[Nivel 2],"",0)</f>
        <v/>
      </c>
      <c r="P1560" t="str">
        <f>_xlfn.XLOOKUP(Table3[[#This Row],[Cuenta]],Estructura_Balance[Nombre Cuenta ()],Estructura_Balance[Nivel 3],"",0)</f>
        <v/>
      </c>
      <c r="Q1560" t="str">
        <f>_xlfn.XLOOKUP(Table3[[#This Row],[Cuenta]],Estructura_Balance[Nombre Cuenta ()],Estructura_Balance[Nivel 4],"",0)</f>
        <v/>
      </c>
      <c r="R1560" t="str">
        <f>_xlfn.XLOOKUP(Table3[[#This Row],[Cuenta]],Table8[Nombre Cuenta ()],Table8[Nivel 1],"",0)</f>
        <v/>
      </c>
      <c r="S1560" t="str">
        <f>_xlfn.XLOOKUP(Table3[[#This Row],[Cuenta]],Table8[Nombre Cuenta ()],Table8[Nivel 2],"",0)</f>
        <v/>
      </c>
      <c r="T1560" t="str">
        <f>_xlfn.XLOOKUP(Table3[[#This Row],[Cuenta]],Table8[Nombre Cuenta ()],Table8[Nivel 3],"",0)</f>
        <v/>
      </c>
      <c r="U1560">
        <v>565</v>
      </c>
      <c r="V1560" t="str">
        <f>_xlfn.XLOOKUP(Table3[[#This Row],[Cuenta]],Estructura_Balance[Nombre Cuenta ()],Estructura_Balance[Niveles:2],"",0)</f>
        <v/>
      </c>
      <c r="W1560" t="str">
        <f>_xlfn.XLOOKUP(Table3[[#This Row],[Cuenta]],Estructura_Balance[Nombre Cuenta ()],Estructura_Balance[Niveles:3],"",0)</f>
        <v/>
      </c>
      <c r="X1560" t="str">
        <f>_xlfn.XLOOKUP(Table3[[#This Row],[Cuenta]],Estructura_Balance[Nombre Cuenta ()],Estructura_Balance[Grupos],"Grupo 1",0)</f>
        <v>Grupo 1</v>
      </c>
      <c r="Y1560" t="str">
        <f>+Table3[[#This Row],[BS_Nivel_1]]</f>
        <v/>
      </c>
    </row>
    <row r="1561" spans="1:25" ht="15" customHeight="1">
      <c r="A1561">
        <f>+'Libro Diario'!F981</f>
        <v>0</v>
      </c>
      <c r="B1561" s="144">
        <f>VALUE(IF(+'Libro Diario'!G981="","01/01/2025",+'Libro Diario'!G981))</f>
        <v>45658</v>
      </c>
      <c r="C1561">
        <f>IF(ISNUMBER(+IF(IFERROR(VALUE(MID('Libro Diario'!D981,1,4)),0)&lt;&gt;0,'Libro Diario'!D981,0))=FALSE,'Libro Diario'!D981,0)</f>
        <v>0</v>
      </c>
      <c r="D1561" s="145">
        <f>+'Libro Diario'!E981</f>
        <v>0</v>
      </c>
      <c r="E1561" s="139" t="s">
        <v>446</v>
      </c>
      <c r="F1561" t="str">
        <f t="shared" si="72"/>
        <v>Sin Mov.</v>
      </c>
      <c r="G1561" t="str">
        <f>IF(+'Libro Diario'!H981=0,"",+'Libro Diario'!H981)</f>
        <v/>
      </c>
      <c r="H1561" t="str">
        <f>IF(+'Libro Diario'!I981=0,"",+'Libro Diario'!I981)</f>
        <v/>
      </c>
      <c r="I1561" t="str">
        <f>+IF(Table3[[#This Row],[Tipo Movimiento]]="Estructura Balance y PyG","Excluir","Incluir")</f>
        <v>Incluir</v>
      </c>
      <c r="J1561" s="153">
        <f>+IF(Table3[[#This Row],[Sin cuenta]]="Con Mov.",(IF(Table3[[#This Row],[Movimiento]]="Debe",Table3[[#This Row],[Importe]],IF(Table3[[#This Row],[Movimiento]]="Haber",Table3[[#This Row],[Importe]]*-1,0))),0)</f>
        <v>0</v>
      </c>
      <c r="K1561" s="145" t="str">
        <f t="shared" si="73"/>
        <v/>
      </c>
      <c r="L1561" s="145">
        <f t="shared" si="74"/>
        <v>0</v>
      </c>
      <c r="M1561" t="str">
        <f>_xlfn.XLOOKUP(Table3[[#This Row],[Cuenta]],Estructura_Balance[Nombre Cuenta ()],Estructura_Balance[Grupo],"",0)</f>
        <v/>
      </c>
      <c r="N1561" t="str">
        <f>_xlfn.XLOOKUP(Table3[[#This Row],[Cuenta]],Estructura_Balance[Nombre Cuenta ()],Estructura_Balance[Nivel 1],"",0)</f>
        <v/>
      </c>
      <c r="O1561" t="str">
        <f>_xlfn.XLOOKUP(Table3[[#This Row],[Cuenta]],Estructura_Balance[Nombre Cuenta ()],Estructura_Balance[Nivel 2],"",0)</f>
        <v/>
      </c>
      <c r="P1561" t="str">
        <f>_xlfn.XLOOKUP(Table3[[#This Row],[Cuenta]],Estructura_Balance[Nombre Cuenta ()],Estructura_Balance[Nivel 3],"",0)</f>
        <v/>
      </c>
      <c r="Q1561" t="str">
        <f>_xlfn.XLOOKUP(Table3[[#This Row],[Cuenta]],Estructura_Balance[Nombre Cuenta ()],Estructura_Balance[Nivel 4],"",0)</f>
        <v/>
      </c>
      <c r="R1561" t="str">
        <f>_xlfn.XLOOKUP(Table3[[#This Row],[Cuenta]],Table8[Nombre Cuenta ()],Table8[Nivel 1],"",0)</f>
        <v/>
      </c>
      <c r="S1561" t="str">
        <f>_xlfn.XLOOKUP(Table3[[#This Row],[Cuenta]],Table8[Nombre Cuenta ()],Table8[Nivel 2],"",0)</f>
        <v/>
      </c>
      <c r="T1561" t="str">
        <f>_xlfn.XLOOKUP(Table3[[#This Row],[Cuenta]],Table8[Nombre Cuenta ()],Table8[Nivel 3],"",0)</f>
        <v/>
      </c>
      <c r="U1561">
        <v>566</v>
      </c>
      <c r="V1561" t="str">
        <f>_xlfn.XLOOKUP(Table3[[#This Row],[Cuenta]],Estructura_Balance[Nombre Cuenta ()],Estructura_Balance[Niveles:2],"",0)</f>
        <v/>
      </c>
      <c r="W1561" t="str">
        <f>_xlfn.XLOOKUP(Table3[[#This Row],[Cuenta]],Estructura_Balance[Nombre Cuenta ()],Estructura_Balance[Niveles:3],"",0)</f>
        <v/>
      </c>
      <c r="X1561" t="str">
        <f>_xlfn.XLOOKUP(Table3[[#This Row],[Cuenta]],Estructura_Balance[Nombre Cuenta ()],Estructura_Balance[Grupos],"Grupo 1",0)</f>
        <v>Grupo 1</v>
      </c>
      <c r="Y1561" t="str">
        <f>+Table3[[#This Row],[BS_Nivel_1]]</f>
        <v/>
      </c>
    </row>
    <row r="1562" spans="1:25" ht="15" customHeight="1">
      <c r="A1562">
        <f>+'Libro Diario'!F982</f>
        <v>0</v>
      </c>
      <c r="B1562" s="144">
        <f>VALUE(IF(+'Libro Diario'!G982="","01/01/2025",+'Libro Diario'!G982))</f>
        <v>45658</v>
      </c>
      <c r="C1562">
        <f>IF(ISNUMBER(+IF(IFERROR(VALUE(MID('Libro Diario'!D982,1,4)),0)&lt;&gt;0,'Libro Diario'!D982,0))=FALSE,'Libro Diario'!D982,0)</f>
        <v>0</v>
      </c>
      <c r="D1562" s="145">
        <f>+'Libro Diario'!E982</f>
        <v>0</v>
      </c>
      <c r="E1562" s="139" t="s">
        <v>446</v>
      </c>
      <c r="F1562" t="str">
        <f t="shared" si="72"/>
        <v>Sin Mov.</v>
      </c>
      <c r="G1562" t="str">
        <f>IF(+'Libro Diario'!H982=0,"",+'Libro Diario'!H982)</f>
        <v/>
      </c>
      <c r="H1562" t="str">
        <f>IF(+'Libro Diario'!I982=0,"",+'Libro Diario'!I982)</f>
        <v/>
      </c>
      <c r="I1562" t="str">
        <f>+IF(Table3[[#This Row],[Tipo Movimiento]]="Estructura Balance y PyG","Excluir","Incluir")</f>
        <v>Incluir</v>
      </c>
      <c r="J1562" s="153">
        <f>+IF(Table3[[#This Row],[Sin cuenta]]="Con Mov.",(IF(Table3[[#This Row],[Movimiento]]="Debe",Table3[[#This Row],[Importe]],IF(Table3[[#This Row],[Movimiento]]="Haber",Table3[[#This Row],[Importe]]*-1,0))),0)</f>
        <v>0</v>
      </c>
      <c r="K1562" s="145" t="str">
        <f t="shared" si="73"/>
        <v/>
      </c>
      <c r="L1562" s="145">
        <f t="shared" si="74"/>
        <v>0</v>
      </c>
      <c r="M1562" t="str">
        <f>_xlfn.XLOOKUP(Table3[[#This Row],[Cuenta]],Estructura_Balance[Nombre Cuenta ()],Estructura_Balance[Grupo],"",0)</f>
        <v/>
      </c>
      <c r="N1562" t="str">
        <f>_xlfn.XLOOKUP(Table3[[#This Row],[Cuenta]],Estructura_Balance[Nombre Cuenta ()],Estructura_Balance[Nivel 1],"",0)</f>
        <v/>
      </c>
      <c r="O1562" t="str">
        <f>_xlfn.XLOOKUP(Table3[[#This Row],[Cuenta]],Estructura_Balance[Nombre Cuenta ()],Estructura_Balance[Nivel 2],"",0)</f>
        <v/>
      </c>
      <c r="P1562" t="str">
        <f>_xlfn.XLOOKUP(Table3[[#This Row],[Cuenta]],Estructura_Balance[Nombre Cuenta ()],Estructura_Balance[Nivel 3],"",0)</f>
        <v/>
      </c>
      <c r="Q1562" t="str">
        <f>_xlfn.XLOOKUP(Table3[[#This Row],[Cuenta]],Estructura_Balance[Nombre Cuenta ()],Estructura_Balance[Nivel 4],"",0)</f>
        <v/>
      </c>
      <c r="R1562" t="str">
        <f>_xlfn.XLOOKUP(Table3[[#This Row],[Cuenta]],Table8[Nombre Cuenta ()],Table8[Nivel 1],"",0)</f>
        <v/>
      </c>
      <c r="S1562" t="str">
        <f>_xlfn.XLOOKUP(Table3[[#This Row],[Cuenta]],Table8[Nombre Cuenta ()],Table8[Nivel 2],"",0)</f>
        <v/>
      </c>
      <c r="T1562" t="str">
        <f>_xlfn.XLOOKUP(Table3[[#This Row],[Cuenta]],Table8[Nombre Cuenta ()],Table8[Nivel 3],"",0)</f>
        <v/>
      </c>
      <c r="U1562">
        <v>567</v>
      </c>
      <c r="V1562" t="str">
        <f>_xlfn.XLOOKUP(Table3[[#This Row],[Cuenta]],Estructura_Balance[Nombre Cuenta ()],Estructura_Balance[Niveles:2],"",0)</f>
        <v/>
      </c>
      <c r="W1562" t="str">
        <f>_xlfn.XLOOKUP(Table3[[#This Row],[Cuenta]],Estructura_Balance[Nombre Cuenta ()],Estructura_Balance[Niveles:3],"",0)</f>
        <v/>
      </c>
      <c r="X1562" t="str">
        <f>_xlfn.XLOOKUP(Table3[[#This Row],[Cuenta]],Estructura_Balance[Nombre Cuenta ()],Estructura_Balance[Grupos],"Grupo 1",0)</f>
        <v>Grupo 1</v>
      </c>
      <c r="Y1562" t="str">
        <f>+Table3[[#This Row],[BS_Nivel_1]]</f>
        <v/>
      </c>
    </row>
    <row r="1563" spans="1:25" ht="15" customHeight="1">
      <c r="A1563">
        <f>+'Libro Diario'!F983</f>
        <v>0</v>
      </c>
      <c r="B1563" s="144">
        <f>VALUE(IF(+'Libro Diario'!G983="","01/01/2025",+'Libro Diario'!G983))</f>
        <v>45658</v>
      </c>
      <c r="C1563">
        <f>IF(ISNUMBER(+IF(IFERROR(VALUE(MID('Libro Diario'!D983,1,4)),0)&lt;&gt;0,'Libro Diario'!D983,0))=FALSE,'Libro Diario'!D983,0)</f>
        <v>0</v>
      </c>
      <c r="D1563" s="145">
        <f>+'Libro Diario'!E983</f>
        <v>0</v>
      </c>
      <c r="E1563" s="139" t="s">
        <v>446</v>
      </c>
      <c r="F1563" t="str">
        <f t="shared" si="72"/>
        <v>Sin Mov.</v>
      </c>
      <c r="G1563" t="str">
        <f>IF(+'Libro Diario'!H983=0,"",+'Libro Diario'!H983)</f>
        <v/>
      </c>
      <c r="H1563" t="str">
        <f>IF(+'Libro Diario'!I983=0,"",+'Libro Diario'!I983)</f>
        <v/>
      </c>
      <c r="I1563" t="str">
        <f>+IF(Table3[[#This Row],[Tipo Movimiento]]="Estructura Balance y PyG","Excluir","Incluir")</f>
        <v>Incluir</v>
      </c>
      <c r="J1563" s="153">
        <f>+IF(Table3[[#This Row],[Sin cuenta]]="Con Mov.",(IF(Table3[[#This Row],[Movimiento]]="Debe",Table3[[#This Row],[Importe]],IF(Table3[[#This Row],[Movimiento]]="Haber",Table3[[#This Row],[Importe]]*-1,0))),0)</f>
        <v>0</v>
      </c>
      <c r="K1563" s="145" t="str">
        <f t="shared" si="73"/>
        <v/>
      </c>
      <c r="L1563" s="145">
        <f t="shared" si="74"/>
        <v>0</v>
      </c>
      <c r="M1563" t="str">
        <f>_xlfn.XLOOKUP(Table3[[#This Row],[Cuenta]],Estructura_Balance[Nombre Cuenta ()],Estructura_Balance[Grupo],"",0)</f>
        <v/>
      </c>
      <c r="N1563" t="str">
        <f>_xlfn.XLOOKUP(Table3[[#This Row],[Cuenta]],Estructura_Balance[Nombre Cuenta ()],Estructura_Balance[Nivel 1],"",0)</f>
        <v/>
      </c>
      <c r="O1563" t="str">
        <f>_xlfn.XLOOKUP(Table3[[#This Row],[Cuenta]],Estructura_Balance[Nombre Cuenta ()],Estructura_Balance[Nivel 2],"",0)</f>
        <v/>
      </c>
      <c r="P1563" t="str">
        <f>_xlfn.XLOOKUP(Table3[[#This Row],[Cuenta]],Estructura_Balance[Nombre Cuenta ()],Estructura_Balance[Nivel 3],"",0)</f>
        <v/>
      </c>
      <c r="Q1563" t="str">
        <f>_xlfn.XLOOKUP(Table3[[#This Row],[Cuenta]],Estructura_Balance[Nombre Cuenta ()],Estructura_Balance[Nivel 4],"",0)</f>
        <v/>
      </c>
      <c r="R1563" t="str">
        <f>_xlfn.XLOOKUP(Table3[[#This Row],[Cuenta]],Table8[Nombre Cuenta ()],Table8[Nivel 1],"",0)</f>
        <v/>
      </c>
      <c r="S1563" t="str">
        <f>_xlfn.XLOOKUP(Table3[[#This Row],[Cuenta]],Table8[Nombre Cuenta ()],Table8[Nivel 2],"",0)</f>
        <v/>
      </c>
      <c r="T1563" t="str">
        <f>_xlfn.XLOOKUP(Table3[[#This Row],[Cuenta]],Table8[Nombre Cuenta ()],Table8[Nivel 3],"",0)</f>
        <v/>
      </c>
      <c r="U1563">
        <v>568</v>
      </c>
      <c r="V1563" t="str">
        <f>_xlfn.XLOOKUP(Table3[[#This Row],[Cuenta]],Estructura_Balance[Nombre Cuenta ()],Estructura_Balance[Niveles:2],"",0)</f>
        <v/>
      </c>
      <c r="W1563" t="str">
        <f>_xlfn.XLOOKUP(Table3[[#This Row],[Cuenta]],Estructura_Balance[Nombre Cuenta ()],Estructura_Balance[Niveles:3],"",0)</f>
        <v/>
      </c>
      <c r="X1563" t="str">
        <f>_xlfn.XLOOKUP(Table3[[#This Row],[Cuenta]],Estructura_Balance[Nombre Cuenta ()],Estructura_Balance[Grupos],"Grupo 1",0)</f>
        <v>Grupo 1</v>
      </c>
      <c r="Y1563" t="str">
        <f>+Table3[[#This Row],[BS_Nivel_1]]</f>
        <v/>
      </c>
    </row>
    <row r="1564" spans="1:25" ht="15" customHeight="1">
      <c r="A1564">
        <f>+'Libro Diario'!F984</f>
        <v>0</v>
      </c>
      <c r="B1564" s="144">
        <f>VALUE(IF(+'Libro Diario'!G984="","01/01/2025",+'Libro Diario'!G984))</f>
        <v>45658</v>
      </c>
      <c r="C1564">
        <f>IF(ISNUMBER(+IF(IFERROR(VALUE(MID('Libro Diario'!D984,1,4)),0)&lt;&gt;0,'Libro Diario'!D984,0))=FALSE,'Libro Diario'!D984,0)</f>
        <v>0</v>
      </c>
      <c r="D1564" s="145">
        <f>+'Libro Diario'!E984</f>
        <v>0</v>
      </c>
      <c r="E1564" s="139" t="s">
        <v>446</v>
      </c>
      <c r="F1564" t="str">
        <f t="shared" si="72"/>
        <v>Sin Mov.</v>
      </c>
      <c r="G1564" t="str">
        <f>IF(+'Libro Diario'!H984=0,"",+'Libro Diario'!H984)</f>
        <v/>
      </c>
      <c r="H1564" t="str">
        <f>IF(+'Libro Diario'!I984=0,"",+'Libro Diario'!I984)</f>
        <v/>
      </c>
      <c r="I1564" t="str">
        <f>+IF(Table3[[#This Row],[Tipo Movimiento]]="Estructura Balance y PyG","Excluir","Incluir")</f>
        <v>Incluir</v>
      </c>
      <c r="J1564" s="153">
        <f>+IF(Table3[[#This Row],[Sin cuenta]]="Con Mov.",(IF(Table3[[#This Row],[Movimiento]]="Debe",Table3[[#This Row],[Importe]],IF(Table3[[#This Row],[Movimiento]]="Haber",Table3[[#This Row],[Importe]]*-1,0))),0)</f>
        <v>0</v>
      </c>
      <c r="K1564" s="145" t="str">
        <f t="shared" si="73"/>
        <v/>
      </c>
      <c r="L1564" s="145">
        <f t="shared" si="74"/>
        <v>0</v>
      </c>
      <c r="M1564" t="str">
        <f>_xlfn.XLOOKUP(Table3[[#This Row],[Cuenta]],Estructura_Balance[Nombre Cuenta ()],Estructura_Balance[Grupo],"",0)</f>
        <v/>
      </c>
      <c r="N1564" t="str">
        <f>_xlfn.XLOOKUP(Table3[[#This Row],[Cuenta]],Estructura_Balance[Nombre Cuenta ()],Estructura_Balance[Nivel 1],"",0)</f>
        <v/>
      </c>
      <c r="O1564" t="str">
        <f>_xlfn.XLOOKUP(Table3[[#This Row],[Cuenta]],Estructura_Balance[Nombre Cuenta ()],Estructura_Balance[Nivel 2],"",0)</f>
        <v/>
      </c>
      <c r="P1564" t="str">
        <f>_xlfn.XLOOKUP(Table3[[#This Row],[Cuenta]],Estructura_Balance[Nombre Cuenta ()],Estructura_Balance[Nivel 3],"",0)</f>
        <v/>
      </c>
      <c r="Q1564" t="str">
        <f>_xlfn.XLOOKUP(Table3[[#This Row],[Cuenta]],Estructura_Balance[Nombre Cuenta ()],Estructura_Balance[Nivel 4],"",0)</f>
        <v/>
      </c>
      <c r="R1564" t="str">
        <f>_xlfn.XLOOKUP(Table3[[#This Row],[Cuenta]],Table8[Nombre Cuenta ()],Table8[Nivel 1],"",0)</f>
        <v/>
      </c>
      <c r="S1564" t="str">
        <f>_xlfn.XLOOKUP(Table3[[#This Row],[Cuenta]],Table8[Nombre Cuenta ()],Table8[Nivel 2],"",0)</f>
        <v/>
      </c>
      <c r="T1564" t="str">
        <f>_xlfn.XLOOKUP(Table3[[#This Row],[Cuenta]],Table8[Nombre Cuenta ()],Table8[Nivel 3],"",0)</f>
        <v/>
      </c>
      <c r="U1564">
        <v>569</v>
      </c>
      <c r="V1564" t="str">
        <f>_xlfn.XLOOKUP(Table3[[#This Row],[Cuenta]],Estructura_Balance[Nombre Cuenta ()],Estructura_Balance[Niveles:2],"",0)</f>
        <v/>
      </c>
      <c r="W1564" t="str">
        <f>_xlfn.XLOOKUP(Table3[[#This Row],[Cuenta]],Estructura_Balance[Nombre Cuenta ()],Estructura_Balance[Niveles:3],"",0)</f>
        <v/>
      </c>
      <c r="X1564" t="str">
        <f>_xlfn.XLOOKUP(Table3[[#This Row],[Cuenta]],Estructura_Balance[Nombre Cuenta ()],Estructura_Balance[Grupos],"Grupo 1",0)</f>
        <v>Grupo 1</v>
      </c>
      <c r="Y1564" t="str">
        <f>+Table3[[#This Row],[BS_Nivel_1]]</f>
        <v/>
      </c>
    </row>
    <row r="1565" spans="1:25" ht="15" customHeight="1">
      <c r="A1565">
        <f>+'Libro Diario'!F985</f>
        <v>0</v>
      </c>
      <c r="B1565" s="144">
        <f>VALUE(IF(+'Libro Diario'!G985="","01/01/2025",+'Libro Diario'!G985))</f>
        <v>45658</v>
      </c>
      <c r="C1565">
        <f>IF(ISNUMBER(+IF(IFERROR(VALUE(MID('Libro Diario'!D985,1,4)),0)&lt;&gt;0,'Libro Diario'!D985,0))=FALSE,'Libro Diario'!D985,0)</f>
        <v>0</v>
      </c>
      <c r="D1565" s="145">
        <f>+'Libro Diario'!E985</f>
        <v>0</v>
      </c>
      <c r="E1565" s="139" t="s">
        <v>446</v>
      </c>
      <c r="F1565" t="str">
        <f t="shared" si="72"/>
        <v>Sin Mov.</v>
      </c>
      <c r="G1565" t="str">
        <f>IF(+'Libro Diario'!H985=0,"",+'Libro Diario'!H985)</f>
        <v/>
      </c>
      <c r="H1565" t="str">
        <f>IF(+'Libro Diario'!I985=0,"",+'Libro Diario'!I985)</f>
        <v/>
      </c>
      <c r="I1565" t="str">
        <f>+IF(Table3[[#This Row],[Tipo Movimiento]]="Estructura Balance y PyG","Excluir","Incluir")</f>
        <v>Incluir</v>
      </c>
      <c r="J1565" s="153">
        <f>+IF(Table3[[#This Row],[Sin cuenta]]="Con Mov.",(IF(Table3[[#This Row],[Movimiento]]="Debe",Table3[[#This Row],[Importe]],IF(Table3[[#This Row],[Movimiento]]="Haber",Table3[[#This Row],[Importe]]*-1,0))),0)</f>
        <v>0</v>
      </c>
      <c r="K1565" s="145" t="str">
        <f t="shared" si="73"/>
        <v/>
      </c>
      <c r="L1565" s="145">
        <f t="shared" si="74"/>
        <v>0</v>
      </c>
      <c r="M1565" t="str">
        <f>_xlfn.XLOOKUP(Table3[[#This Row],[Cuenta]],Estructura_Balance[Nombre Cuenta ()],Estructura_Balance[Grupo],"",0)</f>
        <v/>
      </c>
      <c r="N1565" t="str">
        <f>_xlfn.XLOOKUP(Table3[[#This Row],[Cuenta]],Estructura_Balance[Nombre Cuenta ()],Estructura_Balance[Nivel 1],"",0)</f>
        <v/>
      </c>
      <c r="O1565" t="str">
        <f>_xlfn.XLOOKUP(Table3[[#This Row],[Cuenta]],Estructura_Balance[Nombre Cuenta ()],Estructura_Balance[Nivel 2],"",0)</f>
        <v/>
      </c>
      <c r="P1565" t="str">
        <f>_xlfn.XLOOKUP(Table3[[#This Row],[Cuenta]],Estructura_Balance[Nombre Cuenta ()],Estructura_Balance[Nivel 3],"",0)</f>
        <v/>
      </c>
      <c r="Q1565" t="str">
        <f>_xlfn.XLOOKUP(Table3[[#This Row],[Cuenta]],Estructura_Balance[Nombre Cuenta ()],Estructura_Balance[Nivel 4],"",0)</f>
        <v/>
      </c>
      <c r="R1565" t="str">
        <f>_xlfn.XLOOKUP(Table3[[#This Row],[Cuenta]],Table8[Nombre Cuenta ()],Table8[Nivel 1],"",0)</f>
        <v/>
      </c>
      <c r="S1565" t="str">
        <f>_xlfn.XLOOKUP(Table3[[#This Row],[Cuenta]],Table8[Nombre Cuenta ()],Table8[Nivel 2],"",0)</f>
        <v/>
      </c>
      <c r="T1565" t="str">
        <f>_xlfn.XLOOKUP(Table3[[#This Row],[Cuenta]],Table8[Nombre Cuenta ()],Table8[Nivel 3],"",0)</f>
        <v/>
      </c>
      <c r="U1565">
        <v>570</v>
      </c>
      <c r="V1565" t="str">
        <f>_xlfn.XLOOKUP(Table3[[#This Row],[Cuenta]],Estructura_Balance[Nombre Cuenta ()],Estructura_Balance[Niveles:2],"",0)</f>
        <v/>
      </c>
      <c r="W1565" t="str">
        <f>_xlfn.XLOOKUP(Table3[[#This Row],[Cuenta]],Estructura_Balance[Nombre Cuenta ()],Estructura_Balance[Niveles:3],"",0)</f>
        <v/>
      </c>
      <c r="X1565" t="str">
        <f>_xlfn.XLOOKUP(Table3[[#This Row],[Cuenta]],Estructura_Balance[Nombre Cuenta ()],Estructura_Balance[Grupos],"Grupo 1",0)</f>
        <v>Grupo 1</v>
      </c>
      <c r="Y1565" t="str">
        <f>+Table3[[#This Row],[BS_Nivel_1]]</f>
        <v/>
      </c>
    </row>
    <row r="1566" spans="1:25" ht="15" customHeight="1">
      <c r="A1566">
        <f>+'Libro Diario'!F986</f>
        <v>0</v>
      </c>
      <c r="B1566" s="144">
        <f>VALUE(IF(+'Libro Diario'!G986="","01/01/2025",+'Libro Diario'!G986))</f>
        <v>45658</v>
      </c>
      <c r="C1566">
        <f>IF(ISNUMBER(+IF(IFERROR(VALUE(MID('Libro Diario'!D986,1,4)),0)&lt;&gt;0,'Libro Diario'!D986,0))=FALSE,'Libro Diario'!D986,0)</f>
        <v>0</v>
      </c>
      <c r="D1566" s="145">
        <f>+'Libro Diario'!E986</f>
        <v>0</v>
      </c>
      <c r="E1566" s="139" t="s">
        <v>446</v>
      </c>
      <c r="F1566" t="str">
        <f t="shared" si="72"/>
        <v>Sin Mov.</v>
      </c>
      <c r="G1566" t="str">
        <f>IF(+'Libro Diario'!H986=0,"",+'Libro Diario'!H986)</f>
        <v/>
      </c>
      <c r="H1566" t="str">
        <f>IF(+'Libro Diario'!I986=0,"",+'Libro Diario'!I986)</f>
        <v/>
      </c>
      <c r="I1566" t="str">
        <f>+IF(Table3[[#This Row],[Tipo Movimiento]]="Estructura Balance y PyG","Excluir","Incluir")</f>
        <v>Incluir</v>
      </c>
      <c r="J1566" s="153">
        <f>+IF(Table3[[#This Row],[Sin cuenta]]="Con Mov.",(IF(Table3[[#This Row],[Movimiento]]="Debe",Table3[[#This Row],[Importe]],IF(Table3[[#This Row],[Movimiento]]="Haber",Table3[[#This Row],[Importe]]*-1,0))),0)</f>
        <v>0</v>
      </c>
      <c r="K1566" s="145" t="str">
        <f t="shared" si="73"/>
        <v/>
      </c>
      <c r="L1566" s="145">
        <f t="shared" si="74"/>
        <v>0</v>
      </c>
      <c r="M1566" t="str">
        <f>_xlfn.XLOOKUP(Table3[[#This Row],[Cuenta]],Estructura_Balance[Nombre Cuenta ()],Estructura_Balance[Grupo],"",0)</f>
        <v/>
      </c>
      <c r="N1566" t="str">
        <f>_xlfn.XLOOKUP(Table3[[#This Row],[Cuenta]],Estructura_Balance[Nombre Cuenta ()],Estructura_Balance[Nivel 1],"",0)</f>
        <v/>
      </c>
      <c r="O1566" t="str">
        <f>_xlfn.XLOOKUP(Table3[[#This Row],[Cuenta]],Estructura_Balance[Nombre Cuenta ()],Estructura_Balance[Nivel 2],"",0)</f>
        <v/>
      </c>
      <c r="P1566" t="str">
        <f>_xlfn.XLOOKUP(Table3[[#This Row],[Cuenta]],Estructura_Balance[Nombre Cuenta ()],Estructura_Balance[Nivel 3],"",0)</f>
        <v/>
      </c>
      <c r="Q1566" t="str">
        <f>_xlfn.XLOOKUP(Table3[[#This Row],[Cuenta]],Estructura_Balance[Nombre Cuenta ()],Estructura_Balance[Nivel 4],"",0)</f>
        <v/>
      </c>
      <c r="R1566" t="str">
        <f>_xlfn.XLOOKUP(Table3[[#This Row],[Cuenta]],Table8[Nombre Cuenta ()],Table8[Nivel 1],"",0)</f>
        <v/>
      </c>
      <c r="S1566" t="str">
        <f>_xlfn.XLOOKUP(Table3[[#This Row],[Cuenta]],Table8[Nombre Cuenta ()],Table8[Nivel 2],"",0)</f>
        <v/>
      </c>
      <c r="T1566" t="str">
        <f>_xlfn.XLOOKUP(Table3[[#This Row],[Cuenta]],Table8[Nombre Cuenta ()],Table8[Nivel 3],"",0)</f>
        <v/>
      </c>
      <c r="U1566">
        <v>571</v>
      </c>
      <c r="V1566" t="str">
        <f>_xlfn.XLOOKUP(Table3[[#This Row],[Cuenta]],Estructura_Balance[Nombre Cuenta ()],Estructura_Balance[Niveles:2],"",0)</f>
        <v/>
      </c>
      <c r="W1566" t="str">
        <f>_xlfn.XLOOKUP(Table3[[#This Row],[Cuenta]],Estructura_Balance[Nombre Cuenta ()],Estructura_Balance[Niveles:3],"",0)</f>
        <v/>
      </c>
      <c r="X1566" t="str">
        <f>_xlfn.XLOOKUP(Table3[[#This Row],[Cuenta]],Estructura_Balance[Nombre Cuenta ()],Estructura_Balance[Grupos],"Grupo 1",0)</f>
        <v>Grupo 1</v>
      </c>
      <c r="Y1566" t="str">
        <f>+Table3[[#This Row],[BS_Nivel_1]]</f>
        <v/>
      </c>
    </row>
    <row r="1567" spans="1:25" ht="15" customHeight="1">
      <c r="A1567">
        <f>+'Libro Diario'!F987</f>
        <v>0</v>
      </c>
      <c r="B1567" s="144">
        <f>VALUE(IF(+'Libro Diario'!G987="","01/01/2025",+'Libro Diario'!G987))</f>
        <v>45658</v>
      </c>
      <c r="C1567">
        <f>IF(ISNUMBER(+IF(IFERROR(VALUE(MID('Libro Diario'!D987,1,4)),0)&lt;&gt;0,'Libro Diario'!D987,0))=FALSE,'Libro Diario'!D987,0)</f>
        <v>0</v>
      </c>
      <c r="D1567" s="145">
        <f>+'Libro Diario'!E987</f>
        <v>0</v>
      </c>
      <c r="E1567" s="139" t="s">
        <v>446</v>
      </c>
      <c r="F1567" t="str">
        <f t="shared" si="72"/>
        <v>Sin Mov.</v>
      </c>
      <c r="G1567" t="str">
        <f>IF(+'Libro Diario'!H987=0,"",+'Libro Diario'!H987)</f>
        <v/>
      </c>
      <c r="H1567" t="str">
        <f>IF(+'Libro Diario'!I987=0,"",+'Libro Diario'!I987)</f>
        <v/>
      </c>
      <c r="I1567" t="str">
        <f>+IF(Table3[[#This Row],[Tipo Movimiento]]="Estructura Balance y PyG","Excluir","Incluir")</f>
        <v>Incluir</v>
      </c>
      <c r="J1567" s="153">
        <f>+IF(Table3[[#This Row],[Sin cuenta]]="Con Mov.",(IF(Table3[[#This Row],[Movimiento]]="Debe",Table3[[#This Row],[Importe]],IF(Table3[[#This Row],[Movimiento]]="Haber",Table3[[#This Row],[Importe]]*-1,0))),0)</f>
        <v>0</v>
      </c>
      <c r="K1567" s="145" t="str">
        <f t="shared" si="73"/>
        <v/>
      </c>
      <c r="L1567" s="145">
        <f t="shared" si="74"/>
        <v>0</v>
      </c>
      <c r="M1567" t="str">
        <f>_xlfn.XLOOKUP(Table3[[#This Row],[Cuenta]],Estructura_Balance[Nombre Cuenta ()],Estructura_Balance[Grupo],"",0)</f>
        <v/>
      </c>
      <c r="N1567" t="str">
        <f>_xlfn.XLOOKUP(Table3[[#This Row],[Cuenta]],Estructura_Balance[Nombre Cuenta ()],Estructura_Balance[Nivel 1],"",0)</f>
        <v/>
      </c>
      <c r="O1567" t="str">
        <f>_xlfn.XLOOKUP(Table3[[#This Row],[Cuenta]],Estructura_Balance[Nombre Cuenta ()],Estructura_Balance[Nivel 2],"",0)</f>
        <v/>
      </c>
      <c r="P1567" t="str">
        <f>_xlfn.XLOOKUP(Table3[[#This Row],[Cuenta]],Estructura_Balance[Nombre Cuenta ()],Estructura_Balance[Nivel 3],"",0)</f>
        <v/>
      </c>
      <c r="Q1567" t="str">
        <f>_xlfn.XLOOKUP(Table3[[#This Row],[Cuenta]],Estructura_Balance[Nombre Cuenta ()],Estructura_Balance[Nivel 4],"",0)</f>
        <v/>
      </c>
      <c r="R1567" t="str">
        <f>_xlfn.XLOOKUP(Table3[[#This Row],[Cuenta]],Table8[Nombre Cuenta ()],Table8[Nivel 1],"",0)</f>
        <v/>
      </c>
      <c r="S1567" t="str">
        <f>_xlfn.XLOOKUP(Table3[[#This Row],[Cuenta]],Table8[Nombre Cuenta ()],Table8[Nivel 2],"",0)</f>
        <v/>
      </c>
      <c r="T1567" t="str">
        <f>_xlfn.XLOOKUP(Table3[[#This Row],[Cuenta]],Table8[Nombre Cuenta ()],Table8[Nivel 3],"",0)</f>
        <v/>
      </c>
      <c r="U1567">
        <v>572</v>
      </c>
      <c r="V1567" t="str">
        <f>_xlfn.XLOOKUP(Table3[[#This Row],[Cuenta]],Estructura_Balance[Nombre Cuenta ()],Estructura_Balance[Niveles:2],"",0)</f>
        <v/>
      </c>
      <c r="W1567" t="str">
        <f>_xlfn.XLOOKUP(Table3[[#This Row],[Cuenta]],Estructura_Balance[Nombre Cuenta ()],Estructura_Balance[Niveles:3],"",0)</f>
        <v/>
      </c>
      <c r="X1567" t="str">
        <f>_xlfn.XLOOKUP(Table3[[#This Row],[Cuenta]],Estructura_Balance[Nombre Cuenta ()],Estructura_Balance[Grupos],"Grupo 1",0)</f>
        <v>Grupo 1</v>
      </c>
      <c r="Y1567" t="str">
        <f>+Table3[[#This Row],[BS_Nivel_1]]</f>
        <v/>
      </c>
    </row>
    <row r="1568" spans="1:25" ht="15" customHeight="1">
      <c r="A1568">
        <f>+'Libro Diario'!F988</f>
        <v>0</v>
      </c>
      <c r="B1568" s="144">
        <f>VALUE(IF(+'Libro Diario'!G988="","01/01/2025",+'Libro Diario'!G988))</f>
        <v>45658</v>
      </c>
      <c r="C1568">
        <f>IF(ISNUMBER(+IF(IFERROR(VALUE(MID('Libro Diario'!D988,1,4)),0)&lt;&gt;0,'Libro Diario'!D988,0))=FALSE,'Libro Diario'!D988,0)</f>
        <v>0</v>
      </c>
      <c r="D1568" s="145">
        <f>+'Libro Diario'!E988</f>
        <v>0</v>
      </c>
      <c r="E1568" s="139" t="s">
        <v>446</v>
      </c>
      <c r="F1568" t="str">
        <f t="shared" si="72"/>
        <v>Sin Mov.</v>
      </c>
      <c r="G1568" t="str">
        <f>IF(+'Libro Diario'!H988=0,"",+'Libro Diario'!H988)</f>
        <v/>
      </c>
      <c r="H1568" t="str">
        <f>IF(+'Libro Diario'!I988=0,"",+'Libro Diario'!I988)</f>
        <v/>
      </c>
      <c r="I1568" t="str">
        <f>+IF(Table3[[#This Row],[Tipo Movimiento]]="Estructura Balance y PyG","Excluir","Incluir")</f>
        <v>Incluir</v>
      </c>
      <c r="J1568" s="153">
        <f>+IF(Table3[[#This Row],[Sin cuenta]]="Con Mov.",(IF(Table3[[#This Row],[Movimiento]]="Debe",Table3[[#This Row],[Importe]],IF(Table3[[#This Row],[Movimiento]]="Haber",Table3[[#This Row],[Importe]]*-1,0))),0)</f>
        <v>0</v>
      </c>
      <c r="K1568" s="145" t="str">
        <f t="shared" si="73"/>
        <v/>
      </c>
      <c r="L1568" s="145">
        <f t="shared" si="74"/>
        <v>0</v>
      </c>
      <c r="M1568" t="str">
        <f>_xlfn.XLOOKUP(Table3[[#This Row],[Cuenta]],Estructura_Balance[Nombre Cuenta ()],Estructura_Balance[Grupo],"",0)</f>
        <v/>
      </c>
      <c r="N1568" t="str">
        <f>_xlfn.XLOOKUP(Table3[[#This Row],[Cuenta]],Estructura_Balance[Nombre Cuenta ()],Estructura_Balance[Nivel 1],"",0)</f>
        <v/>
      </c>
      <c r="O1568" t="str">
        <f>_xlfn.XLOOKUP(Table3[[#This Row],[Cuenta]],Estructura_Balance[Nombre Cuenta ()],Estructura_Balance[Nivel 2],"",0)</f>
        <v/>
      </c>
      <c r="P1568" t="str">
        <f>_xlfn.XLOOKUP(Table3[[#This Row],[Cuenta]],Estructura_Balance[Nombre Cuenta ()],Estructura_Balance[Nivel 3],"",0)</f>
        <v/>
      </c>
      <c r="Q1568" t="str">
        <f>_xlfn.XLOOKUP(Table3[[#This Row],[Cuenta]],Estructura_Balance[Nombre Cuenta ()],Estructura_Balance[Nivel 4],"",0)</f>
        <v/>
      </c>
      <c r="R1568" t="str">
        <f>_xlfn.XLOOKUP(Table3[[#This Row],[Cuenta]],Table8[Nombre Cuenta ()],Table8[Nivel 1],"",0)</f>
        <v/>
      </c>
      <c r="S1568" t="str">
        <f>_xlfn.XLOOKUP(Table3[[#This Row],[Cuenta]],Table8[Nombre Cuenta ()],Table8[Nivel 2],"",0)</f>
        <v/>
      </c>
      <c r="T1568" t="str">
        <f>_xlfn.XLOOKUP(Table3[[#This Row],[Cuenta]],Table8[Nombre Cuenta ()],Table8[Nivel 3],"",0)</f>
        <v/>
      </c>
      <c r="U1568">
        <v>573</v>
      </c>
      <c r="V1568" t="str">
        <f>_xlfn.XLOOKUP(Table3[[#This Row],[Cuenta]],Estructura_Balance[Nombre Cuenta ()],Estructura_Balance[Niveles:2],"",0)</f>
        <v/>
      </c>
      <c r="W1568" t="str">
        <f>_xlfn.XLOOKUP(Table3[[#This Row],[Cuenta]],Estructura_Balance[Nombre Cuenta ()],Estructura_Balance[Niveles:3],"",0)</f>
        <v/>
      </c>
      <c r="X1568" t="str">
        <f>_xlfn.XLOOKUP(Table3[[#This Row],[Cuenta]],Estructura_Balance[Nombre Cuenta ()],Estructura_Balance[Grupos],"Grupo 1",0)</f>
        <v>Grupo 1</v>
      </c>
      <c r="Y1568" t="str">
        <f>+Table3[[#This Row],[BS_Nivel_1]]</f>
        <v/>
      </c>
    </row>
    <row r="1569" spans="1:25" ht="15" customHeight="1">
      <c r="A1569">
        <f>+'Libro Diario'!F989</f>
        <v>0</v>
      </c>
      <c r="B1569" s="144">
        <f>VALUE(IF(+'Libro Diario'!G989="","01/01/2025",+'Libro Diario'!G989))</f>
        <v>45658</v>
      </c>
      <c r="C1569">
        <f>IF(ISNUMBER(+IF(IFERROR(VALUE(MID('Libro Diario'!D989,1,4)),0)&lt;&gt;0,'Libro Diario'!D989,0))=FALSE,'Libro Diario'!D989,0)</f>
        <v>0</v>
      </c>
      <c r="D1569" s="145">
        <f>+'Libro Diario'!E989</f>
        <v>0</v>
      </c>
      <c r="E1569" s="139" t="s">
        <v>446</v>
      </c>
      <c r="F1569" t="str">
        <f t="shared" si="72"/>
        <v>Sin Mov.</v>
      </c>
      <c r="G1569" t="str">
        <f>IF(+'Libro Diario'!H989=0,"",+'Libro Diario'!H989)</f>
        <v/>
      </c>
      <c r="H1569" t="str">
        <f>IF(+'Libro Diario'!I989=0,"",+'Libro Diario'!I989)</f>
        <v/>
      </c>
      <c r="I1569" t="str">
        <f>+IF(Table3[[#This Row],[Tipo Movimiento]]="Estructura Balance y PyG","Excluir","Incluir")</f>
        <v>Incluir</v>
      </c>
      <c r="J1569" s="153">
        <f>+IF(Table3[[#This Row],[Sin cuenta]]="Con Mov.",(IF(Table3[[#This Row],[Movimiento]]="Debe",Table3[[#This Row],[Importe]],IF(Table3[[#This Row],[Movimiento]]="Haber",Table3[[#This Row],[Importe]]*-1,0))),0)</f>
        <v>0</v>
      </c>
      <c r="K1569" s="145" t="str">
        <f t="shared" si="73"/>
        <v/>
      </c>
      <c r="L1569" s="145">
        <f t="shared" si="74"/>
        <v>0</v>
      </c>
      <c r="M1569" t="str">
        <f>_xlfn.XLOOKUP(Table3[[#This Row],[Cuenta]],Estructura_Balance[Nombre Cuenta ()],Estructura_Balance[Grupo],"",0)</f>
        <v/>
      </c>
      <c r="N1569" t="str">
        <f>_xlfn.XLOOKUP(Table3[[#This Row],[Cuenta]],Estructura_Balance[Nombre Cuenta ()],Estructura_Balance[Nivel 1],"",0)</f>
        <v/>
      </c>
      <c r="O1569" t="str">
        <f>_xlfn.XLOOKUP(Table3[[#This Row],[Cuenta]],Estructura_Balance[Nombre Cuenta ()],Estructura_Balance[Nivel 2],"",0)</f>
        <v/>
      </c>
      <c r="P1569" t="str">
        <f>_xlfn.XLOOKUP(Table3[[#This Row],[Cuenta]],Estructura_Balance[Nombre Cuenta ()],Estructura_Balance[Nivel 3],"",0)</f>
        <v/>
      </c>
      <c r="Q1569" t="str">
        <f>_xlfn.XLOOKUP(Table3[[#This Row],[Cuenta]],Estructura_Balance[Nombre Cuenta ()],Estructura_Balance[Nivel 4],"",0)</f>
        <v/>
      </c>
      <c r="R1569" t="str">
        <f>_xlfn.XLOOKUP(Table3[[#This Row],[Cuenta]],Table8[Nombre Cuenta ()],Table8[Nivel 1],"",0)</f>
        <v/>
      </c>
      <c r="S1569" t="str">
        <f>_xlfn.XLOOKUP(Table3[[#This Row],[Cuenta]],Table8[Nombre Cuenta ()],Table8[Nivel 2],"",0)</f>
        <v/>
      </c>
      <c r="T1569" t="str">
        <f>_xlfn.XLOOKUP(Table3[[#This Row],[Cuenta]],Table8[Nombre Cuenta ()],Table8[Nivel 3],"",0)</f>
        <v/>
      </c>
      <c r="U1569">
        <v>574</v>
      </c>
      <c r="V1569" t="str">
        <f>_xlfn.XLOOKUP(Table3[[#This Row],[Cuenta]],Estructura_Balance[Nombre Cuenta ()],Estructura_Balance[Niveles:2],"",0)</f>
        <v/>
      </c>
      <c r="W1569" t="str">
        <f>_xlfn.XLOOKUP(Table3[[#This Row],[Cuenta]],Estructura_Balance[Nombre Cuenta ()],Estructura_Balance[Niveles:3],"",0)</f>
        <v/>
      </c>
      <c r="X1569" t="str">
        <f>_xlfn.XLOOKUP(Table3[[#This Row],[Cuenta]],Estructura_Balance[Nombre Cuenta ()],Estructura_Balance[Grupos],"Grupo 1",0)</f>
        <v>Grupo 1</v>
      </c>
      <c r="Y1569" t="str">
        <f>+Table3[[#This Row],[BS_Nivel_1]]</f>
        <v/>
      </c>
    </row>
    <row r="1570" spans="1:25" ht="15" customHeight="1">
      <c r="A1570">
        <f>+'Libro Diario'!F990</f>
        <v>0</v>
      </c>
      <c r="B1570" s="144">
        <f>VALUE(IF(+'Libro Diario'!G990="","01/01/2025",+'Libro Diario'!G990))</f>
        <v>45658</v>
      </c>
      <c r="C1570">
        <f>IF(ISNUMBER(+IF(IFERROR(VALUE(MID('Libro Diario'!D990,1,4)),0)&lt;&gt;0,'Libro Diario'!D990,0))=FALSE,'Libro Diario'!D990,0)</f>
        <v>0</v>
      </c>
      <c r="D1570" s="145">
        <f>+'Libro Diario'!E990</f>
        <v>0</v>
      </c>
      <c r="E1570" s="139" t="s">
        <v>446</v>
      </c>
      <c r="F1570" t="str">
        <f t="shared" si="72"/>
        <v>Sin Mov.</v>
      </c>
      <c r="G1570" t="str">
        <f>IF(+'Libro Diario'!H990=0,"",+'Libro Diario'!H990)</f>
        <v/>
      </c>
      <c r="H1570" t="str">
        <f>IF(+'Libro Diario'!I990=0,"",+'Libro Diario'!I990)</f>
        <v/>
      </c>
      <c r="I1570" t="str">
        <f>+IF(Table3[[#This Row],[Tipo Movimiento]]="Estructura Balance y PyG","Excluir","Incluir")</f>
        <v>Incluir</v>
      </c>
      <c r="J1570" s="153">
        <f>+IF(Table3[[#This Row],[Sin cuenta]]="Con Mov.",(IF(Table3[[#This Row],[Movimiento]]="Debe",Table3[[#This Row],[Importe]],IF(Table3[[#This Row],[Movimiento]]="Haber",Table3[[#This Row],[Importe]]*-1,0))),0)</f>
        <v>0</v>
      </c>
      <c r="K1570" s="145" t="str">
        <f t="shared" si="73"/>
        <v/>
      </c>
      <c r="L1570" s="145">
        <f t="shared" si="74"/>
        <v>0</v>
      </c>
      <c r="M1570" t="str">
        <f>_xlfn.XLOOKUP(Table3[[#This Row],[Cuenta]],Estructura_Balance[Nombre Cuenta ()],Estructura_Balance[Grupo],"",0)</f>
        <v/>
      </c>
      <c r="N1570" t="str">
        <f>_xlfn.XLOOKUP(Table3[[#This Row],[Cuenta]],Estructura_Balance[Nombre Cuenta ()],Estructura_Balance[Nivel 1],"",0)</f>
        <v/>
      </c>
      <c r="O1570" t="str">
        <f>_xlfn.XLOOKUP(Table3[[#This Row],[Cuenta]],Estructura_Balance[Nombre Cuenta ()],Estructura_Balance[Nivel 2],"",0)</f>
        <v/>
      </c>
      <c r="P1570" t="str">
        <f>_xlfn.XLOOKUP(Table3[[#This Row],[Cuenta]],Estructura_Balance[Nombre Cuenta ()],Estructura_Balance[Nivel 3],"",0)</f>
        <v/>
      </c>
      <c r="Q1570" t="str">
        <f>_xlfn.XLOOKUP(Table3[[#This Row],[Cuenta]],Estructura_Balance[Nombre Cuenta ()],Estructura_Balance[Nivel 4],"",0)</f>
        <v/>
      </c>
      <c r="R1570" t="str">
        <f>_xlfn.XLOOKUP(Table3[[#This Row],[Cuenta]],Table8[Nombre Cuenta ()],Table8[Nivel 1],"",0)</f>
        <v/>
      </c>
      <c r="S1570" t="str">
        <f>_xlfn.XLOOKUP(Table3[[#This Row],[Cuenta]],Table8[Nombre Cuenta ()],Table8[Nivel 2],"",0)</f>
        <v/>
      </c>
      <c r="T1570" t="str">
        <f>_xlfn.XLOOKUP(Table3[[#This Row],[Cuenta]],Table8[Nombre Cuenta ()],Table8[Nivel 3],"",0)</f>
        <v/>
      </c>
      <c r="U1570">
        <v>1550</v>
      </c>
      <c r="V1570" t="str">
        <f>_xlfn.XLOOKUP(Table3[[#This Row],[Cuenta]],Estructura_Balance[Nombre Cuenta ()],Estructura_Balance[Niveles:2],"",0)</f>
        <v/>
      </c>
      <c r="W1570" t="str">
        <f>_xlfn.XLOOKUP(Table3[[#This Row],[Cuenta]],Estructura_Balance[Nombre Cuenta ()],Estructura_Balance[Niveles:3],"",0)</f>
        <v/>
      </c>
      <c r="X1570" t="str">
        <f>_xlfn.XLOOKUP(Table3[[#This Row],[Cuenta]],Estructura_Balance[Nombre Cuenta ()],Estructura_Balance[Grupos],"Grupo 1",0)</f>
        <v>Grupo 1</v>
      </c>
      <c r="Y1570" t="str">
        <f>+Table3[[#This Row],[BS_Nivel_1]]</f>
        <v/>
      </c>
    </row>
    <row r="1571" spans="1:25" ht="15" customHeight="1">
      <c r="A1571">
        <f>+'Libro Diario'!F991</f>
        <v>0</v>
      </c>
      <c r="B1571" s="144">
        <f>VALUE(IF(+'Libro Diario'!G991="","01/01/2025",+'Libro Diario'!G991))</f>
        <v>45658</v>
      </c>
      <c r="C1571">
        <f>IF(ISNUMBER(+IF(IFERROR(VALUE(MID('Libro Diario'!D991,1,4)),0)&lt;&gt;0,'Libro Diario'!D991,0))=FALSE,'Libro Diario'!D991,0)</f>
        <v>0</v>
      </c>
      <c r="D1571" s="145">
        <f>+'Libro Diario'!E991</f>
        <v>0</v>
      </c>
      <c r="E1571" s="139" t="s">
        <v>446</v>
      </c>
      <c r="F1571" t="str">
        <f t="shared" si="72"/>
        <v>Sin Mov.</v>
      </c>
      <c r="G1571" t="str">
        <f>IF(+'Libro Diario'!H991=0,"",+'Libro Diario'!H991)</f>
        <v/>
      </c>
      <c r="H1571" t="str">
        <f>IF(+'Libro Diario'!I991=0,"",+'Libro Diario'!I991)</f>
        <v/>
      </c>
      <c r="I1571" t="str">
        <f>+IF(Table3[[#This Row],[Tipo Movimiento]]="Estructura Balance y PyG","Excluir","Incluir")</f>
        <v>Incluir</v>
      </c>
      <c r="J1571" s="153">
        <f>+IF(Table3[[#This Row],[Sin cuenta]]="Con Mov.",(IF(Table3[[#This Row],[Movimiento]]="Debe",Table3[[#This Row],[Importe]],IF(Table3[[#This Row],[Movimiento]]="Haber",Table3[[#This Row],[Importe]]*-1,0))),0)</f>
        <v>0</v>
      </c>
      <c r="K1571" s="145" t="str">
        <f t="shared" si="73"/>
        <v/>
      </c>
      <c r="L1571" s="145">
        <f t="shared" si="74"/>
        <v>0</v>
      </c>
      <c r="M1571" t="str">
        <f>_xlfn.XLOOKUP(Table3[[#This Row],[Cuenta]],Estructura_Balance[Nombre Cuenta ()],Estructura_Balance[Grupo],"",0)</f>
        <v/>
      </c>
      <c r="N1571" t="str">
        <f>_xlfn.XLOOKUP(Table3[[#This Row],[Cuenta]],Estructura_Balance[Nombre Cuenta ()],Estructura_Balance[Nivel 1],"",0)</f>
        <v/>
      </c>
      <c r="O1571" t="str">
        <f>_xlfn.XLOOKUP(Table3[[#This Row],[Cuenta]],Estructura_Balance[Nombre Cuenta ()],Estructura_Balance[Nivel 2],"",0)</f>
        <v/>
      </c>
      <c r="P1571" t="str">
        <f>_xlfn.XLOOKUP(Table3[[#This Row],[Cuenta]],Estructura_Balance[Nombre Cuenta ()],Estructura_Balance[Nivel 3],"",0)</f>
        <v/>
      </c>
      <c r="Q1571" t="str">
        <f>_xlfn.XLOOKUP(Table3[[#This Row],[Cuenta]],Estructura_Balance[Nombre Cuenta ()],Estructura_Balance[Nivel 4],"",0)</f>
        <v/>
      </c>
      <c r="R1571" t="str">
        <f>_xlfn.XLOOKUP(Table3[[#This Row],[Cuenta]],Table8[Nombre Cuenta ()],Table8[Nivel 1],"",0)</f>
        <v/>
      </c>
      <c r="S1571" t="str">
        <f>_xlfn.XLOOKUP(Table3[[#This Row],[Cuenta]],Table8[Nombre Cuenta ()],Table8[Nivel 2],"",0)</f>
        <v/>
      </c>
      <c r="T1571" t="str">
        <f>_xlfn.XLOOKUP(Table3[[#This Row],[Cuenta]],Table8[Nombre Cuenta ()],Table8[Nivel 3],"",0)</f>
        <v/>
      </c>
      <c r="U1571">
        <v>1551</v>
      </c>
      <c r="V1571" t="str">
        <f>_xlfn.XLOOKUP(Table3[[#This Row],[Cuenta]],Estructura_Balance[Nombre Cuenta ()],Estructura_Balance[Niveles:2],"",0)</f>
        <v/>
      </c>
      <c r="W1571" t="str">
        <f>_xlfn.XLOOKUP(Table3[[#This Row],[Cuenta]],Estructura_Balance[Nombre Cuenta ()],Estructura_Balance[Niveles:3],"",0)</f>
        <v/>
      </c>
      <c r="X1571" t="str">
        <f>_xlfn.XLOOKUP(Table3[[#This Row],[Cuenta]],Estructura_Balance[Nombre Cuenta ()],Estructura_Balance[Grupos],"Grupo 1",0)</f>
        <v>Grupo 1</v>
      </c>
      <c r="Y1571" t="str">
        <f>+Table3[[#This Row],[BS_Nivel_1]]</f>
        <v/>
      </c>
    </row>
    <row r="1572" spans="1:25" ht="15" customHeight="1">
      <c r="A1572">
        <f>+'Libro Diario'!F992</f>
        <v>0</v>
      </c>
      <c r="B1572" s="144">
        <f>VALUE(IF(+'Libro Diario'!G992="","01/01/2025",+'Libro Diario'!G992))</f>
        <v>45658</v>
      </c>
      <c r="C1572">
        <f>IF(ISNUMBER(+IF(IFERROR(VALUE(MID('Libro Diario'!D992,1,4)),0)&lt;&gt;0,'Libro Diario'!D992,0))=FALSE,'Libro Diario'!D992,0)</f>
        <v>0</v>
      </c>
      <c r="D1572" s="145">
        <f>+'Libro Diario'!E992</f>
        <v>0</v>
      </c>
      <c r="E1572" s="139" t="s">
        <v>446</v>
      </c>
      <c r="F1572" t="str">
        <f t="shared" si="72"/>
        <v>Sin Mov.</v>
      </c>
      <c r="G1572" t="str">
        <f>IF(+'Libro Diario'!H992=0,"",+'Libro Diario'!H992)</f>
        <v/>
      </c>
      <c r="H1572" t="str">
        <f>IF(+'Libro Diario'!I992=0,"",+'Libro Diario'!I992)</f>
        <v/>
      </c>
      <c r="I1572" t="str">
        <f>+IF(Table3[[#This Row],[Tipo Movimiento]]="Estructura Balance y PyG","Excluir","Incluir")</f>
        <v>Incluir</v>
      </c>
      <c r="J1572" s="153">
        <f>+IF(Table3[[#This Row],[Sin cuenta]]="Con Mov.",(IF(Table3[[#This Row],[Movimiento]]="Debe",Table3[[#This Row],[Importe]],IF(Table3[[#This Row],[Movimiento]]="Haber",Table3[[#This Row],[Importe]]*-1,0))),0)</f>
        <v>0</v>
      </c>
      <c r="K1572" s="145" t="str">
        <f t="shared" si="73"/>
        <v/>
      </c>
      <c r="L1572" s="145">
        <f t="shared" si="74"/>
        <v>0</v>
      </c>
      <c r="M1572" t="str">
        <f>_xlfn.XLOOKUP(Table3[[#This Row],[Cuenta]],Estructura_Balance[Nombre Cuenta ()],Estructura_Balance[Grupo],"",0)</f>
        <v/>
      </c>
      <c r="N1572" t="str">
        <f>_xlfn.XLOOKUP(Table3[[#This Row],[Cuenta]],Estructura_Balance[Nombre Cuenta ()],Estructura_Balance[Nivel 1],"",0)</f>
        <v/>
      </c>
      <c r="O1572" t="str">
        <f>_xlfn.XLOOKUP(Table3[[#This Row],[Cuenta]],Estructura_Balance[Nombre Cuenta ()],Estructura_Balance[Nivel 2],"",0)</f>
        <v/>
      </c>
      <c r="P1572" t="str">
        <f>_xlfn.XLOOKUP(Table3[[#This Row],[Cuenta]],Estructura_Balance[Nombre Cuenta ()],Estructura_Balance[Nivel 3],"",0)</f>
        <v/>
      </c>
      <c r="Q1572" t="str">
        <f>_xlfn.XLOOKUP(Table3[[#This Row],[Cuenta]],Estructura_Balance[Nombre Cuenta ()],Estructura_Balance[Nivel 4],"",0)</f>
        <v/>
      </c>
      <c r="R1572" t="str">
        <f>_xlfn.XLOOKUP(Table3[[#This Row],[Cuenta]],Table8[Nombre Cuenta ()],Table8[Nivel 1],"",0)</f>
        <v/>
      </c>
      <c r="S1572" t="str">
        <f>_xlfn.XLOOKUP(Table3[[#This Row],[Cuenta]],Table8[Nombre Cuenta ()],Table8[Nivel 2],"",0)</f>
        <v/>
      </c>
      <c r="T1572" t="str">
        <f>_xlfn.XLOOKUP(Table3[[#This Row],[Cuenta]],Table8[Nombre Cuenta ()],Table8[Nivel 3],"",0)</f>
        <v/>
      </c>
      <c r="U1572">
        <v>1552</v>
      </c>
      <c r="V1572" t="str">
        <f>_xlfn.XLOOKUP(Table3[[#This Row],[Cuenta]],Estructura_Balance[Nombre Cuenta ()],Estructura_Balance[Niveles:2],"",0)</f>
        <v/>
      </c>
      <c r="W1572" t="str">
        <f>_xlfn.XLOOKUP(Table3[[#This Row],[Cuenta]],Estructura_Balance[Nombre Cuenta ()],Estructura_Balance[Niveles:3],"",0)</f>
        <v/>
      </c>
      <c r="X1572" t="str">
        <f>_xlfn.XLOOKUP(Table3[[#This Row],[Cuenta]],Estructura_Balance[Nombre Cuenta ()],Estructura_Balance[Grupos],"Grupo 1",0)</f>
        <v>Grupo 1</v>
      </c>
      <c r="Y1572" t="str">
        <f>+Table3[[#This Row],[BS_Nivel_1]]</f>
        <v/>
      </c>
    </row>
    <row r="1573" spans="1:25" ht="15" customHeight="1">
      <c r="A1573">
        <f>+'Libro Diario'!F993</f>
        <v>0</v>
      </c>
      <c r="B1573" s="144">
        <f>VALUE(IF(+'Libro Diario'!G993="","01/01/2025",+'Libro Diario'!G993))</f>
        <v>45658</v>
      </c>
      <c r="C1573">
        <f>IF(ISNUMBER(+IF(IFERROR(VALUE(MID('Libro Diario'!D993,1,4)),0)&lt;&gt;0,'Libro Diario'!D993,0))=FALSE,'Libro Diario'!D993,0)</f>
        <v>0</v>
      </c>
      <c r="D1573" s="145">
        <f>+'Libro Diario'!E993</f>
        <v>0</v>
      </c>
      <c r="E1573" s="139" t="s">
        <v>446</v>
      </c>
      <c r="F1573" t="str">
        <f t="shared" si="72"/>
        <v>Sin Mov.</v>
      </c>
      <c r="G1573" t="str">
        <f>IF(+'Libro Diario'!H993=0,"",+'Libro Diario'!H993)</f>
        <v/>
      </c>
      <c r="H1573" t="str">
        <f>IF(+'Libro Diario'!I993=0,"",+'Libro Diario'!I993)</f>
        <v/>
      </c>
      <c r="I1573" t="str">
        <f>+IF(Table3[[#This Row],[Tipo Movimiento]]="Estructura Balance y PyG","Excluir","Incluir")</f>
        <v>Incluir</v>
      </c>
      <c r="J1573" s="153">
        <f>+IF(Table3[[#This Row],[Sin cuenta]]="Con Mov.",(IF(Table3[[#This Row],[Movimiento]]="Debe",Table3[[#This Row],[Importe]],IF(Table3[[#This Row],[Movimiento]]="Haber",Table3[[#This Row],[Importe]]*-1,0))),0)</f>
        <v>0</v>
      </c>
      <c r="K1573" s="145" t="str">
        <f t="shared" si="73"/>
        <v/>
      </c>
      <c r="L1573" s="145">
        <f t="shared" si="74"/>
        <v>0</v>
      </c>
      <c r="M1573" t="str">
        <f>_xlfn.XLOOKUP(Table3[[#This Row],[Cuenta]],Estructura_Balance[Nombre Cuenta ()],Estructura_Balance[Grupo],"",0)</f>
        <v/>
      </c>
      <c r="N1573" t="str">
        <f>_xlfn.XLOOKUP(Table3[[#This Row],[Cuenta]],Estructura_Balance[Nombre Cuenta ()],Estructura_Balance[Nivel 1],"",0)</f>
        <v/>
      </c>
      <c r="O1573" t="str">
        <f>_xlfn.XLOOKUP(Table3[[#This Row],[Cuenta]],Estructura_Balance[Nombre Cuenta ()],Estructura_Balance[Nivel 2],"",0)</f>
        <v/>
      </c>
      <c r="P1573" t="str">
        <f>_xlfn.XLOOKUP(Table3[[#This Row],[Cuenta]],Estructura_Balance[Nombre Cuenta ()],Estructura_Balance[Nivel 3],"",0)</f>
        <v/>
      </c>
      <c r="Q1573" t="str">
        <f>_xlfn.XLOOKUP(Table3[[#This Row],[Cuenta]],Estructura_Balance[Nombre Cuenta ()],Estructura_Balance[Nivel 4],"",0)</f>
        <v/>
      </c>
      <c r="R1573" t="str">
        <f>_xlfn.XLOOKUP(Table3[[#This Row],[Cuenta]],Table8[Nombre Cuenta ()],Table8[Nivel 1],"",0)</f>
        <v/>
      </c>
      <c r="S1573" t="str">
        <f>_xlfn.XLOOKUP(Table3[[#This Row],[Cuenta]],Table8[Nombre Cuenta ()],Table8[Nivel 2],"",0)</f>
        <v/>
      </c>
      <c r="T1573" t="str">
        <f>_xlfn.XLOOKUP(Table3[[#This Row],[Cuenta]],Table8[Nombre Cuenta ()],Table8[Nivel 3],"",0)</f>
        <v/>
      </c>
      <c r="U1573">
        <v>1553</v>
      </c>
      <c r="V1573" t="str">
        <f>_xlfn.XLOOKUP(Table3[[#This Row],[Cuenta]],Estructura_Balance[Nombre Cuenta ()],Estructura_Balance[Niveles:2],"",0)</f>
        <v/>
      </c>
      <c r="W1573" t="str">
        <f>_xlfn.XLOOKUP(Table3[[#This Row],[Cuenta]],Estructura_Balance[Nombre Cuenta ()],Estructura_Balance[Niveles:3],"",0)</f>
        <v/>
      </c>
      <c r="X1573" t="str">
        <f>_xlfn.XLOOKUP(Table3[[#This Row],[Cuenta]],Estructura_Balance[Nombre Cuenta ()],Estructura_Balance[Grupos],"Grupo 1",0)</f>
        <v>Grupo 1</v>
      </c>
      <c r="Y1573" t="str">
        <f>+Table3[[#This Row],[BS_Nivel_1]]</f>
        <v/>
      </c>
    </row>
    <row r="1574" spans="1:25" ht="15" customHeight="1">
      <c r="A1574">
        <f>+'Libro Diario'!F994</f>
        <v>0</v>
      </c>
      <c r="B1574" s="144">
        <f>VALUE(IF(+'Libro Diario'!G994="","01/01/2025",+'Libro Diario'!G994))</f>
        <v>45658</v>
      </c>
      <c r="C1574">
        <f>IF(ISNUMBER(+IF(IFERROR(VALUE(MID('Libro Diario'!D994,1,4)),0)&lt;&gt;0,'Libro Diario'!D994,0))=FALSE,'Libro Diario'!D994,0)</f>
        <v>0</v>
      </c>
      <c r="D1574" s="145">
        <f>+'Libro Diario'!E994</f>
        <v>0</v>
      </c>
      <c r="E1574" s="139" t="s">
        <v>446</v>
      </c>
      <c r="F1574" t="str">
        <f t="shared" si="72"/>
        <v>Sin Mov.</v>
      </c>
      <c r="G1574" t="str">
        <f>IF(+'Libro Diario'!H994=0,"",+'Libro Diario'!H994)</f>
        <v/>
      </c>
      <c r="H1574" t="str">
        <f>IF(+'Libro Diario'!I994=0,"",+'Libro Diario'!I994)</f>
        <v/>
      </c>
      <c r="I1574" t="str">
        <f>+IF(Table3[[#This Row],[Tipo Movimiento]]="Estructura Balance y PyG","Excluir","Incluir")</f>
        <v>Incluir</v>
      </c>
      <c r="J1574" s="153">
        <f>+IF(Table3[[#This Row],[Sin cuenta]]="Con Mov.",(IF(Table3[[#This Row],[Movimiento]]="Debe",Table3[[#This Row],[Importe]],IF(Table3[[#This Row],[Movimiento]]="Haber",Table3[[#This Row],[Importe]]*-1,0))),0)</f>
        <v>0</v>
      </c>
      <c r="K1574" s="145" t="str">
        <f t="shared" si="73"/>
        <v/>
      </c>
      <c r="L1574" s="145">
        <f t="shared" si="74"/>
        <v>0</v>
      </c>
      <c r="M1574" t="str">
        <f>_xlfn.XLOOKUP(Table3[[#This Row],[Cuenta]],Estructura_Balance[Nombre Cuenta ()],Estructura_Balance[Grupo],"",0)</f>
        <v/>
      </c>
      <c r="N1574" t="str">
        <f>_xlfn.XLOOKUP(Table3[[#This Row],[Cuenta]],Estructura_Balance[Nombre Cuenta ()],Estructura_Balance[Nivel 1],"",0)</f>
        <v/>
      </c>
      <c r="O1574" t="str">
        <f>_xlfn.XLOOKUP(Table3[[#This Row],[Cuenta]],Estructura_Balance[Nombre Cuenta ()],Estructura_Balance[Nivel 2],"",0)</f>
        <v/>
      </c>
      <c r="P1574" t="str">
        <f>_xlfn.XLOOKUP(Table3[[#This Row],[Cuenta]],Estructura_Balance[Nombre Cuenta ()],Estructura_Balance[Nivel 3],"",0)</f>
        <v/>
      </c>
      <c r="Q1574" t="str">
        <f>_xlfn.XLOOKUP(Table3[[#This Row],[Cuenta]],Estructura_Balance[Nombre Cuenta ()],Estructura_Balance[Nivel 4],"",0)</f>
        <v/>
      </c>
      <c r="R1574" t="str">
        <f>_xlfn.XLOOKUP(Table3[[#This Row],[Cuenta]],Table8[Nombre Cuenta ()],Table8[Nivel 1],"",0)</f>
        <v/>
      </c>
      <c r="S1574" t="str">
        <f>_xlfn.XLOOKUP(Table3[[#This Row],[Cuenta]],Table8[Nombre Cuenta ()],Table8[Nivel 2],"",0)</f>
        <v/>
      </c>
      <c r="T1574" t="str">
        <f>_xlfn.XLOOKUP(Table3[[#This Row],[Cuenta]],Table8[Nombre Cuenta ()],Table8[Nivel 3],"",0)</f>
        <v/>
      </c>
      <c r="U1574">
        <v>1554</v>
      </c>
      <c r="V1574" t="str">
        <f>_xlfn.XLOOKUP(Table3[[#This Row],[Cuenta]],Estructura_Balance[Nombre Cuenta ()],Estructura_Balance[Niveles:2],"",0)</f>
        <v/>
      </c>
      <c r="W1574" t="str">
        <f>_xlfn.XLOOKUP(Table3[[#This Row],[Cuenta]],Estructura_Balance[Nombre Cuenta ()],Estructura_Balance[Niveles:3],"",0)</f>
        <v/>
      </c>
      <c r="X1574" t="str">
        <f>_xlfn.XLOOKUP(Table3[[#This Row],[Cuenta]],Estructura_Balance[Nombre Cuenta ()],Estructura_Balance[Grupos],"Grupo 1",0)</f>
        <v>Grupo 1</v>
      </c>
      <c r="Y1574" t="str">
        <f>+Table3[[#This Row],[BS_Nivel_1]]</f>
        <v/>
      </c>
    </row>
    <row r="1575" spans="1:25" ht="15" customHeight="1">
      <c r="A1575">
        <f>+'Libro Diario'!F995</f>
        <v>0</v>
      </c>
      <c r="B1575" s="144">
        <f>VALUE(IF(+'Libro Diario'!G995="","01/01/2025",+'Libro Diario'!G995))</f>
        <v>45658</v>
      </c>
      <c r="C1575">
        <f>IF(ISNUMBER(+IF(IFERROR(VALUE(MID('Libro Diario'!D995,1,4)),0)&lt;&gt;0,'Libro Diario'!D995,0))=FALSE,'Libro Diario'!D995,0)</f>
        <v>0</v>
      </c>
      <c r="D1575" s="145">
        <f>+'Libro Diario'!E995</f>
        <v>0</v>
      </c>
      <c r="E1575" s="139" t="s">
        <v>446</v>
      </c>
      <c r="F1575" t="str">
        <f t="shared" si="72"/>
        <v>Sin Mov.</v>
      </c>
      <c r="G1575" t="str">
        <f>IF(+'Libro Diario'!H995=0,"",+'Libro Diario'!H995)</f>
        <v/>
      </c>
      <c r="H1575" t="str">
        <f>IF(+'Libro Diario'!I995=0,"",+'Libro Diario'!I995)</f>
        <v/>
      </c>
      <c r="I1575" t="str">
        <f>+IF(Table3[[#This Row],[Tipo Movimiento]]="Estructura Balance y PyG","Excluir","Incluir")</f>
        <v>Incluir</v>
      </c>
      <c r="J1575" s="153">
        <f>+IF(Table3[[#This Row],[Sin cuenta]]="Con Mov.",(IF(Table3[[#This Row],[Movimiento]]="Debe",Table3[[#This Row],[Importe]],IF(Table3[[#This Row],[Movimiento]]="Haber",Table3[[#This Row],[Importe]]*-1,0))),0)</f>
        <v>0</v>
      </c>
      <c r="K1575" s="145" t="str">
        <f t="shared" si="73"/>
        <v/>
      </c>
      <c r="L1575" s="145">
        <f t="shared" si="74"/>
        <v>0</v>
      </c>
      <c r="M1575" t="str">
        <f>_xlfn.XLOOKUP(Table3[[#This Row],[Cuenta]],Estructura_Balance[Nombre Cuenta ()],Estructura_Balance[Grupo],"",0)</f>
        <v/>
      </c>
      <c r="N1575" t="str">
        <f>_xlfn.XLOOKUP(Table3[[#This Row],[Cuenta]],Estructura_Balance[Nombre Cuenta ()],Estructura_Balance[Nivel 1],"",0)</f>
        <v/>
      </c>
      <c r="O1575" t="str">
        <f>_xlfn.XLOOKUP(Table3[[#This Row],[Cuenta]],Estructura_Balance[Nombre Cuenta ()],Estructura_Balance[Nivel 2],"",0)</f>
        <v/>
      </c>
      <c r="P1575" t="str">
        <f>_xlfn.XLOOKUP(Table3[[#This Row],[Cuenta]],Estructura_Balance[Nombre Cuenta ()],Estructura_Balance[Nivel 3],"",0)</f>
        <v/>
      </c>
      <c r="Q1575" t="str">
        <f>_xlfn.XLOOKUP(Table3[[#This Row],[Cuenta]],Estructura_Balance[Nombre Cuenta ()],Estructura_Balance[Nivel 4],"",0)</f>
        <v/>
      </c>
      <c r="R1575" t="str">
        <f>_xlfn.XLOOKUP(Table3[[#This Row],[Cuenta]],Table8[Nombre Cuenta ()],Table8[Nivel 1],"",0)</f>
        <v/>
      </c>
      <c r="S1575" t="str">
        <f>_xlfn.XLOOKUP(Table3[[#This Row],[Cuenta]],Table8[Nombre Cuenta ()],Table8[Nivel 2],"",0)</f>
        <v/>
      </c>
      <c r="T1575" t="str">
        <f>_xlfn.XLOOKUP(Table3[[#This Row],[Cuenta]],Table8[Nombre Cuenta ()],Table8[Nivel 3],"",0)</f>
        <v/>
      </c>
      <c r="U1575">
        <v>1555</v>
      </c>
      <c r="V1575" t="str">
        <f>_xlfn.XLOOKUP(Table3[[#This Row],[Cuenta]],Estructura_Balance[Nombre Cuenta ()],Estructura_Balance[Niveles:2],"",0)</f>
        <v/>
      </c>
      <c r="W1575" t="str">
        <f>_xlfn.XLOOKUP(Table3[[#This Row],[Cuenta]],Estructura_Balance[Nombre Cuenta ()],Estructura_Balance[Niveles:3],"",0)</f>
        <v/>
      </c>
      <c r="X1575" t="str">
        <f>_xlfn.XLOOKUP(Table3[[#This Row],[Cuenta]],Estructura_Balance[Nombre Cuenta ()],Estructura_Balance[Grupos],"Grupo 1",0)</f>
        <v>Grupo 1</v>
      </c>
      <c r="Y1575" t="str">
        <f>+Table3[[#This Row],[BS_Nivel_1]]</f>
        <v/>
      </c>
    </row>
    <row r="1576" spans="1:25" ht="15" customHeight="1">
      <c r="A1576">
        <f>+'Libro Diario'!F996</f>
        <v>0</v>
      </c>
      <c r="B1576" s="144">
        <f>VALUE(IF(+'Libro Diario'!G996="","01/01/2025",+'Libro Diario'!G996))</f>
        <v>45658</v>
      </c>
      <c r="C1576">
        <f>IF(ISNUMBER(+IF(IFERROR(VALUE(MID('Libro Diario'!D996,1,4)),0)&lt;&gt;0,'Libro Diario'!D996,0))=FALSE,'Libro Diario'!D996,0)</f>
        <v>0</v>
      </c>
      <c r="D1576" s="145">
        <f>+'Libro Diario'!E996</f>
        <v>0</v>
      </c>
      <c r="E1576" s="139" t="s">
        <v>446</v>
      </c>
      <c r="F1576" t="str">
        <f t="shared" si="72"/>
        <v>Sin Mov.</v>
      </c>
      <c r="G1576" t="str">
        <f>IF(+'Libro Diario'!H996=0,"",+'Libro Diario'!H996)</f>
        <v/>
      </c>
      <c r="H1576" t="str">
        <f>IF(+'Libro Diario'!I996=0,"",+'Libro Diario'!I996)</f>
        <v/>
      </c>
      <c r="I1576" t="str">
        <f>+IF(Table3[[#This Row],[Tipo Movimiento]]="Estructura Balance y PyG","Excluir","Incluir")</f>
        <v>Incluir</v>
      </c>
      <c r="J1576" s="153">
        <f>+IF(Table3[[#This Row],[Sin cuenta]]="Con Mov.",(IF(Table3[[#This Row],[Movimiento]]="Debe",Table3[[#This Row],[Importe]],IF(Table3[[#This Row],[Movimiento]]="Haber",Table3[[#This Row],[Importe]]*-1,0))),0)</f>
        <v>0</v>
      </c>
      <c r="K1576" s="145" t="str">
        <f t="shared" si="73"/>
        <v/>
      </c>
      <c r="L1576" s="145">
        <f t="shared" si="74"/>
        <v>0</v>
      </c>
      <c r="M1576" t="str">
        <f>_xlfn.XLOOKUP(Table3[[#This Row],[Cuenta]],Estructura_Balance[Nombre Cuenta ()],Estructura_Balance[Grupo],"",0)</f>
        <v/>
      </c>
      <c r="N1576" t="str">
        <f>_xlfn.XLOOKUP(Table3[[#This Row],[Cuenta]],Estructura_Balance[Nombre Cuenta ()],Estructura_Balance[Nivel 1],"",0)</f>
        <v/>
      </c>
      <c r="O1576" t="str">
        <f>_xlfn.XLOOKUP(Table3[[#This Row],[Cuenta]],Estructura_Balance[Nombre Cuenta ()],Estructura_Balance[Nivel 2],"",0)</f>
        <v/>
      </c>
      <c r="P1576" t="str">
        <f>_xlfn.XLOOKUP(Table3[[#This Row],[Cuenta]],Estructura_Balance[Nombre Cuenta ()],Estructura_Balance[Nivel 3],"",0)</f>
        <v/>
      </c>
      <c r="Q1576" t="str">
        <f>_xlfn.XLOOKUP(Table3[[#This Row],[Cuenta]],Estructura_Balance[Nombre Cuenta ()],Estructura_Balance[Nivel 4],"",0)</f>
        <v/>
      </c>
      <c r="R1576" t="str">
        <f>_xlfn.XLOOKUP(Table3[[#This Row],[Cuenta]],Table8[Nombre Cuenta ()],Table8[Nivel 1],"",0)</f>
        <v/>
      </c>
      <c r="S1576" t="str">
        <f>_xlfn.XLOOKUP(Table3[[#This Row],[Cuenta]],Table8[Nombre Cuenta ()],Table8[Nivel 2],"",0)</f>
        <v/>
      </c>
      <c r="T1576" t="str">
        <f>_xlfn.XLOOKUP(Table3[[#This Row],[Cuenta]],Table8[Nombre Cuenta ()],Table8[Nivel 3],"",0)</f>
        <v/>
      </c>
      <c r="U1576">
        <v>1556</v>
      </c>
      <c r="V1576" t="str">
        <f>_xlfn.XLOOKUP(Table3[[#This Row],[Cuenta]],Estructura_Balance[Nombre Cuenta ()],Estructura_Balance[Niveles:2],"",0)</f>
        <v/>
      </c>
      <c r="W1576" t="str">
        <f>_xlfn.XLOOKUP(Table3[[#This Row],[Cuenta]],Estructura_Balance[Nombre Cuenta ()],Estructura_Balance[Niveles:3],"",0)</f>
        <v/>
      </c>
      <c r="X1576" t="str">
        <f>_xlfn.XLOOKUP(Table3[[#This Row],[Cuenta]],Estructura_Balance[Nombre Cuenta ()],Estructura_Balance[Grupos],"Grupo 1",0)</f>
        <v>Grupo 1</v>
      </c>
      <c r="Y1576" t="str">
        <f>+Table3[[#This Row],[BS_Nivel_1]]</f>
        <v/>
      </c>
    </row>
    <row r="1577" spans="1:25" ht="15" customHeight="1">
      <c r="A1577">
        <f>+'Libro Diario'!F997</f>
        <v>0</v>
      </c>
      <c r="B1577" s="144">
        <f>VALUE(IF(+'Libro Diario'!G997="","01/01/2025",+'Libro Diario'!G997))</f>
        <v>45658</v>
      </c>
      <c r="C1577">
        <f>IF(ISNUMBER(+IF(IFERROR(VALUE(MID('Libro Diario'!D997,1,4)),0)&lt;&gt;0,'Libro Diario'!D997,0))=FALSE,'Libro Diario'!D997,0)</f>
        <v>0</v>
      </c>
      <c r="D1577" s="145">
        <f>+'Libro Diario'!E997</f>
        <v>0</v>
      </c>
      <c r="E1577" s="139" t="s">
        <v>446</v>
      </c>
      <c r="F1577" t="str">
        <f t="shared" si="72"/>
        <v>Sin Mov.</v>
      </c>
      <c r="G1577" t="str">
        <f>IF(+'Libro Diario'!H997=0,"",+'Libro Diario'!H997)</f>
        <v/>
      </c>
      <c r="H1577" t="str">
        <f>IF(+'Libro Diario'!I997=0,"",+'Libro Diario'!I997)</f>
        <v/>
      </c>
      <c r="I1577" t="str">
        <f>+IF(Table3[[#This Row],[Tipo Movimiento]]="Estructura Balance y PyG","Excluir","Incluir")</f>
        <v>Incluir</v>
      </c>
      <c r="J1577" s="153">
        <f>+IF(Table3[[#This Row],[Sin cuenta]]="Con Mov.",(IF(Table3[[#This Row],[Movimiento]]="Debe",Table3[[#This Row],[Importe]],IF(Table3[[#This Row],[Movimiento]]="Haber",Table3[[#This Row],[Importe]]*-1,0))),0)</f>
        <v>0</v>
      </c>
      <c r="K1577" s="145" t="str">
        <f t="shared" si="73"/>
        <v/>
      </c>
      <c r="L1577" s="145">
        <f t="shared" si="74"/>
        <v>0</v>
      </c>
      <c r="M1577" t="str">
        <f>_xlfn.XLOOKUP(Table3[[#This Row],[Cuenta]],Estructura_Balance[Nombre Cuenta ()],Estructura_Balance[Grupo],"",0)</f>
        <v/>
      </c>
      <c r="N1577" t="str">
        <f>_xlfn.XLOOKUP(Table3[[#This Row],[Cuenta]],Estructura_Balance[Nombre Cuenta ()],Estructura_Balance[Nivel 1],"",0)</f>
        <v/>
      </c>
      <c r="O1577" t="str">
        <f>_xlfn.XLOOKUP(Table3[[#This Row],[Cuenta]],Estructura_Balance[Nombre Cuenta ()],Estructura_Balance[Nivel 2],"",0)</f>
        <v/>
      </c>
      <c r="P1577" t="str">
        <f>_xlfn.XLOOKUP(Table3[[#This Row],[Cuenta]],Estructura_Balance[Nombre Cuenta ()],Estructura_Balance[Nivel 3],"",0)</f>
        <v/>
      </c>
      <c r="Q1577" t="str">
        <f>_xlfn.XLOOKUP(Table3[[#This Row],[Cuenta]],Estructura_Balance[Nombre Cuenta ()],Estructura_Balance[Nivel 4],"",0)</f>
        <v/>
      </c>
      <c r="R1577" t="str">
        <f>_xlfn.XLOOKUP(Table3[[#This Row],[Cuenta]],Table8[Nombre Cuenta ()],Table8[Nivel 1],"",0)</f>
        <v/>
      </c>
      <c r="S1577" t="str">
        <f>_xlfn.XLOOKUP(Table3[[#This Row],[Cuenta]],Table8[Nombre Cuenta ()],Table8[Nivel 2],"",0)</f>
        <v/>
      </c>
      <c r="T1577" t="str">
        <f>_xlfn.XLOOKUP(Table3[[#This Row],[Cuenta]],Table8[Nombre Cuenta ()],Table8[Nivel 3],"",0)</f>
        <v/>
      </c>
      <c r="U1577">
        <v>1557</v>
      </c>
      <c r="V1577" t="str">
        <f>_xlfn.XLOOKUP(Table3[[#This Row],[Cuenta]],Estructura_Balance[Nombre Cuenta ()],Estructura_Balance[Niveles:2],"",0)</f>
        <v/>
      </c>
      <c r="W1577" t="str">
        <f>_xlfn.XLOOKUP(Table3[[#This Row],[Cuenta]],Estructura_Balance[Nombre Cuenta ()],Estructura_Balance[Niveles:3],"",0)</f>
        <v/>
      </c>
      <c r="X1577" t="str">
        <f>_xlfn.XLOOKUP(Table3[[#This Row],[Cuenta]],Estructura_Balance[Nombre Cuenta ()],Estructura_Balance[Grupos],"Grupo 1",0)</f>
        <v>Grupo 1</v>
      </c>
      <c r="Y1577" t="str">
        <f>+Table3[[#This Row],[BS_Nivel_1]]</f>
        <v/>
      </c>
    </row>
    <row r="1578" spans="1:25" ht="15" customHeight="1">
      <c r="A1578">
        <f>+'Libro Diario'!F998</f>
        <v>0</v>
      </c>
      <c r="B1578" s="144">
        <f>VALUE(IF(+'Libro Diario'!G998="","01/01/2025",+'Libro Diario'!G998))</f>
        <v>45658</v>
      </c>
      <c r="C1578">
        <f>IF(ISNUMBER(+IF(IFERROR(VALUE(MID('Libro Diario'!D998,1,4)),0)&lt;&gt;0,'Libro Diario'!D998,0))=FALSE,'Libro Diario'!D998,0)</f>
        <v>0</v>
      </c>
      <c r="D1578" s="145">
        <f>+'Libro Diario'!E998</f>
        <v>0</v>
      </c>
      <c r="E1578" s="139" t="s">
        <v>446</v>
      </c>
      <c r="F1578" t="str">
        <f t="shared" si="72"/>
        <v>Sin Mov.</v>
      </c>
      <c r="G1578" t="str">
        <f>IF(+'Libro Diario'!H998=0,"",+'Libro Diario'!H998)</f>
        <v/>
      </c>
      <c r="H1578" t="str">
        <f>IF(+'Libro Diario'!I998=0,"",+'Libro Diario'!I998)</f>
        <v/>
      </c>
      <c r="I1578" t="str">
        <f>+IF(Table3[[#This Row],[Tipo Movimiento]]="Estructura Balance y PyG","Excluir","Incluir")</f>
        <v>Incluir</v>
      </c>
      <c r="J1578" s="153">
        <f>+IF(Table3[[#This Row],[Sin cuenta]]="Con Mov.",(IF(Table3[[#This Row],[Movimiento]]="Debe",Table3[[#This Row],[Importe]],IF(Table3[[#This Row],[Movimiento]]="Haber",Table3[[#This Row],[Importe]]*-1,0))),0)</f>
        <v>0</v>
      </c>
      <c r="K1578" s="145" t="str">
        <f t="shared" si="73"/>
        <v/>
      </c>
      <c r="L1578" s="145">
        <f t="shared" si="74"/>
        <v>0</v>
      </c>
      <c r="M1578" t="str">
        <f>_xlfn.XLOOKUP(Table3[[#This Row],[Cuenta]],Estructura_Balance[Nombre Cuenta ()],Estructura_Balance[Grupo],"",0)</f>
        <v/>
      </c>
      <c r="N1578" t="str">
        <f>_xlfn.XLOOKUP(Table3[[#This Row],[Cuenta]],Estructura_Balance[Nombre Cuenta ()],Estructura_Balance[Nivel 1],"",0)</f>
        <v/>
      </c>
      <c r="O1578" t="str">
        <f>_xlfn.XLOOKUP(Table3[[#This Row],[Cuenta]],Estructura_Balance[Nombre Cuenta ()],Estructura_Balance[Nivel 2],"",0)</f>
        <v/>
      </c>
      <c r="P1578" t="str">
        <f>_xlfn.XLOOKUP(Table3[[#This Row],[Cuenta]],Estructura_Balance[Nombre Cuenta ()],Estructura_Balance[Nivel 3],"",0)</f>
        <v/>
      </c>
      <c r="Q1578" t="str">
        <f>_xlfn.XLOOKUP(Table3[[#This Row],[Cuenta]],Estructura_Balance[Nombre Cuenta ()],Estructura_Balance[Nivel 4],"",0)</f>
        <v/>
      </c>
      <c r="R1578" t="str">
        <f>_xlfn.XLOOKUP(Table3[[#This Row],[Cuenta]],Table8[Nombre Cuenta ()],Table8[Nivel 1],"",0)</f>
        <v/>
      </c>
      <c r="S1578" t="str">
        <f>_xlfn.XLOOKUP(Table3[[#This Row],[Cuenta]],Table8[Nombre Cuenta ()],Table8[Nivel 2],"",0)</f>
        <v/>
      </c>
      <c r="T1578" t="str">
        <f>_xlfn.XLOOKUP(Table3[[#This Row],[Cuenta]],Table8[Nombre Cuenta ()],Table8[Nivel 3],"",0)</f>
        <v/>
      </c>
      <c r="U1578">
        <v>1558</v>
      </c>
      <c r="V1578" t="str">
        <f>_xlfn.XLOOKUP(Table3[[#This Row],[Cuenta]],Estructura_Balance[Nombre Cuenta ()],Estructura_Balance[Niveles:2],"",0)</f>
        <v/>
      </c>
      <c r="W1578" t="str">
        <f>_xlfn.XLOOKUP(Table3[[#This Row],[Cuenta]],Estructura_Balance[Nombre Cuenta ()],Estructura_Balance[Niveles:3],"",0)</f>
        <v/>
      </c>
      <c r="X1578" t="str">
        <f>_xlfn.XLOOKUP(Table3[[#This Row],[Cuenta]],Estructura_Balance[Nombre Cuenta ()],Estructura_Balance[Grupos],"Grupo 1",0)</f>
        <v>Grupo 1</v>
      </c>
      <c r="Y1578" t="str">
        <f>+Table3[[#This Row],[BS_Nivel_1]]</f>
        <v/>
      </c>
    </row>
    <row r="1579" spans="1:25" ht="15" customHeight="1">
      <c r="A1579">
        <f>+'Libro Diario'!F999</f>
        <v>0</v>
      </c>
      <c r="B1579" s="144">
        <f>VALUE(IF(+'Libro Diario'!G999="","01/01/2025",+'Libro Diario'!G999))</f>
        <v>45658</v>
      </c>
      <c r="C1579">
        <f>IF(ISNUMBER(+IF(IFERROR(VALUE(MID('Libro Diario'!D999,1,4)),0)&lt;&gt;0,'Libro Diario'!D999,0))=FALSE,'Libro Diario'!D999,0)</f>
        <v>0</v>
      </c>
      <c r="D1579" s="145">
        <f>+'Libro Diario'!E999</f>
        <v>0</v>
      </c>
      <c r="E1579" s="139" t="s">
        <v>446</v>
      </c>
      <c r="F1579" t="str">
        <f t="shared" si="72"/>
        <v>Sin Mov.</v>
      </c>
      <c r="G1579" t="str">
        <f>IF(+'Libro Diario'!H999=0,"",+'Libro Diario'!H999)</f>
        <v/>
      </c>
      <c r="H1579" t="str">
        <f>IF(+'Libro Diario'!I999=0,"",+'Libro Diario'!I999)</f>
        <v/>
      </c>
      <c r="I1579" t="str">
        <f>+IF(Table3[[#This Row],[Tipo Movimiento]]="Estructura Balance y PyG","Excluir","Incluir")</f>
        <v>Incluir</v>
      </c>
      <c r="J1579" s="153">
        <f>+IF(Table3[[#This Row],[Sin cuenta]]="Con Mov.",(IF(Table3[[#This Row],[Movimiento]]="Debe",Table3[[#This Row],[Importe]],IF(Table3[[#This Row],[Movimiento]]="Haber",Table3[[#This Row],[Importe]]*-1,0))),0)</f>
        <v>0</v>
      </c>
      <c r="K1579" s="145" t="str">
        <f t="shared" si="73"/>
        <v/>
      </c>
      <c r="L1579" s="145">
        <f t="shared" si="74"/>
        <v>0</v>
      </c>
      <c r="M1579" t="str">
        <f>_xlfn.XLOOKUP(Table3[[#This Row],[Cuenta]],Estructura_Balance[Nombre Cuenta ()],Estructura_Balance[Grupo],"",0)</f>
        <v/>
      </c>
      <c r="N1579" t="str">
        <f>_xlfn.XLOOKUP(Table3[[#This Row],[Cuenta]],Estructura_Balance[Nombre Cuenta ()],Estructura_Balance[Nivel 1],"",0)</f>
        <v/>
      </c>
      <c r="O1579" t="str">
        <f>_xlfn.XLOOKUP(Table3[[#This Row],[Cuenta]],Estructura_Balance[Nombre Cuenta ()],Estructura_Balance[Nivel 2],"",0)</f>
        <v/>
      </c>
      <c r="P1579" t="str">
        <f>_xlfn.XLOOKUP(Table3[[#This Row],[Cuenta]],Estructura_Balance[Nombre Cuenta ()],Estructura_Balance[Nivel 3],"",0)</f>
        <v/>
      </c>
      <c r="Q1579" t="str">
        <f>_xlfn.XLOOKUP(Table3[[#This Row],[Cuenta]],Estructura_Balance[Nombre Cuenta ()],Estructura_Balance[Nivel 4],"",0)</f>
        <v/>
      </c>
      <c r="R1579" t="str">
        <f>_xlfn.XLOOKUP(Table3[[#This Row],[Cuenta]],Table8[Nombre Cuenta ()],Table8[Nivel 1],"",0)</f>
        <v/>
      </c>
      <c r="S1579" t="str">
        <f>_xlfn.XLOOKUP(Table3[[#This Row],[Cuenta]],Table8[Nombre Cuenta ()],Table8[Nivel 2],"",0)</f>
        <v/>
      </c>
      <c r="T1579" t="str">
        <f>_xlfn.XLOOKUP(Table3[[#This Row],[Cuenta]],Table8[Nombre Cuenta ()],Table8[Nivel 3],"",0)</f>
        <v/>
      </c>
      <c r="U1579">
        <v>1559</v>
      </c>
      <c r="V1579" t="str">
        <f>_xlfn.XLOOKUP(Table3[[#This Row],[Cuenta]],Estructura_Balance[Nombre Cuenta ()],Estructura_Balance[Niveles:2],"",0)</f>
        <v/>
      </c>
      <c r="W1579" t="str">
        <f>_xlfn.XLOOKUP(Table3[[#This Row],[Cuenta]],Estructura_Balance[Nombre Cuenta ()],Estructura_Balance[Niveles:3],"",0)</f>
        <v/>
      </c>
      <c r="X1579" t="str">
        <f>_xlfn.XLOOKUP(Table3[[#This Row],[Cuenta]],Estructura_Balance[Nombre Cuenta ()],Estructura_Balance[Grupos],"Grupo 1",0)</f>
        <v>Grupo 1</v>
      </c>
      <c r="Y1579" t="str">
        <f>+Table3[[#This Row],[BS_Nivel_1]]</f>
        <v/>
      </c>
    </row>
    <row r="1580" spans="1:25" ht="15" customHeight="1">
      <c r="A1580">
        <f>+'Libro Diario'!F1000</f>
        <v>0</v>
      </c>
      <c r="B1580" s="144">
        <f>VALUE(IF(+'Libro Diario'!G1000="","01/01/2025",+'Libro Diario'!G1000))</f>
        <v>45658</v>
      </c>
      <c r="C1580">
        <f>IF(ISNUMBER(+IF(IFERROR(VALUE(MID('Libro Diario'!D1000,1,4)),0)&lt;&gt;0,'Libro Diario'!D1000,0))=FALSE,'Libro Diario'!D1000,0)</f>
        <v>0</v>
      </c>
      <c r="D1580" s="145">
        <f>+'Libro Diario'!E1000</f>
        <v>0</v>
      </c>
      <c r="E1580" s="139" t="s">
        <v>446</v>
      </c>
      <c r="F1580" t="str">
        <f t="shared" si="72"/>
        <v>Sin Mov.</v>
      </c>
      <c r="G1580" t="str">
        <f>IF(+'Libro Diario'!H1000=0,"",+'Libro Diario'!H1000)</f>
        <v/>
      </c>
      <c r="H1580" t="str">
        <f>IF(+'Libro Diario'!I1000=0,"",+'Libro Diario'!I1000)</f>
        <v/>
      </c>
      <c r="I1580" t="str">
        <f>+IF(Table3[[#This Row],[Tipo Movimiento]]="Estructura Balance y PyG","Excluir","Incluir")</f>
        <v>Incluir</v>
      </c>
      <c r="J1580" s="153">
        <f>+IF(Table3[[#This Row],[Sin cuenta]]="Con Mov.",(IF(Table3[[#This Row],[Movimiento]]="Debe",Table3[[#This Row],[Importe]],IF(Table3[[#This Row],[Movimiento]]="Haber",Table3[[#This Row],[Importe]]*-1,0))),0)</f>
        <v>0</v>
      </c>
      <c r="K1580" s="145" t="str">
        <f t="shared" si="73"/>
        <v/>
      </c>
      <c r="L1580" s="145">
        <f t="shared" si="74"/>
        <v>0</v>
      </c>
      <c r="M1580" t="str">
        <f>_xlfn.XLOOKUP(Table3[[#This Row],[Cuenta]],Estructura_Balance[Nombre Cuenta ()],Estructura_Balance[Grupo],"",0)</f>
        <v/>
      </c>
      <c r="N1580" t="str">
        <f>_xlfn.XLOOKUP(Table3[[#This Row],[Cuenta]],Estructura_Balance[Nombre Cuenta ()],Estructura_Balance[Nivel 1],"",0)</f>
        <v/>
      </c>
      <c r="O1580" t="str">
        <f>_xlfn.XLOOKUP(Table3[[#This Row],[Cuenta]],Estructura_Balance[Nombre Cuenta ()],Estructura_Balance[Nivel 2],"",0)</f>
        <v/>
      </c>
      <c r="P1580" t="str">
        <f>_xlfn.XLOOKUP(Table3[[#This Row],[Cuenta]],Estructura_Balance[Nombre Cuenta ()],Estructura_Balance[Nivel 3],"",0)</f>
        <v/>
      </c>
      <c r="Q1580" t="str">
        <f>_xlfn.XLOOKUP(Table3[[#This Row],[Cuenta]],Estructura_Balance[Nombre Cuenta ()],Estructura_Balance[Nivel 4],"",0)</f>
        <v/>
      </c>
      <c r="R1580" t="str">
        <f>_xlfn.XLOOKUP(Table3[[#This Row],[Cuenta]],Table8[Nombre Cuenta ()],Table8[Nivel 1],"",0)</f>
        <v/>
      </c>
      <c r="S1580" t="str">
        <f>_xlfn.XLOOKUP(Table3[[#This Row],[Cuenta]],Table8[Nombre Cuenta ()],Table8[Nivel 2],"",0)</f>
        <v/>
      </c>
      <c r="T1580" t="str">
        <f>_xlfn.XLOOKUP(Table3[[#This Row],[Cuenta]],Table8[Nombre Cuenta ()],Table8[Nivel 3],"",0)</f>
        <v/>
      </c>
      <c r="U1580">
        <v>1560</v>
      </c>
      <c r="V1580" t="str">
        <f>_xlfn.XLOOKUP(Table3[[#This Row],[Cuenta]],Estructura_Balance[Nombre Cuenta ()],Estructura_Balance[Niveles:2],"",0)</f>
        <v/>
      </c>
      <c r="W1580" t="str">
        <f>_xlfn.XLOOKUP(Table3[[#This Row],[Cuenta]],Estructura_Balance[Nombre Cuenta ()],Estructura_Balance[Niveles:3],"",0)</f>
        <v/>
      </c>
      <c r="X1580" t="str">
        <f>_xlfn.XLOOKUP(Table3[[#This Row],[Cuenta]],Estructura_Balance[Nombre Cuenta ()],Estructura_Balance[Grupos],"Grupo 1",0)</f>
        <v>Grupo 1</v>
      </c>
      <c r="Y1580" t="str">
        <f>+Table3[[#This Row],[BS_Nivel_1]]</f>
        <v/>
      </c>
    </row>
    <row r="1581" spans="1:25" ht="15" customHeight="1">
      <c r="A1581">
        <f>+'Libro Diario'!F1001</f>
        <v>0</v>
      </c>
      <c r="B1581" s="144">
        <f>VALUE(IF(+'Libro Diario'!G1001="","01/01/2025",+'Libro Diario'!G1001))</f>
        <v>45658</v>
      </c>
      <c r="C1581">
        <f>IF(ISNUMBER(+IF(IFERROR(VALUE(MID('Libro Diario'!D1001,1,4)),0)&lt;&gt;0,'Libro Diario'!D1001,0))=FALSE,'Libro Diario'!D1001,0)</f>
        <v>0</v>
      </c>
      <c r="D1581" s="145">
        <f>+'Libro Diario'!E1001</f>
        <v>0</v>
      </c>
      <c r="E1581" s="139" t="s">
        <v>446</v>
      </c>
      <c r="F1581" t="str">
        <f t="shared" si="72"/>
        <v>Sin Mov.</v>
      </c>
      <c r="G1581" t="str">
        <f>IF(+'Libro Diario'!H1001=0,"",+'Libro Diario'!H1001)</f>
        <v/>
      </c>
      <c r="H1581" t="str">
        <f>IF(+'Libro Diario'!I1001=0,"",+'Libro Diario'!I1001)</f>
        <v/>
      </c>
      <c r="I1581" t="str">
        <f>+IF(Table3[[#This Row],[Tipo Movimiento]]="Estructura Balance y PyG","Excluir","Incluir")</f>
        <v>Incluir</v>
      </c>
      <c r="J1581" s="153">
        <f>+IF(Table3[[#This Row],[Sin cuenta]]="Con Mov.",(IF(Table3[[#This Row],[Movimiento]]="Debe",Table3[[#This Row],[Importe]],IF(Table3[[#This Row],[Movimiento]]="Haber",Table3[[#This Row],[Importe]]*-1,0))),0)</f>
        <v>0</v>
      </c>
      <c r="K1581" s="145" t="str">
        <f t="shared" si="73"/>
        <v/>
      </c>
      <c r="L1581" s="145">
        <f t="shared" si="74"/>
        <v>0</v>
      </c>
      <c r="M1581" t="str">
        <f>_xlfn.XLOOKUP(Table3[[#This Row],[Cuenta]],Estructura_Balance[Nombre Cuenta ()],Estructura_Balance[Grupo],"",0)</f>
        <v/>
      </c>
      <c r="N1581" t="str">
        <f>_xlfn.XLOOKUP(Table3[[#This Row],[Cuenta]],Estructura_Balance[Nombre Cuenta ()],Estructura_Balance[Nivel 1],"",0)</f>
        <v/>
      </c>
      <c r="O1581" t="str">
        <f>_xlfn.XLOOKUP(Table3[[#This Row],[Cuenta]],Estructura_Balance[Nombre Cuenta ()],Estructura_Balance[Nivel 2],"",0)</f>
        <v/>
      </c>
      <c r="P1581" t="str">
        <f>_xlfn.XLOOKUP(Table3[[#This Row],[Cuenta]],Estructura_Balance[Nombre Cuenta ()],Estructura_Balance[Nivel 3],"",0)</f>
        <v/>
      </c>
      <c r="Q1581" t="str">
        <f>_xlfn.XLOOKUP(Table3[[#This Row],[Cuenta]],Estructura_Balance[Nombre Cuenta ()],Estructura_Balance[Nivel 4],"",0)</f>
        <v/>
      </c>
      <c r="R1581" t="str">
        <f>_xlfn.XLOOKUP(Table3[[#This Row],[Cuenta]],Table8[Nombre Cuenta ()],Table8[Nivel 1],"",0)</f>
        <v/>
      </c>
      <c r="S1581" t="str">
        <f>_xlfn.XLOOKUP(Table3[[#This Row],[Cuenta]],Table8[Nombre Cuenta ()],Table8[Nivel 2],"",0)</f>
        <v/>
      </c>
      <c r="T1581" t="str">
        <f>_xlfn.XLOOKUP(Table3[[#This Row],[Cuenta]],Table8[Nombre Cuenta ()],Table8[Nivel 3],"",0)</f>
        <v/>
      </c>
      <c r="U1581">
        <v>1561</v>
      </c>
      <c r="V1581" t="str">
        <f>_xlfn.XLOOKUP(Table3[[#This Row],[Cuenta]],Estructura_Balance[Nombre Cuenta ()],Estructura_Balance[Niveles:2],"",0)</f>
        <v/>
      </c>
      <c r="W1581" t="str">
        <f>_xlfn.XLOOKUP(Table3[[#This Row],[Cuenta]],Estructura_Balance[Nombre Cuenta ()],Estructura_Balance[Niveles:3],"",0)</f>
        <v/>
      </c>
      <c r="X1581" t="str">
        <f>_xlfn.XLOOKUP(Table3[[#This Row],[Cuenta]],Estructura_Balance[Nombre Cuenta ()],Estructura_Balance[Grupos],"Grupo 1",0)</f>
        <v>Grupo 1</v>
      </c>
      <c r="Y1581" t="str">
        <f>+Table3[[#This Row],[BS_Nivel_1]]</f>
        <v/>
      </c>
    </row>
    <row r="1582" spans="1:25" ht="15" customHeight="1">
      <c r="A1582">
        <f>+'Libro Diario'!F1002</f>
        <v>0</v>
      </c>
      <c r="B1582" s="144">
        <f>VALUE(IF(+'Libro Diario'!G1002="","01/01/2025",+'Libro Diario'!G1002))</f>
        <v>45658</v>
      </c>
      <c r="C1582">
        <f>IF(ISNUMBER(+IF(IFERROR(VALUE(MID('Libro Diario'!D1002,1,4)),0)&lt;&gt;0,'Libro Diario'!D1002,0))=FALSE,'Libro Diario'!D1002,0)</f>
        <v>0</v>
      </c>
      <c r="D1582" s="145">
        <f>+'Libro Diario'!E1002</f>
        <v>0</v>
      </c>
      <c r="E1582" s="139" t="s">
        <v>446</v>
      </c>
      <c r="F1582" t="str">
        <f t="shared" si="72"/>
        <v>Sin Mov.</v>
      </c>
      <c r="G1582" t="str">
        <f>IF(+'Libro Diario'!H1002=0,"",+'Libro Diario'!H1002)</f>
        <v/>
      </c>
      <c r="H1582" t="str">
        <f>IF(+'Libro Diario'!I1002=0,"",+'Libro Diario'!I1002)</f>
        <v/>
      </c>
      <c r="I1582" t="str">
        <f>+IF(Table3[[#This Row],[Tipo Movimiento]]="Estructura Balance y PyG","Excluir","Incluir")</f>
        <v>Incluir</v>
      </c>
      <c r="J1582" s="153">
        <f>+IF(Table3[[#This Row],[Sin cuenta]]="Con Mov.",(IF(Table3[[#This Row],[Movimiento]]="Debe",Table3[[#This Row],[Importe]],IF(Table3[[#This Row],[Movimiento]]="Haber",Table3[[#This Row],[Importe]]*-1,0))),0)</f>
        <v>0</v>
      </c>
      <c r="K1582" s="145" t="str">
        <f t="shared" si="73"/>
        <v/>
      </c>
      <c r="L1582" s="145">
        <f t="shared" si="74"/>
        <v>0</v>
      </c>
      <c r="M1582" t="str">
        <f>_xlfn.XLOOKUP(Table3[[#This Row],[Cuenta]],Estructura_Balance[Nombre Cuenta ()],Estructura_Balance[Grupo],"",0)</f>
        <v/>
      </c>
      <c r="N1582" t="str">
        <f>_xlfn.XLOOKUP(Table3[[#This Row],[Cuenta]],Estructura_Balance[Nombre Cuenta ()],Estructura_Balance[Nivel 1],"",0)</f>
        <v/>
      </c>
      <c r="O1582" t="str">
        <f>_xlfn.XLOOKUP(Table3[[#This Row],[Cuenta]],Estructura_Balance[Nombre Cuenta ()],Estructura_Balance[Nivel 2],"",0)</f>
        <v/>
      </c>
      <c r="P1582" t="str">
        <f>_xlfn.XLOOKUP(Table3[[#This Row],[Cuenta]],Estructura_Balance[Nombre Cuenta ()],Estructura_Balance[Nivel 3],"",0)</f>
        <v/>
      </c>
      <c r="Q1582" t="str">
        <f>_xlfn.XLOOKUP(Table3[[#This Row],[Cuenta]],Estructura_Balance[Nombre Cuenta ()],Estructura_Balance[Nivel 4],"",0)</f>
        <v/>
      </c>
      <c r="R1582" t="str">
        <f>_xlfn.XLOOKUP(Table3[[#This Row],[Cuenta]],Table8[Nombre Cuenta ()],Table8[Nivel 1],"",0)</f>
        <v/>
      </c>
      <c r="S1582" t="str">
        <f>_xlfn.XLOOKUP(Table3[[#This Row],[Cuenta]],Table8[Nombre Cuenta ()],Table8[Nivel 2],"",0)</f>
        <v/>
      </c>
      <c r="T1582" t="str">
        <f>_xlfn.XLOOKUP(Table3[[#This Row],[Cuenta]],Table8[Nombre Cuenta ()],Table8[Nivel 3],"",0)</f>
        <v/>
      </c>
      <c r="U1582">
        <v>1562</v>
      </c>
      <c r="V1582" t="str">
        <f>_xlfn.XLOOKUP(Table3[[#This Row],[Cuenta]],Estructura_Balance[Nombre Cuenta ()],Estructura_Balance[Niveles:2],"",0)</f>
        <v/>
      </c>
      <c r="W1582" t="str">
        <f>_xlfn.XLOOKUP(Table3[[#This Row],[Cuenta]],Estructura_Balance[Nombre Cuenta ()],Estructura_Balance[Niveles:3],"",0)</f>
        <v/>
      </c>
      <c r="X1582" t="str">
        <f>_xlfn.XLOOKUP(Table3[[#This Row],[Cuenta]],Estructura_Balance[Nombre Cuenta ()],Estructura_Balance[Grupos],"Grupo 1",0)</f>
        <v>Grupo 1</v>
      </c>
      <c r="Y1582" t="str">
        <f>+Table3[[#This Row],[BS_Nivel_1]]</f>
        <v/>
      </c>
    </row>
    <row r="1583" spans="1:25" ht="15" customHeight="1">
      <c r="A1583">
        <f>+'Libro Diario'!F1003</f>
        <v>0</v>
      </c>
      <c r="B1583" s="144">
        <f>VALUE(IF(+'Libro Diario'!G1003="","01/01/2025",+'Libro Diario'!G1003))</f>
        <v>45658</v>
      </c>
      <c r="C1583">
        <f>IF(ISNUMBER(+IF(IFERROR(VALUE(MID('Libro Diario'!D1003,1,4)),0)&lt;&gt;0,'Libro Diario'!D1003,0))=FALSE,'Libro Diario'!D1003,0)</f>
        <v>0</v>
      </c>
      <c r="D1583" s="145">
        <f>+'Libro Diario'!E1003</f>
        <v>0</v>
      </c>
      <c r="E1583" s="139" t="s">
        <v>446</v>
      </c>
      <c r="F1583" t="str">
        <f t="shared" si="72"/>
        <v>Sin Mov.</v>
      </c>
      <c r="G1583" t="str">
        <f>IF(+'Libro Diario'!H1003=0,"",+'Libro Diario'!H1003)</f>
        <v/>
      </c>
      <c r="H1583" t="str">
        <f>IF(+'Libro Diario'!I1003=0,"",+'Libro Diario'!I1003)</f>
        <v/>
      </c>
      <c r="I1583" t="str">
        <f>+IF(Table3[[#This Row],[Tipo Movimiento]]="Estructura Balance y PyG","Excluir","Incluir")</f>
        <v>Incluir</v>
      </c>
      <c r="J1583" s="153">
        <f>+IF(Table3[[#This Row],[Sin cuenta]]="Con Mov.",(IF(Table3[[#This Row],[Movimiento]]="Debe",Table3[[#This Row],[Importe]],IF(Table3[[#This Row],[Movimiento]]="Haber",Table3[[#This Row],[Importe]]*-1,0))),0)</f>
        <v>0</v>
      </c>
      <c r="K1583" s="145" t="str">
        <f t="shared" si="73"/>
        <v/>
      </c>
      <c r="L1583" s="145">
        <f t="shared" si="74"/>
        <v>0</v>
      </c>
      <c r="M1583" t="str">
        <f>_xlfn.XLOOKUP(Table3[[#This Row],[Cuenta]],Estructura_Balance[Nombre Cuenta ()],Estructura_Balance[Grupo],"",0)</f>
        <v/>
      </c>
      <c r="N1583" t="str">
        <f>_xlfn.XLOOKUP(Table3[[#This Row],[Cuenta]],Estructura_Balance[Nombre Cuenta ()],Estructura_Balance[Nivel 1],"",0)</f>
        <v/>
      </c>
      <c r="O1583" t="str">
        <f>_xlfn.XLOOKUP(Table3[[#This Row],[Cuenta]],Estructura_Balance[Nombre Cuenta ()],Estructura_Balance[Nivel 2],"",0)</f>
        <v/>
      </c>
      <c r="P1583" t="str">
        <f>_xlfn.XLOOKUP(Table3[[#This Row],[Cuenta]],Estructura_Balance[Nombre Cuenta ()],Estructura_Balance[Nivel 3],"",0)</f>
        <v/>
      </c>
      <c r="Q1583" t="str">
        <f>_xlfn.XLOOKUP(Table3[[#This Row],[Cuenta]],Estructura_Balance[Nombre Cuenta ()],Estructura_Balance[Nivel 4],"",0)</f>
        <v/>
      </c>
      <c r="R1583" t="str">
        <f>_xlfn.XLOOKUP(Table3[[#This Row],[Cuenta]],Table8[Nombre Cuenta ()],Table8[Nivel 1],"",0)</f>
        <v/>
      </c>
      <c r="S1583" t="str">
        <f>_xlfn.XLOOKUP(Table3[[#This Row],[Cuenta]],Table8[Nombre Cuenta ()],Table8[Nivel 2],"",0)</f>
        <v/>
      </c>
      <c r="T1583" t="str">
        <f>_xlfn.XLOOKUP(Table3[[#This Row],[Cuenta]],Table8[Nombre Cuenta ()],Table8[Nivel 3],"",0)</f>
        <v/>
      </c>
      <c r="U1583">
        <v>1563</v>
      </c>
      <c r="V1583" t="str">
        <f>_xlfn.XLOOKUP(Table3[[#This Row],[Cuenta]],Estructura_Balance[Nombre Cuenta ()],Estructura_Balance[Niveles:2],"",0)</f>
        <v/>
      </c>
      <c r="W1583" t="str">
        <f>_xlfn.XLOOKUP(Table3[[#This Row],[Cuenta]],Estructura_Balance[Nombre Cuenta ()],Estructura_Balance[Niveles:3],"",0)</f>
        <v/>
      </c>
      <c r="X1583" t="str">
        <f>_xlfn.XLOOKUP(Table3[[#This Row],[Cuenta]],Estructura_Balance[Nombre Cuenta ()],Estructura_Balance[Grupos],"Grupo 1",0)</f>
        <v>Grupo 1</v>
      </c>
      <c r="Y1583" t="str">
        <f>+Table3[[#This Row],[BS_Nivel_1]]</f>
        <v/>
      </c>
    </row>
    <row r="1584" spans="1:25" ht="15" customHeight="1">
      <c r="A1584">
        <f>+'Libro Diario'!F1004</f>
        <v>0</v>
      </c>
      <c r="B1584" s="144">
        <f>VALUE(IF(+'Libro Diario'!G1004="","01/01/2025",+'Libro Diario'!G1004))</f>
        <v>45658</v>
      </c>
      <c r="C1584">
        <f>IF(ISNUMBER(+IF(IFERROR(VALUE(MID('Libro Diario'!D1004,1,4)),0)&lt;&gt;0,'Libro Diario'!D1004,0))=FALSE,'Libro Diario'!D1004,0)</f>
        <v>0</v>
      </c>
      <c r="D1584" s="145">
        <f>+'Libro Diario'!E1004</f>
        <v>0</v>
      </c>
      <c r="E1584" s="139" t="s">
        <v>446</v>
      </c>
      <c r="F1584" t="str">
        <f t="shared" si="72"/>
        <v>Sin Mov.</v>
      </c>
      <c r="G1584" t="str">
        <f>IF(+'Libro Diario'!H1004=0,"",+'Libro Diario'!H1004)</f>
        <v/>
      </c>
      <c r="H1584" t="str">
        <f>IF(+'Libro Diario'!I1004=0,"",+'Libro Diario'!I1004)</f>
        <v/>
      </c>
      <c r="I1584" t="str">
        <f>+IF(Table3[[#This Row],[Tipo Movimiento]]="Estructura Balance y PyG","Excluir","Incluir")</f>
        <v>Incluir</v>
      </c>
      <c r="J1584" s="153">
        <f>+IF(Table3[[#This Row],[Sin cuenta]]="Con Mov.",(IF(Table3[[#This Row],[Movimiento]]="Debe",Table3[[#This Row],[Importe]],IF(Table3[[#This Row],[Movimiento]]="Haber",Table3[[#This Row],[Importe]]*-1,0))),0)</f>
        <v>0</v>
      </c>
      <c r="K1584" s="145" t="str">
        <f t="shared" si="73"/>
        <v/>
      </c>
      <c r="L1584" s="145">
        <f t="shared" si="74"/>
        <v>0</v>
      </c>
      <c r="M1584" t="str">
        <f>_xlfn.XLOOKUP(Table3[[#This Row],[Cuenta]],Estructura_Balance[Nombre Cuenta ()],Estructura_Balance[Grupo],"",0)</f>
        <v/>
      </c>
      <c r="N1584" t="str">
        <f>_xlfn.XLOOKUP(Table3[[#This Row],[Cuenta]],Estructura_Balance[Nombre Cuenta ()],Estructura_Balance[Nivel 1],"",0)</f>
        <v/>
      </c>
      <c r="O1584" t="str">
        <f>_xlfn.XLOOKUP(Table3[[#This Row],[Cuenta]],Estructura_Balance[Nombre Cuenta ()],Estructura_Balance[Nivel 2],"",0)</f>
        <v/>
      </c>
      <c r="P1584" t="str">
        <f>_xlfn.XLOOKUP(Table3[[#This Row],[Cuenta]],Estructura_Balance[Nombre Cuenta ()],Estructura_Balance[Nivel 3],"",0)</f>
        <v/>
      </c>
      <c r="Q1584" t="str">
        <f>_xlfn.XLOOKUP(Table3[[#This Row],[Cuenta]],Estructura_Balance[Nombre Cuenta ()],Estructura_Balance[Nivel 4],"",0)</f>
        <v/>
      </c>
      <c r="R1584" t="str">
        <f>_xlfn.XLOOKUP(Table3[[#This Row],[Cuenta]],Table8[Nombre Cuenta ()],Table8[Nivel 1],"",0)</f>
        <v/>
      </c>
      <c r="S1584" t="str">
        <f>_xlfn.XLOOKUP(Table3[[#This Row],[Cuenta]],Table8[Nombre Cuenta ()],Table8[Nivel 2],"",0)</f>
        <v/>
      </c>
      <c r="T1584" t="str">
        <f>_xlfn.XLOOKUP(Table3[[#This Row],[Cuenta]],Table8[Nombre Cuenta ()],Table8[Nivel 3],"",0)</f>
        <v/>
      </c>
      <c r="U1584">
        <v>1564</v>
      </c>
      <c r="V1584" t="str">
        <f>_xlfn.XLOOKUP(Table3[[#This Row],[Cuenta]],Estructura_Balance[Nombre Cuenta ()],Estructura_Balance[Niveles:2],"",0)</f>
        <v/>
      </c>
      <c r="W1584" t="str">
        <f>_xlfn.XLOOKUP(Table3[[#This Row],[Cuenta]],Estructura_Balance[Nombre Cuenta ()],Estructura_Balance[Niveles:3],"",0)</f>
        <v/>
      </c>
      <c r="X1584" t="str">
        <f>_xlfn.XLOOKUP(Table3[[#This Row],[Cuenta]],Estructura_Balance[Nombre Cuenta ()],Estructura_Balance[Grupos],"Grupo 1",0)</f>
        <v>Grupo 1</v>
      </c>
      <c r="Y1584" t="str">
        <f>+Table3[[#This Row],[BS_Nivel_1]]</f>
        <v/>
      </c>
    </row>
    <row r="1585" spans="1:25" ht="15" customHeight="1">
      <c r="A1585">
        <f>+'Libro Diario'!F1005</f>
        <v>0</v>
      </c>
      <c r="B1585" s="144">
        <f>VALUE(IF(+'Libro Diario'!G1005="","01/01/2025",+'Libro Diario'!G1005))</f>
        <v>45658</v>
      </c>
      <c r="C1585">
        <f>IF(ISNUMBER(+IF(IFERROR(VALUE(MID('Libro Diario'!D1005,1,4)),0)&lt;&gt;0,'Libro Diario'!D1005,0))=FALSE,'Libro Diario'!D1005,0)</f>
        <v>0</v>
      </c>
      <c r="D1585" s="145">
        <f>+'Libro Diario'!E1005</f>
        <v>0</v>
      </c>
      <c r="E1585" s="139" t="s">
        <v>446</v>
      </c>
      <c r="F1585" t="str">
        <f t="shared" si="72"/>
        <v>Sin Mov.</v>
      </c>
      <c r="G1585" t="str">
        <f>IF(+'Libro Diario'!H1005=0,"",+'Libro Diario'!H1005)</f>
        <v/>
      </c>
      <c r="H1585" t="str">
        <f>IF(+'Libro Diario'!I1005=0,"",+'Libro Diario'!I1005)</f>
        <v/>
      </c>
      <c r="I1585" t="str">
        <f>+IF(Table3[[#This Row],[Tipo Movimiento]]="Estructura Balance y PyG","Excluir","Incluir")</f>
        <v>Incluir</v>
      </c>
      <c r="J1585" s="153">
        <f>+IF(Table3[[#This Row],[Sin cuenta]]="Con Mov.",(IF(Table3[[#This Row],[Movimiento]]="Debe",Table3[[#This Row],[Importe]],IF(Table3[[#This Row],[Movimiento]]="Haber",Table3[[#This Row],[Importe]]*-1,0))),0)</f>
        <v>0</v>
      </c>
      <c r="K1585" s="145" t="str">
        <f t="shared" si="73"/>
        <v/>
      </c>
      <c r="L1585" s="145">
        <f t="shared" si="74"/>
        <v>0</v>
      </c>
      <c r="M1585" t="str">
        <f>_xlfn.XLOOKUP(Table3[[#This Row],[Cuenta]],Estructura_Balance[Nombre Cuenta ()],Estructura_Balance[Grupo],"",0)</f>
        <v/>
      </c>
      <c r="N1585" t="str">
        <f>_xlfn.XLOOKUP(Table3[[#This Row],[Cuenta]],Estructura_Balance[Nombre Cuenta ()],Estructura_Balance[Nivel 1],"",0)</f>
        <v/>
      </c>
      <c r="O1585" t="str">
        <f>_xlfn.XLOOKUP(Table3[[#This Row],[Cuenta]],Estructura_Balance[Nombre Cuenta ()],Estructura_Balance[Nivel 2],"",0)</f>
        <v/>
      </c>
      <c r="P1585" t="str">
        <f>_xlfn.XLOOKUP(Table3[[#This Row],[Cuenta]],Estructura_Balance[Nombre Cuenta ()],Estructura_Balance[Nivel 3],"",0)</f>
        <v/>
      </c>
      <c r="Q1585" t="str">
        <f>_xlfn.XLOOKUP(Table3[[#This Row],[Cuenta]],Estructura_Balance[Nombre Cuenta ()],Estructura_Balance[Nivel 4],"",0)</f>
        <v/>
      </c>
      <c r="R1585" t="str">
        <f>_xlfn.XLOOKUP(Table3[[#This Row],[Cuenta]],Table8[Nombre Cuenta ()],Table8[Nivel 1],"",0)</f>
        <v/>
      </c>
      <c r="S1585" t="str">
        <f>_xlfn.XLOOKUP(Table3[[#This Row],[Cuenta]],Table8[Nombre Cuenta ()],Table8[Nivel 2],"",0)</f>
        <v/>
      </c>
      <c r="T1585" t="str">
        <f>_xlfn.XLOOKUP(Table3[[#This Row],[Cuenta]],Table8[Nombre Cuenta ()],Table8[Nivel 3],"",0)</f>
        <v/>
      </c>
      <c r="U1585">
        <v>1565</v>
      </c>
      <c r="V1585" t="str">
        <f>_xlfn.XLOOKUP(Table3[[#This Row],[Cuenta]],Estructura_Balance[Nombre Cuenta ()],Estructura_Balance[Niveles:2],"",0)</f>
        <v/>
      </c>
      <c r="W1585" t="str">
        <f>_xlfn.XLOOKUP(Table3[[#This Row],[Cuenta]],Estructura_Balance[Nombre Cuenta ()],Estructura_Balance[Niveles:3],"",0)</f>
        <v/>
      </c>
      <c r="X1585" t="str">
        <f>_xlfn.XLOOKUP(Table3[[#This Row],[Cuenta]],Estructura_Balance[Nombre Cuenta ()],Estructura_Balance[Grupos],"Grupo 1",0)</f>
        <v>Grupo 1</v>
      </c>
      <c r="Y1585" t="str">
        <f>+Table3[[#This Row],[BS_Nivel_1]]</f>
        <v/>
      </c>
    </row>
    <row r="1586" spans="1:25" ht="15" customHeight="1">
      <c r="A1586">
        <f>+'Libro Diario'!F1006</f>
        <v>0</v>
      </c>
      <c r="B1586" s="144">
        <f>VALUE(IF(+'Libro Diario'!G1006="","01/01/2025",+'Libro Diario'!G1006))</f>
        <v>45658</v>
      </c>
      <c r="C1586">
        <f>IF(ISNUMBER(+IF(IFERROR(VALUE(MID('Libro Diario'!D1006,1,4)),0)&lt;&gt;0,'Libro Diario'!D1006,0))=FALSE,'Libro Diario'!D1006,0)</f>
        <v>0</v>
      </c>
      <c r="D1586" s="145">
        <f>+'Libro Diario'!E1006</f>
        <v>0</v>
      </c>
      <c r="E1586" s="139" t="s">
        <v>446</v>
      </c>
      <c r="F1586" t="str">
        <f t="shared" si="72"/>
        <v>Sin Mov.</v>
      </c>
      <c r="G1586" t="str">
        <f>IF(+'Libro Diario'!H1006=0,"",+'Libro Diario'!H1006)</f>
        <v/>
      </c>
      <c r="H1586" t="str">
        <f>IF(+'Libro Diario'!I1006=0,"",+'Libro Diario'!I1006)</f>
        <v/>
      </c>
      <c r="I1586" t="str">
        <f>+IF(Table3[[#This Row],[Tipo Movimiento]]="Estructura Balance y PyG","Excluir","Incluir")</f>
        <v>Incluir</v>
      </c>
      <c r="J1586" s="153">
        <f>+IF(Table3[[#This Row],[Sin cuenta]]="Con Mov.",(IF(Table3[[#This Row],[Movimiento]]="Debe",Table3[[#This Row],[Importe]],IF(Table3[[#This Row],[Movimiento]]="Haber",Table3[[#This Row],[Importe]]*-1,0))),0)</f>
        <v>0</v>
      </c>
      <c r="K1586" s="145" t="str">
        <f t="shared" si="73"/>
        <v/>
      </c>
      <c r="L1586" s="145">
        <f t="shared" si="74"/>
        <v>0</v>
      </c>
      <c r="M1586" t="str">
        <f>_xlfn.XLOOKUP(Table3[[#This Row],[Cuenta]],Estructura_Balance[Nombre Cuenta ()],Estructura_Balance[Grupo],"",0)</f>
        <v/>
      </c>
      <c r="N1586" t="str">
        <f>_xlfn.XLOOKUP(Table3[[#This Row],[Cuenta]],Estructura_Balance[Nombre Cuenta ()],Estructura_Balance[Nivel 1],"",0)</f>
        <v/>
      </c>
      <c r="O1586" t="str">
        <f>_xlfn.XLOOKUP(Table3[[#This Row],[Cuenta]],Estructura_Balance[Nombre Cuenta ()],Estructura_Balance[Nivel 2],"",0)</f>
        <v/>
      </c>
      <c r="P1586" t="str">
        <f>_xlfn.XLOOKUP(Table3[[#This Row],[Cuenta]],Estructura_Balance[Nombre Cuenta ()],Estructura_Balance[Nivel 3],"",0)</f>
        <v/>
      </c>
      <c r="Q1586" t="str">
        <f>_xlfn.XLOOKUP(Table3[[#This Row],[Cuenta]],Estructura_Balance[Nombre Cuenta ()],Estructura_Balance[Nivel 4],"",0)</f>
        <v/>
      </c>
      <c r="R1586" t="str">
        <f>_xlfn.XLOOKUP(Table3[[#This Row],[Cuenta]],Table8[Nombre Cuenta ()],Table8[Nivel 1],"",0)</f>
        <v/>
      </c>
      <c r="S1586" t="str">
        <f>_xlfn.XLOOKUP(Table3[[#This Row],[Cuenta]],Table8[Nombre Cuenta ()],Table8[Nivel 2],"",0)</f>
        <v/>
      </c>
      <c r="T1586" t="str">
        <f>_xlfn.XLOOKUP(Table3[[#This Row],[Cuenta]],Table8[Nombre Cuenta ()],Table8[Nivel 3],"",0)</f>
        <v/>
      </c>
      <c r="U1586">
        <v>1566</v>
      </c>
      <c r="V1586" t="str">
        <f>_xlfn.XLOOKUP(Table3[[#This Row],[Cuenta]],Estructura_Balance[Nombre Cuenta ()],Estructura_Balance[Niveles:2],"",0)</f>
        <v/>
      </c>
      <c r="W1586" t="str">
        <f>_xlfn.XLOOKUP(Table3[[#This Row],[Cuenta]],Estructura_Balance[Nombre Cuenta ()],Estructura_Balance[Niveles:3],"",0)</f>
        <v/>
      </c>
      <c r="X1586" t="str">
        <f>_xlfn.XLOOKUP(Table3[[#This Row],[Cuenta]],Estructura_Balance[Nombre Cuenta ()],Estructura_Balance[Grupos],"Grupo 1",0)</f>
        <v>Grupo 1</v>
      </c>
      <c r="Y1586" t="str">
        <f>+Table3[[#This Row],[BS_Nivel_1]]</f>
        <v/>
      </c>
    </row>
    <row r="1587" spans="1:25" ht="15" customHeight="1">
      <c r="A1587">
        <f>+'Libro Diario'!F1007</f>
        <v>0</v>
      </c>
      <c r="B1587" s="144">
        <f>VALUE(IF(+'Libro Diario'!G1007="","01/01/2025",+'Libro Diario'!G1007))</f>
        <v>45658</v>
      </c>
      <c r="C1587">
        <f>IF(ISNUMBER(+IF(IFERROR(VALUE(MID('Libro Diario'!D1007,1,4)),0)&lt;&gt;0,'Libro Diario'!D1007,0))=FALSE,'Libro Diario'!D1007,0)</f>
        <v>0</v>
      </c>
      <c r="D1587" s="145">
        <f>+'Libro Diario'!E1007</f>
        <v>0</v>
      </c>
      <c r="E1587" s="139" t="s">
        <v>446</v>
      </c>
      <c r="F1587" t="str">
        <f t="shared" si="72"/>
        <v>Sin Mov.</v>
      </c>
      <c r="G1587" t="str">
        <f>IF(+'Libro Diario'!H1007=0,"",+'Libro Diario'!H1007)</f>
        <v/>
      </c>
      <c r="H1587" t="str">
        <f>IF(+'Libro Diario'!I1007=0,"",+'Libro Diario'!I1007)</f>
        <v/>
      </c>
      <c r="I1587" t="str">
        <f>+IF(Table3[[#This Row],[Tipo Movimiento]]="Estructura Balance y PyG","Excluir","Incluir")</f>
        <v>Incluir</v>
      </c>
      <c r="J1587" s="153">
        <f>+IF(Table3[[#This Row],[Sin cuenta]]="Con Mov.",(IF(Table3[[#This Row],[Movimiento]]="Debe",Table3[[#This Row],[Importe]],IF(Table3[[#This Row],[Movimiento]]="Haber",Table3[[#This Row],[Importe]]*-1,0))),0)</f>
        <v>0</v>
      </c>
      <c r="K1587" s="145" t="str">
        <f t="shared" si="73"/>
        <v/>
      </c>
      <c r="L1587" s="145">
        <f t="shared" si="74"/>
        <v>0</v>
      </c>
      <c r="M1587" t="str">
        <f>_xlfn.XLOOKUP(Table3[[#This Row],[Cuenta]],Estructura_Balance[Nombre Cuenta ()],Estructura_Balance[Grupo],"",0)</f>
        <v/>
      </c>
      <c r="N1587" t="str">
        <f>_xlfn.XLOOKUP(Table3[[#This Row],[Cuenta]],Estructura_Balance[Nombre Cuenta ()],Estructura_Balance[Nivel 1],"",0)</f>
        <v/>
      </c>
      <c r="O1587" t="str">
        <f>_xlfn.XLOOKUP(Table3[[#This Row],[Cuenta]],Estructura_Balance[Nombre Cuenta ()],Estructura_Balance[Nivel 2],"",0)</f>
        <v/>
      </c>
      <c r="P1587" t="str">
        <f>_xlfn.XLOOKUP(Table3[[#This Row],[Cuenta]],Estructura_Balance[Nombre Cuenta ()],Estructura_Balance[Nivel 3],"",0)</f>
        <v/>
      </c>
      <c r="Q1587" t="str">
        <f>_xlfn.XLOOKUP(Table3[[#This Row],[Cuenta]],Estructura_Balance[Nombre Cuenta ()],Estructura_Balance[Nivel 4],"",0)</f>
        <v/>
      </c>
      <c r="R1587" t="str">
        <f>_xlfn.XLOOKUP(Table3[[#This Row],[Cuenta]],Table8[Nombre Cuenta ()],Table8[Nivel 1],"",0)</f>
        <v/>
      </c>
      <c r="S1587" t="str">
        <f>_xlfn.XLOOKUP(Table3[[#This Row],[Cuenta]],Table8[Nombre Cuenta ()],Table8[Nivel 2],"",0)</f>
        <v/>
      </c>
      <c r="T1587" t="str">
        <f>_xlfn.XLOOKUP(Table3[[#This Row],[Cuenta]],Table8[Nombre Cuenta ()],Table8[Nivel 3],"",0)</f>
        <v/>
      </c>
      <c r="U1587">
        <v>1567</v>
      </c>
      <c r="V1587" t="str">
        <f>_xlfn.XLOOKUP(Table3[[#This Row],[Cuenta]],Estructura_Balance[Nombre Cuenta ()],Estructura_Balance[Niveles:2],"",0)</f>
        <v/>
      </c>
      <c r="W1587" t="str">
        <f>_xlfn.XLOOKUP(Table3[[#This Row],[Cuenta]],Estructura_Balance[Nombre Cuenta ()],Estructura_Balance[Niveles:3],"",0)</f>
        <v/>
      </c>
      <c r="X1587" t="str">
        <f>_xlfn.XLOOKUP(Table3[[#This Row],[Cuenta]],Estructura_Balance[Nombre Cuenta ()],Estructura_Balance[Grupos],"Grupo 1",0)</f>
        <v>Grupo 1</v>
      </c>
      <c r="Y1587" t="str">
        <f>+Table3[[#This Row],[BS_Nivel_1]]</f>
        <v/>
      </c>
    </row>
    <row r="1588" spans="1:25" ht="15" customHeight="1">
      <c r="A1588">
        <f>+'Libro Diario'!F1008</f>
        <v>0</v>
      </c>
      <c r="B1588" s="144">
        <f>VALUE(IF(+'Libro Diario'!G1008="","01/01/2025",+'Libro Diario'!G1008))</f>
        <v>45658</v>
      </c>
      <c r="C1588">
        <f>IF(ISNUMBER(+IF(IFERROR(VALUE(MID('Libro Diario'!D1008,1,4)),0)&lt;&gt;0,'Libro Diario'!D1008,0))=FALSE,'Libro Diario'!D1008,0)</f>
        <v>0</v>
      </c>
      <c r="D1588" s="145">
        <f>+'Libro Diario'!E1008</f>
        <v>0</v>
      </c>
      <c r="E1588" s="139" t="s">
        <v>446</v>
      </c>
      <c r="F1588" t="str">
        <f t="shared" si="72"/>
        <v>Sin Mov.</v>
      </c>
      <c r="G1588" t="str">
        <f>IF(+'Libro Diario'!H1008=0,"",+'Libro Diario'!H1008)</f>
        <v/>
      </c>
      <c r="H1588" t="str">
        <f>IF(+'Libro Diario'!I1008=0,"",+'Libro Diario'!I1008)</f>
        <v/>
      </c>
      <c r="I1588" t="str">
        <f>+IF(Table3[[#This Row],[Tipo Movimiento]]="Estructura Balance y PyG","Excluir","Incluir")</f>
        <v>Incluir</v>
      </c>
      <c r="J1588" s="153">
        <f>+IF(Table3[[#This Row],[Sin cuenta]]="Con Mov.",(IF(Table3[[#This Row],[Movimiento]]="Debe",Table3[[#This Row],[Importe]],IF(Table3[[#This Row],[Movimiento]]="Haber",Table3[[#This Row],[Importe]]*-1,0))),0)</f>
        <v>0</v>
      </c>
      <c r="K1588" s="145" t="str">
        <f t="shared" si="73"/>
        <v/>
      </c>
      <c r="L1588" s="145">
        <f t="shared" si="74"/>
        <v>0</v>
      </c>
      <c r="M1588" t="str">
        <f>_xlfn.XLOOKUP(Table3[[#This Row],[Cuenta]],Estructura_Balance[Nombre Cuenta ()],Estructura_Balance[Grupo],"",0)</f>
        <v/>
      </c>
      <c r="N1588" t="str">
        <f>_xlfn.XLOOKUP(Table3[[#This Row],[Cuenta]],Estructura_Balance[Nombre Cuenta ()],Estructura_Balance[Nivel 1],"",0)</f>
        <v/>
      </c>
      <c r="O1588" t="str">
        <f>_xlfn.XLOOKUP(Table3[[#This Row],[Cuenta]],Estructura_Balance[Nombre Cuenta ()],Estructura_Balance[Nivel 2],"",0)</f>
        <v/>
      </c>
      <c r="P1588" t="str">
        <f>_xlfn.XLOOKUP(Table3[[#This Row],[Cuenta]],Estructura_Balance[Nombre Cuenta ()],Estructura_Balance[Nivel 3],"",0)</f>
        <v/>
      </c>
      <c r="Q1588" t="str">
        <f>_xlfn.XLOOKUP(Table3[[#This Row],[Cuenta]],Estructura_Balance[Nombre Cuenta ()],Estructura_Balance[Nivel 4],"",0)</f>
        <v/>
      </c>
      <c r="R1588" t="str">
        <f>_xlfn.XLOOKUP(Table3[[#This Row],[Cuenta]],Table8[Nombre Cuenta ()],Table8[Nivel 1],"",0)</f>
        <v/>
      </c>
      <c r="S1588" t="str">
        <f>_xlfn.XLOOKUP(Table3[[#This Row],[Cuenta]],Table8[Nombre Cuenta ()],Table8[Nivel 2],"",0)</f>
        <v/>
      </c>
      <c r="T1588" t="str">
        <f>_xlfn.XLOOKUP(Table3[[#This Row],[Cuenta]],Table8[Nombre Cuenta ()],Table8[Nivel 3],"",0)</f>
        <v/>
      </c>
      <c r="U1588">
        <v>1568</v>
      </c>
      <c r="V1588" t="str">
        <f>_xlfn.XLOOKUP(Table3[[#This Row],[Cuenta]],Estructura_Balance[Nombre Cuenta ()],Estructura_Balance[Niveles:2],"",0)</f>
        <v/>
      </c>
      <c r="W1588" t="str">
        <f>_xlfn.XLOOKUP(Table3[[#This Row],[Cuenta]],Estructura_Balance[Nombre Cuenta ()],Estructura_Balance[Niveles:3],"",0)</f>
        <v/>
      </c>
      <c r="X1588" t="str">
        <f>_xlfn.XLOOKUP(Table3[[#This Row],[Cuenta]],Estructura_Balance[Nombre Cuenta ()],Estructura_Balance[Grupos],"Grupo 1",0)</f>
        <v>Grupo 1</v>
      </c>
      <c r="Y1588" t="str">
        <f>+Table3[[#This Row],[BS_Nivel_1]]</f>
        <v/>
      </c>
    </row>
    <row r="1589" spans="1:25" ht="15" customHeight="1">
      <c r="A1589">
        <f>+'Libro Diario'!F1009</f>
        <v>0</v>
      </c>
      <c r="B1589" s="144">
        <f>VALUE(IF(+'Libro Diario'!G1009="","01/01/2025",+'Libro Diario'!G1009))</f>
        <v>45658</v>
      </c>
      <c r="C1589">
        <f>IF(ISNUMBER(+IF(IFERROR(VALUE(MID('Libro Diario'!D1009,1,4)),0)&lt;&gt;0,'Libro Diario'!D1009,0))=FALSE,'Libro Diario'!D1009,0)</f>
        <v>0</v>
      </c>
      <c r="D1589" s="145">
        <f>+'Libro Diario'!E1009</f>
        <v>0</v>
      </c>
      <c r="E1589" s="139" t="s">
        <v>446</v>
      </c>
      <c r="F1589" t="str">
        <f t="shared" si="72"/>
        <v>Sin Mov.</v>
      </c>
      <c r="G1589" t="str">
        <f>IF(+'Libro Diario'!H1009=0,"",+'Libro Diario'!H1009)</f>
        <v/>
      </c>
      <c r="H1589" t="str">
        <f>IF(+'Libro Diario'!I1009=0,"",+'Libro Diario'!I1009)</f>
        <v/>
      </c>
      <c r="I1589" t="str">
        <f>+IF(Table3[[#This Row],[Tipo Movimiento]]="Estructura Balance y PyG","Excluir","Incluir")</f>
        <v>Incluir</v>
      </c>
      <c r="J1589" s="153">
        <f>+IF(Table3[[#This Row],[Sin cuenta]]="Con Mov.",(IF(Table3[[#This Row],[Movimiento]]="Debe",Table3[[#This Row],[Importe]],IF(Table3[[#This Row],[Movimiento]]="Haber",Table3[[#This Row],[Importe]]*-1,0))),0)</f>
        <v>0</v>
      </c>
      <c r="K1589" s="145" t="str">
        <f t="shared" si="73"/>
        <v/>
      </c>
      <c r="L1589" s="145">
        <f t="shared" si="74"/>
        <v>0</v>
      </c>
      <c r="M1589" t="str">
        <f>_xlfn.XLOOKUP(Table3[[#This Row],[Cuenta]],Estructura_Balance[Nombre Cuenta ()],Estructura_Balance[Grupo],"",0)</f>
        <v/>
      </c>
      <c r="N1589" t="str">
        <f>_xlfn.XLOOKUP(Table3[[#This Row],[Cuenta]],Estructura_Balance[Nombre Cuenta ()],Estructura_Balance[Nivel 1],"",0)</f>
        <v/>
      </c>
      <c r="O1589" t="str">
        <f>_xlfn.XLOOKUP(Table3[[#This Row],[Cuenta]],Estructura_Balance[Nombre Cuenta ()],Estructura_Balance[Nivel 2],"",0)</f>
        <v/>
      </c>
      <c r="P1589" t="str">
        <f>_xlfn.XLOOKUP(Table3[[#This Row],[Cuenta]],Estructura_Balance[Nombre Cuenta ()],Estructura_Balance[Nivel 3],"",0)</f>
        <v/>
      </c>
      <c r="Q1589" t="str">
        <f>_xlfn.XLOOKUP(Table3[[#This Row],[Cuenta]],Estructura_Balance[Nombre Cuenta ()],Estructura_Balance[Nivel 4],"",0)</f>
        <v/>
      </c>
      <c r="R1589" t="str">
        <f>_xlfn.XLOOKUP(Table3[[#This Row],[Cuenta]],Table8[Nombre Cuenta ()],Table8[Nivel 1],"",0)</f>
        <v/>
      </c>
      <c r="S1589" t="str">
        <f>_xlfn.XLOOKUP(Table3[[#This Row],[Cuenta]],Table8[Nombre Cuenta ()],Table8[Nivel 2],"",0)</f>
        <v/>
      </c>
      <c r="T1589" t="str">
        <f>_xlfn.XLOOKUP(Table3[[#This Row],[Cuenta]],Table8[Nombre Cuenta ()],Table8[Nivel 3],"",0)</f>
        <v/>
      </c>
      <c r="U1589">
        <v>1569</v>
      </c>
      <c r="V1589" t="str">
        <f>_xlfn.XLOOKUP(Table3[[#This Row],[Cuenta]],Estructura_Balance[Nombre Cuenta ()],Estructura_Balance[Niveles:2],"",0)</f>
        <v/>
      </c>
      <c r="W1589" t="str">
        <f>_xlfn.XLOOKUP(Table3[[#This Row],[Cuenta]],Estructura_Balance[Nombre Cuenta ()],Estructura_Balance[Niveles:3],"",0)</f>
        <v/>
      </c>
      <c r="X1589" t="str">
        <f>_xlfn.XLOOKUP(Table3[[#This Row],[Cuenta]],Estructura_Balance[Nombre Cuenta ()],Estructura_Balance[Grupos],"Grupo 1",0)</f>
        <v>Grupo 1</v>
      </c>
      <c r="Y1589" t="str">
        <f>+Table3[[#This Row],[BS_Nivel_1]]</f>
        <v/>
      </c>
    </row>
    <row r="1590" spans="1:25" ht="15" customHeight="1">
      <c r="A1590">
        <f>+'Libro Diario'!F1010</f>
        <v>0</v>
      </c>
      <c r="B1590" s="144">
        <f>VALUE(IF(+'Libro Diario'!G1010="","01/01/2025",+'Libro Diario'!G1010))</f>
        <v>45658</v>
      </c>
      <c r="C1590">
        <f>IF(ISNUMBER(+IF(IFERROR(VALUE(MID('Libro Diario'!D1010,1,4)),0)&lt;&gt;0,'Libro Diario'!D1010,0))=FALSE,'Libro Diario'!D1010,0)</f>
        <v>0</v>
      </c>
      <c r="D1590" s="145">
        <f>+'Libro Diario'!E1010</f>
        <v>0</v>
      </c>
      <c r="E1590" s="139" t="s">
        <v>446</v>
      </c>
      <c r="F1590" t="str">
        <f t="shared" si="72"/>
        <v>Sin Mov.</v>
      </c>
      <c r="G1590" t="str">
        <f>IF(+'Libro Diario'!H1010=0,"",+'Libro Diario'!H1010)</f>
        <v/>
      </c>
      <c r="H1590" t="str">
        <f>IF(+'Libro Diario'!I1010=0,"",+'Libro Diario'!I1010)</f>
        <v/>
      </c>
      <c r="I1590" t="str">
        <f>+IF(Table3[[#This Row],[Tipo Movimiento]]="Estructura Balance y PyG","Excluir","Incluir")</f>
        <v>Incluir</v>
      </c>
      <c r="J1590" s="153">
        <f>+IF(Table3[[#This Row],[Sin cuenta]]="Con Mov.",(IF(Table3[[#This Row],[Movimiento]]="Debe",Table3[[#This Row],[Importe]],IF(Table3[[#This Row],[Movimiento]]="Haber",Table3[[#This Row],[Importe]]*-1,0))),0)</f>
        <v>0</v>
      </c>
      <c r="K1590" s="145" t="str">
        <f t="shared" si="73"/>
        <v/>
      </c>
      <c r="L1590" s="145">
        <f t="shared" si="74"/>
        <v>0</v>
      </c>
      <c r="M1590" t="str">
        <f>_xlfn.XLOOKUP(Table3[[#This Row],[Cuenta]],Estructura_Balance[Nombre Cuenta ()],Estructura_Balance[Grupo],"",0)</f>
        <v/>
      </c>
      <c r="N1590" t="str">
        <f>_xlfn.XLOOKUP(Table3[[#This Row],[Cuenta]],Estructura_Balance[Nombre Cuenta ()],Estructura_Balance[Nivel 1],"",0)</f>
        <v/>
      </c>
      <c r="O1590" t="str">
        <f>_xlfn.XLOOKUP(Table3[[#This Row],[Cuenta]],Estructura_Balance[Nombre Cuenta ()],Estructura_Balance[Nivel 2],"",0)</f>
        <v/>
      </c>
      <c r="P1590" t="str">
        <f>_xlfn.XLOOKUP(Table3[[#This Row],[Cuenta]],Estructura_Balance[Nombre Cuenta ()],Estructura_Balance[Nivel 3],"",0)</f>
        <v/>
      </c>
      <c r="Q1590" t="str">
        <f>_xlfn.XLOOKUP(Table3[[#This Row],[Cuenta]],Estructura_Balance[Nombre Cuenta ()],Estructura_Balance[Nivel 4],"",0)</f>
        <v/>
      </c>
      <c r="R1590" t="str">
        <f>_xlfn.XLOOKUP(Table3[[#This Row],[Cuenta]],Table8[Nombre Cuenta ()],Table8[Nivel 1],"",0)</f>
        <v/>
      </c>
      <c r="S1590" t="str">
        <f>_xlfn.XLOOKUP(Table3[[#This Row],[Cuenta]],Table8[Nombre Cuenta ()],Table8[Nivel 2],"",0)</f>
        <v/>
      </c>
      <c r="T1590" t="str">
        <f>_xlfn.XLOOKUP(Table3[[#This Row],[Cuenta]],Table8[Nombre Cuenta ()],Table8[Nivel 3],"",0)</f>
        <v/>
      </c>
      <c r="U1590">
        <v>1570</v>
      </c>
      <c r="V1590" t="str">
        <f>_xlfn.XLOOKUP(Table3[[#This Row],[Cuenta]],Estructura_Balance[Nombre Cuenta ()],Estructura_Balance[Niveles:2],"",0)</f>
        <v/>
      </c>
      <c r="W1590" t="str">
        <f>_xlfn.XLOOKUP(Table3[[#This Row],[Cuenta]],Estructura_Balance[Nombre Cuenta ()],Estructura_Balance[Niveles:3],"",0)</f>
        <v/>
      </c>
      <c r="X1590" t="str">
        <f>_xlfn.XLOOKUP(Table3[[#This Row],[Cuenta]],Estructura_Balance[Nombre Cuenta ()],Estructura_Balance[Grupos],"Grupo 1",0)</f>
        <v>Grupo 1</v>
      </c>
      <c r="Y1590" t="str">
        <f>+Table3[[#This Row],[BS_Nivel_1]]</f>
        <v/>
      </c>
    </row>
    <row r="1591" spans="1:25" ht="15" customHeight="1">
      <c r="A1591">
        <f>+'Libro Diario'!F1011</f>
        <v>0</v>
      </c>
      <c r="B1591" s="144">
        <f>VALUE(IF(+'Libro Diario'!G1011="","01/01/2025",+'Libro Diario'!G1011))</f>
        <v>45658</v>
      </c>
      <c r="C1591">
        <f>IF(ISNUMBER(+IF(IFERROR(VALUE(MID('Libro Diario'!D1011,1,4)),0)&lt;&gt;0,'Libro Diario'!D1011,0))=FALSE,'Libro Diario'!D1011,0)</f>
        <v>0</v>
      </c>
      <c r="D1591" s="145">
        <f>+'Libro Diario'!E1011</f>
        <v>0</v>
      </c>
      <c r="E1591" s="139" t="s">
        <v>446</v>
      </c>
      <c r="F1591" t="str">
        <f t="shared" si="72"/>
        <v>Sin Mov.</v>
      </c>
      <c r="G1591" t="str">
        <f>IF(+'Libro Diario'!H1011=0,"",+'Libro Diario'!H1011)</f>
        <v/>
      </c>
      <c r="H1591" t="str">
        <f>IF(+'Libro Diario'!I1011=0,"",+'Libro Diario'!I1011)</f>
        <v/>
      </c>
      <c r="I1591" t="str">
        <f>+IF(Table3[[#This Row],[Tipo Movimiento]]="Estructura Balance y PyG","Excluir","Incluir")</f>
        <v>Incluir</v>
      </c>
      <c r="J1591" s="153">
        <f>+IF(Table3[[#This Row],[Sin cuenta]]="Con Mov.",(IF(Table3[[#This Row],[Movimiento]]="Debe",Table3[[#This Row],[Importe]],IF(Table3[[#This Row],[Movimiento]]="Haber",Table3[[#This Row],[Importe]]*-1,0))),0)</f>
        <v>0</v>
      </c>
      <c r="K1591" s="145" t="str">
        <f t="shared" si="73"/>
        <v/>
      </c>
      <c r="L1591" s="145">
        <f t="shared" si="74"/>
        <v>0</v>
      </c>
      <c r="M1591" t="str">
        <f>_xlfn.XLOOKUP(Table3[[#This Row],[Cuenta]],Estructura_Balance[Nombre Cuenta ()],Estructura_Balance[Grupo],"",0)</f>
        <v/>
      </c>
      <c r="N1591" t="str">
        <f>_xlfn.XLOOKUP(Table3[[#This Row],[Cuenta]],Estructura_Balance[Nombre Cuenta ()],Estructura_Balance[Nivel 1],"",0)</f>
        <v/>
      </c>
      <c r="O1591" t="str">
        <f>_xlfn.XLOOKUP(Table3[[#This Row],[Cuenta]],Estructura_Balance[Nombre Cuenta ()],Estructura_Balance[Nivel 2],"",0)</f>
        <v/>
      </c>
      <c r="P1591" t="str">
        <f>_xlfn.XLOOKUP(Table3[[#This Row],[Cuenta]],Estructura_Balance[Nombre Cuenta ()],Estructura_Balance[Nivel 3],"",0)</f>
        <v/>
      </c>
      <c r="Q1591" t="str">
        <f>_xlfn.XLOOKUP(Table3[[#This Row],[Cuenta]],Estructura_Balance[Nombre Cuenta ()],Estructura_Balance[Nivel 4],"",0)</f>
        <v/>
      </c>
      <c r="R1591" t="str">
        <f>_xlfn.XLOOKUP(Table3[[#This Row],[Cuenta]],Table8[Nombre Cuenta ()],Table8[Nivel 1],"",0)</f>
        <v/>
      </c>
      <c r="S1591" t="str">
        <f>_xlfn.XLOOKUP(Table3[[#This Row],[Cuenta]],Table8[Nombre Cuenta ()],Table8[Nivel 2],"",0)</f>
        <v/>
      </c>
      <c r="T1591" t="str">
        <f>_xlfn.XLOOKUP(Table3[[#This Row],[Cuenta]],Table8[Nombre Cuenta ()],Table8[Nivel 3],"",0)</f>
        <v/>
      </c>
      <c r="U1591">
        <v>1571</v>
      </c>
      <c r="V1591" t="str">
        <f>_xlfn.XLOOKUP(Table3[[#This Row],[Cuenta]],Estructura_Balance[Nombre Cuenta ()],Estructura_Balance[Niveles:2],"",0)</f>
        <v/>
      </c>
      <c r="W1591" t="str">
        <f>_xlfn.XLOOKUP(Table3[[#This Row],[Cuenta]],Estructura_Balance[Nombre Cuenta ()],Estructura_Balance[Niveles:3],"",0)</f>
        <v/>
      </c>
      <c r="X1591" t="str">
        <f>_xlfn.XLOOKUP(Table3[[#This Row],[Cuenta]],Estructura_Balance[Nombre Cuenta ()],Estructura_Balance[Grupos],"Grupo 1",0)</f>
        <v>Grupo 1</v>
      </c>
      <c r="Y1591" t="str">
        <f>+Table3[[#This Row],[BS_Nivel_1]]</f>
        <v/>
      </c>
    </row>
    <row r="1592" spans="1:25" ht="15" customHeight="1">
      <c r="A1592">
        <f>+'Libro Diario'!F1012</f>
        <v>0</v>
      </c>
      <c r="B1592" s="144">
        <f>VALUE(IF(+'Libro Diario'!G1012="","01/01/2025",+'Libro Diario'!G1012))</f>
        <v>45658</v>
      </c>
      <c r="C1592">
        <f>IF(ISNUMBER(+IF(IFERROR(VALUE(MID('Libro Diario'!D1012,1,4)),0)&lt;&gt;0,'Libro Diario'!D1012,0))=FALSE,'Libro Diario'!D1012,0)</f>
        <v>0</v>
      </c>
      <c r="D1592" s="145">
        <f>+'Libro Diario'!E1012</f>
        <v>0</v>
      </c>
      <c r="E1592" s="139" t="s">
        <v>446</v>
      </c>
      <c r="F1592" t="str">
        <f t="shared" si="72"/>
        <v>Sin Mov.</v>
      </c>
      <c r="G1592" t="str">
        <f>IF(+'Libro Diario'!H1012=0,"",+'Libro Diario'!H1012)</f>
        <v/>
      </c>
      <c r="H1592" t="str">
        <f>IF(+'Libro Diario'!I1012=0,"",+'Libro Diario'!I1012)</f>
        <v/>
      </c>
      <c r="I1592" t="str">
        <f>+IF(Table3[[#This Row],[Tipo Movimiento]]="Estructura Balance y PyG","Excluir","Incluir")</f>
        <v>Incluir</v>
      </c>
      <c r="J1592" s="153">
        <f>+IF(Table3[[#This Row],[Sin cuenta]]="Con Mov.",(IF(Table3[[#This Row],[Movimiento]]="Debe",Table3[[#This Row],[Importe]],IF(Table3[[#This Row],[Movimiento]]="Haber",Table3[[#This Row],[Importe]]*-1,0))),0)</f>
        <v>0</v>
      </c>
      <c r="K1592" s="145" t="str">
        <f t="shared" si="73"/>
        <v/>
      </c>
      <c r="L1592" s="145">
        <f t="shared" si="74"/>
        <v>0</v>
      </c>
      <c r="M1592" t="str">
        <f>_xlfn.XLOOKUP(Table3[[#This Row],[Cuenta]],Estructura_Balance[Nombre Cuenta ()],Estructura_Balance[Grupo],"",0)</f>
        <v/>
      </c>
      <c r="N1592" t="str">
        <f>_xlfn.XLOOKUP(Table3[[#This Row],[Cuenta]],Estructura_Balance[Nombre Cuenta ()],Estructura_Balance[Nivel 1],"",0)</f>
        <v/>
      </c>
      <c r="O1592" t="str">
        <f>_xlfn.XLOOKUP(Table3[[#This Row],[Cuenta]],Estructura_Balance[Nombre Cuenta ()],Estructura_Balance[Nivel 2],"",0)</f>
        <v/>
      </c>
      <c r="P1592" t="str">
        <f>_xlfn.XLOOKUP(Table3[[#This Row],[Cuenta]],Estructura_Balance[Nombre Cuenta ()],Estructura_Balance[Nivel 3],"",0)</f>
        <v/>
      </c>
      <c r="Q1592" t="str">
        <f>_xlfn.XLOOKUP(Table3[[#This Row],[Cuenta]],Estructura_Balance[Nombre Cuenta ()],Estructura_Balance[Nivel 4],"",0)</f>
        <v/>
      </c>
      <c r="R1592" t="str">
        <f>_xlfn.XLOOKUP(Table3[[#This Row],[Cuenta]],Table8[Nombre Cuenta ()],Table8[Nivel 1],"",0)</f>
        <v/>
      </c>
      <c r="S1592" t="str">
        <f>_xlfn.XLOOKUP(Table3[[#This Row],[Cuenta]],Table8[Nombre Cuenta ()],Table8[Nivel 2],"",0)</f>
        <v/>
      </c>
      <c r="T1592" t="str">
        <f>_xlfn.XLOOKUP(Table3[[#This Row],[Cuenta]],Table8[Nombre Cuenta ()],Table8[Nivel 3],"",0)</f>
        <v/>
      </c>
      <c r="U1592">
        <v>1572</v>
      </c>
      <c r="V1592" t="str">
        <f>_xlfn.XLOOKUP(Table3[[#This Row],[Cuenta]],Estructura_Balance[Nombre Cuenta ()],Estructura_Balance[Niveles:2],"",0)</f>
        <v/>
      </c>
      <c r="W1592" t="str">
        <f>_xlfn.XLOOKUP(Table3[[#This Row],[Cuenta]],Estructura_Balance[Nombre Cuenta ()],Estructura_Balance[Niveles:3],"",0)</f>
        <v/>
      </c>
      <c r="X1592" t="str">
        <f>_xlfn.XLOOKUP(Table3[[#This Row],[Cuenta]],Estructura_Balance[Nombre Cuenta ()],Estructura_Balance[Grupos],"Grupo 1",0)</f>
        <v>Grupo 1</v>
      </c>
      <c r="Y1592" t="str">
        <f>+Table3[[#This Row],[BS_Nivel_1]]</f>
        <v/>
      </c>
    </row>
    <row r="1593" spans="1:25" ht="15" customHeight="1">
      <c r="A1593">
        <f>+'Libro Diario'!F59</f>
        <v>1</v>
      </c>
      <c r="B1593" s="144">
        <f>VALUE(IF(+'Libro Diario'!G59="","01/01/2025",+'Libro Diario'!G59))</f>
        <v>45658</v>
      </c>
      <c r="C1593">
        <f>IF(ISNUMBER(+IF(IFERROR(VALUE(MID('Libro Diario'!C59,1,4)),0)&lt;&gt;0,'Libro Diario'!C59,0))=FALSE,'Libro Diario'!C59,0)</f>
        <v>0</v>
      </c>
      <c r="D1593" s="145">
        <f>+'Libro Diario'!B59</f>
        <v>0</v>
      </c>
      <c r="E1593" s="139" t="s">
        <v>445</v>
      </c>
      <c r="F1593" t="str">
        <f t="shared" si="72"/>
        <v>Sin Mov.</v>
      </c>
      <c r="G1593" t="str">
        <f>IF(+'Libro Diario'!H59=0,"",+'Libro Diario'!H59)</f>
        <v>Asiento de Apertura</v>
      </c>
      <c r="H1593" t="str">
        <f>IF(+'Libro Diario'!I59=0,"",+'Libro Diario'!I59)</f>
        <v/>
      </c>
      <c r="I1593" t="str">
        <f>+IF(Table3[[#This Row],[Tipo Movimiento]]="Estructura Balance y PyG","Excluir","Incluir")</f>
        <v>Incluir</v>
      </c>
      <c r="J1593" s="153">
        <f>+IF(Table3[[#This Row],[Sin cuenta]]="Con Mov.",(IF(Table3[[#This Row],[Movimiento]]="Debe",Table3[[#This Row],[Importe]],IF(Table3[[#This Row],[Movimiento]]="Haber",Table3[[#This Row],[Importe]]*-1,0))),0)</f>
        <v>0</v>
      </c>
      <c r="K1593" s="145">
        <f t="shared" si="73"/>
        <v>0</v>
      </c>
      <c r="L1593" s="145" t="str">
        <f t="shared" si="74"/>
        <v/>
      </c>
      <c r="M1593" t="str">
        <f>_xlfn.XLOOKUP(Table3[[#This Row],[Cuenta]],Estructura_Balance[Nombre Cuenta ()],Estructura_Balance[Grupo],"",0)</f>
        <v/>
      </c>
      <c r="N1593" t="str">
        <f>_xlfn.XLOOKUP(Table3[[#This Row],[Cuenta]],Estructura_Balance[Nombre Cuenta ()],Estructura_Balance[Nivel 1],"",0)</f>
        <v/>
      </c>
      <c r="O1593" t="str">
        <f>_xlfn.XLOOKUP(Table3[[#This Row],[Cuenta]],Estructura_Balance[Nombre Cuenta ()],Estructura_Balance[Nivel 2],"",0)</f>
        <v/>
      </c>
      <c r="P1593" t="str">
        <f>_xlfn.XLOOKUP(Table3[[#This Row],[Cuenta]],Estructura_Balance[Nombre Cuenta ()],Estructura_Balance[Nivel 3],"",0)</f>
        <v/>
      </c>
      <c r="Q1593" t="str">
        <f>_xlfn.XLOOKUP(Table3[[#This Row],[Cuenta]],Estructura_Balance[Nombre Cuenta ()],Estructura_Balance[Nivel 4],"",0)</f>
        <v/>
      </c>
      <c r="R1593" t="str">
        <f>_xlfn.XLOOKUP(Table3[[#This Row],[Cuenta]],Table8[Nombre Cuenta ()],Table8[Nivel 1],"",0)</f>
        <v/>
      </c>
      <c r="S1593" t="str">
        <f>_xlfn.XLOOKUP(Table3[[#This Row],[Cuenta]],Table8[Nombre Cuenta ()],Table8[Nivel 2],"",0)</f>
        <v/>
      </c>
      <c r="T1593" t="str">
        <f>_xlfn.XLOOKUP(Table3[[#This Row],[Cuenta]],Table8[Nombre Cuenta ()],Table8[Nivel 3],"",0)</f>
        <v/>
      </c>
      <c r="U1593">
        <v>65</v>
      </c>
      <c r="V1593" t="str">
        <f>_xlfn.XLOOKUP(Table3[[#This Row],[Cuenta]],Estructura_Balance[Nombre Cuenta ()],Estructura_Balance[Niveles:2],"",0)</f>
        <v/>
      </c>
      <c r="W1593" t="str">
        <f>_xlfn.XLOOKUP(Table3[[#This Row],[Cuenta]],Estructura_Balance[Nombre Cuenta ()],Estructura_Balance[Niveles:3],"",0)</f>
        <v/>
      </c>
      <c r="X1593" t="str">
        <f>_xlfn.XLOOKUP(Table3[[#This Row],[Cuenta]],Estructura_Balance[Nombre Cuenta ()],Estructura_Balance[Grupos],"Grupo 1",0)</f>
        <v>Grupo 1</v>
      </c>
      <c r="Y1593" t="str">
        <f>+Table3[[#This Row],[BS_Nivel_1]]</f>
        <v/>
      </c>
    </row>
    <row r="1594" spans="1:25" ht="15" customHeight="1">
      <c r="A1594">
        <f>+'Libro Diario'!F60</f>
        <v>1</v>
      </c>
      <c r="B1594" s="144">
        <f>VALUE(IF(+'Libro Diario'!G60="","01/01/2025",+'Libro Diario'!G60))</f>
        <v>45658</v>
      </c>
      <c r="C1594">
        <f>IF(ISNUMBER(+IF(IFERROR(VALUE(MID('Libro Diario'!C60,1,4)),0)&lt;&gt;0,'Libro Diario'!C60,0))=FALSE,'Libro Diario'!C60,0)</f>
        <v>0</v>
      </c>
      <c r="D1594" s="145">
        <f>+'Libro Diario'!B60</f>
        <v>0</v>
      </c>
      <c r="E1594" s="139" t="s">
        <v>445</v>
      </c>
      <c r="F1594" t="str">
        <f t="shared" si="72"/>
        <v>Sin Mov.</v>
      </c>
      <c r="G1594" t="str">
        <f>IF(+'Libro Diario'!H60=0,"",+'Libro Diario'!H60)</f>
        <v>Asiento de Apertura</v>
      </c>
      <c r="H1594" t="str">
        <f>IF(+'Libro Diario'!I60=0,"",+'Libro Diario'!I60)</f>
        <v/>
      </c>
      <c r="I1594" t="str">
        <f>+IF(Table3[[#This Row],[Tipo Movimiento]]="Estructura Balance y PyG","Excluir","Incluir")</f>
        <v>Incluir</v>
      </c>
      <c r="J1594" s="153">
        <f>+IF(Table3[[#This Row],[Sin cuenta]]="Con Mov.",(IF(Table3[[#This Row],[Movimiento]]="Debe",Table3[[#This Row],[Importe]],IF(Table3[[#This Row],[Movimiento]]="Haber",Table3[[#This Row],[Importe]]*-1,0))),0)</f>
        <v>0</v>
      </c>
      <c r="K1594" s="145">
        <f t="shared" si="73"/>
        <v>0</v>
      </c>
      <c r="L1594" s="145" t="str">
        <f t="shared" si="74"/>
        <v/>
      </c>
      <c r="M1594" t="str">
        <f>_xlfn.XLOOKUP(Table3[[#This Row],[Cuenta]],Estructura_Balance[Nombre Cuenta ()],Estructura_Balance[Grupo],"",0)</f>
        <v/>
      </c>
      <c r="N1594" t="str">
        <f>_xlfn.XLOOKUP(Table3[[#This Row],[Cuenta]],Estructura_Balance[Nombre Cuenta ()],Estructura_Balance[Nivel 1],"",0)</f>
        <v/>
      </c>
      <c r="O1594" t="str">
        <f>_xlfn.XLOOKUP(Table3[[#This Row],[Cuenta]],Estructura_Balance[Nombre Cuenta ()],Estructura_Balance[Nivel 2],"",0)</f>
        <v/>
      </c>
      <c r="P1594" t="str">
        <f>_xlfn.XLOOKUP(Table3[[#This Row],[Cuenta]],Estructura_Balance[Nombre Cuenta ()],Estructura_Balance[Nivel 3],"",0)</f>
        <v/>
      </c>
      <c r="Q1594" t="str">
        <f>_xlfn.XLOOKUP(Table3[[#This Row],[Cuenta]],Estructura_Balance[Nombre Cuenta ()],Estructura_Balance[Nivel 4],"",0)</f>
        <v/>
      </c>
      <c r="R1594" t="str">
        <f>_xlfn.XLOOKUP(Table3[[#This Row],[Cuenta]],Table8[Nombre Cuenta ()],Table8[Nivel 1],"",0)</f>
        <v/>
      </c>
      <c r="S1594" t="str">
        <f>_xlfn.XLOOKUP(Table3[[#This Row],[Cuenta]],Table8[Nombre Cuenta ()],Table8[Nivel 2],"",0)</f>
        <v/>
      </c>
      <c r="T1594" t="str">
        <f>_xlfn.XLOOKUP(Table3[[#This Row],[Cuenta]],Table8[Nombre Cuenta ()],Table8[Nivel 3],"",0)</f>
        <v/>
      </c>
      <c r="U1594">
        <v>66</v>
      </c>
      <c r="V1594" t="str">
        <f>_xlfn.XLOOKUP(Table3[[#This Row],[Cuenta]],Estructura_Balance[Nombre Cuenta ()],Estructura_Balance[Niveles:2],"",0)</f>
        <v/>
      </c>
      <c r="W1594" t="str">
        <f>_xlfn.XLOOKUP(Table3[[#This Row],[Cuenta]],Estructura_Balance[Nombre Cuenta ()],Estructura_Balance[Niveles:3],"",0)</f>
        <v/>
      </c>
      <c r="X1594" t="str">
        <f>_xlfn.XLOOKUP(Table3[[#This Row],[Cuenta]],Estructura_Balance[Nombre Cuenta ()],Estructura_Balance[Grupos],"Grupo 1",0)</f>
        <v>Grupo 1</v>
      </c>
      <c r="Y1594" t="str">
        <f>+Table3[[#This Row],[BS_Nivel_1]]</f>
        <v/>
      </c>
    </row>
    <row r="1595" spans="1:25" ht="15" customHeight="1">
      <c r="A1595">
        <f>+'Libro Diario'!F61</f>
        <v>1</v>
      </c>
      <c r="B1595" s="144">
        <f>VALUE(IF(+'Libro Diario'!G61="","01/01/2025",+'Libro Diario'!G61))</f>
        <v>45658</v>
      </c>
      <c r="C1595">
        <f>IF(ISNUMBER(+IF(IFERROR(VALUE(MID('Libro Diario'!C61,1,4)),0)&lt;&gt;0,'Libro Diario'!C61,0))=FALSE,'Libro Diario'!C61,0)</f>
        <v>0</v>
      </c>
      <c r="D1595" s="145">
        <f>+'Libro Diario'!B61</f>
        <v>0</v>
      </c>
      <c r="E1595" s="139" t="s">
        <v>445</v>
      </c>
      <c r="F1595" t="str">
        <f t="shared" si="72"/>
        <v>Sin Mov.</v>
      </c>
      <c r="G1595" t="str">
        <f>IF(+'Libro Diario'!H61=0,"",+'Libro Diario'!H61)</f>
        <v>Asiento de Apertura</v>
      </c>
      <c r="H1595" t="str">
        <f>IF(+'Libro Diario'!I61=0,"",+'Libro Diario'!I61)</f>
        <v/>
      </c>
      <c r="I1595" t="str">
        <f>+IF(Table3[[#This Row],[Tipo Movimiento]]="Estructura Balance y PyG","Excluir","Incluir")</f>
        <v>Incluir</v>
      </c>
      <c r="J1595" s="153">
        <f>+IF(Table3[[#This Row],[Sin cuenta]]="Con Mov.",(IF(Table3[[#This Row],[Movimiento]]="Debe",Table3[[#This Row],[Importe]],IF(Table3[[#This Row],[Movimiento]]="Haber",Table3[[#This Row],[Importe]]*-1,0))),0)</f>
        <v>0</v>
      </c>
      <c r="K1595" s="145">
        <f t="shared" si="73"/>
        <v>0</v>
      </c>
      <c r="L1595" s="145" t="str">
        <f t="shared" si="74"/>
        <v/>
      </c>
      <c r="M1595" t="str">
        <f>_xlfn.XLOOKUP(Table3[[#This Row],[Cuenta]],Estructura_Balance[Nombre Cuenta ()],Estructura_Balance[Grupo],"",0)</f>
        <v/>
      </c>
      <c r="N1595" t="str">
        <f>_xlfn.XLOOKUP(Table3[[#This Row],[Cuenta]],Estructura_Balance[Nombre Cuenta ()],Estructura_Balance[Nivel 1],"",0)</f>
        <v/>
      </c>
      <c r="O1595" t="str">
        <f>_xlfn.XLOOKUP(Table3[[#This Row],[Cuenta]],Estructura_Balance[Nombre Cuenta ()],Estructura_Balance[Nivel 2],"",0)</f>
        <v/>
      </c>
      <c r="P1595" t="str">
        <f>_xlfn.XLOOKUP(Table3[[#This Row],[Cuenta]],Estructura_Balance[Nombre Cuenta ()],Estructura_Balance[Nivel 3],"",0)</f>
        <v/>
      </c>
      <c r="Q1595" t="str">
        <f>_xlfn.XLOOKUP(Table3[[#This Row],[Cuenta]],Estructura_Balance[Nombre Cuenta ()],Estructura_Balance[Nivel 4],"",0)</f>
        <v/>
      </c>
      <c r="R1595" t="str">
        <f>_xlfn.XLOOKUP(Table3[[#This Row],[Cuenta]],Table8[Nombre Cuenta ()],Table8[Nivel 1],"",0)</f>
        <v/>
      </c>
      <c r="S1595" t="str">
        <f>_xlfn.XLOOKUP(Table3[[#This Row],[Cuenta]],Table8[Nombre Cuenta ()],Table8[Nivel 2],"",0)</f>
        <v/>
      </c>
      <c r="T1595" t="str">
        <f>_xlfn.XLOOKUP(Table3[[#This Row],[Cuenta]],Table8[Nombre Cuenta ()],Table8[Nivel 3],"",0)</f>
        <v/>
      </c>
      <c r="U1595">
        <v>67</v>
      </c>
      <c r="V1595" t="str">
        <f>_xlfn.XLOOKUP(Table3[[#This Row],[Cuenta]],Estructura_Balance[Nombre Cuenta ()],Estructura_Balance[Niveles:2],"",0)</f>
        <v/>
      </c>
      <c r="W1595" t="str">
        <f>_xlfn.XLOOKUP(Table3[[#This Row],[Cuenta]],Estructura_Balance[Nombre Cuenta ()],Estructura_Balance[Niveles:3],"",0)</f>
        <v/>
      </c>
      <c r="X1595" t="str">
        <f>_xlfn.XLOOKUP(Table3[[#This Row],[Cuenta]],Estructura_Balance[Nombre Cuenta ()],Estructura_Balance[Grupos],"Grupo 1",0)</f>
        <v>Grupo 1</v>
      </c>
      <c r="Y1595" t="str">
        <f>+Table3[[#This Row],[BS_Nivel_1]]</f>
        <v/>
      </c>
    </row>
    <row r="1596" spans="1:25" ht="15" customHeight="1">
      <c r="A1596">
        <f>+'Libro Diario'!F62</f>
        <v>1</v>
      </c>
      <c r="B1596" s="144">
        <f>VALUE(IF(+'Libro Diario'!G62="","01/01/2025",+'Libro Diario'!G62))</f>
        <v>45658</v>
      </c>
      <c r="C1596">
        <f>IF(ISNUMBER(+IF(IFERROR(VALUE(MID('Libro Diario'!C62,1,4)),0)&lt;&gt;0,'Libro Diario'!C62,0))=FALSE,'Libro Diario'!C62,0)</f>
        <v>0</v>
      </c>
      <c r="D1596" s="145">
        <f>+'Libro Diario'!B62</f>
        <v>0</v>
      </c>
      <c r="E1596" s="139" t="s">
        <v>445</v>
      </c>
      <c r="F1596" t="str">
        <f t="shared" si="72"/>
        <v>Sin Mov.</v>
      </c>
      <c r="G1596" t="str">
        <f>IF(+'Libro Diario'!H62=0,"",+'Libro Diario'!H62)</f>
        <v>Asiento de Apertura</v>
      </c>
      <c r="H1596" t="str">
        <f>IF(+'Libro Diario'!I62=0,"",+'Libro Diario'!I62)</f>
        <v/>
      </c>
      <c r="I1596" t="str">
        <f>+IF(Table3[[#This Row],[Tipo Movimiento]]="Estructura Balance y PyG","Excluir","Incluir")</f>
        <v>Incluir</v>
      </c>
      <c r="J1596" s="153">
        <f>+IF(Table3[[#This Row],[Sin cuenta]]="Con Mov.",(IF(Table3[[#This Row],[Movimiento]]="Debe",Table3[[#This Row],[Importe]],IF(Table3[[#This Row],[Movimiento]]="Haber",Table3[[#This Row],[Importe]]*-1,0))),0)</f>
        <v>0</v>
      </c>
      <c r="K1596" s="145">
        <f t="shared" si="73"/>
        <v>0</v>
      </c>
      <c r="L1596" s="145" t="str">
        <f t="shared" si="74"/>
        <v/>
      </c>
      <c r="M1596" t="str">
        <f>_xlfn.XLOOKUP(Table3[[#This Row],[Cuenta]],Estructura_Balance[Nombre Cuenta ()],Estructura_Balance[Grupo],"",0)</f>
        <v/>
      </c>
      <c r="N1596" t="str">
        <f>_xlfn.XLOOKUP(Table3[[#This Row],[Cuenta]],Estructura_Balance[Nombre Cuenta ()],Estructura_Balance[Nivel 1],"",0)</f>
        <v/>
      </c>
      <c r="O1596" t="str">
        <f>_xlfn.XLOOKUP(Table3[[#This Row],[Cuenta]],Estructura_Balance[Nombre Cuenta ()],Estructura_Balance[Nivel 2],"",0)</f>
        <v/>
      </c>
      <c r="P1596" t="str">
        <f>_xlfn.XLOOKUP(Table3[[#This Row],[Cuenta]],Estructura_Balance[Nombre Cuenta ()],Estructura_Balance[Nivel 3],"",0)</f>
        <v/>
      </c>
      <c r="Q1596" t="str">
        <f>_xlfn.XLOOKUP(Table3[[#This Row],[Cuenta]],Estructura_Balance[Nombre Cuenta ()],Estructura_Balance[Nivel 4],"",0)</f>
        <v/>
      </c>
      <c r="R1596" t="str">
        <f>_xlfn.XLOOKUP(Table3[[#This Row],[Cuenta]],Table8[Nombre Cuenta ()],Table8[Nivel 1],"",0)</f>
        <v/>
      </c>
      <c r="S1596" t="str">
        <f>_xlfn.XLOOKUP(Table3[[#This Row],[Cuenta]],Table8[Nombre Cuenta ()],Table8[Nivel 2],"",0)</f>
        <v/>
      </c>
      <c r="T1596" t="str">
        <f>_xlfn.XLOOKUP(Table3[[#This Row],[Cuenta]],Table8[Nombre Cuenta ()],Table8[Nivel 3],"",0)</f>
        <v/>
      </c>
      <c r="U1596">
        <v>68</v>
      </c>
      <c r="V1596" t="str">
        <f>_xlfn.XLOOKUP(Table3[[#This Row],[Cuenta]],Estructura_Balance[Nombre Cuenta ()],Estructura_Balance[Niveles:2],"",0)</f>
        <v/>
      </c>
      <c r="W1596" t="str">
        <f>_xlfn.XLOOKUP(Table3[[#This Row],[Cuenta]],Estructura_Balance[Nombre Cuenta ()],Estructura_Balance[Niveles:3],"",0)</f>
        <v/>
      </c>
      <c r="X1596" t="str">
        <f>_xlfn.XLOOKUP(Table3[[#This Row],[Cuenta]],Estructura_Balance[Nombre Cuenta ()],Estructura_Balance[Grupos],"Grupo 1",0)</f>
        <v>Grupo 1</v>
      </c>
      <c r="Y1596" t="str">
        <f>+Table3[[#This Row],[BS_Nivel_1]]</f>
        <v/>
      </c>
    </row>
    <row r="1597" spans="1:25" ht="15" customHeight="1">
      <c r="A1597">
        <f>+'Libro Diario'!F63</f>
        <v>1</v>
      </c>
      <c r="B1597" s="144">
        <f>VALUE(IF(+'Libro Diario'!G63="","01/01/2025",+'Libro Diario'!G63))</f>
        <v>45658</v>
      </c>
      <c r="C1597">
        <f>IF(ISNUMBER(+IF(IFERROR(VALUE(MID('Libro Diario'!C63,1,4)),0)&lt;&gt;0,'Libro Diario'!C63,0))=FALSE,'Libro Diario'!C63,0)</f>
        <v>0</v>
      </c>
      <c r="D1597" s="145">
        <f>+'Libro Diario'!B63</f>
        <v>0</v>
      </c>
      <c r="E1597" s="139" t="s">
        <v>445</v>
      </c>
      <c r="F1597" t="str">
        <f t="shared" si="72"/>
        <v>Sin Mov.</v>
      </c>
      <c r="G1597" t="str">
        <f>IF(+'Libro Diario'!H63=0,"",+'Libro Diario'!H63)</f>
        <v>Asiento de Apertura</v>
      </c>
      <c r="H1597" t="str">
        <f>IF(+'Libro Diario'!I63=0,"",+'Libro Diario'!I63)</f>
        <v/>
      </c>
      <c r="I1597" t="str">
        <f>+IF(Table3[[#This Row],[Tipo Movimiento]]="Estructura Balance y PyG","Excluir","Incluir")</f>
        <v>Incluir</v>
      </c>
      <c r="J1597" s="153">
        <f>+IF(Table3[[#This Row],[Sin cuenta]]="Con Mov.",(IF(Table3[[#This Row],[Movimiento]]="Debe",Table3[[#This Row],[Importe]],IF(Table3[[#This Row],[Movimiento]]="Haber",Table3[[#This Row],[Importe]]*-1,0))),0)</f>
        <v>0</v>
      </c>
      <c r="K1597" s="145">
        <f t="shared" si="73"/>
        <v>0</v>
      </c>
      <c r="L1597" s="145" t="str">
        <f t="shared" si="74"/>
        <v/>
      </c>
      <c r="M1597" t="str">
        <f>_xlfn.XLOOKUP(Table3[[#This Row],[Cuenta]],Estructura_Balance[Nombre Cuenta ()],Estructura_Balance[Grupo],"",0)</f>
        <v/>
      </c>
      <c r="N1597" t="str">
        <f>_xlfn.XLOOKUP(Table3[[#This Row],[Cuenta]],Estructura_Balance[Nombre Cuenta ()],Estructura_Balance[Nivel 1],"",0)</f>
        <v/>
      </c>
      <c r="O1597" t="str">
        <f>_xlfn.XLOOKUP(Table3[[#This Row],[Cuenta]],Estructura_Balance[Nombre Cuenta ()],Estructura_Balance[Nivel 2],"",0)</f>
        <v/>
      </c>
      <c r="P1597" t="str">
        <f>_xlfn.XLOOKUP(Table3[[#This Row],[Cuenta]],Estructura_Balance[Nombre Cuenta ()],Estructura_Balance[Nivel 3],"",0)</f>
        <v/>
      </c>
      <c r="Q1597" t="str">
        <f>_xlfn.XLOOKUP(Table3[[#This Row],[Cuenta]],Estructura_Balance[Nombre Cuenta ()],Estructura_Balance[Nivel 4],"",0)</f>
        <v/>
      </c>
      <c r="R1597" t="str">
        <f>_xlfn.XLOOKUP(Table3[[#This Row],[Cuenta]],Table8[Nombre Cuenta ()],Table8[Nivel 1],"",0)</f>
        <v/>
      </c>
      <c r="S1597" t="str">
        <f>_xlfn.XLOOKUP(Table3[[#This Row],[Cuenta]],Table8[Nombre Cuenta ()],Table8[Nivel 2],"",0)</f>
        <v/>
      </c>
      <c r="T1597" t="str">
        <f>_xlfn.XLOOKUP(Table3[[#This Row],[Cuenta]],Table8[Nombre Cuenta ()],Table8[Nivel 3],"",0)</f>
        <v/>
      </c>
      <c r="U1597">
        <v>69</v>
      </c>
      <c r="V1597" t="str">
        <f>_xlfn.XLOOKUP(Table3[[#This Row],[Cuenta]],Estructura_Balance[Nombre Cuenta ()],Estructura_Balance[Niveles:2],"",0)</f>
        <v/>
      </c>
      <c r="W1597" t="str">
        <f>_xlfn.XLOOKUP(Table3[[#This Row],[Cuenta]],Estructura_Balance[Nombre Cuenta ()],Estructura_Balance[Niveles:3],"",0)</f>
        <v/>
      </c>
      <c r="X1597" t="str">
        <f>_xlfn.XLOOKUP(Table3[[#This Row],[Cuenta]],Estructura_Balance[Nombre Cuenta ()],Estructura_Balance[Grupos],"Grupo 1",0)</f>
        <v>Grupo 1</v>
      </c>
      <c r="Y1597" t="str">
        <f>+Table3[[#This Row],[BS_Nivel_1]]</f>
        <v/>
      </c>
    </row>
    <row r="1598" spans="1:25" ht="15" customHeight="1">
      <c r="A1598">
        <f>+'Libro Diario'!F64</f>
        <v>1</v>
      </c>
      <c r="B1598" s="144">
        <f>VALUE(IF(+'Libro Diario'!G64="","01/01/2025",+'Libro Diario'!G64))</f>
        <v>45658</v>
      </c>
      <c r="C1598">
        <f>IF(ISNUMBER(+IF(IFERROR(VALUE(MID('Libro Diario'!C64,1,4)),0)&lt;&gt;0,'Libro Diario'!C64,0))=FALSE,'Libro Diario'!C64,0)</f>
        <v>0</v>
      </c>
      <c r="D1598" s="145">
        <f>+'Libro Diario'!B64</f>
        <v>0</v>
      </c>
      <c r="E1598" s="139" t="s">
        <v>445</v>
      </c>
      <c r="F1598" t="str">
        <f t="shared" si="72"/>
        <v>Sin Mov.</v>
      </c>
      <c r="G1598" t="str">
        <f>IF(+'Libro Diario'!H64=0,"",+'Libro Diario'!H64)</f>
        <v>Asiento de Apertura</v>
      </c>
      <c r="H1598" t="str">
        <f>IF(+'Libro Diario'!I64=0,"",+'Libro Diario'!I64)</f>
        <v/>
      </c>
      <c r="I1598" t="str">
        <f>+IF(Table3[[#This Row],[Tipo Movimiento]]="Estructura Balance y PyG","Excluir","Incluir")</f>
        <v>Incluir</v>
      </c>
      <c r="J1598" s="153">
        <f>+IF(Table3[[#This Row],[Sin cuenta]]="Con Mov.",(IF(Table3[[#This Row],[Movimiento]]="Debe",Table3[[#This Row],[Importe]],IF(Table3[[#This Row],[Movimiento]]="Haber",Table3[[#This Row],[Importe]]*-1,0))),0)</f>
        <v>0</v>
      </c>
      <c r="K1598" s="145">
        <f t="shared" si="73"/>
        <v>0</v>
      </c>
      <c r="L1598" s="145" t="str">
        <f t="shared" si="74"/>
        <v/>
      </c>
      <c r="M1598" t="str">
        <f>_xlfn.XLOOKUP(Table3[[#This Row],[Cuenta]],Estructura_Balance[Nombre Cuenta ()],Estructura_Balance[Grupo],"",0)</f>
        <v/>
      </c>
      <c r="N1598" t="str">
        <f>_xlfn.XLOOKUP(Table3[[#This Row],[Cuenta]],Estructura_Balance[Nombre Cuenta ()],Estructura_Balance[Nivel 1],"",0)</f>
        <v/>
      </c>
      <c r="O1598" t="str">
        <f>_xlfn.XLOOKUP(Table3[[#This Row],[Cuenta]],Estructura_Balance[Nombre Cuenta ()],Estructura_Balance[Nivel 2],"",0)</f>
        <v/>
      </c>
      <c r="P1598" t="str">
        <f>_xlfn.XLOOKUP(Table3[[#This Row],[Cuenta]],Estructura_Balance[Nombre Cuenta ()],Estructura_Balance[Nivel 3],"",0)</f>
        <v/>
      </c>
      <c r="Q1598" t="str">
        <f>_xlfn.XLOOKUP(Table3[[#This Row],[Cuenta]],Estructura_Balance[Nombre Cuenta ()],Estructura_Balance[Nivel 4],"",0)</f>
        <v/>
      </c>
      <c r="R1598" t="str">
        <f>_xlfn.XLOOKUP(Table3[[#This Row],[Cuenta]],Table8[Nombre Cuenta ()],Table8[Nivel 1],"",0)</f>
        <v/>
      </c>
      <c r="S1598" t="str">
        <f>_xlfn.XLOOKUP(Table3[[#This Row],[Cuenta]],Table8[Nombre Cuenta ()],Table8[Nivel 2],"",0)</f>
        <v/>
      </c>
      <c r="T1598" t="str">
        <f>_xlfn.XLOOKUP(Table3[[#This Row],[Cuenta]],Table8[Nombre Cuenta ()],Table8[Nivel 3],"",0)</f>
        <v/>
      </c>
      <c r="U1598">
        <v>72</v>
      </c>
      <c r="V1598" t="str">
        <f>_xlfn.XLOOKUP(Table3[[#This Row],[Cuenta]],Estructura_Balance[Nombre Cuenta ()],Estructura_Balance[Niveles:2],"",0)</f>
        <v/>
      </c>
      <c r="W1598" t="str">
        <f>_xlfn.XLOOKUP(Table3[[#This Row],[Cuenta]],Estructura_Balance[Nombre Cuenta ()],Estructura_Balance[Niveles:3],"",0)</f>
        <v/>
      </c>
      <c r="X1598" t="str">
        <f>_xlfn.XLOOKUP(Table3[[#This Row],[Cuenta]],Estructura_Balance[Nombre Cuenta ()],Estructura_Balance[Grupos],"Grupo 1",0)</f>
        <v>Grupo 1</v>
      </c>
      <c r="Y1598" t="str">
        <f>+Table3[[#This Row],[BS_Nivel_1]]</f>
        <v/>
      </c>
    </row>
    <row r="1599" spans="1:25" ht="15" customHeight="1">
      <c r="A1599">
        <f>+'Libro Diario'!F65</f>
        <v>1</v>
      </c>
      <c r="B1599" s="144">
        <f>VALUE(IF(+'Libro Diario'!G65="","01/01/2025",+'Libro Diario'!G65))</f>
        <v>45658</v>
      </c>
      <c r="C1599">
        <f>IF(ISNUMBER(+IF(IFERROR(VALUE(MID('Libro Diario'!C65,1,4)),0)&lt;&gt;0,'Libro Diario'!C65,0))=FALSE,'Libro Diario'!C65,0)</f>
        <v>0</v>
      </c>
      <c r="D1599" s="145">
        <f>+'Libro Diario'!B65</f>
        <v>0</v>
      </c>
      <c r="E1599" s="139" t="s">
        <v>445</v>
      </c>
      <c r="F1599" t="str">
        <f t="shared" si="72"/>
        <v>Sin Mov.</v>
      </c>
      <c r="G1599" t="str">
        <f>IF(+'Libro Diario'!H65=0,"",+'Libro Diario'!H65)</f>
        <v>Asiento de Apertura</v>
      </c>
      <c r="H1599" t="str">
        <f>IF(+'Libro Diario'!I65=0,"",+'Libro Diario'!I65)</f>
        <v/>
      </c>
      <c r="I1599" t="str">
        <f>+IF(Table3[[#This Row],[Tipo Movimiento]]="Estructura Balance y PyG","Excluir","Incluir")</f>
        <v>Incluir</v>
      </c>
      <c r="J1599" s="153">
        <f>+IF(Table3[[#This Row],[Sin cuenta]]="Con Mov.",(IF(Table3[[#This Row],[Movimiento]]="Debe",Table3[[#This Row],[Importe]],IF(Table3[[#This Row],[Movimiento]]="Haber",Table3[[#This Row],[Importe]]*-1,0))),0)</f>
        <v>0</v>
      </c>
      <c r="K1599" s="145">
        <f t="shared" si="73"/>
        <v>0</v>
      </c>
      <c r="L1599" s="145" t="str">
        <f t="shared" si="74"/>
        <v/>
      </c>
      <c r="M1599" t="str">
        <f>_xlfn.XLOOKUP(Table3[[#This Row],[Cuenta]],Estructura_Balance[Nombre Cuenta ()],Estructura_Balance[Grupo],"",0)</f>
        <v/>
      </c>
      <c r="N1599" t="str">
        <f>_xlfn.XLOOKUP(Table3[[#This Row],[Cuenta]],Estructura_Balance[Nombre Cuenta ()],Estructura_Balance[Nivel 1],"",0)</f>
        <v/>
      </c>
      <c r="O1599" t="str">
        <f>_xlfn.XLOOKUP(Table3[[#This Row],[Cuenta]],Estructura_Balance[Nombre Cuenta ()],Estructura_Balance[Nivel 2],"",0)</f>
        <v/>
      </c>
      <c r="P1599" t="str">
        <f>_xlfn.XLOOKUP(Table3[[#This Row],[Cuenta]],Estructura_Balance[Nombre Cuenta ()],Estructura_Balance[Nivel 3],"",0)</f>
        <v/>
      </c>
      <c r="Q1599" t="str">
        <f>_xlfn.XLOOKUP(Table3[[#This Row],[Cuenta]],Estructura_Balance[Nombre Cuenta ()],Estructura_Balance[Nivel 4],"",0)</f>
        <v/>
      </c>
      <c r="R1599" t="str">
        <f>_xlfn.XLOOKUP(Table3[[#This Row],[Cuenta]],Table8[Nombre Cuenta ()],Table8[Nivel 1],"",0)</f>
        <v/>
      </c>
      <c r="S1599" t="str">
        <f>_xlfn.XLOOKUP(Table3[[#This Row],[Cuenta]],Table8[Nombre Cuenta ()],Table8[Nivel 2],"",0)</f>
        <v/>
      </c>
      <c r="T1599" t="str">
        <f>_xlfn.XLOOKUP(Table3[[#This Row],[Cuenta]],Table8[Nombre Cuenta ()],Table8[Nivel 3],"",0)</f>
        <v/>
      </c>
      <c r="U1599">
        <v>73</v>
      </c>
      <c r="V1599" t="str">
        <f>_xlfn.XLOOKUP(Table3[[#This Row],[Cuenta]],Estructura_Balance[Nombre Cuenta ()],Estructura_Balance[Niveles:2],"",0)</f>
        <v/>
      </c>
      <c r="W1599" t="str">
        <f>_xlfn.XLOOKUP(Table3[[#This Row],[Cuenta]],Estructura_Balance[Nombre Cuenta ()],Estructura_Balance[Niveles:3],"",0)</f>
        <v/>
      </c>
      <c r="X1599" t="str">
        <f>_xlfn.XLOOKUP(Table3[[#This Row],[Cuenta]],Estructura_Balance[Nombre Cuenta ()],Estructura_Balance[Grupos],"Grupo 1",0)</f>
        <v>Grupo 1</v>
      </c>
      <c r="Y1599" t="str">
        <f>+Table3[[#This Row],[BS_Nivel_1]]</f>
        <v/>
      </c>
    </row>
    <row r="1600" spans="1:25" ht="15" customHeight="1">
      <c r="A1600">
        <f>+'Libro Diario'!F66</f>
        <v>1</v>
      </c>
      <c r="B1600" s="144">
        <f>VALUE(IF(+'Libro Diario'!G66="","01/01/2025",+'Libro Diario'!G66))</f>
        <v>45658</v>
      </c>
      <c r="C1600">
        <f>IF(ISNUMBER(+IF(IFERROR(VALUE(MID('Libro Diario'!C66,1,4)),0)&lt;&gt;0,'Libro Diario'!C66,0))=FALSE,'Libro Diario'!C66,0)</f>
        <v>0</v>
      </c>
      <c r="D1600" s="145">
        <f>+'Libro Diario'!B66</f>
        <v>0</v>
      </c>
      <c r="E1600" s="139" t="s">
        <v>445</v>
      </c>
      <c r="F1600" t="str">
        <f t="shared" si="72"/>
        <v>Sin Mov.</v>
      </c>
      <c r="G1600" t="str">
        <f>IF(+'Libro Diario'!H66=0,"",+'Libro Diario'!H66)</f>
        <v>Asiento de Apertura</v>
      </c>
      <c r="H1600" t="str">
        <f>IF(+'Libro Diario'!I66=0,"",+'Libro Diario'!I66)</f>
        <v/>
      </c>
      <c r="I1600" t="str">
        <f>+IF(Table3[[#This Row],[Tipo Movimiento]]="Estructura Balance y PyG","Excluir","Incluir")</f>
        <v>Incluir</v>
      </c>
      <c r="J1600" s="153">
        <f>+IF(Table3[[#This Row],[Sin cuenta]]="Con Mov.",(IF(Table3[[#This Row],[Movimiento]]="Debe",Table3[[#This Row],[Importe]],IF(Table3[[#This Row],[Movimiento]]="Haber",Table3[[#This Row],[Importe]]*-1,0))),0)</f>
        <v>0</v>
      </c>
      <c r="K1600" s="145">
        <f t="shared" si="73"/>
        <v>0</v>
      </c>
      <c r="L1600" s="145" t="str">
        <f t="shared" si="74"/>
        <v/>
      </c>
      <c r="M1600" t="str">
        <f>_xlfn.XLOOKUP(Table3[[#This Row],[Cuenta]],Estructura_Balance[Nombre Cuenta ()],Estructura_Balance[Grupo],"",0)</f>
        <v/>
      </c>
      <c r="N1600" t="str">
        <f>_xlfn.XLOOKUP(Table3[[#This Row],[Cuenta]],Estructura_Balance[Nombre Cuenta ()],Estructura_Balance[Nivel 1],"",0)</f>
        <v/>
      </c>
      <c r="O1600" t="str">
        <f>_xlfn.XLOOKUP(Table3[[#This Row],[Cuenta]],Estructura_Balance[Nombre Cuenta ()],Estructura_Balance[Nivel 2],"",0)</f>
        <v/>
      </c>
      <c r="P1600" t="str">
        <f>_xlfn.XLOOKUP(Table3[[#This Row],[Cuenta]],Estructura_Balance[Nombre Cuenta ()],Estructura_Balance[Nivel 3],"",0)</f>
        <v/>
      </c>
      <c r="Q1600" t="str">
        <f>_xlfn.XLOOKUP(Table3[[#This Row],[Cuenta]],Estructura_Balance[Nombre Cuenta ()],Estructura_Balance[Nivel 4],"",0)</f>
        <v/>
      </c>
      <c r="R1600" t="str">
        <f>_xlfn.XLOOKUP(Table3[[#This Row],[Cuenta]],Table8[Nombre Cuenta ()],Table8[Nivel 1],"",0)</f>
        <v/>
      </c>
      <c r="S1600" t="str">
        <f>_xlfn.XLOOKUP(Table3[[#This Row],[Cuenta]],Table8[Nombre Cuenta ()],Table8[Nivel 2],"",0)</f>
        <v/>
      </c>
      <c r="T1600" t="str">
        <f>_xlfn.XLOOKUP(Table3[[#This Row],[Cuenta]],Table8[Nombre Cuenta ()],Table8[Nivel 3],"",0)</f>
        <v/>
      </c>
      <c r="U1600">
        <v>74</v>
      </c>
      <c r="V1600" t="str">
        <f>_xlfn.XLOOKUP(Table3[[#This Row],[Cuenta]],Estructura_Balance[Nombre Cuenta ()],Estructura_Balance[Niveles:2],"",0)</f>
        <v/>
      </c>
      <c r="W1600" t="str">
        <f>_xlfn.XLOOKUP(Table3[[#This Row],[Cuenta]],Estructura_Balance[Nombre Cuenta ()],Estructura_Balance[Niveles:3],"",0)</f>
        <v/>
      </c>
      <c r="X1600" t="str">
        <f>_xlfn.XLOOKUP(Table3[[#This Row],[Cuenta]],Estructura_Balance[Nombre Cuenta ()],Estructura_Balance[Grupos],"Grupo 1",0)</f>
        <v>Grupo 1</v>
      </c>
      <c r="Y1600" t="str">
        <f>+Table3[[#This Row],[BS_Nivel_1]]</f>
        <v/>
      </c>
    </row>
    <row r="1601" spans="1:25" ht="15" customHeight="1">
      <c r="A1601">
        <f>+'Libro Diario'!F67</f>
        <v>1</v>
      </c>
      <c r="B1601" s="144">
        <f>VALUE(IF(+'Libro Diario'!G67="","01/01/2025",+'Libro Diario'!G67))</f>
        <v>45658</v>
      </c>
      <c r="C1601">
        <f>IF(ISNUMBER(+IF(IFERROR(VALUE(MID('Libro Diario'!C67,1,4)),0)&lt;&gt;0,'Libro Diario'!C67,0))=FALSE,'Libro Diario'!C67,0)</f>
        <v>0</v>
      </c>
      <c r="D1601" s="145">
        <f>+'Libro Diario'!B67</f>
        <v>0</v>
      </c>
      <c r="E1601" s="139" t="s">
        <v>445</v>
      </c>
      <c r="F1601" t="str">
        <f t="shared" si="72"/>
        <v>Sin Mov.</v>
      </c>
      <c r="G1601" t="str">
        <f>IF(+'Libro Diario'!H67=0,"",+'Libro Diario'!H67)</f>
        <v>Asiento de Apertura</v>
      </c>
      <c r="H1601" t="str">
        <f>IF(+'Libro Diario'!I67=0,"",+'Libro Diario'!I67)</f>
        <v/>
      </c>
      <c r="I1601" t="str">
        <f>+IF(Table3[[#This Row],[Tipo Movimiento]]="Estructura Balance y PyG","Excluir","Incluir")</f>
        <v>Incluir</v>
      </c>
      <c r="J1601" s="153">
        <f>+IF(Table3[[#This Row],[Sin cuenta]]="Con Mov.",(IF(Table3[[#This Row],[Movimiento]]="Debe",Table3[[#This Row],[Importe]],IF(Table3[[#This Row],[Movimiento]]="Haber",Table3[[#This Row],[Importe]]*-1,0))),0)</f>
        <v>0</v>
      </c>
      <c r="K1601" s="145">
        <f t="shared" si="73"/>
        <v>0</v>
      </c>
      <c r="L1601" s="145" t="str">
        <f t="shared" si="74"/>
        <v/>
      </c>
      <c r="M1601" t="str">
        <f>_xlfn.XLOOKUP(Table3[[#This Row],[Cuenta]],Estructura_Balance[Nombre Cuenta ()],Estructura_Balance[Grupo],"",0)</f>
        <v/>
      </c>
      <c r="N1601" t="str">
        <f>_xlfn.XLOOKUP(Table3[[#This Row],[Cuenta]],Estructura_Balance[Nombre Cuenta ()],Estructura_Balance[Nivel 1],"",0)</f>
        <v/>
      </c>
      <c r="O1601" t="str">
        <f>_xlfn.XLOOKUP(Table3[[#This Row],[Cuenta]],Estructura_Balance[Nombre Cuenta ()],Estructura_Balance[Nivel 2],"",0)</f>
        <v/>
      </c>
      <c r="P1601" t="str">
        <f>_xlfn.XLOOKUP(Table3[[#This Row],[Cuenta]],Estructura_Balance[Nombre Cuenta ()],Estructura_Balance[Nivel 3],"",0)</f>
        <v/>
      </c>
      <c r="Q1601" t="str">
        <f>_xlfn.XLOOKUP(Table3[[#This Row],[Cuenta]],Estructura_Balance[Nombre Cuenta ()],Estructura_Balance[Nivel 4],"",0)</f>
        <v/>
      </c>
      <c r="R1601" t="str">
        <f>_xlfn.XLOOKUP(Table3[[#This Row],[Cuenta]],Table8[Nombre Cuenta ()],Table8[Nivel 1],"",0)</f>
        <v/>
      </c>
      <c r="S1601" t="str">
        <f>_xlfn.XLOOKUP(Table3[[#This Row],[Cuenta]],Table8[Nombre Cuenta ()],Table8[Nivel 2],"",0)</f>
        <v/>
      </c>
      <c r="T1601" t="str">
        <f>_xlfn.XLOOKUP(Table3[[#This Row],[Cuenta]],Table8[Nombre Cuenta ()],Table8[Nivel 3],"",0)</f>
        <v/>
      </c>
      <c r="U1601">
        <v>75</v>
      </c>
      <c r="V1601" t="str">
        <f>_xlfn.XLOOKUP(Table3[[#This Row],[Cuenta]],Estructura_Balance[Nombre Cuenta ()],Estructura_Balance[Niveles:2],"",0)</f>
        <v/>
      </c>
      <c r="W1601" t="str">
        <f>_xlfn.XLOOKUP(Table3[[#This Row],[Cuenta]],Estructura_Balance[Nombre Cuenta ()],Estructura_Balance[Niveles:3],"",0)</f>
        <v/>
      </c>
      <c r="X1601" t="str">
        <f>_xlfn.XLOOKUP(Table3[[#This Row],[Cuenta]],Estructura_Balance[Nombre Cuenta ()],Estructura_Balance[Grupos],"Grupo 1",0)</f>
        <v>Grupo 1</v>
      </c>
      <c r="Y1601" t="str">
        <f>+Table3[[#This Row],[BS_Nivel_1]]</f>
        <v/>
      </c>
    </row>
    <row r="1602" spans="1:25" ht="15" customHeight="1">
      <c r="A1602">
        <f>+'Libro Diario'!F68</f>
        <v>1</v>
      </c>
      <c r="B1602" s="144">
        <f>VALUE(IF(+'Libro Diario'!G68="","01/01/2025",+'Libro Diario'!G68))</f>
        <v>45658</v>
      </c>
      <c r="C1602">
        <f>IF(ISNUMBER(+IF(IFERROR(VALUE(MID('Libro Diario'!C68,1,4)),0)&lt;&gt;0,'Libro Diario'!C68,0))=FALSE,'Libro Diario'!C68,0)</f>
        <v>0</v>
      </c>
      <c r="D1602" s="145">
        <f>+'Libro Diario'!B68</f>
        <v>0</v>
      </c>
      <c r="E1602" s="139" t="s">
        <v>445</v>
      </c>
      <c r="F1602" t="str">
        <f t="shared" si="72"/>
        <v>Sin Mov.</v>
      </c>
      <c r="G1602" t="str">
        <f>IF(+'Libro Diario'!H68=0,"",+'Libro Diario'!H68)</f>
        <v>Asiento de Apertura</v>
      </c>
      <c r="H1602" t="str">
        <f>IF(+'Libro Diario'!I68=0,"",+'Libro Diario'!I68)</f>
        <v/>
      </c>
      <c r="I1602" t="str">
        <f>+IF(Table3[[#This Row],[Tipo Movimiento]]="Estructura Balance y PyG","Excluir","Incluir")</f>
        <v>Incluir</v>
      </c>
      <c r="J1602" s="153">
        <f>+IF(Table3[[#This Row],[Sin cuenta]]="Con Mov.",(IF(Table3[[#This Row],[Movimiento]]="Debe",Table3[[#This Row],[Importe]],IF(Table3[[#This Row],[Movimiento]]="Haber",Table3[[#This Row],[Importe]]*-1,0))),0)</f>
        <v>0</v>
      </c>
      <c r="K1602" s="145">
        <f t="shared" si="73"/>
        <v>0</v>
      </c>
      <c r="L1602" s="145" t="str">
        <f t="shared" si="74"/>
        <v/>
      </c>
      <c r="M1602" t="str">
        <f>_xlfn.XLOOKUP(Table3[[#This Row],[Cuenta]],Estructura_Balance[Nombre Cuenta ()],Estructura_Balance[Grupo],"",0)</f>
        <v/>
      </c>
      <c r="N1602" t="str">
        <f>_xlfn.XLOOKUP(Table3[[#This Row],[Cuenta]],Estructura_Balance[Nombre Cuenta ()],Estructura_Balance[Nivel 1],"",0)</f>
        <v/>
      </c>
      <c r="O1602" t="str">
        <f>_xlfn.XLOOKUP(Table3[[#This Row],[Cuenta]],Estructura_Balance[Nombre Cuenta ()],Estructura_Balance[Nivel 2],"",0)</f>
        <v/>
      </c>
      <c r="P1602" t="str">
        <f>_xlfn.XLOOKUP(Table3[[#This Row],[Cuenta]],Estructura_Balance[Nombre Cuenta ()],Estructura_Balance[Nivel 3],"",0)</f>
        <v/>
      </c>
      <c r="Q1602" t="str">
        <f>_xlfn.XLOOKUP(Table3[[#This Row],[Cuenta]],Estructura_Balance[Nombre Cuenta ()],Estructura_Balance[Nivel 4],"",0)</f>
        <v/>
      </c>
      <c r="R1602" t="str">
        <f>_xlfn.XLOOKUP(Table3[[#This Row],[Cuenta]],Table8[Nombre Cuenta ()],Table8[Nivel 1],"",0)</f>
        <v/>
      </c>
      <c r="S1602" t="str">
        <f>_xlfn.XLOOKUP(Table3[[#This Row],[Cuenta]],Table8[Nombre Cuenta ()],Table8[Nivel 2],"",0)</f>
        <v/>
      </c>
      <c r="T1602" t="str">
        <f>_xlfn.XLOOKUP(Table3[[#This Row],[Cuenta]],Table8[Nombre Cuenta ()],Table8[Nivel 3],"",0)</f>
        <v/>
      </c>
      <c r="U1602">
        <v>76</v>
      </c>
      <c r="V1602" t="str">
        <f>_xlfn.XLOOKUP(Table3[[#This Row],[Cuenta]],Estructura_Balance[Nombre Cuenta ()],Estructura_Balance[Niveles:2],"",0)</f>
        <v/>
      </c>
      <c r="W1602" t="str">
        <f>_xlfn.XLOOKUP(Table3[[#This Row],[Cuenta]],Estructura_Balance[Nombre Cuenta ()],Estructura_Balance[Niveles:3],"",0)</f>
        <v/>
      </c>
      <c r="X1602" t="str">
        <f>_xlfn.XLOOKUP(Table3[[#This Row],[Cuenta]],Estructura_Balance[Nombre Cuenta ()],Estructura_Balance[Grupos],"Grupo 1",0)</f>
        <v>Grupo 1</v>
      </c>
      <c r="Y1602" t="str">
        <f>+Table3[[#This Row],[BS_Nivel_1]]</f>
        <v/>
      </c>
    </row>
    <row r="1603" spans="1:25" ht="15" customHeight="1">
      <c r="A1603">
        <f>+'Libro Diario'!F69</f>
        <v>1</v>
      </c>
      <c r="B1603" s="144">
        <f>VALUE(IF(+'Libro Diario'!G69="","01/01/2025",+'Libro Diario'!G69))</f>
        <v>45658</v>
      </c>
      <c r="C1603">
        <f>IF(ISNUMBER(+IF(IFERROR(VALUE(MID('Libro Diario'!C69,1,4)),0)&lt;&gt;0,'Libro Diario'!C69,0))=FALSE,'Libro Diario'!C69,0)</f>
        <v>0</v>
      </c>
      <c r="D1603" s="145">
        <f>+'Libro Diario'!B69</f>
        <v>0</v>
      </c>
      <c r="E1603" s="139" t="s">
        <v>445</v>
      </c>
      <c r="F1603" t="str">
        <f t="shared" ref="F1603:F1666" si="75">+IF(C1603=0,"Sin Mov.","Con Mov.")</f>
        <v>Sin Mov.</v>
      </c>
      <c r="G1603" t="str">
        <f>IF(+'Libro Diario'!H69=0,"",+'Libro Diario'!H69)</f>
        <v>Asiento de Apertura</v>
      </c>
      <c r="H1603" t="str">
        <f>IF(+'Libro Diario'!I69=0,"",+'Libro Diario'!I69)</f>
        <v/>
      </c>
      <c r="I1603" t="str">
        <f>+IF(Table3[[#This Row],[Tipo Movimiento]]="Estructura Balance y PyG","Excluir","Incluir")</f>
        <v>Incluir</v>
      </c>
      <c r="J1603" s="153">
        <f>+IF(Table3[[#This Row],[Sin cuenta]]="Con Mov.",(IF(Table3[[#This Row],[Movimiento]]="Debe",Table3[[#This Row],[Importe]],IF(Table3[[#This Row],[Movimiento]]="Haber",Table3[[#This Row],[Importe]]*-1,0))),0)</f>
        <v>0</v>
      </c>
      <c r="K1603" s="145">
        <f t="shared" ref="K1603:K1666" si="76">+IF(E1603="Debe",D1603,"")</f>
        <v>0</v>
      </c>
      <c r="L1603" s="145" t="str">
        <f t="shared" ref="L1603:L1666" si="77">+IF(E1603="Haber",D1603,"")</f>
        <v/>
      </c>
      <c r="M1603" t="str">
        <f>_xlfn.XLOOKUP(Table3[[#This Row],[Cuenta]],Estructura_Balance[Nombre Cuenta ()],Estructura_Balance[Grupo],"",0)</f>
        <v/>
      </c>
      <c r="N1603" t="str">
        <f>_xlfn.XLOOKUP(Table3[[#This Row],[Cuenta]],Estructura_Balance[Nombre Cuenta ()],Estructura_Balance[Nivel 1],"",0)</f>
        <v/>
      </c>
      <c r="O1603" t="str">
        <f>_xlfn.XLOOKUP(Table3[[#This Row],[Cuenta]],Estructura_Balance[Nombre Cuenta ()],Estructura_Balance[Nivel 2],"",0)</f>
        <v/>
      </c>
      <c r="P1603" t="str">
        <f>_xlfn.XLOOKUP(Table3[[#This Row],[Cuenta]],Estructura_Balance[Nombre Cuenta ()],Estructura_Balance[Nivel 3],"",0)</f>
        <v/>
      </c>
      <c r="Q1603" t="str">
        <f>_xlfn.XLOOKUP(Table3[[#This Row],[Cuenta]],Estructura_Balance[Nombre Cuenta ()],Estructura_Balance[Nivel 4],"",0)</f>
        <v/>
      </c>
      <c r="R1603" t="str">
        <f>_xlfn.XLOOKUP(Table3[[#This Row],[Cuenta]],Table8[Nombre Cuenta ()],Table8[Nivel 1],"",0)</f>
        <v/>
      </c>
      <c r="S1603" t="str">
        <f>_xlfn.XLOOKUP(Table3[[#This Row],[Cuenta]],Table8[Nombre Cuenta ()],Table8[Nivel 2],"",0)</f>
        <v/>
      </c>
      <c r="T1603" t="str">
        <f>_xlfn.XLOOKUP(Table3[[#This Row],[Cuenta]],Table8[Nombre Cuenta ()],Table8[Nivel 3],"",0)</f>
        <v/>
      </c>
      <c r="U1603">
        <v>79</v>
      </c>
      <c r="V1603" t="str">
        <f>_xlfn.XLOOKUP(Table3[[#This Row],[Cuenta]],Estructura_Balance[Nombre Cuenta ()],Estructura_Balance[Niveles:2],"",0)</f>
        <v/>
      </c>
      <c r="W1603" t="str">
        <f>_xlfn.XLOOKUP(Table3[[#This Row],[Cuenta]],Estructura_Balance[Nombre Cuenta ()],Estructura_Balance[Niveles:3],"",0)</f>
        <v/>
      </c>
      <c r="X1603" t="str">
        <f>_xlfn.XLOOKUP(Table3[[#This Row],[Cuenta]],Estructura_Balance[Nombre Cuenta ()],Estructura_Balance[Grupos],"Grupo 1",0)</f>
        <v>Grupo 1</v>
      </c>
      <c r="Y1603" t="str">
        <f>+Table3[[#This Row],[BS_Nivel_1]]</f>
        <v/>
      </c>
    </row>
    <row r="1604" spans="1:25" ht="15" customHeight="1">
      <c r="A1604">
        <f>+'Libro Diario'!F70</f>
        <v>1</v>
      </c>
      <c r="B1604" s="144">
        <f>VALUE(IF(+'Libro Diario'!G70="","01/01/2025",+'Libro Diario'!G70))</f>
        <v>45658</v>
      </c>
      <c r="C1604">
        <f>IF(ISNUMBER(+IF(IFERROR(VALUE(MID('Libro Diario'!C70,1,4)),0)&lt;&gt;0,'Libro Diario'!C70,0))=FALSE,'Libro Diario'!C70,0)</f>
        <v>0</v>
      </c>
      <c r="D1604" s="145">
        <f>+'Libro Diario'!B70</f>
        <v>0</v>
      </c>
      <c r="E1604" s="139" t="s">
        <v>445</v>
      </c>
      <c r="F1604" t="str">
        <f t="shared" si="75"/>
        <v>Sin Mov.</v>
      </c>
      <c r="G1604" t="str">
        <f>IF(+'Libro Diario'!H70=0,"",+'Libro Diario'!H70)</f>
        <v>Asiento de Apertura</v>
      </c>
      <c r="H1604" t="str">
        <f>IF(+'Libro Diario'!I70=0,"",+'Libro Diario'!I70)</f>
        <v/>
      </c>
      <c r="I1604" t="str">
        <f>+IF(Table3[[#This Row],[Tipo Movimiento]]="Estructura Balance y PyG","Excluir","Incluir")</f>
        <v>Incluir</v>
      </c>
      <c r="J1604" s="153">
        <f>+IF(Table3[[#This Row],[Sin cuenta]]="Con Mov.",(IF(Table3[[#This Row],[Movimiento]]="Debe",Table3[[#This Row],[Importe]],IF(Table3[[#This Row],[Movimiento]]="Haber",Table3[[#This Row],[Importe]]*-1,0))),0)</f>
        <v>0</v>
      </c>
      <c r="K1604" s="145">
        <f t="shared" si="76"/>
        <v>0</v>
      </c>
      <c r="L1604" s="145" t="str">
        <f t="shared" si="77"/>
        <v/>
      </c>
      <c r="M1604" t="str">
        <f>_xlfn.XLOOKUP(Table3[[#This Row],[Cuenta]],Estructura_Balance[Nombre Cuenta ()],Estructura_Balance[Grupo],"",0)</f>
        <v/>
      </c>
      <c r="N1604" t="str">
        <f>_xlfn.XLOOKUP(Table3[[#This Row],[Cuenta]],Estructura_Balance[Nombre Cuenta ()],Estructura_Balance[Nivel 1],"",0)</f>
        <v/>
      </c>
      <c r="O1604" t="str">
        <f>_xlfn.XLOOKUP(Table3[[#This Row],[Cuenta]],Estructura_Balance[Nombre Cuenta ()],Estructura_Balance[Nivel 2],"",0)</f>
        <v/>
      </c>
      <c r="P1604" t="str">
        <f>_xlfn.XLOOKUP(Table3[[#This Row],[Cuenta]],Estructura_Balance[Nombre Cuenta ()],Estructura_Balance[Nivel 3],"",0)</f>
        <v/>
      </c>
      <c r="Q1604" t="str">
        <f>_xlfn.XLOOKUP(Table3[[#This Row],[Cuenta]],Estructura_Balance[Nombre Cuenta ()],Estructura_Balance[Nivel 4],"",0)</f>
        <v/>
      </c>
      <c r="R1604" t="str">
        <f>_xlfn.XLOOKUP(Table3[[#This Row],[Cuenta]],Table8[Nombre Cuenta ()],Table8[Nivel 1],"",0)</f>
        <v/>
      </c>
      <c r="S1604" t="str">
        <f>_xlfn.XLOOKUP(Table3[[#This Row],[Cuenta]],Table8[Nombre Cuenta ()],Table8[Nivel 2],"",0)</f>
        <v/>
      </c>
      <c r="T1604" t="str">
        <f>_xlfn.XLOOKUP(Table3[[#This Row],[Cuenta]],Table8[Nombre Cuenta ()],Table8[Nivel 3],"",0)</f>
        <v/>
      </c>
      <c r="U1604">
        <v>80</v>
      </c>
      <c r="V1604" t="str">
        <f>_xlfn.XLOOKUP(Table3[[#This Row],[Cuenta]],Estructura_Balance[Nombre Cuenta ()],Estructura_Balance[Niveles:2],"",0)</f>
        <v/>
      </c>
      <c r="W1604" t="str">
        <f>_xlfn.XLOOKUP(Table3[[#This Row],[Cuenta]],Estructura_Balance[Nombre Cuenta ()],Estructura_Balance[Niveles:3],"",0)</f>
        <v/>
      </c>
      <c r="X1604" t="str">
        <f>_xlfn.XLOOKUP(Table3[[#This Row],[Cuenta]],Estructura_Balance[Nombre Cuenta ()],Estructura_Balance[Grupos],"Grupo 1",0)</f>
        <v>Grupo 1</v>
      </c>
      <c r="Y1604" t="str">
        <f>+Table3[[#This Row],[BS_Nivel_1]]</f>
        <v/>
      </c>
    </row>
    <row r="1605" spans="1:25" ht="15" customHeight="1">
      <c r="A1605">
        <f>+'Libro Diario'!F71</f>
        <v>1</v>
      </c>
      <c r="B1605" s="144">
        <f>VALUE(IF(+'Libro Diario'!G71="","01/01/2025",+'Libro Diario'!G71))</f>
        <v>45658</v>
      </c>
      <c r="C1605">
        <f>IF(ISNUMBER(+IF(IFERROR(VALUE(MID('Libro Diario'!C71,1,4)),0)&lt;&gt;0,'Libro Diario'!C71,0))=FALSE,'Libro Diario'!C71,0)</f>
        <v>0</v>
      </c>
      <c r="D1605" s="145">
        <f>+'Libro Diario'!B71</f>
        <v>0</v>
      </c>
      <c r="E1605" s="139" t="s">
        <v>445</v>
      </c>
      <c r="F1605" t="str">
        <f t="shared" si="75"/>
        <v>Sin Mov.</v>
      </c>
      <c r="G1605" t="str">
        <f>IF(+'Libro Diario'!H71=0,"",+'Libro Diario'!H71)</f>
        <v>Asiento de Apertura</v>
      </c>
      <c r="H1605" t="str">
        <f>IF(+'Libro Diario'!I71=0,"",+'Libro Diario'!I71)</f>
        <v/>
      </c>
      <c r="I1605" t="str">
        <f>+IF(Table3[[#This Row],[Tipo Movimiento]]="Estructura Balance y PyG","Excluir","Incluir")</f>
        <v>Incluir</v>
      </c>
      <c r="J1605" s="153">
        <f>+IF(Table3[[#This Row],[Sin cuenta]]="Con Mov.",(IF(Table3[[#This Row],[Movimiento]]="Debe",Table3[[#This Row],[Importe]],IF(Table3[[#This Row],[Movimiento]]="Haber",Table3[[#This Row],[Importe]]*-1,0))),0)</f>
        <v>0</v>
      </c>
      <c r="K1605" s="145">
        <f t="shared" si="76"/>
        <v>0</v>
      </c>
      <c r="L1605" s="145" t="str">
        <f t="shared" si="77"/>
        <v/>
      </c>
      <c r="M1605" t="str">
        <f>_xlfn.XLOOKUP(Table3[[#This Row],[Cuenta]],Estructura_Balance[Nombre Cuenta ()],Estructura_Balance[Grupo],"",0)</f>
        <v/>
      </c>
      <c r="N1605" t="str">
        <f>_xlfn.XLOOKUP(Table3[[#This Row],[Cuenta]],Estructura_Balance[Nombre Cuenta ()],Estructura_Balance[Nivel 1],"",0)</f>
        <v/>
      </c>
      <c r="O1605" t="str">
        <f>_xlfn.XLOOKUP(Table3[[#This Row],[Cuenta]],Estructura_Balance[Nombre Cuenta ()],Estructura_Balance[Nivel 2],"",0)</f>
        <v/>
      </c>
      <c r="P1605" t="str">
        <f>_xlfn.XLOOKUP(Table3[[#This Row],[Cuenta]],Estructura_Balance[Nombre Cuenta ()],Estructura_Balance[Nivel 3],"",0)</f>
        <v/>
      </c>
      <c r="Q1605" t="str">
        <f>_xlfn.XLOOKUP(Table3[[#This Row],[Cuenta]],Estructura_Balance[Nombre Cuenta ()],Estructura_Balance[Nivel 4],"",0)</f>
        <v/>
      </c>
      <c r="R1605" t="str">
        <f>_xlfn.XLOOKUP(Table3[[#This Row],[Cuenta]],Table8[Nombre Cuenta ()],Table8[Nivel 1],"",0)</f>
        <v/>
      </c>
      <c r="S1605" t="str">
        <f>_xlfn.XLOOKUP(Table3[[#This Row],[Cuenta]],Table8[Nombre Cuenta ()],Table8[Nivel 2],"",0)</f>
        <v/>
      </c>
      <c r="T1605" t="str">
        <f>_xlfn.XLOOKUP(Table3[[#This Row],[Cuenta]],Table8[Nombre Cuenta ()],Table8[Nivel 3],"",0)</f>
        <v/>
      </c>
      <c r="U1605">
        <v>81</v>
      </c>
      <c r="V1605" t="str">
        <f>_xlfn.XLOOKUP(Table3[[#This Row],[Cuenta]],Estructura_Balance[Nombre Cuenta ()],Estructura_Balance[Niveles:2],"",0)</f>
        <v/>
      </c>
      <c r="W1605" t="str">
        <f>_xlfn.XLOOKUP(Table3[[#This Row],[Cuenta]],Estructura_Balance[Nombre Cuenta ()],Estructura_Balance[Niveles:3],"",0)</f>
        <v/>
      </c>
      <c r="X1605" t="str">
        <f>_xlfn.XLOOKUP(Table3[[#This Row],[Cuenta]],Estructura_Balance[Nombre Cuenta ()],Estructura_Balance[Grupos],"Grupo 1",0)</f>
        <v>Grupo 1</v>
      </c>
      <c r="Y1605" t="str">
        <f>+Table3[[#This Row],[BS_Nivel_1]]</f>
        <v/>
      </c>
    </row>
    <row r="1606" spans="1:25" ht="15" customHeight="1">
      <c r="A1606">
        <f>+'Libro Diario'!F72</f>
        <v>1</v>
      </c>
      <c r="B1606" s="144">
        <f>VALUE(IF(+'Libro Diario'!G72="","01/01/2025",+'Libro Diario'!G72))</f>
        <v>45658</v>
      </c>
      <c r="C1606">
        <f>IF(ISNUMBER(+IF(IFERROR(VALUE(MID('Libro Diario'!C72,1,4)),0)&lt;&gt;0,'Libro Diario'!C72,0))=FALSE,'Libro Diario'!C72,0)</f>
        <v>0</v>
      </c>
      <c r="D1606" s="145">
        <f>+'Libro Diario'!B72</f>
        <v>0</v>
      </c>
      <c r="E1606" s="139" t="s">
        <v>445</v>
      </c>
      <c r="F1606" t="str">
        <f t="shared" si="75"/>
        <v>Sin Mov.</v>
      </c>
      <c r="G1606" t="str">
        <f>IF(+'Libro Diario'!H72=0,"",+'Libro Diario'!H72)</f>
        <v>Asiento de Apertura</v>
      </c>
      <c r="H1606" t="str">
        <f>IF(+'Libro Diario'!I72=0,"",+'Libro Diario'!I72)</f>
        <v/>
      </c>
      <c r="I1606" t="str">
        <f>+IF(Table3[[#This Row],[Tipo Movimiento]]="Estructura Balance y PyG","Excluir","Incluir")</f>
        <v>Incluir</v>
      </c>
      <c r="J1606" s="153">
        <f>+IF(Table3[[#This Row],[Sin cuenta]]="Con Mov.",(IF(Table3[[#This Row],[Movimiento]]="Debe",Table3[[#This Row],[Importe]],IF(Table3[[#This Row],[Movimiento]]="Haber",Table3[[#This Row],[Importe]]*-1,0))),0)</f>
        <v>0</v>
      </c>
      <c r="K1606" s="145">
        <f t="shared" si="76"/>
        <v>0</v>
      </c>
      <c r="L1606" s="145" t="str">
        <f t="shared" si="77"/>
        <v/>
      </c>
      <c r="M1606" t="str">
        <f>_xlfn.XLOOKUP(Table3[[#This Row],[Cuenta]],Estructura_Balance[Nombre Cuenta ()],Estructura_Balance[Grupo],"",0)</f>
        <v/>
      </c>
      <c r="N1606" t="str">
        <f>_xlfn.XLOOKUP(Table3[[#This Row],[Cuenta]],Estructura_Balance[Nombre Cuenta ()],Estructura_Balance[Nivel 1],"",0)</f>
        <v/>
      </c>
      <c r="O1606" t="str">
        <f>_xlfn.XLOOKUP(Table3[[#This Row],[Cuenta]],Estructura_Balance[Nombre Cuenta ()],Estructura_Balance[Nivel 2],"",0)</f>
        <v/>
      </c>
      <c r="P1606" t="str">
        <f>_xlfn.XLOOKUP(Table3[[#This Row],[Cuenta]],Estructura_Balance[Nombre Cuenta ()],Estructura_Balance[Nivel 3],"",0)</f>
        <v/>
      </c>
      <c r="Q1606" t="str">
        <f>_xlfn.XLOOKUP(Table3[[#This Row],[Cuenta]],Estructura_Balance[Nombre Cuenta ()],Estructura_Balance[Nivel 4],"",0)</f>
        <v/>
      </c>
      <c r="R1606" t="str">
        <f>_xlfn.XLOOKUP(Table3[[#This Row],[Cuenta]],Table8[Nombre Cuenta ()],Table8[Nivel 1],"",0)</f>
        <v/>
      </c>
      <c r="S1606" t="str">
        <f>_xlfn.XLOOKUP(Table3[[#This Row],[Cuenta]],Table8[Nombre Cuenta ()],Table8[Nivel 2],"",0)</f>
        <v/>
      </c>
      <c r="T1606" t="str">
        <f>_xlfn.XLOOKUP(Table3[[#This Row],[Cuenta]],Table8[Nombre Cuenta ()],Table8[Nivel 3],"",0)</f>
        <v/>
      </c>
      <c r="U1606">
        <v>82</v>
      </c>
      <c r="V1606" t="str">
        <f>_xlfn.XLOOKUP(Table3[[#This Row],[Cuenta]],Estructura_Balance[Nombre Cuenta ()],Estructura_Balance[Niveles:2],"",0)</f>
        <v/>
      </c>
      <c r="W1606" t="str">
        <f>_xlfn.XLOOKUP(Table3[[#This Row],[Cuenta]],Estructura_Balance[Nombre Cuenta ()],Estructura_Balance[Niveles:3],"",0)</f>
        <v/>
      </c>
      <c r="X1606" t="str">
        <f>_xlfn.XLOOKUP(Table3[[#This Row],[Cuenta]],Estructura_Balance[Nombre Cuenta ()],Estructura_Balance[Grupos],"Grupo 1",0)</f>
        <v>Grupo 1</v>
      </c>
      <c r="Y1606" t="str">
        <f>+Table3[[#This Row],[BS_Nivel_1]]</f>
        <v/>
      </c>
    </row>
    <row r="1607" spans="1:25" ht="15" customHeight="1">
      <c r="A1607">
        <f>+'Libro Diario'!F73</f>
        <v>1</v>
      </c>
      <c r="B1607" s="144">
        <f>VALUE(IF(+'Libro Diario'!G73="","01/01/2025",+'Libro Diario'!G73))</f>
        <v>45658</v>
      </c>
      <c r="C1607">
        <f>IF(ISNUMBER(+IF(IFERROR(VALUE(MID('Libro Diario'!C73,1,4)),0)&lt;&gt;0,'Libro Diario'!C73,0))=FALSE,'Libro Diario'!C73,0)</f>
        <v>0</v>
      </c>
      <c r="D1607" s="145">
        <f>+'Libro Diario'!B73</f>
        <v>0</v>
      </c>
      <c r="E1607" s="139" t="s">
        <v>445</v>
      </c>
      <c r="F1607" t="str">
        <f t="shared" si="75"/>
        <v>Sin Mov.</v>
      </c>
      <c r="G1607" t="str">
        <f>IF(+'Libro Diario'!H73=0,"",+'Libro Diario'!H73)</f>
        <v>Asiento de Apertura</v>
      </c>
      <c r="H1607" t="str">
        <f>IF(+'Libro Diario'!I73=0,"",+'Libro Diario'!I73)</f>
        <v/>
      </c>
      <c r="I1607" t="str">
        <f>+IF(Table3[[#This Row],[Tipo Movimiento]]="Estructura Balance y PyG","Excluir","Incluir")</f>
        <v>Incluir</v>
      </c>
      <c r="J1607" s="153">
        <f>+IF(Table3[[#This Row],[Sin cuenta]]="Con Mov.",(IF(Table3[[#This Row],[Movimiento]]="Debe",Table3[[#This Row],[Importe]],IF(Table3[[#This Row],[Movimiento]]="Haber",Table3[[#This Row],[Importe]]*-1,0))),0)</f>
        <v>0</v>
      </c>
      <c r="K1607" s="145">
        <f t="shared" si="76"/>
        <v>0</v>
      </c>
      <c r="L1607" s="145" t="str">
        <f t="shared" si="77"/>
        <v/>
      </c>
      <c r="M1607" t="str">
        <f>_xlfn.XLOOKUP(Table3[[#This Row],[Cuenta]],Estructura_Balance[Nombre Cuenta ()],Estructura_Balance[Grupo],"",0)</f>
        <v/>
      </c>
      <c r="N1607" t="str">
        <f>_xlfn.XLOOKUP(Table3[[#This Row],[Cuenta]],Estructura_Balance[Nombre Cuenta ()],Estructura_Balance[Nivel 1],"",0)</f>
        <v/>
      </c>
      <c r="O1607" t="str">
        <f>_xlfn.XLOOKUP(Table3[[#This Row],[Cuenta]],Estructura_Balance[Nombre Cuenta ()],Estructura_Balance[Nivel 2],"",0)</f>
        <v/>
      </c>
      <c r="P1607" t="str">
        <f>_xlfn.XLOOKUP(Table3[[#This Row],[Cuenta]],Estructura_Balance[Nombre Cuenta ()],Estructura_Balance[Nivel 3],"",0)</f>
        <v/>
      </c>
      <c r="Q1607" t="str">
        <f>_xlfn.XLOOKUP(Table3[[#This Row],[Cuenta]],Estructura_Balance[Nombre Cuenta ()],Estructura_Balance[Nivel 4],"",0)</f>
        <v/>
      </c>
      <c r="R1607" t="str">
        <f>_xlfn.XLOOKUP(Table3[[#This Row],[Cuenta]],Table8[Nombre Cuenta ()],Table8[Nivel 1],"",0)</f>
        <v/>
      </c>
      <c r="S1607" t="str">
        <f>_xlfn.XLOOKUP(Table3[[#This Row],[Cuenta]],Table8[Nombre Cuenta ()],Table8[Nivel 2],"",0)</f>
        <v/>
      </c>
      <c r="T1607" t="str">
        <f>_xlfn.XLOOKUP(Table3[[#This Row],[Cuenta]],Table8[Nombre Cuenta ()],Table8[Nivel 3],"",0)</f>
        <v/>
      </c>
      <c r="U1607">
        <v>83</v>
      </c>
      <c r="V1607" t="str">
        <f>_xlfn.XLOOKUP(Table3[[#This Row],[Cuenta]],Estructura_Balance[Nombre Cuenta ()],Estructura_Balance[Niveles:2],"",0)</f>
        <v/>
      </c>
      <c r="W1607" t="str">
        <f>_xlfn.XLOOKUP(Table3[[#This Row],[Cuenta]],Estructura_Balance[Nombre Cuenta ()],Estructura_Balance[Niveles:3],"",0)</f>
        <v/>
      </c>
      <c r="X1607" t="str">
        <f>_xlfn.XLOOKUP(Table3[[#This Row],[Cuenta]],Estructura_Balance[Nombre Cuenta ()],Estructura_Balance[Grupos],"Grupo 1",0)</f>
        <v>Grupo 1</v>
      </c>
      <c r="Y1607" t="str">
        <f>+Table3[[#This Row],[BS_Nivel_1]]</f>
        <v/>
      </c>
    </row>
    <row r="1608" spans="1:25" ht="15" customHeight="1">
      <c r="A1608">
        <f>+'Libro Diario'!F74</f>
        <v>1</v>
      </c>
      <c r="B1608" s="144">
        <f>VALUE(IF(+'Libro Diario'!G74="","01/01/2025",+'Libro Diario'!G74))</f>
        <v>45658</v>
      </c>
      <c r="C1608">
        <f>IF(ISNUMBER(+IF(IFERROR(VALUE(MID('Libro Diario'!C74,1,4)),0)&lt;&gt;0,'Libro Diario'!C74,0))=FALSE,'Libro Diario'!C74,0)</f>
        <v>0</v>
      </c>
      <c r="D1608" s="145">
        <f>+'Libro Diario'!B74</f>
        <v>0</v>
      </c>
      <c r="E1608" s="139" t="s">
        <v>445</v>
      </c>
      <c r="F1608" t="str">
        <f t="shared" si="75"/>
        <v>Sin Mov.</v>
      </c>
      <c r="G1608" t="str">
        <f>IF(+'Libro Diario'!H74=0,"",+'Libro Diario'!H74)</f>
        <v>Asiento de Apertura</v>
      </c>
      <c r="H1608" t="str">
        <f>IF(+'Libro Diario'!I74=0,"",+'Libro Diario'!I74)</f>
        <v/>
      </c>
      <c r="I1608" t="str">
        <f>+IF(Table3[[#This Row],[Tipo Movimiento]]="Estructura Balance y PyG","Excluir","Incluir")</f>
        <v>Incluir</v>
      </c>
      <c r="J1608" s="153">
        <f>+IF(Table3[[#This Row],[Sin cuenta]]="Con Mov.",(IF(Table3[[#This Row],[Movimiento]]="Debe",Table3[[#This Row],[Importe]],IF(Table3[[#This Row],[Movimiento]]="Haber",Table3[[#This Row],[Importe]]*-1,0))),0)</f>
        <v>0</v>
      </c>
      <c r="K1608" s="145">
        <f t="shared" si="76"/>
        <v>0</v>
      </c>
      <c r="L1608" s="145" t="str">
        <f t="shared" si="77"/>
        <v/>
      </c>
      <c r="M1608" t="str">
        <f>_xlfn.XLOOKUP(Table3[[#This Row],[Cuenta]],Estructura_Balance[Nombre Cuenta ()],Estructura_Balance[Grupo],"",0)</f>
        <v/>
      </c>
      <c r="N1608" t="str">
        <f>_xlfn.XLOOKUP(Table3[[#This Row],[Cuenta]],Estructura_Balance[Nombre Cuenta ()],Estructura_Balance[Nivel 1],"",0)</f>
        <v/>
      </c>
      <c r="O1608" t="str">
        <f>_xlfn.XLOOKUP(Table3[[#This Row],[Cuenta]],Estructura_Balance[Nombre Cuenta ()],Estructura_Balance[Nivel 2],"",0)</f>
        <v/>
      </c>
      <c r="P1608" t="str">
        <f>_xlfn.XLOOKUP(Table3[[#This Row],[Cuenta]],Estructura_Balance[Nombre Cuenta ()],Estructura_Balance[Nivel 3],"",0)</f>
        <v/>
      </c>
      <c r="Q1608" t="str">
        <f>_xlfn.XLOOKUP(Table3[[#This Row],[Cuenta]],Estructura_Balance[Nombre Cuenta ()],Estructura_Balance[Nivel 4],"",0)</f>
        <v/>
      </c>
      <c r="R1608" t="str">
        <f>_xlfn.XLOOKUP(Table3[[#This Row],[Cuenta]],Table8[Nombre Cuenta ()],Table8[Nivel 1],"",0)</f>
        <v/>
      </c>
      <c r="S1608" t="str">
        <f>_xlfn.XLOOKUP(Table3[[#This Row],[Cuenta]],Table8[Nombre Cuenta ()],Table8[Nivel 2],"",0)</f>
        <v/>
      </c>
      <c r="T1608" t="str">
        <f>_xlfn.XLOOKUP(Table3[[#This Row],[Cuenta]],Table8[Nombre Cuenta ()],Table8[Nivel 3],"",0)</f>
        <v/>
      </c>
      <c r="U1608">
        <v>86</v>
      </c>
      <c r="V1608" t="str">
        <f>_xlfn.XLOOKUP(Table3[[#This Row],[Cuenta]],Estructura_Balance[Nombre Cuenta ()],Estructura_Balance[Niveles:2],"",0)</f>
        <v/>
      </c>
      <c r="W1608" t="str">
        <f>_xlfn.XLOOKUP(Table3[[#This Row],[Cuenta]],Estructura_Balance[Nombre Cuenta ()],Estructura_Balance[Niveles:3],"",0)</f>
        <v/>
      </c>
      <c r="X1608" t="str">
        <f>_xlfn.XLOOKUP(Table3[[#This Row],[Cuenta]],Estructura_Balance[Nombre Cuenta ()],Estructura_Balance[Grupos],"Grupo 1",0)</f>
        <v>Grupo 1</v>
      </c>
      <c r="Y1608" t="str">
        <f>+Table3[[#This Row],[BS_Nivel_1]]</f>
        <v/>
      </c>
    </row>
    <row r="1609" spans="1:25" ht="15" customHeight="1">
      <c r="A1609">
        <f>+'Libro Diario'!F75</f>
        <v>1</v>
      </c>
      <c r="B1609" s="144">
        <f>VALUE(IF(+'Libro Diario'!G75="","01/01/2025",+'Libro Diario'!G75))</f>
        <v>45658</v>
      </c>
      <c r="C1609">
        <f>IF(ISNUMBER(+IF(IFERROR(VALUE(MID('Libro Diario'!C75,1,4)),0)&lt;&gt;0,'Libro Diario'!C75,0))=FALSE,'Libro Diario'!C75,0)</f>
        <v>0</v>
      </c>
      <c r="D1609" s="145">
        <f>+'Libro Diario'!B75</f>
        <v>0</v>
      </c>
      <c r="E1609" s="139" t="s">
        <v>445</v>
      </c>
      <c r="F1609" t="str">
        <f t="shared" si="75"/>
        <v>Sin Mov.</v>
      </c>
      <c r="G1609" t="str">
        <f>IF(+'Libro Diario'!H75=0,"",+'Libro Diario'!H75)</f>
        <v>Asiento de Apertura</v>
      </c>
      <c r="H1609" t="str">
        <f>IF(+'Libro Diario'!I75=0,"",+'Libro Diario'!I75)</f>
        <v/>
      </c>
      <c r="I1609" t="str">
        <f>+IF(Table3[[#This Row],[Tipo Movimiento]]="Estructura Balance y PyG","Excluir","Incluir")</f>
        <v>Incluir</v>
      </c>
      <c r="J1609" s="153">
        <f>+IF(Table3[[#This Row],[Sin cuenta]]="Con Mov.",(IF(Table3[[#This Row],[Movimiento]]="Debe",Table3[[#This Row],[Importe]],IF(Table3[[#This Row],[Movimiento]]="Haber",Table3[[#This Row],[Importe]]*-1,0))),0)</f>
        <v>0</v>
      </c>
      <c r="K1609" s="145">
        <f t="shared" si="76"/>
        <v>0</v>
      </c>
      <c r="L1609" s="145" t="str">
        <f t="shared" si="77"/>
        <v/>
      </c>
      <c r="M1609" t="str">
        <f>_xlfn.XLOOKUP(Table3[[#This Row],[Cuenta]],Estructura_Balance[Nombre Cuenta ()],Estructura_Balance[Grupo],"",0)</f>
        <v/>
      </c>
      <c r="N1609" t="str">
        <f>_xlfn.XLOOKUP(Table3[[#This Row],[Cuenta]],Estructura_Balance[Nombre Cuenta ()],Estructura_Balance[Nivel 1],"",0)</f>
        <v/>
      </c>
      <c r="O1609" t="str">
        <f>_xlfn.XLOOKUP(Table3[[#This Row],[Cuenta]],Estructura_Balance[Nombre Cuenta ()],Estructura_Balance[Nivel 2],"",0)</f>
        <v/>
      </c>
      <c r="P1609" t="str">
        <f>_xlfn.XLOOKUP(Table3[[#This Row],[Cuenta]],Estructura_Balance[Nombre Cuenta ()],Estructura_Balance[Nivel 3],"",0)</f>
        <v/>
      </c>
      <c r="Q1609" t="str">
        <f>_xlfn.XLOOKUP(Table3[[#This Row],[Cuenta]],Estructura_Balance[Nombre Cuenta ()],Estructura_Balance[Nivel 4],"",0)</f>
        <v/>
      </c>
      <c r="R1609" t="str">
        <f>_xlfn.XLOOKUP(Table3[[#This Row],[Cuenta]],Table8[Nombre Cuenta ()],Table8[Nivel 1],"",0)</f>
        <v/>
      </c>
      <c r="S1609" t="str">
        <f>_xlfn.XLOOKUP(Table3[[#This Row],[Cuenta]],Table8[Nombre Cuenta ()],Table8[Nivel 2],"",0)</f>
        <v/>
      </c>
      <c r="T1609" t="str">
        <f>_xlfn.XLOOKUP(Table3[[#This Row],[Cuenta]],Table8[Nombre Cuenta ()],Table8[Nivel 3],"",0)</f>
        <v/>
      </c>
      <c r="U1609">
        <v>87</v>
      </c>
      <c r="V1609" t="str">
        <f>_xlfn.XLOOKUP(Table3[[#This Row],[Cuenta]],Estructura_Balance[Nombre Cuenta ()],Estructura_Balance[Niveles:2],"",0)</f>
        <v/>
      </c>
      <c r="W1609" t="str">
        <f>_xlfn.XLOOKUP(Table3[[#This Row],[Cuenta]],Estructura_Balance[Nombre Cuenta ()],Estructura_Balance[Niveles:3],"",0)</f>
        <v/>
      </c>
      <c r="X1609" t="str">
        <f>_xlfn.XLOOKUP(Table3[[#This Row],[Cuenta]],Estructura_Balance[Nombre Cuenta ()],Estructura_Balance[Grupos],"Grupo 1",0)</f>
        <v>Grupo 1</v>
      </c>
      <c r="Y1609" t="str">
        <f>+Table3[[#This Row],[BS_Nivel_1]]</f>
        <v/>
      </c>
    </row>
    <row r="1610" spans="1:25" ht="15" customHeight="1">
      <c r="A1610">
        <f>+'Libro Diario'!F76</f>
        <v>1</v>
      </c>
      <c r="B1610" s="144">
        <f>VALUE(IF(+'Libro Diario'!G76="","01/01/2025",+'Libro Diario'!G76))</f>
        <v>45658</v>
      </c>
      <c r="C1610">
        <f>IF(ISNUMBER(+IF(IFERROR(VALUE(MID('Libro Diario'!C76,1,4)),0)&lt;&gt;0,'Libro Diario'!C76,0))=FALSE,'Libro Diario'!C76,0)</f>
        <v>0</v>
      </c>
      <c r="D1610" s="145">
        <f>+'Libro Diario'!B76</f>
        <v>0</v>
      </c>
      <c r="E1610" s="139" t="s">
        <v>445</v>
      </c>
      <c r="F1610" t="str">
        <f t="shared" si="75"/>
        <v>Sin Mov.</v>
      </c>
      <c r="G1610" t="str">
        <f>IF(+'Libro Diario'!H76=0,"",+'Libro Diario'!H76)</f>
        <v>Asiento de Apertura</v>
      </c>
      <c r="H1610" t="str">
        <f>IF(+'Libro Diario'!I76=0,"",+'Libro Diario'!I76)</f>
        <v/>
      </c>
      <c r="I1610" t="str">
        <f>+IF(Table3[[#This Row],[Tipo Movimiento]]="Estructura Balance y PyG","Excluir","Incluir")</f>
        <v>Incluir</v>
      </c>
      <c r="J1610" s="153">
        <f>+IF(Table3[[#This Row],[Sin cuenta]]="Con Mov.",(IF(Table3[[#This Row],[Movimiento]]="Debe",Table3[[#This Row],[Importe]],IF(Table3[[#This Row],[Movimiento]]="Haber",Table3[[#This Row],[Importe]]*-1,0))),0)</f>
        <v>0</v>
      </c>
      <c r="K1610" s="145">
        <f t="shared" si="76"/>
        <v>0</v>
      </c>
      <c r="L1610" s="145" t="str">
        <f t="shared" si="77"/>
        <v/>
      </c>
      <c r="M1610" t="str">
        <f>_xlfn.XLOOKUP(Table3[[#This Row],[Cuenta]],Estructura_Balance[Nombre Cuenta ()],Estructura_Balance[Grupo],"",0)</f>
        <v/>
      </c>
      <c r="N1610" t="str">
        <f>_xlfn.XLOOKUP(Table3[[#This Row],[Cuenta]],Estructura_Balance[Nombre Cuenta ()],Estructura_Balance[Nivel 1],"",0)</f>
        <v/>
      </c>
      <c r="O1610" t="str">
        <f>_xlfn.XLOOKUP(Table3[[#This Row],[Cuenta]],Estructura_Balance[Nombre Cuenta ()],Estructura_Balance[Nivel 2],"",0)</f>
        <v/>
      </c>
      <c r="P1610" t="str">
        <f>_xlfn.XLOOKUP(Table3[[#This Row],[Cuenta]],Estructura_Balance[Nombre Cuenta ()],Estructura_Balance[Nivel 3],"",0)</f>
        <v/>
      </c>
      <c r="Q1610" t="str">
        <f>_xlfn.XLOOKUP(Table3[[#This Row],[Cuenta]],Estructura_Balance[Nombre Cuenta ()],Estructura_Balance[Nivel 4],"",0)</f>
        <v/>
      </c>
      <c r="R1610" t="str">
        <f>_xlfn.XLOOKUP(Table3[[#This Row],[Cuenta]],Table8[Nombre Cuenta ()],Table8[Nivel 1],"",0)</f>
        <v/>
      </c>
      <c r="S1610" t="str">
        <f>_xlfn.XLOOKUP(Table3[[#This Row],[Cuenta]],Table8[Nombre Cuenta ()],Table8[Nivel 2],"",0)</f>
        <v/>
      </c>
      <c r="T1610" t="str">
        <f>_xlfn.XLOOKUP(Table3[[#This Row],[Cuenta]],Table8[Nombre Cuenta ()],Table8[Nivel 3],"",0)</f>
        <v/>
      </c>
      <c r="U1610">
        <v>88</v>
      </c>
      <c r="V1610" t="str">
        <f>_xlfn.XLOOKUP(Table3[[#This Row],[Cuenta]],Estructura_Balance[Nombre Cuenta ()],Estructura_Balance[Niveles:2],"",0)</f>
        <v/>
      </c>
      <c r="W1610" t="str">
        <f>_xlfn.XLOOKUP(Table3[[#This Row],[Cuenta]],Estructura_Balance[Nombre Cuenta ()],Estructura_Balance[Niveles:3],"",0)</f>
        <v/>
      </c>
      <c r="X1610" t="str">
        <f>_xlfn.XLOOKUP(Table3[[#This Row],[Cuenta]],Estructura_Balance[Nombre Cuenta ()],Estructura_Balance[Grupos],"Grupo 1",0)</f>
        <v>Grupo 1</v>
      </c>
      <c r="Y1610" t="str">
        <f>+Table3[[#This Row],[BS_Nivel_1]]</f>
        <v/>
      </c>
    </row>
    <row r="1611" spans="1:25" ht="15" customHeight="1">
      <c r="A1611">
        <f>+'Libro Diario'!F77</f>
        <v>1</v>
      </c>
      <c r="B1611" s="144">
        <f>VALUE(IF(+'Libro Diario'!G77="","01/01/2025",+'Libro Diario'!G77))</f>
        <v>45658</v>
      </c>
      <c r="C1611">
        <f>IF(ISNUMBER(+IF(IFERROR(VALUE(MID('Libro Diario'!C77,1,4)),0)&lt;&gt;0,'Libro Diario'!C77,0))=FALSE,'Libro Diario'!C77,0)</f>
        <v>0</v>
      </c>
      <c r="D1611" s="145">
        <f>+'Libro Diario'!B77</f>
        <v>0</v>
      </c>
      <c r="E1611" s="139" t="s">
        <v>445</v>
      </c>
      <c r="F1611" t="str">
        <f t="shared" si="75"/>
        <v>Sin Mov.</v>
      </c>
      <c r="G1611" t="str">
        <f>IF(+'Libro Diario'!H77=0,"",+'Libro Diario'!H77)</f>
        <v>Asiento de Apertura</v>
      </c>
      <c r="H1611" t="str">
        <f>IF(+'Libro Diario'!I77=0,"",+'Libro Diario'!I77)</f>
        <v/>
      </c>
      <c r="I1611" t="str">
        <f>+IF(Table3[[#This Row],[Tipo Movimiento]]="Estructura Balance y PyG","Excluir","Incluir")</f>
        <v>Incluir</v>
      </c>
      <c r="J1611" s="153">
        <f>+IF(Table3[[#This Row],[Sin cuenta]]="Con Mov.",(IF(Table3[[#This Row],[Movimiento]]="Debe",Table3[[#This Row],[Importe]],IF(Table3[[#This Row],[Movimiento]]="Haber",Table3[[#This Row],[Importe]]*-1,0))),0)</f>
        <v>0</v>
      </c>
      <c r="K1611" s="145">
        <f t="shared" si="76"/>
        <v>0</v>
      </c>
      <c r="L1611" s="145" t="str">
        <f t="shared" si="77"/>
        <v/>
      </c>
      <c r="M1611" t="str">
        <f>_xlfn.XLOOKUP(Table3[[#This Row],[Cuenta]],Estructura_Balance[Nombre Cuenta ()],Estructura_Balance[Grupo],"",0)</f>
        <v/>
      </c>
      <c r="N1611" t="str">
        <f>_xlfn.XLOOKUP(Table3[[#This Row],[Cuenta]],Estructura_Balance[Nombre Cuenta ()],Estructura_Balance[Nivel 1],"",0)</f>
        <v/>
      </c>
      <c r="O1611" t="str">
        <f>_xlfn.XLOOKUP(Table3[[#This Row],[Cuenta]],Estructura_Balance[Nombre Cuenta ()],Estructura_Balance[Nivel 2],"",0)</f>
        <v/>
      </c>
      <c r="P1611" t="str">
        <f>_xlfn.XLOOKUP(Table3[[#This Row],[Cuenta]],Estructura_Balance[Nombre Cuenta ()],Estructura_Balance[Nivel 3],"",0)</f>
        <v/>
      </c>
      <c r="Q1611" t="str">
        <f>_xlfn.XLOOKUP(Table3[[#This Row],[Cuenta]],Estructura_Balance[Nombre Cuenta ()],Estructura_Balance[Nivel 4],"",0)</f>
        <v/>
      </c>
      <c r="R1611" t="str">
        <f>_xlfn.XLOOKUP(Table3[[#This Row],[Cuenta]],Table8[Nombre Cuenta ()],Table8[Nivel 1],"",0)</f>
        <v/>
      </c>
      <c r="S1611" t="str">
        <f>_xlfn.XLOOKUP(Table3[[#This Row],[Cuenta]],Table8[Nombre Cuenta ()],Table8[Nivel 2],"",0)</f>
        <v/>
      </c>
      <c r="T1611" t="str">
        <f>_xlfn.XLOOKUP(Table3[[#This Row],[Cuenta]],Table8[Nombre Cuenta ()],Table8[Nivel 3],"",0)</f>
        <v/>
      </c>
      <c r="U1611">
        <v>89</v>
      </c>
      <c r="V1611" t="str">
        <f>_xlfn.XLOOKUP(Table3[[#This Row],[Cuenta]],Estructura_Balance[Nombre Cuenta ()],Estructura_Balance[Niveles:2],"",0)</f>
        <v/>
      </c>
      <c r="W1611" t="str">
        <f>_xlfn.XLOOKUP(Table3[[#This Row],[Cuenta]],Estructura_Balance[Nombre Cuenta ()],Estructura_Balance[Niveles:3],"",0)</f>
        <v/>
      </c>
      <c r="X1611" t="str">
        <f>_xlfn.XLOOKUP(Table3[[#This Row],[Cuenta]],Estructura_Balance[Nombre Cuenta ()],Estructura_Balance[Grupos],"Grupo 1",0)</f>
        <v>Grupo 1</v>
      </c>
      <c r="Y1611" t="str">
        <f>+Table3[[#This Row],[BS_Nivel_1]]</f>
        <v/>
      </c>
    </row>
    <row r="1612" spans="1:25" ht="15" customHeight="1">
      <c r="A1612">
        <f>+'Libro Diario'!F59</f>
        <v>1</v>
      </c>
      <c r="B1612" s="144">
        <f>VALUE(IF(+'Libro Diario'!G59="","01/01/2025",+'Libro Diario'!G59))</f>
        <v>45658</v>
      </c>
      <c r="C1612">
        <f>IF(ISNUMBER(+IF(IFERROR(VALUE(MID('Libro Diario'!D59,1,4)),0)&lt;&gt;0,'Libro Diario'!D59,0))=FALSE,'Libro Diario'!D59,0)</f>
        <v>0</v>
      </c>
      <c r="D1612" s="145">
        <f>+'Libro Diario'!E59</f>
        <v>0</v>
      </c>
      <c r="E1612" s="139" t="s">
        <v>446</v>
      </c>
      <c r="F1612" t="str">
        <f t="shared" si="75"/>
        <v>Sin Mov.</v>
      </c>
      <c r="G1612" t="str">
        <f>IF(+'Libro Diario'!H59=0,"",+'Libro Diario'!H59)</f>
        <v>Asiento de Apertura</v>
      </c>
      <c r="H1612" t="str">
        <f>IF(+'Libro Diario'!I59=0,"",+'Libro Diario'!I59)</f>
        <v/>
      </c>
      <c r="I1612" t="str">
        <f>+IF(Table3[[#This Row],[Tipo Movimiento]]="Estructura Balance y PyG","Excluir","Incluir")</f>
        <v>Incluir</v>
      </c>
      <c r="J1612" s="153">
        <f>+IF(Table3[[#This Row],[Sin cuenta]]="Con Mov.",(IF(Table3[[#This Row],[Movimiento]]="Debe",Table3[[#This Row],[Importe]],IF(Table3[[#This Row],[Movimiento]]="Haber",Table3[[#This Row],[Importe]]*-1,0))),0)</f>
        <v>0</v>
      </c>
      <c r="K1612" s="145" t="str">
        <f t="shared" si="76"/>
        <v/>
      </c>
      <c r="L1612" s="145">
        <f t="shared" si="77"/>
        <v>0</v>
      </c>
      <c r="M1612" t="str">
        <f>_xlfn.XLOOKUP(Table3[[#This Row],[Cuenta]],Estructura_Balance[Nombre Cuenta ()],Estructura_Balance[Grupo],"",0)</f>
        <v/>
      </c>
      <c r="N1612" t="str">
        <f>_xlfn.XLOOKUP(Table3[[#This Row],[Cuenta]],Estructura_Balance[Nombre Cuenta ()],Estructura_Balance[Nivel 1],"",0)</f>
        <v/>
      </c>
      <c r="O1612" t="str">
        <f>_xlfn.XLOOKUP(Table3[[#This Row],[Cuenta]],Estructura_Balance[Nombre Cuenta ()],Estructura_Balance[Nivel 2],"",0)</f>
        <v/>
      </c>
      <c r="P1612" t="str">
        <f>_xlfn.XLOOKUP(Table3[[#This Row],[Cuenta]],Estructura_Balance[Nombre Cuenta ()],Estructura_Balance[Nivel 3],"",0)</f>
        <v/>
      </c>
      <c r="Q1612" t="str">
        <f>_xlfn.XLOOKUP(Table3[[#This Row],[Cuenta]],Estructura_Balance[Nombre Cuenta ()],Estructura_Balance[Nivel 4],"",0)</f>
        <v/>
      </c>
      <c r="R1612" t="str">
        <f>_xlfn.XLOOKUP(Table3[[#This Row],[Cuenta]],Table8[Nombre Cuenta ()],Table8[Nivel 1],"",0)</f>
        <v/>
      </c>
      <c r="S1612" t="str">
        <f>_xlfn.XLOOKUP(Table3[[#This Row],[Cuenta]],Table8[Nombre Cuenta ()],Table8[Nivel 2],"",0)</f>
        <v/>
      </c>
      <c r="T1612" t="str">
        <f>_xlfn.XLOOKUP(Table3[[#This Row],[Cuenta]],Table8[Nombre Cuenta ()],Table8[Nivel 3],"",0)</f>
        <v/>
      </c>
      <c r="U1612">
        <v>1354</v>
      </c>
      <c r="V1612" t="str">
        <f>_xlfn.XLOOKUP(Table3[[#This Row],[Cuenta]],Estructura_Balance[Nombre Cuenta ()],Estructura_Balance[Niveles:2],"",0)</f>
        <v/>
      </c>
      <c r="W1612" t="str">
        <f>_xlfn.XLOOKUP(Table3[[#This Row],[Cuenta]],Estructura_Balance[Nombre Cuenta ()],Estructura_Balance[Niveles:3],"",0)</f>
        <v/>
      </c>
      <c r="X1612" t="str">
        <f>_xlfn.XLOOKUP(Table3[[#This Row],[Cuenta]],Estructura_Balance[Nombre Cuenta ()],Estructura_Balance[Grupos],"Grupo 1",0)</f>
        <v>Grupo 1</v>
      </c>
      <c r="Y1612" t="str">
        <f>+Table3[[#This Row],[BS_Nivel_1]]</f>
        <v/>
      </c>
    </row>
    <row r="1613" spans="1:25" ht="15" customHeight="1">
      <c r="A1613">
        <f>+'Libro Diario'!F60</f>
        <v>1</v>
      </c>
      <c r="B1613" s="144">
        <f>VALUE(IF(+'Libro Diario'!G60="","01/01/2025",+'Libro Diario'!G60))</f>
        <v>45658</v>
      </c>
      <c r="C1613">
        <f>IF(ISNUMBER(+IF(IFERROR(VALUE(MID('Libro Diario'!D60,1,4)),0)&lt;&gt;0,'Libro Diario'!D60,0))=FALSE,'Libro Diario'!D60,0)</f>
        <v>0</v>
      </c>
      <c r="D1613" s="145">
        <f>+'Libro Diario'!E60</f>
        <v>0</v>
      </c>
      <c r="E1613" s="139" t="s">
        <v>446</v>
      </c>
      <c r="F1613" t="str">
        <f t="shared" si="75"/>
        <v>Sin Mov.</v>
      </c>
      <c r="G1613" t="str">
        <f>IF(+'Libro Diario'!H60=0,"",+'Libro Diario'!H60)</f>
        <v>Asiento de Apertura</v>
      </c>
      <c r="H1613" t="str">
        <f>IF(+'Libro Diario'!I60=0,"",+'Libro Diario'!I60)</f>
        <v/>
      </c>
      <c r="I1613" t="str">
        <f>+IF(Table3[[#This Row],[Tipo Movimiento]]="Estructura Balance y PyG","Excluir","Incluir")</f>
        <v>Incluir</v>
      </c>
      <c r="J1613" s="153">
        <f>+IF(Table3[[#This Row],[Sin cuenta]]="Con Mov.",(IF(Table3[[#This Row],[Movimiento]]="Debe",Table3[[#This Row],[Importe]],IF(Table3[[#This Row],[Movimiento]]="Haber",Table3[[#This Row],[Importe]]*-1,0))),0)</f>
        <v>0</v>
      </c>
      <c r="K1613" s="145" t="str">
        <f t="shared" si="76"/>
        <v/>
      </c>
      <c r="L1613" s="145">
        <f t="shared" si="77"/>
        <v>0</v>
      </c>
      <c r="M1613" t="str">
        <f>_xlfn.XLOOKUP(Table3[[#This Row],[Cuenta]],Estructura_Balance[Nombre Cuenta ()],Estructura_Balance[Grupo],"",0)</f>
        <v/>
      </c>
      <c r="N1613" t="str">
        <f>_xlfn.XLOOKUP(Table3[[#This Row],[Cuenta]],Estructura_Balance[Nombre Cuenta ()],Estructura_Balance[Nivel 1],"",0)</f>
        <v/>
      </c>
      <c r="O1613" t="str">
        <f>_xlfn.XLOOKUP(Table3[[#This Row],[Cuenta]],Estructura_Balance[Nombre Cuenta ()],Estructura_Balance[Nivel 2],"",0)</f>
        <v/>
      </c>
      <c r="P1613" t="str">
        <f>_xlfn.XLOOKUP(Table3[[#This Row],[Cuenta]],Estructura_Balance[Nombre Cuenta ()],Estructura_Balance[Nivel 3],"",0)</f>
        <v/>
      </c>
      <c r="Q1613" t="str">
        <f>_xlfn.XLOOKUP(Table3[[#This Row],[Cuenta]],Estructura_Balance[Nombre Cuenta ()],Estructura_Balance[Nivel 4],"",0)</f>
        <v/>
      </c>
      <c r="R1613" t="str">
        <f>_xlfn.XLOOKUP(Table3[[#This Row],[Cuenta]],Table8[Nombre Cuenta ()],Table8[Nivel 1],"",0)</f>
        <v/>
      </c>
      <c r="S1613" t="str">
        <f>_xlfn.XLOOKUP(Table3[[#This Row],[Cuenta]],Table8[Nombre Cuenta ()],Table8[Nivel 2],"",0)</f>
        <v/>
      </c>
      <c r="T1613" t="str">
        <f>_xlfn.XLOOKUP(Table3[[#This Row],[Cuenta]],Table8[Nombre Cuenta ()],Table8[Nivel 3],"",0)</f>
        <v/>
      </c>
      <c r="U1613">
        <v>1360</v>
      </c>
      <c r="V1613" t="str">
        <f>_xlfn.XLOOKUP(Table3[[#This Row],[Cuenta]],Estructura_Balance[Nombre Cuenta ()],Estructura_Balance[Niveles:2],"",0)</f>
        <v/>
      </c>
      <c r="W1613" t="str">
        <f>_xlfn.XLOOKUP(Table3[[#This Row],[Cuenta]],Estructura_Balance[Nombre Cuenta ()],Estructura_Balance[Niveles:3],"",0)</f>
        <v/>
      </c>
      <c r="X1613" t="str">
        <f>_xlfn.XLOOKUP(Table3[[#This Row],[Cuenta]],Estructura_Balance[Nombre Cuenta ()],Estructura_Balance[Grupos],"Grupo 1",0)</f>
        <v>Grupo 1</v>
      </c>
      <c r="Y1613" t="str">
        <f>+Table3[[#This Row],[BS_Nivel_1]]</f>
        <v/>
      </c>
    </row>
    <row r="1614" spans="1:25" ht="15" customHeight="1">
      <c r="A1614">
        <f>+'Libro Diario'!F61</f>
        <v>1</v>
      </c>
      <c r="B1614" s="144">
        <f>VALUE(IF(+'Libro Diario'!G61="","01/01/2025",+'Libro Diario'!G61))</f>
        <v>45658</v>
      </c>
      <c r="C1614">
        <f>IF(ISNUMBER(+IF(IFERROR(VALUE(MID('Libro Diario'!D61,1,4)),0)&lt;&gt;0,'Libro Diario'!D61,0))=FALSE,'Libro Diario'!D61,0)</f>
        <v>0</v>
      </c>
      <c r="D1614" s="145">
        <f>+'Libro Diario'!E61</f>
        <v>0</v>
      </c>
      <c r="E1614" s="139" t="s">
        <v>446</v>
      </c>
      <c r="F1614" t="str">
        <f t="shared" si="75"/>
        <v>Sin Mov.</v>
      </c>
      <c r="G1614" t="str">
        <f>IF(+'Libro Diario'!H61=0,"",+'Libro Diario'!H61)</f>
        <v>Asiento de Apertura</v>
      </c>
      <c r="H1614" t="str">
        <f>IF(+'Libro Diario'!I61=0,"",+'Libro Diario'!I61)</f>
        <v/>
      </c>
      <c r="I1614" t="str">
        <f>+IF(Table3[[#This Row],[Tipo Movimiento]]="Estructura Balance y PyG","Excluir","Incluir")</f>
        <v>Incluir</v>
      </c>
      <c r="J1614" s="153">
        <f>+IF(Table3[[#This Row],[Sin cuenta]]="Con Mov.",(IF(Table3[[#This Row],[Movimiento]]="Debe",Table3[[#This Row],[Importe]],IF(Table3[[#This Row],[Movimiento]]="Haber",Table3[[#This Row],[Importe]]*-1,0))),0)</f>
        <v>0</v>
      </c>
      <c r="K1614" s="145" t="str">
        <f t="shared" si="76"/>
        <v/>
      </c>
      <c r="L1614" s="145">
        <f t="shared" si="77"/>
        <v>0</v>
      </c>
      <c r="M1614" t="str">
        <f>_xlfn.XLOOKUP(Table3[[#This Row],[Cuenta]],Estructura_Balance[Nombre Cuenta ()],Estructura_Balance[Grupo],"",0)</f>
        <v/>
      </c>
      <c r="N1614" t="str">
        <f>_xlfn.XLOOKUP(Table3[[#This Row],[Cuenta]],Estructura_Balance[Nombre Cuenta ()],Estructura_Balance[Nivel 1],"",0)</f>
        <v/>
      </c>
      <c r="O1614" t="str">
        <f>_xlfn.XLOOKUP(Table3[[#This Row],[Cuenta]],Estructura_Balance[Nombre Cuenta ()],Estructura_Balance[Nivel 2],"",0)</f>
        <v/>
      </c>
      <c r="P1614" t="str">
        <f>_xlfn.XLOOKUP(Table3[[#This Row],[Cuenta]],Estructura_Balance[Nombre Cuenta ()],Estructura_Balance[Nivel 3],"",0)</f>
        <v/>
      </c>
      <c r="Q1614" t="str">
        <f>_xlfn.XLOOKUP(Table3[[#This Row],[Cuenta]],Estructura_Balance[Nombre Cuenta ()],Estructura_Balance[Nivel 4],"",0)</f>
        <v/>
      </c>
      <c r="R1614" t="str">
        <f>_xlfn.XLOOKUP(Table3[[#This Row],[Cuenta]],Table8[Nombre Cuenta ()],Table8[Nivel 1],"",0)</f>
        <v/>
      </c>
      <c r="S1614" t="str">
        <f>_xlfn.XLOOKUP(Table3[[#This Row],[Cuenta]],Table8[Nombre Cuenta ()],Table8[Nivel 2],"",0)</f>
        <v/>
      </c>
      <c r="T1614" t="str">
        <f>_xlfn.XLOOKUP(Table3[[#This Row],[Cuenta]],Table8[Nombre Cuenta ()],Table8[Nivel 3],"",0)</f>
        <v/>
      </c>
      <c r="U1614">
        <v>1361</v>
      </c>
      <c r="V1614" t="str">
        <f>_xlfn.XLOOKUP(Table3[[#This Row],[Cuenta]],Estructura_Balance[Nombre Cuenta ()],Estructura_Balance[Niveles:2],"",0)</f>
        <v/>
      </c>
      <c r="W1614" t="str">
        <f>_xlfn.XLOOKUP(Table3[[#This Row],[Cuenta]],Estructura_Balance[Nombre Cuenta ()],Estructura_Balance[Niveles:3],"",0)</f>
        <v/>
      </c>
      <c r="X1614" t="str">
        <f>_xlfn.XLOOKUP(Table3[[#This Row],[Cuenta]],Estructura_Balance[Nombre Cuenta ()],Estructura_Balance[Grupos],"Grupo 1",0)</f>
        <v>Grupo 1</v>
      </c>
      <c r="Y1614" t="str">
        <f>+Table3[[#This Row],[BS_Nivel_1]]</f>
        <v/>
      </c>
    </row>
    <row r="1615" spans="1:25" ht="15" customHeight="1">
      <c r="A1615">
        <f>+'Libro Diario'!F62</f>
        <v>1</v>
      </c>
      <c r="B1615" s="144">
        <f>VALUE(IF(+'Libro Diario'!G62="","01/01/2025",+'Libro Diario'!G62))</f>
        <v>45658</v>
      </c>
      <c r="C1615">
        <f>IF(ISNUMBER(+IF(IFERROR(VALUE(MID('Libro Diario'!D62,1,4)),0)&lt;&gt;0,'Libro Diario'!D62,0))=FALSE,'Libro Diario'!D62,0)</f>
        <v>0</v>
      </c>
      <c r="D1615" s="145">
        <f>+'Libro Diario'!E62</f>
        <v>0</v>
      </c>
      <c r="E1615" s="139" t="s">
        <v>446</v>
      </c>
      <c r="F1615" t="str">
        <f t="shared" si="75"/>
        <v>Sin Mov.</v>
      </c>
      <c r="G1615" t="str">
        <f>IF(+'Libro Diario'!H62=0,"",+'Libro Diario'!H62)</f>
        <v>Asiento de Apertura</v>
      </c>
      <c r="H1615" t="str">
        <f>IF(+'Libro Diario'!I62=0,"",+'Libro Diario'!I62)</f>
        <v/>
      </c>
      <c r="I1615" t="str">
        <f>+IF(Table3[[#This Row],[Tipo Movimiento]]="Estructura Balance y PyG","Excluir","Incluir")</f>
        <v>Incluir</v>
      </c>
      <c r="J1615" s="153">
        <f>+IF(Table3[[#This Row],[Sin cuenta]]="Con Mov.",(IF(Table3[[#This Row],[Movimiento]]="Debe",Table3[[#This Row],[Importe]],IF(Table3[[#This Row],[Movimiento]]="Haber",Table3[[#This Row],[Importe]]*-1,0))),0)</f>
        <v>0</v>
      </c>
      <c r="K1615" s="145" t="str">
        <f t="shared" si="76"/>
        <v/>
      </c>
      <c r="L1615" s="145">
        <f t="shared" si="77"/>
        <v>0</v>
      </c>
      <c r="M1615" t="str">
        <f>_xlfn.XLOOKUP(Table3[[#This Row],[Cuenta]],Estructura_Balance[Nombre Cuenta ()],Estructura_Balance[Grupo],"",0)</f>
        <v/>
      </c>
      <c r="N1615" t="str">
        <f>_xlfn.XLOOKUP(Table3[[#This Row],[Cuenta]],Estructura_Balance[Nombre Cuenta ()],Estructura_Balance[Nivel 1],"",0)</f>
        <v/>
      </c>
      <c r="O1615" t="str">
        <f>_xlfn.XLOOKUP(Table3[[#This Row],[Cuenta]],Estructura_Balance[Nombre Cuenta ()],Estructura_Balance[Nivel 2],"",0)</f>
        <v/>
      </c>
      <c r="P1615" t="str">
        <f>_xlfn.XLOOKUP(Table3[[#This Row],[Cuenta]],Estructura_Balance[Nombre Cuenta ()],Estructura_Balance[Nivel 3],"",0)</f>
        <v/>
      </c>
      <c r="Q1615" t="str">
        <f>_xlfn.XLOOKUP(Table3[[#This Row],[Cuenta]],Estructura_Balance[Nombre Cuenta ()],Estructura_Balance[Nivel 4],"",0)</f>
        <v/>
      </c>
      <c r="R1615" t="str">
        <f>_xlfn.XLOOKUP(Table3[[#This Row],[Cuenta]],Table8[Nombre Cuenta ()],Table8[Nivel 1],"",0)</f>
        <v/>
      </c>
      <c r="S1615" t="str">
        <f>_xlfn.XLOOKUP(Table3[[#This Row],[Cuenta]],Table8[Nombre Cuenta ()],Table8[Nivel 2],"",0)</f>
        <v/>
      </c>
      <c r="T1615" t="str">
        <f>_xlfn.XLOOKUP(Table3[[#This Row],[Cuenta]],Table8[Nombre Cuenta ()],Table8[Nivel 3],"",0)</f>
        <v/>
      </c>
      <c r="U1615">
        <v>1362</v>
      </c>
      <c r="V1615" t="str">
        <f>_xlfn.XLOOKUP(Table3[[#This Row],[Cuenta]],Estructura_Balance[Nombre Cuenta ()],Estructura_Balance[Niveles:2],"",0)</f>
        <v/>
      </c>
      <c r="W1615" t="str">
        <f>_xlfn.XLOOKUP(Table3[[#This Row],[Cuenta]],Estructura_Balance[Nombre Cuenta ()],Estructura_Balance[Niveles:3],"",0)</f>
        <v/>
      </c>
      <c r="X1615" t="str">
        <f>_xlfn.XLOOKUP(Table3[[#This Row],[Cuenta]],Estructura_Balance[Nombre Cuenta ()],Estructura_Balance[Grupos],"Grupo 1",0)</f>
        <v>Grupo 1</v>
      </c>
      <c r="Y1615" t="str">
        <f>+Table3[[#This Row],[BS_Nivel_1]]</f>
        <v/>
      </c>
    </row>
    <row r="1616" spans="1:25" ht="15" customHeight="1">
      <c r="A1616">
        <f>+'Libro Diario'!F63</f>
        <v>1</v>
      </c>
      <c r="B1616" s="144">
        <f>VALUE(IF(+'Libro Diario'!G63="","01/01/2025",+'Libro Diario'!G63))</f>
        <v>45658</v>
      </c>
      <c r="C1616">
        <f>IF(ISNUMBER(+IF(IFERROR(VALUE(MID('Libro Diario'!D63,1,4)),0)&lt;&gt;0,'Libro Diario'!D63,0))=FALSE,'Libro Diario'!D63,0)</f>
        <v>0</v>
      </c>
      <c r="D1616" s="145">
        <f>+'Libro Diario'!E63</f>
        <v>0</v>
      </c>
      <c r="E1616" s="139" t="s">
        <v>446</v>
      </c>
      <c r="F1616" t="str">
        <f t="shared" si="75"/>
        <v>Sin Mov.</v>
      </c>
      <c r="G1616" t="str">
        <f>IF(+'Libro Diario'!H63=0,"",+'Libro Diario'!H63)</f>
        <v>Asiento de Apertura</v>
      </c>
      <c r="H1616" t="str">
        <f>IF(+'Libro Diario'!I63=0,"",+'Libro Diario'!I63)</f>
        <v/>
      </c>
      <c r="I1616" t="str">
        <f>+IF(Table3[[#This Row],[Tipo Movimiento]]="Estructura Balance y PyG","Excluir","Incluir")</f>
        <v>Incluir</v>
      </c>
      <c r="J1616" s="153">
        <f>+IF(Table3[[#This Row],[Sin cuenta]]="Con Mov.",(IF(Table3[[#This Row],[Movimiento]]="Debe",Table3[[#This Row],[Importe]],IF(Table3[[#This Row],[Movimiento]]="Haber",Table3[[#This Row],[Importe]]*-1,0))),0)</f>
        <v>0</v>
      </c>
      <c r="K1616" s="145" t="str">
        <f t="shared" si="76"/>
        <v/>
      </c>
      <c r="L1616" s="145">
        <f t="shared" si="77"/>
        <v>0</v>
      </c>
      <c r="M1616" t="str">
        <f>_xlfn.XLOOKUP(Table3[[#This Row],[Cuenta]],Estructura_Balance[Nombre Cuenta ()],Estructura_Balance[Grupo],"",0)</f>
        <v/>
      </c>
      <c r="N1616" t="str">
        <f>_xlfn.XLOOKUP(Table3[[#This Row],[Cuenta]],Estructura_Balance[Nombre Cuenta ()],Estructura_Balance[Nivel 1],"",0)</f>
        <v/>
      </c>
      <c r="O1616" t="str">
        <f>_xlfn.XLOOKUP(Table3[[#This Row],[Cuenta]],Estructura_Balance[Nombre Cuenta ()],Estructura_Balance[Nivel 2],"",0)</f>
        <v/>
      </c>
      <c r="P1616" t="str">
        <f>_xlfn.XLOOKUP(Table3[[#This Row],[Cuenta]],Estructura_Balance[Nombre Cuenta ()],Estructura_Balance[Nivel 3],"",0)</f>
        <v/>
      </c>
      <c r="Q1616" t="str">
        <f>_xlfn.XLOOKUP(Table3[[#This Row],[Cuenta]],Estructura_Balance[Nombre Cuenta ()],Estructura_Balance[Nivel 4],"",0)</f>
        <v/>
      </c>
      <c r="R1616" t="str">
        <f>_xlfn.XLOOKUP(Table3[[#This Row],[Cuenta]],Table8[Nombre Cuenta ()],Table8[Nivel 1],"",0)</f>
        <v/>
      </c>
      <c r="S1616" t="str">
        <f>_xlfn.XLOOKUP(Table3[[#This Row],[Cuenta]],Table8[Nombre Cuenta ()],Table8[Nivel 2],"",0)</f>
        <v/>
      </c>
      <c r="T1616" t="str">
        <f>_xlfn.XLOOKUP(Table3[[#This Row],[Cuenta]],Table8[Nombre Cuenta ()],Table8[Nivel 3],"",0)</f>
        <v/>
      </c>
      <c r="U1616">
        <v>1363</v>
      </c>
      <c r="V1616" t="str">
        <f>_xlfn.XLOOKUP(Table3[[#This Row],[Cuenta]],Estructura_Balance[Nombre Cuenta ()],Estructura_Balance[Niveles:2],"",0)</f>
        <v/>
      </c>
      <c r="W1616" t="str">
        <f>_xlfn.XLOOKUP(Table3[[#This Row],[Cuenta]],Estructura_Balance[Nombre Cuenta ()],Estructura_Balance[Niveles:3],"",0)</f>
        <v/>
      </c>
      <c r="X1616" t="str">
        <f>_xlfn.XLOOKUP(Table3[[#This Row],[Cuenta]],Estructura_Balance[Nombre Cuenta ()],Estructura_Balance[Grupos],"Grupo 1",0)</f>
        <v>Grupo 1</v>
      </c>
      <c r="Y1616" t="str">
        <f>+Table3[[#This Row],[BS_Nivel_1]]</f>
        <v/>
      </c>
    </row>
    <row r="1617" spans="1:25" ht="15" customHeight="1">
      <c r="A1617">
        <f>+'Libro Diario'!F64</f>
        <v>1</v>
      </c>
      <c r="B1617" s="144">
        <f>VALUE(IF(+'Libro Diario'!G64="","01/01/2025",+'Libro Diario'!G64))</f>
        <v>45658</v>
      </c>
      <c r="C1617">
        <f>IF(ISNUMBER(+IF(IFERROR(VALUE(MID('Libro Diario'!D64,1,4)),0)&lt;&gt;0,'Libro Diario'!D64,0))=FALSE,'Libro Diario'!D64,0)</f>
        <v>0</v>
      </c>
      <c r="D1617" s="145">
        <f>+'Libro Diario'!E64</f>
        <v>0</v>
      </c>
      <c r="E1617" s="139" t="s">
        <v>446</v>
      </c>
      <c r="F1617" t="str">
        <f t="shared" si="75"/>
        <v>Sin Mov.</v>
      </c>
      <c r="G1617" t="str">
        <f>IF(+'Libro Diario'!H64=0,"",+'Libro Diario'!H64)</f>
        <v>Asiento de Apertura</v>
      </c>
      <c r="H1617" t="str">
        <f>IF(+'Libro Diario'!I64=0,"",+'Libro Diario'!I64)</f>
        <v/>
      </c>
      <c r="I1617" t="str">
        <f>+IF(Table3[[#This Row],[Tipo Movimiento]]="Estructura Balance y PyG","Excluir","Incluir")</f>
        <v>Incluir</v>
      </c>
      <c r="J1617" s="153">
        <f>+IF(Table3[[#This Row],[Sin cuenta]]="Con Mov.",(IF(Table3[[#This Row],[Movimiento]]="Debe",Table3[[#This Row],[Importe]],IF(Table3[[#This Row],[Movimiento]]="Haber",Table3[[#This Row],[Importe]]*-1,0))),0)</f>
        <v>0</v>
      </c>
      <c r="K1617" s="145" t="str">
        <f t="shared" si="76"/>
        <v/>
      </c>
      <c r="L1617" s="145">
        <f t="shared" si="77"/>
        <v>0</v>
      </c>
      <c r="M1617" t="str">
        <f>_xlfn.XLOOKUP(Table3[[#This Row],[Cuenta]],Estructura_Balance[Nombre Cuenta ()],Estructura_Balance[Grupo],"",0)</f>
        <v/>
      </c>
      <c r="N1617" t="str">
        <f>_xlfn.XLOOKUP(Table3[[#This Row],[Cuenta]],Estructura_Balance[Nombre Cuenta ()],Estructura_Balance[Nivel 1],"",0)</f>
        <v/>
      </c>
      <c r="O1617" t="str">
        <f>_xlfn.XLOOKUP(Table3[[#This Row],[Cuenta]],Estructura_Balance[Nombre Cuenta ()],Estructura_Balance[Nivel 2],"",0)</f>
        <v/>
      </c>
      <c r="P1617" t="str">
        <f>_xlfn.XLOOKUP(Table3[[#This Row],[Cuenta]],Estructura_Balance[Nombre Cuenta ()],Estructura_Balance[Nivel 3],"",0)</f>
        <v/>
      </c>
      <c r="Q1617" t="str">
        <f>_xlfn.XLOOKUP(Table3[[#This Row],[Cuenta]],Estructura_Balance[Nombre Cuenta ()],Estructura_Balance[Nivel 4],"",0)</f>
        <v/>
      </c>
      <c r="R1617" t="str">
        <f>_xlfn.XLOOKUP(Table3[[#This Row],[Cuenta]],Table8[Nombre Cuenta ()],Table8[Nivel 1],"",0)</f>
        <v/>
      </c>
      <c r="S1617" t="str">
        <f>_xlfn.XLOOKUP(Table3[[#This Row],[Cuenta]],Table8[Nombre Cuenta ()],Table8[Nivel 2],"",0)</f>
        <v/>
      </c>
      <c r="T1617" t="str">
        <f>_xlfn.XLOOKUP(Table3[[#This Row],[Cuenta]],Table8[Nombre Cuenta ()],Table8[Nivel 3],"",0)</f>
        <v/>
      </c>
      <c r="U1617">
        <v>1364</v>
      </c>
      <c r="V1617" t="str">
        <f>_xlfn.XLOOKUP(Table3[[#This Row],[Cuenta]],Estructura_Balance[Nombre Cuenta ()],Estructura_Balance[Niveles:2],"",0)</f>
        <v/>
      </c>
      <c r="W1617" t="str">
        <f>_xlfn.XLOOKUP(Table3[[#This Row],[Cuenta]],Estructura_Balance[Nombre Cuenta ()],Estructura_Balance[Niveles:3],"",0)</f>
        <v/>
      </c>
      <c r="X1617" t="str">
        <f>_xlfn.XLOOKUP(Table3[[#This Row],[Cuenta]],Estructura_Balance[Nombre Cuenta ()],Estructura_Balance[Grupos],"Grupo 1",0)</f>
        <v>Grupo 1</v>
      </c>
      <c r="Y1617" t="str">
        <f>+Table3[[#This Row],[BS_Nivel_1]]</f>
        <v/>
      </c>
    </row>
    <row r="1618" spans="1:25" ht="15" customHeight="1">
      <c r="A1618">
        <f>+'Libro Diario'!F65</f>
        <v>1</v>
      </c>
      <c r="B1618" s="144">
        <f>VALUE(IF(+'Libro Diario'!G65="","01/01/2025",+'Libro Diario'!G65))</f>
        <v>45658</v>
      </c>
      <c r="C1618">
        <f>IF(ISNUMBER(+IF(IFERROR(VALUE(MID('Libro Diario'!D65,1,4)),0)&lt;&gt;0,'Libro Diario'!D65,0))=FALSE,'Libro Diario'!D65,0)</f>
        <v>0</v>
      </c>
      <c r="D1618" s="145">
        <f>+'Libro Diario'!E65</f>
        <v>0</v>
      </c>
      <c r="E1618" s="139" t="s">
        <v>446</v>
      </c>
      <c r="F1618" t="str">
        <f t="shared" si="75"/>
        <v>Sin Mov.</v>
      </c>
      <c r="G1618" t="str">
        <f>IF(+'Libro Diario'!H65=0,"",+'Libro Diario'!H65)</f>
        <v>Asiento de Apertura</v>
      </c>
      <c r="H1618" t="str">
        <f>IF(+'Libro Diario'!I65=0,"",+'Libro Diario'!I65)</f>
        <v/>
      </c>
      <c r="I1618" t="str">
        <f>+IF(Table3[[#This Row],[Tipo Movimiento]]="Estructura Balance y PyG","Excluir","Incluir")</f>
        <v>Incluir</v>
      </c>
      <c r="J1618" s="153">
        <f>+IF(Table3[[#This Row],[Sin cuenta]]="Con Mov.",(IF(Table3[[#This Row],[Movimiento]]="Debe",Table3[[#This Row],[Importe]],IF(Table3[[#This Row],[Movimiento]]="Haber",Table3[[#This Row],[Importe]]*-1,0))),0)</f>
        <v>0</v>
      </c>
      <c r="K1618" s="145" t="str">
        <f t="shared" si="76"/>
        <v/>
      </c>
      <c r="L1618" s="145">
        <f t="shared" si="77"/>
        <v>0</v>
      </c>
      <c r="M1618" t="str">
        <f>_xlfn.XLOOKUP(Table3[[#This Row],[Cuenta]],Estructura_Balance[Nombre Cuenta ()],Estructura_Balance[Grupo],"",0)</f>
        <v/>
      </c>
      <c r="N1618" t="str">
        <f>_xlfn.XLOOKUP(Table3[[#This Row],[Cuenta]],Estructura_Balance[Nombre Cuenta ()],Estructura_Balance[Nivel 1],"",0)</f>
        <v/>
      </c>
      <c r="O1618" t="str">
        <f>_xlfn.XLOOKUP(Table3[[#This Row],[Cuenta]],Estructura_Balance[Nombre Cuenta ()],Estructura_Balance[Nivel 2],"",0)</f>
        <v/>
      </c>
      <c r="P1618" t="str">
        <f>_xlfn.XLOOKUP(Table3[[#This Row],[Cuenta]],Estructura_Balance[Nombre Cuenta ()],Estructura_Balance[Nivel 3],"",0)</f>
        <v/>
      </c>
      <c r="Q1618" t="str">
        <f>_xlfn.XLOOKUP(Table3[[#This Row],[Cuenta]],Estructura_Balance[Nombre Cuenta ()],Estructura_Balance[Nivel 4],"",0)</f>
        <v/>
      </c>
      <c r="R1618" t="str">
        <f>_xlfn.XLOOKUP(Table3[[#This Row],[Cuenta]],Table8[Nombre Cuenta ()],Table8[Nivel 1],"",0)</f>
        <v/>
      </c>
      <c r="S1618" t="str">
        <f>_xlfn.XLOOKUP(Table3[[#This Row],[Cuenta]],Table8[Nombre Cuenta ()],Table8[Nivel 2],"",0)</f>
        <v/>
      </c>
      <c r="T1618" t="str">
        <f>_xlfn.XLOOKUP(Table3[[#This Row],[Cuenta]],Table8[Nombre Cuenta ()],Table8[Nivel 3],"",0)</f>
        <v/>
      </c>
      <c r="U1618">
        <v>1367</v>
      </c>
      <c r="V1618" t="str">
        <f>_xlfn.XLOOKUP(Table3[[#This Row],[Cuenta]],Estructura_Balance[Nombre Cuenta ()],Estructura_Balance[Niveles:2],"",0)</f>
        <v/>
      </c>
      <c r="W1618" t="str">
        <f>_xlfn.XLOOKUP(Table3[[#This Row],[Cuenta]],Estructura_Balance[Nombre Cuenta ()],Estructura_Balance[Niveles:3],"",0)</f>
        <v/>
      </c>
      <c r="X1618" t="str">
        <f>_xlfn.XLOOKUP(Table3[[#This Row],[Cuenta]],Estructura_Balance[Nombre Cuenta ()],Estructura_Balance[Grupos],"Grupo 1",0)</f>
        <v>Grupo 1</v>
      </c>
      <c r="Y1618" t="str">
        <f>+Table3[[#This Row],[BS_Nivel_1]]</f>
        <v/>
      </c>
    </row>
    <row r="1619" spans="1:25" ht="15" customHeight="1">
      <c r="A1619">
        <f>+'Libro Diario'!F66</f>
        <v>1</v>
      </c>
      <c r="B1619" s="144">
        <f>VALUE(IF(+'Libro Diario'!G66="","01/01/2025",+'Libro Diario'!G66))</f>
        <v>45658</v>
      </c>
      <c r="C1619">
        <f>IF(ISNUMBER(+IF(IFERROR(VALUE(MID('Libro Diario'!D66,1,4)),0)&lt;&gt;0,'Libro Diario'!D66,0))=FALSE,'Libro Diario'!D66,0)</f>
        <v>0</v>
      </c>
      <c r="D1619" s="145">
        <f>+'Libro Diario'!E66</f>
        <v>0</v>
      </c>
      <c r="E1619" s="139" t="s">
        <v>446</v>
      </c>
      <c r="F1619" t="str">
        <f t="shared" si="75"/>
        <v>Sin Mov.</v>
      </c>
      <c r="G1619" t="str">
        <f>IF(+'Libro Diario'!H66=0,"",+'Libro Diario'!H66)</f>
        <v>Asiento de Apertura</v>
      </c>
      <c r="H1619" t="str">
        <f>IF(+'Libro Diario'!I66=0,"",+'Libro Diario'!I66)</f>
        <v/>
      </c>
      <c r="I1619" t="str">
        <f>+IF(Table3[[#This Row],[Tipo Movimiento]]="Estructura Balance y PyG","Excluir","Incluir")</f>
        <v>Incluir</v>
      </c>
      <c r="J1619" s="153">
        <f>+IF(Table3[[#This Row],[Sin cuenta]]="Con Mov.",(IF(Table3[[#This Row],[Movimiento]]="Debe",Table3[[#This Row],[Importe]],IF(Table3[[#This Row],[Movimiento]]="Haber",Table3[[#This Row],[Importe]]*-1,0))),0)</f>
        <v>0</v>
      </c>
      <c r="K1619" s="145" t="str">
        <f t="shared" si="76"/>
        <v/>
      </c>
      <c r="L1619" s="145">
        <f t="shared" si="77"/>
        <v>0</v>
      </c>
      <c r="M1619" t="str">
        <f>_xlfn.XLOOKUP(Table3[[#This Row],[Cuenta]],Estructura_Balance[Nombre Cuenta ()],Estructura_Balance[Grupo],"",0)</f>
        <v/>
      </c>
      <c r="N1619" t="str">
        <f>_xlfn.XLOOKUP(Table3[[#This Row],[Cuenta]],Estructura_Balance[Nombre Cuenta ()],Estructura_Balance[Nivel 1],"",0)</f>
        <v/>
      </c>
      <c r="O1619" t="str">
        <f>_xlfn.XLOOKUP(Table3[[#This Row],[Cuenta]],Estructura_Balance[Nombre Cuenta ()],Estructura_Balance[Nivel 2],"",0)</f>
        <v/>
      </c>
      <c r="P1619" t="str">
        <f>_xlfn.XLOOKUP(Table3[[#This Row],[Cuenta]],Estructura_Balance[Nombre Cuenta ()],Estructura_Balance[Nivel 3],"",0)</f>
        <v/>
      </c>
      <c r="Q1619" t="str">
        <f>_xlfn.XLOOKUP(Table3[[#This Row],[Cuenta]],Estructura_Balance[Nombre Cuenta ()],Estructura_Balance[Nivel 4],"",0)</f>
        <v/>
      </c>
      <c r="R1619" t="str">
        <f>_xlfn.XLOOKUP(Table3[[#This Row],[Cuenta]],Table8[Nombre Cuenta ()],Table8[Nivel 1],"",0)</f>
        <v/>
      </c>
      <c r="S1619" t="str">
        <f>_xlfn.XLOOKUP(Table3[[#This Row],[Cuenta]],Table8[Nombre Cuenta ()],Table8[Nivel 2],"",0)</f>
        <v/>
      </c>
      <c r="T1619" t="str">
        <f>_xlfn.XLOOKUP(Table3[[#This Row],[Cuenta]],Table8[Nombre Cuenta ()],Table8[Nivel 3],"",0)</f>
        <v/>
      </c>
      <c r="U1619">
        <v>1368</v>
      </c>
      <c r="V1619" t="str">
        <f>_xlfn.XLOOKUP(Table3[[#This Row],[Cuenta]],Estructura_Balance[Nombre Cuenta ()],Estructura_Balance[Niveles:2],"",0)</f>
        <v/>
      </c>
      <c r="W1619" t="str">
        <f>_xlfn.XLOOKUP(Table3[[#This Row],[Cuenta]],Estructura_Balance[Nombre Cuenta ()],Estructura_Balance[Niveles:3],"",0)</f>
        <v/>
      </c>
      <c r="X1619" t="str">
        <f>_xlfn.XLOOKUP(Table3[[#This Row],[Cuenta]],Estructura_Balance[Nombre Cuenta ()],Estructura_Balance[Grupos],"Grupo 1",0)</f>
        <v>Grupo 1</v>
      </c>
      <c r="Y1619" t="str">
        <f>+Table3[[#This Row],[BS_Nivel_1]]</f>
        <v/>
      </c>
    </row>
    <row r="1620" spans="1:25" ht="15" customHeight="1">
      <c r="A1620">
        <f>+'Libro Diario'!F67</f>
        <v>1</v>
      </c>
      <c r="B1620" s="144">
        <f>VALUE(IF(+'Libro Diario'!G67="","01/01/2025",+'Libro Diario'!G67))</f>
        <v>45658</v>
      </c>
      <c r="C1620">
        <f>IF(ISNUMBER(+IF(IFERROR(VALUE(MID('Libro Diario'!D67,1,4)),0)&lt;&gt;0,'Libro Diario'!D67,0))=FALSE,'Libro Diario'!D67,0)</f>
        <v>0</v>
      </c>
      <c r="D1620" s="145">
        <f>+'Libro Diario'!E67</f>
        <v>0</v>
      </c>
      <c r="E1620" s="139" t="s">
        <v>446</v>
      </c>
      <c r="F1620" t="str">
        <f t="shared" si="75"/>
        <v>Sin Mov.</v>
      </c>
      <c r="G1620" t="str">
        <f>IF(+'Libro Diario'!H67=0,"",+'Libro Diario'!H67)</f>
        <v>Asiento de Apertura</v>
      </c>
      <c r="H1620" t="str">
        <f>IF(+'Libro Diario'!I67=0,"",+'Libro Diario'!I67)</f>
        <v/>
      </c>
      <c r="I1620" t="str">
        <f>+IF(Table3[[#This Row],[Tipo Movimiento]]="Estructura Balance y PyG","Excluir","Incluir")</f>
        <v>Incluir</v>
      </c>
      <c r="J1620" s="153">
        <f>+IF(Table3[[#This Row],[Sin cuenta]]="Con Mov.",(IF(Table3[[#This Row],[Movimiento]]="Debe",Table3[[#This Row],[Importe]],IF(Table3[[#This Row],[Movimiento]]="Haber",Table3[[#This Row],[Importe]]*-1,0))),0)</f>
        <v>0</v>
      </c>
      <c r="K1620" s="145" t="str">
        <f t="shared" si="76"/>
        <v/>
      </c>
      <c r="L1620" s="145">
        <f t="shared" si="77"/>
        <v>0</v>
      </c>
      <c r="M1620" t="str">
        <f>_xlfn.XLOOKUP(Table3[[#This Row],[Cuenta]],Estructura_Balance[Nombre Cuenta ()],Estructura_Balance[Grupo],"",0)</f>
        <v/>
      </c>
      <c r="N1620" t="str">
        <f>_xlfn.XLOOKUP(Table3[[#This Row],[Cuenta]],Estructura_Balance[Nombre Cuenta ()],Estructura_Balance[Nivel 1],"",0)</f>
        <v/>
      </c>
      <c r="O1620" t="str">
        <f>_xlfn.XLOOKUP(Table3[[#This Row],[Cuenta]],Estructura_Balance[Nombre Cuenta ()],Estructura_Balance[Nivel 2],"",0)</f>
        <v/>
      </c>
      <c r="P1620" t="str">
        <f>_xlfn.XLOOKUP(Table3[[#This Row],[Cuenta]],Estructura_Balance[Nombre Cuenta ()],Estructura_Balance[Nivel 3],"",0)</f>
        <v/>
      </c>
      <c r="Q1620" t="str">
        <f>_xlfn.XLOOKUP(Table3[[#This Row],[Cuenta]],Estructura_Balance[Nombre Cuenta ()],Estructura_Balance[Nivel 4],"",0)</f>
        <v/>
      </c>
      <c r="R1620" t="str">
        <f>_xlfn.XLOOKUP(Table3[[#This Row],[Cuenta]],Table8[Nombre Cuenta ()],Table8[Nivel 1],"",0)</f>
        <v/>
      </c>
      <c r="S1620" t="str">
        <f>_xlfn.XLOOKUP(Table3[[#This Row],[Cuenta]],Table8[Nombre Cuenta ()],Table8[Nivel 2],"",0)</f>
        <v/>
      </c>
      <c r="T1620" t="str">
        <f>_xlfn.XLOOKUP(Table3[[#This Row],[Cuenta]],Table8[Nombre Cuenta ()],Table8[Nivel 3],"",0)</f>
        <v/>
      </c>
      <c r="U1620">
        <v>1369</v>
      </c>
      <c r="V1620" t="str">
        <f>_xlfn.XLOOKUP(Table3[[#This Row],[Cuenta]],Estructura_Balance[Nombre Cuenta ()],Estructura_Balance[Niveles:2],"",0)</f>
        <v/>
      </c>
      <c r="W1620" t="str">
        <f>_xlfn.XLOOKUP(Table3[[#This Row],[Cuenta]],Estructura_Balance[Nombre Cuenta ()],Estructura_Balance[Niveles:3],"",0)</f>
        <v/>
      </c>
      <c r="X1620" t="str">
        <f>_xlfn.XLOOKUP(Table3[[#This Row],[Cuenta]],Estructura_Balance[Nombre Cuenta ()],Estructura_Balance[Grupos],"Grupo 1",0)</f>
        <v>Grupo 1</v>
      </c>
      <c r="Y1620" t="str">
        <f>+Table3[[#This Row],[BS_Nivel_1]]</f>
        <v/>
      </c>
    </row>
    <row r="1621" spans="1:25" ht="15" customHeight="1">
      <c r="A1621">
        <f>+'Libro Diario'!F68</f>
        <v>1</v>
      </c>
      <c r="B1621" s="144">
        <f>VALUE(IF(+'Libro Diario'!G68="","01/01/2025",+'Libro Diario'!G68))</f>
        <v>45658</v>
      </c>
      <c r="C1621">
        <f>IF(ISNUMBER(+IF(IFERROR(VALUE(MID('Libro Diario'!D68,1,4)),0)&lt;&gt;0,'Libro Diario'!D68,0))=FALSE,'Libro Diario'!D68,0)</f>
        <v>0</v>
      </c>
      <c r="D1621" s="145">
        <f>+'Libro Diario'!E68</f>
        <v>0</v>
      </c>
      <c r="E1621" s="139" t="s">
        <v>446</v>
      </c>
      <c r="F1621" t="str">
        <f t="shared" si="75"/>
        <v>Sin Mov.</v>
      </c>
      <c r="G1621" t="str">
        <f>IF(+'Libro Diario'!H68=0,"",+'Libro Diario'!H68)</f>
        <v>Asiento de Apertura</v>
      </c>
      <c r="H1621" t="str">
        <f>IF(+'Libro Diario'!I68=0,"",+'Libro Diario'!I68)</f>
        <v/>
      </c>
      <c r="I1621" t="str">
        <f>+IF(Table3[[#This Row],[Tipo Movimiento]]="Estructura Balance y PyG","Excluir","Incluir")</f>
        <v>Incluir</v>
      </c>
      <c r="J1621" s="153">
        <f>+IF(Table3[[#This Row],[Sin cuenta]]="Con Mov.",(IF(Table3[[#This Row],[Movimiento]]="Debe",Table3[[#This Row],[Importe]],IF(Table3[[#This Row],[Movimiento]]="Haber",Table3[[#This Row],[Importe]]*-1,0))),0)</f>
        <v>0</v>
      </c>
      <c r="K1621" s="145" t="str">
        <f t="shared" si="76"/>
        <v/>
      </c>
      <c r="L1621" s="145">
        <f t="shared" si="77"/>
        <v>0</v>
      </c>
      <c r="M1621" t="str">
        <f>_xlfn.XLOOKUP(Table3[[#This Row],[Cuenta]],Estructura_Balance[Nombre Cuenta ()],Estructura_Balance[Grupo],"",0)</f>
        <v/>
      </c>
      <c r="N1621" t="str">
        <f>_xlfn.XLOOKUP(Table3[[#This Row],[Cuenta]],Estructura_Balance[Nombre Cuenta ()],Estructura_Balance[Nivel 1],"",0)</f>
        <v/>
      </c>
      <c r="O1621" t="str">
        <f>_xlfn.XLOOKUP(Table3[[#This Row],[Cuenta]],Estructura_Balance[Nombre Cuenta ()],Estructura_Balance[Nivel 2],"",0)</f>
        <v/>
      </c>
      <c r="P1621" t="str">
        <f>_xlfn.XLOOKUP(Table3[[#This Row],[Cuenta]],Estructura_Balance[Nombre Cuenta ()],Estructura_Balance[Nivel 3],"",0)</f>
        <v/>
      </c>
      <c r="Q1621" t="str">
        <f>_xlfn.XLOOKUP(Table3[[#This Row],[Cuenta]],Estructura_Balance[Nombre Cuenta ()],Estructura_Balance[Nivel 4],"",0)</f>
        <v/>
      </c>
      <c r="R1621" t="str">
        <f>_xlfn.XLOOKUP(Table3[[#This Row],[Cuenta]],Table8[Nombre Cuenta ()],Table8[Nivel 1],"",0)</f>
        <v/>
      </c>
      <c r="S1621" t="str">
        <f>_xlfn.XLOOKUP(Table3[[#This Row],[Cuenta]],Table8[Nombre Cuenta ()],Table8[Nivel 2],"",0)</f>
        <v/>
      </c>
      <c r="T1621" t="str">
        <f>_xlfn.XLOOKUP(Table3[[#This Row],[Cuenta]],Table8[Nombre Cuenta ()],Table8[Nivel 3],"",0)</f>
        <v/>
      </c>
      <c r="U1621">
        <v>1370</v>
      </c>
      <c r="V1621" t="str">
        <f>_xlfn.XLOOKUP(Table3[[#This Row],[Cuenta]],Estructura_Balance[Nombre Cuenta ()],Estructura_Balance[Niveles:2],"",0)</f>
        <v/>
      </c>
      <c r="W1621" t="str">
        <f>_xlfn.XLOOKUP(Table3[[#This Row],[Cuenta]],Estructura_Balance[Nombre Cuenta ()],Estructura_Balance[Niveles:3],"",0)</f>
        <v/>
      </c>
      <c r="X1621" t="str">
        <f>_xlfn.XLOOKUP(Table3[[#This Row],[Cuenta]],Estructura_Balance[Nombre Cuenta ()],Estructura_Balance[Grupos],"Grupo 1",0)</f>
        <v>Grupo 1</v>
      </c>
      <c r="Y1621" t="str">
        <f>+Table3[[#This Row],[BS_Nivel_1]]</f>
        <v/>
      </c>
    </row>
    <row r="1622" spans="1:25" ht="15" customHeight="1">
      <c r="A1622">
        <f>+'Libro Diario'!F69</f>
        <v>1</v>
      </c>
      <c r="B1622" s="144">
        <f>VALUE(IF(+'Libro Diario'!G69="","01/01/2025",+'Libro Diario'!G69))</f>
        <v>45658</v>
      </c>
      <c r="C1622">
        <f>IF(ISNUMBER(+IF(IFERROR(VALUE(MID('Libro Diario'!D69,1,4)),0)&lt;&gt;0,'Libro Diario'!D69,0))=FALSE,'Libro Diario'!D69,0)</f>
        <v>0</v>
      </c>
      <c r="D1622" s="145">
        <f>+'Libro Diario'!E69</f>
        <v>0</v>
      </c>
      <c r="E1622" s="139" t="s">
        <v>446</v>
      </c>
      <c r="F1622" t="str">
        <f t="shared" si="75"/>
        <v>Sin Mov.</v>
      </c>
      <c r="G1622" t="str">
        <f>IF(+'Libro Diario'!H69=0,"",+'Libro Diario'!H69)</f>
        <v>Asiento de Apertura</v>
      </c>
      <c r="H1622" t="str">
        <f>IF(+'Libro Diario'!I69=0,"",+'Libro Diario'!I69)</f>
        <v/>
      </c>
      <c r="I1622" t="str">
        <f>+IF(Table3[[#This Row],[Tipo Movimiento]]="Estructura Balance y PyG","Excluir","Incluir")</f>
        <v>Incluir</v>
      </c>
      <c r="J1622" s="153">
        <f>+IF(Table3[[#This Row],[Sin cuenta]]="Con Mov.",(IF(Table3[[#This Row],[Movimiento]]="Debe",Table3[[#This Row],[Importe]],IF(Table3[[#This Row],[Movimiento]]="Haber",Table3[[#This Row],[Importe]]*-1,0))),0)</f>
        <v>0</v>
      </c>
      <c r="K1622" s="145" t="str">
        <f t="shared" si="76"/>
        <v/>
      </c>
      <c r="L1622" s="145">
        <f t="shared" si="77"/>
        <v>0</v>
      </c>
      <c r="M1622" t="str">
        <f>_xlfn.XLOOKUP(Table3[[#This Row],[Cuenta]],Estructura_Balance[Nombre Cuenta ()],Estructura_Balance[Grupo],"",0)</f>
        <v/>
      </c>
      <c r="N1622" t="str">
        <f>_xlfn.XLOOKUP(Table3[[#This Row],[Cuenta]],Estructura_Balance[Nombre Cuenta ()],Estructura_Balance[Nivel 1],"",0)</f>
        <v/>
      </c>
      <c r="O1622" t="str">
        <f>_xlfn.XLOOKUP(Table3[[#This Row],[Cuenta]],Estructura_Balance[Nombre Cuenta ()],Estructura_Balance[Nivel 2],"",0)</f>
        <v/>
      </c>
      <c r="P1622" t="str">
        <f>_xlfn.XLOOKUP(Table3[[#This Row],[Cuenta]],Estructura_Balance[Nombre Cuenta ()],Estructura_Balance[Nivel 3],"",0)</f>
        <v/>
      </c>
      <c r="Q1622" t="str">
        <f>_xlfn.XLOOKUP(Table3[[#This Row],[Cuenta]],Estructura_Balance[Nombre Cuenta ()],Estructura_Balance[Nivel 4],"",0)</f>
        <v/>
      </c>
      <c r="R1622" t="str">
        <f>_xlfn.XLOOKUP(Table3[[#This Row],[Cuenta]],Table8[Nombre Cuenta ()],Table8[Nivel 1],"",0)</f>
        <v/>
      </c>
      <c r="S1622" t="str">
        <f>_xlfn.XLOOKUP(Table3[[#This Row],[Cuenta]],Table8[Nombre Cuenta ()],Table8[Nivel 2],"",0)</f>
        <v/>
      </c>
      <c r="T1622" t="str">
        <f>_xlfn.XLOOKUP(Table3[[#This Row],[Cuenta]],Table8[Nombre Cuenta ()],Table8[Nivel 3],"",0)</f>
        <v/>
      </c>
      <c r="U1622">
        <v>1371</v>
      </c>
      <c r="V1622" t="str">
        <f>_xlfn.XLOOKUP(Table3[[#This Row],[Cuenta]],Estructura_Balance[Nombre Cuenta ()],Estructura_Balance[Niveles:2],"",0)</f>
        <v/>
      </c>
      <c r="W1622" t="str">
        <f>_xlfn.XLOOKUP(Table3[[#This Row],[Cuenta]],Estructura_Balance[Nombre Cuenta ()],Estructura_Balance[Niveles:3],"",0)</f>
        <v/>
      </c>
      <c r="X1622" t="str">
        <f>_xlfn.XLOOKUP(Table3[[#This Row],[Cuenta]],Estructura_Balance[Nombre Cuenta ()],Estructura_Balance[Grupos],"Grupo 1",0)</f>
        <v>Grupo 1</v>
      </c>
      <c r="Y1622" t="str">
        <f>+Table3[[#This Row],[BS_Nivel_1]]</f>
        <v/>
      </c>
    </row>
    <row r="1623" spans="1:25" ht="15" customHeight="1">
      <c r="A1623">
        <f>+'Libro Diario'!F70</f>
        <v>1</v>
      </c>
      <c r="B1623" s="144">
        <f>VALUE(IF(+'Libro Diario'!G70="","01/01/2025",+'Libro Diario'!G70))</f>
        <v>45658</v>
      </c>
      <c r="C1623">
        <f>IF(ISNUMBER(+IF(IFERROR(VALUE(MID('Libro Diario'!D70,1,4)),0)&lt;&gt;0,'Libro Diario'!D70,0))=FALSE,'Libro Diario'!D70,0)</f>
        <v>0</v>
      </c>
      <c r="D1623" s="145">
        <f>+'Libro Diario'!E70</f>
        <v>0</v>
      </c>
      <c r="E1623" s="139" t="s">
        <v>446</v>
      </c>
      <c r="F1623" t="str">
        <f t="shared" si="75"/>
        <v>Sin Mov.</v>
      </c>
      <c r="G1623" t="str">
        <f>IF(+'Libro Diario'!H70=0,"",+'Libro Diario'!H70)</f>
        <v>Asiento de Apertura</v>
      </c>
      <c r="H1623" t="str">
        <f>IF(+'Libro Diario'!I70=0,"",+'Libro Diario'!I70)</f>
        <v/>
      </c>
      <c r="I1623" t="str">
        <f>+IF(Table3[[#This Row],[Tipo Movimiento]]="Estructura Balance y PyG","Excluir","Incluir")</f>
        <v>Incluir</v>
      </c>
      <c r="J1623" s="153">
        <f>+IF(Table3[[#This Row],[Sin cuenta]]="Con Mov.",(IF(Table3[[#This Row],[Movimiento]]="Debe",Table3[[#This Row],[Importe]],IF(Table3[[#This Row],[Movimiento]]="Haber",Table3[[#This Row],[Importe]]*-1,0))),0)</f>
        <v>0</v>
      </c>
      <c r="K1623" s="145" t="str">
        <f t="shared" si="76"/>
        <v/>
      </c>
      <c r="L1623" s="145">
        <f t="shared" si="77"/>
        <v>0</v>
      </c>
      <c r="M1623" t="str">
        <f>_xlfn.XLOOKUP(Table3[[#This Row],[Cuenta]],Estructura_Balance[Nombre Cuenta ()],Estructura_Balance[Grupo],"",0)</f>
        <v/>
      </c>
      <c r="N1623" t="str">
        <f>_xlfn.XLOOKUP(Table3[[#This Row],[Cuenta]],Estructura_Balance[Nombre Cuenta ()],Estructura_Balance[Nivel 1],"",0)</f>
        <v/>
      </c>
      <c r="O1623" t="str">
        <f>_xlfn.XLOOKUP(Table3[[#This Row],[Cuenta]],Estructura_Balance[Nombre Cuenta ()],Estructura_Balance[Nivel 2],"",0)</f>
        <v/>
      </c>
      <c r="P1623" t="str">
        <f>_xlfn.XLOOKUP(Table3[[#This Row],[Cuenta]],Estructura_Balance[Nombre Cuenta ()],Estructura_Balance[Nivel 3],"",0)</f>
        <v/>
      </c>
      <c r="Q1623" t="str">
        <f>_xlfn.XLOOKUP(Table3[[#This Row],[Cuenta]],Estructura_Balance[Nombre Cuenta ()],Estructura_Balance[Nivel 4],"",0)</f>
        <v/>
      </c>
      <c r="R1623" t="str">
        <f>_xlfn.XLOOKUP(Table3[[#This Row],[Cuenta]],Table8[Nombre Cuenta ()],Table8[Nivel 1],"",0)</f>
        <v/>
      </c>
      <c r="S1623" t="str">
        <f>_xlfn.XLOOKUP(Table3[[#This Row],[Cuenta]],Table8[Nombre Cuenta ()],Table8[Nivel 2],"",0)</f>
        <v/>
      </c>
      <c r="T1623" t="str">
        <f>_xlfn.XLOOKUP(Table3[[#This Row],[Cuenta]],Table8[Nombre Cuenta ()],Table8[Nivel 3],"",0)</f>
        <v/>
      </c>
      <c r="U1623">
        <v>1374</v>
      </c>
      <c r="V1623" t="str">
        <f>_xlfn.XLOOKUP(Table3[[#This Row],[Cuenta]],Estructura_Balance[Nombre Cuenta ()],Estructura_Balance[Niveles:2],"",0)</f>
        <v/>
      </c>
      <c r="W1623" t="str">
        <f>_xlfn.XLOOKUP(Table3[[#This Row],[Cuenta]],Estructura_Balance[Nombre Cuenta ()],Estructura_Balance[Niveles:3],"",0)</f>
        <v/>
      </c>
      <c r="X1623" t="str">
        <f>_xlfn.XLOOKUP(Table3[[#This Row],[Cuenta]],Estructura_Balance[Nombre Cuenta ()],Estructura_Balance[Grupos],"Grupo 1",0)</f>
        <v>Grupo 1</v>
      </c>
      <c r="Y1623" t="str">
        <f>+Table3[[#This Row],[BS_Nivel_1]]</f>
        <v/>
      </c>
    </row>
    <row r="1624" spans="1:25" ht="15" customHeight="1">
      <c r="A1624">
        <f>+'Libro Diario'!F71</f>
        <v>1</v>
      </c>
      <c r="B1624" s="144">
        <f>VALUE(IF(+'Libro Diario'!G71="","01/01/2025",+'Libro Diario'!G71))</f>
        <v>45658</v>
      </c>
      <c r="C1624">
        <f>IF(ISNUMBER(+IF(IFERROR(VALUE(MID('Libro Diario'!D71,1,4)),0)&lt;&gt;0,'Libro Diario'!D71,0))=FALSE,'Libro Diario'!D71,0)</f>
        <v>0</v>
      </c>
      <c r="D1624" s="145">
        <f>+'Libro Diario'!E71</f>
        <v>0</v>
      </c>
      <c r="E1624" s="139" t="s">
        <v>446</v>
      </c>
      <c r="F1624" t="str">
        <f t="shared" si="75"/>
        <v>Sin Mov.</v>
      </c>
      <c r="G1624" t="str">
        <f>IF(+'Libro Diario'!H71=0,"",+'Libro Diario'!H71)</f>
        <v>Asiento de Apertura</v>
      </c>
      <c r="H1624" t="str">
        <f>IF(+'Libro Diario'!I71=0,"",+'Libro Diario'!I71)</f>
        <v/>
      </c>
      <c r="I1624" t="str">
        <f>+IF(Table3[[#This Row],[Tipo Movimiento]]="Estructura Balance y PyG","Excluir","Incluir")</f>
        <v>Incluir</v>
      </c>
      <c r="J1624" s="153">
        <f>+IF(Table3[[#This Row],[Sin cuenta]]="Con Mov.",(IF(Table3[[#This Row],[Movimiento]]="Debe",Table3[[#This Row],[Importe]],IF(Table3[[#This Row],[Movimiento]]="Haber",Table3[[#This Row],[Importe]]*-1,0))),0)</f>
        <v>0</v>
      </c>
      <c r="K1624" s="145" t="str">
        <f t="shared" si="76"/>
        <v/>
      </c>
      <c r="L1624" s="145">
        <f t="shared" si="77"/>
        <v>0</v>
      </c>
      <c r="M1624" t="str">
        <f>_xlfn.XLOOKUP(Table3[[#This Row],[Cuenta]],Estructura_Balance[Nombre Cuenta ()],Estructura_Balance[Grupo],"",0)</f>
        <v/>
      </c>
      <c r="N1624" t="str">
        <f>_xlfn.XLOOKUP(Table3[[#This Row],[Cuenta]],Estructura_Balance[Nombre Cuenta ()],Estructura_Balance[Nivel 1],"",0)</f>
        <v/>
      </c>
      <c r="O1624" t="str">
        <f>_xlfn.XLOOKUP(Table3[[#This Row],[Cuenta]],Estructura_Balance[Nombre Cuenta ()],Estructura_Balance[Nivel 2],"",0)</f>
        <v/>
      </c>
      <c r="P1624" t="str">
        <f>_xlfn.XLOOKUP(Table3[[#This Row],[Cuenta]],Estructura_Balance[Nombre Cuenta ()],Estructura_Balance[Nivel 3],"",0)</f>
        <v/>
      </c>
      <c r="Q1624" t="str">
        <f>_xlfn.XLOOKUP(Table3[[#This Row],[Cuenta]],Estructura_Balance[Nombre Cuenta ()],Estructura_Balance[Nivel 4],"",0)</f>
        <v/>
      </c>
      <c r="R1624" t="str">
        <f>_xlfn.XLOOKUP(Table3[[#This Row],[Cuenta]],Table8[Nombre Cuenta ()],Table8[Nivel 1],"",0)</f>
        <v/>
      </c>
      <c r="S1624" t="str">
        <f>_xlfn.XLOOKUP(Table3[[#This Row],[Cuenta]],Table8[Nombre Cuenta ()],Table8[Nivel 2],"",0)</f>
        <v/>
      </c>
      <c r="T1624" t="str">
        <f>_xlfn.XLOOKUP(Table3[[#This Row],[Cuenta]],Table8[Nombre Cuenta ()],Table8[Nivel 3],"",0)</f>
        <v/>
      </c>
      <c r="U1624">
        <v>1375</v>
      </c>
      <c r="V1624" t="str">
        <f>_xlfn.XLOOKUP(Table3[[#This Row],[Cuenta]],Estructura_Balance[Nombre Cuenta ()],Estructura_Balance[Niveles:2],"",0)</f>
        <v/>
      </c>
      <c r="W1624" t="str">
        <f>_xlfn.XLOOKUP(Table3[[#This Row],[Cuenta]],Estructura_Balance[Nombre Cuenta ()],Estructura_Balance[Niveles:3],"",0)</f>
        <v/>
      </c>
      <c r="X1624" t="str">
        <f>_xlfn.XLOOKUP(Table3[[#This Row],[Cuenta]],Estructura_Balance[Nombre Cuenta ()],Estructura_Balance[Grupos],"Grupo 1",0)</f>
        <v>Grupo 1</v>
      </c>
      <c r="Y1624" t="str">
        <f>+Table3[[#This Row],[BS_Nivel_1]]</f>
        <v/>
      </c>
    </row>
    <row r="1625" spans="1:25" ht="15" customHeight="1">
      <c r="A1625">
        <f>+'Libro Diario'!F72</f>
        <v>1</v>
      </c>
      <c r="B1625" s="144">
        <f>VALUE(IF(+'Libro Diario'!G72="","01/01/2025",+'Libro Diario'!G72))</f>
        <v>45658</v>
      </c>
      <c r="C1625">
        <f>IF(ISNUMBER(+IF(IFERROR(VALUE(MID('Libro Diario'!D72,1,4)),0)&lt;&gt;0,'Libro Diario'!D72,0))=FALSE,'Libro Diario'!D72,0)</f>
        <v>0</v>
      </c>
      <c r="D1625" s="145">
        <f>+'Libro Diario'!E72</f>
        <v>0</v>
      </c>
      <c r="E1625" s="139" t="s">
        <v>446</v>
      </c>
      <c r="F1625" t="str">
        <f t="shared" si="75"/>
        <v>Sin Mov.</v>
      </c>
      <c r="G1625" t="str">
        <f>IF(+'Libro Diario'!H72=0,"",+'Libro Diario'!H72)</f>
        <v>Asiento de Apertura</v>
      </c>
      <c r="H1625" t="str">
        <f>IF(+'Libro Diario'!I72=0,"",+'Libro Diario'!I72)</f>
        <v/>
      </c>
      <c r="I1625" t="str">
        <f>+IF(Table3[[#This Row],[Tipo Movimiento]]="Estructura Balance y PyG","Excluir","Incluir")</f>
        <v>Incluir</v>
      </c>
      <c r="J1625" s="153">
        <f>+IF(Table3[[#This Row],[Sin cuenta]]="Con Mov.",(IF(Table3[[#This Row],[Movimiento]]="Debe",Table3[[#This Row],[Importe]],IF(Table3[[#This Row],[Movimiento]]="Haber",Table3[[#This Row],[Importe]]*-1,0))),0)</f>
        <v>0</v>
      </c>
      <c r="K1625" s="145" t="str">
        <f t="shared" si="76"/>
        <v/>
      </c>
      <c r="L1625" s="145">
        <f t="shared" si="77"/>
        <v>0</v>
      </c>
      <c r="M1625" t="str">
        <f>_xlfn.XLOOKUP(Table3[[#This Row],[Cuenta]],Estructura_Balance[Nombre Cuenta ()],Estructura_Balance[Grupo],"",0)</f>
        <v/>
      </c>
      <c r="N1625" t="str">
        <f>_xlfn.XLOOKUP(Table3[[#This Row],[Cuenta]],Estructura_Balance[Nombre Cuenta ()],Estructura_Balance[Nivel 1],"",0)</f>
        <v/>
      </c>
      <c r="O1625" t="str">
        <f>_xlfn.XLOOKUP(Table3[[#This Row],[Cuenta]],Estructura_Balance[Nombre Cuenta ()],Estructura_Balance[Nivel 2],"",0)</f>
        <v/>
      </c>
      <c r="P1625" t="str">
        <f>_xlfn.XLOOKUP(Table3[[#This Row],[Cuenta]],Estructura_Balance[Nombre Cuenta ()],Estructura_Balance[Nivel 3],"",0)</f>
        <v/>
      </c>
      <c r="Q1625" t="str">
        <f>_xlfn.XLOOKUP(Table3[[#This Row],[Cuenta]],Estructura_Balance[Nombre Cuenta ()],Estructura_Balance[Nivel 4],"",0)</f>
        <v/>
      </c>
      <c r="R1625" t="str">
        <f>_xlfn.XLOOKUP(Table3[[#This Row],[Cuenta]],Table8[Nombre Cuenta ()],Table8[Nivel 1],"",0)</f>
        <v/>
      </c>
      <c r="S1625" t="str">
        <f>_xlfn.XLOOKUP(Table3[[#This Row],[Cuenta]],Table8[Nombre Cuenta ()],Table8[Nivel 2],"",0)</f>
        <v/>
      </c>
      <c r="T1625" t="str">
        <f>_xlfn.XLOOKUP(Table3[[#This Row],[Cuenta]],Table8[Nombre Cuenta ()],Table8[Nivel 3],"",0)</f>
        <v/>
      </c>
      <c r="U1625">
        <v>1376</v>
      </c>
      <c r="V1625" t="str">
        <f>_xlfn.XLOOKUP(Table3[[#This Row],[Cuenta]],Estructura_Balance[Nombre Cuenta ()],Estructura_Balance[Niveles:2],"",0)</f>
        <v/>
      </c>
      <c r="W1625" t="str">
        <f>_xlfn.XLOOKUP(Table3[[#This Row],[Cuenta]],Estructura_Balance[Nombre Cuenta ()],Estructura_Balance[Niveles:3],"",0)</f>
        <v/>
      </c>
      <c r="X1625" t="str">
        <f>_xlfn.XLOOKUP(Table3[[#This Row],[Cuenta]],Estructura_Balance[Nombre Cuenta ()],Estructura_Balance[Grupos],"Grupo 1",0)</f>
        <v>Grupo 1</v>
      </c>
      <c r="Y1625" t="str">
        <f>+Table3[[#This Row],[BS_Nivel_1]]</f>
        <v/>
      </c>
    </row>
    <row r="1626" spans="1:25" ht="15" customHeight="1">
      <c r="A1626">
        <f>+'Libro Diario'!F73</f>
        <v>1</v>
      </c>
      <c r="B1626" s="144">
        <f>VALUE(IF(+'Libro Diario'!G73="","01/01/2025",+'Libro Diario'!G73))</f>
        <v>45658</v>
      </c>
      <c r="C1626">
        <f>IF(ISNUMBER(+IF(IFERROR(VALUE(MID('Libro Diario'!D73,1,4)),0)&lt;&gt;0,'Libro Diario'!D73,0))=FALSE,'Libro Diario'!D73,0)</f>
        <v>0</v>
      </c>
      <c r="D1626" s="145">
        <f>+'Libro Diario'!E73</f>
        <v>0</v>
      </c>
      <c r="E1626" s="139" t="s">
        <v>446</v>
      </c>
      <c r="F1626" t="str">
        <f t="shared" si="75"/>
        <v>Sin Mov.</v>
      </c>
      <c r="G1626" t="str">
        <f>IF(+'Libro Diario'!H73=0,"",+'Libro Diario'!H73)</f>
        <v>Asiento de Apertura</v>
      </c>
      <c r="H1626" t="str">
        <f>IF(+'Libro Diario'!I73=0,"",+'Libro Diario'!I73)</f>
        <v/>
      </c>
      <c r="I1626" t="str">
        <f>+IF(Table3[[#This Row],[Tipo Movimiento]]="Estructura Balance y PyG","Excluir","Incluir")</f>
        <v>Incluir</v>
      </c>
      <c r="J1626" s="153">
        <f>+IF(Table3[[#This Row],[Sin cuenta]]="Con Mov.",(IF(Table3[[#This Row],[Movimiento]]="Debe",Table3[[#This Row],[Importe]],IF(Table3[[#This Row],[Movimiento]]="Haber",Table3[[#This Row],[Importe]]*-1,0))),0)</f>
        <v>0</v>
      </c>
      <c r="K1626" s="145" t="str">
        <f t="shared" si="76"/>
        <v/>
      </c>
      <c r="L1626" s="145">
        <f t="shared" si="77"/>
        <v>0</v>
      </c>
      <c r="M1626" t="str">
        <f>_xlfn.XLOOKUP(Table3[[#This Row],[Cuenta]],Estructura_Balance[Nombre Cuenta ()],Estructura_Balance[Grupo],"",0)</f>
        <v/>
      </c>
      <c r="N1626" t="str">
        <f>_xlfn.XLOOKUP(Table3[[#This Row],[Cuenta]],Estructura_Balance[Nombre Cuenta ()],Estructura_Balance[Nivel 1],"",0)</f>
        <v/>
      </c>
      <c r="O1626" t="str">
        <f>_xlfn.XLOOKUP(Table3[[#This Row],[Cuenta]],Estructura_Balance[Nombre Cuenta ()],Estructura_Balance[Nivel 2],"",0)</f>
        <v/>
      </c>
      <c r="P1626" t="str">
        <f>_xlfn.XLOOKUP(Table3[[#This Row],[Cuenta]],Estructura_Balance[Nombre Cuenta ()],Estructura_Balance[Nivel 3],"",0)</f>
        <v/>
      </c>
      <c r="Q1626" t="str">
        <f>_xlfn.XLOOKUP(Table3[[#This Row],[Cuenta]],Estructura_Balance[Nombre Cuenta ()],Estructura_Balance[Nivel 4],"",0)</f>
        <v/>
      </c>
      <c r="R1626" t="str">
        <f>_xlfn.XLOOKUP(Table3[[#This Row],[Cuenta]],Table8[Nombre Cuenta ()],Table8[Nivel 1],"",0)</f>
        <v/>
      </c>
      <c r="S1626" t="str">
        <f>_xlfn.XLOOKUP(Table3[[#This Row],[Cuenta]],Table8[Nombre Cuenta ()],Table8[Nivel 2],"",0)</f>
        <v/>
      </c>
      <c r="T1626" t="str">
        <f>_xlfn.XLOOKUP(Table3[[#This Row],[Cuenta]],Table8[Nombre Cuenta ()],Table8[Nivel 3],"",0)</f>
        <v/>
      </c>
      <c r="U1626">
        <v>1377</v>
      </c>
      <c r="V1626" t="str">
        <f>_xlfn.XLOOKUP(Table3[[#This Row],[Cuenta]],Estructura_Balance[Nombre Cuenta ()],Estructura_Balance[Niveles:2],"",0)</f>
        <v/>
      </c>
      <c r="W1626" t="str">
        <f>_xlfn.XLOOKUP(Table3[[#This Row],[Cuenta]],Estructura_Balance[Nombre Cuenta ()],Estructura_Balance[Niveles:3],"",0)</f>
        <v/>
      </c>
      <c r="X1626" t="str">
        <f>_xlfn.XLOOKUP(Table3[[#This Row],[Cuenta]],Estructura_Balance[Nombre Cuenta ()],Estructura_Balance[Grupos],"Grupo 1",0)</f>
        <v>Grupo 1</v>
      </c>
      <c r="Y1626" t="str">
        <f>+Table3[[#This Row],[BS_Nivel_1]]</f>
        <v/>
      </c>
    </row>
    <row r="1627" spans="1:25" ht="15" customHeight="1">
      <c r="A1627">
        <f>+'Libro Diario'!F74</f>
        <v>1</v>
      </c>
      <c r="B1627" s="144">
        <f>VALUE(IF(+'Libro Diario'!G74="","01/01/2025",+'Libro Diario'!G74))</f>
        <v>45658</v>
      </c>
      <c r="C1627">
        <f>IF(ISNUMBER(+IF(IFERROR(VALUE(MID('Libro Diario'!D74,1,4)),0)&lt;&gt;0,'Libro Diario'!D74,0))=FALSE,'Libro Diario'!D74,0)</f>
        <v>0</v>
      </c>
      <c r="D1627" s="145">
        <f>+'Libro Diario'!E74</f>
        <v>0</v>
      </c>
      <c r="E1627" s="139" t="s">
        <v>446</v>
      </c>
      <c r="F1627" t="str">
        <f t="shared" si="75"/>
        <v>Sin Mov.</v>
      </c>
      <c r="G1627" t="str">
        <f>IF(+'Libro Diario'!H74=0,"",+'Libro Diario'!H74)</f>
        <v>Asiento de Apertura</v>
      </c>
      <c r="H1627" t="str">
        <f>IF(+'Libro Diario'!I74=0,"",+'Libro Diario'!I74)</f>
        <v/>
      </c>
      <c r="I1627" t="str">
        <f>+IF(Table3[[#This Row],[Tipo Movimiento]]="Estructura Balance y PyG","Excluir","Incluir")</f>
        <v>Incluir</v>
      </c>
      <c r="J1627" s="153">
        <f>+IF(Table3[[#This Row],[Sin cuenta]]="Con Mov.",(IF(Table3[[#This Row],[Movimiento]]="Debe",Table3[[#This Row],[Importe]],IF(Table3[[#This Row],[Movimiento]]="Haber",Table3[[#This Row],[Importe]]*-1,0))),0)</f>
        <v>0</v>
      </c>
      <c r="K1627" s="145" t="str">
        <f t="shared" si="76"/>
        <v/>
      </c>
      <c r="L1627" s="145">
        <f t="shared" si="77"/>
        <v>0</v>
      </c>
      <c r="M1627" t="str">
        <f>_xlfn.XLOOKUP(Table3[[#This Row],[Cuenta]],Estructura_Balance[Nombre Cuenta ()],Estructura_Balance[Grupo],"",0)</f>
        <v/>
      </c>
      <c r="N1627" t="str">
        <f>_xlfn.XLOOKUP(Table3[[#This Row],[Cuenta]],Estructura_Balance[Nombre Cuenta ()],Estructura_Balance[Nivel 1],"",0)</f>
        <v/>
      </c>
      <c r="O1627" t="str">
        <f>_xlfn.XLOOKUP(Table3[[#This Row],[Cuenta]],Estructura_Balance[Nombre Cuenta ()],Estructura_Balance[Nivel 2],"",0)</f>
        <v/>
      </c>
      <c r="P1627" t="str">
        <f>_xlfn.XLOOKUP(Table3[[#This Row],[Cuenta]],Estructura_Balance[Nombre Cuenta ()],Estructura_Balance[Nivel 3],"",0)</f>
        <v/>
      </c>
      <c r="Q1627" t="str">
        <f>_xlfn.XLOOKUP(Table3[[#This Row],[Cuenta]],Estructura_Balance[Nombre Cuenta ()],Estructura_Balance[Nivel 4],"",0)</f>
        <v/>
      </c>
      <c r="R1627" t="str">
        <f>_xlfn.XLOOKUP(Table3[[#This Row],[Cuenta]],Table8[Nombre Cuenta ()],Table8[Nivel 1],"",0)</f>
        <v/>
      </c>
      <c r="S1627" t="str">
        <f>_xlfn.XLOOKUP(Table3[[#This Row],[Cuenta]],Table8[Nombre Cuenta ()],Table8[Nivel 2],"",0)</f>
        <v/>
      </c>
      <c r="T1627" t="str">
        <f>_xlfn.XLOOKUP(Table3[[#This Row],[Cuenta]],Table8[Nombre Cuenta ()],Table8[Nivel 3],"",0)</f>
        <v/>
      </c>
      <c r="U1627">
        <v>1378</v>
      </c>
      <c r="V1627" t="str">
        <f>_xlfn.XLOOKUP(Table3[[#This Row],[Cuenta]],Estructura_Balance[Nombre Cuenta ()],Estructura_Balance[Niveles:2],"",0)</f>
        <v/>
      </c>
      <c r="W1627" t="str">
        <f>_xlfn.XLOOKUP(Table3[[#This Row],[Cuenta]],Estructura_Balance[Nombre Cuenta ()],Estructura_Balance[Niveles:3],"",0)</f>
        <v/>
      </c>
      <c r="X1627" t="str">
        <f>_xlfn.XLOOKUP(Table3[[#This Row],[Cuenta]],Estructura_Balance[Nombre Cuenta ()],Estructura_Balance[Grupos],"Grupo 1",0)</f>
        <v>Grupo 1</v>
      </c>
      <c r="Y1627" t="str">
        <f>+Table3[[#This Row],[BS_Nivel_1]]</f>
        <v/>
      </c>
    </row>
    <row r="1628" spans="1:25" ht="15" customHeight="1">
      <c r="A1628">
        <f>+'Libro Diario'!F75</f>
        <v>1</v>
      </c>
      <c r="B1628" s="144">
        <f>VALUE(IF(+'Libro Diario'!G75="","01/01/2025",+'Libro Diario'!G75))</f>
        <v>45658</v>
      </c>
      <c r="C1628">
        <f>IF(ISNUMBER(+IF(IFERROR(VALUE(MID('Libro Diario'!D75,1,4)),0)&lt;&gt;0,'Libro Diario'!D75,0))=FALSE,'Libro Diario'!D75,0)</f>
        <v>0</v>
      </c>
      <c r="D1628" s="145">
        <f>+'Libro Diario'!E75</f>
        <v>0</v>
      </c>
      <c r="E1628" s="139" t="s">
        <v>446</v>
      </c>
      <c r="F1628" t="str">
        <f t="shared" si="75"/>
        <v>Sin Mov.</v>
      </c>
      <c r="G1628" t="str">
        <f>IF(+'Libro Diario'!H75=0,"",+'Libro Diario'!H75)</f>
        <v>Asiento de Apertura</v>
      </c>
      <c r="H1628" t="str">
        <f>IF(+'Libro Diario'!I75=0,"",+'Libro Diario'!I75)</f>
        <v/>
      </c>
      <c r="I1628" t="str">
        <f>+IF(Table3[[#This Row],[Tipo Movimiento]]="Estructura Balance y PyG","Excluir","Incluir")</f>
        <v>Incluir</v>
      </c>
      <c r="J1628" s="153">
        <f>+IF(Table3[[#This Row],[Sin cuenta]]="Con Mov.",(IF(Table3[[#This Row],[Movimiento]]="Debe",Table3[[#This Row],[Importe]],IF(Table3[[#This Row],[Movimiento]]="Haber",Table3[[#This Row],[Importe]]*-1,0))),0)</f>
        <v>0</v>
      </c>
      <c r="K1628" s="145" t="str">
        <f t="shared" si="76"/>
        <v/>
      </c>
      <c r="L1628" s="145">
        <f t="shared" si="77"/>
        <v>0</v>
      </c>
      <c r="M1628" t="str">
        <f>_xlfn.XLOOKUP(Table3[[#This Row],[Cuenta]],Estructura_Balance[Nombre Cuenta ()],Estructura_Balance[Grupo],"",0)</f>
        <v/>
      </c>
      <c r="N1628" t="str">
        <f>_xlfn.XLOOKUP(Table3[[#This Row],[Cuenta]],Estructura_Balance[Nombre Cuenta ()],Estructura_Balance[Nivel 1],"",0)</f>
        <v/>
      </c>
      <c r="O1628" t="str">
        <f>_xlfn.XLOOKUP(Table3[[#This Row],[Cuenta]],Estructura_Balance[Nombre Cuenta ()],Estructura_Balance[Nivel 2],"",0)</f>
        <v/>
      </c>
      <c r="P1628" t="str">
        <f>_xlfn.XLOOKUP(Table3[[#This Row],[Cuenta]],Estructura_Balance[Nombre Cuenta ()],Estructura_Balance[Nivel 3],"",0)</f>
        <v/>
      </c>
      <c r="Q1628" t="str">
        <f>_xlfn.XLOOKUP(Table3[[#This Row],[Cuenta]],Estructura_Balance[Nombre Cuenta ()],Estructura_Balance[Nivel 4],"",0)</f>
        <v/>
      </c>
      <c r="R1628" t="str">
        <f>_xlfn.XLOOKUP(Table3[[#This Row],[Cuenta]],Table8[Nombre Cuenta ()],Table8[Nivel 1],"",0)</f>
        <v/>
      </c>
      <c r="S1628" t="str">
        <f>_xlfn.XLOOKUP(Table3[[#This Row],[Cuenta]],Table8[Nombre Cuenta ()],Table8[Nivel 2],"",0)</f>
        <v/>
      </c>
      <c r="T1628" t="str">
        <f>_xlfn.XLOOKUP(Table3[[#This Row],[Cuenta]],Table8[Nombre Cuenta ()],Table8[Nivel 3],"",0)</f>
        <v/>
      </c>
      <c r="U1628">
        <v>1381</v>
      </c>
      <c r="V1628" t="str">
        <f>_xlfn.XLOOKUP(Table3[[#This Row],[Cuenta]],Estructura_Balance[Nombre Cuenta ()],Estructura_Balance[Niveles:2],"",0)</f>
        <v/>
      </c>
      <c r="W1628" t="str">
        <f>_xlfn.XLOOKUP(Table3[[#This Row],[Cuenta]],Estructura_Balance[Nombre Cuenta ()],Estructura_Balance[Niveles:3],"",0)</f>
        <v/>
      </c>
      <c r="X1628" t="str">
        <f>_xlfn.XLOOKUP(Table3[[#This Row],[Cuenta]],Estructura_Balance[Nombre Cuenta ()],Estructura_Balance[Grupos],"Grupo 1",0)</f>
        <v>Grupo 1</v>
      </c>
      <c r="Y1628" t="str">
        <f>+Table3[[#This Row],[BS_Nivel_1]]</f>
        <v/>
      </c>
    </row>
    <row r="1629" spans="1:25" ht="15" customHeight="1">
      <c r="A1629">
        <f>+'Libro Diario'!F76</f>
        <v>1</v>
      </c>
      <c r="B1629" s="144">
        <f>VALUE(IF(+'Libro Diario'!G76="","01/01/2025",+'Libro Diario'!G76))</f>
        <v>45658</v>
      </c>
      <c r="C1629">
        <f>IF(ISNUMBER(+IF(IFERROR(VALUE(MID('Libro Diario'!D76,1,4)),0)&lt;&gt;0,'Libro Diario'!D76,0))=FALSE,'Libro Diario'!D76,0)</f>
        <v>0</v>
      </c>
      <c r="D1629" s="145">
        <f>+'Libro Diario'!E76</f>
        <v>0</v>
      </c>
      <c r="E1629" s="139" t="s">
        <v>446</v>
      </c>
      <c r="F1629" t="str">
        <f t="shared" si="75"/>
        <v>Sin Mov.</v>
      </c>
      <c r="G1629" t="str">
        <f>IF(+'Libro Diario'!H76=0,"",+'Libro Diario'!H76)</f>
        <v>Asiento de Apertura</v>
      </c>
      <c r="H1629" t="str">
        <f>IF(+'Libro Diario'!I76=0,"",+'Libro Diario'!I76)</f>
        <v/>
      </c>
      <c r="I1629" t="str">
        <f>+IF(Table3[[#This Row],[Tipo Movimiento]]="Estructura Balance y PyG","Excluir","Incluir")</f>
        <v>Incluir</v>
      </c>
      <c r="J1629" s="153">
        <f>+IF(Table3[[#This Row],[Sin cuenta]]="Con Mov.",(IF(Table3[[#This Row],[Movimiento]]="Debe",Table3[[#This Row],[Importe]],IF(Table3[[#This Row],[Movimiento]]="Haber",Table3[[#This Row],[Importe]]*-1,0))),0)</f>
        <v>0</v>
      </c>
      <c r="K1629" s="145" t="str">
        <f t="shared" si="76"/>
        <v/>
      </c>
      <c r="L1629" s="145">
        <f t="shared" si="77"/>
        <v>0</v>
      </c>
      <c r="M1629" t="str">
        <f>_xlfn.XLOOKUP(Table3[[#This Row],[Cuenta]],Estructura_Balance[Nombre Cuenta ()],Estructura_Balance[Grupo],"",0)</f>
        <v/>
      </c>
      <c r="N1629" t="str">
        <f>_xlfn.XLOOKUP(Table3[[#This Row],[Cuenta]],Estructura_Balance[Nombre Cuenta ()],Estructura_Balance[Nivel 1],"",0)</f>
        <v/>
      </c>
      <c r="O1629" t="str">
        <f>_xlfn.XLOOKUP(Table3[[#This Row],[Cuenta]],Estructura_Balance[Nombre Cuenta ()],Estructura_Balance[Nivel 2],"",0)</f>
        <v/>
      </c>
      <c r="P1629" t="str">
        <f>_xlfn.XLOOKUP(Table3[[#This Row],[Cuenta]],Estructura_Balance[Nombre Cuenta ()],Estructura_Balance[Nivel 3],"",0)</f>
        <v/>
      </c>
      <c r="Q1629" t="str">
        <f>_xlfn.XLOOKUP(Table3[[#This Row],[Cuenta]],Estructura_Balance[Nombre Cuenta ()],Estructura_Balance[Nivel 4],"",0)</f>
        <v/>
      </c>
      <c r="R1629" t="str">
        <f>_xlfn.XLOOKUP(Table3[[#This Row],[Cuenta]],Table8[Nombre Cuenta ()],Table8[Nivel 1],"",0)</f>
        <v/>
      </c>
      <c r="S1629" t="str">
        <f>_xlfn.XLOOKUP(Table3[[#This Row],[Cuenta]],Table8[Nombre Cuenta ()],Table8[Nivel 2],"",0)</f>
        <v/>
      </c>
      <c r="T1629" t="str">
        <f>_xlfn.XLOOKUP(Table3[[#This Row],[Cuenta]],Table8[Nombre Cuenta ()],Table8[Nivel 3],"",0)</f>
        <v/>
      </c>
      <c r="U1629">
        <v>1382</v>
      </c>
      <c r="V1629" t="str">
        <f>_xlfn.XLOOKUP(Table3[[#This Row],[Cuenta]],Estructura_Balance[Nombre Cuenta ()],Estructura_Balance[Niveles:2],"",0)</f>
        <v/>
      </c>
      <c r="W1629" t="str">
        <f>_xlfn.XLOOKUP(Table3[[#This Row],[Cuenta]],Estructura_Balance[Nombre Cuenta ()],Estructura_Balance[Niveles:3],"",0)</f>
        <v/>
      </c>
      <c r="X1629" t="str">
        <f>_xlfn.XLOOKUP(Table3[[#This Row],[Cuenta]],Estructura_Balance[Nombre Cuenta ()],Estructura_Balance[Grupos],"Grupo 1",0)</f>
        <v>Grupo 1</v>
      </c>
      <c r="Y1629" t="str">
        <f>+Table3[[#This Row],[BS_Nivel_1]]</f>
        <v/>
      </c>
    </row>
    <row r="1630" spans="1:25" ht="15" customHeight="1">
      <c r="A1630">
        <f>+'Libro Diario'!F77</f>
        <v>1</v>
      </c>
      <c r="B1630" s="144">
        <f>VALUE(IF(+'Libro Diario'!G77="","01/01/2025",+'Libro Diario'!G77))</f>
        <v>45658</v>
      </c>
      <c r="C1630">
        <f>IF(ISNUMBER(+IF(IFERROR(VALUE(MID('Libro Diario'!D77,1,4)),0)&lt;&gt;0,'Libro Diario'!D77,0))=FALSE,'Libro Diario'!D77,0)</f>
        <v>0</v>
      </c>
      <c r="D1630" s="145">
        <f>+'Libro Diario'!E77</f>
        <v>0</v>
      </c>
      <c r="E1630" s="139" t="s">
        <v>446</v>
      </c>
      <c r="F1630" t="str">
        <f t="shared" si="75"/>
        <v>Sin Mov.</v>
      </c>
      <c r="G1630" t="str">
        <f>IF(+'Libro Diario'!H77=0,"",+'Libro Diario'!H77)</f>
        <v>Asiento de Apertura</v>
      </c>
      <c r="H1630" t="str">
        <f>IF(+'Libro Diario'!I77=0,"",+'Libro Diario'!I77)</f>
        <v/>
      </c>
      <c r="I1630" t="str">
        <f>+IF(Table3[[#This Row],[Tipo Movimiento]]="Estructura Balance y PyG","Excluir","Incluir")</f>
        <v>Incluir</v>
      </c>
      <c r="J1630" s="153">
        <f>+IF(Table3[[#This Row],[Sin cuenta]]="Con Mov.",(IF(Table3[[#This Row],[Movimiento]]="Debe",Table3[[#This Row],[Importe]],IF(Table3[[#This Row],[Movimiento]]="Haber",Table3[[#This Row],[Importe]]*-1,0))),0)</f>
        <v>0</v>
      </c>
      <c r="K1630" s="145" t="str">
        <f t="shared" si="76"/>
        <v/>
      </c>
      <c r="L1630" s="145">
        <f t="shared" si="77"/>
        <v>0</v>
      </c>
      <c r="M1630" t="str">
        <f>_xlfn.XLOOKUP(Table3[[#This Row],[Cuenta]],Estructura_Balance[Nombre Cuenta ()],Estructura_Balance[Grupo],"",0)</f>
        <v/>
      </c>
      <c r="N1630" t="str">
        <f>_xlfn.XLOOKUP(Table3[[#This Row],[Cuenta]],Estructura_Balance[Nombre Cuenta ()],Estructura_Balance[Nivel 1],"",0)</f>
        <v/>
      </c>
      <c r="O1630" t="str">
        <f>_xlfn.XLOOKUP(Table3[[#This Row],[Cuenta]],Estructura_Balance[Nombre Cuenta ()],Estructura_Balance[Nivel 2],"",0)</f>
        <v/>
      </c>
      <c r="P1630" t="str">
        <f>_xlfn.XLOOKUP(Table3[[#This Row],[Cuenta]],Estructura_Balance[Nombre Cuenta ()],Estructura_Balance[Nivel 3],"",0)</f>
        <v/>
      </c>
      <c r="Q1630" t="str">
        <f>_xlfn.XLOOKUP(Table3[[#This Row],[Cuenta]],Estructura_Balance[Nombre Cuenta ()],Estructura_Balance[Nivel 4],"",0)</f>
        <v/>
      </c>
      <c r="R1630" t="str">
        <f>_xlfn.XLOOKUP(Table3[[#This Row],[Cuenta]],Table8[Nombre Cuenta ()],Table8[Nivel 1],"",0)</f>
        <v/>
      </c>
      <c r="S1630" t="str">
        <f>_xlfn.XLOOKUP(Table3[[#This Row],[Cuenta]],Table8[Nombre Cuenta ()],Table8[Nivel 2],"",0)</f>
        <v/>
      </c>
      <c r="T1630" t="str">
        <f>_xlfn.XLOOKUP(Table3[[#This Row],[Cuenta]],Table8[Nombre Cuenta ()],Table8[Nivel 3],"",0)</f>
        <v/>
      </c>
      <c r="U1630">
        <v>1383</v>
      </c>
      <c r="V1630" t="str">
        <f>_xlfn.XLOOKUP(Table3[[#This Row],[Cuenta]],Estructura_Balance[Nombre Cuenta ()],Estructura_Balance[Niveles:2],"",0)</f>
        <v/>
      </c>
      <c r="W1630" t="str">
        <f>_xlfn.XLOOKUP(Table3[[#This Row],[Cuenta]],Estructura_Balance[Nombre Cuenta ()],Estructura_Balance[Niveles:3],"",0)</f>
        <v/>
      </c>
      <c r="X1630" t="str">
        <f>_xlfn.XLOOKUP(Table3[[#This Row],[Cuenta]],Estructura_Balance[Nombre Cuenta ()],Estructura_Balance[Grupos],"Grupo 1",0)</f>
        <v>Grupo 1</v>
      </c>
      <c r="Y1630" t="str">
        <f>+Table3[[#This Row],[BS_Nivel_1]]</f>
        <v/>
      </c>
    </row>
    <row r="1631" spans="1:25" ht="15" customHeight="1">
      <c r="A1631">
        <f>+'Libro Diario'!F83</f>
        <v>2</v>
      </c>
      <c r="B1631" s="144">
        <f>VALUE(IF(+'Libro Diario'!G83="","01/01/2025",+'Libro Diario'!G83))</f>
        <v>45667</v>
      </c>
      <c r="C1631">
        <f>IF(ISNUMBER(+IF(IFERROR(VALUE(MID('Libro Diario'!C83,1,4)),0)&lt;&gt;0,'Libro Diario'!C83,0))=FALSE,'Libro Diario'!C83,0)</f>
        <v>0</v>
      </c>
      <c r="D1631" s="145">
        <f>+'Libro Diario'!B83</f>
        <v>0</v>
      </c>
      <c r="E1631" s="139" t="s">
        <v>445</v>
      </c>
      <c r="F1631" t="str">
        <f t="shared" si="75"/>
        <v>Sin Mov.</v>
      </c>
      <c r="G1631" t="str">
        <f>IF(+'Libro Diario'!H83=0,"",+'Libro Diario'!H83)</f>
        <v>Operaciones del Ejercicio</v>
      </c>
      <c r="H1631" t="str">
        <f>IF(+'Libro Diario'!I83=0,"",+'Libro Diario'!I83)</f>
        <v/>
      </c>
      <c r="I1631" t="str">
        <f>+IF(Table3[[#This Row],[Tipo Movimiento]]="Estructura Balance y PyG","Excluir","Incluir")</f>
        <v>Incluir</v>
      </c>
      <c r="J1631" s="153">
        <f>+IF(Table3[[#This Row],[Sin cuenta]]="Con Mov.",(IF(Table3[[#This Row],[Movimiento]]="Debe",Table3[[#This Row],[Importe]],IF(Table3[[#This Row],[Movimiento]]="Haber",Table3[[#This Row],[Importe]]*-1,0))),0)</f>
        <v>0</v>
      </c>
      <c r="K1631" s="145">
        <f t="shared" si="76"/>
        <v>0</v>
      </c>
      <c r="L1631" s="145" t="str">
        <f t="shared" si="77"/>
        <v/>
      </c>
      <c r="M1631" t="str">
        <f>_xlfn.XLOOKUP(Table3[[#This Row],[Cuenta]],Estructura_Balance[Nombre Cuenta ()],Estructura_Balance[Grupo],"",0)</f>
        <v/>
      </c>
      <c r="N1631" t="str">
        <f>_xlfn.XLOOKUP(Table3[[#This Row],[Cuenta]],Estructura_Balance[Nombre Cuenta ()],Estructura_Balance[Nivel 1],"",0)</f>
        <v/>
      </c>
      <c r="O1631" t="str">
        <f>_xlfn.XLOOKUP(Table3[[#This Row],[Cuenta]],Estructura_Balance[Nombre Cuenta ()],Estructura_Balance[Nivel 2],"",0)</f>
        <v/>
      </c>
      <c r="P1631" t="str">
        <f>_xlfn.XLOOKUP(Table3[[#This Row],[Cuenta]],Estructura_Balance[Nombre Cuenta ()],Estructura_Balance[Nivel 3],"",0)</f>
        <v/>
      </c>
      <c r="Q1631" t="str">
        <f>_xlfn.XLOOKUP(Table3[[#This Row],[Cuenta]],Estructura_Balance[Nombre Cuenta ()],Estructura_Balance[Nivel 4],"",0)</f>
        <v/>
      </c>
      <c r="R1631" t="str">
        <f>_xlfn.XLOOKUP(Table3[[#This Row],[Cuenta]],Table8[Nombre Cuenta ()],Table8[Nivel 1],"",0)</f>
        <v/>
      </c>
      <c r="S1631" t="str">
        <f>_xlfn.XLOOKUP(Table3[[#This Row],[Cuenta]],Table8[Nombre Cuenta ()],Table8[Nivel 2],"",0)</f>
        <v/>
      </c>
      <c r="T1631" t="str">
        <f>_xlfn.XLOOKUP(Table3[[#This Row],[Cuenta]],Table8[Nombre Cuenta ()],Table8[Nivel 3],"",0)</f>
        <v/>
      </c>
      <c r="U1631">
        <v>98</v>
      </c>
      <c r="V1631" t="str">
        <f>_xlfn.XLOOKUP(Table3[[#This Row],[Cuenta]],Estructura_Balance[Nombre Cuenta ()],Estructura_Balance[Niveles:2],"",0)</f>
        <v/>
      </c>
      <c r="W1631" t="str">
        <f>_xlfn.XLOOKUP(Table3[[#This Row],[Cuenta]],Estructura_Balance[Nombre Cuenta ()],Estructura_Balance[Niveles:3],"",0)</f>
        <v/>
      </c>
      <c r="X1631" t="str">
        <f>_xlfn.XLOOKUP(Table3[[#This Row],[Cuenta]],Estructura_Balance[Nombre Cuenta ()],Estructura_Balance[Grupos],"Grupo 1",0)</f>
        <v>Grupo 1</v>
      </c>
      <c r="Y1631" t="str">
        <f>+Table3[[#This Row],[BS_Nivel_1]]</f>
        <v/>
      </c>
    </row>
    <row r="1632" spans="1:25" ht="15" customHeight="1">
      <c r="A1632">
        <f>+'Libro Diario'!F84</f>
        <v>2</v>
      </c>
      <c r="B1632" s="144">
        <f>VALUE(IF(+'Libro Diario'!G84="","01/01/2025",+'Libro Diario'!G84))</f>
        <v>45667</v>
      </c>
      <c r="C1632">
        <f>IF(ISNUMBER(+IF(IFERROR(VALUE(MID('Libro Diario'!C84,1,4)),0)&lt;&gt;0,'Libro Diario'!C84,0))=FALSE,'Libro Diario'!C84,0)</f>
        <v>0</v>
      </c>
      <c r="D1632" s="145">
        <f>+'Libro Diario'!B84</f>
        <v>0</v>
      </c>
      <c r="E1632" s="139" t="s">
        <v>445</v>
      </c>
      <c r="F1632" t="str">
        <f t="shared" si="75"/>
        <v>Sin Mov.</v>
      </c>
      <c r="G1632" t="str">
        <f>IF(+'Libro Diario'!H84=0,"",+'Libro Diario'!H84)</f>
        <v>Operaciones del Ejercicio</v>
      </c>
      <c r="H1632" t="str">
        <f>IF(+'Libro Diario'!I84=0,"",+'Libro Diario'!I84)</f>
        <v/>
      </c>
      <c r="I1632" t="str">
        <f>+IF(Table3[[#This Row],[Tipo Movimiento]]="Estructura Balance y PyG","Excluir","Incluir")</f>
        <v>Incluir</v>
      </c>
      <c r="J1632" s="153">
        <f>+IF(Table3[[#This Row],[Sin cuenta]]="Con Mov.",(IF(Table3[[#This Row],[Movimiento]]="Debe",Table3[[#This Row],[Importe]],IF(Table3[[#This Row],[Movimiento]]="Haber",Table3[[#This Row],[Importe]]*-1,0))),0)</f>
        <v>0</v>
      </c>
      <c r="K1632" s="145">
        <f t="shared" si="76"/>
        <v>0</v>
      </c>
      <c r="L1632" s="145" t="str">
        <f t="shared" si="77"/>
        <v/>
      </c>
      <c r="M1632" t="str">
        <f>_xlfn.XLOOKUP(Table3[[#This Row],[Cuenta]],Estructura_Balance[Nombre Cuenta ()],Estructura_Balance[Grupo],"",0)</f>
        <v/>
      </c>
      <c r="N1632" t="str">
        <f>_xlfn.XLOOKUP(Table3[[#This Row],[Cuenta]],Estructura_Balance[Nombre Cuenta ()],Estructura_Balance[Nivel 1],"",0)</f>
        <v/>
      </c>
      <c r="O1632" t="str">
        <f>_xlfn.XLOOKUP(Table3[[#This Row],[Cuenta]],Estructura_Balance[Nombre Cuenta ()],Estructura_Balance[Nivel 2],"",0)</f>
        <v/>
      </c>
      <c r="P1632" t="str">
        <f>_xlfn.XLOOKUP(Table3[[#This Row],[Cuenta]],Estructura_Balance[Nombre Cuenta ()],Estructura_Balance[Nivel 3],"",0)</f>
        <v/>
      </c>
      <c r="Q1632" t="str">
        <f>_xlfn.XLOOKUP(Table3[[#This Row],[Cuenta]],Estructura_Balance[Nombre Cuenta ()],Estructura_Balance[Nivel 4],"",0)</f>
        <v/>
      </c>
      <c r="R1632" t="str">
        <f>_xlfn.XLOOKUP(Table3[[#This Row],[Cuenta]],Table8[Nombre Cuenta ()],Table8[Nivel 1],"",0)</f>
        <v/>
      </c>
      <c r="S1632" t="str">
        <f>_xlfn.XLOOKUP(Table3[[#This Row],[Cuenta]],Table8[Nombre Cuenta ()],Table8[Nivel 2],"",0)</f>
        <v/>
      </c>
      <c r="T1632" t="str">
        <f>_xlfn.XLOOKUP(Table3[[#This Row],[Cuenta]],Table8[Nombre Cuenta ()],Table8[Nivel 3],"",0)</f>
        <v/>
      </c>
      <c r="U1632">
        <v>102</v>
      </c>
      <c r="V1632" t="str">
        <f>_xlfn.XLOOKUP(Table3[[#This Row],[Cuenta]],Estructura_Balance[Nombre Cuenta ()],Estructura_Balance[Niveles:2],"",0)</f>
        <v/>
      </c>
      <c r="W1632" t="str">
        <f>_xlfn.XLOOKUP(Table3[[#This Row],[Cuenta]],Estructura_Balance[Nombre Cuenta ()],Estructura_Balance[Niveles:3],"",0)</f>
        <v/>
      </c>
      <c r="X1632" t="str">
        <f>_xlfn.XLOOKUP(Table3[[#This Row],[Cuenta]],Estructura_Balance[Nombre Cuenta ()],Estructura_Balance[Grupos],"Grupo 1",0)</f>
        <v>Grupo 1</v>
      </c>
      <c r="Y1632" t="str">
        <f>+Table3[[#This Row],[BS_Nivel_1]]</f>
        <v/>
      </c>
    </row>
    <row r="1633" spans="1:25" ht="15" customHeight="1">
      <c r="A1633">
        <f>+'Libro Diario'!F83</f>
        <v>2</v>
      </c>
      <c r="B1633" s="144">
        <f>VALUE(IF(+'Libro Diario'!G83="","01/01/2025",+'Libro Diario'!G83))</f>
        <v>45667</v>
      </c>
      <c r="C1633">
        <f>IF(ISNUMBER(+IF(IFERROR(VALUE(MID('Libro Diario'!D83,1,4)),0)&lt;&gt;0,'Libro Diario'!D83,0))=FALSE,'Libro Diario'!D83,0)</f>
        <v>0</v>
      </c>
      <c r="D1633" s="145">
        <f>+'Libro Diario'!E83</f>
        <v>0</v>
      </c>
      <c r="E1633" s="139" t="s">
        <v>446</v>
      </c>
      <c r="F1633" t="str">
        <f t="shared" si="75"/>
        <v>Sin Mov.</v>
      </c>
      <c r="G1633" t="str">
        <f>IF(+'Libro Diario'!H83=0,"",+'Libro Diario'!H83)</f>
        <v>Operaciones del Ejercicio</v>
      </c>
      <c r="H1633" t="str">
        <f>IF(+'Libro Diario'!I83=0,"",+'Libro Diario'!I83)</f>
        <v/>
      </c>
      <c r="I1633" t="str">
        <f>+IF(Table3[[#This Row],[Tipo Movimiento]]="Estructura Balance y PyG","Excluir","Incluir")</f>
        <v>Incluir</v>
      </c>
      <c r="J1633" s="153">
        <f>+IF(Table3[[#This Row],[Sin cuenta]]="Con Mov.",(IF(Table3[[#This Row],[Movimiento]]="Debe",Table3[[#This Row],[Importe]],IF(Table3[[#This Row],[Movimiento]]="Haber",Table3[[#This Row],[Importe]]*-1,0))),0)</f>
        <v>0</v>
      </c>
      <c r="K1633" s="145" t="str">
        <f t="shared" si="76"/>
        <v/>
      </c>
      <c r="L1633" s="145">
        <f t="shared" si="77"/>
        <v>0</v>
      </c>
      <c r="M1633" t="str">
        <f>_xlfn.XLOOKUP(Table3[[#This Row],[Cuenta]],Estructura_Balance[Nombre Cuenta ()],Estructura_Balance[Grupo],"",0)</f>
        <v/>
      </c>
      <c r="N1633" t="str">
        <f>_xlfn.XLOOKUP(Table3[[#This Row],[Cuenta]],Estructura_Balance[Nombre Cuenta ()],Estructura_Balance[Nivel 1],"",0)</f>
        <v/>
      </c>
      <c r="O1633" t="str">
        <f>_xlfn.XLOOKUP(Table3[[#This Row],[Cuenta]],Estructura_Balance[Nombre Cuenta ()],Estructura_Balance[Nivel 2],"",0)</f>
        <v/>
      </c>
      <c r="P1633" t="str">
        <f>_xlfn.XLOOKUP(Table3[[#This Row],[Cuenta]],Estructura_Balance[Nombre Cuenta ()],Estructura_Balance[Nivel 3],"",0)</f>
        <v/>
      </c>
      <c r="Q1633" t="str">
        <f>_xlfn.XLOOKUP(Table3[[#This Row],[Cuenta]],Estructura_Balance[Nombre Cuenta ()],Estructura_Balance[Nivel 4],"",0)</f>
        <v/>
      </c>
      <c r="R1633" t="str">
        <f>_xlfn.XLOOKUP(Table3[[#This Row],[Cuenta]],Table8[Nombre Cuenta ()],Table8[Nivel 1],"",0)</f>
        <v/>
      </c>
      <c r="S1633" t="str">
        <f>_xlfn.XLOOKUP(Table3[[#This Row],[Cuenta]],Table8[Nombre Cuenta ()],Table8[Nivel 2],"",0)</f>
        <v/>
      </c>
      <c r="T1633" t="str">
        <f>_xlfn.XLOOKUP(Table3[[#This Row],[Cuenta]],Table8[Nombre Cuenta ()],Table8[Nivel 3],"",0)</f>
        <v/>
      </c>
      <c r="U1633">
        <v>1391</v>
      </c>
      <c r="V1633" t="str">
        <f>_xlfn.XLOOKUP(Table3[[#This Row],[Cuenta]],Estructura_Balance[Nombre Cuenta ()],Estructura_Balance[Niveles:2],"",0)</f>
        <v/>
      </c>
      <c r="W1633" t="str">
        <f>_xlfn.XLOOKUP(Table3[[#This Row],[Cuenta]],Estructura_Balance[Nombre Cuenta ()],Estructura_Balance[Niveles:3],"",0)</f>
        <v/>
      </c>
      <c r="X1633" t="str">
        <f>_xlfn.XLOOKUP(Table3[[#This Row],[Cuenta]],Estructura_Balance[Nombre Cuenta ()],Estructura_Balance[Grupos],"Grupo 1",0)</f>
        <v>Grupo 1</v>
      </c>
      <c r="Y1633" t="str">
        <f>+Table3[[#This Row],[BS_Nivel_1]]</f>
        <v/>
      </c>
    </row>
    <row r="1634" spans="1:25" ht="15" customHeight="1">
      <c r="A1634">
        <f>+'Libro Diario'!F84</f>
        <v>2</v>
      </c>
      <c r="B1634" s="144">
        <f>VALUE(IF(+'Libro Diario'!G84="","01/01/2025",+'Libro Diario'!G84))</f>
        <v>45667</v>
      </c>
      <c r="C1634">
        <f>IF(ISNUMBER(+IF(IFERROR(VALUE(MID('Libro Diario'!D84,1,4)),0)&lt;&gt;0,'Libro Diario'!D84,0))=FALSE,'Libro Diario'!D84,0)</f>
        <v>0</v>
      </c>
      <c r="D1634" s="145">
        <f>+'Libro Diario'!E84</f>
        <v>0</v>
      </c>
      <c r="E1634" s="139" t="s">
        <v>446</v>
      </c>
      <c r="F1634" t="str">
        <f t="shared" si="75"/>
        <v>Sin Mov.</v>
      </c>
      <c r="G1634" t="str">
        <f>IF(+'Libro Diario'!H84=0,"",+'Libro Diario'!H84)</f>
        <v>Operaciones del Ejercicio</v>
      </c>
      <c r="H1634" t="str">
        <f>IF(+'Libro Diario'!I84=0,"",+'Libro Diario'!I84)</f>
        <v/>
      </c>
      <c r="I1634" t="str">
        <f>+IF(Table3[[#This Row],[Tipo Movimiento]]="Estructura Balance y PyG","Excluir","Incluir")</f>
        <v>Incluir</v>
      </c>
      <c r="J1634" s="153">
        <f>+IF(Table3[[#This Row],[Sin cuenta]]="Con Mov.",(IF(Table3[[#This Row],[Movimiento]]="Debe",Table3[[#This Row],[Importe]],IF(Table3[[#This Row],[Movimiento]]="Haber",Table3[[#This Row],[Importe]]*-1,0))),0)</f>
        <v>0</v>
      </c>
      <c r="K1634" s="145" t="str">
        <f t="shared" si="76"/>
        <v/>
      </c>
      <c r="L1634" s="145">
        <f t="shared" si="77"/>
        <v>0</v>
      </c>
      <c r="M1634" t="str">
        <f>_xlfn.XLOOKUP(Table3[[#This Row],[Cuenta]],Estructura_Balance[Nombre Cuenta ()],Estructura_Balance[Grupo],"",0)</f>
        <v/>
      </c>
      <c r="N1634" t="str">
        <f>_xlfn.XLOOKUP(Table3[[#This Row],[Cuenta]],Estructura_Balance[Nombre Cuenta ()],Estructura_Balance[Nivel 1],"",0)</f>
        <v/>
      </c>
      <c r="O1634" t="str">
        <f>_xlfn.XLOOKUP(Table3[[#This Row],[Cuenta]],Estructura_Balance[Nombre Cuenta ()],Estructura_Balance[Nivel 2],"",0)</f>
        <v/>
      </c>
      <c r="P1634" t="str">
        <f>_xlfn.XLOOKUP(Table3[[#This Row],[Cuenta]],Estructura_Balance[Nombre Cuenta ()],Estructura_Balance[Nivel 3],"",0)</f>
        <v/>
      </c>
      <c r="Q1634" t="str">
        <f>_xlfn.XLOOKUP(Table3[[#This Row],[Cuenta]],Estructura_Balance[Nombre Cuenta ()],Estructura_Balance[Nivel 4],"",0)</f>
        <v/>
      </c>
      <c r="R1634" t="str">
        <f>_xlfn.XLOOKUP(Table3[[#This Row],[Cuenta]],Table8[Nombre Cuenta ()],Table8[Nivel 1],"",0)</f>
        <v/>
      </c>
      <c r="S1634" t="str">
        <f>_xlfn.XLOOKUP(Table3[[#This Row],[Cuenta]],Table8[Nombre Cuenta ()],Table8[Nivel 2],"",0)</f>
        <v/>
      </c>
      <c r="T1634" t="str">
        <f>_xlfn.XLOOKUP(Table3[[#This Row],[Cuenta]],Table8[Nombre Cuenta ()],Table8[Nivel 3],"",0)</f>
        <v/>
      </c>
      <c r="U1634">
        <v>1392</v>
      </c>
      <c r="V1634" t="str">
        <f>_xlfn.XLOOKUP(Table3[[#This Row],[Cuenta]],Estructura_Balance[Nombre Cuenta ()],Estructura_Balance[Niveles:2],"",0)</f>
        <v/>
      </c>
      <c r="W1634" t="str">
        <f>_xlfn.XLOOKUP(Table3[[#This Row],[Cuenta]],Estructura_Balance[Nombre Cuenta ()],Estructura_Balance[Niveles:3],"",0)</f>
        <v/>
      </c>
      <c r="X1634" t="str">
        <f>_xlfn.XLOOKUP(Table3[[#This Row],[Cuenta]],Estructura_Balance[Nombre Cuenta ()],Estructura_Balance[Grupos],"Grupo 1",0)</f>
        <v>Grupo 1</v>
      </c>
      <c r="Y1634" t="str">
        <f>+Table3[[#This Row],[BS_Nivel_1]]</f>
        <v/>
      </c>
    </row>
    <row r="1635" spans="1:25" ht="15" customHeight="1">
      <c r="A1635">
        <f>+'Libro Diario'!F90</f>
        <v>3</v>
      </c>
      <c r="B1635" s="144">
        <f>VALUE(IF(+'Libro Diario'!G90="","01/01/2025",+'Libro Diario'!G90))</f>
        <v>45672</v>
      </c>
      <c r="C1635">
        <f>IF(ISNUMBER(+IF(IFERROR(VALUE(MID('Libro Diario'!C90,1,4)),0)&lt;&gt;0,'Libro Diario'!C90,0))=FALSE,'Libro Diario'!C90,0)</f>
        <v>0</v>
      </c>
      <c r="D1635" s="145">
        <f>+'Libro Diario'!B90</f>
        <v>0</v>
      </c>
      <c r="E1635" s="139" t="s">
        <v>445</v>
      </c>
      <c r="F1635" t="str">
        <f t="shared" si="75"/>
        <v>Sin Mov.</v>
      </c>
      <c r="G1635" t="str">
        <f>IF(+'Libro Diario'!H90=0,"",+'Libro Diario'!H90)</f>
        <v>Operaciones del Ejercicio</v>
      </c>
      <c r="H1635" t="str">
        <f>IF(+'Libro Diario'!I90=0,"",+'Libro Diario'!I90)</f>
        <v/>
      </c>
      <c r="I1635" t="str">
        <f>+IF(Table3[[#This Row],[Tipo Movimiento]]="Estructura Balance y PyG","Excluir","Incluir")</f>
        <v>Incluir</v>
      </c>
      <c r="J1635" s="153">
        <f>+IF(Table3[[#This Row],[Sin cuenta]]="Con Mov.",(IF(Table3[[#This Row],[Movimiento]]="Debe",Table3[[#This Row],[Importe]],IF(Table3[[#This Row],[Movimiento]]="Haber",Table3[[#This Row],[Importe]]*-1,0))),0)</f>
        <v>0</v>
      </c>
      <c r="K1635" s="145">
        <f t="shared" si="76"/>
        <v>0</v>
      </c>
      <c r="L1635" s="145" t="str">
        <f t="shared" si="77"/>
        <v/>
      </c>
      <c r="M1635" t="str">
        <f>_xlfn.XLOOKUP(Table3[[#This Row],[Cuenta]],Estructura_Balance[Nombre Cuenta ()],Estructura_Balance[Grupo],"",0)</f>
        <v/>
      </c>
      <c r="N1635" t="str">
        <f>_xlfn.XLOOKUP(Table3[[#This Row],[Cuenta]],Estructura_Balance[Nombre Cuenta ()],Estructura_Balance[Nivel 1],"",0)</f>
        <v/>
      </c>
      <c r="O1635" t="str">
        <f>_xlfn.XLOOKUP(Table3[[#This Row],[Cuenta]],Estructura_Balance[Nombre Cuenta ()],Estructura_Balance[Nivel 2],"",0)</f>
        <v/>
      </c>
      <c r="P1635" t="str">
        <f>_xlfn.XLOOKUP(Table3[[#This Row],[Cuenta]],Estructura_Balance[Nombre Cuenta ()],Estructura_Balance[Nivel 3],"",0)</f>
        <v/>
      </c>
      <c r="Q1635" t="str">
        <f>_xlfn.XLOOKUP(Table3[[#This Row],[Cuenta]],Estructura_Balance[Nombre Cuenta ()],Estructura_Balance[Nivel 4],"",0)</f>
        <v/>
      </c>
      <c r="R1635" t="str">
        <f>_xlfn.XLOOKUP(Table3[[#This Row],[Cuenta]],Table8[Nombre Cuenta ()],Table8[Nivel 1],"",0)</f>
        <v/>
      </c>
      <c r="S1635" t="str">
        <f>_xlfn.XLOOKUP(Table3[[#This Row],[Cuenta]],Table8[Nombre Cuenta ()],Table8[Nivel 2],"",0)</f>
        <v/>
      </c>
      <c r="T1635" t="str">
        <f>_xlfn.XLOOKUP(Table3[[#This Row],[Cuenta]],Table8[Nombre Cuenta ()],Table8[Nivel 3],"",0)</f>
        <v/>
      </c>
      <c r="U1635">
        <v>110</v>
      </c>
      <c r="V1635" t="str">
        <f>_xlfn.XLOOKUP(Table3[[#This Row],[Cuenta]],Estructura_Balance[Nombre Cuenta ()],Estructura_Balance[Niveles:2],"",0)</f>
        <v/>
      </c>
      <c r="W1635" t="str">
        <f>_xlfn.XLOOKUP(Table3[[#This Row],[Cuenta]],Estructura_Balance[Nombre Cuenta ()],Estructura_Balance[Niveles:3],"",0)</f>
        <v/>
      </c>
      <c r="X1635" t="str">
        <f>_xlfn.XLOOKUP(Table3[[#This Row],[Cuenta]],Estructura_Balance[Nombre Cuenta ()],Estructura_Balance[Grupos],"Grupo 1",0)</f>
        <v>Grupo 1</v>
      </c>
      <c r="Y1635" t="str">
        <f>+Table3[[#This Row],[BS_Nivel_1]]</f>
        <v/>
      </c>
    </row>
    <row r="1636" spans="1:25" ht="15" customHeight="1">
      <c r="A1636">
        <f>+'Libro Diario'!F91</f>
        <v>3</v>
      </c>
      <c r="B1636" s="144">
        <f>VALUE(IF(+'Libro Diario'!G91="","01/01/2025",+'Libro Diario'!G91))</f>
        <v>45672</v>
      </c>
      <c r="C1636">
        <f>IF(ISNUMBER(+IF(IFERROR(VALUE(MID('Libro Diario'!C91,1,4)),0)&lt;&gt;0,'Libro Diario'!C91,0))=FALSE,'Libro Diario'!C91,0)</f>
        <v>0</v>
      </c>
      <c r="D1636" s="145">
        <f>+'Libro Diario'!B91</f>
        <v>0</v>
      </c>
      <c r="E1636" s="139" t="s">
        <v>445</v>
      </c>
      <c r="F1636" t="str">
        <f t="shared" si="75"/>
        <v>Sin Mov.</v>
      </c>
      <c r="G1636" t="str">
        <f>IF(+'Libro Diario'!H91=0,"",+'Libro Diario'!H91)</f>
        <v>Operaciones del Ejercicio</v>
      </c>
      <c r="H1636" t="str">
        <f>IF(+'Libro Diario'!I91=0,"",+'Libro Diario'!I91)</f>
        <v/>
      </c>
      <c r="I1636" t="str">
        <f>+IF(Table3[[#This Row],[Tipo Movimiento]]="Estructura Balance y PyG","Excluir","Incluir")</f>
        <v>Incluir</v>
      </c>
      <c r="J1636" s="153">
        <f>+IF(Table3[[#This Row],[Sin cuenta]]="Con Mov.",(IF(Table3[[#This Row],[Movimiento]]="Debe",Table3[[#This Row],[Importe]],IF(Table3[[#This Row],[Movimiento]]="Haber",Table3[[#This Row],[Importe]]*-1,0))),0)</f>
        <v>0</v>
      </c>
      <c r="K1636" s="145">
        <f t="shared" si="76"/>
        <v>0</v>
      </c>
      <c r="L1636" s="145" t="str">
        <f t="shared" si="77"/>
        <v/>
      </c>
      <c r="M1636" t="str">
        <f>_xlfn.XLOOKUP(Table3[[#This Row],[Cuenta]],Estructura_Balance[Nombre Cuenta ()],Estructura_Balance[Grupo],"",0)</f>
        <v/>
      </c>
      <c r="N1636" t="str">
        <f>_xlfn.XLOOKUP(Table3[[#This Row],[Cuenta]],Estructura_Balance[Nombre Cuenta ()],Estructura_Balance[Nivel 1],"",0)</f>
        <v/>
      </c>
      <c r="O1636" t="str">
        <f>_xlfn.XLOOKUP(Table3[[#This Row],[Cuenta]],Estructura_Balance[Nombre Cuenta ()],Estructura_Balance[Nivel 2],"",0)</f>
        <v/>
      </c>
      <c r="P1636" t="str">
        <f>_xlfn.XLOOKUP(Table3[[#This Row],[Cuenta]],Estructura_Balance[Nombre Cuenta ()],Estructura_Balance[Nivel 3],"",0)</f>
        <v/>
      </c>
      <c r="Q1636" t="str">
        <f>_xlfn.XLOOKUP(Table3[[#This Row],[Cuenta]],Estructura_Balance[Nombre Cuenta ()],Estructura_Balance[Nivel 4],"",0)</f>
        <v/>
      </c>
      <c r="R1636" t="str">
        <f>_xlfn.XLOOKUP(Table3[[#This Row],[Cuenta]],Table8[Nombre Cuenta ()],Table8[Nivel 1],"",0)</f>
        <v/>
      </c>
      <c r="S1636" t="str">
        <f>_xlfn.XLOOKUP(Table3[[#This Row],[Cuenta]],Table8[Nombre Cuenta ()],Table8[Nivel 2],"",0)</f>
        <v/>
      </c>
      <c r="T1636" t="str">
        <f>_xlfn.XLOOKUP(Table3[[#This Row],[Cuenta]],Table8[Nombre Cuenta ()],Table8[Nivel 3],"",0)</f>
        <v/>
      </c>
      <c r="U1636">
        <v>111</v>
      </c>
      <c r="V1636" t="str">
        <f>_xlfn.XLOOKUP(Table3[[#This Row],[Cuenta]],Estructura_Balance[Nombre Cuenta ()],Estructura_Balance[Niveles:2],"",0)</f>
        <v/>
      </c>
      <c r="W1636" t="str">
        <f>_xlfn.XLOOKUP(Table3[[#This Row],[Cuenta]],Estructura_Balance[Nombre Cuenta ()],Estructura_Balance[Niveles:3],"",0)</f>
        <v/>
      </c>
      <c r="X1636" t="str">
        <f>_xlfn.XLOOKUP(Table3[[#This Row],[Cuenta]],Estructura_Balance[Nombre Cuenta ()],Estructura_Balance[Grupos],"Grupo 1",0)</f>
        <v>Grupo 1</v>
      </c>
      <c r="Y1636" t="str">
        <f>+Table3[[#This Row],[BS_Nivel_1]]</f>
        <v/>
      </c>
    </row>
    <row r="1637" spans="1:25" ht="15" customHeight="1">
      <c r="A1637">
        <f>+'Libro Diario'!F90</f>
        <v>3</v>
      </c>
      <c r="B1637" s="144">
        <f>VALUE(IF(+'Libro Diario'!G90="","01/01/2025",+'Libro Diario'!G90))</f>
        <v>45672</v>
      </c>
      <c r="C1637">
        <f>IF(ISNUMBER(+IF(IFERROR(VALUE(MID('Libro Diario'!D90,1,4)),0)&lt;&gt;0,'Libro Diario'!D90,0))=FALSE,'Libro Diario'!D90,0)</f>
        <v>0</v>
      </c>
      <c r="D1637" s="145">
        <f>+'Libro Diario'!E90</f>
        <v>0</v>
      </c>
      <c r="E1637" s="139" t="s">
        <v>446</v>
      </c>
      <c r="F1637" t="str">
        <f t="shared" si="75"/>
        <v>Sin Mov.</v>
      </c>
      <c r="G1637" t="str">
        <f>IF(+'Libro Diario'!H90=0,"",+'Libro Diario'!H90)</f>
        <v>Operaciones del Ejercicio</v>
      </c>
      <c r="H1637" t="str">
        <f>IF(+'Libro Diario'!I90=0,"",+'Libro Diario'!I90)</f>
        <v/>
      </c>
      <c r="I1637" t="str">
        <f>+IF(Table3[[#This Row],[Tipo Movimiento]]="Estructura Balance y PyG","Excluir","Incluir")</f>
        <v>Incluir</v>
      </c>
      <c r="J1637" s="153">
        <f>+IF(Table3[[#This Row],[Sin cuenta]]="Con Mov.",(IF(Table3[[#This Row],[Movimiento]]="Debe",Table3[[#This Row],[Importe]],IF(Table3[[#This Row],[Movimiento]]="Haber",Table3[[#This Row],[Importe]]*-1,0))),0)</f>
        <v>0</v>
      </c>
      <c r="K1637" s="145" t="str">
        <f t="shared" si="76"/>
        <v/>
      </c>
      <c r="L1637" s="145">
        <f t="shared" si="77"/>
        <v>0</v>
      </c>
      <c r="M1637" t="str">
        <f>_xlfn.XLOOKUP(Table3[[#This Row],[Cuenta]],Estructura_Balance[Nombre Cuenta ()],Estructura_Balance[Grupo],"",0)</f>
        <v/>
      </c>
      <c r="N1637" t="str">
        <f>_xlfn.XLOOKUP(Table3[[#This Row],[Cuenta]],Estructura_Balance[Nombre Cuenta ()],Estructura_Balance[Nivel 1],"",0)</f>
        <v/>
      </c>
      <c r="O1637" t="str">
        <f>_xlfn.XLOOKUP(Table3[[#This Row],[Cuenta]],Estructura_Balance[Nombre Cuenta ()],Estructura_Balance[Nivel 2],"",0)</f>
        <v/>
      </c>
      <c r="P1637" t="str">
        <f>_xlfn.XLOOKUP(Table3[[#This Row],[Cuenta]],Estructura_Balance[Nombre Cuenta ()],Estructura_Balance[Nivel 3],"",0)</f>
        <v/>
      </c>
      <c r="Q1637" t="str">
        <f>_xlfn.XLOOKUP(Table3[[#This Row],[Cuenta]],Estructura_Balance[Nombre Cuenta ()],Estructura_Balance[Nivel 4],"",0)</f>
        <v/>
      </c>
      <c r="R1637" t="str">
        <f>_xlfn.XLOOKUP(Table3[[#This Row],[Cuenta]],Table8[Nombre Cuenta ()],Table8[Nivel 1],"",0)</f>
        <v/>
      </c>
      <c r="S1637" t="str">
        <f>_xlfn.XLOOKUP(Table3[[#This Row],[Cuenta]],Table8[Nombre Cuenta ()],Table8[Nivel 2],"",0)</f>
        <v/>
      </c>
      <c r="T1637" t="str">
        <f>_xlfn.XLOOKUP(Table3[[#This Row],[Cuenta]],Table8[Nombre Cuenta ()],Table8[Nivel 3],"",0)</f>
        <v/>
      </c>
      <c r="U1637">
        <v>1402</v>
      </c>
      <c r="V1637" t="str">
        <f>_xlfn.XLOOKUP(Table3[[#This Row],[Cuenta]],Estructura_Balance[Nombre Cuenta ()],Estructura_Balance[Niveles:2],"",0)</f>
        <v/>
      </c>
      <c r="W1637" t="str">
        <f>_xlfn.XLOOKUP(Table3[[#This Row],[Cuenta]],Estructura_Balance[Nombre Cuenta ()],Estructura_Balance[Niveles:3],"",0)</f>
        <v/>
      </c>
      <c r="X1637" t="str">
        <f>_xlfn.XLOOKUP(Table3[[#This Row],[Cuenta]],Estructura_Balance[Nombre Cuenta ()],Estructura_Balance[Grupos],"Grupo 1",0)</f>
        <v>Grupo 1</v>
      </c>
      <c r="Y1637" t="str">
        <f>+Table3[[#This Row],[BS_Nivel_1]]</f>
        <v/>
      </c>
    </row>
    <row r="1638" spans="1:25" ht="15" customHeight="1">
      <c r="A1638">
        <f>+'Libro Diario'!F91</f>
        <v>3</v>
      </c>
      <c r="B1638" s="144">
        <f>VALUE(IF(+'Libro Diario'!G91="","01/01/2025",+'Libro Diario'!G91))</f>
        <v>45672</v>
      </c>
      <c r="C1638">
        <f>IF(ISNUMBER(+IF(IFERROR(VALUE(MID('Libro Diario'!D91,1,4)),0)&lt;&gt;0,'Libro Diario'!D91,0))=FALSE,'Libro Diario'!D91,0)</f>
        <v>0</v>
      </c>
      <c r="D1638" s="145">
        <f>+'Libro Diario'!E91</f>
        <v>0</v>
      </c>
      <c r="E1638" s="139" t="s">
        <v>446</v>
      </c>
      <c r="F1638" t="str">
        <f t="shared" si="75"/>
        <v>Sin Mov.</v>
      </c>
      <c r="G1638" t="str">
        <f>IF(+'Libro Diario'!H91=0,"",+'Libro Diario'!H91)</f>
        <v>Operaciones del Ejercicio</v>
      </c>
      <c r="H1638" t="str">
        <f>IF(+'Libro Diario'!I91=0,"",+'Libro Diario'!I91)</f>
        <v/>
      </c>
      <c r="I1638" t="str">
        <f>+IF(Table3[[#This Row],[Tipo Movimiento]]="Estructura Balance y PyG","Excluir","Incluir")</f>
        <v>Incluir</v>
      </c>
      <c r="J1638" s="153">
        <f>+IF(Table3[[#This Row],[Sin cuenta]]="Con Mov.",(IF(Table3[[#This Row],[Movimiento]]="Debe",Table3[[#This Row],[Importe]],IF(Table3[[#This Row],[Movimiento]]="Haber",Table3[[#This Row],[Importe]]*-1,0))),0)</f>
        <v>0</v>
      </c>
      <c r="K1638" s="145" t="str">
        <f t="shared" si="76"/>
        <v/>
      </c>
      <c r="L1638" s="145">
        <f t="shared" si="77"/>
        <v>0</v>
      </c>
      <c r="M1638" t="str">
        <f>_xlfn.XLOOKUP(Table3[[#This Row],[Cuenta]],Estructura_Balance[Nombre Cuenta ()],Estructura_Balance[Grupo],"",0)</f>
        <v/>
      </c>
      <c r="N1638" t="str">
        <f>_xlfn.XLOOKUP(Table3[[#This Row],[Cuenta]],Estructura_Balance[Nombre Cuenta ()],Estructura_Balance[Nivel 1],"",0)</f>
        <v/>
      </c>
      <c r="O1638" t="str">
        <f>_xlfn.XLOOKUP(Table3[[#This Row],[Cuenta]],Estructura_Balance[Nombre Cuenta ()],Estructura_Balance[Nivel 2],"",0)</f>
        <v/>
      </c>
      <c r="P1638" t="str">
        <f>_xlfn.XLOOKUP(Table3[[#This Row],[Cuenta]],Estructura_Balance[Nombre Cuenta ()],Estructura_Balance[Nivel 3],"",0)</f>
        <v/>
      </c>
      <c r="Q1638" t="str">
        <f>_xlfn.XLOOKUP(Table3[[#This Row],[Cuenta]],Estructura_Balance[Nombre Cuenta ()],Estructura_Balance[Nivel 4],"",0)</f>
        <v/>
      </c>
      <c r="R1638" t="str">
        <f>_xlfn.XLOOKUP(Table3[[#This Row],[Cuenta]],Table8[Nombre Cuenta ()],Table8[Nivel 1],"",0)</f>
        <v/>
      </c>
      <c r="S1638" t="str">
        <f>_xlfn.XLOOKUP(Table3[[#This Row],[Cuenta]],Table8[Nombre Cuenta ()],Table8[Nivel 2],"",0)</f>
        <v/>
      </c>
      <c r="T1638" t="str">
        <f>_xlfn.XLOOKUP(Table3[[#This Row],[Cuenta]],Table8[Nombre Cuenta ()],Table8[Nivel 3],"",0)</f>
        <v/>
      </c>
      <c r="U1638">
        <v>1403</v>
      </c>
      <c r="V1638" t="str">
        <f>_xlfn.XLOOKUP(Table3[[#This Row],[Cuenta]],Estructura_Balance[Nombre Cuenta ()],Estructura_Balance[Niveles:2],"",0)</f>
        <v/>
      </c>
      <c r="W1638" t="str">
        <f>_xlfn.XLOOKUP(Table3[[#This Row],[Cuenta]],Estructura_Balance[Nombre Cuenta ()],Estructura_Balance[Niveles:3],"",0)</f>
        <v/>
      </c>
      <c r="X1638" t="str">
        <f>_xlfn.XLOOKUP(Table3[[#This Row],[Cuenta]],Estructura_Balance[Nombre Cuenta ()],Estructura_Balance[Grupos],"Grupo 1",0)</f>
        <v>Grupo 1</v>
      </c>
      <c r="Y1638" t="str">
        <f>+Table3[[#This Row],[BS_Nivel_1]]</f>
        <v/>
      </c>
    </row>
    <row r="1639" spans="1:25" ht="15" customHeight="1">
      <c r="A1639">
        <f>+'Libro Diario'!F97</f>
        <v>4</v>
      </c>
      <c r="B1639" s="144">
        <f>VALUE(IF(+'Libro Diario'!G97="","01/01/2025",+'Libro Diario'!G97))</f>
        <v>45677</v>
      </c>
      <c r="C1639">
        <f>IF(ISNUMBER(+IF(IFERROR(VALUE(MID('Libro Diario'!C97,1,4)),0)&lt;&gt;0,'Libro Diario'!C97,0))=FALSE,'Libro Diario'!C97,0)</f>
        <v>0</v>
      </c>
      <c r="D1639" s="145">
        <f>+'Libro Diario'!B97</f>
        <v>0</v>
      </c>
      <c r="E1639" s="139" t="s">
        <v>445</v>
      </c>
      <c r="F1639" t="str">
        <f t="shared" si="75"/>
        <v>Sin Mov.</v>
      </c>
      <c r="G1639" t="str">
        <f>IF(+'Libro Diario'!H97=0,"",+'Libro Diario'!H97)</f>
        <v>Operaciones del Ejercicio</v>
      </c>
      <c r="H1639" t="str">
        <f>IF(+'Libro Diario'!I97=0,"",+'Libro Diario'!I97)</f>
        <v/>
      </c>
      <c r="I1639" t="str">
        <f>+IF(Table3[[#This Row],[Tipo Movimiento]]="Estructura Balance y PyG","Excluir","Incluir")</f>
        <v>Incluir</v>
      </c>
      <c r="J1639" s="153">
        <f>+IF(Table3[[#This Row],[Sin cuenta]]="Con Mov.",(IF(Table3[[#This Row],[Movimiento]]="Debe",Table3[[#This Row],[Importe]],IF(Table3[[#This Row],[Movimiento]]="Haber",Table3[[#This Row],[Importe]]*-1,0))),0)</f>
        <v>0</v>
      </c>
      <c r="K1639" s="145">
        <f t="shared" si="76"/>
        <v>0</v>
      </c>
      <c r="L1639" s="145" t="str">
        <f t="shared" si="77"/>
        <v/>
      </c>
      <c r="M1639" t="str">
        <f>_xlfn.XLOOKUP(Table3[[#This Row],[Cuenta]],Estructura_Balance[Nombre Cuenta ()],Estructura_Balance[Grupo],"",0)</f>
        <v/>
      </c>
      <c r="N1639" t="str">
        <f>_xlfn.XLOOKUP(Table3[[#This Row],[Cuenta]],Estructura_Balance[Nombre Cuenta ()],Estructura_Balance[Nivel 1],"",0)</f>
        <v/>
      </c>
      <c r="O1639" t="str">
        <f>_xlfn.XLOOKUP(Table3[[#This Row],[Cuenta]],Estructura_Balance[Nombre Cuenta ()],Estructura_Balance[Nivel 2],"",0)</f>
        <v/>
      </c>
      <c r="P1639" t="str">
        <f>_xlfn.XLOOKUP(Table3[[#This Row],[Cuenta]],Estructura_Balance[Nombre Cuenta ()],Estructura_Balance[Nivel 3],"",0)</f>
        <v/>
      </c>
      <c r="Q1639" t="str">
        <f>_xlfn.XLOOKUP(Table3[[#This Row],[Cuenta]],Estructura_Balance[Nombre Cuenta ()],Estructura_Balance[Nivel 4],"",0)</f>
        <v/>
      </c>
      <c r="R1639" t="str">
        <f>_xlfn.XLOOKUP(Table3[[#This Row],[Cuenta]],Table8[Nombre Cuenta ()],Table8[Nivel 1],"",0)</f>
        <v/>
      </c>
      <c r="S1639" t="str">
        <f>_xlfn.XLOOKUP(Table3[[#This Row],[Cuenta]],Table8[Nombre Cuenta ()],Table8[Nivel 2],"",0)</f>
        <v/>
      </c>
      <c r="T1639" t="str">
        <f>_xlfn.XLOOKUP(Table3[[#This Row],[Cuenta]],Table8[Nombre Cuenta ()],Table8[Nivel 3],"",0)</f>
        <v/>
      </c>
      <c r="U1639">
        <v>119</v>
      </c>
      <c r="V1639" t="str">
        <f>_xlfn.XLOOKUP(Table3[[#This Row],[Cuenta]],Estructura_Balance[Nombre Cuenta ()],Estructura_Balance[Niveles:2],"",0)</f>
        <v/>
      </c>
      <c r="W1639" t="str">
        <f>_xlfn.XLOOKUP(Table3[[#This Row],[Cuenta]],Estructura_Balance[Nombre Cuenta ()],Estructura_Balance[Niveles:3],"",0)</f>
        <v/>
      </c>
      <c r="X1639" t="str">
        <f>_xlfn.XLOOKUP(Table3[[#This Row],[Cuenta]],Estructura_Balance[Nombre Cuenta ()],Estructura_Balance[Grupos],"Grupo 1",0)</f>
        <v>Grupo 1</v>
      </c>
      <c r="Y1639" t="str">
        <f>+Table3[[#This Row],[BS_Nivel_1]]</f>
        <v/>
      </c>
    </row>
    <row r="1640" spans="1:25" ht="15" customHeight="1">
      <c r="A1640">
        <f>+'Libro Diario'!F98</f>
        <v>4</v>
      </c>
      <c r="B1640" s="144">
        <f>VALUE(IF(+'Libro Diario'!G98="","01/01/2025",+'Libro Diario'!G98))</f>
        <v>45677</v>
      </c>
      <c r="C1640">
        <f>IF(ISNUMBER(+IF(IFERROR(VALUE(MID('Libro Diario'!C98,1,4)),0)&lt;&gt;0,'Libro Diario'!C98,0))=FALSE,'Libro Diario'!C98,0)</f>
        <v>0</v>
      </c>
      <c r="D1640" s="145">
        <f>+'Libro Diario'!B98</f>
        <v>0</v>
      </c>
      <c r="E1640" s="139" t="s">
        <v>445</v>
      </c>
      <c r="F1640" t="str">
        <f t="shared" si="75"/>
        <v>Sin Mov.</v>
      </c>
      <c r="G1640" t="str">
        <f>IF(+'Libro Diario'!H98=0,"",+'Libro Diario'!H98)</f>
        <v>Operaciones del Ejercicio</v>
      </c>
      <c r="H1640" t="str">
        <f>IF(+'Libro Diario'!I98=0,"",+'Libro Diario'!I98)</f>
        <v/>
      </c>
      <c r="I1640" t="str">
        <f>+IF(Table3[[#This Row],[Tipo Movimiento]]="Estructura Balance y PyG","Excluir","Incluir")</f>
        <v>Incluir</v>
      </c>
      <c r="J1640" s="153">
        <f>+IF(Table3[[#This Row],[Sin cuenta]]="Con Mov.",(IF(Table3[[#This Row],[Movimiento]]="Debe",Table3[[#This Row],[Importe]],IF(Table3[[#This Row],[Movimiento]]="Haber",Table3[[#This Row],[Importe]]*-1,0))),0)</f>
        <v>0</v>
      </c>
      <c r="K1640" s="145">
        <f t="shared" si="76"/>
        <v>0</v>
      </c>
      <c r="L1640" s="145" t="str">
        <f t="shared" si="77"/>
        <v/>
      </c>
      <c r="M1640" t="str">
        <f>_xlfn.XLOOKUP(Table3[[#This Row],[Cuenta]],Estructura_Balance[Nombre Cuenta ()],Estructura_Balance[Grupo],"",0)</f>
        <v/>
      </c>
      <c r="N1640" t="str">
        <f>_xlfn.XLOOKUP(Table3[[#This Row],[Cuenta]],Estructura_Balance[Nombre Cuenta ()],Estructura_Balance[Nivel 1],"",0)</f>
        <v/>
      </c>
      <c r="O1640" t="str">
        <f>_xlfn.XLOOKUP(Table3[[#This Row],[Cuenta]],Estructura_Balance[Nombre Cuenta ()],Estructura_Balance[Nivel 2],"",0)</f>
        <v/>
      </c>
      <c r="P1640" t="str">
        <f>_xlfn.XLOOKUP(Table3[[#This Row],[Cuenta]],Estructura_Balance[Nombre Cuenta ()],Estructura_Balance[Nivel 3],"",0)</f>
        <v/>
      </c>
      <c r="Q1640" t="str">
        <f>_xlfn.XLOOKUP(Table3[[#This Row],[Cuenta]],Estructura_Balance[Nombre Cuenta ()],Estructura_Balance[Nivel 4],"",0)</f>
        <v/>
      </c>
      <c r="R1640" t="str">
        <f>_xlfn.XLOOKUP(Table3[[#This Row],[Cuenta]],Table8[Nombre Cuenta ()],Table8[Nivel 1],"",0)</f>
        <v/>
      </c>
      <c r="S1640" t="str">
        <f>_xlfn.XLOOKUP(Table3[[#This Row],[Cuenta]],Table8[Nombre Cuenta ()],Table8[Nivel 2],"",0)</f>
        <v/>
      </c>
      <c r="T1640" t="str">
        <f>_xlfn.XLOOKUP(Table3[[#This Row],[Cuenta]],Table8[Nombre Cuenta ()],Table8[Nivel 3],"",0)</f>
        <v/>
      </c>
      <c r="U1640">
        <v>120</v>
      </c>
      <c r="V1640" t="str">
        <f>_xlfn.XLOOKUP(Table3[[#This Row],[Cuenta]],Estructura_Balance[Nombre Cuenta ()],Estructura_Balance[Niveles:2],"",0)</f>
        <v/>
      </c>
      <c r="W1640" t="str">
        <f>_xlfn.XLOOKUP(Table3[[#This Row],[Cuenta]],Estructura_Balance[Nombre Cuenta ()],Estructura_Balance[Niveles:3],"",0)</f>
        <v/>
      </c>
      <c r="X1640" t="str">
        <f>_xlfn.XLOOKUP(Table3[[#This Row],[Cuenta]],Estructura_Balance[Nombre Cuenta ()],Estructura_Balance[Grupos],"Grupo 1",0)</f>
        <v>Grupo 1</v>
      </c>
      <c r="Y1640" t="str">
        <f>+Table3[[#This Row],[BS_Nivel_1]]</f>
        <v/>
      </c>
    </row>
    <row r="1641" spans="1:25" ht="15" customHeight="1">
      <c r="A1641">
        <f>+'Libro Diario'!F97</f>
        <v>4</v>
      </c>
      <c r="B1641" s="144">
        <f>VALUE(IF(+'Libro Diario'!G97="","01/01/2025",+'Libro Diario'!G97))</f>
        <v>45677</v>
      </c>
      <c r="C1641">
        <f>IF(ISNUMBER(+IF(IFERROR(VALUE(MID('Libro Diario'!D97,1,4)),0)&lt;&gt;0,'Libro Diario'!D97,0))=FALSE,'Libro Diario'!D97,0)</f>
        <v>0</v>
      </c>
      <c r="D1641" s="145">
        <f>+'Libro Diario'!E97</f>
        <v>0</v>
      </c>
      <c r="E1641" s="139" t="s">
        <v>446</v>
      </c>
      <c r="F1641" t="str">
        <f t="shared" si="75"/>
        <v>Sin Mov.</v>
      </c>
      <c r="G1641" t="str">
        <f>IF(+'Libro Diario'!H97=0,"",+'Libro Diario'!H97)</f>
        <v>Operaciones del Ejercicio</v>
      </c>
      <c r="H1641" t="str">
        <f>IF(+'Libro Diario'!I97=0,"",+'Libro Diario'!I97)</f>
        <v/>
      </c>
      <c r="I1641" t="str">
        <f>+IF(Table3[[#This Row],[Tipo Movimiento]]="Estructura Balance y PyG","Excluir","Incluir")</f>
        <v>Incluir</v>
      </c>
      <c r="J1641" s="153">
        <f>+IF(Table3[[#This Row],[Sin cuenta]]="Con Mov.",(IF(Table3[[#This Row],[Movimiento]]="Debe",Table3[[#This Row],[Importe]],IF(Table3[[#This Row],[Movimiento]]="Haber",Table3[[#This Row],[Importe]]*-1,0))),0)</f>
        <v>0</v>
      </c>
      <c r="K1641" s="145" t="str">
        <f t="shared" si="76"/>
        <v/>
      </c>
      <c r="L1641" s="145">
        <f t="shared" si="77"/>
        <v>0</v>
      </c>
      <c r="M1641" t="str">
        <f>_xlfn.XLOOKUP(Table3[[#This Row],[Cuenta]],Estructura_Balance[Nombre Cuenta ()],Estructura_Balance[Grupo],"",0)</f>
        <v/>
      </c>
      <c r="N1641" t="str">
        <f>_xlfn.XLOOKUP(Table3[[#This Row],[Cuenta]],Estructura_Balance[Nombre Cuenta ()],Estructura_Balance[Nivel 1],"",0)</f>
        <v/>
      </c>
      <c r="O1641" t="str">
        <f>_xlfn.XLOOKUP(Table3[[#This Row],[Cuenta]],Estructura_Balance[Nombre Cuenta ()],Estructura_Balance[Nivel 2],"",0)</f>
        <v/>
      </c>
      <c r="P1641" t="str">
        <f>_xlfn.XLOOKUP(Table3[[#This Row],[Cuenta]],Estructura_Balance[Nombre Cuenta ()],Estructura_Balance[Nivel 3],"",0)</f>
        <v/>
      </c>
      <c r="Q1641" t="str">
        <f>_xlfn.XLOOKUP(Table3[[#This Row],[Cuenta]],Estructura_Balance[Nombre Cuenta ()],Estructura_Balance[Nivel 4],"",0)</f>
        <v/>
      </c>
      <c r="R1641" t="str">
        <f>_xlfn.XLOOKUP(Table3[[#This Row],[Cuenta]],Table8[Nombre Cuenta ()],Table8[Nivel 1],"",0)</f>
        <v/>
      </c>
      <c r="S1641" t="str">
        <f>_xlfn.XLOOKUP(Table3[[#This Row],[Cuenta]],Table8[Nombre Cuenta ()],Table8[Nivel 2],"",0)</f>
        <v/>
      </c>
      <c r="T1641" t="str">
        <f>_xlfn.XLOOKUP(Table3[[#This Row],[Cuenta]],Table8[Nombre Cuenta ()],Table8[Nivel 3],"",0)</f>
        <v/>
      </c>
      <c r="U1641">
        <v>1411</v>
      </c>
      <c r="V1641" t="str">
        <f>_xlfn.XLOOKUP(Table3[[#This Row],[Cuenta]],Estructura_Balance[Nombre Cuenta ()],Estructura_Balance[Niveles:2],"",0)</f>
        <v/>
      </c>
      <c r="W1641" t="str">
        <f>_xlfn.XLOOKUP(Table3[[#This Row],[Cuenta]],Estructura_Balance[Nombre Cuenta ()],Estructura_Balance[Niveles:3],"",0)</f>
        <v/>
      </c>
      <c r="X1641" t="str">
        <f>_xlfn.XLOOKUP(Table3[[#This Row],[Cuenta]],Estructura_Balance[Nombre Cuenta ()],Estructura_Balance[Grupos],"Grupo 1",0)</f>
        <v>Grupo 1</v>
      </c>
      <c r="Y1641" t="str">
        <f>+Table3[[#This Row],[BS_Nivel_1]]</f>
        <v/>
      </c>
    </row>
    <row r="1642" spans="1:25" ht="15" customHeight="1">
      <c r="A1642">
        <f>+'Libro Diario'!F98</f>
        <v>4</v>
      </c>
      <c r="B1642" s="144">
        <f>VALUE(IF(+'Libro Diario'!G98="","01/01/2025",+'Libro Diario'!G98))</f>
        <v>45677</v>
      </c>
      <c r="C1642">
        <f>IF(ISNUMBER(+IF(IFERROR(VALUE(MID('Libro Diario'!D98,1,4)),0)&lt;&gt;0,'Libro Diario'!D98,0))=FALSE,'Libro Diario'!D98,0)</f>
        <v>0</v>
      </c>
      <c r="D1642" s="145">
        <f>+'Libro Diario'!E98</f>
        <v>0</v>
      </c>
      <c r="E1642" s="139" t="s">
        <v>446</v>
      </c>
      <c r="F1642" t="str">
        <f t="shared" si="75"/>
        <v>Sin Mov.</v>
      </c>
      <c r="G1642" t="str">
        <f>IF(+'Libro Diario'!H98=0,"",+'Libro Diario'!H98)</f>
        <v>Operaciones del Ejercicio</v>
      </c>
      <c r="H1642" t="str">
        <f>IF(+'Libro Diario'!I98=0,"",+'Libro Diario'!I98)</f>
        <v/>
      </c>
      <c r="I1642" t="str">
        <f>+IF(Table3[[#This Row],[Tipo Movimiento]]="Estructura Balance y PyG","Excluir","Incluir")</f>
        <v>Incluir</v>
      </c>
      <c r="J1642" s="153">
        <f>+IF(Table3[[#This Row],[Sin cuenta]]="Con Mov.",(IF(Table3[[#This Row],[Movimiento]]="Debe",Table3[[#This Row],[Importe]],IF(Table3[[#This Row],[Movimiento]]="Haber",Table3[[#This Row],[Importe]]*-1,0))),0)</f>
        <v>0</v>
      </c>
      <c r="K1642" s="145" t="str">
        <f t="shared" si="76"/>
        <v/>
      </c>
      <c r="L1642" s="145">
        <f t="shared" si="77"/>
        <v>0</v>
      </c>
      <c r="M1642" t="str">
        <f>_xlfn.XLOOKUP(Table3[[#This Row],[Cuenta]],Estructura_Balance[Nombre Cuenta ()],Estructura_Balance[Grupo],"",0)</f>
        <v/>
      </c>
      <c r="N1642" t="str">
        <f>_xlfn.XLOOKUP(Table3[[#This Row],[Cuenta]],Estructura_Balance[Nombre Cuenta ()],Estructura_Balance[Nivel 1],"",0)</f>
        <v/>
      </c>
      <c r="O1642" t="str">
        <f>_xlfn.XLOOKUP(Table3[[#This Row],[Cuenta]],Estructura_Balance[Nombre Cuenta ()],Estructura_Balance[Nivel 2],"",0)</f>
        <v/>
      </c>
      <c r="P1642" t="str">
        <f>_xlfn.XLOOKUP(Table3[[#This Row],[Cuenta]],Estructura_Balance[Nombre Cuenta ()],Estructura_Balance[Nivel 3],"",0)</f>
        <v/>
      </c>
      <c r="Q1642" t="str">
        <f>_xlfn.XLOOKUP(Table3[[#This Row],[Cuenta]],Estructura_Balance[Nombre Cuenta ()],Estructura_Balance[Nivel 4],"",0)</f>
        <v/>
      </c>
      <c r="R1642" t="str">
        <f>_xlfn.XLOOKUP(Table3[[#This Row],[Cuenta]],Table8[Nombre Cuenta ()],Table8[Nivel 1],"",0)</f>
        <v/>
      </c>
      <c r="S1642" t="str">
        <f>_xlfn.XLOOKUP(Table3[[#This Row],[Cuenta]],Table8[Nombre Cuenta ()],Table8[Nivel 2],"",0)</f>
        <v/>
      </c>
      <c r="T1642" t="str">
        <f>_xlfn.XLOOKUP(Table3[[#This Row],[Cuenta]],Table8[Nombre Cuenta ()],Table8[Nivel 3],"",0)</f>
        <v/>
      </c>
      <c r="U1642">
        <v>1412</v>
      </c>
      <c r="V1642" t="str">
        <f>_xlfn.XLOOKUP(Table3[[#This Row],[Cuenta]],Estructura_Balance[Nombre Cuenta ()],Estructura_Balance[Niveles:2],"",0)</f>
        <v/>
      </c>
      <c r="W1642" t="str">
        <f>_xlfn.XLOOKUP(Table3[[#This Row],[Cuenta]],Estructura_Balance[Nombre Cuenta ()],Estructura_Balance[Niveles:3],"",0)</f>
        <v/>
      </c>
      <c r="X1642" t="str">
        <f>_xlfn.XLOOKUP(Table3[[#This Row],[Cuenta]],Estructura_Balance[Nombre Cuenta ()],Estructura_Balance[Grupos],"Grupo 1",0)</f>
        <v>Grupo 1</v>
      </c>
      <c r="Y1642" t="str">
        <f>+Table3[[#This Row],[BS_Nivel_1]]</f>
        <v/>
      </c>
    </row>
    <row r="1643" spans="1:25" ht="15" customHeight="1">
      <c r="A1643">
        <f>+'Libro Diario'!F104</f>
        <v>5</v>
      </c>
      <c r="B1643" s="144">
        <f>VALUE(IF(+'Libro Diario'!G104="","01/01/2025",+'Libro Diario'!G104))</f>
        <v>45682</v>
      </c>
      <c r="C1643">
        <f>IF(ISNUMBER(+IF(IFERROR(VALUE(MID('Libro Diario'!C104,1,4)),0)&lt;&gt;0,'Libro Diario'!C104,0))=FALSE,'Libro Diario'!C104,0)</f>
        <v>0</v>
      </c>
      <c r="D1643" s="145">
        <f>+'Libro Diario'!B104</f>
        <v>0</v>
      </c>
      <c r="E1643" s="139" t="s">
        <v>445</v>
      </c>
      <c r="F1643" t="str">
        <f t="shared" si="75"/>
        <v>Sin Mov.</v>
      </c>
      <c r="G1643" t="str">
        <f>IF(+'Libro Diario'!H104=0,"",+'Libro Diario'!H104)</f>
        <v>Operaciones del Ejercicio</v>
      </c>
      <c r="H1643" t="str">
        <f>IF(+'Libro Diario'!I104=0,"",+'Libro Diario'!I104)</f>
        <v/>
      </c>
      <c r="I1643" t="str">
        <f>+IF(Table3[[#This Row],[Tipo Movimiento]]="Estructura Balance y PyG","Excluir","Incluir")</f>
        <v>Incluir</v>
      </c>
      <c r="J1643" s="153">
        <f>+IF(Table3[[#This Row],[Sin cuenta]]="Con Mov.",(IF(Table3[[#This Row],[Movimiento]]="Debe",Table3[[#This Row],[Importe]],IF(Table3[[#This Row],[Movimiento]]="Haber",Table3[[#This Row],[Importe]]*-1,0))),0)</f>
        <v>0</v>
      </c>
      <c r="K1643" s="145">
        <f t="shared" si="76"/>
        <v>0</v>
      </c>
      <c r="L1643" s="145" t="str">
        <f t="shared" si="77"/>
        <v/>
      </c>
      <c r="M1643" t="str">
        <f>_xlfn.XLOOKUP(Table3[[#This Row],[Cuenta]],Estructura_Balance[Nombre Cuenta ()],Estructura_Balance[Grupo],"",0)</f>
        <v/>
      </c>
      <c r="N1643" t="str">
        <f>_xlfn.XLOOKUP(Table3[[#This Row],[Cuenta]],Estructura_Balance[Nombre Cuenta ()],Estructura_Balance[Nivel 1],"",0)</f>
        <v/>
      </c>
      <c r="O1643" t="str">
        <f>_xlfn.XLOOKUP(Table3[[#This Row],[Cuenta]],Estructura_Balance[Nombre Cuenta ()],Estructura_Balance[Nivel 2],"",0)</f>
        <v/>
      </c>
      <c r="P1643" t="str">
        <f>_xlfn.XLOOKUP(Table3[[#This Row],[Cuenta]],Estructura_Balance[Nombre Cuenta ()],Estructura_Balance[Nivel 3],"",0)</f>
        <v/>
      </c>
      <c r="Q1643" t="str">
        <f>_xlfn.XLOOKUP(Table3[[#This Row],[Cuenta]],Estructura_Balance[Nombre Cuenta ()],Estructura_Balance[Nivel 4],"",0)</f>
        <v/>
      </c>
      <c r="R1643" t="str">
        <f>_xlfn.XLOOKUP(Table3[[#This Row],[Cuenta]],Table8[Nombre Cuenta ()],Table8[Nivel 1],"",0)</f>
        <v/>
      </c>
      <c r="S1643" t="str">
        <f>_xlfn.XLOOKUP(Table3[[#This Row],[Cuenta]],Table8[Nombre Cuenta ()],Table8[Nivel 2],"",0)</f>
        <v/>
      </c>
      <c r="T1643" t="str">
        <f>_xlfn.XLOOKUP(Table3[[#This Row],[Cuenta]],Table8[Nombre Cuenta ()],Table8[Nivel 3],"",0)</f>
        <v/>
      </c>
      <c r="U1643">
        <v>130</v>
      </c>
      <c r="V1643" t="str">
        <f>_xlfn.XLOOKUP(Table3[[#This Row],[Cuenta]],Estructura_Balance[Nombre Cuenta ()],Estructura_Balance[Niveles:2],"",0)</f>
        <v/>
      </c>
      <c r="W1643" t="str">
        <f>_xlfn.XLOOKUP(Table3[[#This Row],[Cuenta]],Estructura_Balance[Nombre Cuenta ()],Estructura_Balance[Niveles:3],"",0)</f>
        <v/>
      </c>
      <c r="X1643" t="str">
        <f>_xlfn.XLOOKUP(Table3[[#This Row],[Cuenta]],Estructura_Balance[Nombre Cuenta ()],Estructura_Balance[Grupos],"Grupo 1",0)</f>
        <v>Grupo 1</v>
      </c>
      <c r="Y1643" t="str">
        <f>+Table3[[#This Row],[BS_Nivel_1]]</f>
        <v/>
      </c>
    </row>
    <row r="1644" spans="1:25" ht="15" customHeight="1">
      <c r="A1644">
        <f>+'Libro Diario'!F105</f>
        <v>5</v>
      </c>
      <c r="B1644" s="144">
        <f>VALUE(IF(+'Libro Diario'!G105="","01/01/2025",+'Libro Diario'!G105))</f>
        <v>45682</v>
      </c>
      <c r="C1644">
        <f>IF(ISNUMBER(+IF(IFERROR(VALUE(MID('Libro Diario'!C105,1,4)),0)&lt;&gt;0,'Libro Diario'!C105,0))=FALSE,'Libro Diario'!C105,0)</f>
        <v>0</v>
      </c>
      <c r="D1644" s="145">
        <f>+'Libro Diario'!B105</f>
        <v>0</v>
      </c>
      <c r="E1644" s="139" t="s">
        <v>445</v>
      </c>
      <c r="F1644" t="str">
        <f t="shared" si="75"/>
        <v>Sin Mov.</v>
      </c>
      <c r="G1644" t="str">
        <f>IF(+'Libro Diario'!H105=0,"",+'Libro Diario'!H105)</f>
        <v>Operaciones del Ejercicio</v>
      </c>
      <c r="H1644" t="str">
        <f>IF(+'Libro Diario'!I105=0,"",+'Libro Diario'!I105)</f>
        <v/>
      </c>
      <c r="I1644" t="str">
        <f>+IF(Table3[[#This Row],[Tipo Movimiento]]="Estructura Balance y PyG","Excluir","Incluir")</f>
        <v>Incluir</v>
      </c>
      <c r="J1644" s="153">
        <f>+IF(Table3[[#This Row],[Sin cuenta]]="Con Mov.",(IF(Table3[[#This Row],[Movimiento]]="Debe",Table3[[#This Row],[Importe]],IF(Table3[[#This Row],[Movimiento]]="Haber",Table3[[#This Row],[Importe]]*-1,0))),0)</f>
        <v>0</v>
      </c>
      <c r="K1644" s="145">
        <f t="shared" si="76"/>
        <v>0</v>
      </c>
      <c r="L1644" s="145" t="str">
        <f t="shared" si="77"/>
        <v/>
      </c>
      <c r="M1644" t="str">
        <f>_xlfn.XLOOKUP(Table3[[#This Row],[Cuenta]],Estructura_Balance[Nombre Cuenta ()],Estructura_Balance[Grupo],"",0)</f>
        <v/>
      </c>
      <c r="N1644" t="str">
        <f>_xlfn.XLOOKUP(Table3[[#This Row],[Cuenta]],Estructura_Balance[Nombre Cuenta ()],Estructura_Balance[Nivel 1],"",0)</f>
        <v/>
      </c>
      <c r="O1644" t="str">
        <f>_xlfn.XLOOKUP(Table3[[#This Row],[Cuenta]],Estructura_Balance[Nombre Cuenta ()],Estructura_Balance[Nivel 2],"",0)</f>
        <v/>
      </c>
      <c r="P1644" t="str">
        <f>_xlfn.XLOOKUP(Table3[[#This Row],[Cuenta]],Estructura_Balance[Nombre Cuenta ()],Estructura_Balance[Nivel 3],"",0)</f>
        <v/>
      </c>
      <c r="Q1644" t="str">
        <f>_xlfn.XLOOKUP(Table3[[#This Row],[Cuenta]],Estructura_Balance[Nombre Cuenta ()],Estructura_Balance[Nivel 4],"",0)</f>
        <v/>
      </c>
      <c r="R1644" t="str">
        <f>_xlfn.XLOOKUP(Table3[[#This Row],[Cuenta]],Table8[Nombre Cuenta ()],Table8[Nivel 1],"",0)</f>
        <v/>
      </c>
      <c r="S1644" t="str">
        <f>_xlfn.XLOOKUP(Table3[[#This Row],[Cuenta]],Table8[Nombre Cuenta ()],Table8[Nivel 2],"",0)</f>
        <v/>
      </c>
      <c r="T1644" t="str">
        <f>_xlfn.XLOOKUP(Table3[[#This Row],[Cuenta]],Table8[Nombre Cuenta ()],Table8[Nivel 3],"",0)</f>
        <v/>
      </c>
      <c r="U1644">
        <v>131</v>
      </c>
      <c r="V1644" t="str">
        <f>_xlfn.XLOOKUP(Table3[[#This Row],[Cuenta]],Estructura_Balance[Nombre Cuenta ()],Estructura_Balance[Niveles:2],"",0)</f>
        <v/>
      </c>
      <c r="W1644" t="str">
        <f>_xlfn.XLOOKUP(Table3[[#This Row],[Cuenta]],Estructura_Balance[Nombre Cuenta ()],Estructura_Balance[Niveles:3],"",0)</f>
        <v/>
      </c>
      <c r="X1644" t="str">
        <f>_xlfn.XLOOKUP(Table3[[#This Row],[Cuenta]],Estructura_Balance[Nombre Cuenta ()],Estructura_Balance[Grupos],"Grupo 1",0)</f>
        <v>Grupo 1</v>
      </c>
      <c r="Y1644" t="str">
        <f>+Table3[[#This Row],[BS_Nivel_1]]</f>
        <v/>
      </c>
    </row>
    <row r="1645" spans="1:25" ht="15" customHeight="1">
      <c r="A1645">
        <f>+'Libro Diario'!F106</f>
        <v>5</v>
      </c>
      <c r="B1645" s="144">
        <f>VALUE(IF(+'Libro Diario'!G106="","01/01/2025",+'Libro Diario'!G106))</f>
        <v>45682</v>
      </c>
      <c r="C1645">
        <f>IF(ISNUMBER(+IF(IFERROR(VALUE(MID('Libro Diario'!C106,1,4)),0)&lt;&gt;0,'Libro Diario'!C106,0))=FALSE,'Libro Diario'!C106,0)</f>
        <v>0</v>
      </c>
      <c r="D1645" s="145">
        <f>+'Libro Diario'!B106</f>
        <v>0</v>
      </c>
      <c r="E1645" s="139" t="s">
        <v>445</v>
      </c>
      <c r="F1645" t="str">
        <f t="shared" si="75"/>
        <v>Sin Mov.</v>
      </c>
      <c r="G1645" t="str">
        <f>IF(+'Libro Diario'!H106=0,"",+'Libro Diario'!H106)</f>
        <v>Operaciones del Ejercicio</v>
      </c>
      <c r="H1645" t="str">
        <f>IF(+'Libro Diario'!I106=0,"",+'Libro Diario'!I106)</f>
        <v/>
      </c>
      <c r="I1645" t="str">
        <f>+IF(Table3[[#This Row],[Tipo Movimiento]]="Estructura Balance y PyG","Excluir","Incluir")</f>
        <v>Incluir</v>
      </c>
      <c r="J1645" s="153">
        <f>+IF(Table3[[#This Row],[Sin cuenta]]="Con Mov.",(IF(Table3[[#This Row],[Movimiento]]="Debe",Table3[[#This Row],[Importe]],IF(Table3[[#This Row],[Movimiento]]="Haber",Table3[[#This Row],[Importe]]*-1,0))),0)</f>
        <v>0</v>
      </c>
      <c r="K1645" s="145">
        <f t="shared" si="76"/>
        <v>0</v>
      </c>
      <c r="L1645" s="145" t="str">
        <f t="shared" si="77"/>
        <v/>
      </c>
      <c r="M1645" t="str">
        <f>_xlfn.XLOOKUP(Table3[[#This Row],[Cuenta]],Estructura_Balance[Nombre Cuenta ()],Estructura_Balance[Grupo],"",0)</f>
        <v/>
      </c>
      <c r="N1645" t="str">
        <f>_xlfn.XLOOKUP(Table3[[#This Row],[Cuenta]],Estructura_Balance[Nombre Cuenta ()],Estructura_Balance[Nivel 1],"",0)</f>
        <v/>
      </c>
      <c r="O1645" t="str">
        <f>_xlfn.XLOOKUP(Table3[[#This Row],[Cuenta]],Estructura_Balance[Nombre Cuenta ()],Estructura_Balance[Nivel 2],"",0)</f>
        <v/>
      </c>
      <c r="P1645" t="str">
        <f>_xlfn.XLOOKUP(Table3[[#This Row],[Cuenta]],Estructura_Balance[Nombre Cuenta ()],Estructura_Balance[Nivel 3],"",0)</f>
        <v/>
      </c>
      <c r="Q1645" t="str">
        <f>_xlfn.XLOOKUP(Table3[[#This Row],[Cuenta]],Estructura_Balance[Nombre Cuenta ()],Estructura_Balance[Nivel 4],"",0)</f>
        <v/>
      </c>
      <c r="R1645" t="str">
        <f>_xlfn.XLOOKUP(Table3[[#This Row],[Cuenta]],Table8[Nombre Cuenta ()],Table8[Nivel 1],"",0)</f>
        <v/>
      </c>
      <c r="S1645" t="str">
        <f>_xlfn.XLOOKUP(Table3[[#This Row],[Cuenta]],Table8[Nombre Cuenta ()],Table8[Nivel 2],"",0)</f>
        <v/>
      </c>
      <c r="T1645" t="str">
        <f>_xlfn.XLOOKUP(Table3[[#This Row],[Cuenta]],Table8[Nombre Cuenta ()],Table8[Nivel 3],"",0)</f>
        <v/>
      </c>
      <c r="U1645">
        <v>132</v>
      </c>
      <c r="V1645" t="str">
        <f>_xlfn.XLOOKUP(Table3[[#This Row],[Cuenta]],Estructura_Balance[Nombre Cuenta ()],Estructura_Balance[Niveles:2],"",0)</f>
        <v/>
      </c>
      <c r="W1645" t="str">
        <f>_xlfn.XLOOKUP(Table3[[#This Row],[Cuenta]],Estructura_Balance[Nombre Cuenta ()],Estructura_Balance[Niveles:3],"",0)</f>
        <v/>
      </c>
      <c r="X1645" t="str">
        <f>_xlfn.XLOOKUP(Table3[[#This Row],[Cuenta]],Estructura_Balance[Nombre Cuenta ()],Estructura_Balance[Grupos],"Grupo 1",0)</f>
        <v>Grupo 1</v>
      </c>
      <c r="Y1645" t="str">
        <f>+Table3[[#This Row],[BS_Nivel_1]]</f>
        <v/>
      </c>
    </row>
    <row r="1646" spans="1:25" ht="15" customHeight="1">
      <c r="A1646">
        <f>+'Libro Diario'!F104</f>
        <v>5</v>
      </c>
      <c r="B1646" s="144">
        <f>VALUE(IF(+'Libro Diario'!G104="","01/01/2025",+'Libro Diario'!G104))</f>
        <v>45682</v>
      </c>
      <c r="C1646">
        <f>IF(ISNUMBER(+IF(IFERROR(VALUE(MID('Libro Diario'!D104,1,4)),0)&lt;&gt;0,'Libro Diario'!D104,0))=FALSE,'Libro Diario'!D104,0)</f>
        <v>0</v>
      </c>
      <c r="D1646" s="145">
        <f>+'Libro Diario'!E104</f>
        <v>0</v>
      </c>
      <c r="E1646" s="139" t="s">
        <v>446</v>
      </c>
      <c r="F1646" t="str">
        <f t="shared" si="75"/>
        <v>Sin Mov.</v>
      </c>
      <c r="G1646" t="str">
        <f>IF(+'Libro Diario'!H104=0,"",+'Libro Diario'!H104)</f>
        <v>Operaciones del Ejercicio</v>
      </c>
      <c r="H1646" t="str">
        <f>IF(+'Libro Diario'!I104=0,"",+'Libro Diario'!I104)</f>
        <v/>
      </c>
      <c r="I1646" t="str">
        <f>+IF(Table3[[#This Row],[Tipo Movimiento]]="Estructura Balance y PyG","Excluir","Incluir")</f>
        <v>Incluir</v>
      </c>
      <c r="J1646" s="153">
        <f>+IF(Table3[[#This Row],[Sin cuenta]]="Con Mov.",(IF(Table3[[#This Row],[Movimiento]]="Debe",Table3[[#This Row],[Importe]],IF(Table3[[#This Row],[Movimiento]]="Haber",Table3[[#This Row],[Importe]]*-1,0))),0)</f>
        <v>0</v>
      </c>
      <c r="K1646" s="145" t="str">
        <f t="shared" si="76"/>
        <v/>
      </c>
      <c r="L1646" s="145">
        <f t="shared" si="77"/>
        <v>0</v>
      </c>
      <c r="M1646" t="str">
        <f>_xlfn.XLOOKUP(Table3[[#This Row],[Cuenta]],Estructura_Balance[Nombre Cuenta ()],Estructura_Balance[Grupo],"",0)</f>
        <v/>
      </c>
      <c r="N1646" t="str">
        <f>_xlfn.XLOOKUP(Table3[[#This Row],[Cuenta]],Estructura_Balance[Nombre Cuenta ()],Estructura_Balance[Nivel 1],"",0)</f>
        <v/>
      </c>
      <c r="O1646" t="str">
        <f>_xlfn.XLOOKUP(Table3[[#This Row],[Cuenta]],Estructura_Balance[Nombre Cuenta ()],Estructura_Balance[Nivel 2],"",0)</f>
        <v/>
      </c>
      <c r="P1646" t="str">
        <f>_xlfn.XLOOKUP(Table3[[#This Row],[Cuenta]],Estructura_Balance[Nombre Cuenta ()],Estructura_Balance[Nivel 3],"",0)</f>
        <v/>
      </c>
      <c r="Q1646" t="str">
        <f>_xlfn.XLOOKUP(Table3[[#This Row],[Cuenta]],Estructura_Balance[Nombre Cuenta ()],Estructura_Balance[Nivel 4],"",0)</f>
        <v/>
      </c>
      <c r="R1646" t="str">
        <f>_xlfn.XLOOKUP(Table3[[#This Row],[Cuenta]],Table8[Nombre Cuenta ()],Table8[Nivel 1],"",0)</f>
        <v/>
      </c>
      <c r="S1646" t="str">
        <f>_xlfn.XLOOKUP(Table3[[#This Row],[Cuenta]],Table8[Nombre Cuenta ()],Table8[Nivel 2],"",0)</f>
        <v/>
      </c>
      <c r="T1646" t="str">
        <f>_xlfn.XLOOKUP(Table3[[#This Row],[Cuenta]],Table8[Nombre Cuenta ()],Table8[Nivel 3],"",0)</f>
        <v/>
      </c>
      <c r="U1646">
        <v>1420</v>
      </c>
      <c r="V1646" t="str">
        <f>_xlfn.XLOOKUP(Table3[[#This Row],[Cuenta]],Estructura_Balance[Nombre Cuenta ()],Estructura_Balance[Niveles:2],"",0)</f>
        <v/>
      </c>
      <c r="W1646" t="str">
        <f>_xlfn.XLOOKUP(Table3[[#This Row],[Cuenta]],Estructura_Balance[Nombre Cuenta ()],Estructura_Balance[Niveles:3],"",0)</f>
        <v/>
      </c>
      <c r="X1646" t="str">
        <f>_xlfn.XLOOKUP(Table3[[#This Row],[Cuenta]],Estructura_Balance[Nombre Cuenta ()],Estructura_Balance[Grupos],"Grupo 1",0)</f>
        <v>Grupo 1</v>
      </c>
      <c r="Y1646" t="str">
        <f>+Table3[[#This Row],[BS_Nivel_1]]</f>
        <v/>
      </c>
    </row>
    <row r="1647" spans="1:25" ht="15" customHeight="1">
      <c r="A1647">
        <f>+'Libro Diario'!F105</f>
        <v>5</v>
      </c>
      <c r="B1647" s="144">
        <f>VALUE(IF(+'Libro Diario'!G105="","01/01/2025",+'Libro Diario'!G105))</f>
        <v>45682</v>
      </c>
      <c r="C1647">
        <f>IF(ISNUMBER(+IF(IFERROR(VALUE(MID('Libro Diario'!D105,1,4)),0)&lt;&gt;0,'Libro Diario'!D105,0))=FALSE,'Libro Diario'!D105,0)</f>
        <v>0</v>
      </c>
      <c r="D1647" s="145">
        <f>+'Libro Diario'!E105</f>
        <v>0</v>
      </c>
      <c r="E1647" s="139" t="s">
        <v>446</v>
      </c>
      <c r="F1647" t="str">
        <f t="shared" si="75"/>
        <v>Sin Mov.</v>
      </c>
      <c r="G1647" t="str">
        <f>IF(+'Libro Diario'!H105=0,"",+'Libro Diario'!H105)</f>
        <v>Operaciones del Ejercicio</v>
      </c>
      <c r="H1647" t="str">
        <f>IF(+'Libro Diario'!I105=0,"",+'Libro Diario'!I105)</f>
        <v/>
      </c>
      <c r="I1647" t="str">
        <f>+IF(Table3[[#This Row],[Tipo Movimiento]]="Estructura Balance y PyG","Excluir","Incluir")</f>
        <v>Incluir</v>
      </c>
      <c r="J1647" s="153">
        <f>+IF(Table3[[#This Row],[Sin cuenta]]="Con Mov.",(IF(Table3[[#This Row],[Movimiento]]="Debe",Table3[[#This Row],[Importe]],IF(Table3[[#This Row],[Movimiento]]="Haber",Table3[[#This Row],[Importe]]*-1,0))),0)</f>
        <v>0</v>
      </c>
      <c r="K1647" s="145" t="str">
        <f t="shared" si="76"/>
        <v/>
      </c>
      <c r="L1647" s="145">
        <f t="shared" si="77"/>
        <v>0</v>
      </c>
      <c r="M1647" t="str">
        <f>_xlfn.XLOOKUP(Table3[[#This Row],[Cuenta]],Estructura_Balance[Nombre Cuenta ()],Estructura_Balance[Grupo],"",0)</f>
        <v/>
      </c>
      <c r="N1647" t="str">
        <f>_xlfn.XLOOKUP(Table3[[#This Row],[Cuenta]],Estructura_Balance[Nombre Cuenta ()],Estructura_Balance[Nivel 1],"",0)</f>
        <v/>
      </c>
      <c r="O1647" t="str">
        <f>_xlfn.XLOOKUP(Table3[[#This Row],[Cuenta]],Estructura_Balance[Nombre Cuenta ()],Estructura_Balance[Nivel 2],"",0)</f>
        <v/>
      </c>
      <c r="P1647" t="str">
        <f>_xlfn.XLOOKUP(Table3[[#This Row],[Cuenta]],Estructura_Balance[Nombre Cuenta ()],Estructura_Balance[Nivel 3],"",0)</f>
        <v/>
      </c>
      <c r="Q1647" t="str">
        <f>_xlfn.XLOOKUP(Table3[[#This Row],[Cuenta]],Estructura_Balance[Nombre Cuenta ()],Estructura_Balance[Nivel 4],"",0)</f>
        <v/>
      </c>
      <c r="R1647" t="str">
        <f>_xlfn.XLOOKUP(Table3[[#This Row],[Cuenta]],Table8[Nombre Cuenta ()],Table8[Nivel 1],"",0)</f>
        <v/>
      </c>
      <c r="S1647" t="str">
        <f>_xlfn.XLOOKUP(Table3[[#This Row],[Cuenta]],Table8[Nombre Cuenta ()],Table8[Nivel 2],"",0)</f>
        <v/>
      </c>
      <c r="T1647" t="str">
        <f>_xlfn.XLOOKUP(Table3[[#This Row],[Cuenta]],Table8[Nombre Cuenta ()],Table8[Nivel 3],"",0)</f>
        <v/>
      </c>
      <c r="U1647">
        <v>1423</v>
      </c>
      <c r="V1647" t="str">
        <f>_xlfn.XLOOKUP(Table3[[#This Row],[Cuenta]],Estructura_Balance[Nombre Cuenta ()],Estructura_Balance[Niveles:2],"",0)</f>
        <v/>
      </c>
      <c r="W1647" t="str">
        <f>_xlfn.XLOOKUP(Table3[[#This Row],[Cuenta]],Estructura_Balance[Nombre Cuenta ()],Estructura_Balance[Niveles:3],"",0)</f>
        <v/>
      </c>
      <c r="X1647" t="str">
        <f>_xlfn.XLOOKUP(Table3[[#This Row],[Cuenta]],Estructura_Balance[Nombre Cuenta ()],Estructura_Balance[Grupos],"Grupo 1",0)</f>
        <v>Grupo 1</v>
      </c>
      <c r="Y1647" t="str">
        <f>+Table3[[#This Row],[BS_Nivel_1]]</f>
        <v/>
      </c>
    </row>
    <row r="1648" spans="1:25" ht="15" customHeight="1">
      <c r="A1648">
        <f>+'Libro Diario'!F106</f>
        <v>5</v>
      </c>
      <c r="B1648" s="144">
        <f>VALUE(IF(+'Libro Diario'!G106="","01/01/2025",+'Libro Diario'!G106))</f>
        <v>45682</v>
      </c>
      <c r="C1648">
        <f>IF(ISNUMBER(+IF(IFERROR(VALUE(MID('Libro Diario'!D106,1,4)),0)&lt;&gt;0,'Libro Diario'!D106,0))=FALSE,'Libro Diario'!D106,0)</f>
        <v>0</v>
      </c>
      <c r="D1648" s="145">
        <f>+'Libro Diario'!E106</f>
        <v>0</v>
      </c>
      <c r="E1648" s="139" t="s">
        <v>446</v>
      </c>
      <c r="F1648" t="str">
        <f t="shared" si="75"/>
        <v>Sin Mov.</v>
      </c>
      <c r="G1648" t="str">
        <f>IF(+'Libro Diario'!H106=0,"",+'Libro Diario'!H106)</f>
        <v>Operaciones del Ejercicio</v>
      </c>
      <c r="H1648" t="str">
        <f>IF(+'Libro Diario'!I106=0,"",+'Libro Diario'!I106)</f>
        <v/>
      </c>
      <c r="I1648" t="str">
        <f>+IF(Table3[[#This Row],[Tipo Movimiento]]="Estructura Balance y PyG","Excluir","Incluir")</f>
        <v>Incluir</v>
      </c>
      <c r="J1648" s="153">
        <f>+IF(Table3[[#This Row],[Sin cuenta]]="Con Mov.",(IF(Table3[[#This Row],[Movimiento]]="Debe",Table3[[#This Row],[Importe]],IF(Table3[[#This Row],[Movimiento]]="Haber",Table3[[#This Row],[Importe]]*-1,0))),0)</f>
        <v>0</v>
      </c>
      <c r="K1648" s="145" t="str">
        <f t="shared" si="76"/>
        <v/>
      </c>
      <c r="L1648" s="145">
        <f t="shared" si="77"/>
        <v>0</v>
      </c>
      <c r="M1648" t="str">
        <f>_xlfn.XLOOKUP(Table3[[#This Row],[Cuenta]],Estructura_Balance[Nombre Cuenta ()],Estructura_Balance[Grupo],"",0)</f>
        <v/>
      </c>
      <c r="N1648" t="str">
        <f>_xlfn.XLOOKUP(Table3[[#This Row],[Cuenta]],Estructura_Balance[Nombre Cuenta ()],Estructura_Balance[Nivel 1],"",0)</f>
        <v/>
      </c>
      <c r="O1648" t="str">
        <f>_xlfn.XLOOKUP(Table3[[#This Row],[Cuenta]],Estructura_Balance[Nombre Cuenta ()],Estructura_Balance[Nivel 2],"",0)</f>
        <v/>
      </c>
      <c r="P1648" t="str">
        <f>_xlfn.XLOOKUP(Table3[[#This Row],[Cuenta]],Estructura_Balance[Nombre Cuenta ()],Estructura_Balance[Nivel 3],"",0)</f>
        <v/>
      </c>
      <c r="Q1648" t="str">
        <f>_xlfn.XLOOKUP(Table3[[#This Row],[Cuenta]],Estructura_Balance[Nombre Cuenta ()],Estructura_Balance[Nivel 4],"",0)</f>
        <v/>
      </c>
      <c r="R1648" t="str">
        <f>_xlfn.XLOOKUP(Table3[[#This Row],[Cuenta]],Table8[Nombre Cuenta ()],Table8[Nivel 1],"",0)</f>
        <v/>
      </c>
      <c r="S1648" t="str">
        <f>_xlfn.XLOOKUP(Table3[[#This Row],[Cuenta]],Table8[Nombre Cuenta ()],Table8[Nivel 2],"",0)</f>
        <v/>
      </c>
      <c r="T1648" t="str">
        <f>_xlfn.XLOOKUP(Table3[[#This Row],[Cuenta]],Table8[Nombre Cuenta ()],Table8[Nivel 3],"",0)</f>
        <v/>
      </c>
      <c r="U1648">
        <v>1424</v>
      </c>
      <c r="V1648" t="str">
        <f>_xlfn.XLOOKUP(Table3[[#This Row],[Cuenta]],Estructura_Balance[Nombre Cuenta ()],Estructura_Balance[Niveles:2],"",0)</f>
        <v/>
      </c>
      <c r="W1648" t="str">
        <f>_xlfn.XLOOKUP(Table3[[#This Row],[Cuenta]],Estructura_Balance[Nombre Cuenta ()],Estructura_Balance[Niveles:3],"",0)</f>
        <v/>
      </c>
      <c r="X1648" t="str">
        <f>_xlfn.XLOOKUP(Table3[[#This Row],[Cuenta]],Estructura_Balance[Nombre Cuenta ()],Estructura_Balance[Grupos],"Grupo 1",0)</f>
        <v>Grupo 1</v>
      </c>
      <c r="Y1648" t="str">
        <f>+Table3[[#This Row],[BS_Nivel_1]]</f>
        <v/>
      </c>
    </row>
    <row r="1649" spans="1:25" ht="15" customHeight="1">
      <c r="A1649">
        <f>+'Libro Diario'!F112</f>
        <v>6</v>
      </c>
      <c r="B1649" s="144">
        <f>VALUE(IF(+'Libro Diario'!G112="","01/01/2025",+'Libro Diario'!G112))</f>
        <v>45688</v>
      </c>
      <c r="C1649">
        <f>IF(ISNUMBER(+IF(IFERROR(VALUE(MID('Libro Diario'!C112,1,4)),0)&lt;&gt;0,'Libro Diario'!C112,0))=FALSE,'Libro Diario'!C112,0)</f>
        <v>0</v>
      </c>
      <c r="D1649" s="145">
        <f>+'Libro Diario'!B112</f>
        <v>0</v>
      </c>
      <c r="E1649" s="139" t="s">
        <v>445</v>
      </c>
      <c r="F1649" t="str">
        <f t="shared" si="75"/>
        <v>Sin Mov.</v>
      </c>
      <c r="G1649" t="str">
        <f>IF(+'Libro Diario'!H112=0,"",+'Libro Diario'!H112)</f>
        <v>Operaciones del Ejercicio</v>
      </c>
      <c r="H1649" t="str">
        <f>IF(+'Libro Diario'!I112=0,"",+'Libro Diario'!I112)</f>
        <v/>
      </c>
      <c r="I1649" t="str">
        <f>+IF(Table3[[#This Row],[Tipo Movimiento]]="Estructura Balance y PyG","Excluir","Incluir")</f>
        <v>Incluir</v>
      </c>
      <c r="J1649" s="153">
        <f>+IF(Table3[[#This Row],[Sin cuenta]]="Con Mov.",(IF(Table3[[#This Row],[Movimiento]]="Debe",Table3[[#This Row],[Importe]],IF(Table3[[#This Row],[Movimiento]]="Haber",Table3[[#This Row],[Importe]]*-1,0))),0)</f>
        <v>0</v>
      </c>
      <c r="K1649" s="145">
        <f t="shared" si="76"/>
        <v>0</v>
      </c>
      <c r="L1649" s="145" t="str">
        <f t="shared" si="77"/>
        <v/>
      </c>
      <c r="M1649" t="str">
        <f>_xlfn.XLOOKUP(Table3[[#This Row],[Cuenta]],Estructura_Balance[Nombre Cuenta ()],Estructura_Balance[Grupo],"",0)</f>
        <v/>
      </c>
      <c r="N1649" t="str">
        <f>_xlfn.XLOOKUP(Table3[[#This Row],[Cuenta]],Estructura_Balance[Nombre Cuenta ()],Estructura_Balance[Nivel 1],"",0)</f>
        <v/>
      </c>
      <c r="O1649" t="str">
        <f>_xlfn.XLOOKUP(Table3[[#This Row],[Cuenta]],Estructura_Balance[Nombre Cuenta ()],Estructura_Balance[Nivel 2],"",0)</f>
        <v/>
      </c>
      <c r="P1649" t="str">
        <f>_xlfn.XLOOKUP(Table3[[#This Row],[Cuenta]],Estructura_Balance[Nombre Cuenta ()],Estructura_Balance[Nivel 3],"",0)</f>
        <v/>
      </c>
      <c r="Q1649" t="str">
        <f>_xlfn.XLOOKUP(Table3[[#This Row],[Cuenta]],Estructura_Balance[Nombre Cuenta ()],Estructura_Balance[Nivel 4],"",0)</f>
        <v/>
      </c>
      <c r="R1649" t="str">
        <f>_xlfn.XLOOKUP(Table3[[#This Row],[Cuenta]],Table8[Nombre Cuenta ()],Table8[Nivel 1],"",0)</f>
        <v/>
      </c>
      <c r="S1649" t="str">
        <f>_xlfn.XLOOKUP(Table3[[#This Row],[Cuenta]],Table8[Nombre Cuenta ()],Table8[Nivel 2],"",0)</f>
        <v/>
      </c>
      <c r="T1649" t="str">
        <f>_xlfn.XLOOKUP(Table3[[#This Row],[Cuenta]],Table8[Nombre Cuenta ()],Table8[Nivel 3],"",0)</f>
        <v/>
      </c>
      <c r="U1649">
        <v>140</v>
      </c>
      <c r="V1649" t="str">
        <f>_xlfn.XLOOKUP(Table3[[#This Row],[Cuenta]],Estructura_Balance[Nombre Cuenta ()],Estructura_Balance[Niveles:2],"",0)</f>
        <v/>
      </c>
      <c r="W1649" t="str">
        <f>_xlfn.XLOOKUP(Table3[[#This Row],[Cuenta]],Estructura_Balance[Nombre Cuenta ()],Estructura_Balance[Niveles:3],"",0)</f>
        <v/>
      </c>
      <c r="X1649" t="str">
        <f>_xlfn.XLOOKUP(Table3[[#This Row],[Cuenta]],Estructura_Balance[Nombre Cuenta ()],Estructura_Balance[Grupos],"Grupo 1",0)</f>
        <v>Grupo 1</v>
      </c>
      <c r="Y1649" t="str">
        <f>+Table3[[#This Row],[BS_Nivel_1]]</f>
        <v/>
      </c>
    </row>
    <row r="1650" spans="1:25" ht="15" customHeight="1">
      <c r="A1650">
        <f>+'Libro Diario'!F113</f>
        <v>6</v>
      </c>
      <c r="B1650" s="144">
        <f>VALUE(IF(+'Libro Diario'!G113="","01/01/2025",+'Libro Diario'!G113))</f>
        <v>45688</v>
      </c>
      <c r="C1650">
        <f>IF(ISNUMBER(+IF(IFERROR(VALUE(MID('Libro Diario'!C113,1,4)),0)&lt;&gt;0,'Libro Diario'!C113,0))=FALSE,'Libro Diario'!C113,0)</f>
        <v>0</v>
      </c>
      <c r="D1650" s="145">
        <f>+'Libro Diario'!B113</f>
        <v>0</v>
      </c>
      <c r="E1650" s="139" t="s">
        <v>445</v>
      </c>
      <c r="F1650" t="str">
        <f t="shared" si="75"/>
        <v>Sin Mov.</v>
      </c>
      <c r="G1650" t="str">
        <f>IF(+'Libro Diario'!H113=0,"",+'Libro Diario'!H113)</f>
        <v>Operaciones del Ejercicio</v>
      </c>
      <c r="H1650" t="str">
        <f>IF(+'Libro Diario'!I113=0,"",+'Libro Diario'!I113)</f>
        <v/>
      </c>
      <c r="I1650" t="str">
        <f>+IF(Table3[[#This Row],[Tipo Movimiento]]="Estructura Balance y PyG","Excluir","Incluir")</f>
        <v>Incluir</v>
      </c>
      <c r="J1650" s="153">
        <f>+IF(Table3[[#This Row],[Sin cuenta]]="Con Mov.",(IF(Table3[[#This Row],[Movimiento]]="Debe",Table3[[#This Row],[Importe]],IF(Table3[[#This Row],[Movimiento]]="Haber",Table3[[#This Row],[Importe]]*-1,0))),0)</f>
        <v>0</v>
      </c>
      <c r="K1650" s="145">
        <f t="shared" si="76"/>
        <v>0</v>
      </c>
      <c r="L1650" s="145" t="str">
        <f t="shared" si="77"/>
        <v/>
      </c>
      <c r="M1650" t="str">
        <f>_xlfn.XLOOKUP(Table3[[#This Row],[Cuenta]],Estructura_Balance[Nombre Cuenta ()],Estructura_Balance[Grupo],"",0)</f>
        <v/>
      </c>
      <c r="N1650" t="str">
        <f>_xlfn.XLOOKUP(Table3[[#This Row],[Cuenta]],Estructura_Balance[Nombre Cuenta ()],Estructura_Balance[Nivel 1],"",0)</f>
        <v/>
      </c>
      <c r="O1650" t="str">
        <f>_xlfn.XLOOKUP(Table3[[#This Row],[Cuenta]],Estructura_Balance[Nombre Cuenta ()],Estructura_Balance[Nivel 2],"",0)</f>
        <v/>
      </c>
      <c r="P1650" t="str">
        <f>_xlfn.XLOOKUP(Table3[[#This Row],[Cuenta]],Estructura_Balance[Nombre Cuenta ()],Estructura_Balance[Nivel 3],"",0)</f>
        <v/>
      </c>
      <c r="Q1650" t="str">
        <f>_xlfn.XLOOKUP(Table3[[#This Row],[Cuenta]],Estructura_Balance[Nombre Cuenta ()],Estructura_Balance[Nivel 4],"",0)</f>
        <v/>
      </c>
      <c r="R1650" t="str">
        <f>_xlfn.XLOOKUP(Table3[[#This Row],[Cuenta]],Table8[Nombre Cuenta ()],Table8[Nivel 1],"",0)</f>
        <v/>
      </c>
      <c r="S1650" t="str">
        <f>_xlfn.XLOOKUP(Table3[[#This Row],[Cuenta]],Table8[Nombre Cuenta ()],Table8[Nivel 2],"",0)</f>
        <v/>
      </c>
      <c r="T1650" t="str">
        <f>_xlfn.XLOOKUP(Table3[[#This Row],[Cuenta]],Table8[Nombre Cuenta ()],Table8[Nivel 3],"",0)</f>
        <v/>
      </c>
      <c r="U1650">
        <v>141</v>
      </c>
      <c r="V1650" t="str">
        <f>_xlfn.XLOOKUP(Table3[[#This Row],[Cuenta]],Estructura_Balance[Nombre Cuenta ()],Estructura_Balance[Niveles:2],"",0)</f>
        <v/>
      </c>
      <c r="W1650" t="str">
        <f>_xlfn.XLOOKUP(Table3[[#This Row],[Cuenta]],Estructura_Balance[Nombre Cuenta ()],Estructura_Balance[Niveles:3],"",0)</f>
        <v/>
      </c>
      <c r="X1650" t="str">
        <f>_xlfn.XLOOKUP(Table3[[#This Row],[Cuenta]],Estructura_Balance[Nombre Cuenta ()],Estructura_Balance[Grupos],"Grupo 1",0)</f>
        <v>Grupo 1</v>
      </c>
      <c r="Y1650" t="str">
        <f>+Table3[[#This Row],[BS_Nivel_1]]</f>
        <v/>
      </c>
    </row>
    <row r="1651" spans="1:25" ht="15" customHeight="1">
      <c r="A1651">
        <f>+'Libro Diario'!F114</f>
        <v>6</v>
      </c>
      <c r="B1651" s="144">
        <f>VALUE(IF(+'Libro Diario'!G114="","01/01/2025",+'Libro Diario'!G114))</f>
        <v>45688</v>
      </c>
      <c r="C1651">
        <f>IF(ISNUMBER(+IF(IFERROR(VALUE(MID('Libro Diario'!C114,1,4)),0)&lt;&gt;0,'Libro Diario'!C114,0))=FALSE,'Libro Diario'!C114,0)</f>
        <v>0</v>
      </c>
      <c r="D1651" s="145">
        <f>+'Libro Diario'!B114</f>
        <v>0</v>
      </c>
      <c r="E1651" s="139" t="s">
        <v>445</v>
      </c>
      <c r="F1651" t="str">
        <f t="shared" si="75"/>
        <v>Sin Mov.</v>
      </c>
      <c r="G1651" t="str">
        <f>IF(+'Libro Diario'!H114=0,"",+'Libro Diario'!H114)</f>
        <v>Operaciones del Ejercicio</v>
      </c>
      <c r="H1651" t="str">
        <f>IF(+'Libro Diario'!I114=0,"",+'Libro Diario'!I114)</f>
        <v/>
      </c>
      <c r="I1651" t="str">
        <f>+IF(Table3[[#This Row],[Tipo Movimiento]]="Estructura Balance y PyG","Excluir","Incluir")</f>
        <v>Incluir</v>
      </c>
      <c r="J1651" s="153">
        <f>+IF(Table3[[#This Row],[Sin cuenta]]="Con Mov.",(IF(Table3[[#This Row],[Movimiento]]="Debe",Table3[[#This Row],[Importe]],IF(Table3[[#This Row],[Movimiento]]="Haber",Table3[[#This Row],[Importe]]*-1,0))),0)</f>
        <v>0</v>
      </c>
      <c r="K1651" s="145">
        <f t="shared" si="76"/>
        <v>0</v>
      </c>
      <c r="L1651" s="145" t="str">
        <f t="shared" si="77"/>
        <v/>
      </c>
      <c r="M1651" t="str">
        <f>_xlfn.XLOOKUP(Table3[[#This Row],[Cuenta]],Estructura_Balance[Nombre Cuenta ()],Estructura_Balance[Grupo],"",0)</f>
        <v/>
      </c>
      <c r="N1651" t="str">
        <f>_xlfn.XLOOKUP(Table3[[#This Row],[Cuenta]],Estructura_Balance[Nombre Cuenta ()],Estructura_Balance[Nivel 1],"",0)</f>
        <v/>
      </c>
      <c r="O1651" t="str">
        <f>_xlfn.XLOOKUP(Table3[[#This Row],[Cuenta]],Estructura_Balance[Nombre Cuenta ()],Estructura_Balance[Nivel 2],"",0)</f>
        <v/>
      </c>
      <c r="P1651" t="str">
        <f>_xlfn.XLOOKUP(Table3[[#This Row],[Cuenta]],Estructura_Balance[Nombre Cuenta ()],Estructura_Balance[Nivel 3],"",0)</f>
        <v/>
      </c>
      <c r="Q1651" t="str">
        <f>_xlfn.XLOOKUP(Table3[[#This Row],[Cuenta]],Estructura_Balance[Nombre Cuenta ()],Estructura_Balance[Nivel 4],"",0)</f>
        <v/>
      </c>
      <c r="R1651" t="str">
        <f>_xlfn.XLOOKUP(Table3[[#This Row],[Cuenta]],Table8[Nombre Cuenta ()],Table8[Nivel 1],"",0)</f>
        <v/>
      </c>
      <c r="S1651" t="str">
        <f>_xlfn.XLOOKUP(Table3[[#This Row],[Cuenta]],Table8[Nombre Cuenta ()],Table8[Nivel 2],"",0)</f>
        <v/>
      </c>
      <c r="T1651" t="str">
        <f>_xlfn.XLOOKUP(Table3[[#This Row],[Cuenta]],Table8[Nombre Cuenta ()],Table8[Nivel 3],"",0)</f>
        <v/>
      </c>
      <c r="U1651">
        <v>144</v>
      </c>
      <c r="V1651" t="str">
        <f>_xlfn.XLOOKUP(Table3[[#This Row],[Cuenta]],Estructura_Balance[Nombre Cuenta ()],Estructura_Balance[Niveles:2],"",0)</f>
        <v/>
      </c>
      <c r="W1651" t="str">
        <f>_xlfn.XLOOKUP(Table3[[#This Row],[Cuenta]],Estructura_Balance[Nombre Cuenta ()],Estructura_Balance[Niveles:3],"",0)</f>
        <v/>
      </c>
      <c r="X1651" t="str">
        <f>_xlfn.XLOOKUP(Table3[[#This Row],[Cuenta]],Estructura_Balance[Nombre Cuenta ()],Estructura_Balance[Grupos],"Grupo 1",0)</f>
        <v>Grupo 1</v>
      </c>
      <c r="Y1651" t="str">
        <f>+Table3[[#This Row],[BS_Nivel_1]]</f>
        <v/>
      </c>
    </row>
    <row r="1652" spans="1:25" ht="15" customHeight="1">
      <c r="A1652">
        <f>+'Libro Diario'!F112</f>
        <v>6</v>
      </c>
      <c r="B1652" s="144">
        <f>VALUE(IF(+'Libro Diario'!G112="","01/01/2025",+'Libro Diario'!G112))</f>
        <v>45688</v>
      </c>
      <c r="C1652">
        <f>IF(ISNUMBER(+IF(IFERROR(VALUE(MID('Libro Diario'!D112,1,4)),0)&lt;&gt;0,'Libro Diario'!D112,0))=FALSE,'Libro Diario'!D112,0)</f>
        <v>0</v>
      </c>
      <c r="D1652" s="145">
        <f>+'Libro Diario'!E112</f>
        <v>0</v>
      </c>
      <c r="E1652" s="139" t="s">
        <v>446</v>
      </c>
      <c r="F1652" t="str">
        <f t="shared" si="75"/>
        <v>Sin Mov.</v>
      </c>
      <c r="G1652" t="str">
        <f>IF(+'Libro Diario'!H112=0,"",+'Libro Diario'!H112)</f>
        <v>Operaciones del Ejercicio</v>
      </c>
      <c r="H1652" t="str">
        <f>IF(+'Libro Diario'!I112=0,"",+'Libro Diario'!I112)</f>
        <v/>
      </c>
      <c r="I1652" t="str">
        <f>+IF(Table3[[#This Row],[Tipo Movimiento]]="Estructura Balance y PyG","Excluir","Incluir")</f>
        <v>Incluir</v>
      </c>
      <c r="J1652" s="153">
        <f>+IF(Table3[[#This Row],[Sin cuenta]]="Con Mov.",(IF(Table3[[#This Row],[Movimiento]]="Debe",Table3[[#This Row],[Importe]],IF(Table3[[#This Row],[Movimiento]]="Haber",Table3[[#This Row],[Importe]]*-1,0))),0)</f>
        <v>0</v>
      </c>
      <c r="K1652" s="145" t="str">
        <f t="shared" si="76"/>
        <v/>
      </c>
      <c r="L1652" s="145">
        <f t="shared" si="77"/>
        <v>0</v>
      </c>
      <c r="M1652" t="str">
        <f>_xlfn.XLOOKUP(Table3[[#This Row],[Cuenta]],Estructura_Balance[Nombre Cuenta ()],Estructura_Balance[Grupo],"",0)</f>
        <v/>
      </c>
      <c r="N1652" t="str">
        <f>_xlfn.XLOOKUP(Table3[[#This Row],[Cuenta]],Estructura_Balance[Nombre Cuenta ()],Estructura_Balance[Nivel 1],"",0)</f>
        <v/>
      </c>
      <c r="O1652" t="str">
        <f>_xlfn.XLOOKUP(Table3[[#This Row],[Cuenta]],Estructura_Balance[Nombre Cuenta ()],Estructura_Balance[Nivel 2],"",0)</f>
        <v/>
      </c>
      <c r="P1652" t="str">
        <f>_xlfn.XLOOKUP(Table3[[#This Row],[Cuenta]],Estructura_Balance[Nombre Cuenta ()],Estructura_Balance[Nivel 3],"",0)</f>
        <v/>
      </c>
      <c r="Q1652" t="str">
        <f>_xlfn.XLOOKUP(Table3[[#This Row],[Cuenta]],Estructura_Balance[Nombre Cuenta ()],Estructura_Balance[Nivel 4],"",0)</f>
        <v/>
      </c>
      <c r="R1652" t="str">
        <f>_xlfn.XLOOKUP(Table3[[#This Row],[Cuenta]],Table8[Nombre Cuenta ()],Table8[Nivel 1],"",0)</f>
        <v/>
      </c>
      <c r="S1652" t="str">
        <f>_xlfn.XLOOKUP(Table3[[#This Row],[Cuenta]],Table8[Nombre Cuenta ()],Table8[Nivel 2],"",0)</f>
        <v/>
      </c>
      <c r="T1652" t="str">
        <f>_xlfn.XLOOKUP(Table3[[#This Row],[Cuenta]],Table8[Nombre Cuenta ()],Table8[Nivel 3],"",0)</f>
        <v/>
      </c>
      <c r="U1652">
        <v>1432</v>
      </c>
      <c r="V1652" t="str">
        <f>_xlfn.XLOOKUP(Table3[[#This Row],[Cuenta]],Estructura_Balance[Nombre Cuenta ()],Estructura_Balance[Niveles:2],"",0)</f>
        <v/>
      </c>
      <c r="W1652" t="str">
        <f>_xlfn.XLOOKUP(Table3[[#This Row],[Cuenta]],Estructura_Balance[Nombre Cuenta ()],Estructura_Balance[Niveles:3],"",0)</f>
        <v/>
      </c>
      <c r="X1652" t="str">
        <f>_xlfn.XLOOKUP(Table3[[#This Row],[Cuenta]],Estructura_Balance[Nombre Cuenta ()],Estructura_Balance[Grupos],"Grupo 1",0)</f>
        <v>Grupo 1</v>
      </c>
      <c r="Y1652" t="str">
        <f>+Table3[[#This Row],[BS_Nivel_1]]</f>
        <v/>
      </c>
    </row>
    <row r="1653" spans="1:25" ht="15" customHeight="1">
      <c r="A1653">
        <f>+'Libro Diario'!F113</f>
        <v>6</v>
      </c>
      <c r="B1653" s="144">
        <f>VALUE(IF(+'Libro Diario'!G113="","01/01/2025",+'Libro Diario'!G113))</f>
        <v>45688</v>
      </c>
      <c r="C1653">
        <f>IF(ISNUMBER(+IF(IFERROR(VALUE(MID('Libro Diario'!D113,1,4)),0)&lt;&gt;0,'Libro Diario'!D113,0))=FALSE,'Libro Diario'!D113,0)</f>
        <v>0</v>
      </c>
      <c r="D1653" s="145">
        <f>+'Libro Diario'!E113</f>
        <v>0</v>
      </c>
      <c r="E1653" s="139" t="s">
        <v>446</v>
      </c>
      <c r="F1653" t="str">
        <f t="shared" si="75"/>
        <v>Sin Mov.</v>
      </c>
      <c r="G1653" t="str">
        <f>IF(+'Libro Diario'!H113=0,"",+'Libro Diario'!H113)</f>
        <v>Operaciones del Ejercicio</v>
      </c>
      <c r="H1653" t="str">
        <f>IF(+'Libro Diario'!I113=0,"",+'Libro Diario'!I113)</f>
        <v/>
      </c>
      <c r="I1653" t="str">
        <f>+IF(Table3[[#This Row],[Tipo Movimiento]]="Estructura Balance y PyG","Excluir","Incluir")</f>
        <v>Incluir</v>
      </c>
      <c r="J1653" s="153">
        <f>+IF(Table3[[#This Row],[Sin cuenta]]="Con Mov.",(IF(Table3[[#This Row],[Movimiento]]="Debe",Table3[[#This Row],[Importe]],IF(Table3[[#This Row],[Movimiento]]="Haber",Table3[[#This Row],[Importe]]*-1,0))),0)</f>
        <v>0</v>
      </c>
      <c r="K1653" s="145" t="str">
        <f t="shared" si="76"/>
        <v/>
      </c>
      <c r="L1653" s="145">
        <f t="shared" si="77"/>
        <v>0</v>
      </c>
      <c r="M1653" t="str">
        <f>_xlfn.XLOOKUP(Table3[[#This Row],[Cuenta]],Estructura_Balance[Nombre Cuenta ()],Estructura_Balance[Grupo],"",0)</f>
        <v/>
      </c>
      <c r="N1653" t="str">
        <f>_xlfn.XLOOKUP(Table3[[#This Row],[Cuenta]],Estructura_Balance[Nombre Cuenta ()],Estructura_Balance[Nivel 1],"",0)</f>
        <v/>
      </c>
      <c r="O1653" t="str">
        <f>_xlfn.XLOOKUP(Table3[[#This Row],[Cuenta]],Estructura_Balance[Nombre Cuenta ()],Estructura_Balance[Nivel 2],"",0)</f>
        <v/>
      </c>
      <c r="P1653" t="str">
        <f>_xlfn.XLOOKUP(Table3[[#This Row],[Cuenta]],Estructura_Balance[Nombre Cuenta ()],Estructura_Balance[Nivel 3],"",0)</f>
        <v/>
      </c>
      <c r="Q1653" t="str">
        <f>_xlfn.XLOOKUP(Table3[[#This Row],[Cuenta]],Estructura_Balance[Nombre Cuenta ()],Estructura_Balance[Nivel 4],"",0)</f>
        <v/>
      </c>
      <c r="R1653" t="str">
        <f>_xlfn.XLOOKUP(Table3[[#This Row],[Cuenta]],Table8[Nombre Cuenta ()],Table8[Nivel 1],"",0)</f>
        <v/>
      </c>
      <c r="S1653" t="str">
        <f>_xlfn.XLOOKUP(Table3[[#This Row],[Cuenta]],Table8[Nombre Cuenta ()],Table8[Nivel 2],"",0)</f>
        <v/>
      </c>
      <c r="T1653" t="str">
        <f>_xlfn.XLOOKUP(Table3[[#This Row],[Cuenta]],Table8[Nombre Cuenta ()],Table8[Nivel 3],"",0)</f>
        <v/>
      </c>
      <c r="U1653">
        <v>1433</v>
      </c>
      <c r="V1653" t="str">
        <f>_xlfn.XLOOKUP(Table3[[#This Row],[Cuenta]],Estructura_Balance[Nombre Cuenta ()],Estructura_Balance[Niveles:2],"",0)</f>
        <v/>
      </c>
      <c r="W1653" t="str">
        <f>_xlfn.XLOOKUP(Table3[[#This Row],[Cuenta]],Estructura_Balance[Nombre Cuenta ()],Estructura_Balance[Niveles:3],"",0)</f>
        <v/>
      </c>
      <c r="X1653" t="str">
        <f>_xlfn.XLOOKUP(Table3[[#This Row],[Cuenta]],Estructura_Balance[Nombre Cuenta ()],Estructura_Balance[Grupos],"Grupo 1",0)</f>
        <v>Grupo 1</v>
      </c>
      <c r="Y1653" t="str">
        <f>+Table3[[#This Row],[BS_Nivel_1]]</f>
        <v/>
      </c>
    </row>
    <row r="1654" spans="1:25" ht="15" customHeight="1">
      <c r="A1654">
        <f>+'Libro Diario'!F114</f>
        <v>6</v>
      </c>
      <c r="B1654" s="144">
        <f>VALUE(IF(+'Libro Diario'!G114="","01/01/2025",+'Libro Diario'!G114))</f>
        <v>45688</v>
      </c>
      <c r="C1654">
        <f>IF(ISNUMBER(+IF(IFERROR(VALUE(MID('Libro Diario'!D114,1,4)),0)&lt;&gt;0,'Libro Diario'!D114,0))=FALSE,'Libro Diario'!D114,0)</f>
        <v>0</v>
      </c>
      <c r="D1654" s="145">
        <f>+'Libro Diario'!E114</f>
        <v>0</v>
      </c>
      <c r="E1654" s="139" t="s">
        <v>446</v>
      </c>
      <c r="F1654" t="str">
        <f t="shared" si="75"/>
        <v>Sin Mov.</v>
      </c>
      <c r="G1654" t="str">
        <f>IF(+'Libro Diario'!H114=0,"",+'Libro Diario'!H114)</f>
        <v>Operaciones del Ejercicio</v>
      </c>
      <c r="H1654" t="str">
        <f>IF(+'Libro Diario'!I114=0,"",+'Libro Diario'!I114)</f>
        <v/>
      </c>
      <c r="I1654" t="str">
        <f>+IF(Table3[[#This Row],[Tipo Movimiento]]="Estructura Balance y PyG","Excluir","Incluir")</f>
        <v>Incluir</v>
      </c>
      <c r="J1654" s="153">
        <f>+IF(Table3[[#This Row],[Sin cuenta]]="Con Mov.",(IF(Table3[[#This Row],[Movimiento]]="Debe",Table3[[#This Row],[Importe]],IF(Table3[[#This Row],[Movimiento]]="Haber",Table3[[#This Row],[Importe]]*-1,0))),0)</f>
        <v>0</v>
      </c>
      <c r="K1654" s="145" t="str">
        <f t="shared" si="76"/>
        <v/>
      </c>
      <c r="L1654" s="145">
        <f t="shared" si="77"/>
        <v>0</v>
      </c>
      <c r="M1654" t="str">
        <f>_xlfn.XLOOKUP(Table3[[#This Row],[Cuenta]],Estructura_Balance[Nombre Cuenta ()],Estructura_Balance[Grupo],"",0)</f>
        <v/>
      </c>
      <c r="N1654" t="str">
        <f>_xlfn.XLOOKUP(Table3[[#This Row],[Cuenta]],Estructura_Balance[Nombre Cuenta ()],Estructura_Balance[Nivel 1],"",0)</f>
        <v/>
      </c>
      <c r="O1654" t="str">
        <f>_xlfn.XLOOKUP(Table3[[#This Row],[Cuenta]],Estructura_Balance[Nombre Cuenta ()],Estructura_Balance[Nivel 2],"",0)</f>
        <v/>
      </c>
      <c r="P1654" t="str">
        <f>_xlfn.XLOOKUP(Table3[[#This Row],[Cuenta]],Estructura_Balance[Nombre Cuenta ()],Estructura_Balance[Nivel 3],"",0)</f>
        <v/>
      </c>
      <c r="Q1654" t="str">
        <f>_xlfn.XLOOKUP(Table3[[#This Row],[Cuenta]],Estructura_Balance[Nombre Cuenta ()],Estructura_Balance[Nivel 4],"",0)</f>
        <v/>
      </c>
      <c r="R1654" t="str">
        <f>_xlfn.XLOOKUP(Table3[[#This Row],[Cuenta]],Table8[Nombre Cuenta ()],Table8[Nivel 1],"",0)</f>
        <v/>
      </c>
      <c r="S1654" t="str">
        <f>_xlfn.XLOOKUP(Table3[[#This Row],[Cuenta]],Table8[Nombre Cuenta ()],Table8[Nivel 2],"",0)</f>
        <v/>
      </c>
      <c r="T1654" t="str">
        <f>_xlfn.XLOOKUP(Table3[[#This Row],[Cuenta]],Table8[Nombre Cuenta ()],Table8[Nivel 3],"",0)</f>
        <v/>
      </c>
      <c r="U1654">
        <v>1434</v>
      </c>
      <c r="V1654" t="str">
        <f>_xlfn.XLOOKUP(Table3[[#This Row],[Cuenta]],Estructura_Balance[Nombre Cuenta ()],Estructura_Balance[Niveles:2],"",0)</f>
        <v/>
      </c>
      <c r="W1654" t="str">
        <f>_xlfn.XLOOKUP(Table3[[#This Row],[Cuenta]],Estructura_Balance[Nombre Cuenta ()],Estructura_Balance[Niveles:3],"",0)</f>
        <v/>
      </c>
      <c r="X1654" t="str">
        <f>_xlfn.XLOOKUP(Table3[[#This Row],[Cuenta]],Estructura_Balance[Nombre Cuenta ()],Estructura_Balance[Grupos],"Grupo 1",0)</f>
        <v>Grupo 1</v>
      </c>
      <c r="Y1654" t="str">
        <f>+Table3[[#This Row],[BS_Nivel_1]]</f>
        <v/>
      </c>
    </row>
    <row r="1655" spans="1:25" ht="15" customHeight="1">
      <c r="A1655">
        <f>+'Libro Diario'!F120</f>
        <v>7</v>
      </c>
      <c r="B1655" s="144">
        <f>VALUE(IF(+'Libro Diario'!G120="","01/01/2025",+'Libro Diario'!G120))</f>
        <v>45703</v>
      </c>
      <c r="C1655">
        <f>IF(ISNUMBER(+IF(IFERROR(VALUE(MID('Libro Diario'!C120,1,4)),0)&lt;&gt;0,'Libro Diario'!C120,0))=FALSE,'Libro Diario'!C120,0)</f>
        <v>0</v>
      </c>
      <c r="D1655" s="145">
        <f>+'Libro Diario'!B120</f>
        <v>0</v>
      </c>
      <c r="E1655" s="139" t="s">
        <v>445</v>
      </c>
      <c r="F1655" t="str">
        <f t="shared" si="75"/>
        <v>Sin Mov.</v>
      </c>
      <c r="G1655" t="str">
        <f>IF(+'Libro Diario'!H120=0,"",+'Libro Diario'!H120)</f>
        <v>Operaciones del Ejercicio</v>
      </c>
      <c r="H1655" t="str">
        <f>IF(+'Libro Diario'!I120=0,"",+'Libro Diario'!I120)</f>
        <v/>
      </c>
      <c r="I1655" t="str">
        <f>+IF(Table3[[#This Row],[Tipo Movimiento]]="Estructura Balance y PyG","Excluir","Incluir")</f>
        <v>Incluir</v>
      </c>
      <c r="J1655" s="153">
        <f>+IF(Table3[[#This Row],[Sin cuenta]]="Con Mov.",(IF(Table3[[#This Row],[Movimiento]]="Debe",Table3[[#This Row],[Importe]],IF(Table3[[#This Row],[Movimiento]]="Haber",Table3[[#This Row],[Importe]]*-1,0))),0)</f>
        <v>0</v>
      </c>
      <c r="K1655" s="145">
        <f t="shared" si="76"/>
        <v>0</v>
      </c>
      <c r="L1655" s="145" t="str">
        <f t="shared" si="77"/>
        <v/>
      </c>
      <c r="M1655" t="str">
        <f>_xlfn.XLOOKUP(Table3[[#This Row],[Cuenta]],Estructura_Balance[Nombre Cuenta ()],Estructura_Balance[Grupo],"",0)</f>
        <v/>
      </c>
      <c r="N1655" t="str">
        <f>_xlfn.XLOOKUP(Table3[[#This Row],[Cuenta]],Estructura_Balance[Nombre Cuenta ()],Estructura_Balance[Nivel 1],"",0)</f>
        <v/>
      </c>
      <c r="O1655" t="str">
        <f>_xlfn.XLOOKUP(Table3[[#This Row],[Cuenta]],Estructura_Balance[Nombre Cuenta ()],Estructura_Balance[Nivel 2],"",0)</f>
        <v/>
      </c>
      <c r="P1655" t="str">
        <f>_xlfn.XLOOKUP(Table3[[#This Row],[Cuenta]],Estructura_Balance[Nombre Cuenta ()],Estructura_Balance[Nivel 3],"",0)</f>
        <v/>
      </c>
      <c r="Q1655" t="str">
        <f>_xlfn.XLOOKUP(Table3[[#This Row],[Cuenta]],Estructura_Balance[Nombre Cuenta ()],Estructura_Balance[Nivel 4],"",0)</f>
        <v/>
      </c>
      <c r="R1655" t="str">
        <f>_xlfn.XLOOKUP(Table3[[#This Row],[Cuenta]],Table8[Nombre Cuenta ()],Table8[Nivel 1],"",0)</f>
        <v/>
      </c>
      <c r="S1655" t="str">
        <f>_xlfn.XLOOKUP(Table3[[#This Row],[Cuenta]],Table8[Nombre Cuenta ()],Table8[Nivel 2],"",0)</f>
        <v/>
      </c>
      <c r="T1655" t="str">
        <f>_xlfn.XLOOKUP(Table3[[#This Row],[Cuenta]],Table8[Nombre Cuenta ()],Table8[Nivel 3],"",0)</f>
        <v/>
      </c>
      <c r="U1655">
        <v>153</v>
      </c>
      <c r="V1655" t="str">
        <f>_xlfn.XLOOKUP(Table3[[#This Row],[Cuenta]],Estructura_Balance[Nombre Cuenta ()],Estructura_Balance[Niveles:2],"",0)</f>
        <v/>
      </c>
      <c r="W1655" t="str">
        <f>_xlfn.XLOOKUP(Table3[[#This Row],[Cuenta]],Estructura_Balance[Nombre Cuenta ()],Estructura_Balance[Niveles:3],"",0)</f>
        <v/>
      </c>
      <c r="X1655" t="str">
        <f>_xlfn.XLOOKUP(Table3[[#This Row],[Cuenta]],Estructura_Balance[Nombre Cuenta ()],Estructura_Balance[Grupos],"Grupo 1",0)</f>
        <v>Grupo 1</v>
      </c>
      <c r="Y1655" t="str">
        <f>+Table3[[#This Row],[BS_Nivel_1]]</f>
        <v/>
      </c>
    </row>
    <row r="1656" spans="1:25" ht="15" customHeight="1">
      <c r="A1656">
        <f>+'Libro Diario'!F121</f>
        <v>7</v>
      </c>
      <c r="B1656" s="144">
        <f>VALUE(IF(+'Libro Diario'!G121="","01/01/2025",+'Libro Diario'!G121))</f>
        <v>45703</v>
      </c>
      <c r="C1656">
        <f>IF(ISNUMBER(+IF(IFERROR(VALUE(MID('Libro Diario'!C121,1,4)),0)&lt;&gt;0,'Libro Diario'!C121,0))=FALSE,'Libro Diario'!C121,0)</f>
        <v>0</v>
      </c>
      <c r="D1656" s="145">
        <f>+'Libro Diario'!B121</f>
        <v>0</v>
      </c>
      <c r="E1656" s="139" t="s">
        <v>445</v>
      </c>
      <c r="F1656" t="str">
        <f t="shared" si="75"/>
        <v>Sin Mov.</v>
      </c>
      <c r="G1656" t="str">
        <f>IF(+'Libro Diario'!H121=0,"",+'Libro Diario'!H121)</f>
        <v>Operaciones del Ejercicio</v>
      </c>
      <c r="H1656" t="str">
        <f>IF(+'Libro Diario'!I121=0,"",+'Libro Diario'!I121)</f>
        <v/>
      </c>
      <c r="I1656" t="str">
        <f>+IF(Table3[[#This Row],[Tipo Movimiento]]="Estructura Balance y PyG","Excluir","Incluir")</f>
        <v>Incluir</v>
      </c>
      <c r="J1656" s="153">
        <f>+IF(Table3[[#This Row],[Sin cuenta]]="Con Mov.",(IF(Table3[[#This Row],[Movimiento]]="Debe",Table3[[#This Row],[Importe]],IF(Table3[[#This Row],[Movimiento]]="Haber",Table3[[#This Row],[Importe]]*-1,0))),0)</f>
        <v>0</v>
      </c>
      <c r="K1656" s="145">
        <f t="shared" si="76"/>
        <v>0</v>
      </c>
      <c r="L1656" s="145" t="str">
        <f t="shared" si="77"/>
        <v/>
      </c>
      <c r="M1656" t="str">
        <f>_xlfn.XLOOKUP(Table3[[#This Row],[Cuenta]],Estructura_Balance[Nombre Cuenta ()],Estructura_Balance[Grupo],"",0)</f>
        <v/>
      </c>
      <c r="N1656" t="str">
        <f>_xlfn.XLOOKUP(Table3[[#This Row],[Cuenta]],Estructura_Balance[Nombre Cuenta ()],Estructura_Balance[Nivel 1],"",0)</f>
        <v/>
      </c>
      <c r="O1656" t="str">
        <f>_xlfn.XLOOKUP(Table3[[#This Row],[Cuenta]],Estructura_Balance[Nombre Cuenta ()],Estructura_Balance[Nivel 2],"",0)</f>
        <v/>
      </c>
      <c r="P1656" t="str">
        <f>_xlfn.XLOOKUP(Table3[[#This Row],[Cuenta]],Estructura_Balance[Nombre Cuenta ()],Estructura_Balance[Nivel 3],"",0)</f>
        <v/>
      </c>
      <c r="Q1656" t="str">
        <f>_xlfn.XLOOKUP(Table3[[#This Row],[Cuenta]],Estructura_Balance[Nombre Cuenta ()],Estructura_Balance[Nivel 4],"",0)</f>
        <v/>
      </c>
      <c r="R1656" t="str">
        <f>_xlfn.XLOOKUP(Table3[[#This Row],[Cuenta]],Table8[Nombre Cuenta ()],Table8[Nivel 1],"",0)</f>
        <v/>
      </c>
      <c r="S1656" t="str">
        <f>_xlfn.XLOOKUP(Table3[[#This Row],[Cuenta]],Table8[Nombre Cuenta ()],Table8[Nivel 2],"",0)</f>
        <v/>
      </c>
      <c r="T1656" t="str">
        <f>_xlfn.XLOOKUP(Table3[[#This Row],[Cuenta]],Table8[Nombre Cuenta ()],Table8[Nivel 3],"",0)</f>
        <v/>
      </c>
      <c r="U1656">
        <v>154</v>
      </c>
      <c r="V1656" t="str">
        <f>_xlfn.XLOOKUP(Table3[[#This Row],[Cuenta]],Estructura_Balance[Nombre Cuenta ()],Estructura_Balance[Niveles:2],"",0)</f>
        <v/>
      </c>
      <c r="W1656" t="str">
        <f>_xlfn.XLOOKUP(Table3[[#This Row],[Cuenta]],Estructura_Balance[Nombre Cuenta ()],Estructura_Balance[Niveles:3],"",0)</f>
        <v/>
      </c>
      <c r="X1656" t="str">
        <f>_xlfn.XLOOKUP(Table3[[#This Row],[Cuenta]],Estructura_Balance[Nombre Cuenta ()],Estructura_Balance[Grupos],"Grupo 1",0)</f>
        <v>Grupo 1</v>
      </c>
      <c r="Y1656" t="str">
        <f>+Table3[[#This Row],[BS_Nivel_1]]</f>
        <v/>
      </c>
    </row>
    <row r="1657" spans="1:25" ht="15" customHeight="1">
      <c r="A1657">
        <f>+'Libro Diario'!F120</f>
        <v>7</v>
      </c>
      <c r="B1657" s="144">
        <f>VALUE(IF(+'Libro Diario'!G120="","01/01/2025",+'Libro Diario'!G120))</f>
        <v>45703</v>
      </c>
      <c r="C1657">
        <f>IF(ISNUMBER(+IF(IFERROR(VALUE(MID('Libro Diario'!D120,1,4)),0)&lt;&gt;0,'Libro Diario'!D120,0))=FALSE,'Libro Diario'!D120,0)</f>
        <v>0</v>
      </c>
      <c r="D1657" s="145">
        <f>+'Libro Diario'!E120</f>
        <v>0</v>
      </c>
      <c r="E1657" s="139" t="s">
        <v>446</v>
      </c>
      <c r="F1657" t="str">
        <f t="shared" si="75"/>
        <v>Sin Mov.</v>
      </c>
      <c r="G1657" t="str">
        <f>IF(+'Libro Diario'!H120=0,"",+'Libro Diario'!H120)</f>
        <v>Operaciones del Ejercicio</v>
      </c>
      <c r="H1657" t="str">
        <f>IF(+'Libro Diario'!I120=0,"",+'Libro Diario'!I120)</f>
        <v/>
      </c>
      <c r="I1657" t="str">
        <f>+IF(Table3[[#This Row],[Tipo Movimiento]]="Estructura Balance y PyG","Excluir","Incluir")</f>
        <v>Incluir</v>
      </c>
      <c r="J1657" s="153">
        <f>+IF(Table3[[#This Row],[Sin cuenta]]="Con Mov.",(IF(Table3[[#This Row],[Movimiento]]="Debe",Table3[[#This Row],[Importe]],IF(Table3[[#This Row],[Movimiento]]="Haber",Table3[[#This Row],[Importe]]*-1,0))),0)</f>
        <v>0</v>
      </c>
      <c r="K1657" s="145" t="str">
        <f t="shared" si="76"/>
        <v/>
      </c>
      <c r="L1657" s="145">
        <f t="shared" si="77"/>
        <v>0</v>
      </c>
      <c r="M1657" t="str">
        <f>_xlfn.XLOOKUP(Table3[[#This Row],[Cuenta]],Estructura_Balance[Nombre Cuenta ()],Estructura_Balance[Grupo],"",0)</f>
        <v/>
      </c>
      <c r="N1657" t="str">
        <f>_xlfn.XLOOKUP(Table3[[#This Row],[Cuenta]],Estructura_Balance[Nombre Cuenta ()],Estructura_Balance[Nivel 1],"",0)</f>
        <v/>
      </c>
      <c r="O1657" t="str">
        <f>_xlfn.XLOOKUP(Table3[[#This Row],[Cuenta]],Estructura_Balance[Nombre Cuenta ()],Estructura_Balance[Nivel 2],"",0)</f>
        <v/>
      </c>
      <c r="P1657" t="str">
        <f>_xlfn.XLOOKUP(Table3[[#This Row],[Cuenta]],Estructura_Balance[Nombre Cuenta ()],Estructura_Balance[Nivel 3],"",0)</f>
        <v/>
      </c>
      <c r="Q1657" t="str">
        <f>_xlfn.XLOOKUP(Table3[[#This Row],[Cuenta]],Estructura_Balance[Nombre Cuenta ()],Estructura_Balance[Nivel 4],"",0)</f>
        <v/>
      </c>
      <c r="R1657" t="str">
        <f>_xlfn.XLOOKUP(Table3[[#This Row],[Cuenta]],Table8[Nombre Cuenta ()],Table8[Nivel 1],"",0)</f>
        <v/>
      </c>
      <c r="S1657" t="str">
        <f>_xlfn.XLOOKUP(Table3[[#This Row],[Cuenta]],Table8[Nombre Cuenta ()],Table8[Nivel 2],"",0)</f>
        <v/>
      </c>
      <c r="T1657" t="str">
        <f>_xlfn.XLOOKUP(Table3[[#This Row],[Cuenta]],Table8[Nombre Cuenta ()],Table8[Nivel 3],"",0)</f>
        <v/>
      </c>
      <c r="U1657">
        <v>1444</v>
      </c>
      <c r="V1657" t="str">
        <f>_xlfn.XLOOKUP(Table3[[#This Row],[Cuenta]],Estructura_Balance[Nombre Cuenta ()],Estructura_Balance[Niveles:2],"",0)</f>
        <v/>
      </c>
      <c r="W1657" t="str">
        <f>_xlfn.XLOOKUP(Table3[[#This Row],[Cuenta]],Estructura_Balance[Nombre Cuenta ()],Estructura_Balance[Niveles:3],"",0)</f>
        <v/>
      </c>
      <c r="X1657" t="str">
        <f>_xlfn.XLOOKUP(Table3[[#This Row],[Cuenta]],Estructura_Balance[Nombre Cuenta ()],Estructura_Balance[Grupos],"Grupo 1",0)</f>
        <v>Grupo 1</v>
      </c>
      <c r="Y1657" t="str">
        <f>+Table3[[#This Row],[BS_Nivel_1]]</f>
        <v/>
      </c>
    </row>
    <row r="1658" spans="1:25" ht="15" customHeight="1">
      <c r="A1658">
        <f>+'Libro Diario'!F121</f>
        <v>7</v>
      </c>
      <c r="B1658" s="144">
        <f>VALUE(IF(+'Libro Diario'!G121="","01/01/2025",+'Libro Diario'!G121))</f>
        <v>45703</v>
      </c>
      <c r="C1658">
        <f>IF(ISNUMBER(+IF(IFERROR(VALUE(MID('Libro Diario'!D121,1,4)),0)&lt;&gt;0,'Libro Diario'!D121,0))=FALSE,'Libro Diario'!D121,0)</f>
        <v>0</v>
      </c>
      <c r="D1658" s="145">
        <f>+'Libro Diario'!E121</f>
        <v>0</v>
      </c>
      <c r="E1658" s="139" t="s">
        <v>446</v>
      </c>
      <c r="F1658" t="str">
        <f t="shared" si="75"/>
        <v>Sin Mov.</v>
      </c>
      <c r="G1658" t="str">
        <f>IF(+'Libro Diario'!H121=0,"",+'Libro Diario'!H121)</f>
        <v>Operaciones del Ejercicio</v>
      </c>
      <c r="H1658" t="str">
        <f>IF(+'Libro Diario'!I121=0,"",+'Libro Diario'!I121)</f>
        <v/>
      </c>
      <c r="I1658" t="str">
        <f>+IF(Table3[[#This Row],[Tipo Movimiento]]="Estructura Balance y PyG","Excluir","Incluir")</f>
        <v>Incluir</v>
      </c>
      <c r="J1658" s="153">
        <f>+IF(Table3[[#This Row],[Sin cuenta]]="Con Mov.",(IF(Table3[[#This Row],[Movimiento]]="Debe",Table3[[#This Row],[Importe]],IF(Table3[[#This Row],[Movimiento]]="Haber",Table3[[#This Row],[Importe]]*-1,0))),0)</f>
        <v>0</v>
      </c>
      <c r="K1658" s="145" t="str">
        <f t="shared" si="76"/>
        <v/>
      </c>
      <c r="L1658" s="145">
        <f t="shared" si="77"/>
        <v>0</v>
      </c>
      <c r="M1658" t="str">
        <f>_xlfn.XLOOKUP(Table3[[#This Row],[Cuenta]],Estructura_Balance[Nombre Cuenta ()],Estructura_Balance[Grupo],"",0)</f>
        <v/>
      </c>
      <c r="N1658" t="str">
        <f>_xlfn.XLOOKUP(Table3[[#This Row],[Cuenta]],Estructura_Balance[Nombre Cuenta ()],Estructura_Balance[Nivel 1],"",0)</f>
        <v/>
      </c>
      <c r="O1658" t="str">
        <f>_xlfn.XLOOKUP(Table3[[#This Row],[Cuenta]],Estructura_Balance[Nombre Cuenta ()],Estructura_Balance[Nivel 2],"",0)</f>
        <v/>
      </c>
      <c r="P1658" t="str">
        <f>_xlfn.XLOOKUP(Table3[[#This Row],[Cuenta]],Estructura_Balance[Nombre Cuenta ()],Estructura_Balance[Nivel 3],"",0)</f>
        <v/>
      </c>
      <c r="Q1658" t="str">
        <f>_xlfn.XLOOKUP(Table3[[#This Row],[Cuenta]],Estructura_Balance[Nombre Cuenta ()],Estructura_Balance[Nivel 4],"",0)</f>
        <v/>
      </c>
      <c r="R1658" t="str">
        <f>_xlfn.XLOOKUP(Table3[[#This Row],[Cuenta]],Table8[Nombre Cuenta ()],Table8[Nivel 1],"",0)</f>
        <v/>
      </c>
      <c r="S1658" t="str">
        <f>_xlfn.XLOOKUP(Table3[[#This Row],[Cuenta]],Table8[Nombre Cuenta ()],Table8[Nivel 2],"",0)</f>
        <v/>
      </c>
      <c r="T1658" t="str">
        <f>_xlfn.XLOOKUP(Table3[[#This Row],[Cuenta]],Table8[Nombre Cuenta ()],Table8[Nivel 3],"",0)</f>
        <v/>
      </c>
      <c r="U1658">
        <v>1445</v>
      </c>
      <c r="V1658" t="str">
        <f>_xlfn.XLOOKUP(Table3[[#This Row],[Cuenta]],Estructura_Balance[Nombre Cuenta ()],Estructura_Balance[Niveles:2],"",0)</f>
        <v/>
      </c>
      <c r="W1658" t="str">
        <f>_xlfn.XLOOKUP(Table3[[#This Row],[Cuenta]],Estructura_Balance[Nombre Cuenta ()],Estructura_Balance[Niveles:3],"",0)</f>
        <v/>
      </c>
      <c r="X1658" t="str">
        <f>_xlfn.XLOOKUP(Table3[[#This Row],[Cuenta]],Estructura_Balance[Nombre Cuenta ()],Estructura_Balance[Grupos],"Grupo 1",0)</f>
        <v>Grupo 1</v>
      </c>
      <c r="Y1658" t="str">
        <f>+Table3[[#This Row],[BS_Nivel_1]]</f>
        <v/>
      </c>
    </row>
    <row r="1659" spans="1:25" ht="15" customHeight="1">
      <c r="A1659">
        <f>+'Libro Diario'!F127</f>
        <v>8</v>
      </c>
      <c r="B1659" s="144">
        <f>VALUE(IF(+'Libro Diario'!G127="","01/01/2025",+'Libro Diario'!G127))</f>
        <v>45708</v>
      </c>
      <c r="C1659">
        <f>IF(ISNUMBER(+IF(IFERROR(VALUE(MID('Libro Diario'!C127,1,4)),0)&lt;&gt;0,'Libro Diario'!C127,0))=FALSE,'Libro Diario'!C127,0)</f>
        <v>0</v>
      </c>
      <c r="D1659" s="145">
        <f>+'Libro Diario'!B127</f>
        <v>0</v>
      </c>
      <c r="E1659" s="139" t="s">
        <v>445</v>
      </c>
      <c r="F1659" t="str">
        <f t="shared" si="75"/>
        <v>Sin Mov.</v>
      </c>
      <c r="G1659" t="str">
        <f>IF(+'Libro Diario'!H127=0,"",+'Libro Diario'!H127)</f>
        <v>Operaciones del Ejercicio</v>
      </c>
      <c r="H1659" t="str">
        <f>IF(+'Libro Diario'!I127=0,"",+'Libro Diario'!I127)</f>
        <v/>
      </c>
      <c r="I1659" t="str">
        <f>+IF(Table3[[#This Row],[Tipo Movimiento]]="Estructura Balance y PyG","Excluir","Incluir")</f>
        <v>Incluir</v>
      </c>
      <c r="J1659" s="153">
        <f>+IF(Table3[[#This Row],[Sin cuenta]]="Con Mov.",(IF(Table3[[#This Row],[Movimiento]]="Debe",Table3[[#This Row],[Importe]],IF(Table3[[#This Row],[Movimiento]]="Haber",Table3[[#This Row],[Importe]]*-1,0))),0)</f>
        <v>0</v>
      </c>
      <c r="K1659" s="145">
        <f t="shared" si="76"/>
        <v>0</v>
      </c>
      <c r="L1659" s="145" t="str">
        <f t="shared" si="77"/>
        <v/>
      </c>
      <c r="M1659" t="str">
        <f>_xlfn.XLOOKUP(Table3[[#This Row],[Cuenta]],Estructura_Balance[Nombre Cuenta ()],Estructura_Balance[Grupo],"",0)</f>
        <v/>
      </c>
      <c r="N1659" t="str">
        <f>_xlfn.XLOOKUP(Table3[[#This Row],[Cuenta]],Estructura_Balance[Nombre Cuenta ()],Estructura_Balance[Nivel 1],"",0)</f>
        <v/>
      </c>
      <c r="O1659" t="str">
        <f>_xlfn.XLOOKUP(Table3[[#This Row],[Cuenta]],Estructura_Balance[Nombre Cuenta ()],Estructura_Balance[Nivel 2],"",0)</f>
        <v/>
      </c>
      <c r="P1659" t="str">
        <f>_xlfn.XLOOKUP(Table3[[#This Row],[Cuenta]],Estructura_Balance[Nombre Cuenta ()],Estructura_Balance[Nivel 3],"",0)</f>
        <v/>
      </c>
      <c r="Q1659" t="str">
        <f>_xlfn.XLOOKUP(Table3[[#This Row],[Cuenta]],Estructura_Balance[Nombre Cuenta ()],Estructura_Balance[Nivel 4],"",0)</f>
        <v/>
      </c>
      <c r="R1659" t="str">
        <f>_xlfn.XLOOKUP(Table3[[#This Row],[Cuenta]],Table8[Nombre Cuenta ()],Table8[Nivel 1],"",0)</f>
        <v/>
      </c>
      <c r="S1659" t="str">
        <f>_xlfn.XLOOKUP(Table3[[#This Row],[Cuenta]],Table8[Nombre Cuenta ()],Table8[Nivel 2],"",0)</f>
        <v/>
      </c>
      <c r="T1659" t="str">
        <f>_xlfn.XLOOKUP(Table3[[#This Row],[Cuenta]],Table8[Nombre Cuenta ()],Table8[Nivel 3],"",0)</f>
        <v/>
      </c>
      <c r="U1659">
        <v>162</v>
      </c>
      <c r="V1659" t="str">
        <f>_xlfn.XLOOKUP(Table3[[#This Row],[Cuenta]],Estructura_Balance[Nombre Cuenta ()],Estructura_Balance[Niveles:2],"",0)</f>
        <v/>
      </c>
      <c r="W1659" t="str">
        <f>_xlfn.XLOOKUP(Table3[[#This Row],[Cuenta]],Estructura_Balance[Nombre Cuenta ()],Estructura_Balance[Niveles:3],"",0)</f>
        <v/>
      </c>
      <c r="X1659" t="str">
        <f>_xlfn.XLOOKUP(Table3[[#This Row],[Cuenta]],Estructura_Balance[Nombre Cuenta ()],Estructura_Balance[Grupos],"Grupo 1",0)</f>
        <v>Grupo 1</v>
      </c>
      <c r="Y1659" t="str">
        <f>+Table3[[#This Row],[BS_Nivel_1]]</f>
        <v/>
      </c>
    </row>
    <row r="1660" spans="1:25" ht="15" customHeight="1">
      <c r="A1660">
        <f>+'Libro Diario'!F128</f>
        <v>8</v>
      </c>
      <c r="B1660" s="144">
        <f>VALUE(IF(+'Libro Diario'!G128="","01/01/2025",+'Libro Diario'!G128))</f>
        <v>45708</v>
      </c>
      <c r="C1660">
        <f>IF(ISNUMBER(+IF(IFERROR(VALUE(MID('Libro Diario'!C128,1,4)),0)&lt;&gt;0,'Libro Diario'!C128,0))=FALSE,'Libro Diario'!C128,0)</f>
        <v>0</v>
      </c>
      <c r="D1660" s="145">
        <f>+'Libro Diario'!B128</f>
        <v>0</v>
      </c>
      <c r="E1660" s="139" t="s">
        <v>445</v>
      </c>
      <c r="F1660" t="str">
        <f t="shared" si="75"/>
        <v>Sin Mov.</v>
      </c>
      <c r="G1660" t="str">
        <f>IF(+'Libro Diario'!H128=0,"",+'Libro Diario'!H128)</f>
        <v>Operaciones del Ejercicio</v>
      </c>
      <c r="H1660" t="str">
        <f>IF(+'Libro Diario'!I128=0,"",+'Libro Diario'!I128)</f>
        <v/>
      </c>
      <c r="I1660" t="str">
        <f>+IF(Table3[[#This Row],[Tipo Movimiento]]="Estructura Balance y PyG","Excluir","Incluir")</f>
        <v>Incluir</v>
      </c>
      <c r="J1660" s="153">
        <f>+IF(Table3[[#This Row],[Sin cuenta]]="Con Mov.",(IF(Table3[[#This Row],[Movimiento]]="Debe",Table3[[#This Row],[Importe]],IF(Table3[[#This Row],[Movimiento]]="Haber",Table3[[#This Row],[Importe]]*-1,0))),0)</f>
        <v>0</v>
      </c>
      <c r="K1660" s="145">
        <f t="shared" si="76"/>
        <v>0</v>
      </c>
      <c r="L1660" s="145" t="str">
        <f t="shared" si="77"/>
        <v/>
      </c>
      <c r="M1660" t="str">
        <f>_xlfn.XLOOKUP(Table3[[#This Row],[Cuenta]],Estructura_Balance[Nombre Cuenta ()],Estructura_Balance[Grupo],"",0)</f>
        <v/>
      </c>
      <c r="N1660" t="str">
        <f>_xlfn.XLOOKUP(Table3[[#This Row],[Cuenta]],Estructura_Balance[Nombre Cuenta ()],Estructura_Balance[Nivel 1],"",0)</f>
        <v/>
      </c>
      <c r="O1660" t="str">
        <f>_xlfn.XLOOKUP(Table3[[#This Row],[Cuenta]],Estructura_Balance[Nombre Cuenta ()],Estructura_Balance[Nivel 2],"",0)</f>
        <v/>
      </c>
      <c r="P1660" t="str">
        <f>_xlfn.XLOOKUP(Table3[[#This Row],[Cuenta]],Estructura_Balance[Nombre Cuenta ()],Estructura_Balance[Nivel 3],"",0)</f>
        <v/>
      </c>
      <c r="Q1660" t="str">
        <f>_xlfn.XLOOKUP(Table3[[#This Row],[Cuenta]],Estructura_Balance[Nombre Cuenta ()],Estructura_Balance[Nivel 4],"",0)</f>
        <v/>
      </c>
      <c r="R1660" t="str">
        <f>_xlfn.XLOOKUP(Table3[[#This Row],[Cuenta]],Table8[Nombre Cuenta ()],Table8[Nivel 1],"",0)</f>
        <v/>
      </c>
      <c r="S1660" t="str">
        <f>_xlfn.XLOOKUP(Table3[[#This Row],[Cuenta]],Table8[Nombre Cuenta ()],Table8[Nivel 2],"",0)</f>
        <v/>
      </c>
      <c r="T1660" t="str">
        <f>_xlfn.XLOOKUP(Table3[[#This Row],[Cuenta]],Table8[Nombre Cuenta ()],Table8[Nivel 3],"",0)</f>
        <v/>
      </c>
      <c r="U1660">
        <v>163</v>
      </c>
      <c r="V1660" t="str">
        <f>_xlfn.XLOOKUP(Table3[[#This Row],[Cuenta]],Estructura_Balance[Nombre Cuenta ()],Estructura_Balance[Niveles:2],"",0)</f>
        <v/>
      </c>
      <c r="W1660" t="str">
        <f>_xlfn.XLOOKUP(Table3[[#This Row],[Cuenta]],Estructura_Balance[Nombre Cuenta ()],Estructura_Balance[Niveles:3],"",0)</f>
        <v/>
      </c>
      <c r="X1660" t="str">
        <f>_xlfn.XLOOKUP(Table3[[#This Row],[Cuenta]],Estructura_Balance[Nombre Cuenta ()],Estructura_Balance[Grupos],"Grupo 1",0)</f>
        <v>Grupo 1</v>
      </c>
      <c r="Y1660" t="str">
        <f>+Table3[[#This Row],[BS_Nivel_1]]</f>
        <v/>
      </c>
    </row>
    <row r="1661" spans="1:25" ht="15" customHeight="1">
      <c r="A1661">
        <f>+'Libro Diario'!F127</f>
        <v>8</v>
      </c>
      <c r="B1661" s="144">
        <f>VALUE(IF(+'Libro Diario'!G127="","01/01/2025",+'Libro Diario'!G127))</f>
        <v>45708</v>
      </c>
      <c r="C1661">
        <f>IF(ISNUMBER(+IF(IFERROR(VALUE(MID('Libro Diario'!D127,1,4)),0)&lt;&gt;0,'Libro Diario'!D127,0))=FALSE,'Libro Diario'!D127,0)</f>
        <v>0</v>
      </c>
      <c r="D1661" s="145">
        <f>+'Libro Diario'!E127</f>
        <v>0</v>
      </c>
      <c r="E1661" s="139" t="s">
        <v>446</v>
      </c>
      <c r="F1661" t="str">
        <f t="shared" si="75"/>
        <v>Sin Mov.</v>
      </c>
      <c r="G1661" t="str">
        <f>IF(+'Libro Diario'!H127=0,"",+'Libro Diario'!H127)</f>
        <v>Operaciones del Ejercicio</v>
      </c>
      <c r="H1661" t="str">
        <f>IF(+'Libro Diario'!I127=0,"",+'Libro Diario'!I127)</f>
        <v/>
      </c>
      <c r="I1661" t="str">
        <f>+IF(Table3[[#This Row],[Tipo Movimiento]]="Estructura Balance y PyG","Excluir","Incluir")</f>
        <v>Incluir</v>
      </c>
      <c r="J1661" s="153">
        <f>+IF(Table3[[#This Row],[Sin cuenta]]="Con Mov.",(IF(Table3[[#This Row],[Movimiento]]="Debe",Table3[[#This Row],[Importe]],IF(Table3[[#This Row],[Movimiento]]="Haber",Table3[[#This Row],[Importe]]*-1,0))),0)</f>
        <v>0</v>
      </c>
      <c r="K1661" s="145" t="str">
        <f t="shared" si="76"/>
        <v/>
      </c>
      <c r="L1661" s="145">
        <f t="shared" si="77"/>
        <v>0</v>
      </c>
      <c r="M1661" t="str">
        <f>_xlfn.XLOOKUP(Table3[[#This Row],[Cuenta]],Estructura_Balance[Nombre Cuenta ()],Estructura_Balance[Grupo],"",0)</f>
        <v/>
      </c>
      <c r="N1661" t="str">
        <f>_xlfn.XLOOKUP(Table3[[#This Row],[Cuenta]],Estructura_Balance[Nombre Cuenta ()],Estructura_Balance[Nivel 1],"",0)</f>
        <v/>
      </c>
      <c r="O1661" t="str">
        <f>_xlfn.XLOOKUP(Table3[[#This Row],[Cuenta]],Estructura_Balance[Nombre Cuenta ()],Estructura_Balance[Nivel 2],"",0)</f>
        <v/>
      </c>
      <c r="P1661" t="str">
        <f>_xlfn.XLOOKUP(Table3[[#This Row],[Cuenta]],Estructura_Balance[Nombre Cuenta ()],Estructura_Balance[Nivel 3],"",0)</f>
        <v/>
      </c>
      <c r="Q1661" t="str">
        <f>_xlfn.XLOOKUP(Table3[[#This Row],[Cuenta]],Estructura_Balance[Nombre Cuenta ()],Estructura_Balance[Nivel 4],"",0)</f>
        <v/>
      </c>
      <c r="R1661" t="str">
        <f>_xlfn.XLOOKUP(Table3[[#This Row],[Cuenta]],Table8[Nombre Cuenta ()],Table8[Nivel 1],"",0)</f>
        <v/>
      </c>
      <c r="S1661" t="str">
        <f>_xlfn.XLOOKUP(Table3[[#This Row],[Cuenta]],Table8[Nombre Cuenta ()],Table8[Nivel 2],"",0)</f>
        <v/>
      </c>
      <c r="T1661" t="str">
        <f>_xlfn.XLOOKUP(Table3[[#This Row],[Cuenta]],Table8[Nombre Cuenta ()],Table8[Nivel 3],"",0)</f>
        <v/>
      </c>
      <c r="U1661">
        <v>1453</v>
      </c>
      <c r="V1661" t="str">
        <f>_xlfn.XLOOKUP(Table3[[#This Row],[Cuenta]],Estructura_Balance[Nombre Cuenta ()],Estructura_Balance[Niveles:2],"",0)</f>
        <v/>
      </c>
      <c r="W1661" t="str">
        <f>_xlfn.XLOOKUP(Table3[[#This Row],[Cuenta]],Estructura_Balance[Nombre Cuenta ()],Estructura_Balance[Niveles:3],"",0)</f>
        <v/>
      </c>
      <c r="X1661" t="str">
        <f>_xlfn.XLOOKUP(Table3[[#This Row],[Cuenta]],Estructura_Balance[Nombre Cuenta ()],Estructura_Balance[Grupos],"Grupo 1",0)</f>
        <v>Grupo 1</v>
      </c>
      <c r="Y1661" t="str">
        <f>+Table3[[#This Row],[BS_Nivel_1]]</f>
        <v/>
      </c>
    </row>
    <row r="1662" spans="1:25" ht="15" customHeight="1">
      <c r="A1662">
        <f>+'Libro Diario'!F128</f>
        <v>8</v>
      </c>
      <c r="B1662" s="144">
        <f>VALUE(IF(+'Libro Diario'!G128="","01/01/2025",+'Libro Diario'!G128))</f>
        <v>45708</v>
      </c>
      <c r="C1662">
        <f>IF(ISNUMBER(+IF(IFERROR(VALUE(MID('Libro Diario'!D128,1,4)),0)&lt;&gt;0,'Libro Diario'!D128,0))=FALSE,'Libro Diario'!D128,0)</f>
        <v>0</v>
      </c>
      <c r="D1662" s="145">
        <f>+'Libro Diario'!E128</f>
        <v>0</v>
      </c>
      <c r="E1662" s="139" t="s">
        <v>446</v>
      </c>
      <c r="F1662" t="str">
        <f t="shared" si="75"/>
        <v>Sin Mov.</v>
      </c>
      <c r="G1662" t="str">
        <f>IF(+'Libro Diario'!H128=0,"",+'Libro Diario'!H128)</f>
        <v>Operaciones del Ejercicio</v>
      </c>
      <c r="H1662" t="str">
        <f>IF(+'Libro Diario'!I128=0,"",+'Libro Diario'!I128)</f>
        <v/>
      </c>
      <c r="I1662" t="str">
        <f>+IF(Table3[[#This Row],[Tipo Movimiento]]="Estructura Balance y PyG","Excluir","Incluir")</f>
        <v>Incluir</v>
      </c>
      <c r="J1662" s="153">
        <f>+IF(Table3[[#This Row],[Sin cuenta]]="Con Mov.",(IF(Table3[[#This Row],[Movimiento]]="Debe",Table3[[#This Row],[Importe]],IF(Table3[[#This Row],[Movimiento]]="Haber",Table3[[#This Row],[Importe]]*-1,0))),0)</f>
        <v>0</v>
      </c>
      <c r="K1662" s="145" t="str">
        <f t="shared" si="76"/>
        <v/>
      </c>
      <c r="L1662" s="145">
        <f t="shared" si="77"/>
        <v>0</v>
      </c>
      <c r="M1662" t="str">
        <f>_xlfn.XLOOKUP(Table3[[#This Row],[Cuenta]],Estructura_Balance[Nombre Cuenta ()],Estructura_Balance[Grupo],"",0)</f>
        <v/>
      </c>
      <c r="N1662" t="str">
        <f>_xlfn.XLOOKUP(Table3[[#This Row],[Cuenta]],Estructura_Balance[Nombre Cuenta ()],Estructura_Balance[Nivel 1],"",0)</f>
        <v/>
      </c>
      <c r="O1662" t="str">
        <f>_xlfn.XLOOKUP(Table3[[#This Row],[Cuenta]],Estructura_Balance[Nombre Cuenta ()],Estructura_Balance[Nivel 2],"",0)</f>
        <v/>
      </c>
      <c r="P1662" t="str">
        <f>_xlfn.XLOOKUP(Table3[[#This Row],[Cuenta]],Estructura_Balance[Nombre Cuenta ()],Estructura_Balance[Nivel 3],"",0)</f>
        <v/>
      </c>
      <c r="Q1662" t="str">
        <f>_xlfn.XLOOKUP(Table3[[#This Row],[Cuenta]],Estructura_Balance[Nombre Cuenta ()],Estructura_Balance[Nivel 4],"",0)</f>
        <v/>
      </c>
      <c r="R1662" t="str">
        <f>_xlfn.XLOOKUP(Table3[[#This Row],[Cuenta]],Table8[Nombre Cuenta ()],Table8[Nivel 1],"",0)</f>
        <v/>
      </c>
      <c r="S1662" t="str">
        <f>_xlfn.XLOOKUP(Table3[[#This Row],[Cuenta]],Table8[Nombre Cuenta ()],Table8[Nivel 2],"",0)</f>
        <v/>
      </c>
      <c r="T1662" t="str">
        <f>_xlfn.XLOOKUP(Table3[[#This Row],[Cuenta]],Table8[Nombre Cuenta ()],Table8[Nivel 3],"",0)</f>
        <v/>
      </c>
      <c r="U1662">
        <v>1454</v>
      </c>
      <c r="V1662" t="str">
        <f>_xlfn.XLOOKUP(Table3[[#This Row],[Cuenta]],Estructura_Balance[Nombre Cuenta ()],Estructura_Balance[Niveles:2],"",0)</f>
        <v/>
      </c>
      <c r="W1662" t="str">
        <f>_xlfn.XLOOKUP(Table3[[#This Row],[Cuenta]],Estructura_Balance[Nombre Cuenta ()],Estructura_Balance[Niveles:3],"",0)</f>
        <v/>
      </c>
      <c r="X1662" t="str">
        <f>_xlfn.XLOOKUP(Table3[[#This Row],[Cuenta]],Estructura_Balance[Nombre Cuenta ()],Estructura_Balance[Grupos],"Grupo 1",0)</f>
        <v>Grupo 1</v>
      </c>
      <c r="Y1662" t="str">
        <f>+Table3[[#This Row],[BS_Nivel_1]]</f>
        <v/>
      </c>
    </row>
    <row r="1663" spans="1:25" ht="15" customHeight="1">
      <c r="A1663">
        <f>+'Libro Diario'!F134</f>
        <v>9</v>
      </c>
      <c r="B1663" s="144">
        <f>VALUE(IF(+'Libro Diario'!G134="","01/01/2025",+'Libro Diario'!G134))</f>
        <v>45713</v>
      </c>
      <c r="C1663">
        <f>IF(ISNUMBER(+IF(IFERROR(VALUE(MID('Libro Diario'!C134,1,4)),0)&lt;&gt;0,'Libro Diario'!C134,0))=FALSE,'Libro Diario'!C134,0)</f>
        <v>0</v>
      </c>
      <c r="D1663" s="145">
        <f>+'Libro Diario'!B134</f>
        <v>0</v>
      </c>
      <c r="E1663" s="139" t="s">
        <v>445</v>
      </c>
      <c r="F1663" t="str">
        <f t="shared" si="75"/>
        <v>Sin Mov.</v>
      </c>
      <c r="G1663" t="str">
        <f>IF(+'Libro Diario'!H134=0,"",+'Libro Diario'!H134)</f>
        <v>Operaciones del Ejercicio</v>
      </c>
      <c r="H1663" t="str">
        <f>IF(+'Libro Diario'!I134=0,"",+'Libro Diario'!I134)</f>
        <v/>
      </c>
      <c r="I1663" t="str">
        <f>+IF(Table3[[#This Row],[Tipo Movimiento]]="Estructura Balance y PyG","Excluir","Incluir")</f>
        <v>Incluir</v>
      </c>
      <c r="J1663" s="153">
        <f>+IF(Table3[[#This Row],[Sin cuenta]]="Con Mov.",(IF(Table3[[#This Row],[Movimiento]]="Debe",Table3[[#This Row],[Importe]],IF(Table3[[#This Row],[Movimiento]]="Haber",Table3[[#This Row],[Importe]]*-1,0))),0)</f>
        <v>0</v>
      </c>
      <c r="K1663" s="145">
        <f t="shared" si="76"/>
        <v>0</v>
      </c>
      <c r="L1663" s="145" t="str">
        <f t="shared" si="77"/>
        <v/>
      </c>
      <c r="M1663" t="str">
        <f>_xlfn.XLOOKUP(Table3[[#This Row],[Cuenta]],Estructura_Balance[Nombre Cuenta ()],Estructura_Balance[Grupo],"",0)</f>
        <v/>
      </c>
      <c r="N1663" t="str">
        <f>_xlfn.XLOOKUP(Table3[[#This Row],[Cuenta]],Estructura_Balance[Nombre Cuenta ()],Estructura_Balance[Nivel 1],"",0)</f>
        <v/>
      </c>
      <c r="O1663" t="str">
        <f>_xlfn.XLOOKUP(Table3[[#This Row],[Cuenta]],Estructura_Balance[Nombre Cuenta ()],Estructura_Balance[Nivel 2],"",0)</f>
        <v/>
      </c>
      <c r="P1663" t="str">
        <f>_xlfn.XLOOKUP(Table3[[#This Row],[Cuenta]],Estructura_Balance[Nombre Cuenta ()],Estructura_Balance[Nivel 3],"",0)</f>
        <v/>
      </c>
      <c r="Q1663" t="str">
        <f>_xlfn.XLOOKUP(Table3[[#This Row],[Cuenta]],Estructura_Balance[Nombre Cuenta ()],Estructura_Balance[Nivel 4],"",0)</f>
        <v/>
      </c>
      <c r="R1663" t="str">
        <f>_xlfn.XLOOKUP(Table3[[#This Row],[Cuenta]],Table8[Nombre Cuenta ()],Table8[Nivel 1],"",0)</f>
        <v/>
      </c>
      <c r="S1663" t="str">
        <f>_xlfn.XLOOKUP(Table3[[#This Row],[Cuenta]],Table8[Nombre Cuenta ()],Table8[Nivel 2],"",0)</f>
        <v/>
      </c>
      <c r="T1663" t="str">
        <f>_xlfn.XLOOKUP(Table3[[#This Row],[Cuenta]],Table8[Nombre Cuenta ()],Table8[Nivel 3],"",0)</f>
        <v/>
      </c>
      <c r="U1663">
        <v>173</v>
      </c>
      <c r="V1663" t="str">
        <f>_xlfn.XLOOKUP(Table3[[#This Row],[Cuenta]],Estructura_Balance[Nombre Cuenta ()],Estructura_Balance[Niveles:2],"",0)</f>
        <v/>
      </c>
      <c r="W1663" t="str">
        <f>_xlfn.XLOOKUP(Table3[[#This Row],[Cuenta]],Estructura_Balance[Nombre Cuenta ()],Estructura_Balance[Niveles:3],"",0)</f>
        <v/>
      </c>
      <c r="X1663" t="str">
        <f>_xlfn.XLOOKUP(Table3[[#This Row],[Cuenta]],Estructura_Balance[Nombre Cuenta ()],Estructura_Balance[Grupos],"Grupo 1",0)</f>
        <v>Grupo 1</v>
      </c>
      <c r="Y1663" t="str">
        <f>+Table3[[#This Row],[BS_Nivel_1]]</f>
        <v/>
      </c>
    </row>
    <row r="1664" spans="1:25" ht="15" customHeight="1">
      <c r="A1664">
        <f>+'Libro Diario'!F135</f>
        <v>9</v>
      </c>
      <c r="B1664" s="144">
        <f>VALUE(IF(+'Libro Diario'!G135="","01/01/2025",+'Libro Diario'!G135))</f>
        <v>45713</v>
      </c>
      <c r="C1664">
        <f>IF(ISNUMBER(+IF(IFERROR(VALUE(MID('Libro Diario'!C135,1,4)),0)&lt;&gt;0,'Libro Diario'!C135,0))=FALSE,'Libro Diario'!C135,0)</f>
        <v>0</v>
      </c>
      <c r="D1664" s="145">
        <f>+'Libro Diario'!B135</f>
        <v>0</v>
      </c>
      <c r="E1664" s="139" t="s">
        <v>445</v>
      </c>
      <c r="F1664" t="str">
        <f t="shared" si="75"/>
        <v>Sin Mov.</v>
      </c>
      <c r="G1664" t="str">
        <f>IF(+'Libro Diario'!H135=0,"",+'Libro Diario'!H135)</f>
        <v>Operaciones del Ejercicio</v>
      </c>
      <c r="H1664" t="str">
        <f>IF(+'Libro Diario'!I135=0,"",+'Libro Diario'!I135)</f>
        <v/>
      </c>
      <c r="I1664" t="str">
        <f>+IF(Table3[[#This Row],[Tipo Movimiento]]="Estructura Balance y PyG","Excluir","Incluir")</f>
        <v>Incluir</v>
      </c>
      <c r="J1664" s="153">
        <f>+IF(Table3[[#This Row],[Sin cuenta]]="Con Mov.",(IF(Table3[[#This Row],[Movimiento]]="Debe",Table3[[#This Row],[Importe]],IF(Table3[[#This Row],[Movimiento]]="Haber",Table3[[#This Row],[Importe]]*-1,0))),0)</f>
        <v>0</v>
      </c>
      <c r="K1664" s="145">
        <f t="shared" si="76"/>
        <v>0</v>
      </c>
      <c r="L1664" s="145" t="str">
        <f t="shared" si="77"/>
        <v/>
      </c>
      <c r="M1664" t="str">
        <f>_xlfn.XLOOKUP(Table3[[#This Row],[Cuenta]],Estructura_Balance[Nombre Cuenta ()],Estructura_Balance[Grupo],"",0)</f>
        <v/>
      </c>
      <c r="N1664" t="str">
        <f>_xlfn.XLOOKUP(Table3[[#This Row],[Cuenta]],Estructura_Balance[Nombre Cuenta ()],Estructura_Balance[Nivel 1],"",0)</f>
        <v/>
      </c>
      <c r="O1664" t="str">
        <f>_xlfn.XLOOKUP(Table3[[#This Row],[Cuenta]],Estructura_Balance[Nombre Cuenta ()],Estructura_Balance[Nivel 2],"",0)</f>
        <v/>
      </c>
      <c r="P1664" t="str">
        <f>_xlfn.XLOOKUP(Table3[[#This Row],[Cuenta]],Estructura_Balance[Nombre Cuenta ()],Estructura_Balance[Nivel 3],"",0)</f>
        <v/>
      </c>
      <c r="Q1664" t="str">
        <f>_xlfn.XLOOKUP(Table3[[#This Row],[Cuenta]],Estructura_Balance[Nombre Cuenta ()],Estructura_Balance[Nivel 4],"",0)</f>
        <v/>
      </c>
      <c r="R1664" t="str">
        <f>_xlfn.XLOOKUP(Table3[[#This Row],[Cuenta]],Table8[Nombre Cuenta ()],Table8[Nivel 1],"",0)</f>
        <v/>
      </c>
      <c r="S1664" t="str">
        <f>_xlfn.XLOOKUP(Table3[[#This Row],[Cuenta]],Table8[Nombre Cuenta ()],Table8[Nivel 2],"",0)</f>
        <v/>
      </c>
      <c r="T1664" t="str">
        <f>_xlfn.XLOOKUP(Table3[[#This Row],[Cuenta]],Table8[Nombre Cuenta ()],Table8[Nivel 3],"",0)</f>
        <v/>
      </c>
      <c r="U1664">
        <v>174</v>
      </c>
      <c r="V1664" t="str">
        <f>_xlfn.XLOOKUP(Table3[[#This Row],[Cuenta]],Estructura_Balance[Nombre Cuenta ()],Estructura_Balance[Niveles:2],"",0)</f>
        <v/>
      </c>
      <c r="W1664" t="str">
        <f>_xlfn.XLOOKUP(Table3[[#This Row],[Cuenta]],Estructura_Balance[Nombre Cuenta ()],Estructura_Balance[Niveles:3],"",0)</f>
        <v/>
      </c>
      <c r="X1664" t="str">
        <f>_xlfn.XLOOKUP(Table3[[#This Row],[Cuenta]],Estructura_Balance[Nombre Cuenta ()],Estructura_Balance[Grupos],"Grupo 1",0)</f>
        <v>Grupo 1</v>
      </c>
      <c r="Y1664" t="str">
        <f>+Table3[[#This Row],[BS_Nivel_1]]</f>
        <v/>
      </c>
    </row>
    <row r="1665" spans="1:25" ht="15" customHeight="1">
      <c r="A1665">
        <f>+'Libro Diario'!F134</f>
        <v>9</v>
      </c>
      <c r="B1665" s="144">
        <f>VALUE(IF(+'Libro Diario'!G134="","01/01/2025",+'Libro Diario'!G134))</f>
        <v>45713</v>
      </c>
      <c r="C1665">
        <f>IF(ISNUMBER(+IF(IFERROR(VALUE(MID('Libro Diario'!D134,1,4)),0)&lt;&gt;0,'Libro Diario'!D134,0))=FALSE,'Libro Diario'!D134,0)</f>
        <v>0</v>
      </c>
      <c r="D1665" s="145">
        <f>+'Libro Diario'!E134</f>
        <v>0</v>
      </c>
      <c r="E1665" s="139" t="s">
        <v>446</v>
      </c>
      <c r="F1665" t="str">
        <f t="shared" si="75"/>
        <v>Sin Mov.</v>
      </c>
      <c r="G1665" t="str">
        <f>IF(+'Libro Diario'!H134=0,"",+'Libro Diario'!H134)</f>
        <v>Operaciones del Ejercicio</v>
      </c>
      <c r="H1665" t="str">
        <f>IF(+'Libro Diario'!I134=0,"",+'Libro Diario'!I134)</f>
        <v/>
      </c>
      <c r="I1665" t="str">
        <f>+IF(Table3[[#This Row],[Tipo Movimiento]]="Estructura Balance y PyG","Excluir","Incluir")</f>
        <v>Incluir</v>
      </c>
      <c r="J1665" s="153">
        <f>+IF(Table3[[#This Row],[Sin cuenta]]="Con Mov.",(IF(Table3[[#This Row],[Movimiento]]="Debe",Table3[[#This Row],[Importe]],IF(Table3[[#This Row],[Movimiento]]="Haber",Table3[[#This Row],[Importe]]*-1,0))),0)</f>
        <v>0</v>
      </c>
      <c r="K1665" s="145" t="str">
        <f t="shared" si="76"/>
        <v/>
      </c>
      <c r="L1665" s="145">
        <f t="shared" si="77"/>
        <v>0</v>
      </c>
      <c r="M1665" t="str">
        <f>_xlfn.XLOOKUP(Table3[[#This Row],[Cuenta]],Estructura_Balance[Nombre Cuenta ()],Estructura_Balance[Grupo],"",0)</f>
        <v/>
      </c>
      <c r="N1665" t="str">
        <f>_xlfn.XLOOKUP(Table3[[#This Row],[Cuenta]],Estructura_Balance[Nombre Cuenta ()],Estructura_Balance[Nivel 1],"",0)</f>
        <v/>
      </c>
      <c r="O1665" t="str">
        <f>_xlfn.XLOOKUP(Table3[[#This Row],[Cuenta]],Estructura_Balance[Nombre Cuenta ()],Estructura_Balance[Nivel 2],"",0)</f>
        <v/>
      </c>
      <c r="P1665" t="str">
        <f>_xlfn.XLOOKUP(Table3[[#This Row],[Cuenta]],Estructura_Balance[Nombre Cuenta ()],Estructura_Balance[Nivel 3],"",0)</f>
        <v/>
      </c>
      <c r="Q1665" t="str">
        <f>_xlfn.XLOOKUP(Table3[[#This Row],[Cuenta]],Estructura_Balance[Nombre Cuenta ()],Estructura_Balance[Nivel 4],"",0)</f>
        <v/>
      </c>
      <c r="R1665" t="str">
        <f>_xlfn.XLOOKUP(Table3[[#This Row],[Cuenta]],Table8[Nombre Cuenta ()],Table8[Nivel 1],"",0)</f>
        <v/>
      </c>
      <c r="S1665" t="str">
        <f>_xlfn.XLOOKUP(Table3[[#This Row],[Cuenta]],Table8[Nombre Cuenta ()],Table8[Nivel 2],"",0)</f>
        <v/>
      </c>
      <c r="T1665" t="str">
        <f>_xlfn.XLOOKUP(Table3[[#This Row],[Cuenta]],Table8[Nombre Cuenta ()],Table8[Nivel 3],"",0)</f>
        <v/>
      </c>
      <c r="U1665">
        <v>1462</v>
      </c>
      <c r="V1665" t="str">
        <f>_xlfn.XLOOKUP(Table3[[#This Row],[Cuenta]],Estructura_Balance[Nombre Cuenta ()],Estructura_Balance[Niveles:2],"",0)</f>
        <v/>
      </c>
      <c r="W1665" t="str">
        <f>_xlfn.XLOOKUP(Table3[[#This Row],[Cuenta]],Estructura_Balance[Nombre Cuenta ()],Estructura_Balance[Niveles:3],"",0)</f>
        <v/>
      </c>
      <c r="X1665" t="str">
        <f>_xlfn.XLOOKUP(Table3[[#This Row],[Cuenta]],Estructura_Balance[Nombre Cuenta ()],Estructura_Balance[Grupos],"Grupo 1",0)</f>
        <v>Grupo 1</v>
      </c>
      <c r="Y1665" t="str">
        <f>+Table3[[#This Row],[BS_Nivel_1]]</f>
        <v/>
      </c>
    </row>
    <row r="1666" spans="1:25" ht="15" customHeight="1">
      <c r="A1666">
        <f>+'Libro Diario'!F135</f>
        <v>9</v>
      </c>
      <c r="B1666" s="144">
        <f>VALUE(IF(+'Libro Diario'!G135="","01/01/2025",+'Libro Diario'!G135))</f>
        <v>45713</v>
      </c>
      <c r="C1666">
        <f>IF(ISNUMBER(+IF(IFERROR(VALUE(MID('Libro Diario'!D135,1,4)),0)&lt;&gt;0,'Libro Diario'!D135,0))=FALSE,'Libro Diario'!D135,0)</f>
        <v>0</v>
      </c>
      <c r="D1666" s="145">
        <f>+'Libro Diario'!E135</f>
        <v>0</v>
      </c>
      <c r="E1666" s="139" t="s">
        <v>446</v>
      </c>
      <c r="F1666" t="str">
        <f t="shared" si="75"/>
        <v>Sin Mov.</v>
      </c>
      <c r="G1666" t="str">
        <f>IF(+'Libro Diario'!H135=0,"",+'Libro Diario'!H135)</f>
        <v>Operaciones del Ejercicio</v>
      </c>
      <c r="H1666" t="str">
        <f>IF(+'Libro Diario'!I135=0,"",+'Libro Diario'!I135)</f>
        <v/>
      </c>
      <c r="I1666" t="str">
        <f>+IF(Table3[[#This Row],[Tipo Movimiento]]="Estructura Balance y PyG","Excluir","Incluir")</f>
        <v>Incluir</v>
      </c>
      <c r="J1666" s="153">
        <f>+IF(Table3[[#This Row],[Sin cuenta]]="Con Mov.",(IF(Table3[[#This Row],[Movimiento]]="Debe",Table3[[#This Row],[Importe]],IF(Table3[[#This Row],[Movimiento]]="Haber",Table3[[#This Row],[Importe]]*-1,0))),0)</f>
        <v>0</v>
      </c>
      <c r="K1666" s="145" t="str">
        <f t="shared" si="76"/>
        <v/>
      </c>
      <c r="L1666" s="145">
        <f t="shared" si="77"/>
        <v>0</v>
      </c>
      <c r="M1666" t="str">
        <f>_xlfn.XLOOKUP(Table3[[#This Row],[Cuenta]],Estructura_Balance[Nombre Cuenta ()],Estructura_Balance[Grupo],"",0)</f>
        <v/>
      </c>
      <c r="N1666" t="str">
        <f>_xlfn.XLOOKUP(Table3[[#This Row],[Cuenta]],Estructura_Balance[Nombre Cuenta ()],Estructura_Balance[Nivel 1],"",0)</f>
        <v/>
      </c>
      <c r="O1666" t="str">
        <f>_xlfn.XLOOKUP(Table3[[#This Row],[Cuenta]],Estructura_Balance[Nombre Cuenta ()],Estructura_Balance[Nivel 2],"",0)</f>
        <v/>
      </c>
      <c r="P1666" t="str">
        <f>_xlfn.XLOOKUP(Table3[[#This Row],[Cuenta]],Estructura_Balance[Nombre Cuenta ()],Estructura_Balance[Nivel 3],"",0)</f>
        <v/>
      </c>
      <c r="Q1666" t="str">
        <f>_xlfn.XLOOKUP(Table3[[#This Row],[Cuenta]],Estructura_Balance[Nombre Cuenta ()],Estructura_Balance[Nivel 4],"",0)</f>
        <v/>
      </c>
      <c r="R1666" t="str">
        <f>_xlfn.XLOOKUP(Table3[[#This Row],[Cuenta]],Table8[Nombre Cuenta ()],Table8[Nivel 1],"",0)</f>
        <v/>
      </c>
      <c r="S1666" t="str">
        <f>_xlfn.XLOOKUP(Table3[[#This Row],[Cuenta]],Table8[Nombre Cuenta ()],Table8[Nivel 2],"",0)</f>
        <v/>
      </c>
      <c r="T1666" t="str">
        <f>_xlfn.XLOOKUP(Table3[[#This Row],[Cuenta]],Table8[Nombre Cuenta ()],Table8[Nivel 3],"",0)</f>
        <v/>
      </c>
      <c r="U1666">
        <v>1465</v>
      </c>
      <c r="V1666" t="str">
        <f>_xlfn.XLOOKUP(Table3[[#This Row],[Cuenta]],Estructura_Balance[Nombre Cuenta ()],Estructura_Balance[Niveles:2],"",0)</f>
        <v/>
      </c>
      <c r="W1666" t="str">
        <f>_xlfn.XLOOKUP(Table3[[#This Row],[Cuenta]],Estructura_Balance[Nombre Cuenta ()],Estructura_Balance[Niveles:3],"",0)</f>
        <v/>
      </c>
      <c r="X1666" t="str">
        <f>_xlfn.XLOOKUP(Table3[[#This Row],[Cuenta]],Estructura_Balance[Nombre Cuenta ()],Estructura_Balance[Grupos],"Grupo 1",0)</f>
        <v>Grupo 1</v>
      </c>
      <c r="Y1666" t="str">
        <f>+Table3[[#This Row],[BS_Nivel_1]]</f>
        <v/>
      </c>
    </row>
    <row r="1667" spans="1:25" ht="15" customHeight="1">
      <c r="A1667">
        <f>+'Libro Diario'!F141</f>
        <v>10</v>
      </c>
      <c r="B1667" s="144">
        <f>VALUE(IF(+'Libro Diario'!G141="","01/01/2025",+'Libro Diario'!G141))</f>
        <v>45717</v>
      </c>
      <c r="C1667">
        <f>IF(ISNUMBER(+IF(IFERROR(VALUE(MID('Libro Diario'!C141,1,4)),0)&lt;&gt;0,'Libro Diario'!C141,0))=FALSE,'Libro Diario'!C141,0)</f>
        <v>0</v>
      </c>
      <c r="D1667" s="145">
        <f>+'Libro Diario'!B141</f>
        <v>0</v>
      </c>
      <c r="E1667" s="139" t="s">
        <v>445</v>
      </c>
      <c r="F1667" t="str">
        <f t="shared" ref="F1667:F1730" si="78">+IF(C1667=0,"Sin Mov.","Con Mov.")</f>
        <v>Sin Mov.</v>
      </c>
      <c r="G1667" t="str">
        <f>IF(+'Libro Diario'!H141=0,"",+'Libro Diario'!H141)</f>
        <v>Operaciones del Ejercicio</v>
      </c>
      <c r="H1667" t="str">
        <f>IF(+'Libro Diario'!I141=0,"",+'Libro Diario'!I141)</f>
        <v/>
      </c>
      <c r="I1667" t="str">
        <f>+IF(Table3[[#This Row],[Tipo Movimiento]]="Estructura Balance y PyG","Excluir","Incluir")</f>
        <v>Incluir</v>
      </c>
      <c r="J1667" s="153">
        <f>+IF(Table3[[#This Row],[Sin cuenta]]="Con Mov.",(IF(Table3[[#This Row],[Movimiento]]="Debe",Table3[[#This Row],[Importe]],IF(Table3[[#This Row],[Movimiento]]="Haber",Table3[[#This Row],[Importe]]*-1,0))),0)</f>
        <v>0</v>
      </c>
      <c r="K1667" s="145">
        <f t="shared" ref="K1667:K1730" si="79">+IF(E1667="Debe",D1667,"")</f>
        <v>0</v>
      </c>
      <c r="L1667" s="145" t="str">
        <f t="shared" ref="L1667:L1730" si="80">+IF(E1667="Haber",D1667,"")</f>
        <v/>
      </c>
      <c r="M1667" t="str">
        <f>_xlfn.XLOOKUP(Table3[[#This Row],[Cuenta]],Estructura_Balance[Nombre Cuenta ()],Estructura_Balance[Grupo],"",0)</f>
        <v/>
      </c>
      <c r="N1667" t="str">
        <f>_xlfn.XLOOKUP(Table3[[#This Row],[Cuenta]],Estructura_Balance[Nombre Cuenta ()],Estructura_Balance[Nivel 1],"",0)</f>
        <v/>
      </c>
      <c r="O1667" t="str">
        <f>_xlfn.XLOOKUP(Table3[[#This Row],[Cuenta]],Estructura_Balance[Nombre Cuenta ()],Estructura_Balance[Nivel 2],"",0)</f>
        <v/>
      </c>
      <c r="P1667" t="str">
        <f>_xlfn.XLOOKUP(Table3[[#This Row],[Cuenta]],Estructura_Balance[Nombre Cuenta ()],Estructura_Balance[Nivel 3],"",0)</f>
        <v/>
      </c>
      <c r="Q1667" t="str">
        <f>_xlfn.XLOOKUP(Table3[[#This Row],[Cuenta]],Estructura_Balance[Nombre Cuenta ()],Estructura_Balance[Nivel 4],"",0)</f>
        <v/>
      </c>
      <c r="R1667" t="str">
        <f>_xlfn.XLOOKUP(Table3[[#This Row],[Cuenta]],Table8[Nombre Cuenta ()],Table8[Nivel 1],"",0)</f>
        <v/>
      </c>
      <c r="S1667" t="str">
        <f>_xlfn.XLOOKUP(Table3[[#This Row],[Cuenta]],Table8[Nombre Cuenta ()],Table8[Nivel 2],"",0)</f>
        <v/>
      </c>
      <c r="T1667" t="str">
        <f>_xlfn.XLOOKUP(Table3[[#This Row],[Cuenta]],Table8[Nombre Cuenta ()],Table8[Nivel 3],"",0)</f>
        <v/>
      </c>
      <c r="U1667">
        <v>182</v>
      </c>
      <c r="V1667" t="str">
        <f>_xlfn.XLOOKUP(Table3[[#This Row],[Cuenta]],Estructura_Balance[Nombre Cuenta ()],Estructura_Balance[Niveles:2],"",0)</f>
        <v/>
      </c>
      <c r="W1667" t="str">
        <f>_xlfn.XLOOKUP(Table3[[#This Row],[Cuenta]],Estructura_Balance[Nombre Cuenta ()],Estructura_Balance[Niveles:3],"",0)</f>
        <v/>
      </c>
      <c r="X1667" t="str">
        <f>_xlfn.XLOOKUP(Table3[[#This Row],[Cuenta]],Estructura_Balance[Nombre Cuenta ()],Estructura_Balance[Grupos],"Grupo 1",0)</f>
        <v>Grupo 1</v>
      </c>
      <c r="Y1667" t="str">
        <f>+Table3[[#This Row],[BS_Nivel_1]]</f>
        <v/>
      </c>
    </row>
    <row r="1668" spans="1:25" ht="15" customHeight="1">
      <c r="A1668">
        <f>+'Libro Diario'!F142</f>
        <v>10</v>
      </c>
      <c r="B1668" s="144">
        <f>VALUE(IF(+'Libro Diario'!G142="","01/01/2025",+'Libro Diario'!G142))</f>
        <v>45717</v>
      </c>
      <c r="C1668">
        <f>IF(ISNUMBER(+IF(IFERROR(VALUE(MID('Libro Diario'!C142,1,4)),0)&lt;&gt;0,'Libro Diario'!C142,0))=FALSE,'Libro Diario'!C142,0)</f>
        <v>0</v>
      </c>
      <c r="D1668" s="145">
        <f>+'Libro Diario'!B142</f>
        <v>0</v>
      </c>
      <c r="E1668" s="139" t="s">
        <v>445</v>
      </c>
      <c r="F1668" t="str">
        <f t="shared" si="78"/>
        <v>Sin Mov.</v>
      </c>
      <c r="G1668" t="str">
        <f>IF(+'Libro Diario'!H142=0,"",+'Libro Diario'!H142)</f>
        <v>Operaciones del Ejercicio</v>
      </c>
      <c r="H1668" t="str">
        <f>IF(+'Libro Diario'!I142=0,"",+'Libro Diario'!I142)</f>
        <v/>
      </c>
      <c r="I1668" t="str">
        <f>+IF(Table3[[#This Row],[Tipo Movimiento]]="Estructura Balance y PyG","Excluir","Incluir")</f>
        <v>Incluir</v>
      </c>
      <c r="J1668" s="153">
        <f>+IF(Table3[[#This Row],[Sin cuenta]]="Con Mov.",(IF(Table3[[#This Row],[Movimiento]]="Debe",Table3[[#This Row],[Importe]],IF(Table3[[#This Row],[Movimiento]]="Haber",Table3[[#This Row],[Importe]]*-1,0))),0)</f>
        <v>0</v>
      </c>
      <c r="K1668" s="145">
        <f t="shared" si="79"/>
        <v>0</v>
      </c>
      <c r="L1668" s="145" t="str">
        <f t="shared" si="80"/>
        <v/>
      </c>
      <c r="M1668" t="str">
        <f>_xlfn.XLOOKUP(Table3[[#This Row],[Cuenta]],Estructura_Balance[Nombre Cuenta ()],Estructura_Balance[Grupo],"",0)</f>
        <v/>
      </c>
      <c r="N1668" t="str">
        <f>_xlfn.XLOOKUP(Table3[[#This Row],[Cuenta]],Estructura_Balance[Nombre Cuenta ()],Estructura_Balance[Nivel 1],"",0)</f>
        <v/>
      </c>
      <c r="O1668" t="str">
        <f>_xlfn.XLOOKUP(Table3[[#This Row],[Cuenta]],Estructura_Balance[Nombre Cuenta ()],Estructura_Balance[Nivel 2],"",0)</f>
        <v/>
      </c>
      <c r="P1668" t="str">
        <f>_xlfn.XLOOKUP(Table3[[#This Row],[Cuenta]],Estructura_Balance[Nombre Cuenta ()],Estructura_Balance[Nivel 3],"",0)</f>
        <v/>
      </c>
      <c r="Q1668" t="str">
        <f>_xlfn.XLOOKUP(Table3[[#This Row],[Cuenta]],Estructura_Balance[Nombre Cuenta ()],Estructura_Balance[Nivel 4],"",0)</f>
        <v/>
      </c>
      <c r="R1668" t="str">
        <f>_xlfn.XLOOKUP(Table3[[#This Row],[Cuenta]],Table8[Nombre Cuenta ()],Table8[Nivel 1],"",0)</f>
        <v/>
      </c>
      <c r="S1668" t="str">
        <f>_xlfn.XLOOKUP(Table3[[#This Row],[Cuenta]],Table8[Nombre Cuenta ()],Table8[Nivel 2],"",0)</f>
        <v/>
      </c>
      <c r="T1668" t="str">
        <f>_xlfn.XLOOKUP(Table3[[#This Row],[Cuenta]],Table8[Nombre Cuenta ()],Table8[Nivel 3],"",0)</f>
        <v/>
      </c>
      <c r="U1668">
        <v>183</v>
      </c>
      <c r="V1668" t="str">
        <f>_xlfn.XLOOKUP(Table3[[#This Row],[Cuenta]],Estructura_Balance[Nombre Cuenta ()],Estructura_Balance[Niveles:2],"",0)</f>
        <v/>
      </c>
      <c r="W1668" t="str">
        <f>_xlfn.XLOOKUP(Table3[[#This Row],[Cuenta]],Estructura_Balance[Nombre Cuenta ()],Estructura_Balance[Niveles:3],"",0)</f>
        <v/>
      </c>
      <c r="X1668" t="str">
        <f>_xlfn.XLOOKUP(Table3[[#This Row],[Cuenta]],Estructura_Balance[Nombre Cuenta ()],Estructura_Balance[Grupos],"Grupo 1",0)</f>
        <v>Grupo 1</v>
      </c>
      <c r="Y1668" t="str">
        <f>+Table3[[#This Row],[BS_Nivel_1]]</f>
        <v/>
      </c>
    </row>
    <row r="1669" spans="1:25" ht="15" customHeight="1">
      <c r="A1669">
        <f>+'Libro Diario'!F141</f>
        <v>10</v>
      </c>
      <c r="B1669" s="144">
        <f>VALUE(IF(+'Libro Diario'!G141="","01/01/2025",+'Libro Diario'!G141))</f>
        <v>45717</v>
      </c>
      <c r="C1669">
        <f>IF(ISNUMBER(+IF(IFERROR(VALUE(MID('Libro Diario'!D141,1,4)),0)&lt;&gt;0,'Libro Diario'!D141,0))=FALSE,'Libro Diario'!D141,0)</f>
        <v>0</v>
      </c>
      <c r="D1669" s="145">
        <f>+'Libro Diario'!E141</f>
        <v>0</v>
      </c>
      <c r="E1669" s="139" t="s">
        <v>446</v>
      </c>
      <c r="F1669" t="str">
        <f t="shared" si="78"/>
        <v>Sin Mov.</v>
      </c>
      <c r="G1669" t="str">
        <f>IF(+'Libro Diario'!H141=0,"",+'Libro Diario'!H141)</f>
        <v>Operaciones del Ejercicio</v>
      </c>
      <c r="H1669" t="str">
        <f>IF(+'Libro Diario'!I141=0,"",+'Libro Diario'!I141)</f>
        <v/>
      </c>
      <c r="I1669" t="str">
        <f>+IF(Table3[[#This Row],[Tipo Movimiento]]="Estructura Balance y PyG","Excluir","Incluir")</f>
        <v>Incluir</v>
      </c>
      <c r="J1669" s="153">
        <f>+IF(Table3[[#This Row],[Sin cuenta]]="Con Mov.",(IF(Table3[[#This Row],[Movimiento]]="Debe",Table3[[#This Row],[Importe]],IF(Table3[[#This Row],[Movimiento]]="Haber",Table3[[#This Row],[Importe]]*-1,0))),0)</f>
        <v>0</v>
      </c>
      <c r="K1669" s="145" t="str">
        <f t="shared" si="79"/>
        <v/>
      </c>
      <c r="L1669" s="145">
        <f t="shared" si="80"/>
        <v>0</v>
      </c>
      <c r="M1669" t="str">
        <f>_xlfn.XLOOKUP(Table3[[#This Row],[Cuenta]],Estructura_Balance[Nombre Cuenta ()],Estructura_Balance[Grupo],"",0)</f>
        <v/>
      </c>
      <c r="N1669" t="str">
        <f>_xlfn.XLOOKUP(Table3[[#This Row],[Cuenta]],Estructura_Balance[Nombre Cuenta ()],Estructura_Balance[Nivel 1],"",0)</f>
        <v/>
      </c>
      <c r="O1669" t="str">
        <f>_xlfn.XLOOKUP(Table3[[#This Row],[Cuenta]],Estructura_Balance[Nombre Cuenta ()],Estructura_Balance[Nivel 2],"",0)</f>
        <v/>
      </c>
      <c r="P1669" t="str">
        <f>_xlfn.XLOOKUP(Table3[[#This Row],[Cuenta]],Estructura_Balance[Nombre Cuenta ()],Estructura_Balance[Nivel 3],"",0)</f>
        <v/>
      </c>
      <c r="Q1669" t="str">
        <f>_xlfn.XLOOKUP(Table3[[#This Row],[Cuenta]],Estructura_Balance[Nombre Cuenta ()],Estructura_Balance[Nivel 4],"",0)</f>
        <v/>
      </c>
      <c r="R1669" t="str">
        <f>_xlfn.XLOOKUP(Table3[[#This Row],[Cuenta]],Table8[Nombre Cuenta ()],Table8[Nivel 1],"",0)</f>
        <v/>
      </c>
      <c r="S1669" t="str">
        <f>_xlfn.XLOOKUP(Table3[[#This Row],[Cuenta]],Table8[Nombre Cuenta ()],Table8[Nivel 2],"",0)</f>
        <v/>
      </c>
      <c r="T1669" t="str">
        <f>_xlfn.XLOOKUP(Table3[[#This Row],[Cuenta]],Table8[Nombre Cuenta ()],Table8[Nivel 3],"",0)</f>
        <v/>
      </c>
      <c r="U1669">
        <v>1473</v>
      </c>
      <c r="V1669" t="str">
        <f>_xlfn.XLOOKUP(Table3[[#This Row],[Cuenta]],Estructura_Balance[Nombre Cuenta ()],Estructura_Balance[Niveles:2],"",0)</f>
        <v/>
      </c>
      <c r="W1669" t="str">
        <f>_xlfn.XLOOKUP(Table3[[#This Row],[Cuenta]],Estructura_Balance[Nombre Cuenta ()],Estructura_Balance[Niveles:3],"",0)</f>
        <v/>
      </c>
      <c r="X1669" t="str">
        <f>_xlfn.XLOOKUP(Table3[[#This Row],[Cuenta]],Estructura_Balance[Nombre Cuenta ()],Estructura_Balance[Grupos],"Grupo 1",0)</f>
        <v>Grupo 1</v>
      </c>
      <c r="Y1669" t="str">
        <f>+Table3[[#This Row],[BS_Nivel_1]]</f>
        <v/>
      </c>
    </row>
    <row r="1670" spans="1:25" ht="15" customHeight="1">
      <c r="A1670">
        <f>+'Libro Diario'!F142</f>
        <v>10</v>
      </c>
      <c r="B1670" s="144">
        <f>VALUE(IF(+'Libro Diario'!G142="","01/01/2025",+'Libro Diario'!G142))</f>
        <v>45717</v>
      </c>
      <c r="C1670">
        <f>IF(ISNUMBER(+IF(IFERROR(VALUE(MID('Libro Diario'!D142,1,4)),0)&lt;&gt;0,'Libro Diario'!D142,0))=FALSE,'Libro Diario'!D142,0)</f>
        <v>0</v>
      </c>
      <c r="D1670" s="145">
        <f>+'Libro Diario'!E142</f>
        <v>0</v>
      </c>
      <c r="E1670" s="139" t="s">
        <v>446</v>
      </c>
      <c r="F1670" t="str">
        <f t="shared" si="78"/>
        <v>Sin Mov.</v>
      </c>
      <c r="G1670" t="str">
        <f>IF(+'Libro Diario'!H142=0,"",+'Libro Diario'!H142)</f>
        <v>Operaciones del Ejercicio</v>
      </c>
      <c r="H1670" t="str">
        <f>IF(+'Libro Diario'!I142=0,"",+'Libro Diario'!I142)</f>
        <v/>
      </c>
      <c r="I1670" t="str">
        <f>+IF(Table3[[#This Row],[Tipo Movimiento]]="Estructura Balance y PyG","Excluir","Incluir")</f>
        <v>Incluir</v>
      </c>
      <c r="J1670" s="153">
        <f>+IF(Table3[[#This Row],[Sin cuenta]]="Con Mov.",(IF(Table3[[#This Row],[Movimiento]]="Debe",Table3[[#This Row],[Importe]],IF(Table3[[#This Row],[Movimiento]]="Haber",Table3[[#This Row],[Importe]]*-1,0))),0)</f>
        <v>0</v>
      </c>
      <c r="K1670" s="145" t="str">
        <f t="shared" si="79"/>
        <v/>
      </c>
      <c r="L1670" s="145">
        <f t="shared" si="80"/>
        <v>0</v>
      </c>
      <c r="M1670" t="str">
        <f>_xlfn.XLOOKUP(Table3[[#This Row],[Cuenta]],Estructura_Balance[Nombre Cuenta ()],Estructura_Balance[Grupo],"",0)</f>
        <v/>
      </c>
      <c r="N1670" t="str">
        <f>_xlfn.XLOOKUP(Table3[[#This Row],[Cuenta]],Estructura_Balance[Nombre Cuenta ()],Estructura_Balance[Nivel 1],"",0)</f>
        <v/>
      </c>
      <c r="O1670" t="str">
        <f>_xlfn.XLOOKUP(Table3[[#This Row],[Cuenta]],Estructura_Balance[Nombre Cuenta ()],Estructura_Balance[Nivel 2],"",0)</f>
        <v/>
      </c>
      <c r="P1670" t="str">
        <f>_xlfn.XLOOKUP(Table3[[#This Row],[Cuenta]],Estructura_Balance[Nombre Cuenta ()],Estructura_Balance[Nivel 3],"",0)</f>
        <v/>
      </c>
      <c r="Q1670" t="str">
        <f>_xlfn.XLOOKUP(Table3[[#This Row],[Cuenta]],Estructura_Balance[Nombre Cuenta ()],Estructura_Balance[Nivel 4],"",0)</f>
        <v/>
      </c>
      <c r="R1670" t="str">
        <f>_xlfn.XLOOKUP(Table3[[#This Row],[Cuenta]],Table8[Nombre Cuenta ()],Table8[Nivel 1],"",0)</f>
        <v/>
      </c>
      <c r="S1670" t="str">
        <f>_xlfn.XLOOKUP(Table3[[#This Row],[Cuenta]],Table8[Nombre Cuenta ()],Table8[Nivel 2],"",0)</f>
        <v/>
      </c>
      <c r="T1670" t="str">
        <f>_xlfn.XLOOKUP(Table3[[#This Row],[Cuenta]],Table8[Nombre Cuenta ()],Table8[Nivel 3],"",0)</f>
        <v/>
      </c>
      <c r="U1670">
        <v>1474</v>
      </c>
      <c r="V1670" t="str">
        <f>_xlfn.XLOOKUP(Table3[[#This Row],[Cuenta]],Estructura_Balance[Nombre Cuenta ()],Estructura_Balance[Niveles:2],"",0)</f>
        <v/>
      </c>
      <c r="W1670" t="str">
        <f>_xlfn.XLOOKUP(Table3[[#This Row],[Cuenta]],Estructura_Balance[Nombre Cuenta ()],Estructura_Balance[Niveles:3],"",0)</f>
        <v/>
      </c>
      <c r="X1670" t="str">
        <f>_xlfn.XLOOKUP(Table3[[#This Row],[Cuenta]],Estructura_Balance[Nombre Cuenta ()],Estructura_Balance[Grupos],"Grupo 1",0)</f>
        <v>Grupo 1</v>
      </c>
      <c r="Y1670" t="str">
        <f>+Table3[[#This Row],[BS_Nivel_1]]</f>
        <v/>
      </c>
    </row>
    <row r="1671" spans="1:25" ht="15" customHeight="1">
      <c r="A1671">
        <f>+'Libro Diario'!F148</f>
        <v>11</v>
      </c>
      <c r="B1671" s="144">
        <f>VALUE(IF(+'Libro Diario'!G148="","01/01/2025",+'Libro Diario'!G148))</f>
        <v>45726</v>
      </c>
      <c r="C1671">
        <f>IF(ISNUMBER(+IF(IFERROR(VALUE(MID('Libro Diario'!C148,1,4)),0)&lt;&gt;0,'Libro Diario'!C148,0))=FALSE,'Libro Diario'!C148,0)</f>
        <v>0</v>
      </c>
      <c r="D1671" s="145">
        <f>+'Libro Diario'!B148</f>
        <v>0</v>
      </c>
      <c r="E1671" s="139" t="s">
        <v>445</v>
      </c>
      <c r="F1671" t="str">
        <f t="shared" si="78"/>
        <v>Sin Mov.</v>
      </c>
      <c r="G1671" t="str">
        <f>IF(+'Libro Diario'!H148=0,"",+'Libro Diario'!H148)</f>
        <v>Operaciones del Ejercicio</v>
      </c>
      <c r="H1671" t="str">
        <f>IF(+'Libro Diario'!I148=0,"",+'Libro Diario'!I148)</f>
        <v/>
      </c>
      <c r="I1671" t="str">
        <f>+IF(Table3[[#This Row],[Tipo Movimiento]]="Estructura Balance y PyG","Excluir","Incluir")</f>
        <v>Incluir</v>
      </c>
      <c r="J1671" s="153">
        <f>+IF(Table3[[#This Row],[Sin cuenta]]="Con Mov.",(IF(Table3[[#This Row],[Movimiento]]="Debe",Table3[[#This Row],[Importe]],IF(Table3[[#This Row],[Movimiento]]="Haber",Table3[[#This Row],[Importe]]*-1,0))),0)</f>
        <v>0</v>
      </c>
      <c r="K1671" s="145">
        <f t="shared" si="79"/>
        <v>0</v>
      </c>
      <c r="L1671" s="145" t="str">
        <f t="shared" si="80"/>
        <v/>
      </c>
      <c r="M1671" t="str">
        <f>_xlfn.XLOOKUP(Table3[[#This Row],[Cuenta]],Estructura_Balance[Nombre Cuenta ()],Estructura_Balance[Grupo],"",0)</f>
        <v/>
      </c>
      <c r="N1671" t="str">
        <f>_xlfn.XLOOKUP(Table3[[#This Row],[Cuenta]],Estructura_Balance[Nombre Cuenta ()],Estructura_Balance[Nivel 1],"",0)</f>
        <v/>
      </c>
      <c r="O1671" t="str">
        <f>_xlfn.XLOOKUP(Table3[[#This Row],[Cuenta]],Estructura_Balance[Nombre Cuenta ()],Estructura_Balance[Nivel 2],"",0)</f>
        <v/>
      </c>
      <c r="P1671" t="str">
        <f>_xlfn.XLOOKUP(Table3[[#This Row],[Cuenta]],Estructura_Balance[Nombre Cuenta ()],Estructura_Balance[Nivel 3],"",0)</f>
        <v/>
      </c>
      <c r="Q1671" t="str">
        <f>_xlfn.XLOOKUP(Table3[[#This Row],[Cuenta]],Estructura_Balance[Nombre Cuenta ()],Estructura_Balance[Nivel 4],"",0)</f>
        <v/>
      </c>
      <c r="R1671" t="str">
        <f>_xlfn.XLOOKUP(Table3[[#This Row],[Cuenta]],Table8[Nombre Cuenta ()],Table8[Nivel 1],"",0)</f>
        <v/>
      </c>
      <c r="S1671" t="str">
        <f>_xlfn.XLOOKUP(Table3[[#This Row],[Cuenta]],Table8[Nombre Cuenta ()],Table8[Nivel 2],"",0)</f>
        <v/>
      </c>
      <c r="T1671" t="str">
        <f>_xlfn.XLOOKUP(Table3[[#This Row],[Cuenta]],Table8[Nombre Cuenta ()],Table8[Nivel 3],"",0)</f>
        <v/>
      </c>
      <c r="U1671">
        <v>193</v>
      </c>
      <c r="V1671" t="str">
        <f>_xlfn.XLOOKUP(Table3[[#This Row],[Cuenta]],Estructura_Balance[Nombre Cuenta ()],Estructura_Balance[Niveles:2],"",0)</f>
        <v/>
      </c>
      <c r="W1671" t="str">
        <f>_xlfn.XLOOKUP(Table3[[#This Row],[Cuenta]],Estructura_Balance[Nombre Cuenta ()],Estructura_Balance[Niveles:3],"",0)</f>
        <v/>
      </c>
      <c r="X1671" t="str">
        <f>_xlfn.XLOOKUP(Table3[[#This Row],[Cuenta]],Estructura_Balance[Nombre Cuenta ()],Estructura_Balance[Grupos],"Grupo 1",0)</f>
        <v>Grupo 1</v>
      </c>
      <c r="Y1671" t="str">
        <f>+Table3[[#This Row],[BS_Nivel_1]]</f>
        <v/>
      </c>
    </row>
    <row r="1672" spans="1:25" ht="15" customHeight="1">
      <c r="A1672">
        <f>+'Libro Diario'!F149</f>
        <v>11</v>
      </c>
      <c r="B1672" s="144">
        <f>VALUE(IF(+'Libro Diario'!G149="","01/01/2025",+'Libro Diario'!G149))</f>
        <v>45726</v>
      </c>
      <c r="C1672">
        <f>IF(ISNUMBER(+IF(IFERROR(VALUE(MID('Libro Diario'!C149,1,4)),0)&lt;&gt;0,'Libro Diario'!C149,0))=FALSE,'Libro Diario'!C149,0)</f>
        <v>0</v>
      </c>
      <c r="D1672" s="145">
        <f>+'Libro Diario'!B149</f>
        <v>0</v>
      </c>
      <c r="E1672" s="139" t="s">
        <v>445</v>
      </c>
      <c r="F1672" t="str">
        <f t="shared" si="78"/>
        <v>Sin Mov.</v>
      </c>
      <c r="G1672" t="str">
        <f>IF(+'Libro Diario'!H149=0,"",+'Libro Diario'!H149)</f>
        <v>Operaciones del Ejercicio</v>
      </c>
      <c r="H1672" t="str">
        <f>IF(+'Libro Diario'!I149=0,"",+'Libro Diario'!I149)</f>
        <v/>
      </c>
      <c r="I1672" t="str">
        <f>+IF(Table3[[#This Row],[Tipo Movimiento]]="Estructura Balance y PyG","Excluir","Incluir")</f>
        <v>Incluir</v>
      </c>
      <c r="J1672" s="153">
        <f>+IF(Table3[[#This Row],[Sin cuenta]]="Con Mov.",(IF(Table3[[#This Row],[Movimiento]]="Debe",Table3[[#This Row],[Importe]],IF(Table3[[#This Row],[Movimiento]]="Haber",Table3[[#This Row],[Importe]]*-1,0))),0)</f>
        <v>0</v>
      </c>
      <c r="K1672" s="145">
        <f t="shared" si="79"/>
        <v>0</v>
      </c>
      <c r="L1672" s="145" t="str">
        <f t="shared" si="80"/>
        <v/>
      </c>
      <c r="M1672" t="str">
        <f>_xlfn.XLOOKUP(Table3[[#This Row],[Cuenta]],Estructura_Balance[Nombre Cuenta ()],Estructura_Balance[Grupo],"",0)</f>
        <v/>
      </c>
      <c r="N1672" t="str">
        <f>_xlfn.XLOOKUP(Table3[[#This Row],[Cuenta]],Estructura_Balance[Nombre Cuenta ()],Estructura_Balance[Nivel 1],"",0)</f>
        <v/>
      </c>
      <c r="O1672" t="str">
        <f>_xlfn.XLOOKUP(Table3[[#This Row],[Cuenta]],Estructura_Balance[Nombre Cuenta ()],Estructura_Balance[Nivel 2],"",0)</f>
        <v/>
      </c>
      <c r="P1672" t="str">
        <f>_xlfn.XLOOKUP(Table3[[#This Row],[Cuenta]],Estructura_Balance[Nombre Cuenta ()],Estructura_Balance[Nivel 3],"",0)</f>
        <v/>
      </c>
      <c r="Q1672" t="str">
        <f>_xlfn.XLOOKUP(Table3[[#This Row],[Cuenta]],Estructura_Balance[Nombre Cuenta ()],Estructura_Balance[Nivel 4],"",0)</f>
        <v/>
      </c>
      <c r="R1672" t="str">
        <f>_xlfn.XLOOKUP(Table3[[#This Row],[Cuenta]],Table8[Nombre Cuenta ()],Table8[Nivel 1],"",0)</f>
        <v/>
      </c>
      <c r="S1672" t="str">
        <f>_xlfn.XLOOKUP(Table3[[#This Row],[Cuenta]],Table8[Nombre Cuenta ()],Table8[Nivel 2],"",0)</f>
        <v/>
      </c>
      <c r="T1672" t="str">
        <f>_xlfn.XLOOKUP(Table3[[#This Row],[Cuenta]],Table8[Nombre Cuenta ()],Table8[Nivel 3],"",0)</f>
        <v/>
      </c>
      <c r="U1672">
        <v>196</v>
      </c>
      <c r="V1672" t="str">
        <f>_xlfn.XLOOKUP(Table3[[#This Row],[Cuenta]],Estructura_Balance[Nombre Cuenta ()],Estructura_Balance[Niveles:2],"",0)</f>
        <v/>
      </c>
      <c r="W1672" t="str">
        <f>_xlfn.XLOOKUP(Table3[[#This Row],[Cuenta]],Estructura_Balance[Nombre Cuenta ()],Estructura_Balance[Niveles:3],"",0)</f>
        <v/>
      </c>
      <c r="X1672" t="str">
        <f>_xlfn.XLOOKUP(Table3[[#This Row],[Cuenta]],Estructura_Balance[Nombre Cuenta ()],Estructura_Balance[Grupos],"Grupo 1",0)</f>
        <v>Grupo 1</v>
      </c>
      <c r="Y1672" t="str">
        <f>+Table3[[#This Row],[BS_Nivel_1]]</f>
        <v/>
      </c>
    </row>
    <row r="1673" spans="1:25" ht="15" customHeight="1">
      <c r="A1673">
        <f>+'Libro Diario'!F148</f>
        <v>11</v>
      </c>
      <c r="B1673" s="144">
        <f>VALUE(IF(+'Libro Diario'!G148="","01/01/2025",+'Libro Diario'!G148))</f>
        <v>45726</v>
      </c>
      <c r="C1673">
        <f>IF(ISNUMBER(+IF(IFERROR(VALUE(MID('Libro Diario'!D148,1,4)),0)&lt;&gt;0,'Libro Diario'!D148,0))=FALSE,'Libro Diario'!D148,0)</f>
        <v>0</v>
      </c>
      <c r="D1673" s="145">
        <f>+'Libro Diario'!E148</f>
        <v>0</v>
      </c>
      <c r="E1673" s="139" t="s">
        <v>446</v>
      </c>
      <c r="F1673" t="str">
        <f t="shared" si="78"/>
        <v>Sin Mov.</v>
      </c>
      <c r="G1673" t="str">
        <f>IF(+'Libro Diario'!H148=0,"",+'Libro Diario'!H148)</f>
        <v>Operaciones del Ejercicio</v>
      </c>
      <c r="H1673" t="str">
        <f>IF(+'Libro Diario'!I148=0,"",+'Libro Diario'!I148)</f>
        <v/>
      </c>
      <c r="I1673" t="str">
        <f>+IF(Table3[[#This Row],[Tipo Movimiento]]="Estructura Balance y PyG","Excluir","Incluir")</f>
        <v>Incluir</v>
      </c>
      <c r="J1673" s="153">
        <f>+IF(Table3[[#This Row],[Sin cuenta]]="Con Mov.",(IF(Table3[[#This Row],[Movimiento]]="Debe",Table3[[#This Row],[Importe]],IF(Table3[[#This Row],[Movimiento]]="Haber",Table3[[#This Row],[Importe]]*-1,0))),0)</f>
        <v>0</v>
      </c>
      <c r="K1673" s="145" t="str">
        <f t="shared" si="79"/>
        <v/>
      </c>
      <c r="L1673" s="145">
        <f t="shared" si="80"/>
        <v>0</v>
      </c>
      <c r="M1673" t="str">
        <f>_xlfn.XLOOKUP(Table3[[#This Row],[Cuenta]],Estructura_Balance[Nombre Cuenta ()],Estructura_Balance[Grupo],"",0)</f>
        <v/>
      </c>
      <c r="N1673" t="str">
        <f>_xlfn.XLOOKUP(Table3[[#This Row],[Cuenta]],Estructura_Balance[Nombre Cuenta ()],Estructura_Balance[Nivel 1],"",0)</f>
        <v/>
      </c>
      <c r="O1673" t="str">
        <f>_xlfn.XLOOKUP(Table3[[#This Row],[Cuenta]],Estructura_Balance[Nombre Cuenta ()],Estructura_Balance[Nivel 2],"",0)</f>
        <v/>
      </c>
      <c r="P1673" t="str">
        <f>_xlfn.XLOOKUP(Table3[[#This Row],[Cuenta]],Estructura_Balance[Nombre Cuenta ()],Estructura_Balance[Nivel 3],"",0)</f>
        <v/>
      </c>
      <c r="Q1673" t="str">
        <f>_xlfn.XLOOKUP(Table3[[#This Row],[Cuenta]],Estructura_Balance[Nombre Cuenta ()],Estructura_Balance[Nivel 4],"",0)</f>
        <v/>
      </c>
      <c r="R1673" t="str">
        <f>_xlfn.XLOOKUP(Table3[[#This Row],[Cuenta]],Table8[Nombre Cuenta ()],Table8[Nivel 1],"",0)</f>
        <v/>
      </c>
      <c r="S1673" t="str">
        <f>_xlfn.XLOOKUP(Table3[[#This Row],[Cuenta]],Table8[Nombre Cuenta ()],Table8[Nivel 2],"",0)</f>
        <v/>
      </c>
      <c r="T1673" t="str">
        <f>_xlfn.XLOOKUP(Table3[[#This Row],[Cuenta]],Table8[Nombre Cuenta ()],Table8[Nivel 3],"",0)</f>
        <v/>
      </c>
      <c r="U1673">
        <v>1482</v>
      </c>
      <c r="V1673" t="str">
        <f>_xlfn.XLOOKUP(Table3[[#This Row],[Cuenta]],Estructura_Balance[Nombre Cuenta ()],Estructura_Balance[Niveles:2],"",0)</f>
        <v/>
      </c>
      <c r="W1673" t="str">
        <f>_xlfn.XLOOKUP(Table3[[#This Row],[Cuenta]],Estructura_Balance[Nombre Cuenta ()],Estructura_Balance[Niveles:3],"",0)</f>
        <v/>
      </c>
      <c r="X1673" t="str">
        <f>_xlfn.XLOOKUP(Table3[[#This Row],[Cuenta]],Estructura_Balance[Nombre Cuenta ()],Estructura_Balance[Grupos],"Grupo 1",0)</f>
        <v>Grupo 1</v>
      </c>
      <c r="Y1673" t="str">
        <f>+Table3[[#This Row],[BS_Nivel_1]]</f>
        <v/>
      </c>
    </row>
    <row r="1674" spans="1:25" ht="15" customHeight="1">
      <c r="A1674">
        <f>+'Libro Diario'!F149</f>
        <v>11</v>
      </c>
      <c r="B1674" s="144">
        <f>VALUE(IF(+'Libro Diario'!G149="","01/01/2025",+'Libro Diario'!G149))</f>
        <v>45726</v>
      </c>
      <c r="C1674">
        <f>IF(ISNUMBER(+IF(IFERROR(VALUE(MID('Libro Diario'!D149,1,4)),0)&lt;&gt;0,'Libro Diario'!D149,0))=FALSE,'Libro Diario'!D149,0)</f>
        <v>0</v>
      </c>
      <c r="D1674" s="145">
        <f>+'Libro Diario'!E149</f>
        <v>0</v>
      </c>
      <c r="E1674" s="139" t="s">
        <v>446</v>
      </c>
      <c r="F1674" t="str">
        <f t="shared" si="78"/>
        <v>Sin Mov.</v>
      </c>
      <c r="G1674" t="str">
        <f>IF(+'Libro Diario'!H149=0,"",+'Libro Diario'!H149)</f>
        <v>Operaciones del Ejercicio</v>
      </c>
      <c r="H1674" t="str">
        <f>IF(+'Libro Diario'!I149=0,"",+'Libro Diario'!I149)</f>
        <v/>
      </c>
      <c r="I1674" t="str">
        <f>+IF(Table3[[#This Row],[Tipo Movimiento]]="Estructura Balance y PyG","Excluir","Incluir")</f>
        <v>Incluir</v>
      </c>
      <c r="J1674" s="153">
        <f>+IF(Table3[[#This Row],[Sin cuenta]]="Con Mov.",(IF(Table3[[#This Row],[Movimiento]]="Debe",Table3[[#This Row],[Importe]],IF(Table3[[#This Row],[Movimiento]]="Haber",Table3[[#This Row],[Importe]]*-1,0))),0)</f>
        <v>0</v>
      </c>
      <c r="K1674" s="145" t="str">
        <f t="shared" si="79"/>
        <v/>
      </c>
      <c r="L1674" s="145">
        <f t="shared" si="80"/>
        <v>0</v>
      </c>
      <c r="M1674" t="str">
        <f>_xlfn.XLOOKUP(Table3[[#This Row],[Cuenta]],Estructura_Balance[Nombre Cuenta ()],Estructura_Balance[Grupo],"",0)</f>
        <v/>
      </c>
      <c r="N1674" t="str">
        <f>_xlfn.XLOOKUP(Table3[[#This Row],[Cuenta]],Estructura_Balance[Nombre Cuenta ()],Estructura_Balance[Nivel 1],"",0)</f>
        <v/>
      </c>
      <c r="O1674" t="str">
        <f>_xlfn.XLOOKUP(Table3[[#This Row],[Cuenta]],Estructura_Balance[Nombre Cuenta ()],Estructura_Balance[Nivel 2],"",0)</f>
        <v/>
      </c>
      <c r="P1674" t="str">
        <f>_xlfn.XLOOKUP(Table3[[#This Row],[Cuenta]],Estructura_Balance[Nombre Cuenta ()],Estructura_Balance[Nivel 3],"",0)</f>
        <v/>
      </c>
      <c r="Q1674" t="str">
        <f>_xlfn.XLOOKUP(Table3[[#This Row],[Cuenta]],Estructura_Balance[Nombre Cuenta ()],Estructura_Balance[Nivel 4],"",0)</f>
        <v/>
      </c>
      <c r="R1674" t="str">
        <f>_xlfn.XLOOKUP(Table3[[#This Row],[Cuenta]],Table8[Nombre Cuenta ()],Table8[Nivel 1],"",0)</f>
        <v/>
      </c>
      <c r="S1674" t="str">
        <f>_xlfn.XLOOKUP(Table3[[#This Row],[Cuenta]],Table8[Nombre Cuenta ()],Table8[Nivel 2],"",0)</f>
        <v/>
      </c>
      <c r="T1674" t="str">
        <f>_xlfn.XLOOKUP(Table3[[#This Row],[Cuenta]],Table8[Nombre Cuenta ()],Table8[Nivel 3],"",0)</f>
        <v/>
      </c>
      <c r="U1674">
        <v>1483</v>
      </c>
      <c r="V1674" t="str">
        <f>_xlfn.XLOOKUP(Table3[[#This Row],[Cuenta]],Estructura_Balance[Nombre Cuenta ()],Estructura_Balance[Niveles:2],"",0)</f>
        <v/>
      </c>
      <c r="W1674" t="str">
        <f>_xlfn.XLOOKUP(Table3[[#This Row],[Cuenta]],Estructura_Balance[Nombre Cuenta ()],Estructura_Balance[Niveles:3],"",0)</f>
        <v/>
      </c>
      <c r="X1674" t="str">
        <f>_xlfn.XLOOKUP(Table3[[#This Row],[Cuenta]],Estructura_Balance[Nombre Cuenta ()],Estructura_Balance[Grupos],"Grupo 1",0)</f>
        <v>Grupo 1</v>
      </c>
      <c r="Y1674" t="str">
        <f>+Table3[[#This Row],[BS_Nivel_1]]</f>
        <v/>
      </c>
    </row>
    <row r="1675" spans="1:25" ht="15" customHeight="1">
      <c r="A1675">
        <f>+'Libro Diario'!F155</f>
        <v>12</v>
      </c>
      <c r="B1675" s="144">
        <f>VALUE(IF(+'Libro Diario'!G155="","01/01/2025",+'Libro Diario'!G155))</f>
        <v>45727</v>
      </c>
      <c r="C1675">
        <f>IF(ISNUMBER(+IF(IFERROR(VALUE(MID('Libro Diario'!C155,1,4)),0)&lt;&gt;0,'Libro Diario'!C155,0))=FALSE,'Libro Diario'!C155,0)</f>
        <v>0</v>
      </c>
      <c r="D1675" s="145">
        <f>+'Libro Diario'!B155</f>
        <v>0</v>
      </c>
      <c r="E1675" s="139" t="s">
        <v>445</v>
      </c>
      <c r="F1675" t="str">
        <f t="shared" si="78"/>
        <v>Sin Mov.</v>
      </c>
      <c r="G1675" t="str">
        <f>IF(+'Libro Diario'!H155=0,"",+'Libro Diario'!H155)</f>
        <v>Operaciones del Ejercicio</v>
      </c>
      <c r="H1675" t="str">
        <f>IF(+'Libro Diario'!I155=0,"",+'Libro Diario'!I155)</f>
        <v/>
      </c>
      <c r="I1675" t="str">
        <f>+IF(Table3[[#This Row],[Tipo Movimiento]]="Estructura Balance y PyG","Excluir","Incluir")</f>
        <v>Incluir</v>
      </c>
      <c r="J1675" s="153">
        <f>+IF(Table3[[#This Row],[Sin cuenta]]="Con Mov.",(IF(Table3[[#This Row],[Movimiento]]="Debe",Table3[[#This Row],[Importe]],IF(Table3[[#This Row],[Movimiento]]="Haber",Table3[[#This Row],[Importe]]*-1,0))),0)</f>
        <v>0</v>
      </c>
      <c r="K1675" s="145">
        <f t="shared" si="79"/>
        <v>0</v>
      </c>
      <c r="L1675" s="145" t="str">
        <f t="shared" si="80"/>
        <v/>
      </c>
      <c r="M1675" t="str">
        <f>_xlfn.XLOOKUP(Table3[[#This Row],[Cuenta]],Estructura_Balance[Nombre Cuenta ()],Estructura_Balance[Grupo],"",0)</f>
        <v/>
      </c>
      <c r="N1675" t="str">
        <f>_xlfn.XLOOKUP(Table3[[#This Row],[Cuenta]],Estructura_Balance[Nombre Cuenta ()],Estructura_Balance[Nivel 1],"",0)</f>
        <v/>
      </c>
      <c r="O1675" t="str">
        <f>_xlfn.XLOOKUP(Table3[[#This Row],[Cuenta]],Estructura_Balance[Nombre Cuenta ()],Estructura_Balance[Nivel 2],"",0)</f>
        <v/>
      </c>
      <c r="P1675" t="str">
        <f>_xlfn.XLOOKUP(Table3[[#This Row],[Cuenta]],Estructura_Balance[Nombre Cuenta ()],Estructura_Balance[Nivel 3],"",0)</f>
        <v/>
      </c>
      <c r="Q1675" t="str">
        <f>_xlfn.XLOOKUP(Table3[[#This Row],[Cuenta]],Estructura_Balance[Nombre Cuenta ()],Estructura_Balance[Nivel 4],"",0)</f>
        <v/>
      </c>
      <c r="R1675" t="str">
        <f>_xlfn.XLOOKUP(Table3[[#This Row],[Cuenta]],Table8[Nombre Cuenta ()],Table8[Nivel 1],"",0)</f>
        <v/>
      </c>
      <c r="S1675" t="str">
        <f>_xlfn.XLOOKUP(Table3[[#This Row],[Cuenta]],Table8[Nombre Cuenta ()],Table8[Nivel 2],"",0)</f>
        <v/>
      </c>
      <c r="T1675" t="str">
        <f>_xlfn.XLOOKUP(Table3[[#This Row],[Cuenta]],Table8[Nombre Cuenta ()],Table8[Nivel 3],"",0)</f>
        <v/>
      </c>
      <c r="U1675">
        <v>204</v>
      </c>
      <c r="V1675" t="str">
        <f>_xlfn.XLOOKUP(Table3[[#This Row],[Cuenta]],Estructura_Balance[Nombre Cuenta ()],Estructura_Balance[Niveles:2],"",0)</f>
        <v/>
      </c>
      <c r="W1675" t="str">
        <f>_xlfn.XLOOKUP(Table3[[#This Row],[Cuenta]],Estructura_Balance[Nombre Cuenta ()],Estructura_Balance[Niveles:3],"",0)</f>
        <v/>
      </c>
      <c r="X1675" t="str">
        <f>_xlfn.XLOOKUP(Table3[[#This Row],[Cuenta]],Estructura_Balance[Nombre Cuenta ()],Estructura_Balance[Grupos],"Grupo 1",0)</f>
        <v>Grupo 1</v>
      </c>
      <c r="Y1675" t="str">
        <f>+Table3[[#This Row],[BS_Nivel_1]]</f>
        <v/>
      </c>
    </row>
    <row r="1676" spans="1:25" ht="15" customHeight="1">
      <c r="A1676">
        <f>+'Libro Diario'!F156</f>
        <v>12</v>
      </c>
      <c r="B1676" s="144">
        <f>VALUE(IF(+'Libro Diario'!G156="","01/01/2025",+'Libro Diario'!G156))</f>
        <v>45727</v>
      </c>
      <c r="C1676">
        <f>IF(ISNUMBER(+IF(IFERROR(VALUE(MID('Libro Diario'!C156,1,4)),0)&lt;&gt;0,'Libro Diario'!C156,0))=FALSE,'Libro Diario'!C156,0)</f>
        <v>0</v>
      </c>
      <c r="D1676" s="145">
        <f>+'Libro Diario'!B156</f>
        <v>0</v>
      </c>
      <c r="E1676" s="139" t="s">
        <v>445</v>
      </c>
      <c r="F1676" t="str">
        <f t="shared" si="78"/>
        <v>Sin Mov.</v>
      </c>
      <c r="G1676" t="str">
        <f>IF(+'Libro Diario'!H156=0,"",+'Libro Diario'!H156)</f>
        <v>Operaciones del Ejercicio</v>
      </c>
      <c r="H1676" t="str">
        <f>IF(+'Libro Diario'!I156=0,"",+'Libro Diario'!I156)</f>
        <v/>
      </c>
      <c r="I1676" t="str">
        <f>+IF(Table3[[#This Row],[Tipo Movimiento]]="Estructura Balance y PyG","Excluir","Incluir")</f>
        <v>Incluir</v>
      </c>
      <c r="J1676" s="153">
        <f>+IF(Table3[[#This Row],[Sin cuenta]]="Con Mov.",(IF(Table3[[#This Row],[Movimiento]]="Debe",Table3[[#This Row],[Importe]],IF(Table3[[#This Row],[Movimiento]]="Haber",Table3[[#This Row],[Importe]]*-1,0))),0)</f>
        <v>0</v>
      </c>
      <c r="K1676" s="145">
        <f t="shared" si="79"/>
        <v>0</v>
      </c>
      <c r="L1676" s="145" t="str">
        <f t="shared" si="80"/>
        <v/>
      </c>
      <c r="M1676" t="str">
        <f>_xlfn.XLOOKUP(Table3[[#This Row],[Cuenta]],Estructura_Balance[Nombre Cuenta ()],Estructura_Balance[Grupo],"",0)</f>
        <v/>
      </c>
      <c r="N1676" t="str">
        <f>_xlfn.XLOOKUP(Table3[[#This Row],[Cuenta]],Estructura_Balance[Nombre Cuenta ()],Estructura_Balance[Nivel 1],"",0)</f>
        <v/>
      </c>
      <c r="O1676" t="str">
        <f>_xlfn.XLOOKUP(Table3[[#This Row],[Cuenta]],Estructura_Balance[Nombre Cuenta ()],Estructura_Balance[Nivel 2],"",0)</f>
        <v/>
      </c>
      <c r="P1676" t="str">
        <f>_xlfn.XLOOKUP(Table3[[#This Row],[Cuenta]],Estructura_Balance[Nombre Cuenta ()],Estructura_Balance[Nivel 3],"",0)</f>
        <v/>
      </c>
      <c r="Q1676" t="str">
        <f>_xlfn.XLOOKUP(Table3[[#This Row],[Cuenta]],Estructura_Balance[Nombre Cuenta ()],Estructura_Balance[Nivel 4],"",0)</f>
        <v/>
      </c>
      <c r="R1676" t="str">
        <f>_xlfn.XLOOKUP(Table3[[#This Row],[Cuenta]],Table8[Nombre Cuenta ()],Table8[Nivel 1],"",0)</f>
        <v/>
      </c>
      <c r="S1676" t="str">
        <f>_xlfn.XLOOKUP(Table3[[#This Row],[Cuenta]],Table8[Nombre Cuenta ()],Table8[Nivel 2],"",0)</f>
        <v/>
      </c>
      <c r="T1676" t="str">
        <f>_xlfn.XLOOKUP(Table3[[#This Row],[Cuenta]],Table8[Nombre Cuenta ()],Table8[Nivel 3],"",0)</f>
        <v/>
      </c>
      <c r="U1676">
        <v>205</v>
      </c>
      <c r="V1676" t="str">
        <f>_xlfn.XLOOKUP(Table3[[#This Row],[Cuenta]],Estructura_Balance[Nombre Cuenta ()],Estructura_Balance[Niveles:2],"",0)</f>
        <v/>
      </c>
      <c r="W1676" t="str">
        <f>_xlfn.XLOOKUP(Table3[[#This Row],[Cuenta]],Estructura_Balance[Nombre Cuenta ()],Estructura_Balance[Niveles:3],"",0)</f>
        <v/>
      </c>
      <c r="X1676" t="str">
        <f>_xlfn.XLOOKUP(Table3[[#This Row],[Cuenta]],Estructura_Balance[Nombre Cuenta ()],Estructura_Balance[Grupos],"Grupo 1",0)</f>
        <v>Grupo 1</v>
      </c>
      <c r="Y1676" t="str">
        <f>+Table3[[#This Row],[BS_Nivel_1]]</f>
        <v/>
      </c>
    </row>
    <row r="1677" spans="1:25" ht="15" customHeight="1">
      <c r="A1677">
        <f>+'Libro Diario'!F155</f>
        <v>12</v>
      </c>
      <c r="B1677" s="144">
        <f>VALUE(IF(+'Libro Diario'!G155="","01/01/2025",+'Libro Diario'!G155))</f>
        <v>45727</v>
      </c>
      <c r="C1677">
        <f>IF(ISNUMBER(+IF(IFERROR(VALUE(MID('Libro Diario'!D155,1,4)),0)&lt;&gt;0,'Libro Diario'!D155,0))=FALSE,'Libro Diario'!D155,0)</f>
        <v>0</v>
      </c>
      <c r="D1677" s="145">
        <f>+'Libro Diario'!E155</f>
        <v>0</v>
      </c>
      <c r="E1677" s="139" t="s">
        <v>446</v>
      </c>
      <c r="F1677" t="str">
        <f t="shared" si="78"/>
        <v>Sin Mov.</v>
      </c>
      <c r="G1677" t="str">
        <f>IF(+'Libro Diario'!H155=0,"",+'Libro Diario'!H155)</f>
        <v>Operaciones del Ejercicio</v>
      </c>
      <c r="H1677" t="str">
        <f>IF(+'Libro Diario'!I155=0,"",+'Libro Diario'!I155)</f>
        <v/>
      </c>
      <c r="I1677" t="str">
        <f>+IF(Table3[[#This Row],[Tipo Movimiento]]="Estructura Balance y PyG","Excluir","Incluir")</f>
        <v>Incluir</v>
      </c>
      <c r="J1677" s="153">
        <f>+IF(Table3[[#This Row],[Sin cuenta]]="Con Mov.",(IF(Table3[[#This Row],[Movimiento]]="Debe",Table3[[#This Row],[Importe]],IF(Table3[[#This Row],[Movimiento]]="Haber",Table3[[#This Row],[Importe]]*-1,0))),0)</f>
        <v>0</v>
      </c>
      <c r="K1677" s="145" t="str">
        <f t="shared" si="79"/>
        <v/>
      </c>
      <c r="L1677" s="145">
        <f t="shared" si="80"/>
        <v>0</v>
      </c>
      <c r="M1677" t="str">
        <f>_xlfn.XLOOKUP(Table3[[#This Row],[Cuenta]],Estructura_Balance[Nombre Cuenta ()],Estructura_Balance[Grupo],"",0)</f>
        <v/>
      </c>
      <c r="N1677" t="str">
        <f>_xlfn.XLOOKUP(Table3[[#This Row],[Cuenta]],Estructura_Balance[Nombre Cuenta ()],Estructura_Balance[Nivel 1],"",0)</f>
        <v/>
      </c>
      <c r="O1677" t="str">
        <f>_xlfn.XLOOKUP(Table3[[#This Row],[Cuenta]],Estructura_Balance[Nombre Cuenta ()],Estructura_Balance[Nivel 2],"",0)</f>
        <v/>
      </c>
      <c r="P1677" t="str">
        <f>_xlfn.XLOOKUP(Table3[[#This Row],[Cuenta]],Estructura_Balance[Nombre Cuenta ()],Estructura_Balance[Nivel 3],"",0)</f>
        <v/>
      </c>
      <c r="Q1677" t="str">
        <f>_xlfn.XLOOKUP(Table3[[#This Row],[Cuenta]],Estructura_Balance[Nombre Cuenta ()],Estructura_Balance[Nivel 4],"",0)</f>
        <v/>
      </c>
      <c r="R1677" t="str">
        <f>_xlfn.XLOOKUP(Table3[[#This Row],[Cuenta]],Table8[Nombre Cuenta ()],Table8[Nivel 1],"",0)</f>
        <v/>
      </c>
      <c r="S1677" t="str">
        <f>_xlfn.XLOOKUP(Table3[[#This Row],[Cuenta]],Table8[Nombre Cuenta ()],Table8[Nivel 2],"",0)</f>
        <v/>
      </c>
      <c r="T1677" t="str">
        <f>_xlfn.XLOOKUP(Table3[[#This Row],[Cuenta]],Table8[Nombre Cuenta ()],Table8[Nivel 3],"",0)</f>
        <v/>
      </c>
      <c r="U1677">
        <v>1493</v>
      </c>
      <c r="V1677" t="str">
        <f>_xlfn.XLOOKUP(Table3[[#This Row],[Cuenta]],Estructura_Balance[Nombre Cuenta ()],Estructura_Balance[Niveles:2],"",0)</f>
        <v/>
      </c>
      <c r="W1677" t="str">
        <f>_xlfn.XLOOKUP(Table3[[#This Row],[Cuenta]],Estructura_Balance[Nombre Cuenta ()],Estructura_Balance[Niveles:3],"",0)</f>
        <v/>
      </c>
      <c r="X1677" t="str">
        <f>_xlfn.XLOOKUP(Table3[[#This Row],[Cuenta]],Estructura_Balance[Nombre Cuenta ()],Estructura_Balance[Grupos],"Grupo 1",0)</f>
        <v>Grupo 1</v>
      </c>
      <c r="Y1677" t="str">
        <f>+Table3[[#This Row],[BS_Nivel_1]]</f>
        <v/>
      </c>
    </row>
    <row r="1678" spans="1:25" ht="15" customHeight="1">
      <c r="A1678">
        <f>+'Libro Diario'!F156</f>
        <v>12</v>
      </c>
      <c r="B1678" s="144">
        <f>VALUE(IF(+'Libro Diario'!G156="","01/01/2025",+'Libro Diario'!G156))</f>
        <v>45727</v>
      </c>
      <c r="C1678">
        <f>IF(ISNUMBER(+IF(IFERROR(VALUE(MID('Libro Diario'!D156,1,4)),0)&lt;&gt;0,'Libro Diario'!D156,0))=FALSE,'Libro Diario'!D156,0)</f>
        <v>0</v>
      </c>
      <c r="D1678" s="145">
        <f>+'Libro Diario'!E156</f>
        <v>0</v>
      </c>
      <c r="E1678" s="139" t="s">
        <v>446</v>
      </c>
      <c r="F1678" t="str">
        <f t="shared" si="78"/>
        <v>Sin Mov.</v>
      </c>
      <c r="G1678" t="str">
        <f>IF(+'Libro Diario'!H156=0,"",+'Libro Diario'!H156)</f>
        <v>Operaciones del Ejercicio</v>
      </c>
      <c r="H1678" t="str">
        <f>IF(+'Libro Diario'!I156=0,"",+'Libro Diario'!I156)</f>
        <v/>
      </c>
      <c r="I1678" t="str">
        <f>+IF(Table3[[#This Row],[Tipo Movimiento]]="Estructura Balance y PyG","Excluir","Incluir")</f>
        <v>Incluir</v>
      </c>
      <c r="J1678" s="153">
        <f>+IF(Table3[[#This Row],[Sin cuenta]]="Con Mov.",(IF(Table3[[#This Row],[Movimiento]]="Debe",Table3[[#This Row],[Importe]],IF(Table3[[#This Row],[Movimiento]]="Haber",Table3[[#This Row],[Importe]]*-1,0))),0)</f>
        <v>0</v>
      </c>
      <c r="K1678" s="145" t="str">
        <f t="shared" si="79"/>
        <v/>
      </c>
      <c r="L1678" s="145">
        <f t="shared" si="80"/>
        <v>0</v>
      </c>
      <c r="M1678" t="str">
        <f>_xlfn.XLOOKUP(Table3[[#This Row],[Cuenta]],Estructura_Balance[Nombre Cuenta ()],Estructura_Balance[Grupo],"",0)</f>
        <v/>
      </c>
      <c r="N1678" t="str">
        <f>_xlfn.XLOOKUP(Table3[[#This Row],[Cuenta]],Estructura_Balance[Nombre Cuenta ()],Estructura_Balance[Nivel 1],"",0)</f>
        <v/>
      </c>
      <c r="O1678" t="str">
        <f>_xlfn.XLOOKUP(Table3[[#This Row],[Cuenta]],Estructura_Balance[Nombre Cuenta ()],Estructura_Balance[Nivel 2],"",0)</f>
        <v/>
      </c>
      <c r="P1678" t="str">
        <f>_xlfn.XLOOKUP(Table3[[#This Row],[Cuenta]],Estructura_Balance[Nombre Cuenta ()],Estructura_Balance[Nivel 3],"",0)</f>
        <v/>
      </c>
      <c r="Q1678" t="str">
        <f>_xlfn.XLOOKUP(Table3[[#This Row],[Cuenta]],Estructura_Balance[Nombre Cuenta ()],Estructura_Balance[Nivel 4],"",0)</f>
        <v/>
      </c>
      <c r="R1678" t="str">
        <f>_xlfn.XLOOKUP(Table3[[#This Row],[Cuenta]],Table8[Nombre Cuenta ()],Table8[Nivel 1],"",0)</f>
        <v/>
      </c>
      <c r="S1678" t="str">
        <f>_xlfn.XLOOKUP(Table3[[#This Row],[Cuenta]],Table8[Nombre Cuenta ()],Table8[Nivel 2],"",0)</f>
        <v/>
      </c>
      <c r="T1678" t="str">
        <f>_xlfn.XLOOKUP(Table3[[#This Row],[Cuenta]],Table8[Nombre Cuenta ()],Table8[Nivel 3],"",0)</f>
        <v/>
      </c>
      <c r="U1678">
        <v>1494</v>
      </c>
      <c r="V1678" t="str">
        <f>_xlfn.XLOOKUP(Table3[[#This Row],[Cuenta]],Estructura_Balance[Nombre Cuenta ()],Estructura_Balance[Niveles:2],"",0)</f>
        <v/>
      </c>
      <c r="W1678" t="str">
        <f>_xlfn.XLOOKUP(Table3[[#This Row],[Cuenta]],Estructura_Balance[Nombre Cuenta ()],Estructura_Balance[Niveles:3],"",0)</f>
        <v/>
      </c>
      <c r="X1678" t="str">
        <f>_xlfn.XLOOKUP(Table3[[#This Row],[Cuenta]],Estructura_Balance[Nombre Cuenta ()],Estructura_Balance[Grupos],"Grupo 1",0)</f>
        <v>Grupo 1</v>
      </c>
      <c r="Y1678" t="str">
        <f>+Table3[[#This Row],[BS_Nivel_1]]</f>
        <v/>
      </c>
    </row>
    <row r="1679" spans="1:25" ht="15" customHeight="1">
      <c r="A1679">
        <f>+'Libro Diario'!F162</f>
        <v>13</v>
      </c>
      <c r="B1679" s="144">
        <f>VALUE(IF(+'Libro Diario'!G162="","01/01/2025",+'Libro Diario'!G162))</f>
        <v>45743</v>
      </c>
      <c r="C1679">
        <f>IF(ISNUMBER(+IF(IFERROR(VALUE(MID('Libro Diario'!C162,1,4)),0)&lt;&gt;0,'Libro Diario'!C162,0))=FALSE,'Libro Diario'!C162,0)</f>
        <v>0</v>
      </c>
      <c r="D1679" s="145">
        <f>+'Libro Diario'!B162</f>
        <v>0</v>
      </c>
      <c r="E1679" s="139" t="s">
        <v>445</v>
      </c>
      <c r="F1679" t="str">
        <f t="shared" si="78"/>
        <v>Sin Mov.</v>
      </c>
      <c r="G1679" t="str">
        <f>IF(+'Libro Diario'!H162=0,"",+'Libro Diario'!H162)</f>
        <v>Operaciones del Ejercicio</v>
      </c>
      <c r="H1679" t="str">
        <f>IF(+'Libro Diario'!I162=0,"",+'Libro Diario'!I162)</f>
        <v/>
      </c>
      <c r="I1679" t="str">
        <f>+IF(Table3[[#This Row],[Tipo Movimiento]]="Estructura Balance y PyG","Excluir","Incluir")</f>
        <v>Incluir</v>
      </c>
      <c r="J1679" s="153">
        <f>+IF(Table3[[#This Row],[Sin cuenta]]="Con Mov.",(IF(Table3[[#This Row],[Movimiento]]="Debe",Table3[[#This Row],[Importe]],IF(Table3[[#This Row],[Movimiento]]="Haber",Table3[[#This Row],[Importe]]*-1,0))),0)</f>
        <v>0</v>
      </c>
      <c r="K1679" s="145">
        <f t="shared" si="79"/>
        <v>0</v>
      </c>
      <c r="L1679" s="145" t="str">
        <f t="shared" si="80"/>
        <v/>
      </c>
      <c r="M1679" t="str">
        <f>_xlfn.XLOOKUP(Table3[[#This Row],[Cuenta]],Estructura_Balance[Nombre Cuenta ()],Estructura_Balance[Grupo],"",0)</f>
        <v/>
      </c>
      <c r="N1679" t="str">
        <f>_xlfn.XLOOKUP(Table3[[#This Row],[Cuenta]],Estructura_Balance[Nombre Cuenta ()],Estructura_Balance[Nivel 1],"",0)</f>
        <v/>
      </c>
      <c r="O1679" t="str">
        <f>_xlfn.XLOOKUP(Table3[[#This Row],[Cuenta]],Estructura_Balance[Nombre Cuenta ()],Estructura_Balance[Nivel 2],"",0)</f>
        <v/>
      </c>
      <c r="P1679" t="str">
        <f>_xlfn.XLOOKUP(Table3[[#This Row],[Cuenta]],Estructura_Balance[Nombre Cuenta ()],Estructura_Balance[Nivel 3],"",0)</f>
        <v/>
      </c>
      <c r="Q1679" t="str">
        <f>_xlfn.XLOOKUP(Table3[[#This Row],[Cuenta]],Estructura_Balance[Nombre Cuenta ()],Estructura_Balance[Nivel 4],"",0)</f>
        <v/>
      </c>
      <c r="R1679" t="str">
        <f>_xlfn.XLOOKUP(Table3[[#This Row],[Cuenta]],Table8[Nombre Cuenta ()],Table8[Nivel 1],"",0)</f>
        <v/>
      </c>
      <c r="S1679" t="str">
        <f>_xlfn.XLOOKUP(Table3[[#This Row],[Cuenta]],Table8[Nombre Cuenta ()],Table8[Nivel 2],"",0)</f>
        <v/>
      </c>
      <c r="T1679" t="str">
        <f>_xlfn.XLOOKUP(Table3[[#This Row],[Cuenta]],Table8[Nombre Cuenta ()],Table8[Nivel 3],"",0)</f>
        <v/>
      </c>
      <c r="U1679">
        <v>213</v>
      </c>
      <c r="V1679" t="str">
        <f>_xlfn.XLOOKUP(Table3[[#This Row],[Cuenta]],Estructura_Balance[Nombre Cuenta ()],Estructura_Balance[Niveles:2],"",0)</f>
        <v/>
      </c>
      <c r="W1679" t="str">
        <f>_xlfn.XLOOKUP(Table3[[#This Row],[Cuenta]],Estructura_Balance[Nombre Cuenta ()],Estructura_Balance[Niveles:3],"",0)</f>
        <v/>
      </c>
      <c r="X1679" t="str">
        <f>_xlfn.XLOOKUP(Table3[[#This Row],[Cuenta]],Estructura_Balance[Nombre Cuenta ()],Estructura_Balance[Grupos],"Grupo 1",0)</f>
        <v>Grupo 1</v>
      </c>
      <c r="Y1679" t="str">
        <f>+Table3[[#This Row],[BS_Nivel_1]]</f>
        <v/>
      </c>
    </row>
    <row r="1680" spans="1:25" ht="15" customHeight="1">
      <c r="A1680">
        <f>+'Libro Diario'!F163</f>
        <v>13</v>
      </c>
      <c r="B1680" s="144">
        <f>VALUE(IF(+'Libro Diario'!G163="","01/01/2025",+'Libro Diario'!G163))</f>
        <v>45743</v>
      </c>
      <c r="C1680">
        <f>IF(ISNUMBER(+IF(IFERROR(VALUE(MID('Libro Diario'!C163,1,4)),0)&lt;&gt;0,'Libro Diario'!C163,0))=FALSE,'Libro Diario'!C163,0)</f>
        <v>0</v>
      </c>
      <c r="D1680" s="145">
        <f>+'Libro Diario'!B163</f>
        <v>0</v>
      </c>
      <c r="E1680" s="139" t="s">
        <v>445</v>
      </c>
      <c r="F1680" t="str">
        <f t="shared" si="78"/>
        <v>Sin Mov.</v>
      </c>
      <c r="G1680" t="str">
        <f>IF(+'Libro Diario'!H163=0,"",+'Libro Diario'!H163)</f>
        <v>Operaciones del Ejercicio</v>
      </c>
      <c r="H1680" t="str">
        <f>IF(+'Libro Diario'!I163=0,"",+'Libro Diario'!I163)</f>
        <v/>
      </c>
      <c r="I1680" t="str">
        <f>+IF(Table3[[#This Row],[Tipo Movimiento]]="Estructura Balance y PyG","Excluir","Incluir")</f>
        <v>Incluir</v>
      </c>
      <c r="J1680" s="153">
        <f>+IF(Table3[[#This Row],[Sin cuenta]]="Con Mov.",(IF(Table3[[#This Row],[Movimiento]]="Debe",Table3[[#This Row],[Importe]],IF(Table3[[#This Row],[Movimiento]]="Haber",Table3[[#This Row],[Importe]]*-1,0))),0)</f>
        <v>0</v>
      </c>
      <c r="K1680" s="145">
        <f t="shared" si="79"/>
        <v>0</v>
      </c>
      <c r="L1680" s="145" t="str">
        <f t="shared" si="80"/>
        <v/>
      </c>
      <c r="M1680" t="str">
        <f>_xlfn.XLOOKUP(Table3[[#This Row],[Cuenta]],Estructura_Balance[Nombre Cuenta ()],Estructura_Balance[Grupo],"",0)</f>
        <v/>
      </c>
      <c r="N1680" t="str">
        <f>_xlfn.XLOOKUP(Table3[[#This Row],[Cuenta]],Estructura_Balance[Nombre Cuenta ()],Estructura_Balance[Nivel 1],"",0)</f>
        <v/>
      </c>
      <c r="O1680" t="str">
        <f>_xlfn.XLOOKUP(Table3[[#This Row],[Cuenta]],Estructura_Balance[Nombre Cuenta ()],Estructura_Balance[Nivel 2],"",0)</f>
        <v/>
      </c>
      <c r="P1680" t="str">
        <f>_xlfn.XLOOKUP(Table3[[#This Row],[Cuenta]],Estructura_Balance[Nombre Cuenta ()],Estructura_Balance[Nivel 3],"",0)</f>
        <v/>
      </c>
      <c r="Q1680" t="str">
        <f>_xlfn.XLOOKUP(Table3[[#This Row],[Cuenta]],Estructura_Balance[Nombre Cuenta ()],Estructura_Balance[Nivel 4],"",0)</f>
        <v/>
      </c>
      <c r="R1680" t="str">
        <f>_xlfn.XLOOKUP(Table3[[#This Row],[Cuenta]],Table8[Nombre Cuenta ()],Table8[Nivel 1],"",0)</f>
        <v/>
      </c>
      <c r="S1680" t="str">
        <f>_xlfn.XLOOKUP(Table3[[#This Row],[Cuenta]],Table8[Nombre Cuenta ()],Table8[Nivel 2],"",0)</f>
        <v/>
      </c>
      <c r="T1680" t="str">
        <f>_xlfn.XLOOKUP(Table3[[#This Row],[Cuenta]],Table8[Nombre Cuenta ()],Table8[Nivel 3],"",0)</f>
        <v/>
      </c>
      <c r="U1680">
        <v>214</v>
      </c>
      <c r="V1680" t="str">
        <f>_xlfn.XLOOKUP(Table3[[#This Row],[Cuenta]],Estructura_Balance[Nombre Cuenta ()],Estructura_Balance[Niveles:2],"",0)</f>
        <v/>
      </c>
      <c r="W1680" t="str">
        <f>_xlfn.XLOOKUP(Table3[[#This Row],[Cuenta]],Estructura_Balance[Nombre Cuenta ()],Estructura_Balance[Niveles:3],"",0)</f>
        <v/>
      </c>
      <c r="X1680" t="str">
        <f>_xlfn.XLOOKUP(Table3[[#This Row],[Cuenta]],Estructura_Balance[Nombre Cuenta ()],Estructura_Balance[Grupos],"Grupo 1",0)</f>
        <v>Grupo 1</v>
      </c>
      <c r="Y1680" t="str">
        <f>+Table3[[#This Row],[BS_Nivel_1]]</f>
        <v/>
      </c>
    </row>
    <row r="1681" spans="1:25" ht="15" customHeight="1">
      <c r="A1681">
        <f>+'Libro Diario'!F164</f>
        <v>13</v>
      </c>
      <c r="B1681" s="144">
        <f>VALUE(IF(+'Libro Diario'!G164="","01/01/2025",+'Libro Diario'!G164))</f>
        <v>45743</v>
      </c>
      <c r="C1681">
        <f>IF(ISNUMBER(+IF(IFERROR(VALUE(MID('Libro Diario'!C164,1,4)),0)&lt;&gt;0,'Libro Diario'!C164,0))=FALSE,'Libro Diario'!C164,0)</f>
        <v>0</v>
      </c>
      <c r="D1681" s="145">
        <f>+'Libro Diario'!B164</f>
        <v>0</v>
      </c>
      <c r="E1681" s="139" t="s">
        <v>445</v>
      </c>
      <c r="F1681" t="str">
        <f t="shared" si="78"/>
        <v>Sin Mov.</v>
      </c>
      <c r="G1681" t="str">
        <f>IF(+'Libro Diario'!H164=0,"",+'Libro Diario'!H164)</f>
        <v>Operaciones del Ejercicio</v>
      </c>
      <c r="H1681" t="str">
        <f>IF(+'Libro Diario'!I164=0,"",+'Libro Diario'!I164)</f>
        <v/>
      </c>
      <c r="I1681" t="str">
        <f>+IF(Table3[[#This Row],[Tipo Movimiento]]="Estructura Balance y PyG","Excluir","Incluir")</f>
        <v>Incluir</v>
      </c>
      <c r="J1681" s="153">
        <f>+IF(Table3[[#This Row],[Sin cuenta]]="Con Mov.",(IF(Table3[[#This Row],[Movimiento]]="Debe",Table3[[#This Row],[Importe]],IF(Table3[[#This Row],[Movimiento]]="Haber",Table3[[#This Row],[Importe]]*-1,0))),0)</f>
        <v>0</v>
      </c>
      <c r="K1681" s="145">
        <f t="shared" si="79"/>
        <v>0</v>
      </c>
      <c r="L1681" s="145" t="str">
        <f t="shared" si="80"/>
        <v/>
      </c>
      <c r="M1681" t="str">
        <f>_xlfn.XLOOKUP(Table3[[#This Row],[Cuenta]],Estructura_Balance[Nombre Cuenta ()],Estructura_Balance[Grupo],"",0)</f>
        <v/>
      </c>
      <c r="N1681" t="str">
        <f>_xlfn.XLOOKUP(Table3[[#This Row],[Cuenta]],Estructura_Balance[Nombre Cuenta ()],Estructura_Balance[Nivel 1],"",0)</f>
        <v/>
      </c>
      <c r="O1681" t="str">
        <f>_xlfn.XLOOKUP(Table3[[#This Row],[Cuenta]],Estructura_Balance[Nombre Cuenta ()],Estructura_Balance[Nivel 2],"",0)</f>
        <v/>
      </c>
      <c r="P1681" t="str">
        <f>_xlfn.XLOOKUP(Table3[[#This Row],[Cuenta]],Estructura_Balance[Nombre Cuenta ()],Estructura_Balance[Nivel 3],"",0)</f>
        <v/>
      </c>
      <c r="Q1681" t="str">
        <f>_xlfn.XLOOKUP(Table3[[#This Row],[Cuenta]],Estructura_Balance[Nombre Cuenta ()],Estructura_Balance[Nivel 4],"",0)</f>
        <v/>
      </c>
      <c r="R1681" t="str">
        <f>_xlfn.XLOOKUP(Table3[[#This Row],[Cuenta]],Table8[Nombre Cuenta ()],Table8[Nivel 1],"",0)</f>
        <v/>
      </c>
      <c r="S1681" t="str">
        <f>_xlfn.XLOOKUP(Table3[[#This Row],[Cuenta]],Table8[Nombre Cuenta ()],Table8[Nivel 2],"",0)</f>
        <v/>
      </c>
      <c r="T1681" t="str">
        <f>_xlfn.XLOOKUP(Table3[[#This Row],[Cuenta]],Table8[Nombre Cuenta ()],Table8[Nivel 3],"",0)</f>
        <v/>
      </c>
      <c r="U1681">
        <v>217</v>
      </c>
      <c r="V1681" t="str">
        <f>_xlfn.XLOOKUP(Table3[[#This Row],[Cuenta]],Estructura_Balance[Nombre Cuenta ()],Estructura_Balance[Niveles:2],"",0)</f>
        <v/>
      </c>
      <c r="W1681" t="str">
        <f>_xlfn.XLOOKUP(Table3[[#This Row],[Cuenta]],Estructura_Balance[Nombre Cuenta ()],Estructura_Balance[Niveles:3],"",0)</f>
        <v/>
      </c>
      <c r="X1681" t="str">
        <f>_xlfn.XLOOKUP(Table3[[#This Row],[Cuenta]],Estructura_Balance[Nombre Cuenta ()],Estructura_Balance[Grupos],"Grupo 1",0)</f>
        <v>Grupo 1</v>
      </c>
      <c r="Y1681" t="str">
        <f>+Table3[[#This Row],[BS_Nivel_1]]</f>
        <v/>
      </c>
    </row>
    <row r="1682" spans="1:25" ht="15" customHeight="1">
      <c r="A1682">
        <f>+'Libro Diario'!F162</f>
        <v>13</v>
      </c>
      <c r="B1682" s="144">
        <f>VALUE(IF(+'Libro Diario'!G162="","01/01/2025",+'Libro Diario'!G162))</f>
        <v>45743</v>
      </c>
      <c r="C1682">
        <f>IF(ISNUMBER(+IF(IFERROR(VALUE(MID('Libro Diario'!D162,1,4)),0)&lt;&gt;0,'Libro Diario'!D162,0))=FALSE,'Libro Diario'!D162,0)</f>
        <v>0</v>
      </c>
      <c r="D1682" s="145">
        <f>+'Libro Diario'!E162</f>
        <v>0</v>
      </c>
      <c r="E1682" s="139" t="s">
        <v>446</v>
      </c>
      <c r="F1682" t="str">
        <f t="shared" si="78"/>
        <v>Sin Mov.</v>
      </c>
      <c r="G1682" t="str">
        <f>IF(+'Libro Diario'!H162=0,"",+'Libro Diario'!H162)</f>
        <v>Operaciones del Ejercicio</v>
      </c>
      <c r="H1682" t="str">
        <f>IF(+'Libro Diario'!I162=0,"",+'Libro Diario'!I162)</f>
        <v/>
      </c>
      <c r="I1682" t="str">
        <f>+IF(Table3[[#This Row],[Tipo Movimiento]]="Estructura Balance y PyG","Excluir","Incluir")</f>
        <v>Incluir</v>
      </c>
      <c r="J1682" s="153">
        <f>+IF(Table3[[#This Row],[Sin cuenta]]="Con Mov.",(IF(Table3[[#This Row],[Movimiento]]="Debe",Table3[[#This Row],[Importe]],IF(Table3[[#This Row],[Movimiento]]="Haber",Table3[[#This Row],[Importe]]*-1,0))),0)</f>
        <v>0</v>
      </c>
      <c r="K1682" s="145" t="str">
        <f t="shared" si="79"/>
        <v/>
      </c>
      <c r="L1682" s="145">
        <f t="shared" si="80"/>
        <v>0</v>
      </c>
      <c r="M1682" t="str">
        <f>_xlfn.XLOOKUP(Table3[[#This Row],[Cuenta]],Estructura_Balance[Nombre Cuenta ()],Estructura_Balance[Grupo],"",0)</f>
        <v/>
      </c>
      <c r="N1682" t="str">
        <f>_xlfn.XLOOKUP(Table3[[#This Row],[Cuenta]],Estructura_Balance[Nombre Cuenta ()],Estructura_Balance[Nivel 1],"",0)</f>
        <v/>
      </c>
      <c r="O1682" t="str">
        <f>_xlfn.XLOOKUP(Table3[[#This Row],[Cuenta]],Estructura_Balance[Nombre Cuenta ()],Estructura_Balance[Nivel 2],"",0)</f>
        <v/>
      </c>
      <c r="P1682" t="str">
        <f>_xlfn.XLOOKUP(Table3[[#This Row],[Cuenta]],Estructura_Balance[Nombre Cuenta ()],Estructura_Balance[Nivel 3],"",0)</f>
        <v/>
      </c>
      <c r="Q1682" t="str">
        <f>_xlfn.XLOOKUP(Table3[[#This Row],[Cuenta]],Estructura_Balance[Nombre Cuenta ()],Estructura_Balance[Nivel 4],"",0)</f>
        <v/>
      </c>
      <c r="R1682" t="str">
        <f>_xlfn.XLOOKUP(Table3[[#This Row],[Cuenta]],Table8[Nombre Cuenta ()],Table8[Nivel 1],"",0)</f>
        <v/>
      </c>
      <c r="S1682" t="str">
        <f>_xlfn.XLOOKUP(Table3[[#This Row],[Cuenta]],Table8[Nombre Cuenta ()],Table8[Nivel 2],"",0)</f>
        <v/>
      </c>
      <c r="T1682" t="str">
        <f>_xlfn.XLOOKUP(Table3[[#This Row],[Cuenta]],Table8[Nombre Cuenta ()],Table8[Nivel 3],"",0)</f>
        <v/>
      </c>
      <c r="U1682">
        <v>1516</v>
      </c>
      <c r="V1682" t="str">
        <f>_xlfn.XLOOKUP(Table3[[#This Row],[Cuenta]],Estructura_Balance[Nombre Cuenta ()],Estructura_Balance[Niveles:2],"",0)</f>
        <v/>
      </c>
      <c r="W1682" t="str">
        <f>_xlfn.XLOOKUP(Table3[[#This Row],[Cuenta]],Estructura_Balance[Nombre Cuenta ()],Estructura_Balance[Niveles:3],"",0)</f>
        <v/>
      </c>
      <c r="X1682" t="str">
        <f>_xlfn.XLOOKUP(Table3[[#This Row],[Cuenta]],Estructura_Balance[Nombre Cuenta ()],Estructura_Balance[Grupos],"Grupo 1",0)</f>
        <v>Grupo 1</v>
      </c>
      <c r="Y1682" t="str">
        <f>+Table3[[#This Row],[BS_Nivel_1]]</f>
        <v/>
      </c>
    </row>
    <row r="1683" spans="1:25" ht="15" customHeight="1">
      <c r="A1683">
        <f>+'Libro Diario'!F163</f>
        <v>13</v>
      </c>
      <c r="B1683" s="144">
        <f>VALUE(IF(+'Libro Diario'!G163="","01/01/2025",+'Libro Diario'!G163))</f>
        <v>45743</v>
      </c>
      <c r="C1683">
        <f>IF(ISNUMBER(+IF(IFERROR(VALUE(MID('Libro Diario'!D163,1,4)),0)&lt;&gt;0,'Libro Diario'!D163,0))=FALSE,'Libro Diario'!D163,0)</f>
        <v>0</v>
      </c>
      <c r="D1683" s="145">
        <f>+'Libro Diario'!E163</f>
        <v>0</v>
      </c>
      <c r="E1683" s="139" t="s">
        <v>446</v>
      </c>
      <c r="F1683" t="str">
        <f t="shared" si="78"/>
        <v>Sin Mov.</v>
      </c>
      <c r="G1683" t="str">
        <f>IF(+'Libro Diario'!H163=0,"",+'Libro Diario'!H163)</f>
        <v>Operaciones del Ejercicio</v>
      </c>
      <c r="H1683" t="str">
        <f>IF(+'Libro Diario'!I163=0,"",+'Libro Diario'!I163)</f>
        <v/>
      </c>
      <c r="I1683" t="str">
        <f>+IF(Table3[[#This Row],[Tipo Movimiento]]="Estructura Balance y PyG","Excluir","Incluir")</f>
        <v>Incluir</v>
      </c>
      <c r="J1683" s="153">
        <f>+IF(Table3[[#This Row],[Sin cuenta]]="Con Mov.",(IF(Table3[[#This Row],[Movimiento]]="Debe",Table3[[#This Row],[Importe]],IF(Table3[[#This Row],[Movimiento]]="Haber",Table3[[#This Row],[Importe]]*-1,0))),0)</f>
        <v>0</v>
      </c>
      <c r="K1683" s="145" t="str">
        <f t="shared" si="79"/>
        <v/>
      </c>
      <c r="L1683" s="145">
        <f t="shared" si="80"/>
        <v>0</v>
      </c>
      <c r="M1683" t="str">
        <f>_xlfn.XLOOKUP(Table3[[#This Row],[Cuenta]],Estructura_Balance[Nombre Cuenta ()],Estructura_Balance[Grupo],"",0)</f>
        <v/>
      </c>
      <c r="N1683" t="str">
        <f>_xlfn.XLOOKUP(Table3[[#This Row],[Cuenta]],Estructura_Balance[Nombre Cuenta ()],Estructura_Balance[Nivel 1],"",0)</f>
        <v/>
      </c>
      <c r="O1683" t="str">
        <f>_xlfn.XLOOKUP(Table3[[#This Row],[Cuenta]],Estructura_Balance[Nombre Cuenta ()],Estructura_Balance[Nivel 2],"",0)</f>
        <v/>
      </c>
      <c r="P1683" t="str">
        <f>_xlfn.XLOOKUP(Table3[[#This Row],[Cuenta]],Estructura_Balance[Nombre Cuenta ()],Estructura_Balance[Nivel 3],"",0)</f>
        <v/>
      </c>
      <c r="Q1683" t="str">
        <f>_xlfn.XLOOKUP(Table3[[#This Row],[Cuenta]],Estructura_Balance[Nombre Cuenta ()],Estructura_Balance[Nivel 4],"",0)</f>
        <v/>
      </c>
      <c r="R1683" t="str">
        <f>_xlfn.XLOOKUP(Table3[[#This Row],[Cuenta]],Table8[Nombre Cuenta ()],Table8[Nivel 1],"",0)</f>
        <v/>
      </c>
      <c r="S1683" t="str">
        <f>_xlfn.XLOOKUP(Table3[[#This Row],[Cuenta]],Table8[Nombre Cuenta ()],Table8[Nivel 2],"",0)</f>
        <v/>
      </c>
      <c r="T1683" t="str">
        <f>_xlfn.XLOOKUP(Table3[[#This Row],[Cuenta]],Table8[Nombre Cuenta ()],Table8[Nivel 3],"",0)</f>
        <v/>
      </c>
      <c r="U1683">
        <v>1517</v>
      </c>
      <c r="V1683" t="str">
        <f>_xlfn.XLOOKUP(Table3[[#This Row],[Cuenta]],Estructura_Balance[Nombre Cuenta ()],Estructura_Balance[Niveles:2],"",0)</f>
        <v/>
      </c>
      <c r="W1683" t="str">
        <f>_xlfn.XLOOKUP(Table3[[#This Row],[Cuenta]],Estructura_Balance[Nombre Cuenta ()],Estructura_Balance[Niveles:3],"",0)</f>
        <v/>
      </c>
      <c r="X1683" t="str">
        <f>_xlfn.XLOOKUP(Table3[[#This Row],[Cuenta]],Estructura_Balance[Nombre Cuenta ()],Estructura_Balance[Grupos],"Grupo 1",0)</f>
        <v>Grupo 1</v>
      </c>
      <c r="Y1683" t="str">
        <f>+Table3[[#This Row],[BS_Nivel_1]]</f>
        <v/>
      </c>
    </row>
    <row r="1684" spans="1:25" ht="15" customHeight="1">
      <c r="A1684">
        <f>+'Libro Diario'!F164</f>
        <v>13</v>
      </c>
      <c r="B1684" s="144">
        <f>VALUE(IF(+'Libro Diario'!G164="","01/01/2025",+'Libro Diario'!G164))</f>
        <v>45743</v>
      </c>
      <c r="C1684">
        <f>IF(ISNUMBER(+IF(IFERROR(VALUE(MID('Libro Diario'!D164,1,4)),0)&lt;&gt;0,'Libro Diario'!D164,0))=FALSE,'Libro Diario'!D164,0)</f>
        <v>0</v>
      </c>
      <c r="D1684" s="145">
        <f>+'Libro Diario'!E164</f>
        <v>0</v>
      </c>
      <c r="E1684" s="139" t="s">
        <v>446</v>
      </c>
      <c r="F1684" t="str">
        <f t="shared" si="78"/>
        <v>Sin Mov.</v>
      </c>
      <c r="G1684" t="str">
        <f>IF(+'Libro Diario'!H164=0,"",+'Libro Diario'!H164)</f>
        <v>Operaciones del Ejercicio</v>
      </c>
      <c r="H1684" t="str">
        <f>IF(+'Libro Diario'!I164=0,"",+'Libro Diario'!I164)</f>
        <v/>
      </c>
      <c r="I1684" t="str">
        <f>+IF(Table3[[#This Row],[Tipo Movimiento]]="Estructura Balance y PyG","Excluir","Incluir")</f>
        <v>Incluir</v>
      </c>
      <c r="J1684" s="153">
        <f>+IF(Table3[[#This Row],[Sin cuenta]]="Con Mov.",(IF(Table3[[#This Row],[Movimiento]]="Debe",Table3[[#This Row],[Importe]],IF(Table3[[#This Row],[Movimiento]]="Haber",Table3[[#This Row],[Importe]]*-1,0))),0)</f>
        <v>0</v>
      </c>
      <c r="K1684" s="145" t="str">
        <f t="shared" si="79"/>
        <v/>
      </c>
      <c r="L1684" s="145">
        <f t="shared" si="80"/>
        <v>0</v>
      </c>
      <c r="M1684" t="str">
        <f>_xlfn.XLOOKUP(Table3[[#This Row],[Cuenta]],Estructura_Balance[Nombre Cuenta ()],Estructura_Balance[Grupo],"",0)</f>
        <v/>
      </c>
      <c r="N1684" t="str">
        <f>_xlfn.XLOOKUP(Table3[[#This Row],[Cuenta]],Estructura_Balance[Nombre Cuenta ()],Estructura_Balance[Nivel 1],"",0)</f>
        <v/>
      </c>
      <c r="O1684" t="str">
        <f>_xlfn.XLOOKUP(Table3[[#This Row],[Cuenta]],Estructura_Balance[Nombre Cuenta ()],Estructura_Balance[Nivel 2],"",0)</f>
        <v/>
      </c>
      <c r="P1684" t="str">
        <f>_xlfn.XLOOKUP(Table3[[#This Row],[Cuenta]],Estructura_Balance[Nombre Cuenta ()],Estructura_Balance[Nivel 3],"",0)</f>
        <v/>
      </c>
      <c r="Q1684" t="str">
        <f>_xlfn.XLOOKUP(Table3[[#This Row],[Cuenta]],Estructura_Balance[Nombre Cuenta ()],Estructura_Balance[Nivel 4],"",0)</f>
        <v/>
      </c>
      <c r="R1684" t="str">
        <f>_xlfn.XLOOKUP(Table3[[#This Row],[Cuenta]],Table8[Nombre Cuenta ()],Table8[Nivel 1],"",0)</f>
        <v/>
      </c>
      <c r="S1684" t="str">
        <f>_xlfn.XLOOKUP(Table3[[#This Row],[Cuenta]],Table8[Nombre Cuenta ()],Table8[Nivel 2],"",0)</f>
        <v/>
      </c>
      <c r="T1684" t="str">
        <f>_xlfn.XLOOKUP(Table3[[#This Row],[Cuenta]],Table8[Nombre Cuenta ()],Table8[Nivel 3],"",0)</f>
        <v/>
      </c>
      <c r="U1684">
        <v>1518</v>
      </c>
      <c r="V1684" t="str">
        <f>_xlfn.XLOOKUP(Table3[[#This Row],[Cuenta]],Estructura_Balance[Nombre Cuenta ()],Estructura_Balance[Niveles:2],"",0)</f>
        <v/>
      </c>
      <c r="W1684" t="str">
        <f>_xlfn.XLOOKUP(Table3[[#This Row],[Cuenta]],Estructura_Balance[Nombre Cuenta ()],Estructura_Balance[Niveles:3],"",0)</f>
        <v/>
      </c>
      <c r="X1684" t="str">
        <f>_xlfn.XLOOKUP(Table3[[#This Row],[Cuenta]],Estructura_Balance[Nombre Cuenta ()],Estructura_Balance[Grupos],"Grupo 1",0)</f>
        <v>Grupo 1</v>
      </c>
      <c r="Y1684" t="str">
        <f>+Table3[[#This Row],[BS_Nivel_1]]</f>
        <v/>
      </c>
    </row>
    <row r="1685" spans="1:25" ht="15" customHeight="1">
      <c r="A1685">
        <f>+'Libro Diario'!F170</f>
        <v>14</v>
      </c>
      <c r="B1685" s="144">
        <f>VALUE(IF(+'Libro Diario'!G170="","01/01/2025",+'Libro Diario'!G170))</f>
        <v>45747</v>
      </c>
      <c r="C1685">
        <f>IF(ISNUMBER(+IF(IFERROR(VALUE(MID('Libro Diario'!C170,1,4)),0)&lt;&gt;0,'Libro Diario'!C170,0))=FALSE,'Libro Diario'!C170,0)</f>
        <v>0</v>
      </c>
      <c r="D1685" s="145">
        <f>+'Libro Diario'!B170</f>
        <v>0</v>
      </c>
      <c r="E1685" s="139" t="s">
        <v>445</v>
      </c>
      <c r="F1685" t="str">
        <f t="shared" si="78"/>
        <v>Sin Mov.</v>
      </c>
      <c r="G1685" t="str">
        <f>IF(+'Libro Diario'!H170=0,"",+'Libro Diario'!H170)</f>
        <v>Operaciones del Ejercicio</v>
      </c>
      <c r="H1685" t="str">
        <f>IF(+'Libro Diario'!I170=0,"",+'Libro Diario'!I170)</f>
        <v/>
      </c>
      <c r="I1685" t="str">
        <f>+IF(Table3[[#This Row],[Tipo Movimiento]]="Estructura Balance y PyG","Excluir","Incluir")</f>
        <v>Incluir</v>
      </c>
      <c r="J1685" s="153">
        <f>+IF(Table3[[#This Row],[Sin cuenta]]="Con Mov.",(IF(Table3[[#This Row],[Movimiento]]="Debe",Table3[[#This Row],[Importe]],IF(Table3[[#This Row],[Movimiento]]="Haber",Table3[[#This Row],[Importe]]*-1,0))),0)</f>
        <v>0</v>
      </c>
      <c r="K1685" s="145">
        <f t="shared" si="79"/>
        <v>0</v>
      </c>
      <c r="L1685" s="145" t="str">
        <f t="shared" si="80"/>
        <v/>
      </c>
      <c r="M1685" t="str">
        <f>_xlfn.XLOOKUP(Table3[[#This Row],[Cuenta]],Estructura_Balance[Nombre Cuenta ()],Estructura_Balance[Grupo],"",0)</f>
        <v/>
      </c>
      <c r="N1685" t="str">
        <f>_xlfn.XLOOKUP(Table3[[#This Row],[Cuenta]],Estructura_Balance[Nombre Cuenta ()],Estructura_Balance[Nivel 1],"",0)</f>
        <v/>
      </c>
      <c r="O1685" t="str">
        <f>_xlfn.XLOOKUP(Table3[[#This Row],[Cuenta]],Estructura_Balance[Nombre Cuenta ()],Estructura_Balance[Nivel 2],"",0)</f>
        <v/>
      </c>
      <c r="P1685" t="str">
        <f>_xlfn.XLOOKUP(Table3[[#This Row],[Cuenta]],Estructura_Balance[Nombre Cuenta ()],Estructura_Balance[Nivel 3],"",0)</f>
        <v/>
      </c>
      <c r="Q1685" t="str">
        <f>_xlfn.XLOOKUP(Table3[[#This Row],[Cuenta]],Estructura_Balance[Nombre Cuenta ()],Estructura_Balance[Nivel 4],"",0)</f>
        <v/>
      </c>
      <c r="R1685" t="str">
        <f>_xlfn.XLOOKUP(Table3[[#This Row],[Cuenta]],Table8[Nombre Cuenta ()],Table8[Nivel 1],"",0)</f>
        <v/>
      </c>
      <c r="S1685" t="str">
        <f>_xlfn.XLOOKUP(Table3[[#This Row],[Cuenta]],Table8[Nombre Cuenta ()],Table8[Nivel 2],"",0)</f>
        <v/>
      </c>
      <c r="T1685" t="str">
        <f>_xlfn.XLOOKUP(Table3[[#This Row],[Cuenta]],Table8[Nombre Cuenta ()],Table8[Nivel 3],"",0)</f>
        <v/>
      </c>
      <c r="U1685">
        <v>225</v>
      </c>
      <c r="V1685" t="str">
        <f>_xlfn.XLOOKUP(Table3[[#This Row],[Cuenta]],Estructura_Balance[Nombre Cuenta ()],Estructura_Balance[Niveles:2],"",0)</f>
        <v/>
      </c>
      <c r="W1685" t="str">
        <f>_xlfn.XLOOKUP(Table3[[#This Row],[Cuenta]],Estructura_Balance[Nombre Cuenta ()],Estructura_Balance[Niveles:3],"",0)</f>
        <v/>
      </c>
      <c r="X1685" t="str">
        <f>_xlfn.XLOOKUP(Table3[[#This Row],[Cuenta]],Estructura_Balance[Nombre Cuenta ()],Estructura_Balance[Grupos],"Grupo 1",0)</f>
        <v>Grupo 1</v>
      </c>
      <c r="Y1685" t="str">
        <f>+Table3[[#This Row],[BS_Nivel_1]]</f>
        <v/>
      </c>
    </row>
    <row r="1686" spans="1:25" ht="15" customHeight="1">
      <c r="A1686">
        <f>+'Libro Diario'!F171</f>
        <v>14</v>
      </c>
      <c r="B1686" s="144">
        <f>VALUE(IF(+'Libro Diario'!G171="","01/01/2025",+'Libro Diario'!G171))</f>
        <v>45747</v>
      </c>
      <c r="C1686">
        <f>IF(ISNUMBER(+IF(IFERROR(VALUE(MID('Libro Diario'!C171,1,4)),0)&lt;&gt;0,'Libro Diario'!C171,0))=FALSE,'Libro Diario'!C171,0)</f>
        <v>0</v>
      </c>
      <c r="D1686" s="145">
        <f>+'Libro Diario'!B171</f>
        <v>0</v>
      </c>
      <c r="E1686" s="139" t="s">
        <v>445</v>
      </c>
      <c r="F1686" t="str">
        <f t="shared" si="78"/>
        <v>Sin Mov.</v>
      </c>
      <c r="G1686" t="str">
        <f>IF(+'Libro Diario'!H171=0,"",+'Libro Diario'!H171)</f>
        <v>Operaciones del Ejercicio</v>
      </c>
      <c r="H1686" t="str">
        <f>IF(+'Libro Diario'!I171=0,"",+'Libro Diario'!I171)</f>
        <v/>
      </c>
      <c r="I1686" t="str">
        <f>+IF(Table3[[#This Row],[Tipo Movimiento]]="Estructura Balance y PyG","Excluir","Incluir")</f>
        <v>Incluir</v>
      </c>
      <c r="J1686" s="153">
        <f>+IF(Table3[[#This Row],[Sin cuenta]]="Con Mov.",(IF(Table3[[#This Row],[Movimiento]]="Debe",Table3[[#This Row],[Importe]],IF(Table3[[#This Row],[Movimiento]]="Haber",Table3[[#This Row],[Importe]]*-1,0))),0)</f>
        <v>0</v>
      </c>
      <c r="K1686" s="145">
        <f t="shared" si="79"/>
        <v>0</v>
      </c>
      <c r="L1686" s="145" t="str">
        <f t="shared" si="80"/>
        <v/>
      </c>
      <c r="M1686" t="str">
        <f>_xlfn.XLOOKUP(Table3[[#This Row],[Cuenta]],Estructura_Balance[Nombre Cuenta ()],Estructura_Balance[Grupo],"",0)</f>
        <v/>
      </c>
      <c r="N1686" t="str">
        <f>_xlfn.XLOOKUP(Table3[[#This Row],[Cuenta]],Estructura_Balance[Nombre Cuenta ()],Estructura_Balance[Nivel 1],"",0)</f>
        <v/>
      </c>
      <c r="O1686" t="str">
        <f>_xlfn.XLOOKUP(Table3[[#This Row],[Cuenta]],Estructura_Balance[Nombre Cuenta ()],Estructura_Balance[Nivel 2],"",0)</f>
        <v/>
      </c>
      <c r="P1686" t="str">
        <f>_xlfn.XLOOKUP(Table3[[#This Row],[Cuenta]],Estructura_Balance[Nombre Cuenta ()],Estructura_Balance[Nivel 3],"",0)</f>
        <v/>
      </c>
      <c r="Q1686" t="str">
        <f>_xlfn.XLOOKUP(Table3[[#This Row],[Cuenta]],Estructura_Balance[Nombre Cuenta ()],Estructura_Balance[Nivel 4],"",0)</f>
        <v/>
      </c>
      <c r="R1686" t="str">
        <f>_xlfn.XLOOKUP(Table3[[#This Row],[Cuenta]],Table8[Nombre Cuenta ()],Table8[Nivel 1],"",0)</f>
        <v/>
      </c>
      <c r="S1686" t="str">
        <f>_xlfn.XLOOKUP(Table3[[#This Row],[Cuenta]],Table8[Nombre Cuenta ()],Table8[Nivel 2],"",0)</f>
        <v/>
      </c>
      <c r="T1686" t="str">
        <f>_xlfn.XLOOKUP(Table3[[#This Row],[Cuenta]],Table8[Nombre Cuenta ()],Table8[Nivel 3],"",0)</f>
        <v/>
      </c>
      <c r="U1686">
        <v>226</v>
      </c>
      <c r="V1686" t="str">
        <f>_xlfn.XLOOKUP(Table3[[#This Row],[Cuenta]],Estructura_Balance[Nombre Cuenta ()],Estructura_Balance[Niveles:2],"",0)</f>
        <v/>
      </c>
      <c r="W1686" t="str">
        <f>_xlfn.XLOOKUP(Table3[[#This Row],[Cuenta]],Estructura_Balance[Nombre Cuenta ()],Estructura_Balance[Niveles:3],"",0)</f>
        <v/>
      </c>
      <c r="X1686" t="str">
        <f>_xlfn.XLOOKUP(Table3[[#This Row],[Cuenta]],Estructura_Balance[Nombre Cuenta ()],Estructura_Balance[Grupos],"Grupo 1",0)</f>
        <v>Grupo 1</v>
      </c>
      <c r="Y1686" t="str">
        <f>+Table3[[#This Row],[BS_Nivel_1]]</f>
        <v/>
      </c>
    </row>
    <row r="1687" spans="1:25" ht="15" customHeight="1">
      <c r="A1687">
        <f>+'Libro Diario'!F170</f>
        <v>14</v>
      </c>
      <c r="B1687" s="144">
        <f>VALUE(IF(+'Libro Diario'!G170="","01/01/2025",+'Libro Diario'!G170))</f>
        <v>45747</v>
      </c>
      <c r="C1687">
        <f>IF(ISNUMBER(+IF(IFERROR(VALUE(MID('Libro Diario'!D170,1,4)),0)&lt;&gt;0,'Libro Diario'!D170,0))=FALSE,'Libro Diario'!D170,0)</f>
        <v>0</v>
      </c>
      <c r="D1687" s="145">
        <f>+'Libro Diario'!E170</f>
        <v>0</v>
      </c>
      <c r="E1687" s="139" t="s">
        <v>446</v>
      </c>
      <c r="F1687" t="str">
        <f t="shared" si="78"/>
        <v>Sin Mov.</v>
      </c>
      <c r="G1687" t="str">
        <f>IF(+'Libro Diario'!H170=0,"",+'Libro Diario'!H170)</f>
        <v>Operaciones del Ejercicio</v>
      </c>
      <c r="H1687" t="str">
        <f>IF(+'Libro Diario'!I170=0,"",+'Libro Diario'!I170)</f>
        <v/>
      </c>
      <c r="I1687" t="str">
        <f>+IF(Table3[[#This Row],[Tipo Movimiento]]="Estructura Balance y PyG","Excluir","Incluir")</f>
        <v>Incluir</v>
      </c>
      <c r="J1687" s="153">
        <f>+IF(Table3[[#This Row],[Sin cuenta]]="Con Mov.",(IF(Table3[[#This Row],[Movimiento]]="Debe",Table3[[#This Row],[Importe]],IF(Table3[[#This Row],[Movimiento]]="Haber",Table3[[#This Row],[Importe]]*-1,0))),0)</f>
        <v>0</v>
      </c>
      <c r="K1687" s="145" t="str">
        <f t="shared" si="79"/>
        <v/>
      </c>
      <c r="L1687" s="145">
        <f t="shared" si="80"/>
        <v>0</v>
      </c>
      <c r="M1687" t="str">
        <f>_xlfn.XLOOKUP(Table3[[#This Row],[Cuenta]],Estructura_Balance[Nombre Cuenta ()],Estructura_Balance[Grupo],"",0)</f>
        <v/>
      </c>
      <c r="N1687" t="str">
        <f>_xlfn.XLOOKUP(Table3[[#This Row],[Cuenta]],Estructura_Balance[Nombre Cuenta ()],Estructura_Balance[Nivel 1],"",0)</f>
        <v/>
      </c>
      <c r="O1687" t="str">
        <f>_xlfn.XLOOKUP(Table3[[#This Row],[Cuenta]],Estructura_Balance[Nombre Cuenta ()],Estructura_Balance[Nivel 2],"",0)</f>
        <v/>
      </c>
      <c r="P1687" t="str">
        <f>_xlfn.XLOOKUP(Table3[[#This Row],[Cuenta]],Estructura_Balance[Nombre Cuenta ()],Estructura_Balance[Nivel 3],"",0)</f>
        <v/>
      </c>
      <c r="Q1687" t="str">
        <f>_xlfn.XLOOKUP(Table3[[#This Row],[Cuenta]],Estructura_Balance[Nombre Cuenta ()],Estructura_Balance[Nivel 4],"",0)</f>
        <v/>
      </c>
      <c r="R1687" t="str">
        <f>_xlfn.XLOOKUP(Table3[[#This Row],[Cuenta]],Table8[Nombre Cuenta ()],Table8[Nivel 1],"",0)</f>
        <v/>
      </c>
      <c r="S1687" t="str">
        <f>_xlfn.XLOOKUP(Table3[[#This Row],[Cuenta]],Table8[Nombre Cuenta ()],Table8[Nivel 2],"",0)</f>
        <v/>
      </c>
      <c r="T1687" t="str">
        <f>_xlfn.XLOOKUP(Table3[[#This Row],[Cuenta]],Table8[Nombre Cuenta ()],Table8[Nivel 3],"",0)</f>
        <v/>
      </c>
      <c r="U1687">
        <v>1538</v>
      </c>
      <c r="V1687" t="str">
        <f>_xlfn.XLOOKUP(Table3[[#This Row],[Cuenta]],Estructura_Balance[Nombre Cuenta ()],Estructura_Balance[Niveles:2],"",0)</f>
        <v/>
      </c>
      <c r="W1687" t="str">
        <f>_xlfn.XLOOKUP(Table3[[#This Row],[Cuenta]],Estructura_Balance[Nombre Cuenta ()],Estructura_Balance[Niveles:3],"",0)</f>
        <v/>
      </c>
      <c r="X1687" t="str">
        <f>_xlfn.XLOOKUP(Table3[[#This Row],[Cuenta]],Estructura_Balance[Nombre Cuenta ()],Estructura_Balance[Grupos],"Grupo 1",0)</f>
        <v>Grupo 1</v>
      </c>
      <c r="Y1687" t="str">
        <f>+Table3[[#This Row],[BS_Nivel_1]]</f>
        <v/>
      </c>
    </row>
    <row r="1688" spans="1:25" ht="15" customHeight="1">
      <c r="A1688">
        <f>+'Libro Diario'!F171</f>
        <v>14</v>
      </c>
      <c r="B1688" s="144">
        <f>VALUE(IF(+'Libro Diario'!G171="","01/01/2025",+'Libro Diario'!G171))</f>
        <v>45747</v>
      </c>
      <c r="C1688">
        <f>IF(ISNUMBER(+IF(IFERROR(VALUE(MID('Libro Diario'!D171,1,4)),0)&lt;&gt;0,'Libro Diario'!D171,0))=FALSE,'Libro Diario'!D171,0)</f>
        <v>0</v>
      </c>
      <c r="D1688" s="145">
        <f>+'Libro Diario'!E171</f>
        <v>0</v>
      </c>
      <c r="E1688" s="139" t="s">
        <v>446</v>
      </c>
      <c r="F1688" t="str">
        <f t="shared" si="78"/>
        <v>Sin Mov.</v>
      </c>
      <c r="G1688" t="str">
        <f>IF(+'Libro Diario'!H171=0,"",+'Libro Diario'!H171)</f>
        <v>Operaciones del Ejercicio</v>
      </c>
      <c r="H1688" t="str">
        <f>IF(+'Libro Diario'!I171=0,"",+'Libro Diario'!I171)</f>
        <v/>
      </c>
      <c r="I1688" t="str">
        <f>+IF(Table3[[#This Row],[Tipo Movimiento]]="Estructura Balance y PyG","Excluir","Incluir")</f>
        <v>Incluir</v>
      </c>
      <c r="J1688" s="153">
        <f>+IF(Table3[[#This Row],[Sin cuenta]]="Con Mov.",(IF(Table3[[#This Row],[Movimiento]]="Debe",Table3[[#This Row],[Importe]],IF(Table3[[#This Row],[Movimiento]]="Haber",Table3[[#This Row],[Importe]]*-1,0))),0)</f>
        <v>0</v>
      </c>
      <c r="K1688" s="145" t="str">
        <f t="shared" si="79"/>
        <v/>
      </c>
      <c r="L1688" s="145">
        <f t="shared" si="80"/>
        <v>0</v>
      </c>
      <c r="M1688" t="str">
        <f>_xlfn.XLOOKUP(Table3[[#This Row],[Cuenta]],Estructura_Balance[Nombre Cuenta ()],Estructura_Balance[Grupo],"",0)</f>
        <v/>
      </c>
      <c r="N1688" t="str">
        <f>_xlfn.XLOOKUP(Table3[[#This Row],[Cuenta]],Estructura_Balance[Nombre Cuenta ()],Estructura_Balance[Nivel 1],"",0)</f>
        <v/>
      </c>
      <c r="O1688" t="str">
        <f>_xlfn.XLOOKUP(Table3[[#This Row],[Cuenta]],Estructura_Balance[Nombre Cuenta ()],Estructura_Balance[Nivel 2],"",0)</f>
        <v/>
      </c>
      <c r="P1688" t="str">
        <f>_xlfn.XLOOKUP(Table3[[#This Row],[Cuenta]],Estructura_Balance[Nombre Cuenta ()],Estructura_Balance[Nivel 3],"",0)</f>
        <v/>
      </c>
      <c r="Q1688" t="str">
        <f>_xlfn.XLOOKUP(Table3[[#This Row],[Cuenta]],Estructura_Balance[Nombre Cuenta ()],Estructura_Balance[Nivel 4],"",0)</f>
        <v/>
      </c>
      <c r="R1688" t="str">
        <f>_xlfn.XLOOKUP(Table3[[#This Row],[Cuenta]],Table8[Nombre Cuenta ()],Table8[Nivel 1],"",0)</f>
        <v/>
      </c>
      <c r="S1688" t="str">
        <f>_xlfn.XLOOKUP(Table3[[#This Row],[Cuenta]],Table8[Nombre Cuenta ()],Table8[Nivel 2],"",0)</f>
        <v/>
      </c>
      <c r="T1688" t="str">
        <f>_xlfn.XLOOKUP(Table3[[#This Row],[Cuenta]],Table8[Nombre Cuenta ()],Table8[Nivel 3],"",0)</f>
        <v/>
      </c>
      <c r="U1688">
        <v>1539</v>
      </c>
      <c r="V1688" t="str">
        <f>_xlfn.XLOOKUP(Table3[[#This Row],[Cuenta]],Estructura_Balance[Nombre Cuenta ()],Estructura_Balance[Niveles:2],"",0)</f>
        <v/>
      </c>
      <c r="W1688" t="str">
        <f>_xlfn.XLOOKUP(Table3[[#This Row],[Cuenta]],Estructura_Balance[Nombre Cuenta ()],Estructura_Balance[Niveles:3],"",0)</f>
        <v/>
      </c>
      <c r="X1688" t="str">
        <f>_xlfn.XLOOKUP(Table3[[#This Row],[Cuenta]],Estructura_Balance[Nombre Cuenta ()],Estructura_Balance[Grupos],"Grupo 1",0)</f>
        <v>Grupo 1</v>
      </c>
      <c r="Y1688" t="str">
        <f>+Table3[[#This Row],[BS_Nivel_1]]</f>
        <v/>
      </c>
    </row>
    <row r="1689" spans="1:25" ht="15" customHeight="1">
      <c r="A1689">
        <f>+'Libro Diario'!F177</f>
        <v>15</v>
      </c>
      <c r="B1689" s="144">
        <f>VALUE(IF(+'Libro Diario'!G177="","01/01/2025",+'Libro Diario'!G177))</f>
        <v>45756</v>
      </c>
      <c r="C1689">
        <f>IF(ISNUMBER(+IF(IFERROR(VALUE(MID('Libro Diario'!C177,1,4)),0)&lt;&gt;0,'Libro Diario'!C177,0))=FALSE,'Libro Diario'!C177,0)</f>
        <v>0</v>
      </c>
      <c r="D1689" s="145">
        <f>+'Libro Diario'!B177</f>
        <v>0</v>
      </c>
      <c r="E1689" s="139" t="s">
        <v>445</v>
      </c>
      <c r="F1689" t="str">
        <f t="shared" si="78"/>
        <v>Sin Mov.</v>
      </c>
      <c r="G1689" t="str">
        <f>IF(+'Libro Diario'!H177=0,"",+'Libro Diario'!H177)</f>
        <v>Operaciones del Ejercicio</v>
      </c>
      <c r="H1689" t="str">
        <f>IF(+'Libro Diario'!I177=0,"",+'Libro Diario'!I177)</f>
        <v/>
      </c>
      <c r="I1689" t="str">
        <f>+IF(Table3[[#This Row],[Tipo Movimiento]]="Estructura Balance y PyG","Excluir","Incluir")</f>
        <v>Incluir</v>
      </c>
      <c r="J1689" s="153">
        <f>+IF(Table3[[#This Row],[Sin cuenta]]="Con Mov.",(IF(Table3[[#This Row],[Movimiento]]="Debe",Table3[[#This Row],[Importe]],IF(Table3[[#This Row],[Movimiento]]="Haber",Table3[[#This Row],[Importe]]*-1,0))),0)</f>
        <v>0</v>
      </c>
      <c r="K1689" s="145">
        <f t="shared" si="79"/>
        <v>0</v>
      </c>
      <c r="L1689" s="145" t="str">
        <f t="shared" si="80"/>
        <v/>
      </c>
      <c r="M1689" t="str">
        <f>_xlfn.XLOOKUP(Table3[[#This Row],[Cuenta]],Estructura_Balance[Nombre Cuenta ()],Estructura_Balance[Grupo],"",0)</f>
        <v/>
      </c>
      <c r="N1689" t="str">
        <f>_xlfn.XLOOKUP(Table3[[#This Row],[Cuenta]],Estructura_Balance[Nombre Cuenta ()],Estructura_Balance[Nivel 1],"",0)</f>
        <v/>
      </c>
      <c r="O1689" t="str">
        <f>_xlfn.XLOOKUP(Table3[[#This Row],[Cuenta]],Estructura_Balance[Nombre Cuenta ()],Estructura_Balance[Nivel 2],"",0)</f>
        <v/>
      </c>
      <c r="P1689" t="str">
        <f>_xlfn.XLOOKUP(Table3[[#This Row],[Cuenta]],Estructura_Balance[Nombre Cuenta ()],Estructura_Balance[Nivel 3],"",0)</f>
        <v/>
      </c>
      <c r="Q1689" t="str">
        <f>_xlfn.XLOOKUP(Table3[[#This Row],[Cuenta]],Estructura_Balance[Nombre Cuenta ()],Estructura_Balance[Nivel 4],"",0)</f>
        <v/>
      </c>
      <c r="R1689" t="str">
        <f>_xlfn.XLOOKUP(Table3[[#This Row],[Cuenta]],Table8[Nombre Cuenta ()],Table8[Nivel 1],"",0)</f>
        <v/>
      </c>
      <c r="S1689" t="str">
        <f>_xlfn.XLOOKUP(Table3[[#This Row],[Cuenta]],Table8[Nombre Cuenta ()],Table8[Nivel 2],"",0)</f>
        <v/>
      </c>
      <c r="T1689" t="str">
        <f>_xlfn.XLOOKUP(Table3[[#This Row],[Cuenta]],Table8[Nombre Cuenta ()],Table8[Nivel 3],"",0)</f>
        <v/>
      </c>
      <c r="U1689">
        <v>234</v>
      </c>
      <c r="V1689" t="str">
        <f>_xlfn.XLOOKUP(Table3[[#This Row],[Cuenta]],Estructura_Balance[Nombre Cuenta ()],Estructura_Balance[Niveles:2],"",0)</f>
        <v/>
      </c>
      <c r="W1689" t="str">
        <f>_xlfn.XLOOKUP(Table3[[#This Row],[Cuenta]],Estructura_Balance[Nombre Cuenta ()],Estructura_Balance[Niveles:3],"",0)</f>
        <v/>
      </c>
      <c r="X1689" t="str">
        <f>_xlfn.XLOOKUP(Table3[[#This Row],[Cuenta]],Estructura_Balance[Nombre Cuenta ()],Estructura_Balance[Grupos],"Grupo 1",0)</f>
        <v>Grupo 1</v>
      </c>
      <c r="Y1689" t="str">
        <f>+Table3[[#This Row],[BS_Nivel_1]]</f>
        <v/>
      </c>
    </row>
    <row r="1690" spans="1:25" ht="15" customHeight="1">
      <c r="A1690">
        <f>+'Libro Diario'!F178</f>
        <v>15</v>
      </c>
      <c r="B1690" s="144">
        <f>VALUE(IF(+'Libro Diario'!G178="","01/01/2025",+'Libro Diario'!G178))</f>
        <v>45756</v>
      </c>
      <c r="C1690">
        <f>IF(ISNUMBER(+IF(IFERROR(VALUE(MID('Libro Diario'!C178,1,4)),0)&lt;&gt;0,'Libro Diario'!C178,0))=FALSE,'Libro Diario'!C178,0)</f>
        <v>0</v>
      </c>
      <c r="D1690" s="145">
        <f>+'Libro Diario'!B178</f>
        <v>0</v>
      </c>
      <c r="E1690" s="139" t="s">
        <v>445</v>
      </c>
      <c r="F1690" t="str">
        <f t="shared" si="78"/>
        <v>Sin Mov.</v>
      </c>
      <c r="G1690" t="str">
        <f>IF(+'Libro Diario'!H178=0,"",+'Libro Diario'!H178)</f>
        <v>Operaciones del Ejercicio</v>
      </c>
      <c r="H1690" t="str">
        <f>IF(+'Libro Diario'!I178=0,"",+'Libro Diario'!I178)</f>
        <v/>
      </c>
      <c r="I1690" t="str">
        <f>+IF(Table3[[#This Row],[Tipo Movimiento]]="Estructura Balance y PyG","Excluir","Incluir")</f>
        <v>Incluir</v>
      </c>
      <c r="J1690" s="153">
        <f>+IF(Table3[[#This Row],[Sin cuenta]]="Con Mov.",(IF(Table3[[#This Row],[Movimiento]]="Debe",Table3[[#This Row],[Importe]],IF(Table3[[#This Row],[Movimiento]]="Haber",Table3[[#This Row],[Importe]]*-1,0))),0)</f>
        <v>0</v>
      </c>
      <c r="K1690" s="145">
        <f t="shared" si="79"/>
        <v>0</v>
      </c>
      <c r="L1690" s="145" t="str">
        <f t="shared" si="80"/>
        <v/>
      </c>
      <c r="M1690" t="str">
        <f>_xlfn.XLOOKUP(Table3[[#This Row],[Cuenta]],Estructura_Balance[Nombre Cuenta ()],Estructura_Balance[Grupo],"",0)</f>
        <v/>
      </c>
      <c r="N1690" t="str">
        <f>_xlfn.XLOOKUP(Table3[[#This Row],[Cuenta]],Estructura_Balance[Nombre Cuenta ()],Estructura_Balance[Nivel 1],"",0)</f>
        <v/>
      </c>
      <c r="O1690" t="str">
        <f>_xlfn.XLOOKUP(Table3[[#This Row],[Cuenta]],Estructura_Balance[Nombre Cuenta ()],Estructura_Balance[Nivel 2],"",0)</f>
        <v/>
      </c>
      <c r="P1690" t="str">
        <f>_xlfn.XLOOKUP(Table3[[#This Row],[Cuenta]],Estructura_Balance[Nombre Cuenta ()],Estructura_Balance[Nivel 3],"",0)</f>
        <v/>
      </c>
      <c r="Q1690" t="str">
        <f>_xlfn.XLOOKUP(Table3[[#This Row],[Cuenta]],Estructura_Balance[Nombre Cuenta ()],Estructura_Balance[Nivel 4],"",0)</f>
        <v/>
      </c>
      <c r="R1690" t="str">
        <f>_xlfn.XLOOKUP(Table3[[#This Row],[Cuenta]],Table8[Nombre Cuenta ()],Table8[Nivel 1],"",0)</f>
        <v/>
      </c>
      <c r="S1690" t="str">
        <f>_xlfn.XLOOKUP(Table3[[#This Row],[Cuenta]],Table8[Nombre Cuenta ()],Table8[Nivel 2],"",0)</f>
        <v/>
      </c>
      <c r="T1690" t="str">
        <f>_xlfn.XLOOKUP(Table3[[#This Row],[Cuenta]],Table8[Nombre Cuenta ()],Table8[Nivel 3],"",0)</f>
        <v/>
      </c>
      <c r="U1690">
        <v>235</v>
      </c>
      <c r="V1690" t="str">
        <f>_xlfn.XLOOKUP(Table3[[#This Row],[Cuenta]],Estructura_Balance[Nombre Cuenta ()],Estructura_Balance[Niveles:2],"",0)</f>
        <v/>
      </c>
      <c r="W1690" t="str">
        <f>_xlfn.XLOOKUP(Table3[[#This Row],[Cuenta]],Estructura_Balance[Nombre Cuenta ()],Estructura_Balance[Niveles:3],"",0)</f>
        <v/>
      </c>
      <c r="X1690" t="str">
        <f>_xlfn.XLOOKUP(Table3[[#This Row],[Cuenta]],Estructura_Balance[Nombre Cuenta ()],Estructura_Balance[Grupos],"Grupo 1",0)</f>
        <v>Grupo 1</v>
      </c>
      <c r="Y1690" t="str">
        <f>+Table3[[#This Row],[BS_Nivel_1]]</f>
        <v/>
      </c>
    </row>
    <row r="1691" spans="1:25" ht="15" customHeight="1">
      <c r="A1691">
        <f>+'Libro Diario'!F177</f>
        <v>15</v>
      </c>
      <c r="B1691" s="144">
        <f>VALUE(IF(+'Libro Diario'!G177="","01/01/2025",+'Libro Diario'!G177))</f>
        <v>45756</v>
      </c>
      <c r="C1691">
        <f>IF(ISNUMBER(+IF(IFERROR(VALUE(MID('Libro Diario'!D177,1,4)),0)&lt;&gt;0,'Libro Diario'!D177,0))=FALSE,'Libro Diario'!D177,0)</f>
        <v>0</v>
      </c>
      <c r="D1691" s="145">
        <f>+'Libro Diario'!E177</f>
        <v>0</v>
      </c>
      <c r="E1691" s="139" t="s">
        <v>446</v>
      </c>
      <c r="F1691" t="str">
        <f t="shared" si="78"/>
        <v>Sin Mov.</v>
      </c>
      <c r="G1691" t="str">
        <f>IF(+'Libro Diario'!H177=0,"",+'Libro Diario'!H177)</f>
        <v>Operaciones del Ejercicio</v>
      </c>
      <c r="H1691" t="str">
        <f>IF(+'Libro Diario'!I177=0,"",+'Libro Diario'!I177)</f>
        <v/>
      </c>
      <c r="I1691" t="str">
        <f>+IF(Table3[[#This Row],[Tipo Movimiento]]="Estructura Balance y PyG","Excluir","Incluir")</f>
        <v>Incluir</v>
      </c>
      <c r="J1691" s="153">
        <f>+IF(Table3[[#This Row],[Sin cuenta]]="Con Mov.",(IF(Table3[[#This Row],[Movimiento]]="Debe",Table3[[#This Row],[Importe]],IF(Table3[[#This Row],[Movimiento]]="Haber",Table3[[#This Row],[Importe]]*-1,0))),0)</f>
        <v>0</v>
      </c>
      <c r="K1691" s="145" t="str">
        <f t="shared" si="79"/>
        <v/>
      </c>
      <c r="L1691" s="145">
        <f t="shared" si="80"/>
        <v>0</v>
      </c>
      <c r="M1691" t="str">
        <f>_xlfn.XLOOKUP(Table3[[#This Row],[Cuenta]],Estructura_Balance[Nombre Cuenta ()],Estructura_Balance[Grupo],"",0)</f>
        <v/>
      </c>
      <c r="N1691" t="str">
        <f>_xlfn.XLOOKUP(Table3[[#This Row],[Cuenta]],Estructura_Balance[Nombre Cuenta ()],Estructura_Balance[Nivel 1],"",0)</f>
        <v/>
      </c>
      <c r="O1691" t="str">
        <f>_xlfn.XLOOKUP(Table3[[#This Row],[Cuenta]],Estructura_Balance[Nombre Cuenta ()],Estructura_Balance[Nivel 2],"",0)</f>
        <v/>
      </c>
      <c r="P1691" t="str">
        <f>_xlfn.XLOOKUP(Table3[[#This Row],[Cuenta]],Estructura_Balance[Nombre Cuenta ()],Estructura_Balance[Nivel 3],"",0)</f>
        <v/>
      </c>
      <c r="Q1691" t="str">
        <f>_xlfn.XLOOKUP(Table3[[#This Row],[Cuenta]],Estructura_Balance[Nombre Cuenta ()],Estructura_Balance[Nivel 4],"",0)</f>
        <v/>
      </c>
      <c r="R1691" t="str">
        <f>_xlfn.XLOOKUP(Table3[[#This Row],[Cuenta]],Table8[Nombre Cuenta ()],Table8[Nivel 1],"",0)</f>
        <v/>
      </c>
      <c r="S1691" t="str">
        <f>_xlfn.XLOOKUP(Table3[[#This Row],[Cuenta]],Table8[Nombre Cuenta ()],Table8[Nivel 2],"",0)</f>
        <v/>
      </c>
      <c r="T1691" t="str">
        <f>_xlfn.XLOOKUP(Table3[[#This Row],[Cuenta]],Table8[Nombre Cuenta ()],Table8[Nivel 3],"",0)</f>
        <v/>
      </c>
      <c r="U1691">
        <v>1547</v>
      </c>
      <c r="V1691" t="str">
        <f>_xlfn.XLOOKUP(Table3[[#This Row],[Cuenta]],Estructura_Balance[Nombre Cuenta ()],Estructura_Balance[Niveles:2],"",0)</f>
        <v/>
      </c>
      <c r="W1691" t="str">
        <f>_xlfn.XLOOKUP(Table3[[#This Row],[Cuenta]],Estructura_Balance[Nombre Cuenta ()],Estructura_Balance[Niveles:3],"",0)</f>
        <v/>
      </c>
      <c r="X1691" t="str">
        <f>_xlfn.XLOOKUP(Table3[[#This Row],[Cuenta]],Estructura_Balance[Nombre Cuenta ()],Estructura_Balance[Grupos],"Grupo 1",0)</f>
        <v>Grupo 1</v>
      </c>
      <c r="Y1691" t="str">
        <f>+Table3[[#This Row],[BS_Nivel_1]]</f>
        <v/>
      </c>
    </row>
    <row r="1692" spans="1:25" ht="15" customHeight="1">
      <c r="A1692">
        <f>+'Libro Diario'!F178</f>
        <v>15</v>
      </c>
      <c r="B1692" s="144">
        <f>VALUE(IF(+'Libro Diario'!G178="","01/01/2025",+'Libro Diario'!G178))</f>
        <v>45756</v>
      </c>
      <c r="C1692">
        <f>IF(ISNUMBER(+IF(IFERROR(VALUE(MID('Libro Diario'!D178,1,4)),0)&lt;&gt;0,'Libro Diario'!D178,0))=FALSE,'Libro Diario'!D178,0)</f>
        <v>0</v>
      </c>
      <c r="D1692" s="145">
        <f>+'Libro Diario'!E178</f>
        <v>0</v>
      </c>
      <c r="E1692" s="139" t="s">
        <v>446</v>
      </c>
      <c r="F1692" t="str">
        <f t="shared" si="78"/>
        <v>Sin Mov.</v>
      </c>
      <c r="G1692" t="str">
        <f>IF(+'Libro Diario'!H178=0,"",+'Libro Diario'!H178)</f>
        <v>Operaciones del Ejercicio</v>
      </c>
      <c r="H1692" t="str">
        <f>IF(+'Libro Diario'!I178=0,"",+'Libro Diario'!I178)</f>
        <v/>
      </c>
      <c r="I1692" t="str">
        <f>+IF(Table3[[#This Row],[Tipo Movimiento]]="Estructura Balance y PyG","Excluir","Incluir")</f>
        <v>Incluir</v>
      </c>
      <c r="J1692" s="153">
        <f>+IF(Table3[[#This Row],[Sin cuenta]]="Con Mov.",(IF(Table3[[#This Row],[Movimiento]]="Debe",Table3[[#This Row],[Importe]],IF(Table3[[#This Row],[Movimiento]]="Haber",Table3[[#This Row],[Importe]]*-1,0))),0)</f>
        <v>0</v>
      </c>
      <c r="K1692" s="145" t="str">
        <f t="shared" si="79"/>
        <v/>
      </c>
      <c r="L1692" s="145">
        <f t="shared" si="80"/>
        <v>0</v>
      </c>
      <c r="M1692" t="str">
        <f>_xlfn.XLOOKUP(Table3[[#This Row],[Cuenta]],Estructura_Balance[Nombre Cuenta ()],Estructura_Balance[Grupo],"",0)</f>
        <v/>
      </c>
      <c r="N1692" t="str">
        <f>_xlfn.XLOOKUP(Table3[[#This Row],[Cuenta]],Estructura_Balance[Nombre Cuenta ()],Estructura_Balance[Nivel 1],"",0)</f>
        <v/>
      </c>
      <c r="O1692" t="str">
        <f>_xlfn.XLOOKUP(Table3[[#This Row],[Cuenta]],Estructura_Balance[Nombre Cuenta ()],Estructura_Balance[Nivel 2],"",0)</f>
        <v/>
      </c>
      <c r="P1692" t="str">
        <f>_xlfn.XLOOKUP(Table3[[#This Row],[Cuenta]],Estructura_Balance[Nombre Cuenta ()],Estructura_Balance[Nivel 3],"",0)</f>
        <v/>
      </c>
      <c r="Q1692" t="str">
        <f>_xlfn.XLOOKUP(Table3[[#This Row],[Cuenta]],Estructura_Balance[Nombre Cuenta ()],Estructura_Balance[Nivel 4],"",0)</f>
        <v/>
      </c>
      <c r="R1692" t="str">
        <f>_xlfn.XLOOKUP(Table3[[#This Row],[Cuenta]],Table8[Nombre Cuenta ()],Table8[Nivel 1],"",0)</f>
        <v/>
      </c>
      <c r="S1692" t="str">
        <f>_xlfn.XLOOKUP(Table3[[#This Row],[Cuenta]],Table8[Nombre Cuenta ()],Table8[Nivel 2],"",0)</f>
        <v/>
      </c>
      <c r="T1692" t="str">
        <f>_xlfn.XLOOKUP(Table3[[#This Row],[Cuenta]],Table8[Nombre Cuenta ()],Table8[Nivel 3],"",0)</f>
        <v/>
      </c>
      <c r="U1692">
        <v>1548</v>
      </c>
      <c r="V1692" t="str">
        <f>_xlfn.XLOOKUP(Table3[[#This Row],[Cuenta]],Estructura_Balance[Nombre Cuenta ()],Estructura_Balance[Niveles:2],"",0)</f>
        <v/>
      </c>
      <c r="W1692" t="str">
        <f>_xlfn.XLOOKUP(Table3[[#This Row],[Cuenta]],Estructura_Balance[Nombre Cuenta ()],Estructura_Balance[Niveles:3],"",0)</f>
        <v/>
      </c>
      <c r="X1692" t="str">
        <f>_xlfn.XLOOKUP(Table3[[#This Row],[Cuenta]],Estructura_Balance[Nombre Cuenta ()],Estructura_Balance[Grupos],"Grupo 1",0)</f>
        <v>Grupo 1</v>
      </c>
      <c r="Y1692" t="str">
        <f>+Table3[[#This Row],[BS_Nivel_1]]</f>
        <v/>
      </c>
    </row>
    <row r="1693" spans="1:25" ht="15" customHeight="1">
      <c r="A1693">
        <f>+'Libro Diario'!F184</f>
        <v>16</v>
      </c>
      <c r="B1693" s="144">
        <f>VALUE(IF(+'Libro Diario'!G184="","01/01/2025",+'Libro Diario'!G184))</f>
        <v>45766</v>
      </c>
      <c r="C1693">
        <f>IF(ISNUMBER(+IF(IFERROR(VALUE(MID('Libro Diario'!C184,1,4)),0)&lt;&gt;0,'Libro Diario'!C184,0))=FALSE,'Libro Diario'!C184,0)</f>
        <v>0</v>
      </c>
      <c r="D1693" s="145">
        <f>+'Libro Diario'!B184</f>
        <v>0</v>
      </c>
      <c r="E1693" s="139" t="s">
        <v>445</v>
      </c>
      <c r="F1693" t="str">
        <f t="shared" si="78"/>
        <v>Sin Mov.</v>
      </c>
      <c r="G1693" t="str">
        <f>IF(+'Libro Diario'!H184=0,"",+'Libro Diario'!H184)</f>
        <v>Operaciones del Ejercicio</v>
      </c>
      <c r="H1693" t="str">
        <f>IF(+'Libro Diario'!I184=0,"",+'Libro Diario'!I184)</f>
        <v/>
      </c>
      <c r="I1693" t="str">
        <f>+IF(Table3[[#This Row],[Tipo Movimiento]]="Estructura Balance y PyG","Excluir","Incluir")</f>
        <v>Incluir</v>
      </c>
      <c r="J1693" s="153">
        <f>+IF(Table3[[#This Row],[Sin cuenta]]="Con Mov.",(IF(Table3[[#This Row],[Movimiento]]="Debe",Table3[[#This Row],[Importe]],IF(Table3[[#This Row],[Movimiento]]="Haber",Table3[[#This Row],[Importe]]*-1,0))),0)</f>
        <v>0</v>
      </c>
      <c r="K1693" s="145">
        <f t="shared" si="79"/>
        <v>0</v>
      </c>
      <c r="L1693" s="145" t="str">
        <f t="shared" si="80"/>
        <v/>
      </c>
      <c r="M1693" t="str">
        <f>_xlfn.XLOOKUP(Table3[[#This Row],[Cuenta]],Estructura_Balance[Nombre Cuenta ()],Estructura_Balance[Grupo],"",0)</f>
        <v/>
      </c>
      <c r="N1693" t="str">
        <f>_xlfn.XLOOKUP(Table3[[#This Row],[Cuenta]],Estructura_Balance[Nombre Cuenta ()],Estructura_Balance[Nivel 1],"",0)</f>
        <v/>
      </c>
      <c r="O1693" t="str">
        <f>_xlfn.XLOOKUP(Table3[[#This Row],[Cuenta]],Estructura_Balance[Nombre Cuenta ()],Estructura_Balance[Nivel 2],"",0)</f>
        <v/>
      </c>
      <c r="P1693" t="str">
        <f>_xlfn.XLOOKUP(Table3[[#This Row],[Cuenta]],Estructura_Balance[Nombre Cuenta ()],Estructura_Balance[Nivel 3],"",0)</f>
        <v/>
      </c>
      <c r="Q1693" t="str">
        <f>_xlfn.XLOOKUP(Table3[[#This Row],[Cuenta]],Estructura_Balance[Nombre Cuenta ()],Estructura_Balance[Nivel 4],"",0)</f>
        <v/>
      </c>
      <c r="R1693" t="str">
        <f>_xlfn.XLOOKUP(Table3[[#This Row],[Cuenta]],Table8[Nombre Cuenta ()],Table8[Nivel 1],"",0)</f>
        <v/>
      </c>
      <c r="S1693" t="str">
        <f>_xlfn.XLOOKUP(Table3[[#This Row],[Cuenta]],Table8[Nombre Cuenta ()],Table8[Nivel 2],"",0)</f>
        <v/>
      </c>
      <c r="T1693" t="str">
        <f>_xlfn.XLOOKUP(Table3[[#This Row],[Cuenta]],Table8[Nombre Cuenta ()],Table8[Nivel 3],"",0)</f>
        <v/>
      </c>
      <c r="U1693">
        <v>245</v>
      </c>
      <c r="V1693" t="str">
        <f>_xlfn.XLOOKUP(Table3[[#This Row],[Cuenta]],Estructura_Balance[Nombre Cuenta ()],Estructura_Balance[Niveles:2],"",0)</f>
        <v/>
      </c>
      <c r="W1693" t="str">
        <f>_xlfn.XLOOKUP(Table3[[#This Row],[Cuenta]],Estructura_Balance[Nombre Cuenta ()],Estructura_Balance[Niveles:3],"",0)</f>
        <v/>
      </c>
      <c r="X1693" t="str">
        <f>_xlfn.XLOOKUP(Table3[[#This Row],[Cuenta]],Estructura_Balance[Nombre Cuenta ()],Estructura_Balance[Grupos],"Grupo 1",0)</f>
        <v>Grupo 1</v>
      </c>
      <c r="Y1693" t="str">
        <f>+Table3[[#This Row],[BS_Nivel_1]]</f>
        <v/>
      </c>
    </row>
    <row r="1694" spans="1:25" ht="15" customHeight="1">
      <c r="A1694">
        <f>+'Libro Diario'!F185</f>
        <v>16</v>
      </c>
      <c r="B1694" s="144">
        <f>VALUE(IF(+'Libro Diario'!G185="","01/01/2025",+'Libro Diario'!G185))</f>
        <v>45766</v>
      </c>
      <c r="C1694">
        <f>IF(ISNUMBER(+IF(IFERROR(VALUE(MID('Libro Diario'!C185,1,4)),0)&lt;&gt;0,'Libro Diario'!C185,0))=FALSE,'Libro Diario'!C185,0)</f>
        <v>0</v>
      </c>
      <c r="D1694" s="145">
        <f>+'Libro Diario'!B185</f>
        <v>0</v>
      </c>
      <c r="E1694" s="139" t="s">
        <v>445</v>
      </c>
      <c r="F1694" t="str">
        <f t="shared" si="78"/>
        <v>Sin Mov.</v>
      </c>
      <c r="G1694" t="str">
        <f>IF(+'Libro Diario'!H185=0,"",+'Libro Diario'!H185)</f>
        <v>Operaciones del Ejercicio</v>
      </c>
      <c r="H1694" t="str">
        <f>IF(+'Libro Diario'!I185=0,"",+'Libro Diario'!I185)</f>
        <v/>
      </c>
      <c r="I1694" t="str">
        <f>+IF(Table3[[#This Row],[Tipo Movimiento]]="Estructura Balance y PyG","Excluir","Incluir")</f>
        <v>Incluir</v>
      </c>
      <c r="J1694" s="153">
        <f>+IF(Table3[[#This Row],[Sin cuenta]]="Con Mov.",(IF(Table3[[#This Row],[Movimiento]]="Debe",Table3[[#This Row],[Importe]],IF(Table3[[#This Row],[Movimiento]]="Haber",Table3[[#This Row],[Importe]]*-1,0))),0)</f>
        <v>0</v>
      </c>
      <c r="K1694" s="145">
        <f t="shared" si="79"/>
        <v>0</v>
      </c>
      <c r="L1694" s="145" t="str">
        <f t="shared" si="80"/>
        <v/>
      </c>
      <c r="M1694" t="str">
        <f>_xlfn.XLOOKUP(Table3[[#This Row],[Cuenta]],Estructura_Balance[Nombre Cuenta ()],Estructura_Balance[Grupo],"",0)</f>
        <v/>
      </c>
      <c r="N1694" t="str">
        <f>_xlfn.XLOOKUP(Table3[[#This Row],[Cuenta]],Estructura_Balance[Nombre Cuenta ()],Estructura_Balance[Nivel 1],"",0)</f>
        <v/>
      </c>
      <c r="O1694" t="str">
        <f>_xlfn.XLOOKUP(Table3[[#This Row],[Cuenta]],Estructura_Balance[Nombre Cuenta ()],Estructura_Balance[Nivel 2],"",0)</f>
        <v/>
      </c>
      <c r="P1694" t="str">
        <f>_xlfn.XLOOKUP(Table3[[#This Row],[Cuenta]],Estructura_Balance[Nombre Cuenta ()],Estructura_Balance[Nivel 3],"",0)</f>
        <v/>
      </c>
      <c r="Q1694" t="str">
        <f>_xlfn.XLOOKUP(Table3[[#This Row],[Cuenta]],Estructura_Balance[Nombre Cuenta ()],Estructura_Balance[Nivel 4],"",0)</f>
        <v/>
      </c>
      <c r="R1694" t="str">
        <f>_xlfn.XLOOKUP(Table3[[#This Row],[Cuenta]],Table8[Nombre Cuenta ()],Table8[Nivel 1],"",0)</f>
        <v/>
      </c>
      <c r="S1694" t="str">
        <f>_xlfn.XLOOKUP(Table3[[#This Row],[Cuenta]],Table8[Nombre Cuenta ()],Table8[Nivel 2],"",0)</f>
        <v/>
      </c>
      <c r="T1694" t="str">
        <f>_xlfn.XLOOKUP(Table3[[#This Row],[Cuenta]],Table8[Nombre Cuenta ()],Table8[Nivel 3],"",0)</f>
        <v/>
      </c>
      <c r="U1694">
        <v>246</v>
      </c>
      <c r="V1694" t="str">
        <f>_xlfn.XLOOKUP(Table3[[#This Row],[Cuenta]],Estructura_Balance[Nombre Cuenta ()],Estructura_Balance[Niveles:2],"",0)</f>
        <v/>
      </c>
      <c r="W1694" t="str">
        <f>_xlfn.XLOOKUP(Table3[[#This Row],[Cuenta]],Estructura_Balance[Nombre Cuenta ()],Estructura_Balance[Niveles:3],"",0)</f>
        <v/>
      </c>
      <c r="X1694" t="str">
        <f>_xlfn.XLOOKUP(Table3[[#This Row],[Cuenta]],Estructura_Balance[Nombre Cuenta ()],Estructura_Balance[Grupos],"Grupo 1",0)</f>
        <v>Grupo 1</v>
      </c>
      <c r="Y1694" t="str">
        <f>+Table3[[#This Row],[BS_Nivel_1]]</f>
        <v/>
      </c>
    </row>
    <row r="1695" spans="1:25" ht="15" customHeight="1">
      <c r="A1695">
        <f>+'Libro Diario'!F184</f>
        <v>16</v>
      </c>
      <c r="B1695" s="144">
        <f>VALUE(IF(+'Libro Diario'!G184="","01/01/2025",+'Libro Diario'!G184))</f>
        <v>45766</v>
      </c>
      <c r="C1695">
        <f>IF(ISNUMBER(+IF(IFERROR(VALUE(MID('Libro Diario'!D184,1,4)),0)&lt;&gt;0,'Libro Diario'!D184,0))=FALSE,'Libro Diario'!D184,0)</f>
        <v>0</v>
      </c>
      <c r="D1695" s="145">
        <f>+'Libro Diario'!E184</f>
        <v>0</v>
      </c>
      <c r="E1695" s="139" t="s">
        <v>446</v>
      </c>
      <c r="F1695" t="str">
        <f t="shared" si="78"/>
        <v>Sin Mov.</v>
      </c>
      <c r="G1695" t="str">
        <f>IF(+'Libro Diario'!H184=0,"",+'Libro Diario'!H184)</f>
        <v>Operaciones del Ejercicio</v>
      </c>
      <c r="H1695" t="str">
        <f>IF(+'Libro Diario'!I184=0,"",+'Libro Diario'!I184)</f>
        <v/>
      </c>
      <c r="I1695" t="str">
        <f>+IF(Table3[[#This Row],[Tipo Movimiento]]="Estructura Balance y PyG","Excluir","Incluir")</f>
        <v>Incluir</v>
      </c>
      <c r="J1695" s="153">
        <f>+IF(Table3[[#This Row],[Sin cuenta]]="Con Mov.",(IF(Table3[[#This Row],[Movimiento]]="Debe",Table3[[#This Row],[Importe]],IF(Table3[[#This Row],[Movimiento]]="Haber",Table3[[#This Row],[Importe]]*-1,0))),0)</f>
        <v>0</v>
      </c>
      <c r="K1695" s="145" t="str">
        <f t="shared" si="79"/>
        <v/>
      </c>
      <c r="L1695" s="145">
        <f t="shared" si="80"/>
        <v>0</v>
      </c>
      <c r="M1695" t="str">
        <f>_xlfn.XLOOKUP(Table3[[#This Row],[Cuenta]],Estructura_Balance[Nombre Cuenta ()],Estructura_Balance[Grupo],"",0)</f>
        <v/>
      </c>
      <c r="N1695" t="str">
        <f>_xlfn.XLOOKUP(Table3[[#This Row],[Cuenta]],Estructura_Balance[Nombre Cuenta ()],Estructura_Balance[Nivel 1],"",0)</f>
        <v/>
      </c>
      <c r="O1695" t="str">
        <f>_xlfn.XLOOKUP(Table3[[#This Row],[Cuenta]],Estructura_Balance[Nombre Cuenta ()],Estructura_Balance[Nivel 2],"",0)</f>
        <v/>
      </c>
      <c r="P1695" t="str">
        <f>_xlfn.XLOOKUP(Table3[[#This Row],[Cuenta]],Estructura_Balance[Nombre Cuenta ()],Estructura_Balance[Nivel 3],"",0)</f>
        <v/>
      </c>
      <c r="Q1695" t="str">
        <f>_xlfn.XLOOKUP(Table3[[#This Row],[Cuenta]],Estructura_Balance[Nombre Cuenta ()],Estructura_Balance[Nivel 4],"",0)</f>
        <v/>
      </c>
      <c r="R1695" t="str">
        <f>_xlfn.XLOOKUP(Table3[[#This Row],[Cuenta]],Table8[Nombre Cuenta ()],Table8[Nivel 1],"",0)</f>
        <v/>
      </c>
      <c r="S1695" t="str">
        <f>_xlfn.XLOOKUP(Table3[[#This Row],[Cuenta]],Table8[Nombre Cuenta ()],Table8[Nivel 2],"",0)</f>
        <v/>
      </c>
      <c r="T1695" t="str">
        <f>_xlfn.XLOOKUP(Table3[[#This Row],[Cuenta]],Table8[Nombre Cuenta ()],Table8[Nivel 3],"",0)</f>
        <v/>
      </c>
      <c r="U1695">
        <v>1577</v>
      </c>
      <c r="V1695" t="str">
        <f>_xlfn.XLOOKUP(Table3[[#This Row],[Cuenta]],Estructura_Balance[Nombre Cuenta ()],Estructura_Balance[Niveles:2],"",0)</f>
        <v/>
      </c>
      <c r="W1695" t="str">
        <f>_xlfn.XLOOKUP(Table3[[#This Row],[Cuenta]],Estructura_Balance[Nombre Cuenta ()],Estructura_Balance[Niveles:3],"",0)</f>
        <v/>
      </c>
      <c r="X1695" t="str">
        <f>_xlfn.XLOOKUP(Table3[[#This Row],[Cuenta]],Estructura_Balance[Nombre Cuenta ()],Estructura_Balance[Grupos],"Grupo 1",0)</f>
        <v>Grupo 1</v>
      </c>
      <c r="Y1695" t="str">
        <f>+Table3[[#This Row],[BS_Nivel_1]]</f>
        <v/>
      </c>
    </row>
    <row r="1696" spans="1:25" ht="15" customHeight="1">
      <c r="A1696">
        <f>+'Libro Diario'!F185</f>
        <v>16</v>
      </c>
      <c r="B1696" s="144">
        <f>VALUE(IF(+'Libro Diario'!G185="","01/01/2025",+'Libro Diario'!G185))</f>
        <v>45766</v>
      </c>
      <c r="C1696">
        <f>IF(ISNUMBER(+IF(IFERROR(VALUE(MID('Libro Diario'!D185,1,4)),0)&lt;&gt;0,'Libro Diario'!D185,0))=FALSE,'Libro Diario'!D185,0)</f>
        <v>0</v>
      </c>
      <c r="D1696" s="145">
        <f>+'Libro Diario'!E185</f>
        <v>0</v>
      </c>
      <c r="E1696" s="139" t="s">
        <v>446</v>
      </c>
      <c r="F1696" t="str">
        <f t="shared" si="78"/>
        <v>Sin Mov.</v>
      </c>
      <c r="G1696" t="str">
        <f>IF(+'Libro Diario'!H185=0,"",+'Libro Diario'!H185)</f>
        <v>Operaciones del Ejercicio</v>
      </c>
      <c r="H1696" t="str">
        <f>IF(+'Libro Diario'!I185=0,"",+'Libro Diario'!I185)</f>
        <v/>
      </c>
      <c r="I1696" t="str">
        <f>+IF(Table3[[#This Row],[Tipo Movimiento]]="Estructura Balance y PyG","Excluir","Incluir")</f>
        <v>Incluir</v>
      </c>
      <c r="J1696" s="153">
        <f>+IF(Table3[[#This Row],[Sin cuenta]]="Con Mov.",(IF(Table3[[#This Row],[Movimiento]]="Debe",Table3[[#This Row],[Importe]],IF(Table3[[#This Row],[Movimiento]]="Haber",Table3[[#This Row],[Importe]]*-1,0))),0)</f>
        <v>0</v>
      </c>
      <c r="K1696" s="145" t="str">
        <f t="shared" si="79"/>
        <v/>
      </c>
      <c r="L1696" s="145">
        <f t="shared" si="80"/>
        <v>0</v>
      </c>
      <c r="M1696" t="str">
        <f>_xlfn.XLOOKUP(Table3[[#This Row],[Cuenta]],Estructura_Balance[Nombre Cuenta ()],Estructura_Balance[Grupo],"",0)</f>
        <v/>
      </c>
      <c r="N1696" t="str">
        <f>_xlfn.XLOOKUP(Table3[[#This Row],[Cuenta]],Estructura_Balance[Nombre Cuenta ()],Estructura_Balance[Nivel 1],"",0)</f>
        <v/>
      </c>
      <c r="O1696" t="str">
        <f>_xlfn.XLOOKUP(Table3[[#This Row],[Cuenta]],Estructura_Balance[Nombre Cuenta ()],Estructura_Balance[Nivel 2],"",0)</f>
        <v/>
      </c>
      <c r="P1696" t="str">
        <f>_xlfn.XLOOKUP(Table3[[#This Row],[Cuenta]],Estructura_Balance[Nombre Cuenta ()],Estructura_Balance[Nivel 3],"",0)</f>
        <v/>
      </c>
      <c r="Q1696" t="str">
        <f>_xlfn.XLOOKUP(Table3[[#This Row],[Cuenta]],Estructura_Balance[Nombre Cuenta ()],Estructura_Balance[Nivel 4],"",0)</f>
        <v/>
      </c>
      <c r="R1696" t="str">
        <f>_xlfn.XLOOKUP(Table3[[#This Row],[Cuenta]],Table8[Nombre Cuenta ()],Table8[Nivel 1],"",0)</f>
        <v/>
      </c>
      <c r="S1696" t="str">
        <f>_xlfn.XLOOKUP(Table3[[#This Row],[Cuenta]],Table8[Nombre Cuenta ()],Table8[Nivel 2],"",0)</f>
        <v/>
      </c>
      <c r="T1696" t="str">
        <f>_xlfn.XLOOKUP(Table3[[#This Row],[Cuenta]],Table8[Nombre Cuenta ()],Table8[Nivel 3],"",0)</f>
        <v/>
      </c>
      <c r="U1696">
        <v>1578</v>
      </c>
      <c r="V1696" t="str">
        <f>_xlfn.XLOOKUP(Table3[[#This Row],[Cuenta]],Estructura_Balance[Nombre Cuenta ()],Estructura_Balance[Niveles:2],"",0)</f>
        <v/>
      </c>
      <c r="W1696" t="str">
        <f>_xlfn.XLOOKUP(Table3[[#This Row],[Cuenta]],Estructura_Balance[Nombre Cuenta ()],Estructura_Balance[Niveles:3],"",0)</f>
        <v/>
      </c>
      <c r="X1696" t="str">
        <f>_xlfn.XLOOKUP(Table3[[#This Row],[Cuenta]],Estructura_Balance[Nombre Cuenta ()],Estructura_Balance[Grupos],"Grupo 1",0)</f>
        <v>Grupo 1</v>
      </c>
      <c r="Y1696" t="str">
        <f>+Table3[[#This Row],[BS_Nivel_1]]</f>
        <v/>
      </c>
    </row>
    <row r="1697" spans="1:25" ht="15" customHeight="1">
      <c r="A1697">
        <f>+'Libro Diario'!F191</f>
        <v>17</v>
      </c>
      <c r="B1697" s="144">
        <f>VALUE(IF(+'Libro Diario'!G191="","01/01/2025",+'Libro Diario'!G191))</f>
        <v>45767</v>
      </c>
      <c r="C1697">
        <f>IF(ISNUMBER(+IF(IFERROR(VALUE(MID('Libro Diario'!C191,1,4)),0)&lt;&gt;0,'Libro Diario'!C191,0))=FALSE,'Libro Diario'!C191,0)</f>
        <v>0</v>
      </c>
      <c r="D1697" s="145">
        <f>+'Libro Diario'!B191</f>
        <v>0</v>
      </c>
      <c r="E1697" s="139" t="s">
        <v>445</v>
      </c>
      <c r="F1697" t="str">
        <f t="shared" si="78"/>
        <v>Sin Mov.</v>
      </c>
      <c r="G1697" t="str">
        <f>IF(+'Libro Diario'!H191=0,"",+'Libro Diario'!H191)</f>
        <v>Operaciones del Ejercicio</v>
      </c>
      <c r="H1697" t="str">
        <f>IF(+'Libro Diario'!I191=0,"",+'Libro Diario'!I191)</f>
        <v/>
      </c>
      <c r="I1697" t="str">
        <f>+IF(Table3[[#This Row],[Tipo Movimiento]]="Estructura Balance y PyG","Excluir","Incluir")</f>
        <v>Incluir</v>
      </c>
      <c r="J1697" s="153">
        <f>+IF(Table3[[#This Row],[Sin cuenta]]="Con Mov.",(IF(Table3[[#This Row],[Movimiento]]="Debe",Table3[[#This Row],[Importe]],IF(Table3[[#This Row],[Movimiento]]="Haber",Table3[[#This Row],[Importe]]*-1,0))),0)</f>
        <v>0</v>
      </c>
      <c r="K1697" s="145">
        <f t="shared" si="79"/>
        <v>0</v>
      </c>
      <c r="L1697" s="145" t="str">
        <f t="shared" si="80"/>
        <v/>
      </c>
      <c r="M1697" t="str">
        <f>_xlfn.XLOOKUP(Table3[[#This Row],[Cuenta]],Estructura_Balance[Nombre Cuenta ()],Estructura_Balance[Grupo],"",0)</f>
        <v/>
      </c>
      <c r="N1697" t="str">
        <f>_xlfn.XLOOKUP(Table3[[#This Row],[Cuenta]],Estructura_Balance[Nombre Cuenta ()],Estructura_Balance[Nivel 1],"",0)</f>
        <v/>
      </c>
      <c r="O1697" t="str">
        <f>_xlfn.XLOOKUP(Table3[[#This Row],[Cuenta]],Estructura_Balance[Nombre Cuenta ()],Estructura_Balance[Nivel 2],"",0)</f>
        <v/>
      </c>
      <c r="P1697" t="str">
        <f>_xlfn.XLOOKUP(Table3[[#This Row],[Cuenta]],Estructura_Balance[Nombre Cuenta ()],Estructura_Balance[Nivel 3],"",0)</f>
        <v/>
      </c>
      <c r="Q1697" t="str">
        <f>_xlfn.XLOOKUP(Table3[[#This Row],[Cuenta]],Estructura_Balance[Nombre Cuenta ()],Estructura_Balance[Nivel 4],"",0)</f>
        <v/>
      </c>
      <c r="R1697" t="str">
        <f>_xlfn.XLOOKUP(Table3[[#This Row],[Cuenta]],Table8[Nombre Cuenta ()],Table8[Nivel 1],"",0)</f>
        <v/>
      </c>
      <c r="S1697" t="str">
        <f>_xlfn.XLOOKUP(Table3[[#This Row],[Cuenta]],Table8[Nombre Cuenta ()],Table8[Nivel 2],"",0)</f>
        <v/>
      </c>
      <c r="T1697" t="str">
        <f>_xlfn.XLOOKUP(Table3[[#This Row],[Cuenta]],Table8[Nombre Cuenta ()],Table8[Nivel 3],"",0)</f>
        <v/>
      </c>
      <c r="U1697">
        <v>254</v>
      </c>
      <c r="V1697" t="str">
        <f>_xlfn.XLOOKUP(Table3[[#This Row],[Cuenta]],Estructura_Balance[Nombre Cuenta ()],Estructura_Balance[Niveles:2],"",0)</f>
        <v/>
      </c>
      <c r="W1697" t="str">
        <f>_xlfn.XLOOKUP(Table3[[#This Row],[Cuenta]],Estructura_Balance[Nombre Cuenta ()],Estructura_Balance[Niveles:3],"",0)</f>
        <v/>
      </c>
      <c r="X1697" t="str">
        <f>_xlfn.XLOOKUP(Table3[[#This Row],[Cuenta]],Estructura_Balance[Nombre Cuenta ()],Estructura_Balance[Grupos],"Grupo 1",0)</f>
        <v>Grupo 1</v>
      </c>
      <c r="Y1697" t="str">
        <f>+Table3[[#This Row],[BS_Nivel_1]]</f>
        <v/>
      </c>
    </row>
    <row r="1698" spans="1:25" ht="15" customHeight="1">
      <c r="A1698">
        <f>+'Libro Diario'!F192</f>
        <v>17</v>
      </c>
      <c r="B1698" s="144">
        <f>VALUE(IF(+'Libro Diario'!G192="","01/01/2025",+'Libro Diario'!G192))</f>
        <v>45767</v>
      </c>
      <c r="C1698">
        <f>IF(ISNUMBER(+IF(IFERROR(VALUE(MID('Libro Diario'!C192,1,4)),0)&lt;&gt;0,'Libro Diario'!C192,0))=FALSE,'Libro Diario'!C192,0)</f>
        <v>0</v>
      </c>
      <c r="D1698" s="145">
        <f>+'Libro Diario'!B192</f>
        <v>0</v>
      </c>
      <c r="E1698" s="139" t="s">
        <v>445</v>
      </c>
      <c r="F1698" t="str">
        <f t="shared" si="78"/>
        <v>Sin Mov.</v>
      </c>
      <c r="G1698" t="str">
        <f>IF(+'Libro Diario'!H192=0,"",+'Libro Diario'!H192)</f>
        <v>Operaciones del Ejercicio</v>
      </c>
      <c r="H1698" t="str">
        <f>IF(+'Libro Diario'!I192=0,"",+'Libro Diario'!I192)</f>
        <v/>
      </c>
      <c r="I1698" t="str">
        <f>+IF(Table3[[#This Row],[Tipo Movimiento]]="Estructura Balance y PyG","Excluir","Incluir")</f>
        <v>Incluir</v>
      </c>
      <c r="J1698" s="153">
        <f>+IF(Table3[[#This Row],[Sin cuenta]]="Con Mov.",(IF(Table3[[#This Row],[Movimiento]]="Debe",Table3[[#This Row],[Importe]],IF(Table3[[#This Row],[Movimiento]]="Haber",Table3[[#This Row],[Importe]]*-1,0))),0)</f>
        <v>0</v>
      </c>
      <c r="K1698" s="145">
        <f t="shared" si="79"/>
        <v>0</v>
      </c>
      <c r="L1698" s="145" t="str">
        <f t="shared" si="80"/>
        <v/>
      </c>
      <c r="M1698" t="str">
        <f>_xlfn.XLOOKUP(Table3[[#This Row],[Cuenta]],Estructura_Balance[Nombre Cuenta ()],Estructura_Balance[Grupo],"",0)</f>
        <v/>
      </c>
      <c r="N1698" t="str">
        <f>_xlfn.XLOOKUP(Table3[[#This Row],[Cuenta]],Estructura_Balance[Nombre Cuenta ()],Estructura_Balance[Nivel 1],"",0)</f>
        <v/>
      </c>
      <c r="O1698" t="str">
        <f>_xlfn.XLOOKUP(Table3[[#This Row],[Cuenta]],Estructura_Balance[Nombre Cuenta ()],Estructura_Balance[Nivel 2],"",0)</f>
        <v/>
      </c>
      <c r="P1698" t="str">
        <f>_xlfn.XLOOKUP(Table3[[#This Row],[Cuenta]],Estructura_Balance[Nombre Cuenta ()],Estructura_Balance[Nivel 3],"",0)</f>
        <v/>
      </c>
      <c r="Q1698" t="str">
        <f>_xlfn.XLOOKUP(Table3[[#This Row],[Cuenta]],Estructura_Balance[Nombre Cuenta ()],Estructura_Balance[Nivel 4],"",0)</f>
        <v/>
      </c>
      <c r="R1698" t="str">
        <f>_xlfn.XLOOKUP(Table3[[#This Row],[Cuenta]],Table8[Nombre Cuenta ()],Table8[Nivel 1],"",0)</f>
        <v/>
      </c>
      <c r="S1698" t="str">
        <f>_xlfn.XLOOKUP(Table3[[#This Row],[Cuenta]],Table8[Nombre Cuenta ()],Table8[Nivel 2],"",0)</f>
        <v/>
      </c>
      <c r="T1698" t="str">
        <f>_xlfn.XLOOKUP(Table3[[#This Row],[Cuenta]],Table8[Nombre Cuenta ()],Table8[Nivel 3],"",0)</f>
        <v/>
      </c>
      <c r="U1698">
        <v>255</v>
      </c>
      <c r="V1698" t="str">
        <f>_xlfn.XLOOKUP(Table3[[#This Row],[Cuenta]],Estructura_Balance[Nombre Cuenta ()],Estructura_Balance[Niveles:2],"",0)</f>
        <v/>
      </c>
      <c r="W1698" t="str">
        <f>_xlfn.XLOOKUP(Table3[[#This Row],[Cuenta]],Estructura_Balance[Nombre Cuenta ()],Estructura_Balance[Niveles:3],"",0)</f>
        <v/>
      </c>
      <c r="X1698" t="str">
        <f>_xlfn.XLOOKUP(Table3[[#This Row],[Cuenta]],Estructura_Balance[Nombre Cuenta ()],Estructura_Balance[Grupos],"Grupo 1",0)</f>
        <v>Grupo 1</v>
      </c>
      <c r="Y1698" t="str">
        <f>+Table3[[#This Row],[BS_Nivel_1]]</f>
        <v/>
      </c>
    </row>
    <row r="1699" spans="1:25" ht="15" customHeight="1">
      <c r="A1699">
        <f>+'Libro Diario'!F191</f>
        <v>17</v>
      </c>
      <c r="B1699" s="144">
        <f>VALUE(IF(+'Libro Diario'!G191="","01/01/2025",+'Libro Diario'!G191))</f>
        <v>45767</v>
      </c>
      <c r="C1699">
        <f>IF(ISNUMBER(+IF(IFERROR(VALUE(MID('Libro Diario'!D191,1,4)),0)&lt;&gt;0,'Libro Diario'!D191,0))=FALSE,'Libro Diario'!D191,0)</f>
        <v>0</v>
      </c>
      <c r="D1699" s="145">
        <f>+'Libro Diario'!E191</f>
        <v>0</v>
      </c>
      <c r="E1699" s="139" t="s">
        <v>446</v>
      </c>
      <c r="F1699" t="str">
        <f t="shared" si="78"/>
        <v>Sin Mov.</v>
      </c>
      <c r="G1699" t="str">
        <f>IF(+'Libro Diario'!H191=0,"",+'Libro Diario'!H191)</f>
        <v>Operaciones del Ejercicio</v>
      </c>
      <c r="H1699" t="str">
        <f>IF(+'Libro Diario'!I191=0,"",+'Libro Diario'!I191)</f>
        <v/>
      </c>
      <c r="I1699" t="str">
        <f>+IF(Table3[[#This Row],[Tipo Movimiento]]="Estructura Balance y PyG","Excluir","Incluir")</f>
        <v>Incluir</v>
      </c>
      <c r="J1699" s="153">
        <f>+IF(Table3[[#This Row],[Sin cuenta]]="Con Mov.",(IF(Table3[[#This Row],[Movimiento]]="Debe",Table3[[#This Row],[Importe]],IF(Table3[[#This Row],[Movimiento]]="Haber",Table3[[#This Row],[Importe]]*-1,0))),0)</f>
        <v>0</v>
      </c>
      <c r="K1699" s="145" t="str">
        <f t="shared" si="79"/>
        <v/>
      </c>
      <c r="L1699" s="145">
        <f t="shared" si="80"/>
        <v>0</v>
      </c>
      <c r="M1699" t="str">
        <f>_xlfn.XLOOKUP(Table3[[#This Row],[Cuenta]],Estructura_Balance[Nombre Cuenta ()],Estructura_Balance[Grupo],"",0)</f>
        <v/>
      </c>
      <c r="N1699" t="str">
        <f>_xlfn.XLOOKUP(Table3[[#This Row],[Cuenta]],Estructura_Balance[Nombre Cuenta ()],Estructura_Balance[Nivel 1],"",0)</f>
        <v/>
      </c>
      <c r="O1699" t="str">
        <f>_xlfn.XLOOKUP(Table3[[#This Row],[Cuenta]],Estructura_Balance[Nombre Cuenta ()],Estructura_Balance[Nivel 2],"",0)</f>
        <v/>
      </c>
      <c r="P1699" t="str">
        <f>_xlfn.XLOOKUP(Table3[[#This Row],[Cuenta]],Estructura_Balance[Nombre Cuenta ()],Estructura_Balance[Nivel 3],"",0)</f>
        <v/>
      </c>
      <c r="Q1699" t="str">
        <f>_xlfn.XLOOKUP(Table3[[#This Row],[Cuenta]],Estructura_Balance[Nombre Cuenta ()],Estructura_Balance[Nivel 4],"",0)</f>
        <v/>
      </c>
      <c r="R1699" t="str">
        <f>_xlfn.XLOOKUP(Table3[[#This Row],[Cuenta]],Table8[Nombre Cuenta ()],Table8[Nivel 1],"",0)</f>
        <v/>
      </c>
      <c r="S1699" t="str">
        <f>_xlfn.XLOOKUP(Table3[[#This Row],[Cuenta]],Table8[Nombre Cuenta ()],Table8[Nivel 2],"",0)</f>
        <v/>
      </c>
      <c r="T1699" t="str">
        <f>_xlfn.XLOOKUP(Table3[[#This Row],[Cuenta]],Table8[Nombre Cuenta ()],Table8[Nivel 3],"",0)</f>
        <v/>
      </c>
      <c r="U1699">
        <v>1584</v>
      </c>
      <c r="V1699" t="str">
        <f>_xlfn.XLOOKUP(Table3[[#This Row],[Cuenta]],Estructura_Balance[Nombre Cuenta ()],Estructura_Balance[Niveles:2],"",0)</f>
        <v/>
      </c>
      <c r="W1699" t="str">
        <f>_xlfn.XLOOKUP(Table3[[#This Row],[Cuenta]],Estructura_Balance[Nombre Cuenta ()],Estructura_Balance[Niveles:3],"",0)</f>
        <v/>
      </c>
      <c r="X1699" t="str">
        <f>_xlfn.XLOOKUP(Table3[[#This Row],[Cuenta]],Estructura_Balance[Nombre Cuenta ()],Estructura_Balance[Grupos],"Grupo 1",0)</f>
        <v>Grupo 1</v>
      </c>
      <c r="Y1699" t="str">
        <f>+Table3[[#This Row],[BS_Nivel_1]]</f>
        <v/>
      </c>
    </row>
    <row r="1700" spans="1:25" ht="15" customHeight="1">
      <c r="A1700">
        <f>+'Libro Diario'!F192</f>
        <v>17</v>
      </c>
      <c r="B1700" s="144">
        <f>VALUE(IF(+'Libro Diario'!G192="","01/01/2025",+'Libro Diario'!G192))</f>
        <v>45767</v>
      </c>
      <c r="C1700">
        <f>IF(ISNUMBER(+IF(IFERROR(VALUE(MID('Libro Diario'!D192,1,4)),0)&lt;&gt;0,'Libro Diario'!D192,0))=FALSE,'Libro Diario'!D192,0)</f>
        <v>0</v>
      </c>
      <c r="D1700" s="145">
        <f>+'Libro Diario'!E192</f>
        <v>0</v>
      </c>
      <c r="E1700" s="139" t="s">
        <v>446</v>
      </c>
      <c r="F1700" t="str">
        <f t="shared" si="78"/>
        <v>Sin Mov.</v>
      </c>
      <c r="G1700" t="str">
        <f>IF(+'Libro Diario'!H192=0,"",+'Libro Diario'!H192)</f>
        <v>Operaciones del Ejercicio</v>
      </c>
      <c r="H1700" t="str">
        <f>IF(+'Libro Diario'!I192=0,"",+'Libro Diario'!I192)</f>
        <v/>
      </c>
      <c r="I1700" t="str">
        <f>+IF(Table3[[#This Row],[Tipo Movimiento]]="Estructura Balance y PyG","Excluir","Incluir")</f>
        <v>Incluir</v>
      </c>
      <c r="J1700" s="153">
        <f>+IF(Table3[[#This Row],[Sin cuenta]]="Con Mov.",(IF(Table3[[#This Row],[Movimiento]]="Debe",Table3[[#This Row],[Importe]],IF(Table3[[#This Row],[Movimiento]]="Haber",Table3[[#This Row],[Importe]]*-1,0))),0)</f>
        <v>0</v>
      </c>
      <c r="K1700" s="145" t="str">
        <f t="shared" si="79"/>
        <v/>
      </c>
      <c r="L1700" s="145">
        <f t="shared" si="80"/>
        <v>0</v>
      </c>
      <c r="M1700" t="str">
        <f>_xlfn.XLOOKUP(Table3[[#This Row],[Cuenta]],Estructura_Balance[Nombre Cuenta ()],Estructura_Balance[Grupo],"",0)</f>
        <v/>
      </c>
      <c r="N1700" t="str">
        <f>_xlfn.XLOOKUP(Table3[[#This Row],[Cuenta]],Estructura_Balance[Nombre Cuenta ()],Estructura_Balance[Nivel 1],"",0)</f>
        <v/>
      </c>
      <c r="O1700" t="str">
        <f>_xlfn.XLOOKUP(Table3[[#This Row],[Cuenta]],Estructura_Balance[Nombre Cuenta ()],Estructura_Balance[Nivel 2],"",0)</f>
        <v/>
      </c>
      <c r="P1700" t="str">
        <f>_xlfn.XLOOKUP(Table3[[#This Row],[Cuenta]],Estructura_Balance[Nombre Cuenta ()],Estructura_Balance[Nivel 3],"",0)</f>
        <v/>
      </c>
      <c r="Q1700" t="str">
        <f>_xlfn.XLOOKUP(Table3[[#This Row],[Cuenta]],Estructura_Balance[Nombre Cuenta ()],Estructura_Balance[Nivel 4],"",0)</f>
        <v/>
      </c>
      <c r="R1700" t="str">
        <f>_xlfn.XLOOKUP(Table3[[#This Row],[Cuenta]],Table8[Nombre Cuenta ()],Table8[Nivel 1],"",0)</f>
        <v/>
      </c>
      <c r="S1700" t="str">
        <f>_xlfn.XLOOKUP(Table3[[#This Row],[Cuenta]],Table8[Nombre Cuenta ()],Table8[Nivel 2],"",0)</f>
        <v/>
      </c>
      <c r="T1700" t="str">
        <f>_xlfn.XLOOKUP(Table3[[#This Row],[Cuenta]],Table8[Nombre Cuenta ()],Table8[Nivel 3],"",0)</f>
        <v/>
      </c>
      <c r="U1700">
        <v>1585</v>
      </c>
      <c r="V1700" t="str">
        <f>_xlfn.XLOOKUP(Table3[[#This Row],[Cuenta]],Estructura_Balance[Nombre Cuenta ()],Estructura_Balance[Niveles:2],"",0)</f>
        <v/>
      </c>
      <c r="W1700" t="str">
        <f>_xlfn.XLOOKUP(Table3[[#This Row],[Cuenta]],Estructura_Balance[Nombre Cuenta ()],Estructura_Balance[Niveles:3],"",0)</f>
        <v/>
      </c>
      <c r="X1700" t="str">
        <f>_xlfn.XLOOKUP(Table3[[#This Row],[Cuenta]],Estructura_Balance[Nombre Cuenta ()],Estructura_Balance[Grupos],"Grupo 1",0)</f>
        <v>Grupo 1</v>
      </c>
      <c r="Y1700" t="str">
        <f>+Table3[[#This Row],[BS_Nivel_1]]</f>
        <v/>
      </c>
    </row>
    <row r="1701" spans="1:25" ht="15" customHeight="1">
      <c r="A1701">
        <f>+'Libro Diario'!F198</f>
        <v>18</v>
      </c>
      <c r="B1701" s="144">
        <f>VALUE(IF(+'Libro Diario'!G198="","01/01/2025",+'Libro Diario'!G198))</f>
        <v>45777</v>
      </c>
      <c r="C1701">
        <f>IF(ISNUMBER(+IF(IFERROR(VALUE(MID('Libro Diario'!C198,1,4)),0)&lt;&gt;0,'Libro Diario'!C198,0))=FALSE,'Libro Diario'!C198,0)</f>
        <v>0</v>
      </c>
      <c r="D1701" s="145">
        <f>+'Libro Diario'!B198</f>
        <v>0</v>
      </c>
      <c r="E1701" s="139" t="s">
        <v>445</v>
      </c>
      <c r="F1701" t="str">
        <f t="shared" si="78"/>
        <v>Sin Mov.</v>
      </c>
      <c r="G1701" t="str">
        <f>IF(+'Libro Diario'!H198=0,"",+'Libro Diario'!H198)</f>
        <v>Operaciones del Ejercicio</v>
      </c>
      <c r="H1701" t="str">
        <f>IF(+'Libro Diario'!I198=0,"",+'Libro Diario'!I198)</f>
        <v/>
      </c>
      <c r="I1701" t="str">
        <f>+IF(Table3[[#This Row],[Tipo Movimiento]]="Estructura Balance y PyG","Excluir","Incluir")</f>
        <v>Incluir</v>
      </c>
      <c r="J1701" s="153">
        <f>+IF(Table3[[#This Row],[Sin cuenta]]="Con Mov.",(IF(Table3[[#This Row],[Movimiento]]="Debe",Table3[[#This Row],[Importe]],IF(Table3[[#This Row],[Movimiento]]="Haber",Table3[[#This Row],[Importe]]*-1,0))),0)</f>
        <v>0</v>
      </c>
      <c r="K1701" s="145">
        <f t="shared" si="79"/>
        <v>0</v>
      </c>
      <c r="L1701" s="145" t="str">
        <f t="shared" si="80"/>
        <v/>
      </c>
      <c r="M1701" t="str">
        <f>_xlfn.XLOOKUP(Table3[[#This Row],[Cuenta]],Estructura_Balance[Nombre Cuenta ()],Estructura_Balance[Grupo],"",0)</f>
        <v/>
      </c>
      <c r="N1701" t="str">
        <f>_xlfn.XLOOKUP(Table3[[#This Row],[Cuenta]],Estructura_Balance[Nombre Cuenta ()],Estructura_Balance[Nivel 1],"",0)</f>
        <v/>
      </c>
      <c r="O1701" t="str">
        <f>_xlfn.XLOOKUP(Table3[[#This Row],[Cuenta]],Estructura_Balance[Nombre Cuenta ()],Estructura_Balance[Nivel 2],"",0)</f>
        <v/>
      </c>
      <c r="P1701" t="str">
        <f>_xlfn.XLOOKUP(Table3[[#This Row],[Cuenta]],Estructura_Balance[Nombre Cuenta ()],Estructura_Balance[Nivel 3],"",0)</f>
        <v/>
      </c>
      <c r="Q1701" t="str">
        <f>_xlfn.XLOOKUP(Table3[[#This Row],[Cuenta]],Estructura_Balance[Nombre Cuenta ()],Estructura_Balance[Nivel 4],"",0)</f>
        <v/>
      </c>
      <c r="R1701" t="str">
        <f>_xlfn.XLOOKUP(Table3[[#This Row],[Cuenta]],Table8[Nombre Cuenta ()],Table8[Nivel 1],"",0)</f>
        <v/>
      </c>
      <c r="S1701" t="str">
        <f>_xlfn.XLOOKUP(Table3[[#This Row],[Cuenta]],Table8[Nombre Cuenta ()],Table8[Nivel 2],"",0)</f>
        <v/>
      </c>
      <c r="T1701" t="str">
        <f>_xlfn.XLOOKUP(Table3[[#This Row],[Cuenta]],Table8[Nombre Cuenta ()],Table8[Nivel 3],"",0)</f>
        <v/>
      </c>
      <c r="U1701">
        <v>263</v>
      </c>
      <c r="V1701" t="str">
        <f>_xlfn.XLOOKUP(Table3[[#This Row],[Cuenta]],Estructura_Balance[Nombre Cuenta ()],Estructura_Balance[Niveles:2],"",0)</f>
        <v/>
      </c>
      <c r="W1701" t="str">
        <f>_xlfn.XLOOKUP(Table3[[#This Row],[Cuenta]],Estructura_Balance[Nombre Cuenta ()],Estructura_Balance[Niveles:3],"",0)</f>
        <v/>
      </c>
      <c r="X1701" t="str">
        <f>_xlfn.XLOOKUP(Table3[[#This Row],[Cuenta]],Estructura_Balance[Nombre Cuenta ()],Estructura_Balance[Grupos],"Grupo 1",0)</f>
        <v>Grupo 1</v>
      </c>
      <c r="Y1701" t="str">
        <f>+Table3[[#This Row],[BS_Nivel_1]]</f>
        <v/>
      </c>
    </row>
    <row r="1702" spans="1:25" ht="15" customHeight="1">
      <c r="A1702">
        <f>+'Libro Diario'!F199</f>
        <v>18</v>
      </c>
      <c r="B1702" s="144">
        <f>VALUE(IF(+'Libro Diario'!G199="","01/01/2025",+'Libro Diario'!G199))</f>
        <v>45777</v>
      </c>
      <c r="C1702">
        <f>IF(ISNUMBER(+IF(IFERROR(VALUE(MID('Libro Diario'!C199,1,4)),0)&lt;&gt;0,'Libro Diario'!C199,0))=FALSE,'Libro Diario'!C199,0)</f>
        <v>0</v>
      </c>
      <c r="D1702" s="145">
        <f>+'Libro Diario'!B199</f>
        <v>0</v>
      </c>
      <c r="E1702" s="139" t="s">
        <v>445</v>
      </c>
      <c r="F1702" t="str">
        <f t="shared" si="78"/>
        <v>Sin Mov.</v>
      </c>
      <c r="G1702" t="str">
        <f>IF(+'Libro Diario'!H199=0,"",+'Libro Diario'!H199)</f>
        <v>Operaciones del Ejercicio</v>
      </c>
      <c r="H1702" t="str">
        <f>IF(+'Libro Diario'!I199=0,"",+'Libro Diario'!I199)</f>
        <v/>
      </c>
      <c r="I1702" t="str">
        <f>+IF(Table3[[#This Row],[Tipo Movimiento]]="Estructura Balance y PyG","Excluir","Incluir")</f>
        <v>Incluir</v>
      </c>
      <c r="J1702" s="153">
        <f>+IF(Table3[[#This Row],[Sin cuenta]]="Con Mov.",(IF(Table3[[#This Row],[Movimiento]]="Debe",Table3[[#This Row],[Importe]],IF(Table3[[#This Row],[Movimiento]]="Haber",Table3[[#This Row],[Importe]]*-1,0))),0)</f>
        <v>0</v>
      </c>
      <c r="K1702" s="145">
        <f t="shared" si="79"/>
        <v>0</v>
      </c>
      <c r="L1702" s="145" t="str">
        <f t="shared" si="80"/>
        <v/>
      </c>
      <c r="M1702" t="str">
        <f>_xlfn.XLOOKUP(Table3[[#This Row],[Cuenta]],Estructura_Balance[Nombre Cuenta ()],Estructura_Balance[Grupo],"",0)</f>
        <v/>
      </c>
      <c r="N1702" t="str">
        <f>_xlfn.XLOOKUP(Table3[[#This Row],[Cuenta]],Estructura_Balance[Nombre Cuenta ()],Estructura_Balance[Nivel 1],"",0)</f>
        <v/>
      </c>
      <c r="O1702" t="str">
        <f>_xlfn.XLOOKUP(Table3[[#This Row],[Cuenta]],Estructura_Balance[Nombre Cuenta ()],Estructura_Balance[Nivel 2],"",0)</f>
        <v/>
      </c>
      <c r="P1702" t="str">
        <f>_xlfn.XLOOKUP(Table3[[#This Row],[Cuenta]],Estructura_Balance[Nombre Cuenta ()],Estructura_Balance[Nivel 3],"",0)</f>
        <v/>
      </c>
      <c r="Q1702" t="str">
        <f>_xlfn.XLOOKUP(Table3[[#This Row],[Cuenta]],Estructura_Balance[Nombre Cuenta ()],Estructura_Balance[Nivel 4],"",0)</f>
        <v/>
      </c>
      <c r="R1702" t="str">
        <f>_xlfn.XLOOKUP(Table3[[#This Row],[Cuenta]],Table8[Nombre Cuenta ()],Table8[Nivel 1],"",0)</f>
        <v/>
      </c>
      <c r="S1702" t="str">
        <f>_xlfn.XLOOKUP(Table3[[#This Row],[Cuenta]],Table8[Nombre Cuenta ()],Table8[Nivel 2],"",0)</f>
        <v/>
      </c>
      <c r="T1702" t="str">
        <f>_xlfn.XLOOKUP(Table3[[#This Row],[Cuenta]],Table8[Nombre Cuenta ()],Table8[Nivel 3],"",0)</f>
        <v/>
      </c>
      <c r="U1702">
        <v>266</v>
      </c>
      <c r="V1702" t="str">
        <f>_xlfn.XLOOKUP(Table3[[#This Row],[Cuenta]],Estructura_Balance[Nombre Cuenta ()],Estructura_Balance[Niveles:2],"",0)</f>
        <v/>
      </c>
      <c r="W1702" t="str">
        <f>_xlfn.XLOOKUP(Table3[[#This Row],[Cuenta]],Estructura_Balance[Nombre Cuenta ()],Estructura_Balance[Niveles:3],"",0)</f>
        <v/>
      </c>
      <c r="X1702" t="str">
        <f>_xlfn.XLOOKUP(Table3[[#This Row],[Cuenta]],Estructura_Balance[Nombre Cuenta ()],Estructura_Balance[Grupos],"Grupo 1",0)</f>
        <v>Grupo 1</v>
      </c>
      <c r="Y1702" t="str">
        <f>+Table3[[#This Row],[BS_Nivel_1]]</f>
        <v/>
      </c>
    </row>
    <row r="1703" spans="1:25" ht="15" customHeight="1">
      <c r="A1703">
        <f>+'Libro Diario'!F200</f>
        <v>18</v>
      </c>
      <c r="B1703" s="144">
        <f>VALUE(IF(+'Libro Diario'!G200="","01/01/2025",+'Libro Diario'!G200))</f>
        <v>45777</v>
      </c>
      <c r="C1703">
        <f>IF(ISNUMBER(+IF(IFERROR(VALUE(MID('Libro Diario'!C200,1,4)),0)&lt;&gt;0,'Libro Diario'!C200,0))=FALSE,'Libro Diario'!C200,0)</f>
        <v>0</v>
      </c>
      <c r="D1703" s="145">
        <f>+'Libro Diario'!B200</f>
        <v>0</v>
      </c>
      <c r="E1703" s="139" t="s">
        <v>445</v>
      </c>
      <c r="F1703" t="str">
        <f t="shared" si="78"/>
        <v>Sin Mov.</v>
      </c>
      <c r="G1703" t="str">
        <f>IF(+'Libro Diario'!H200=0,"",+'Libro Diario'!H200)</f>
        <v>Operaciones del Ejercicio</v>
      </c>
      <c r="H1703" t="str">
        <f>IF(+'Libro Diario'!I200=0,"",+'Libro Diario'!I200)</f>
        <v/>
      </c>
      <c r="I1703" t="str">
        <f>+IF(Table3[[#This Row],[Tipo Movimiento]]="Estructura Balance y PyG","Excluir","Incluir")</f>
        <v>Incluir</v>
      </c>
      <c r="J1703" s="153">
        <f>+IF(Table3[[#This Row],[Sin cuenta]]="Con Mov.",(IF(Table3[[#This Row],[Movimiento]]="Debe",Table3[[#This Row],[Importe]],IF(Table3[[#This Row],[Movimiento]]="Haber",Table3[[#This Row],[Importe]]*-1,0))),0)</f>
        <v>0</v>
      </c>
      <c r="K1703" s="145">
        <f t="shared" si="79"/>
        <v>0</v>
      </c>
      <c r="L1703" s="145" t="str">
        <f t="shared" si="80"/>
        <v/>
      </c>
      <c r="M1703" t="str">
        <f>_xlfn.XLOOKUP(Table3[[#This Row],[Cuenta]],Estructura_Balance[Nombre Cuenta ()],Estructura_Balance[Grupo],"",0)</f>
        <v/>
      </c>
      <c r="N1703" t="str">
        <f>_xlfn.XLOOKUP(Table3[[#This Row],[Cuenta]],Estructura_Balance[Nombre Cuenta ()],Estructura_Balance[Nivel 1],"",0)</f>
        <v/>
      </c>
      <c r="O1703" t="str">
        <f>_xlfn.XLOOKUP(Table3[[#This Row],[Cuenta]],Estructura_Balance[Nombre Cuenta ()],Estructura_Balance[Nivel 2],"",0)</f>
        <v/>
      </c>
      <c r="P1703" t="str">
        <f>_xlfn.XLOOKUP(Table3[[#This Row],[Cuenta]],Estructura_Balance[Nombre Cuenta ()],Estructura_Balance[Nivel 3],"",0)</f>
        <v/>
      </c>
      <c r="Q1703" t="str">
        <f>_xlfn.XLOOKUP(Table3[[#This Row],[Cuenta]],Estructura_Balance[Nombre Cuenta ()],Estructura_Balance[Nivel 4],"",0)</f>
        <v/>
      </c>
      <c r="R1703" t="str">
        <f>_xlfn.XLOOKUP(Table3[[#This Row],[Cuenta]],Table8[Nombre Cuenta ()],Table8[Nivel 1],"",0)</f>
        <v/>
      </c>
      <c r="S1703" t="str">
        <f>_xlfn.XLOOKUP(Table3[[#This Row],[Cuenta]],Table8[Nombre Cuenta ()],Table8[Nivel 2],"",0)</f>
        <v/>
      </c>
      <c r="T1703" t="str">
        <f>_xlfn.XLOOKUP(Table3[[#This Row],[Cuenta]],Table8[Nombre Cuenta ()],Table8[Nivel 3],"",0)</f>
        <v/>
      </c>
      <c r="U1703">
        <v>267</v>
      </c>
      <c r="V1703" t="str">
        <f>_xlfn.XLOOKUP(Table3[[#This Row],[Cuenta]],Estructura_Balance[Nombre Cuenta ()],Estructura_Balance[Niveles:2],"",0)</f>
        <v/>
      </c>
      <c r="W1703" t="str">
        <f>_xlfn.XLOOKUP(Table3[[#This Row],[Cuenta]],Estructura_Balance[Nombre Cuenta ()],Estructura_Balance[Niveles:3],"",0)</f>
        <v/>
      </c>
      <c r="X1703" t="str">
        <f>_xlfn.XLOOKUP(Table3[[#This Row],[Cuenta]],Estructura_Balance[Nombre Cuenta ()],Estructura_Balance[Grupos],"Grupo 1",0)</f>
        <v>Grupo 1</v>
      </c>
      <c r="Y1703" t="str">
        <f>+Table3[[#This Row],[BS_Nivel_1]]</f>
        <v/>
      </c>
    </row>
    <row r="1704" spans="1:25" ht="15" customHeight="1">
      <c r="A1704">
        <f>+'Libro Diario'!F201</f>
        <v>18</v>
      </c>
      <c r="B1704" s="144">
        <f>VALUE(IF(+'Libro Diario'!G201="","01/01/2025",+'Libro Diario'!G201))</f>
        <v>45777</v>
      </c>
      <c r="C1704">
        <f>IF(ISNUMBER(+IF(IFERROR(VALUE(MID('Libro Diario'!C201,1,4)),0)&lt;&gt;0,'Libro Diario'!C201,0))=FALSE,'Libro Diario'!C201,0)</f>
        <v>0</v>
      </c>
      <c r="D1704" s="145">
        <f>+'Libro Diario'!B201</f>
        <v>0</v>
      </c>
      <c r="E1704" s="139" t="s">
        <v>445</v>
      </c>
      <c r="F1704" t="str">
        <f t="shared" si="78"/>
        <v>Sin Mov.</v>
      </c>
      <c r="G1704" t="str">
        <f>IF(+'Libro Diario'!H201=0,"",+'Libro Diario'!H201)</f>
        <v>Operaciones del Ejercicio</v>
      </c>
      <c r="H1704" t="str">
        <f>IF(+'Libro Diario'!I201=0,"",+'Libro Diario'!I201)</f>
        <v/>
      </c>
      <c r="I1704" t="str">
        <f>+IF(Table3[[#This Row],[Tipo Movimiento]]="Estructura Balance y PyG","Excluir","Incluir")</f>
        <v>Incluir</v>
      </c>
      <c r="J1704" s="153">
        <f>+IF(Table3[[#This Row],[Sin cuenta]]="Con Mov.",(IF(Table3[[#This Row],[Movimiento]]="Debe",Table3[[#This Row],[Importe]],IF(Table3[[#This Row],[Movimiento]]="Haber",Table3[[#This Row],[Importe]]*-1,0))),0)</f>
        <v>0</v>
      </c>
      <c r="K1704" s="145">
        <f t="shared" si="79"/>
        <v>0</v>
      </c>
      <c r="L1704" s="145" t="str">
        <f t="shared" si="80"/>
        <v/>
      </c>
      <c r="M1704" t="str">
        <f>_xlfn.XLOOKUP(Table3[[#This Row],[Cuenta]],Estructura_Balance[Nombre Cuenta ()],Estructura_Balance[Grupo],"",0)</f>
        <v/>
      </c>
      <c r="N1704" t="str">
        <f>_xlfn.XLOOKUP(Table3[[#This Row],[Cuenta]],Estructura_Balance[Nombre Cuenta ()],Estructura_Balance[Nivel 1],"",0)</f>
        <v/>
      </c>
      <c r="O1704" t="str">
        <f>_xlfn.XLOOKUP(Table3[[#This Row],[Cuenta]],Estructura_Balance[Nombre Cuenta ()],Estructura_Balance[Nivel 2],"",0)</f>
        <v/>
      </c>
      <c r="P1704" t="str">
        <f>_xlfn.XLOOKUP(Table3[[#This Row],[Cuenta]],Estructura_Balance[Nombre Cuenta ()],Estructura_Balance[Nivel 3],"",0)</f>
        <v/>
      </c>
      <c r="Q1704" t="str">
        <f>_xlfn.XLOOKUP(Table3[[#This Row],[Cuenta]],Estructura_Balance[Nombre Cuenta ()],Estructura_Balance[Nivel 4],"",0)</f>
        <v/>
      </c>
      <c r="R1704" t="str">
        <f>_xlfn.XLOOKUP(Table3[[#This Row],[Cuenta]],Table8[Nombre Cuenta ()],Table8[Nivel 1],"",0)</f>
        <v/>
      </c>
      <c r="S1704" t="str">
        <f>_xlfn.XLOOKUP(Table3[[#This Row],[Cuenta]],Table8[Nombre Cuenta ()],Table8[Nivel 2],"",0)</f>
        <v/>
      </c>
      <c r="T1704" t="str">
        <f>_xlfn.XLOOKUP(Table3[[#This Row],[Cuenta]],Table8[Nombre Cuenta ()],Table8[Nivel 3],"",0)</f>
        <v/>
      </c>
      <c r="U1704">
        <v>268</v>
      </c>
      <c r="V1704" t="str">
        <f>_xlfn.XLOOKUP(Table3[[#This Row],[Cuenta]],Estructura_Balance[Nombre Cuenta ()],Estructura_Balance[Niveles:2],"",0)</f>
        <v/>
      </c>
      <c r="W1704" t="str">
        <f>_xlfn.XLOOKUP(Table3[[#This Row],[Cuenta]],Estructura_Balance[Nombre Cuenta ()],Estructura_Balance[Niveles:3],"",0)</f>
        <v/>
      </c>
      <c r="X1704" t="str">
        <f>_xlfn.XLOOKUP(Table3[[#This Row],[Cuenta]],Estructura_Balance[Nombre Cuenta ()],Estructura_Balance[Grupos],"Grupo 1",0)</f>
        <v>Grupo 1</v>
      </c>
      <c r="Y1704" t="str">
        <f>+Table3[[#This Row],[BS_Nivel_1]]</f>
        <v/>
      </c>
    </row>
    <row r="1705" spans="1:25" ht="15" customHeight="1">
      <c r="A1705">
        <f>+'Libro Diario'!F198</f>
        <v>18</v>
      </c>
      <c r="B1705" s="144">
        <f>VALUE(IF(+'Libro Diario'!G198="","01/01/2025",+'Libro Diario'!G198))</f>
        <v>45777</v>
      </c>
      <c r="C1705">
        <f>IF(ISNUMBER(+IF(IFERROR(VALUE(MID('Libro Diario'!D198,1,4)),0)&lt;&gt;0,'Libro Diario'!D198,0))=FALSE,'Libro Diario'!D198,0)</f>
        <v>0</v>
      </c>
      <c r="D1705" s="145">
        <f>+'Libro Diario'!E198</f>
        <v>0</v>
      </c>
      <c r="E1705" s="139" t="s">
        <v>446</v>
      </c>
      <c r="F1705" t="str">
        <f t="shared" si="78"/>
        <v>Sin Mov.</v>
      </c>
      <c r="G1705" t="str">
        <f>IF(+'Libro Diario'!H198=0,"",+'Libro Diario'!H198)</f>
        <v>Operaciones del Ejercicio</v>
      </c>
      <c r="H1705" t="str">
        <f>IF(+'Libro Diario'!I198=0,"",+'Libro Diario'!I198)</f>
        <v/>
      </c>
      <c r="I1705" t="str">
        <f>+IF(Table3[[#This Row],[Tipo Movimiento]]="Estructura Balance y PyG","Excluir","Incluir")</f>
        <v>Incluir</v>
      </c>
      <c r="J1705" s="153">
        <f>+IF(Table3[[#This Row],[Sin cuenta]]="Con Mov.",(IF(Table3[[#This Row],[Movimiento]]="Debe",Table3[[#This Row],[Importe]],IF(Table3[[#This Row],[Movimiento]]="Haber",Table3[[#This Row],[Importe]]*-1,0))),0)</f>
        <v>0</v>
      </c>
      <c r="K1705" s="145" t="str">
        <f t="shared" si="79"/>
        <v/>
      </c>
      <c r="L1705" s="145">
        <f t="shared" si="80"/>
        <v>0</v>
      </c>
      <c r="M1705" t="str">
        <f>_xlfn.XLOOKUP(Table3[[#This Row],[Cuenta]],Estructura_Balance[Nombre Cuenta ()],Estructura_Balance[Grupo],"",0)</f>
        <v/>
      </c>
      <c r="N1705" t="str">
        <f>_xlfn.XLOOKUP(Table3[[#This Row],[Cuenta]],Estructura_Balance[Nombre Cuenta ()],Estructura_Balance[Nivel 1],"",0)</f>
        <v/>
      </c>
      <c r="O1705" t="str">
        <f>_xlfn.XLOOKUP(Table3[[#This Row],[Cuenta]],Estructura_Balance[Nombre Cuenta ()],Estructura_Balance[Nivel 2],"",0)</f>
        <v/>
      </c>
      <c r="P1705" t="str">
        <f>_xlfn.XLOOKUP(Table3[[#This Row],[Cuenta]],Estructura_Balance[Nombre Cuenta ()],Estructura_Balance[Nivel 3],"",0)</f>
        <v/>
      </c>
      <c r="Q1705" t="str">
        <f>_xlfn.XLOOKUP(Table3[[#This Row],[Cuenta]],Estructura_Balance[Nombre Cuenta ()],Estructura_Balance[Nivel 4],"",0)</f>
        <v/>
      </c>
      <c r="R1705" t="str">
        <f>_xlfn.XLOOKUP(Table3[[#This Row],[Cuenta]],Table8[Nombre Cuenta ()],Table8[Nivel 1],"",0)</f>
        <v/>
      </c>
      <c r="S1705" t="str">
        <f>_xlfn.XLOOKUP(Table3[[#This Row],[Cuenta]],Table8[Nombre Cuenta ()],Table8[Nivel 2],"",0)</f>
        <v/>
      </c>
      <c r="T1705" t="str">
        <f>_xlfn.XLOOKUP(Table3[[#This Row],[Cuenta]],Table8[Nombre Cuenta ()],Table8[Nivel 3],"",0)</f>
        <v/>
      </c>
      <c r="U1705">
        <v>1591</v>
      </c>
      <c r="V1705" t="str">
        <f>_xlfn.XLOOKUP(Table3[[#This Row],[Cuenta]],Estructura_Balance[Nombre Cuenta ()],Estructura_Balance[Niveles:2],"",0)</f>
        <v/>
      </c>
      <c r="W1705" t="str">
        <f>_xlfn.XLOOKUP(Table3[[#This Row],[Cuenta]],Estructura_Balance[Nombre Cuenta ()],Estructura_Balance[Niveles:3],"",0)</f>
        <v/>
      </c>
      <c r="X1705" t="str">
        <f>_xlfn.XLOOKUP(Table3[[#This Row],[Cuenta]],Estructura_Balance[Nombre Cuenta ()],Estructura_Balance[Grupos],"Grupo 1",0)</f>
        <v>Grupo 1</v>
      </c>
      <c r="Y1705" t="str">
        <f>+Table3[[#This Row],[BS_Nivel_1]]</f>
        <v/>
      </c>
    </row>
    <row r="1706" spans="1:25" ht="15" customHeight="1">
      <c r="A1706">
        <f>+'Libro Diario'!F199</f>
        <v>18</v>
      </c>
      <c r="B1706" s="144">
        <f>VALUE(IF(+'Libro Diario'!G199="","01/01/2025",+'Libro Diario'!G199))</f>
        <v>45777</v>
      </c>
      <c r="C1706">
        <f>IF(ISNUMBER(+IF(IFERROR(VALUE(MID('Libro Diario'!D199,1,4)),0)&lt;&gt;0,'Libro Diario'!D199,0))=FALSE,'Libro Diario'!D199,0)</f>
        <v>0</v>
      </c>
      <c r="D1706" s="145">
        <f>+'Libro Diario'!E199</f>
        <v>0</v>
      </c>
      <c r="E1706" s="139" t="s">
        <v>446</v>
      </c>
      <c r="F1706" t="str">
        <f t="shared" si="78"/>
        <v>Sin Mov.</v>
      </c>
      <c r="G1706" t="str">
        <f>IF(+'Libro Diario'!H199=0,"",+'Libro Diario'!H199)</f>
        <v>Operaciones del Ejercicio</v>
      </c>
      <c r="H1706" t="str">
        <f>IF(+'Libro Diario'!I199=0,"",+'Libro Diario'!I199)</f>
        <v/>
      </c>
      <c r="I1706" t="str">
        <f>+IF(Table3[[#This Row],[Tipo Movimiento]]="Estructura Balance y PyG","Excluir","Incluir")</f>
        <v>Incluir</v>
      </c>
      <c r="J1706" s="153">
        <f>+IF(Table3[[#This Row],[Sin cuenta]]="Con Mov.",(IF(Table3[[#This Row],[Movimiento]]="Debe",Table3[[#This Row],[Importe]],IF(Table3[[#This Row],[Movimiento]]="Haber",Table3[[#This Row],[Importe]]*-1,0))),0)</f>
        <v>0</v>
      </c>
      <c r="K1706" s="145" t="str">
        <f t="shared" si="79"/>
        <v/>
      </c>
      <c r="L1706" s="145">
        <f t="shared" si="80"/>
        <v>0</v>
      </c>
      <c r="M1706" t="str">
        <f>_xlfn.XLOOKUP(Table3[[#This Row],[Cuenta]],Estructura_Balance[Nombre Cuenta ()],Estructura_Balance[Grupo],"",0)</f>
        <v/>
      </c>
      <c r="N1706" t="str">
        <f>_xlfn.XLOOKUP(Table3[[#This Row],[Cuenta]],Estructura_Balance[Nombre Cuenta ()],Estructura_Balance[Nivel 1],"",0)</f>
        <v/>
      </c>
      <c r="O1706" t="str">
        <f>_xlfn.XLOOKUP(Table3[[#This Row],[Cuenta]],Estructura_Balance[Nombre Cuenta ()],Estructura_Balance[Nivel 2],"",0)</f>
        <v/>
      </c>
      <c r="P1706" t="str">
        <f>_xlfn.XLOOKUP(Table3[[#This Row],[Cuenta]],Estructura_Balance[Nombre Cuenta ()],Estructura_Balance[Nivel 3],"",0)</f>
        <v/>
      </c>
      <c r="Q1706" t="str">
        <f>_xlfn.XLOOKUP(Table3[[#This Row],[Cuenta]],Estructura_Balance[Nombre Cuenta ()],Estructura_Balance[Nivel 4],"",0)</f>
        <v/>
      </c>
      <c r="R1706" t="str">
        <f>_xlfn.XLOOKUP(Table3[[#This Row],[Cuenta]],Table8[Nombre Cuenta ()],Table8[Nivel 1],"",0)</f>
        <v/>
      </c>
      <c r="S1706" t="str">
        <f>_xlfn.XLOOKUP(Table3[[#This Row],[Cuenta]],Table8[Nombre Cuenta ()],Table8[Nivel 2],"",0)</f>
        <v/>
      </c>
      <c r="T1706" t="str">
        <f>_xlfn.XLOOKUP(Table3[[#This Row],[Cuenta]],Table8[Nombre Cuenta ()],Table8[Nivel 3],"",0)</f>
        <v/>
      </c>
      <c r="U1706">
        <v>1592</v>
      </c>
      <c r="V1706" t="str">
        <f>_xlfn.XLOOKUP(Table3[[#This Row],[Cuenta]],Estructura_Balance[Nombre Cuenta ()],Estructura_Balance[Niveles:2],"",0)</f>
        <v/>
      </c>
      <c r="W1706" t="str">
        <f>_xlfn.XLOOKUP(Table3[[#This Row],[Cuenta]],Estructura_Balance[Nombre Cuenta ()],Estructura_Balance[Niveles:3],"",0)</f>
        <v/>
      </c>
      <c r="X1706" t="str">
        <f>_xlfn.XLOOKUP(Table3[[#This Row],[Cuenta]],Estructura_Balance[Nombre Cuenta ()],Estructura_Balance[Grupos],"Grupo 1",0)</f>
        <v>Grupo 1</v>
      </c>
      <c r="Y1706" t="str">
        <f>+Table3[[#This Row],[BS_Nivel_1]]</f>
        <v/>
      </c>
    </row>
    <row r="1707" spans="1:25" ht="15" customHeight="1">
      <c r="A1707">
        <f>+'Libro Diario'!F200</f>
        <v>18</v>
      </c>
      <c r="B1707" s="144">
        <f>VALUE(IF(+'Libro Diario'!G200="","01/01/2025",+'Libro Diario'!G200))</f>
        <v>45777</v>
      </c>
      <c r="C1707">
        <f>IF(ISNUMBER(+IF(IFERROR(VALUE(MID('Libro Diario'!D200,1,4)),0)&lt;&gt;0,'Libro Diario'!D200,0))=FALSE,'Libro Diario'!D200,0)</f>
        <v>0</v>
      </c>
      <c r="D1707" s="145">
        <f>+'Libro Diario'!E200</f>
        <v>0</v>
      </c>
      <c r="E1707" s="139" t="s">
        <v>446</v>
      </c>
      <c r="F1707" t="str">
        <f t="shared" si="78"/>
        <v>Sin Mov.</v>
      </c>
      <c r="G1707" t="str">
        <f>IF(+'Libro Diario'!H200=0,"",+'Libro Diario'!H200)</f>
        <v>Operaciones del Ejercicio</v>
      </c>
      <c r="H1707" t="str">
        <f>IF(+'Libro Diario'!I200=0,"",+'Libro Diario'!I200)</f>
        <v/>
      </c>
      <c r="I1707" t="str">
        <f>+IF(Table3[[#This Row],[Tipo Movimiento]]="Estructura Balance y PyG","Excluir","Incluir")</f>
        <v>Incluir</v>
      </c>
      <c r="J1707" s="153">
        <f>+IF(Table3[[#This Row],[Sin cuenta]]="Con Mov.",(IF(Table3[[#This Row],[Movimiento]]="Debe",Table3[[#This Row],[Importe]],IF(Table3[[#This Row],[Movimiento]]="Haber",Table3[[#This Row],[Importe]]*-1,0))),0)</f>
        <v>0</v>
      </c>
      <c r="K1707" s="145" t="str">
        <f t="shared" si="79"/>
        <v/>
      </c>
      <c r="L1707" s="145">
        <f t="shared" si="80"/>
        <v>0</v>
      </c>
      <c r="M1707" t="str">
        <f>_xlfn.XLOOKUP(Table3[[#This Row],[Cuenta]],Estructura_Balance[Nombre Cuenta ()],Estructura_Balance[Grupo],"",0)</f>
        <v/>
      </c>
      <c r="N1707" t="str">
        <f>_xlfn.XLOOKUP(Table3[[#This Row],[Cuenta]],Estructura_Balance[Nombre Cuenta ()],Estructura_Balance[Nivel 1],"",0)</f>
        <v/>
      </c>
      <c r="O1707" t="str">
        <f>_xlfn.XLOOKUP(Table3[[#This Row],[Cuenta]],Estructura_Balance[Nombre Cuenta ()],Estructura_Balance[Nivel 2],"",0)</f>
        <v/>
      </c>
      <c r="P1707" t="str">
        <f>_xlfn.XLOOKUP(Table3[[#This Row],[Cuenta]],Estructura_Balance[Nombre Cuenta ()],Estructura_Balance[Nivel 3],"",0)</f>
        <v/>
      </c>
      <c r="Q1707" t="str">
        <f>_xlfn.XLOOKUP(Table3[[#This Row],[Cuenta]],Estructura_Balance[Nombre Cuenta ()],Estructura_Balance[Nivel 4],"",0)</f>
        <v/>
      </c>
      <c r="R1707" t="str">
        <f>_xlfn.XLOOKUP(Table3[[#This Row],[Cuenta]],Table8[Nombre Cuenta ()],Table8[Nivel 1],"",0)</f>
        <v/>
      </c>
      <c r="S1707" t="str">
        <f>_xlfn.XLOOKUP(Table3[[#This Row],[Cuenta]],Table8[Nombre Cuenta ()],Table8[Nivel 2],"",0)</f>
        <v/>
      </c>
      <c r="T1707" t="str">
        <f>_xlfn.XLOOKUP(Table3[[#This Row],[Cuenta]],Table8[Nombre Cuenta ()],Table8[Nivel 3],"",0)</f>
        <v/>
      </c>
      <c r="U1707">
        <v>1593</v>
      </c>
      <c r="V1707" t="str">
        <f>_xlfn.XLOOKUP(Table3[[#This Row],[Cuenta]],Estructura_Balance[Nombre Cuenta ()],Estructura_Balance[Niveles:2],"",0)</f>
        <v/>
      </c>
      <c r="W1707" t="str">
        <f>_xlfn.XLOOKUP(Table3[[#This Row],[Cuenta]],Estructura_Balance[Nombre Cuenta ()],Estructura_Balance[Niveles:3],"",0)</f>
        <v/>
      </c>
      <c r="X1707" t="str">
        <f>_xlfn.XLOOKUP(Table3[[#This Row],[Cuenta]],Estructura_Balance[Nombre Cuenta ()],Estructura_Balance[Grupos],"Grupo 1",0)</f>
        <v>Grupo 1</v>
      </c>
      <c r="Y1707" t="str">
        <f>+Table3[[#This Row],[BS_Nivel_1]]</f>
        <v/>
      </c>
    </row>
    <row r="1708" spans="1:25" ht="15" customHeight="1">
      <c r="A1708">
        <f>+'Libro Diario'!F201</f>
        <v>18</v>
      </c>
      <c r="B1708" s="144">
        <f>VALUE(IF(+'Libro Diario'!G201="","01/01/2025",+'Libro Diario'!G201))</f>
        <v>45777</v>
      </c>
      <c r="C1708">
        <f>IF(ISNUMBER(+IF(IFERROR(VALUE(MID('Libro Diario'!D201,1,4)),0)&lt;&gt;0,'Libro Diario'!D201,0))=FALSE,'Libro Diario'!D201,0)</f>
        <v>0</v>
      </c>
      <c r="D1708" s="145">
        <f>+'Libro Diario'!E201</f>
        <v>0</v>
      </c>
      <c r="E1708" s="139" t="s">
        <v>446</v>
      </c>
      <c r="F1708" t="str">
        <f t="shared" si="78"/>
        <v>Sin Mov.</v>
      </c>
      <c r="G1708" t="str">
        <f>IF(+'Libro Diario'!H201=0,"",+'Libro Diario'!H201)</f>
        <v>Operaciones del Ejercicio</v>
      </c>
      <c r="H1708" t="str">
        <f>IF(+'Libro Diario'!I201=0,"",+'Libro Diario'!I201)</f>
        <v/>
      </c>
      <c r="I1708" t="str">
        <f>+IF(Table3[[#This Row],[Tipo Movimiento]]="Estructura Balance y PyG","Excluir","Incluir")</f>
        <v>Incluir</v>
      </c>
      <c r="J1708" s="153">
        <f>+IF(Table3[[#This Row],[Sin cuenta]]="Con Mov.",(IF(Table3[[#This Row],[Movimiento]]="Debe",Table3[[#This Row],[Importe]],IF(Table3[[#This Row],[Movimiento]]="Haber",Table3[[#This Row],[Importe]]*-1,0))),0)</f>
        <v>0</v>
      </c>
      <c r="K1708" s="145" t="str">
        <f t="shared" si="79"/>
        <v/>
      </c>
      <c r="L1708" s="145">
        <f t="shared" si="80"/>
        <v>0</v>
      </c>
      <c r="M1708" t="str">
        <f>_xlfn.XLOOKUP(Table3[[#This Row],[Cuenta]],Estructura_Balance[Nombre Cuenta ()],Estructura_Balance[Grupo],"",0)</f>
        <v/>
      </c>
      <c r="N1708" t="str">
        <f>_xlfn.XLOOKUP(Table3[[#This Row],[Cuenta]],Estructura_Balance[Nombre Cuenta ()],Estructura_Balance[Nivel 1],"",0)</f>
        <v/>
      </c>
      <c r="O1708" t="str">
        <f>_xlfn.XLOOKUP(Table3[[#This Row],[Cuenta]],Estructura_Balance[Nombre Cuenta ()],Estructura_Balance[Nivel 2],"",0)</f>
        <v/>
      </c>
      <c r="P1708" t="str">
        <f>_xlfn.XLOOKUP(Table3[[#This Row],[Cuenta]],Estructura_Balance[Nombre Cuenta ()],Estructura_Balance[Nivel 3],"",0)</f>
        <v/>
      </c>
      <c r="Q1708" t="str">
        <f>_xlfn.XLOOKUP(Table3[[#This Row],[Cuenta]],Estructura_Balance[Nombre Cuenta ()],Estructura_Balance[Nivel 4],"",0)</f>
        <v/>
      </c>
      <c r="R1708" t="str">
        <f>_xlfn.XLOOKUP(Table3[[#This Row],[Cuenta]],Table8[Nombre Cuenta ()],Table8[Nivel 1],"",0)</f>
        <v/>
      </c>
      <c r="S1708" t="str">
        <f>_xlfn.XLOOKUP(Table3[[#This Row],[Cuenta]],Table8[Nombre Cuenta ()],Table8[Nivel 2],"",0)</f>
        <v/>
      </c>
      <c r="T1708" t="str">
        <f>_xlfn.XLOOKUP(Table3[[#This Row],[Cuenta]],Table8[Nombre Cuenta ()],Table8[Nivel 3],"",0)</f>
        <v/>
      </c>
      <c r="U1708">
        <v>1594</v>
      </c>
      <c r="V1708" t="str">
        <f>_xlfn.XLOOKUP(Table3[[#This Row],[Cuenta]],Estructura_Balance[Nombre Cuenta ()],Estructura_Balance[Niveles:2],"",0)</f>
        <v/>
      </c>
      <c r="W1708" t="str">
        <f>_xlfn.XLOOKUP(Table3[[#This Row],[Cuenta]],Estructura_Balance[Nombre Cuenta ()],Estructura_Balance[Niveles:3],"",0)</f>
        <v/>
      </c>
      <c r="X1708" t="str">
        <f>_xlfn.XLOOKUP(Table3[[#This Row],[Cuenta]],Estructura_Balance[Nombre Cuenta ()],Estructura_Balance[Grupos],"Grupo 1",0)</f>
        <v>Grupo 1</v>
      </c>
      <c r="Y1708" t="str">
        <f>+Table3[[#This Row],[BS_Nivel_1]]</f>
        <v/>
      </c>
    </row>
    <row r="1709" spans="1:25" ht="15" customHeight="1">
      <c r="A1709">
        <f>+'Libro Diario'!F207</f>
        <v>19</v>
      </c>
      <c r="B1709" s="144">
        <f>VALUE(IF(+'Libro Diario'!G207="","01/01/2025",+'Libro Diario'!G207))</f>
        <v>45782</v>
      </c>
      <c r="C1709">
        <f>IF(ISNUMBER(+IF(IFERROR(VALUE(MID('Libro Diario'!C207,1,4)),0)&lt;&gt;0,'Libro Diario'!C207,0))=FALSE,'Libro Diario'!C207,0)</f>
        <v>0</v>
      </c>
      <c r="D1709" s="145">
        <f>+'Libro Diario'!B207</f>
        <v>0</v>
      </c>
      <c r="E1709" s="139" t="s">
        <v>445</v>
      </c>
      <c r="F1709" t="str">
        <f t="shared" si="78"/>
        <v>Sin Mov.</v>
      </c>
      <c r="G1709" t="str">
        <f>IF(+'Libro Diario'!H207=0,"",+'Libro Diario'!H207)</f>
        <v>Operaciones del Ejercicio</v>
      </c>
      <c r="H1709" t="str">
        <f>IF(+'Libro Diario'!I207=0,"",+'Libro Diario'!I207)</f>
        <v/>
      </c>
      <c r="I1709" t="str">
        <f>+IF(Table3[[#This Row],[Tipo Movimiento]]="Estructura Balance y PyG","Excluir","Incluir")</f>
        <v>Incluir</v>
      </c>
      <c r="J1709" s="153">
        <f>+IF(Table3[[#This Row],[Sin cuenta]]="Con Mov.",(IF(Table3[[#This Row],[Movimiento]]="Debe",Table3[[#This Row],[Importe]],IF(Table3[[#This Row],[Movimiento]]="Haber",Table3[[#This Row],[Importe]]*-1,0))),0)</f>
        <v>0</v>
      </c>
      <c r="K1709" s="145">
        <f t="shared" si="79"/>
        <v>0</v>
      </c>
      <c r="L1709" s="145" t="str">
        <f t="shared" si="80"/>
        <v/>
      </c>
      <c r="M1709" t="str">
        <f>_xlfn.XLOOKUP(Table3[[#This Row],[Cuenta]],Estructura_Balance[Nombre Cuenta ()],Estructura_Balance[Grupo],"",0)</f>
        <v/>
      </c>
      <c r="N1709" t="str">
        <f>_xlfn.XLOOKUP(Table3[[#This Row],[Cuenta]],Estructura_Balance[Nombre Cuenta ()],Estructura_Balance[Nivel 1],"",0)</f>
        <v/>
      </c>
      <c r="O1709" t="str">
        <f>_xlfn.XLOOKUP(Table3[[#This Row],[Cuenta]],Estructura_Balance[Nombre Cuenta ()],Estructura_Balance[Nivel 2],"",0)</f>
        <v/>
      </c>
      <c r="P1709" t="str">
        <f>_xlfn.XLOOKUP(Table3[[#This Row],[Cuenta]],Estructura_Balance[Nombre Cuenta ()],Estructura_Balance[Nivel 3],"",0)</f>
        <v/>
      </c>
      <c r="Q1709" t="str">
        <f>_xlfn.XLOOKUP(Table3[[#This Row],[Cuenta]],Estructura_Balance[Nombre Cuenta ()],Estructura_Balance[Nivel 4],"",0)</f>
        <v/>
      </c>
      <c r="R1709" t="str">
        <f>_xlfn.XLOOKUP(Table3[[#This Row],[Cuenta]],Table8[Nombre Cuenta ()],Table8[Nivel 1],"",0)</f>
        <v/>
      </c>
      <c r="S1709" t="str">
        <f>_xlfn.XLOOKUP(Table3[[#This Row],[Cuenta]],Table8[Nombre Cuenta ()],Table8[Nivel 2],"",0)</f>
        <v/>
      </c>
      <c r="T1709" t="str">
        <f>_xlfn.XLOOKUP(Table3[[#This Row],[Cuenta]],Table8[Nombre Cuenta ()],Table8[Nivel 3],"",0)</f>
        <v/>
      </c>
      <c r="U1709">
        <v>276</v>
      </c>
      <c r="V1709" t="str">
        <f>_xlfn.XLOOKUP(Table3[[#This Row],[Cuenta]],Estructura_Balance[Nombre Cuenta ()],Estructura_Balance[Niveles:2],"",0)</f>
        <v/>
      </c>
      <c r="W1709" t="str">
        <f>_xlfn.XLOOKUP(Table3[[#This Row],[Cuenta]],Estructura_Balance[Nombre Cuenta ()],Estructura_Balance[Niveles:3],"",0)</f>
        <v/>
      </c>
      <c r="X1709" t="str">
        <f>_xlfn.XLOOKUP(Table3[[#This Row],[Cuenta]],Estructura_Balance[Nombre Cuenta ()],Estructura_Balance[Grupos],"Grupo 1",0)</f>
        <v>Grupo 1</v>
      </c>
      <c r="Y1709" t="str">
        <f>+Table3[[#This Row],[BS_Nivel_1]]</f>
        <v/>
      </c>
    </row>
    <row r="1710" spans="1:25" ht="15" customHeight="1">
      <c r="A1710">
        <f>+'Libro Diario'!F208</f>
        <v>19</v>
      </c>
      <c r="B1710" s="144">
        <f>VALUE(IF(+'Libro Diario'!G208="","01/01/2025",+'Libro Diario'!G208))</f>
        <v>45782</v>
      </c>
      <c r="C1710">
        <f>IF(ISNUMBER(+IF(IFERROR(VALUE(MID('Libro Diario'!C208,1,4)),0)&lt;&gt;0,'Libro Diario'!C208,0))=FALSE,'Libro Diario'!C208,0)</f>
        <v>0</v>
      </c>
      <c r="D1710" s="145">
        <f>+'Libro Diario'!B208</f>
        <v>0</v>
      </c>
      <c r="E1710" s="139" t="s">
        <v>445</v>
      </c>
      <c r="F1710" t="str">
        <f t="shared" si="78"/>
        <v>Sin Mov.</v>
      </c>
      <c r="G1710" t="str">
        <f>IF(+'Libro Diario'!H208=0,"",+'Libro Diario'!H208)</f>
        <v>Operaciones del Ejercicio</v>
      </c>
      <c r="H1710" t="str">
        <f>IF(+'Libro Diario'!I208=0,"",+'Libro Diario'!I208)</f>
        <v/>
      </c>
      <c r="I1710" t="str">
        <f>+IF(Table3[[#This Row],[Tipo Movimiento]]="Estructura Balance y PyG","Excluir","Incluir")</f>
        <v>Incluir</v>
      </c>
      <c r="J1710" s="153">
        <f>+IF(Table3[[#This Row],[Sin cuenta]]="Con Mov.",(IF(Table3[[#This Row],[Movimiento]]="Debe",Table3[[#This Row],[Importe]],IF(Table3[[#This Row],[Movimiento]]="Haber",Table3[[#This Row],[Importe]]*-1,0))),0)</f>
        <v>0</v>
      </c>
      <c r="K1710" s="145">
        <f t="shared" si="79"/>
        <v>0</v>
      </c>
      <c r="L1710" s="145" t="str">
        <f t="shared" si="80"/>
        <v/>
      </c>
      <c r="M1710" t="str">
        <f>_xlfn.XLOOKUP(Table3[[#This Row],[Cuenta]],Estructura_Balance[Nombre Cuenta ()],Estructura_Balance[Grupo],"",0)</f>
        <v/>
      </c>
      <c r="N1710" t="str">
        <f>_xlfn.XLOOKUP(Table3[[#This Row],[Cuenta]],Estructura_Balance[Nombre Cuenta ()],Estructura_Balance[Nivel 1],"",0)</f>
        <v/>
      </c>
      <c r="O1710" t="str">
        <f>_xlfn.XLOOKUP(Table3[[#This Row],[Cuenta]],Estructura_Balance[Nombre Cuenta ()],Estructura_Balance[Nivel 2],"",0)</f>
        <v/>
      </c>
      <c r="P1710" t="str">
        <f>_xlfn.XLOOKUP(Table3[[#This Row],[Cuenta]],Estructura_Balance[Nombre Cuenta ()],Estructura_Balance[Nivel 3],"",0)</f>
        <v/>
      </c>
      <c r="Q1710" t="str">
        <f>_xlfn.XLOOKUP(Table3[[#This Row],[Cuenta]],Estructura_Balance[Nombre Cuenta ()],Estructura_Balance[Nivel 4],"",0)</f>
        <v/>
      </c>
      <c r="R1710" t="str">
        <f>_xlfn.XLOOKUP(Table3[[#This Row],[Cuenta]],Table8[Nombre Cuenta ()],Table8[Nivel 1],"",0)</f>
        <v/>
      </c>
      <c r="S1710" t="str">
        <f>_xlfn.XLOOKUP(Table3[[#This Row],[Cuenta]],Table8[Nombre Cuenta ()],Table8[Nivel 2],"",0)</f>
        <v/>
      </c>
      <c r="T1710" t="str">
        <f>_xlfn.XLOOKUP(Table3[[#This Row],[Cuenta]],Table8[Nombre Cuenta ()],Table8[Nivel 3],"",0)</f>
        <v/>
      </c>
      <c r="U1710">
        <v>277</v>
      </c>
      <c r="V1710" t="str">
        <f>_xlfn.XLOOKUP(Table3[[#This Row],[Cuenta]],Estructura_Balance[Nombre Cuenta ()],Estructura_Balance[Niveles:2],"",0)</f>
        <v/>
      </c>
      <c r="W1710" t="str">
        <f>_xlfn.XLOOKUP(Table3[[#This Row],[Cuenta]],Estructura_Balance[Nombre Cuenta ()],Estructura_Balance[Niveles:3],"",0)</f>
        <v/>
      </c>
      <c r="X1710" t="str">
        <f>_xlfn.XLOOKUP(Table3[[#This Row],[Cuenta]],Estructura_Balance[Nombre Cuenta ()],Estructura_Balance[Grupos],"Grupo 1",0)</f>
        <v>Grupo 1</v>
      </c>
      <c r="Y1710" t="str">
        <f>+Table3[[#This Row],[BS_Nivel_1]]</f>
        <v/>
      </c>
    </row>
    <row r="1711" spans="1:25" ht="15" customHeight="1">
      <c r="A1711">
        <f>+'Libro Diario'!F207</f>
        <v>19</v>
      </c>
      <c r="B1711" s="144">
        <f>VALUE(IF(+'Libro Diario'!G207="","01/01/2025",+'Libro Diario'!G207))</f>
        <v>45782</v>
      </c>
      <c r="C1711">
        <f>IF(ISNUMBER(+IF(IFERROR(VALUE(MID('Libro Diario'!D207,1,4)),0)&lt;&gt;0,'Libro Diario'!D207,0))=FALSE,'Libro Diario'!D207,0)</f>
        <v>0</v>
      </c>
      <c r="D1711" s="145">
        <f>+'Libro Diario'!E207</f>
        <v>0</v>
      </c>
      <c r="E1711" s="139" t="s">
        <v>446</v>
      </c>
      <c r="F1711" t="str">
        <f t="shared" si="78"/>
        <v>Sin Mov.</v>
      </c>
      <c r="G1711" t="str">
        <f>IF(+'Libro Diario'!H207=0,"",+'Libro Diario'!H207)</f>
        <v>Operaciones del Ejercicio</v>
      </c>
      <c r="H1711" t="str">
        <f>IF(+'Libro Diario'!I207=0,"",+'Libro Diario'!I207)</f>
        <v/>
      </c>
      <c r="I1711" t="str">
        <f>+IF(Table3[[#This Row],[Tipo Movimiento]]="Estructura Balance y PyG","Excluir","Incluir")</f>
        <v>Incluir</v>
      </c>
      <c r="J1711" s="153">
        <f>+IF(Table3[[#This Row],[Sin cuenta]]="Con Mov.",(IF(Table3[[#This Row],[Movimiento]]="Debe",Table3[[#This Row],[Importe]],IF(Table3[[#This Row],[Movimiento]]="Haber",Table3[[#This Row],[Importe]]*-1,0))),0)</f>
        <v>0</v>
      </c>
      <c r="K1711" s="145" t="str">
        <f t="shared" si="79"/>
        <v/>
      </c>
      <c r="L1711" s="145">
        <f t="shared" si="80"/>
        <v>0</v>
      </c>
      <c r="M1711" t="str">
        <f>_xlfn.XLOOKUP(Table3[[#This Row],[Cuenta]],Estructura_Balance[Nombre Cuenta ()],Estructura_Balance[Grupo],"",0)</f>
        <v/>
      </c>
      <c r="N1711" t="str">
        <f>_xlfn.XLOOKUP(Table3[[#This Row],[Cuenta]],Estructura_Balance[Nombre Cuenta ()],Estructura_Balance[Nivel 1],"",0)</f>
        <v/>
      </c>
      <c r="O1711" t="str">
        <f>_xlfn.XLOOKUP(Table3[[#This Row],[Cuenta]],Estructura_Balance[Nombre Cuenta ()],Estructura_Balance[Nivel 2],"",0)</f>
        <v/>
      </c>
      <c r="P1711" t="str">
        <f>_xlfn.XLOOKUP(Table3[[#This Row],[Cuenta]],Estructura_Balance[Nombre Cuenta ()],Estructura_Balance[Nivel 3],"",0)</f>
        <v/>
      </c>
      <c r="Q1711" t="str">
        <f>_xlfn.XLOOKUP(Table3[[#This Row],[Cuenta]],Estructura_Balance[Nombre Cuenta ()],Estructura_Balance[Nivel 4],"",0)</f>
        <v/>
      </c>
      <c r="R1711" t="str">
        <f>_xlfn.XLOOKUP(Table3[[#This Row],[Cuenta]],Table8[Nombre Cuenta ()],Table8[Nivel 1],"",0)</f>
        <v/>
      </c>
      <c r="S1711" t="str">
        <f>_xlfn.XLOOKUP(Table3[[#This Row],[Cuenta]],Table8[Nombre Cuenta ()],Table8[Nivel 2],"",0)</f>
        <v/>
      </c>
      <c r="T1711" t="str">
        <f>_xlfn.XLOOKUP(Table3[[#This Row],[Cuenta]],Table8[Nombre Cuenta ()],Table8[Nivel 3],"",0)</f>
        <v/>
      </c>
      <c r="U1711">
        <v>1600</v>
      </c>
      <c r="V1711" t="str">
        <f>_xlfn.XLOOKUP(Table3[[#This Row],[Cuenta]],Estructura_Balance[Nombre Cuenta ()],Estructura_Balance[Niveles:2],"",0)</f>
        <v/>
      </c>
      <c r="W1711" t="str">
        <f>_xlfn.XLOOKUP(Table3[[#This Row],[Cuenta]],Estructura_Balance[Nombre Cuenta ()],Estructura_Balance[Niveles:3],"",0)</f>
        <v/>
      </c>
      <c r="X1711" t="str">
        <f>_xlfn.XLOOKUP(Table3[[#This Row],[Cuenta]],Estructura_Balance[Nombre Cuenta ()],Estructura_Balance[Grupos],"Grupo 1",0)</f>
        <v>Grupo 1</v>
      </c>
      <c r="Y1711" t="str">
        <f>+Table3[[#This Row],[BS_Nivel_1]]</f>
        <v/>
      </c>
    </row>
    <row r="1712" spans="1:25" ht="15" customHeight="1">
      <c r="A1712">
        <f>+'Libro Diario'!F208</f>
        <v>19</v>
      </c>
      <c r="B1712" s="144">
        <f>VALUE(IF(+'Libro Diario'!G208="","01/01/2025",+'Libro Diario'!G208))</f>
        <v>45782</v>
      </c>
      <c r="C1712">
        <f>IF(ISNUMBER(+IF(IFERROR(VALUE(MID('Libro Diario'!D208,1,4)),0)&lt;&gt;0,'Libro Diario'!D208,0))=FALSE,'Libro Diario'!D208,0)</f>
        <v>0</v>
      </c>
      <c r="D1712" s="145">
        <f>+'Libro Diario'!E208</f>
        <v>0</v>
      </c>
      <c r="E1712" s="139" t="s">
        <v>446</v>
      </c>
      <c r="F1712" t="str">
        <f t="shared" si="78"/>
        <v>Sin Mov.</v>
      </c>
      <c r="G1712" t="str">
        <f>IF(+'Libro Diario'!H208=0,"",+'Libro Diario'!H208)</f>
        <v>Operaciones del Ejercicio</v>
      </c>
      <c r="H1712" t="str">
        <f>IF(+'Libro Diario'!I208=0,"",+'Libro Diario'!I208)</f>
        <v/>
      </c>
      <c r="I1712" t="str">
        <f>+IF(Table3[[#This Row],[Tipo Movimiento]]="Estructura Balance y PyG","Excluir","Incluir")</f>
        <v>Incluir</v>
      </c>
      <c r="J1712" s="153">
        <f>+IF(Table3[[#This Row],[Sin cuenta]]="Con Mov.",(IF(Table3[[#This Row],[Movimiento]]="Debe",Table3[[#This Row],[Importe]],IF(Table3[[#This Row],[Movimiento]]="Haber",Table3[[#This Row],[Importe]]*-1,0))),0)</f>
        <v>0</v>
      </c>
      <c r="K1712" s="145" t="str">
        <f t="shared" si="79"/>
        <v/>
      </c>
      <c r="L1712" s="145">
        <f t="shared" si="80"/>
        <v>0</v>
      </c>
      <c r="M1712" t="str">
        <f>_xlfn.XLOOKUP(Table3[[#This Row],[Cuenta]],Estructura_Balance[Nombre Cuenta ()],Estructura_Balance[Grupo],"",0)</f>
        <v/>
      </c>
      <c r="N1712" t="str">
        <f>_xlfn.XLOOKUP(Table3[[#This Row],[Cuenta]],Estructura_Balance[Nombre Cuenta ()],Estructura_Balance[Nivel 1],"",0)</f>
        <v/>
      </c>
      <c r="O1712" t="str">
        <f>_xlfn.XLOOKUP(Table3[[#This Row],[Cuenta]],Estructura_Balance[Nombre Cuenta ()],Estructura_Balance[Nivel 2],"",0)</f>
        <v/>
      </c>
      <c r="P1712" t="str">
        <f>_xlfn.XLOOKUP(Table3[[#This Row],[Cuenta]],Estructura_Balance[Nombre Cuenta ()],Estructura_Balance[Nivel 3],"",0)</f>
        <v/>
      </c>
      <c r="Q1712" t="str">
        <f>_xlfn.XLOOKUP(Table3[[#This Row],[Cuenta]],Estructura_Balance[Nombre Cuenta ()],Estructura_Balance[Nivel 4],"",0)</f>
        <v/>
      </c>
      <c r="R1712" t="str">
        <f>_xlfn.XLOOKUP(Table3[[#This Row],[Cuenta]],Table8[Nombre Cuenta ()],Table8[Nivel 1],"",0)</f>
        <v/>
      </c>
      <c r="S1712" t="str">
        <f>_xlfn.XLOOKUP(Table3[[#This Row],[Cuenta]],Table8[Nombre Cuenta ()],Table8[Nivel 2],"",0)</f>
        <v/>
      </c>
      <c r="T1712" t="str">
        <f>_xlfn.XLOOKUP(Table3[[#This Row],[Cuenta]],Table8[Nombre Cuenta ()],Table8[Nivel 3],"",0)</f>
        <v/>
      </c>
      <c r="U1712">
        <v>1601</v>
      </c>
      <c r="V1712" t="str">
        <f>_xlfn.XLOOKUP(Table3[[#This Row],[Cuenta]],Estructura_Balance[Nombre Cuenta ()],Estructura_Balance[Niveles:2],"",0)</f>
        <v/>
      </c>
      <c r="W1712" t="str">
        <f>_xlfn.XLOOKUP(Table3[[#This Row],[Cuenta]],Estructura_Balance[Nombre Cuenta ()],Estructura_Balance[Niveles:3],"",0)</f>
        <v/>
      </c>
      <c r="X1712" t="str">
        <f>_xlfn.XLOOKUP(Table3[[#This Row],[Cuenta]],Estructura_Balance[Nombre Cuenta ()],Estructura_Balance[Grupos],"Grupo 1",0)</f>
        <v>Grupo 1</v>
      </c>
      <c r="Y1712" t="str">
        <f>+Table3[[#This Row],[BS_Nivel_1]]</f>
        <v/>
      </c>
    </row>
    <row r="1713" spans="1:25" ht="15" customHeight="1">
      <c r="A1713">
        <f>+'Libro Diario'!F214</f>
        <v>20</v>
      </c>
      <c r="B1713" s="144">
        <f>VALUE(IF(+'Libro Diario'!G214="","01/01/2025",+'Libro Diario'!G214))</f>
        <v>45784</v>
      </c>
      <c r="C1713">
        <f>IF(ISNUMBER(+IF(IFERROR(VALUE(MID('Libro Diario'!C214,1,4)),0)&lt;&gt;0,'Libro Diario'!C214,0))=FALSE,'Libro Diario'!C214,0)</f>
        <v>0</v>
      </c>
      <c r="D1713" s="145">
        <f>+'Libro Diario'!B214</f>
        <v>0</v>
      </c>
      <c r="E1713" s="139" t="s">
        <v>445</v>
      </c>
      <c r="F1713" t="str">
        <f t="shared" si="78"/>
        <v>Sin Mov.</v>
      </c>
      <c r="G1713" t="str">
        <f>IF(+'Libro Diario'!H214=0,"",+'Libro Diario'!H214)</f>
        <v>Operaciones del Ejercicio</v>
      </c>
      <c r="H1713" t="str">
        <f>IF(+'Libro Diario'!I214=0,"",+'Libro Diario'!I214)</f>
        <v/>
      </c>
      <c r="I1713" t="str">
        <f>+IF(Table3[[#This Row],[Tipo Movimiento]]="Estructura Balance y PyG","Excluir","Incluir")</f>
        <v>Incluir</v>
      </c>
      <c r="J1713" s="153">
        <f>+IF(Table3[[#This Row],[Sin cuenta]]="Con Mov.",(IF(Table3[[#This Row],[Movimiento]]="Debe",Table3[[#This Row],[Importe]],IF(Table3[[#This Row],[Movimiento]]="Haber",Table3[[#This Row],[Importe]]*-1,0))),0)</f>
        <v>0</v>
      </c>
      <c r="K1713" s="145">
        <f t="shared" si="79"/>
        <v>0</v>
      </c>
      <c r="L1713" s="145" t="str">
        <f t="shared" si="80"/>
        <v/>
      </c>
      <c r="M1713" t="str">
        <f>_xlfn.XLOOKUP(Table3[[#This Row],[Cuenta]],Estructura_Balance[Nombre Cuenta ()],Estructura_Balance[Grupo],"",0)</f>
        <v/>
      </c>
      <c r="N1713" t="str">
        <f>_xlfn.XLOOKUP(Table3[[#This Row],[Cuenta]],Estructura_Balance[Nombre Cuenta ()],Estructura_Balance[Nivel 1],"",0)</f>
        <v/>
      </c>
      <c r="O1713" t="str">
        <f>_xlfn.XLOOKUP(Table3[[#This Row],[Cuenta]],Estructura_Balance[Nombre Cuenta ()],Estructura_Balance[Nivel 2],"",0)</f>
        <v/>
      </c>
      <c r="P1713" t="str">
        <f>_xlfn.XLOOKUP(Table3[[#This Row],[Cuenta]],Estructura_Balance[Nombre Cuenta ()],Estructura_Balance[Nivel 3],"",0)</f>
        <v/>
      </c>
      <c r="Q1713" t="str">
        <f>_xlfn.XLOOKUP(Table3[[#This Row],[Cuenta]],Estructura_Balance[Nombre Cuenta ()],Estructura_Balance[Nivel 4],"",0)</f>
        <v/>
      </c>
      <c r="R1713" t="str">
        <f>_xlfn.XLOOKUP(Table3[[#This Row],[Cuenta]],Table8[Nombre Cuenta ()],Table8[Nivel 1],"",0)</f>
        <v/>
      </c>
      <c r="S1713" t="str">
        <f>_xlfn.XLOOKUP(Table3[[#This Row],[Cuenta]],Table8[Nombre Cuenta ()],Table8[Nivel 2],"",0)</f>
        <v/>
      </c>
      <c r="T1713" t="str">
        <f>_xlfn.XLOOKUP(Table3[[#This Row],[Cuenta]],Table8[Nombre Cuenta ()],Table8[Nivel 3],"",0)</f>
        <v/>
      </c>
      <c r="U1713">
        <v>287</v>
      </c>
      <c r="V1713" t="str">
        <f>_xlfn.XLOOKUP(Table3[[#This Row],[Cuenta]],Estructura_Balance[Nombre Cuenta ()],Estructura_Balance[Niveles:2],"",0)</f>
        <v/>
      </c>
      <c r="W1713" t="str">
        <f>_xlfn.XLOOKUP(Table3[[#This Row],[Cuenta]],Estructura_Balance[Nombre Cuenta ()],Estructura_Balance[Niveles:3],"",0)</f>
        <v/>
      </c>
      <c r="X1713" t="str">
        <f>_xlfn.XLOOKUP(Table3[[#This Row],[Cuenta]],Estructura_Balance[Nombre Cuenta ()],Estructura_Balance[Grupos],"Grupo 1",0)</f>
        <v>Grupo 1</v>
      </c>
      <c r="Y1713" t="str">
        <f>+Table3[[#This Row],[BS_Nivel_1]]</f>
        <v/>
      </c>
    </row>
    <row r="1714" spans="1:25" ht="15" customHeight="1">
      <c r="A1714">
        <f>+'Libro Diario'!F215</f>
        <v>20</v>
      </c>
      <c r="B1714" s="144">
        <f>VALUE(IF(+'Libro Diario'!G215="","01/01/2025",+'Libro Diario'!G215))</f>
        <v>45784</v>
      </c>
      <c r="C1714">
        <f>IF(ISNUMBER(+IF(IFERROR(VALUE(MID('Libro Diario'!C215,1,4)),0)&lt;&gt;0,'Libro Diario'!C215,0))=FALSE,'Libro Diario'!C215,0)</f>
        <v>0</v>
      </c>
      <c r="D1714" s="145">
        <f>+'Libro Diario'!B215</f>
        <v>0</v>
      </c>
      <c r="E1714" s="139" t="s">
        <v>445</v>
      </c>
      <c r="F1714" t="str">
        <f t="shared" si="78"/>
        <v>Sin Mov.</v>
      </c>
      <c r="G1714" t="str">
        <f>IF(+'Libro Diario'!H215=0,"",+'Libro Diario'!H215)</f>
        <v>Operaciones del Ejercicio</v>
      </c>
      <c r="H1714" t="str">
        <f>IF(+'Libro Diario'!I215=0,"",+'Libro Diario'!I215)</f>
        <v/>
      </c>
      <c r="I1714" t="str">
        <f>+IF(Table3[[#This Row],[Tipo Movimiento]]="Estructura Balance y PyG","Excluir","Incluir")</f>
        <v>Incluir</v>
      </c>
      <c r="J1714" s="153">
        <f>+IF(Table3[[#This Row],[Sin cuenta]]="Con Mov.",(IF(Table3[[#This Row],[Movimiento]]="Debe",Table3[[#This Row],[Importe]],IF(Table3[[#This Row],[Movimiento]]="Haber",Table3[[#This Row],[Importe]]*-1,0))),0)</f>
        <v>0</v>
      </c>
      <c r="K1714" s="145">
        <f t="shared" si="79"/>
        <v>0</v>
      </c>
      <c r="L1714" s="145" t="str">
        <f t="shared" si="80"/>
        <v/>
      </c>
      <c r="M1714" t="str">
        <f>_xlfn.XLOOKUP(Table3[[#This Row],[Cuenta]],Estructura_Balance[Nombre Cuenta ()],Estructura_Balance[Grupo],"",0)</f>
        <v/>
      </c>
      <c r="N1714" t="str">
        <f>_xlfn.XLOOKUP(Table3[[#This Row],[Cuenta]],Estructura_Balance[Nombre Cuenta ()],Estructura_Balance[Nivel 1],"",0)</f>
        <v/>
      </c>
      <c r="O1714" t="str">
        <f>_xlfn.XLOOKUP(Table3[[#This Row],[Cuenta]],Estructura_Balance[Nombre Cuenta ()],Estructura_Balance[Nivel 2],"",0)</f>
        <v/>
      </c>
      <c r="P1714" t="str">
        <f>_xlfn.XLOOKUP(Table3[[#This Row],[Cuenta]],Estructura_Balance[Nombre Cuenta ()],Estructura_Balance[Nivel 3],"",0)</f>
        <v/>
      </c>
      <c r="Q1714" t="str">
        <f>_xlfn.XLOOKUP(Table3[[#This Row],[Cuenta]],Estructura_Balance[Nombre Cuenta ()],Estructura_Balance[Nivel 4],"",0)</f>
        <v/>
      </c>
      <c r="R1714" t="str">
        <f>_xlfn.XLOOKUP(Table3[[#This Row],[Cuenta]],Table8[Nombre Cuenta ()],Table8[Nivel 1],"",0)</f>
        <v/>
      </c>
      <c r="S1714" t="str">
        <f>_xlfn.XLOOKUP(Table3[[#This Row],[Cuenta]],Table8[Nombre Cuenta ()],Table8[Nivel 2],"",0)</f>
        <v/>
      </c>
      <c r="T1714" t="str">
        <f>_xlfn.XLOOKUP(Table3[[#This Row],[Cuenta]],Table8[Nombre Cuenta ()],Table8[Nivel 3],"",0)</f>
        <v/>
      </c>
      <c r="U1714">
        <v>288</v>
      </c>
      <c r="V1714" t="str">
        <f>_xlfn.XLOOKUP(Table3[[#This Row],[Cuenta]],Estructura_Balance[Nombre Cuenta ()],Estructura_Balance[Niveles:2],"",0)</f>
        <v/>
      </c>
      <c r="W1714" t="str">
        <f>_xlfn.XLOOKUP(Table3[[#This Row],[Cuenta]],Estructura_Balance[Nombre Cuenta ()],Estructura_Balance[Niveles:3],"",0)</f>
        <v/>
      </c>
      <c r="X1714" t="str">
        <f>_xlfn.XLOOKUP(Table3[[#This Row],[Cuenta]],Estructura_Balance[Nombre Cuenta ()],Estructura_Balance[Grupos],"Grupo 1",0)</f>
        <v>Grupo 1</v>
      </c>
      <c r="Y1714" t="str">
        <f>+Table3[[#This Row],[BS_Nivel_1]]</f>
        <v/>
      </c>
    </row>
    <row r="1715" spans="1:25" ht="15" customHeight="1">
      <c r="A1715">
        <f>+'Libro Diario'!F214</f>
        <v>20</v>
      </c>
      <c r="B1715" s="144">
        <f>VALUE(IF(+'Libro Diario'!G214="","01/01/2025",+'Libro Diario'!G214))</f>
        <v>45784</v>
      </c>
      <c r="C1715">
        <f>IF(ISNUMBER(+IF(IFERROR(VALUE(MID('Libro Diario'!D214,1,4)),0)&lt;&gt;0,'Libro Diario'!D214,0))=FALSE,'Libro Diario'!D214,0)</f>
        <v>0</v>
      </c>
      <c r="D1715" s="145">
        <f>+'Libro Diario'!E214</f>
        <v>0</v>
      </c>
      <c r="E1715" s="139" t="s">
        <v>446</v>
      </c>
      <c r="F1715" t="str">
        <f t="shared" si="78"/>
        <v>Sin Mov.</v>
      </c>
      <c r="G1715" t="str">
        <f>IF(+'Libro Diario'!H214=0,"",+'Libro Diario'!H214)</f>
        <v>Operaciones del Ejercicio</v>
      </c>
      <c r="H1715" t="str">
        <f>IF(+'Libro Diario'!I214=0,"",+'Libro Diario'!I214)</f>
        <v/>
      </c>
      <c r="I1715" t="str">
        <f>+IF(Table3[[#This Row],[Tipo Movimiento]]="Estructura Balance y PyG","Excluir","Incluir")</f>
        <v>Incluir</v>
      </c>
      <c r="J1715" s="153">
        <f>+IF(Table3[[#This Row],[Sin cuenta]]="Con Mov.",(IF(Table3[[#This Row],[Movimiento]]="Debe",Table3[[#This Row],[Importe]],IF(Table3[[#This Row],[Movimiento]]="Haber",Table3[[#This Row],[Importe]]*-1,0))),0)</f>
        <v>0</v>
      </c>
      <c r="K1715" s="145" t="str">
        <f t="shared" si="79"/>
        <v/>
      </c>
      <c r="L1715" s="145">
        <f t="shared" si="80"/>
        <v>0</v>
      </c>
      <c r="M1715" t="str">
        <f>_xlfn.XLOOKUP(Table3[[#This Row],[Cuenta]],Estructura_Balance[Nombre Cuenta ()],Estructura_Balance[Grupo],"",0)</f>
        <v/>
      </c>
      <c r="N1715" t="str">
        <f>_xlfn.XLOOKUP(Table3[[#This Row],[Cuenta]],Estructura_Balance[Nombre Cuenta ()],Estructura_Balance[Nivel 1],"",0)</f>
        <v/>
      </c>
      <c r="O1715" t="str">
        <f>_xlfn.XLOOKUP(Table3[[#This Row],[Cuenta]],Estructura_Balance[Nombre Cuenta ()],Estructura_Balance[Nivel 2],"",0)</f>
        <v/>
      </c>
      <c r="P1715" t="str">
        <f>_xlfn.XLOOKUP(Table3[[#This Row],[Cuenta]],Estructura_Balance[Nombre Cuenta ()],Estructura_Balance[Nivel 3],"",0)</f>
        <v/>
      </c>
      <c r="Q1715" t="str">
        <f>_xlfn.XLOOKUP(Table3[[#This Row],[Cuenta]],Estructura_Balance[Nombre Cuenta ()],Estructura_Balance[Nivel 4],"",0)</f>
        <v/>
      </c>
      <c r="R1715" t="str">
        <f>_xlfn.XLOOKUP(Table3[[#This Row],[Cuenta]],Table8[Nombre Cuenta ()],Table8[Nivel 1],"",0)</f>
        <v/>
      </c>
      <c r="S1715" t="str">
        <f>_xlfn.XLOOKUP(Table3[[#This Row],[Cuenta]],Table8[Nombre Cuenta ()],Table8[Nivel 2],"",0)</f>
        <v/>
      </c>
      <c r="T1715" t="str">
        <f>_xlfn.XLOOKUP(Table3[[#This Row],[Cuenta]],Table8[Nombre Cuenta ()],Table8[Nivel 3],"",0)</f>
        <v/>
      </c>
      <c r="U1715">
        <v>1607</v>
      </c>
      <c r="V1715" t="str">
        <f>_xlfn.XLOOKUP(Table3[[#This Row],[Cuenta]],Estructura_Balance[Nombre Cuenta ()],Estructura_Balance[Niveles:2],"",0)</f>
        <v/>
      </c>
      <c r="W1715" t="str">
        <f>_xlfn.XLOOKUP(Table3[[#This Row],[Cuenta]],Estructura_Balance[Nombre Cuenta ()],Estructura_Balance[Niveles:3],"",0)</f>
        <v/>
      </c>
      <c r="X1715" t="str">
        <f>_xlfn.XLOOKUP(Table3[[#This Row],[Cuenta]],Estructura_Balance[Nombre Cuenta ()],Estructura_Balance[Grupos],"Grupo 1",0)</f>
        <v>Grupo 1</v>
      </c>
      <c r="Y1715" t="str">
        <f>+Table3[[#This Row],[BS_Nivel_1]]</f>
        <v/>
      </c>
    </row>
    <row r="1716" spans="1:25" ht="15" customHeight="1">
      <c r="A1716">
        <f>+'Libro Diario'!F215</f>
        <v>20</v>
      </c>
      <c r="B1716" s="144">
        <f>VALUE(IF(+'Libro Diario'!G215="","01/01/2025",+'Libro Diario'!G215))</f>
        <v>45784</v>
      </c>
      <c r="C1716">
        <f>IF(ISNUMBER(+IF(IFERROR(VALUE(MID('Libro Diario'!D215,1,4)),0)&lt;&gt;0,'Libro Diario'!D215,0))=FALSE,'Libro Diario'!D215,0)</f>
        <v>0</v>
      </c>
      <c r="D1716" s="145">
        <f>+'Libro Diario'!E215</f>
        <v>0</v>
      </c>
      <c r="E1716" s="139" t="s">
        <v>446</v>
      </c>
      <c r="F1716" t="str">
        <f t="shared" si="78"/>
        <v>Sin Mov.</v>
      </c>
      <c r="G1716" t="str">
        <f>IF(+'Libro Diario'!H215=0,"",+'Libro Diario'!H215)</f>
        <v>Operaciones del Ejercicio</v>
      </c>
      <c r="H1716" t="str">
        <f>IF(+'Libro Diario'!I215=0,"",+'Libro Diario'!I215)</f>
        <v/>
      </c>
      <c r="I1716" t="str">
        <f>+IF(Table3[[#This Row],[Tipo Movimiento]]="Estructura Balance y PyG","Excluir","Incluir")</f>
        <v>Incluir</v>
      </c>
      <c r="J1716" s="153">
        <f>+IF(Table3[[#This Row],[Sin cuenta]]="Con Mov.",(IF(Table3[[#This Row],[Movimiento]]="Debe",Table3[[#This Row],[Importe]],IF(Table3[[#This Row],[Movimiento]]="Haber",Table3[[#This Row],[Importe]]*-1,0))),0)</f>
        <v>0</v>
      </c>
      <c r="K1716" s="145" t="str">
        <f t="shared" si="79"/>
        <v/>
      </c>
      <c r="L1716" s="145">
        <f t="shared" si="80"/>
        <v>0</v>
      </c>
      <c r="M1716" t="str">
        <f>_xlfn.XLOOKUP(Table3[[#This Row],[Cuenta]],Estructura_Balance[Nombre Cuenta ()],Estructura_Balance[Grupo],"",0)</f>
        <v/>
      </c>
      <c r="N1716" t="str">
        <f>_xlfn.XLOOKUP(Table3[[#This Row],[Cuenta]],Estructura_Balance[Nombre Cuenta ()],Estructura_Balance[Nivel 1],"",0)</f>
        <v/>
      </c>
      <c r="O1716" t="str">
        <f>_xlfn.XLOOKUP(Table3[[#This Row],[Cuenta]],Estructura_Balance[Nombre Cuenta ()],Estructura_Balance[Nivel 2],"",0)</f>
        <v/>
      </c>
      <c r="P1716" t="str">
        <f>_xlfn.XLOOKUP(Table3[[#This Row],[Cuenta]],Estructura_Balance[Nombre Cuenta ()],Estructura_Balance[Nivel 3],"",0)</f>
        <v/>
      </c>
      <c r="Q1716" t="str">
        <f>_xlfn.XLOOKUP(Table3[[#This Row],[Cuenta]],Estructura_Balance[Nombre Cuenta ()],Estructura_Balance[Nivel 4],"",0)</f>
        <v/>
      </c>
      <c r="R1716" t="str">
        <f>_xlfn.XLOOKUP(Table3[[#This Row],[Cuenta]],Table8[Nombre Cuenta ()],Table8[Nivel 1],"",0)</f>
        <v/>
      </c>
      <c r="S1716" t="str">
        <f>_xlfn.XLOOKUP(Table3[[#This Row],[Cuenta]],Table8[Nombre Cuenta ()],Table8[Nivel 2],"",0)</f>
        <v/>
      </c>
      <c r="T1716" t="str">
        <f>_xlfn.XLOOKUP(Table3[[#This Row],[Cuenta]],Table8[Nombre Cuenta ()],Table8[Nivel 3],"",0)</f>
        <v/>
      </c>
      <c r="U1716">
        <v>1608</v>
      </c>
      <c r="V1716" t="str">
        <f>_xlfn.XLOOKUP(Table3[[#This Row],[Cuenta]],Estructura_Balance[Nombre Cuenta ()],Estructura_Balance[Niveles:2],"",0)</f>
        <v/>
      </c>
      <c r="W1716" t="str">
        <f>_xlfn.XLOOKUP(Table3[[#This Row],[Cuenta]],Estructura_Balance[Nombre Cuenta ()],Estructura_Balance[Niveles:3],"",0)</f>
        <v/>
      </c>
      <c r="X1716" t="str">
        <f>_xlfn.XLOOKUP(Table3[[#This Row],[Cuenta]],Estructura_Balance[Nombre Cuenta ()],Estructura_Balance[Grupos],"Grupo 1",0)</f>
        <v>Grupo 1</v>
      </c>
      <c r="Y1716" t="str">
        <f>+Table3[[#This Row],[BS_Nivel_1]]</f>
        <v/>
      </c>
    </row>
    <row r="1717" spans="1:25" ht="15" customHeight="1">
      <c r="A1717">
        <f>+'Libro Diario'!F221</f>
        <v>21</v>
      </c>
      <c r="B1717" s="144">
        <f>VALUE(IF(+'Libro Diario'!G221="","01/01/2025",+'Libro Diario'!G221))</f>
        <v>45829</v>
      </c>
      <c r="C1717">
        <f>IF(ISNUMBER(+IF(IFERROR(VALUE(MID('Libro Diario'!C221,1,4)),0)&lt;&gt;0,'Libro Diario'!C221,0))=FALSE,'Libro Diario'!C221,0)</f>
        <v>0</v>
      </c>
      <c r="D1717" s="145">
        <f>+'Libro Diario'!B221</f>
        <v>0</v>
      </c>
      <c r="E1717" s="139" t="s">
        <v>445</v>
      </c>
      <c r="F1717" t="str">
        <f t="shared" si="78"/>
        <v>Sin Mov.</v>
      </c>
      <c r="G1717" t="str">
        <f>IF(+'Libro Diario'!H221=0,"",+'Libro Diario'!H221)</f>
        <v>Operaciones del Ejercicio</v>
      </c>
      <c r="H1717" t="str">
        <f>IF(+'Libro Diario'!I221=0,"",+'Libro Diario'!I221)</f>
        <v/>
      </c>
      <c r="I1717" t="str">
        <f>+IF(Table3[[#This Row],[Tipo Movimiento]]="Estructura Balance y PyG","Excluir","Incluir")</f>
        <v>Incluir</v>
      </c>
      <c r="J1717" s="153">
        <f>+IF(Table3[[#This Row],[Sin cuenta]]="Con Mov.",(IF(Table3[[#This Row],[Movimiento]]="Debe",Table3[[#This Row],[Importe]],IF(Table3[[#This Row],[Movimiento]]="Haber",Table3[[#This Row],[Importe]]*-1,0))),0)</f>
        <v>0</v>
      </c>
      <c r="K1717" s="145">
        <f t="shared" si="79"/>
        <v>0</v>
      </c>
      <c r="L1717" s="145" t="str">
        <f t="shared" si="80"/>
        <v/>
      </c>
      <c r="M1717" t="str">
        <f>_xlfn.XLOOKUP(Table3[[#This Row],[Cuenta]],Estructura_Balance[Nombre Cuenta ()],Estructura_Balance[Grupo],"",0)</f>
        <v/>
      </c>
      <c r="N1717" t="str">
        <f>_xlfn.XLOOKUP(Table3[[#This Row],[Cuenta]],Estructura_Balance[Nombre Cuenta ()],Estructura_Balance[Nivel 1],"",0)</f>
        <v/>
      </c>
      <c r="O1717" t="str">
        <f>_xlfn.XLOOKUP(Table3[[#This Row],[Cuenta]],Estructura_Balance[Nombre Cuenta ()],Estructura_Balance[Nivel 2],"",0)</f>
        <v/>
      </c>
      <c r="P1717" t="str">
        <f>_xlfn.XLOOKUP(Table3[[#This Row],[Cuenta]],Estructura_Balance[Nombre Cuenta ()],Estructura_Balance[Nivel 3],"",0)</f>
        <v/>
      </c>
      <c r="Q1717" t="str">
        <f>_xlfn.XLOOKUP(Table3[[#This Row],[Cuenta]],Estructura_Balance[Nombre Cuenta ()],Estructura_Balance[Nivel 4],"",0)</f>
        <v/>
      </c>
      <c r="R1717" t="str">
        <f>_xlfn.XLOOKUP(Table3[[#This Row],[Cuenta]],Table8[Nombre Cuenta ()],Table8[Nivel 1],"",0)</f>
        <v/>
      </c>
      <c r="S1717" t="str">
        <f>_xlfn.XLOOKUP(Table3[[#This Row],[Cuenta]],Table8[Nombre Cuenta ()],Table8[Nivel 2],"",0)</f>
        <v/>
      </c>
      <c r="T1717" t="str">
        <f>_xlfn.XLOOKUP(Table3[[#This Row],[Cuenta]],Table8[Nombre Cuenta ()],Table8[Nivel 3],"",0)</f>
        <v/>
      </c>
      <c r="U1717">
        <v>296</v>
      </c>
      <c r="V1717" t="str">
        <f>_xlfn.XLOOKUP(Table3[[#This Row],[Cuenta]],Estructura_Balance[Nombre Cuenta ()],Estructura_Balance[Niveles:2],"",0)</f>
        <v/>
      </c>
      <c r="W1717" t="str">
        <f>_xlfn.XLOOKUP(Table3[[#This Row],[Cuenta]],Estructura_Balance[Nombre Cuenta ()],Estructura_Balance[Niveles:3],"",0)</f>
        <v/>
      </c>
      <c r="X1717" t="str">
        <f>_xlfn.XLOOKUP(Table3[[#This Row],[Cuenta]],Estructura_Balance[Nombre Cuenta ()],Estructura_Balance[Grupos],"Grupo 1",0)</f>
        <v>Grupo 1</v>
      </c>
      <c r="Y1717" t="str">
        <f>+Table3[[#This Row],[BS_Nivel_1]]</f>
        <v/>
      </c>
    </row>
    <row r="1718" spans="1:25" ht="15" customHeight="1">
      <c r="A1718">
        <f>+'Libro Diario'!F222</f>
        <v>21</v>
      </c>
      <c r="B1718" s="144">
        <f>VALUE(IF(+'Libro Diario'!G222="","01/01/2025",+'Libro Diario'!G222))</f>
        <v>45829</v>
      </c>
      <c r="C1718">
        <f>IF(ISNUMBER(+IF(IFERROR(VALUE(MID('Libro Diario'!C222,1,4)),0)&lt;&gt;0,'Libro Diario'!C222,0))=FALSE,'Libro Diario'!C222,0)</f>
        <v>0</v>
      </c>
      <c r="D1718" s="145">
        <f>+'Libro Diario'!B222</f>
        <v>0</v>
      </c>
      <c r="E1718" s="139" t="s">
        <v>445</v>
      </c>
      <c r="F1718" t="str">
        <f t="shared" si="78"/>
        <v>Sin Mov.</v>
      </c>
      <c r="G1718" t="str">
        <f>IF(+'Libro Diario'!H222=0,"",+'Libro Diario'!H222)</f>
        <v>Operaciones del Ejercicio</v>
      </c>
      <c r="H1718" t="str">
        <f>IF(+'Libro Diario'!I222=0,"",+'Libro Diario'!I222)</f>
        <v/>
      </c>
      <c r="I1718" t="str">
        <f>+IF(Table3[[#This Row],[Tipo Movimiento]]="Estructura Balance y PyG","Excluir","Incluir")</f>
        <v>Incluir</v>
      </c>
      <c r="J1718" s="153">
        <f>+IF(Table3[[#This Row],[Sin cuenta]]="Con Mov.",(IF(Table3[[#This Row],[Movimiento]]="Debe",Table3[[#This Row],[Importe]],IF(Table3[[#This Row],[Movimiento]]="Haber",Table3[[#This Row],[Importe]]*-1,0))),0)</f>
        <v>0</v>
      </c>
      <c r="K1718" s="145">
        <f t="shared" si="79"/>
        <v>0</v>
      </c>
      <c r="L1718" s="145" t="str">
        <f t="shared" si="80"/>
        <v/>
      </c>
      <c r="M1718" t="str">
        <f>_xlfn.XLOOKUP(Table3[[#This Row],[Cuenta]],Estructura_Balance[Nombre Cuenta ()],Estructura_Balance[Grupo],"",0)</f>
        <v/>
      </c>
      <c r="N1718" t="str">
        <f>_xlfn.XLOOKUP(Table3[[#This Row],[Cuenta]],Estructura_Balance[Nombre Cuenta ()],Estructura_Balance[Nivel 1],"",0)</f>
        <v/>
      </c>
      <c r="O1718" t="str">
        <f>_xlfn.XLOOKUP(Table3[[#This Row],[Cuenta]],Estructura_Balance[Nombre Cuenta ()],Estructura_Balance[Nivel 2],"",0)</f>
        <v/>
      </c>
      <c r="P1718" t="str">
        <f>_xlfn.XLOOKUP(Table3[[#This Row],[Cuenta]],Estructura_Balance[Nombre Cuenta ()],Estructura_Balance[Nivel 3],"",0)</f>
        <v/>
      </c>
      <c r="Q1718" t="str">
        <f>_xlfn.XLOOKUP(Table3[[#This Row],[Cuenta]],Estructura_Balance[Nombre Cuenta ()],Estructura_Balance[Nivel 4],"",0)</f>
        <v/>
      </c>
      <c r="R1718" t="str">
        <f>_xlfn.XLOOKUP(Table3[[#This Row],[Cuenta]],Table8[Nombre Cuenta ()],Table8[Nivel 1],"",0)</f>
        <v/>
      </c>
      <c r="S1718" t="str">
        <f>_xlfn.XLOOKUP(Table3[[#This Row],[Cuenta]],Table8[Nombre Cuenta ()],Table8[Nivel 2],"",0)</f>
        <v/>
      </c>
      <c r="T1718" t="str">
        <f>_xlfn.XLOOKUP(Table3[[#This Row],[Cuenta]],Table8[Nombre Cuenta ()],Table8[Nivel 3],"",0)</f>
        <v/>
      </c>
      <c r="U1718">
        <v>297</v>
      </c>
      <c r="V1718" t="str">
        <f>_xlfn.XLOOKUP(Table3[[#This Row],[Cuenta]],Estructura_Balance[Nombre Cuenta ()],Estructura_Balance[Niveles:2],"",0)</f>
        <v/>
      </c>
      <c r="W1718" t="str">
        <f>_xlfn.XLOOKUP(Table3[[#This Row],[Cuenta]],Estructura_Balance[Nombre Cuenta ()],Estructura_Balance[Niveles:3],"",0)</f>
        <v/>
      </c>
      <c r="X1718" t="str">
        <f>_xlfn.XLOOKUP(Table3[[#This Row],[Cuenta]],Estructura_Balance[Nombre Cuenta ()],Estructura_Balance[Grupos],"Grupo 1",0)</f>
        <v>Grupo 1</v>
      </c>
      <c r="Y1718" t="str">
        <f>+Table3[[#This Row],[BS_Nivel_1]]</f>
        <v/>
      </c>
    </row>
    <row r="1719" spans="1:25" ht="15" customHeight="1">
      <c r="A1719">
        <f>+'Libro Diario'!F221</f>
        <v>21</v>
      </c>
      <c r="B1719" s="144">
        <f>VALUE(IF(+'Libro Diario'!G221="","01/01/2025",+'Libro Diario'!G221))</f>
        <v>45829</v>
      </c>
      <c r="C1719">
        <f>IF(ISNUMBER(+IF(IFERROR(VALUE(MID('Libro Diario'!D221,1,4)),0)&lt;&gt;0,'Libro Diario'!D221,0))=FALSE,'Libro Diario'!D221,0)</f>
        <v>0</v>
      </c>
      <c r="D1719" s="145">
        <f>+'Libro Diario'!E221</f>
        <v>0</v>
      </c>
      <c r="E1719" s="139" t="s">
        <v>446</v>
      </c>
      <c r="F1719" t="str">
        <f t="shared" si="78"/>
        <v>Sin Mov.</v>
      </c>
      <c r="G1719" t="str">
        <f>IF(+'Libro Diario'!H221=0,"",+'Libro Diario'!H221)</f>
        <v>Operaciones del Ejercicio</v>
      </c>
      <c r="H1719" t="str">
        <f>IF(+'Libro Diario'!I221=0,"",+'Libro Diario'!I221)</f>
        <v/>
      </c>
      <c r="I1719" t="str">
        <f>+IF(Table3[[#This Row],[Tipo Movimiento]]="Estructura Balance y PyG","Excluir","Incluir")</f>
        <v>Incluir</v>
      </c>
      <c r="J1719" s="153">
        <f>+IF(Table3[[#This Row],[Sin cuenta]]="Con Mov.",(IF(Table3[[#This Row],[Movimiento]]="Debe",Table3[[#This Row],[Importe]],IF(Table3[[#This Row],[Movimiento]]="Haber",Table3[[#This Row],[Importe]]*-1,0))),0)</f>
        <v>0</v>
      </c>
      <c r="K1719" s="145" t="str">
        <f t="shared" si="79"/>
        <v/>
      </c>
      <c r="L1719" s="145">
        <f t="shared" si="80"/>
        <v>0</v>
      </c>
      <c r="M1719" t="str">
        <f>_xlfn.XLOOKUP(Table3[[#This Row],[Cuenta]],Estructura_Balance[Nombre Cuenta ()],Estructura_Balance[Grupo],"",0)</f>
        <v/>
      </c>
      <c r="N1719" t="str">
        <f>_xlfn.XLOOKUP(Table3[[#This Row],[Cuenta]],Estructura_Balance[Nombre Cuenta ()],Estructura_Balance[Nivel 1],"",0)</f>
        <v/>
      </c>
      <c r="O1719" t="str">
        <f>_xlfn.XLOOKUP(Table3[[#This Row],[Cuenta]],Estructura_Balance[Nombre Cuenta ()],Estructura_Balance[Nivel 2],"",0)</f>
        <v/>
      </c>
      <c r="P1719" t="str">
        <f>_xlfn.XLOOKUP(Table3[[#This Row],[Cuenta]],Estructura_Balance[Nombre Cuenta ()],Estructura_Balance[Nivel 3],"",0)</f>
        <v/>
      </c>
      <c r="Q1719" t="str">
        <f>_xlfn.XLOOKUP(Table3[[#This Row],[Cuenta]],Estructura_Balance[Nombre Cuenta ()],Estructura_Balance[Nivel 4],"",0)</f>
        <v/>
      </c>
      <c r="R1719" t="str">
        <f>_xlfn.XLOOKUP(Table3[[#This Row],[Cuenta]],Table8[Nombre Cuenta ()],Table8[Nivel 1],"",0)</f>
        <v/>
      </c>
      <c r="S1719" t="str">
        <f>_xlfn.XLOOKUP(Table3[[#This Row],[Cuenta]],Table8[Nombre Cuenta ()],Table8[Nivel 2],"",0)</f>
        <v/>
      </c>
      <c r="T1719" t="str">
        <f>_xlfn.XLOOKUP(Table3[[#This Row],[Cuenta]],Table8[Nombre Cuenta ()],Table8[Nivel 3],"",0)</f>
        <v/>
      </c>
      <c r="U1719">
        <v>1614</v>
      </c>
      <c r="V1719" t="str">
        <f>_xlfn.XLOOKUP(Table3[[#This Row],[Cuenta]],Estructura_Balance[Nombre Cuenta ()],Estructura_Balance[Niveles:2],"",0)</f>
        <v/>
      </c>
      <c r="W1719" t="str">
        <f>_xlfn.XLOOKUP(Table3[[#This Row],[Cuenta]],Estructura_Balance[Nombre Cuenta ()],Estructura_Balance[Niveles:3],"",0)</f>
        <v/>
      </c>
      <c r="X1719" t="str">
        <f>_xlfn.XLOOKUP(Table3[[#This Row],[Cuenta]],Estructura_Balance[Nombre Cuenta ()],Estructura_Balance[Grupos],"Grupo 1",0)</f>
        <v>Grupo 1</v>
      </c>
      <c r="Y1719" t="str">
        <f>+Table3[[#This Row],[BS_Nivel_1]]</f>
        <v/>
      </c>
    </row>
    <row r="1720" spans="1:25" ht="15" customHeight="1">
      <c r="A1720">
        <f>+'Libro Diario'!F222</f>
        <v>21</v>
      </c>
      <c r="B1720" s="144">
        <f>VALUE(IF(+'Libro Diario'!G222="","01/01/2025",+'Libro Diario'!G222))</f>
        <v>45829</v>
      </c>
      <c r="C1720">
        <f>IF(ISNUMBER(+IF(IFERROR(VALUE(MID('Libro Diario'!D222,1,4)),0)&lt;&gt;0,'Libro Diario'!D222,0))=FALSE,'Libro Diario'!D222,0)</f>
        <v>0</v>
      </c>
      <c r="D1720" s="145">
        <f>+'Libro Diario'!E222</f>
        <v>0</v>
      </c>
      <c r="E1720" s="139" t="s">
        <v>446</v>
      </c>
      <c r="F1720" t="str">
        <f t="shared" si="78"/>
        <v>Sin Mov.</v>
      </c>
      <c r="G1720" t="str">
        <f>IF(+'Libro Diario'!H222=0,"",+'Libro Diario'!H222)</f>
        <v>Operaciones del Ejercicio</v>
      </c>
      <c r="H1720" t="str">
        <f>IF(+'Libro Diario'!I222=0,"",+'Libro Diario'!I222)</f>
        <v/>
      </c>
      <c r="I1720" t="str">
        <f>+IF(Table3[[#This Row],[Tipo Movimiento]]="Estructura Balance y PyG","Excluir","Incluir")</f>
        <v>Incluir</v>
      </c>
      <c r="J1720" s="153">
        <f>+IF(Table3[[#This Row],[Sin cuenta]]="Con Mov.",(IF(Table3[[#This Row],[Movimiento]]="Debe",Table3[[#This Row],[Importe]],IF(Table3[[#This Row],[Movimiento]]="Haber",Table3[[#This Row],[Importe]]*-1,0))),0)</f>
        <v>0</v>
      </c>
      <c r="K1720" s="145" t="str">
        <f t="shared" si="79"/>
        <v/>
      </c>
      <c r="L1720" s="145">
        <f t="shared" si="80"/>
        <v>0</v>
      </c>
      <c r="M1720" t="str">
        <f>_xlfn.XLOOKUP(Table3[[#This Row],[Cuenta]],Estructura_Balance[Nombre Cuenta ()],Estructura_Balance[Grupo],"",0)</f>
        <v/>
      </c>
      <c r="N1720" t="str">
        <f>_xlfn.XLOOKUP(Table3[[#This Row],[Cuenta]],Estructura_Balance[Nombre Cuenta ()],Estructura_Balance[Nivel 1],"",0)</f>
        <v/>
      </c>
      <c r="O1720" t="str">
        <f>_xlfn.XLOOKUP(Table3[[#This Row],[Cuenta]],Estructura_Balance[Nombre Cuenta ()],Estructura_Balance[Nivel 2],"",0)</f>
        <v/>
      </c>
      <c r="P1720" t="str">
        <f>_xlfn.XLOOKUP(Table3[[#This Row],[Cuenta]],Estructura_Balance[Nombre Cuenta ()],Estructura_Balance[Nivel 3],"",0)</f>
        <v/>
      </c>
      <c r="Q1720" t="str">
        <f>_xlfn.XLOOKUP(Table3[[#This Row],[Cuenta]],Estructura_Balance[Nombre Cuenta ()],Estructura_Balance[Nivel 4],"",0)</f>
        <v/>
      </c>
      <c r="R1720" t="str">
        <f>_xlfn.XLOOKUP(Table3[[#This Row],[Cuenta]],Table8[Nombre Cuenta ()],Table8[Nivel 1],"",0)</f>
        <v/>
      </c>
      <c r="S1720" t="str">
        <f>_xlfn.XLOOKUP(Table3[[#This Row],[Cuenta]],Table8[Nombre Cuenta ()],Table8[Nivel 2],"",0)</f>
        <v/>
      </c>
      <c r="T1720" t="str">
        <f>_xlfn.XLOOKUP(Table3[[#This Row],[Cuenta]],Table8[Nombre Cuenta ()],Table8[Nivel 3],"",0)</f>
        <v/>
      </c>
      <c r="U1720">
        <v>1615</v>
      </c>
      <c r="V1720" t="str">
        <f>_xlfn.XLOOKUP(Table3[[#This Row],[Cuenta]],Estructura_Balance[Nombre Cuenta ()],Estructura_Balance[Niveles:2],"",0)</f>
        <v/>
      </c>
      <c r="W1720" t="str">
        <f>_xlfn.XLOOKUP(Table3[[#This Row],[Cuenta]],Estructura_Balance[Nombre Cuenta ()],Estructura_Balance[Niveles:3],"",0)</f>
        <v/>
      </c>
      <c r="X1720" t="str">
        <f>_xlfn.XLOOKUP(Table3[[#This Row],[Cuenta]],Estructura_Balance[Nombre Cuenta ()],Estructura_Balance[Grupos],"Grupo 1",0)</f>
        <v>Grupo 1</v>
      </c>
      <c r="Y1720" t="str">
        <f>+Table3[[#This Row],[BS_Nivel_1]]</f>
        <v/>
      </c>
    </row>
    <row r="1721" spans="1:25" ht="15" customHeight="1">
      <c r="A1721">
        <f>+'Libro Diario'!F228</f>
        <v>22</v>
      </c>
      <c r="B1721" s="144">
        <f>VALUE(IF(+'Libro Diario'!G228="","01/01/2025",+'Libro Diario'!G228))</f>
        <v>45829</v>
      </c>
      <c r="C1721">
        <f>IF(ISNUMBER(+IF(IFERROR(VALUE(MID('Libro Diario'!C228,1,4)),0)&lt;&gt;0,'Libro Diario'!C228,0))=FALSE,'Libro Diario'!C228,0)</f>
        <v>0</v>
      </c>
      <c r="D1721" s="145">
        <f>+'Libro Diario'!B228</f>
        <v>0</v>
      </c>
      <c r="E1721" s="139" t="s">
        <v>445</v>
      </c>
      <c r="F1721" t="str">
        <f t="shared" si="78"/>
        <v>Sin Mov.</v>
      </c>
      <c r="G1721" t="str">
        <f>IF(+'Libro Diario'!H228=0,"",+'Libro Diario'!H228)</f>
        <v>Operaciones del Ejercicio</v>
      </c>
      <c r="H1721" t="str">
        <f>IF(+'Libro Diario'!I228=0,"",+'Libro Diario'!I228)</f>
        <v/>
      </c>
      <c r="I1721" t="str">
        <f>+IF(Table3[[#This Row],[Tipo Movimiento]]="Estructura Balance y PyG","Excluir","Incluir")</f>
        <v>Incluir</v>
      </c>
      <c r="J1721" s="153">
        <f>+IF(Table3[[#This Row],[Sin cuenta]]="Con Mov.",(IF(Table3[[#This Row],[Movimiento]]="Debe",Table3[[#This Row],[Importe]],IF(Table3[[#This Row],[Movimiento]]="Haber",Table3[[#This Row],[Importe]]*-1,0))),0)</f>
        <v>0</v>
      </c>
      <c r="K1721" s="145">
        <f t="shared" si="79"/>
        <v>0</v>
      </c>
      <c r="L1721" s="145" t="str">
        <f t="shared" si="80"/>
        <v/>
      </c>
      <c r="M1721" t="str">
        <f>_xlfn.XLOOKUP(Table3[[#This Row],[Cuenta]],Estructura_Balance[Nombre Cuenta ()],Estructura_Balance[Grupo],"",0)</f>
        <v/>
      </c>
      <c r="N1721" t="str">
        <f>_xlfn.XLOOKUP(Table3[[#This Row],[Cuenta]],Estructura_Balance[Nombre Cuenta ()],Estructura_Balance[Nivel 1],"",0)</f>
        <v/>
      </c>
      <c r="O1721" t="str">
        <f>_xlfn.XLOOKUP(Table3[[#This Row],[Cuenta]],Estructura_Balance[Nombre Cuenta ()],Estructura_Balance[Nivel 2],"",0)</f>
        <v/>
      </c>
      <c r="P1721" t="str">
        <f>_xlfn.XLOOKUP(Table3[[#This Row],[Cuenta]],Estructura_Balance[Nombre Cuenta ()],Estructura_Balance[Nivel 3],"",0)</f>
        <v/>
      </c>
      <c r="Q1721" t="str">
        <f>_xlfn.XLOOKUP(Table3[[#This Row],[Cuenta]],Estructura_Balance[Nombre Cuenta ()],Estructura_Balance[Nivel 4],"",0)</f>
        <v/>
      </c>
      <c r="R1721" t="str">
        <f>_xlfn.XLOOKUP(Table3[[#This Row],[Cuenta]],Table8[Nombre Cuenta ()],Table8[Nivel 1],"",0)</f>
        <v/>
      </c>
      <c r="S1721" t="str">
        <f>_xlfn.XLOOKUP(Table3[[#This Row],[Cuenta]],Table8[Nombre Cuenta ()],Table8[Nivel 2],"",0)</f>
        <v/>
      </c>
      <c r="T1721" t="str">
        <f>_xlfn.XLOOKUP(Table3[[#This Row],[Cuenta]],Table8[Nombre Cuenta ()],Table8[Nivel 3],"",0)</f>
        <v/>
      </c>
      <c r="U1721">
        <v>305</v>
      </c>
      <c r="V1721" t="str">
        <f>_xlfn.XLOOKUP(Table3[[#This Row],[Cuenta]],Estructura_Balance[Nombre Cuenta ()],Estructura_Balance[Niveles:2],"",0)</f>
        <v/>
      </c>
      <c r="W1721" t="str">
        <f>_xlfn.XLOOKUP(Table3[[#This Row],[Cuenta]],Estructura_Balance[Nombre Cuenta ()],Estructura_Balance[Niveles:3],"",0)</f>
        <v/>
      </c>
      <c r="X1721" t="str">
        <f>_xlfn.XLOOKUP(Table3[[#This Row],[Cuenta]],Estructura_Balance[Nombre Cuenta ()],Estructura_Balance[Grupos],"Grupo 1",0)</f>
        <v>Grupo 1</v>
      </c>
      <c r="Y1721" t="str">
        <f>+Table3[[#This Row],[BS_Nivel_1]]</f>
        <v/>
      </c>
    </row>
    <row r="1722" spans="1:25" ht="15" customHeight="1">
      <c r="A1722">
        <f>+'Libro Diario'!F229</f>
        <v>22</v>
      </c>
      <c r="B1722" s="144">
        <f>VALUE(IF(+'Libro Diario'!G229="","01/01/2025",+'Libro Diario'!G229))</f>
        <v>45829</v>
      </c>
      <c r="C1722">
        <f>IF(ISNUMBER(+IF(IFERROR(VALUE(MID('Libro Diario'!C229,1,4)),0)&lt;&gt;0,'Libro Diario'!C229,0))=FALSE,'Libro Diario'!C229,0)</f>
        <v>0</v>
      </c>
      <c r="D1722" s="145">
        <f>+'Libro Diario'!B229</f>
        <v>0</v>
      </c>
      <c r="E1722" s="139" t="s">
        <v>445</v>
      </c>
      <c r="F1722" t="str">
        <f t="shared" si="78"/>
        <v>Sin Mov.</v>
      </c>
      <c r="G1722" t="str">
        <f>IF(+'Libro Diario'!H229=0,"",+'Libro Diario'!H229)</f>
        <v>Operaciones del Ejercicio</v>
      </c>
      <c r="H1722" t="str">
        <f>IF(+'Libro Diario'!I229=0,"",+'Libro Diario'!I229)</f>
        <v/>
      </c>
      <c r="I1722" t="str">
        <f>+IF(Table3[[#This Row],[Tipo Movimiento]]="Estructura Balance y PyG","Excluir","Incluir")</f>
        <v>Incluir</v>
      </c>
      <c r="J1722" s="153">
        <f>+IF(Table3[[#This Row],[Sin cuenta]]="Con Mov.",(IF(Table3[[#This Row],[Movimiento]]="Debe",Table3[[#This Row],[Importe]],IF(Table3[[#This Row],[Movimiento]]="Haber",Table3[[#This Row],[Importe]]*-1,0))),0)</f>
        <v>0</v>
      </c>
      <c r="K1722" s="145">
        <f t="shared" si="79"/>
        <v>0</v>
      </c>
      <c r="L1722" s="145" t="str">
        <f t="shared" si="80"/>
        <v/>
      </c>
      <c r="M1722" t="str">
        <f>_xlfn.XLOOKUP(Table3[[#This Row],[Cuenta]],Estructura_Balance[Nombre Cuenta ()],Estructura_Balance[Grupo],"",0)</f>
        <v/>
      </c>
      <c r="N1722" t="str">
        <f>_xlfn.XLOOKUP(Table3[[#This Row],[Cuenta]],Estructura_Balance[Nombre Cuenta ()],Estructura_Balance[Nivel 1],"",0)</f>
        <v/>
      </c>
      <c r="O1722" t="str">
        <f>_xlfn.XLOOKUP(Table3[[#This Row],[Cuenta]],Estructura_Balance[Nombre Cuenta ()],Estructura_Balance[Nivel 2],"",0)</f>
        <v/>
      </c>
      <c r="P1722" t="str">
        <f>_xlfn.XLOOKUP(Table3[[#This Row],[Cuenta]],Estructura_Balance[Nombre Cuenta ()],Estructura_Balance[Nivel 3],"",0)</f>
        <v/>
      </c>
      <c r="Q1722" t="str">
        <f>_xlfn.XLOOKUP(Table3[[#This Row],[Cuenta]],Estructura_Balance[Nombre Cuenta ()],Estructura_Balance[Nivel 4],"",0)</f>
        <v/>
      </c>
      <c r="R1722" t="str">
        <f>_xlfn.XLOOKUP(Table3[[#This Row],[Cuenta]],Table8[Nombre Cuenta ()],Table8[Nivel 1],"",0)</f>
        <v/>
      </c>
      <c r="S1722" t="str">
        <f>_xlfn.XLOOKUP(Table3[[#This Row],[Cuenta]],Table8[Nombre Cuenta ()],Table8[Nivel 2],"",0)</f>
        <v/>
      </c>
      <c r="T1722" t="str">
        <f>_xlfn.XLOOKUP(Table3[[#This Row],[Cuenta]],Table8[Nombre Cuenta ()],Table8[Nivel 3],"",0)</f>
        <v/>
      </c>
      <c r="U1722">
        <v>308</v>
      </c>
      <c r="V1722" t="str">
        <f>_xlfn.XLOOKUP(Table3[[#This Row],[Cuenta]],Estructura_Balance[Nombre Cuenta ()],Estructura_Balance[Niveles:2],"",0)</f>
        <v/>
      </c>
      <c r="W1722" t="str">
        <f>_xlfn.XLOOKUP(Table3[[#This Row],[Cuenta]],Estructura_Balance[Nombre Cuenta ()],Estructura_Balance[Niveles:3],"",0)</f>
        <v/>
      </c>
      <c r="X1722" t="str">
        <f>_xlfn.XLOOKUP(Table3[[#This Row],[Cuenta]],Estructura_Balance[Nombre Cuenta ()],Estructura_Balance[Grupos],"Grupo 1",0)</f>
        <v>Grupo 1</v>
      </c>
      <c r="Y1722" t="str">
        <f>+Table3[[#This Row],[BS_Nivel_1]]</f>
        <v/>
      </c>
    </row>
    <row r="1723" spans="1:25" ht="15" customHeight="1">
      <c r="A1723">
        <f>+'Libro Diario'!F228</f>
        <v>22</v>
      </c>
      <c r="B1723" s="144">
        <f>VALUE(IF(+'Libro Diario'!G228="","01/01/2025",+'Libro Diario'!G228))</f>
        <v>45829</v>
      </c>
      <c r="C1723">
        <f>IF(ISNUMBER(+IF(IFERROR(VALUE(MID('Libro Diario'!D228,1,4)),0)&lt;&gt;0,'Libro Diario'!D228,0))=FALSE,'Libro Diario'!D228,0)</f>
        <v>0</v>
      </c>
      <c r="D1723" s="145">
        <f>+'Libro Diario'!E228</f>
        <v>0</v>
      </c>
      <c r="E1723" s="139" t="s">
        <v>446</v>
      </c>
      <c r="F1723" t="str">
        <f t="shared" si="78"/>
        <v>Sin Mov.</v>
      </c>
      <c r="G1723" t="str">
        <f>IF(+'Libro Diario'!H228=0,"",+'Libro Diario'!H228)</f>
        <v>Operaciones del Ejercicio</v>
      </c>
      <c r="H1723" t="str">
        <f>IF(+'Libro Diario'!I228=0,"",+'Libro Diario'!I228)</f>
        <v/>
      </c>
      <c r="I1723" t="str">
        <f>+IF(Table3[[#This Row],[Tipo Movimiento]]="Estructura Balance y PyG","Excluir","Incluir")</f>
        <v>Incluir</v>
      </c>
      <c r="J1723" s="153">
        <f>+IF(Table3[[#This Row],[Sin cuenta]]="Con Mov.",(IF(Table3[[#This Row],[Movimiento]]="Debe",Table3[[#This Row],[Importe]],IF(Table3[[#This Row],[Movimiento]]="Haber",Table3[[#This Row],[Importe]]*-1,0))),0)</f>
        <v>0</v>
      </c>
      <c r="K1723" s="145" t="str">
        <f t="shared" si="79"/>
        <v/>
      </c>
      <c r="L1723" s="145">
        <f t="shared" si="80"/>
        <v>0</v>
      </c>
      <c r="M1723" t="str">
        <f>_xlfn.XLOOKUP(Table3[[#This Row],[Cuenta]],Estructura_Balance[Nombre Cuenta ()],Estructura_Balance[Grupo],"",0)</f>
        <v/>
      </c>
      <c r="N1723" t="str">
        <f>_xlfn.XLOOKUP(Table3[[#This Row],[Cuenta]],Estructura_Balance[Nombre Cuenta ()],Estructura_Balance[Nivel 1],"",0)</f>
        <v/>
      </c>
      <c r="O1723" t="str">
        <f>_xlfn.XLOOKUP(Table3[[#This Row],[Cuenta]],Estructura_Balance[Nombre Cuenta ()],Estructura_Balance[Nivel 2],"",0)</f>
        <v/>
      </c>
      <c r="P1723" t="str">
        <f>_xlfn.XLOOKUP(Table3[[#This Row],[Cuenta]],Estructura_Balance[Nombre Cuenta ()],Estructura_Balance[Nivel 3],"",0)</f>
        <v/>
      </c>
      <c r="Q1723" t="str">
        <f>_xlfn.XLOOKUP(Table3[[#This Row],[Cuenta]],Estructura_Balance[Nombre Cuenta ()],Estructura_Balance[Nivel 4],"",0)</f>
        <v/>
      </c>
      <c r="R1723" t="str">
        <f>_xlfn.XLOOKUP(Table3[[#This Row],[Cuenta]],Table8[Nombre Cuenta ()],Table8[Nivel 1],"",0)</f>
        <v/>
      </c>
      <c r="S1723" t="str">
        <f>_xlfn.XLOOKUP(Table3[[#This Row],[Cuenta]],Table8[Nombre Cuenta ()],Table8[Nivel 2],"",0)</f>
        <v/>
      </c>
      <c r="T1723" t="str">
        <f>_xlfn.XLOOKUP(Table3[[#This Row],[Cuenta]],Table8[Nombre Cuenta ()],Table8[Nivel 3],"",0)</f>
        <v/>
      </c>
      <c r="U1723">
        <v>1621</v>
      </c>
      <c r="V1723" t="str">
        <f>_xlfn.XLOOKUP(Table3[[#This Row],[Cuenta]],Estructura_Balance[Nombre Cuenta ()],Estructura_Balance[Niveles:2],"",0)</f>
        <v/>
      </c>
      <c r="W1723" t="str">
        <f>_xlfn.XLOOKUP(Table3[[#This Row],[Cuenta]],Estructura_Balance[Nombre Cuenta ()],Estructura_Balance[Niveles:3],"",0)</f>
        <v/>
      </c>
      <c r="X1723" t="str">
        <f>_xlfn.XLOOKUP(Table3[[#This Row],[Cuenta]],Estructura_Balance[Nombre Cuenta ()],Estructura_Balance[Grupos],"Grupo 1",0)</f>
        <v>Grupo 1</v>
      </c>
      <c r="Y1723" t="str">
        <f>+Table3[[#This Row],[BS_Nivel_1]]</f>
        <v/>
      </c>
    </row>
    <row r="1724" spans="1:25" ht="15" customHeight="1">
      <c r="A1724">
        <f>+'Libro Diario'!F229</f>
        <v>22</v>
      </c>
      <c r="B1724" s="144">
        <f>VALUE(IF(+'Libro Diario'!G229="","01/01/2025",+'Libro Diario'!G229))</f>
        <v>45829</v>
      </c>
      <c r="C1724">
        <f>IF(ISNUMBER(+IF(IFERROR(VALUE(MID('Libro Diario'!D229,1,4)),0)&lt;&gt;0,'Libro Diario'!D229,0))=FALSE,'Libro Diario'!D229,0)</f>
        <v>0</v>
      </c>
      <c r="D1724" s="145">
        <f>+'Libro Diario'!E229</f>
        <v>0</v>
      </c>
      <c r="E1724" s="139" t="s">
        <v>446</v>
      </c>
      <c r="F1724" t="str">
        <f t="shared" si="78"/>
        <v>Sin Mov.</v>
      </c>
      <c r="G1724" t="str">
        <f>IF(+'Libro Diario'!H229=0,"",+'Libro Diario'!H229)</f>
        <v>Operaciones del Ejercicio</v>
      </c>
      <c r="H1724" t="str">
        <f>IF(+'Libro Diario'!I229=0,"",+'Libro Diario'!I229)</f>
        <v/>
      </c>
      <c r="I1724" t="str">
        <f>+IF(Table3[[#This Row],[Tipo Movimiento]]="Estructura Balance y PyG","Excluir","Incluir")</f>
        <v>Incluir</v>
      </c>
      <c r="J1724" s="153">
        <f>+IF(Table3[[#This Row],[Sin cuenta]]="Con Mov.",(IF(Table3[[#This Row],[Movimiento]]="Debe",Table3[[#This Row],[Importe]],IF(Table3[[#This Row],[Movimiento]]="Haber",Table3[[#This Row],[Importe]]*-1,0))),0)</f>
        <v>0</v>
      </c>
      <c r="K1724" s="145" t="str">
        <f t="shared" si="79"/>
        <v/>
      </c>
      <c r="L1724" s="145">
        <f t="shared" si="80"/>
        <v>0</v>
      </c>
      <c r="M1724" t="str">
        <f>_xlfn.XLOOKUP(Table3[[#This Row],[Cuenta]],Estructura_Balance[Nombre Cuenta ()],Estructura_Balance[Grupo],"",0)</f>
        <v/>
      </c>
      <c r="N1724" t="str">
        <f>_xlfn.XLOOKUP(Table3[[#This Row],[Cuenta]],Estructura_Balance[Nombre Cuenta ()],Estructura_Balance[Nivel 1],"",0)</f>
        <v/>
      </c>
      <c r="O1724" t="str">
        <f>_xlfn.XLOOKUP(Table3[[#This Row],[Cuenta]],Estructura_Balance[Nombre Cuenta ()],Estructura_Balance[Nivel 2],"",0)</f>
        <v/>
      </c>
      <c r="P1724" t="str">
        <f>_xlfn.XLOOKUP(Table3[[#This Row],[Cuenta]],Estructura_Balance[Nombre Cuenta ()],Estructura_Balance[Nivel 3],"",0)</f>
        <v/>
      </c>
      <c r="Q1724" t="str">
        <f>_xlfn.XLOOKUP(Table3[[#This Row],[Cuenta]],Estructura_Balance[Nombre Cuenta ()],Estructura_Balance[Nivel 4],"",0)</f>
        <v/>
      </c>
      <c r="R1724" t="str">
        <f>_xlfn.XLOOKUP(Table3[[#This Row],[Cuenta]],Table8[Nombre Cuenta ()],Table8[Nivel 1],"",0)</f>
        <v/>
      </c>
      <c r="S1724" t="str">
        <f>_xlfn.XLOOKUP(Table3[[#This Row],[Cuenta]],Table8[Nombre Cuenta ()],Table8[Nivel 2],"",0)</f>
        <v/>
      </c>
      <c r="T1724" t="str">
        <f>_xlfn.XLOOKUP(Table3[[#This Row],[Cuenta]],Table8[Nombre Cuenta ()],Table8[Nivel 3],"",0)</f>
        <v/>
      </c>
      <c r="U1724">
        <v>1622</v>
      </c>
      <c r="V1724" t="str">
        <f>_xlfn.XLOOKUP(Table3[[#This Row],[Cuenta]],Estructura_Balance[Nombre Cuenta ()],Estructura_Balance[Niveles:2],"",0)</f>
        <v/>
      </c>
      <c r="W1724" t="str">
        <f>_xlfn.XLOOKUP(Table3[[#This Row],[Cuenta]],Estructura_Balance[Nombre Cuenta ()],Estructura_Balance[Niveles:3],"",0)</f>
        <v/>
      </c>
      <c r="X1724" t="str">
        <f>_xlfn.XLOOKUP(Table3[[#This Row],[Cuenta]],Estructura_Balance[Nombre Cuenta ()],Estructura_Balance[Grupos],"Grupo 1",0)</f>
        <v>Grupo 1</v>
      </c>
      <c r="Y1724" t="str">
        <f>+Table3[[#This Row],[BS_Nivel_1]]</f>
        <v/>
      </c>
    </row>
    <row r="1725" spans="1:25" ht="15" customHeight="1">
      <c r="A1725">
        <f>+'Libro Diario'!F235</f>
        <v>23</v>
      </c>
      <c r="B1725" s="144">
        <f>VALUE(IF(+'Libro Diario'!G235="","01/01/2025",+'Libro Diario'!G235))</f>
        <v>45839</v>
      </c>
      <c r="C1725">
        <f>IF(ISNUMBER(+IF(IFERROR(VALUE(MID('Libro Diario'!C235,1,4)),0)&lt;&gt;0,'Libro Diario'!C235,0))=FALSE,'Libro Diario'!C235,0)</f>
        <v>0</v>
      </c>
      <c r="D1725" s="145">
        <f>+'Libro Diario'!B235</f>
        <v>0</v>
      </c>
      <c r="E1725" s="139" t="s">
        <v>445</v>
      </c>
      <c r="F1725" t="str">
        <f t="shared" si="78"/>
        <v>Sin Mov.</v>
      </c>
      <c r="G1725" t="str">
        <f>IF(+'Libro Diario'!H235=0,"",+'Libro Diario'!H235)</f>
        <v>Operaciones del Ejercicio</v>
      </c>
      <c r="H1725" t="str">
        <f>IF(+'Libro Diario'!I235=0,"",+'Libro Diario'!I235)</f>
        <v/>
      </c>
      <c r="I1725" t="str">
        <f>+IF(Table3[[#This Row],[Tipo Movimiento]]="Estructura Balance y PyG","Excluir","Incluir")</f>
        <v>Incluir</v>
      </c>
      <c r="J1725" s="153">
        <f>+IF(Table3[[#This Row],[Sin cuenta]]="Con Mov.",(IF(Table3[[#This Row],[Movimiento]]="Debe",Table3[[#This Row],[Importe]],IF(Table3[[#This Row],[Movimiento]]="Haber",Table3[[#This Row],[Importe]]*-1,0))),0)</f>
        <v>0</v>
      </c>
      <c r="K1725" s="145">
        <f t="shared" si="79"/>
        <v>0</v>
      </c>
      <c r="L1725" s="145" t="str">
        <f t="shared" si="80"/>
        <v/>
      </c>
      <c r="M1725" t="str">
        <f>_xlfn.XLOOKUP(Table3[[#This Row],[Cuenta]],Estructura_Balance[Nombre Cuenta ()],Estructura_Balance[Grupo],"",0)</f>
        <v/>
      </c>
      <c r="N1725" t="str">
        <f>_xlfn.XLOOKUP(Table3[[#This Row],[Cuenta]],Estructura_Balance[Nombre Cuenta ()],Estructura_Balance[Nivel 1],"",0)</f>
        <v/>
      </c>
      <c r="O1725" t="str">
        <f>_xlfn.XLOOKUP(Table3[[#This Row],[Cuenta]],Estructura_Balance[Nombre Cuenta ()],Estructura_Balance[Nivel 2],"",0)</f>
        <v/>
      </c>
      <c r="P1725" t="str">
        <f>_xlfn.XLOOKUP(Table3[[#This Row],[Cuenta]],Estructura_Balance[Nombre Cuenta ()],Estructura_Balance[Nivel 3],"",0)</f>
        <v/>
      </c>
      <c r="Q1725" t="str">
        <f>_xlfn.XLOOKUP(Table3[[#This Row],[Cuenta]],Estructura_Balance[Nombre Cuenta ()],Estructura_Balance[Nivel 4],"",0)</f>
        <v/>
      </c>
      <c r="R1725" t="str">
        <f>_xlfn.XLOOKUP(Table3[[#This Row],[Cuenta]],Table8[Nombre Cuenta ()],Table8[Nivel 1],"",0)</f>
        <v/>
      </c>
      <c r="S1725" t="str">
        <f>_xlfn.XLOOKUP(Table3[[#This Row],[Cuenta]],Table8[Nombre Cuenta ()],Table8[Nivel 2],"",0)</f>
        <v/>
      </c>
      <c r="T1725" t="str">
        <f>_xlfn.XLOOKUP(Table3[[#This Row],[Cuenta]],Table8[Nombre Cuenta ()],Table8[Nivel 3],"",0)</f>
        <v/>
      </c>
      <c r="U1725">
        <v>316</v>
      </c>
      <c r="V1725" t="str">
        <f>_xlfn.XLOOKUP(Table3[[#This Row],[Cuenta]],Estructura_Balance[Nombre Cuenta ()],Estructura_Balance[Niveles:2],"",0)</f>
        <v/>
      </c>
      <c r="W1725" t="str">
        <f>_xlfn.XLOOKUP(Table3[[#This Row],[Cuenta]],Estructura_Balance[Nombre Cuenta ()],Estructura_Balance[Niveles:3],"",0)</f>
        <v/>
      </c>
      <c r="X1725" t="str">
        <f>_xlfn.XLOOKUP(Table3[[#This Row],[Cuenta]],Estructura_Balance[Nombre Cuenta ()],Estructura_Balance[Grupos],"Grupo 1",0)</f>
        <v>Grupo 1</v>
      </c>
      <c r="Y1725" t="str">
        <f>+Table3[[#This Row],[BS_Nivel_1]]</f>
        <v/>
      </c>
    </row>
    <row r="1726" spans="1:25" ht="15" customHeight="1">
      <c r="A1726">
        <f>+'Libro Diario'!F236</f>
        <v>23</v>
      </c>
      <c r="B1726" s="144">
        <f>VALUE(IF(+'Libro Diario'!G236="","01/01/2025",+'Libro Diario'!G236))</f>
        <v>45839</v>
      </c>
      <c r="C1726">
        <f>IF(ISNUMBER(+IF(IFERROR(VALUE(MID('Libro Diario'!C236,1,4)),0)&lt;&gt;0,'Libro Diario'!C236,0))=FALSE,'Libro Diario'!C236,0)</f>
        <v>0</v>
      </c>
      <c r="D1726" s="145">
        <f>+'Libro Diario'!B236</f>
        <v>0</v>
      </c>
      <c r="E1726" s="139" t="s">
        <v>445</v>
      </c>
      <c r="F1726" t="str">
        <f t="shared" si="78"/>
        <v>Sin Mov.</v>
      </c>
      <c r="G1726" t="str">
        <f>IF(+'Libro Diario'!H236=0,"",+'Libro Diario'!H236)</f>
        <v>Operaciones del Ejercicio</v>
      </c>
      <c r="H1726" t="str">
        <f>IF(+'Libro Diario'!I236=0,"",+'Libro Diario'!I236)</f>
        <v/>
      </c>
      <c r="I1726" t="str">
        <f>+IF(Table3[[#This Row],[Tipo Movimiento]]="Estructura Balance y PyG","Excluir","Incluir")</f>
        <v>Incluir</v>
      </c>
      <c r="J1726" s="153">
        <f>+IF(Table3[[#This Row],[Sin cuenta]]="Con Mov.",(IF(Table3[[#This Row],[Movimiento]]="Debe",Table3[[#This Row],[Importe]],IF(Table3[[#This Row],[Movimiento]]="Haber",Table3[[#This Row],[Importe]]*-1,0))),0)</f>
        <v>0</v>
      </c>
      <c r="K1726" s="145">
        <f t="shared" si="79"/>
        <v>0</v>
      </c>
      <c r="L1726" s="145" t="str">
        <f t="shared" si="80"/>
        <v/>
      </c>
      <c r="M1726" t="str">
        <f>_xlfn.XLOOKUP(Table3[[#This Row],[Cuenta]],Estructura_Balance[Nombre Cuenta ()],Estructura_Balance[Grupo],"",0)</f>
        <v/>
      </c>
      <c r="N1726" t="str">
        <f>_xlfn.XLOOKUP(Table3[[#This Row],[Cuenta]],Estructura_Balance[Nombre Cuenta ()],Estructura_Balance[Nivel 1],"",0)</f>
        <v/>
      </c>
      <c r="O1726" t="str">
        <f>_xlfn.XLOOKUP(Table3[[#This Row],[Cuenta]],Estructura_Balance[Nombre Cuenta ()],Estructura_Balance[Nivel 2],"",0)</f>
        <v/>
      </c>
      <c r="P1726" t="str">
        <f>_xlfn.XLOOKUP(Table3[[#This Row],[Cuenta]],Estructura_Balance[Nombre Cuenta ()],Estructura_Balance[Nivel 3],"",0)</f>
        <v/>
      </c>
      <c r="Q1726" t="str">
        <f>_xlfn.XLOOKUP(Table3[[#This Row],[Cuenta]],Estructura_Balance[Nombre Cuenta ()],Estructura_Balance[Nivel 4],"",0)</f>
        <v/>
      </c>
      <c r="R1726" t="str">
        <f>_xlfn.XLOOKUP(Table3[[#This Row],[Cuenta]],Table8[Nombre Cuenta ()],Table8[Nivel 1],"",0)</f>
        <v/>
      </c>
      <c r="S1726" t="str">
        <f>_xlfn.XLOOKUP(Table3[[#This Row],[Cuenta]],Table8[Nombre Cuenta ()],Table8[Nivel 2],"",0)</f>
        <v/>
      </c>
      <c r="T1726" t="str">
        <f>_xlfn.XLOOKUP(Table3[[#This Row],[Cuenta]],Table8[Nombre Cuenta ()],Table8[Nivel 3],"",0)</f>
        <v/>
      </c>
      <c r="U1726">
        <v>317</v>
      </c>
      <c r="V1726" t="str">
        <f>_xlfn.XLOOKUP(Table3[[#This Row],[Cuenta]],Estructura_Balance[Nombre Cuenta ()],Estructura_Balance[Niveles:2],"",0)</f>
        <v/>
      </c>
      <c r="W1726" t="str">
        <f>_xlfn.XLOOKUP(Table3[[#This Row],[Cuenta]],Estructura_Balance[Nombre Cuenta ()],Estructura_Balance[Niveles:3],"",0)</f>
        <v/>
      </c>
      <c r="X1726" t="str">
        <f>_xlfn.XLOOKUP(Table3[[#This Row],[Cuenta]],Estructura_Balance[Nombre Cuenta ()],Estructura_Balance[Grupos],"Grupo 1",0)</f>
        <v>Grupo 1</v>
      </c>
      <c r="Y1726" t="str">
        <f>+Table3[[#This Row],[BS_Nivel_1]]</f>
        <v/>
      </c>
    </row>
    <row r="1727" spans="1:25" ht="15" customHeight="1">
      <c r="A1727">
        <f>+'Libro Diario'!F235</f>
        <v>23</v>
      </c>
      <c r="B1727" s="144">
        <f>VALUE(IF(+'Libro Diario'!G235="","01/01/2025",+'Libro Diario'!G235))</f>
        <v>45839</v>
      </c>
      <c r="C1727">
        <f>IF(ISNUMBER(+IF(IFERROR(VALUE(MID('Libro Diario'!D235,1,4)),0)&lt;&gt;0,'Libro Diario'!D235,0))=FALSE,'Libro Diario'!D235,0)</f>
        <v>0</v>
      </c>
      <c r="D1727" s="145">
        <f>+'Libro Diario'!E235</f>
        <v>0</v>
      </c>
      <c r="E1727" s="139" t="s">
        <v>446</v>
      </c>
      <c r="F1727" t="str">
        <f t="shared" si="78"/>
        <v>Sin Mov.</v>
      </c>
      <c r="G1727" t="str">
        <f>IF(+'Libro Diario'!H235=0,"",+'Libro Diario'!H235)</f>
        <v>Operaciones del Ejercicio</v>
      </c>
      <c r="H1727" t="str">
        <f>IF(+'Libro Diario'!I235=0,"",+'Libro Diario'!I235)</f>
        <v/>
      </c>
      <c r="I1727" t="str">
        <f>+IF(Table3[[#This Row],[Tipo Movimiento]]="Estructura Balance y PyG","Excluir","Incluir")</f>
        <v>Incluir</v>
      </c>
      <c r="J1727" s="153">
        <f>+IF(Table3[[#This Row],[Sin cuenta]]="Con Mov.",(IF(Table3[[#This Row],[Movimiento]]="Debe",Table3[[#This Row],[Importe]],IF(Table3[[#This Row],[Movimiento]]="Haber",Table3[[#This Row],[Importe]]*-1,0))),0)</f>
        <v>0</v>
      </c>
      <c r="K1727" s="145" t="str">
        <f t="shared" si="79"/>
        <v/>
      </c>
      <c r="L1727" s="145">
        <f t="shared" si="80"/>
        <v>0</v>
      </c>
      <c r="M1727" t="str">
        <f>_xlfn.XLOOKUP(Table3[[#This Row],[Cuenta]],Estructura_Balance[Nombre Cuenta ()],Estructura_Balance[Grupo],"",0)</f>
        <v/>
      </c>
      <c r="N1727" t="str">
        <f>_xlfn.XLOOKUP(Table3[[#This Row],[Cuenta]],Estructura_Balance[Nombre Cuenta ()],Estructura_Balance[Nivel 1],"",0)</f>
        <v/>
      </c>
      <c r="O1727" t="str">
        <f>_xlfn.XLOOKUP(Table3[[#This Row],[Cuenta]],Estructura_Balance[Nombre Cuenta ()],Estructura_Balance[Nivel 2],"",0)</f>
        <v/>
      </c>
      <c r="P1727" t="str">
        <f>_xlfn.XLOOKUP(Table3[[#This Row],[Cuenta]],Estructura_Balance[Nombre Cuenta ()],Estructura_Balance[Nivel 3],"",0)</f>
        <v/>
      </c>
      <c r="Q1727" t="str">
        <f>_xlfn.XLOOKUP(Table3[[#This Row],[Cuenta]],Estructura_Balance[Nombre Cuenta ()],Estructura_Balance[Nivel 4],"",0)</f>
        <v/>
      </c>
      <c r="R1727" t="str">
        <f>_xlfn.XLOOKUP(Table3[[#This Row],[Cuenta]],Table8[Nombre Cuenta ()],Table8[Nivel 1],"",0)</f>
        <v/>
      </c>
      <c r="S1727" t="str">
        <f>_xlfn.XLOOKUP(Table3[[#This Row],[Cuenta]],Table8[Nombre Cuenta ()],Table8[Nivel 2],"",0)</f>
        <v/>
      </c>
      <c r="T1727" t="str">
        <f>_xlfn.XLOOKUP(Table3[[#This Row],[Cuenta]],Table8[Nombre Cuenta ()],Table8[Nivel 3],"",0)</f>
        <v/>
      </c>
      <c r="U1727">
        <v>1628</v>
      </c>
      <c r="V1727" t="str">
        <f>_xlfn.XLOOKUP(Table3[[#This Row],[Cuenta]],Estructura_Balance[Nombre Cuenta ()],Estructura_Balance[Niveles:2],"",0)</f>
        <v/>
      </c>
      <c r="W1727" t="str">
        <f>_xlfn.XLOOKUP(Table3[[#This Row],[Cuenta]],Estructura_Balance[Nombre Cuenta ()],Estructura_Balance[Niveles:3],"",0)</f>
        <v/>
      </c>
      <c r="X1727" t="str">
        <f>_xlfn.XLOOKUP(Table3[[#This Row],[Cuenta]],Estructura_Balance[Nombre Cuenta ()],Estructura_Balance[Grupos],"Grupo 1",0)</f>
        <v>Grupo 1</v>
      </c>
      <c r="Y1727" t="str">
        <f>+Table3[[#This Row],[BS_Nivel_1]]</f>
        <v/>
      </c>
    </row>
    <row r="1728" spans="1:25" ht="15" customHeight="1">
      <c r="A1728">
        <f>+'Libro Diario'!F236</f>
        <v>23</v>
      </c>
      <c r="B1728" s="144">
        <f>VALUE(IF(+'Libro Diario'!G236="","01/01/2025",+'Libro Diario'!G236))</f>
        <v>45839</v>
      </c>
      <c r="C1728">
        <f>IF(ISNUMBER(+IF(IFERROR(VALUE(MID('Libro Diario'!D236,1,4)),0)&lt;&gt;0,'Libro Diario'!D236,0))=FALSE,'Libro Diario'!D236,0)</f>
        <v>0</v>
      </c>
      <c r="D1728" s="145">
        <f>+'Libro Diario'!E236</f>
        <v>0</v>
      </c>
      <c r="E1728" s="139" t="s">
        <v>446</v>
      </c>
      <c r="F1728" t="str">
        <f t="shared" si="78"/>
        <v>Sin Mov.</v>
      </c>
      <c r="G1728" t="str">
        <f>IF(+'Libro Diario'!H236=0,"",+'Libro Diario'!H236)</f>
        <v>Operaciones del Ejercicio</v>
      </c>
      <c r="H1728" t="str">
        <f>IF(+'Libro Diario'!I236=0,"",+'Libro Diario'!I236)</f>
        <v/>
      </c>
      <c r="I1728" t="str">
        <f>+IF(Table3[[#This Row],[Tipo Movimiento]]="Estructura Balance y PyG","Excluir","Incluir")</f>
        <v>Incluir</v>
      </c>
      <c r="J1728" s="153">
        <f>+IF(Table3[[#This Row],[Sin cuenta]]="Con Mov.",(IF(Table3[[#This Row],[Movimiento]]="Debe",Table3[[#This Row],[Importe]],IF(Table3[[#This Row],[Movimiento]]="Haber",Table3[[#This Row],[Importe]]*-1,0))),0)</f>
        <v>0</v>
      </c>
      <c r="K1728" s="145" t="str">
        <f t="shared" si="79"/>
        <v/>
      </c>
      <c r="L1728" s="145">
        <f t="shared" si="80"/>
        <v>0</v>
      </c>
      <c r="M1728" t="str">
        <f>_xlfn.XLOOKUP(Table3[[#This Row],[Cuenta]],Estructura_Balance[Nombre Cuenta ()],Estructura_Balance[Grupo],"",0)</f>
        <v/>
      </c>
      <c r="N1728" t="str">
        <f>_xlfn.XLOOKUP(Table3[[#This Row],[Cuenta]],Estructura_Balance[Nombre Cuenta ()],Estructura_Balance[Nivel 1],"",0)</f>
        <v/>
      </c>
      <c r="O1728" t="str">
        <f>_xlfn.XLOOKUP(Table3[[#This Row],[Cuenta]],Estructura_Balance[Nombre Cuenta ()],Estructura_Balance[Nivel 2],"",0)</f>
        <v/>
      </c>
      <c r="P1728" t="str">
        <f>_xlfn.XLOOKUP(Table3[[#This Row],[Cuenta]],Estructura_Balance[Nombre Cuenta ()],Estructura_Balance[Nivel 3],"",0)</f>
        <v/>
      </c>
      <c r="Q1728" t="str">
        <f>_xlfn.XLOOKUP(Table3[[#This Row],[Cuenta]],Estructura_Balance[Nombre Cuenta ()],Estructura_Balance[Nivel 4],"",0)</f>
        <v/>
      </c>
      <c r="R1728" t="str">
        <f>_xlfn.XLOOKUP(Table3[[#This Row],[Cuenta]],Table8[Nombre Cuenta ()],Table8[Nivel 1],"",0)</f>
        <v/>
      </c>
      <c r="S1728" t="str">
        <f>_xlfn.XLOOKUP(Table3[[#This Row],[Cuenta]],Table8[Nombre Cuenta ()],Table8[Nivel 2],"",0)</f>
        <v/>
      </c>
      <c r="T1728" t="str">
        <f>_xlfn.XLOOKUP(Table3[[#This Row],[Cuenta]],Table8[Nombre Cuenta ()],Table8[Nivel 3],"",0)</f>
        <v/>
      </c>
      <c r="U1728">
        <v>1629</v>
      </c>
      <c r="V1728" t="str">
        <f>_xlfn.XLOOKUP(Table3[[#This Row],[Cuenta]],Estructura_Balance[Nombre Cuenta ()],Estructura_Balance[Niveles:2],"",0)</f>
        <v/>
      </c>
      <c r="W1728" t="str">
        <f>_xlfn.XLOOKUP(Table3[[#This Row],[Cuenta]],Estructura_Balance[Nombre Cuenta ()],Estructura_Balance[Niveles:3],"",0)</f>
        <v/>
      </c>
      <c r="X1728" t="str">
        <f>_xlfn.XLOOKUP(Table3[[#This Row],[Cuenta]],Estructura_Balance[Nombre Cuenta ()],Estructura_Balance[Grupos],"Grupo 1",0)</f>
        <v>Grupo 1</v>
      </c>
      <c r="Y1728" t="str">
        <f>+Table3[[#This Row],[BS_Nivel_1]]</f>
        <v/>
      </c>
    </row>
    <row r="1729" spans="1:25" ht="15" customHeight="1">
      <c r="A1729">
        <f>+'Libro Diario'!F242</f>
        <v>24</v>
      </c>
      <c r="B1729" s="144">
        <f>VALUE(IF(+'Libro Diario'!G242="","01/01/2025",+'Libro Diario'!G242))</f>
        <v>45853</v>
      </c>
      <c r="C1729">
        <f>IF(ISNUMBER(+IF(IFERROR(VALUE(MID('Libro Diario'!C242,1,4)),0)&lt;&gt;0,'Libro Diario'!C242,0))=FALSE,'Libro Diario'!C242,0)</f>
        <v>0</v>
      </c>
      <c r="D1729" s="145">
        <f>+'Libro Diario'!B242</f>
        <v>0</v>
      </c>
      <c r="E1729" s="139" t="s">
        <v>445</v>
      </c>
      <c r="F1729" t="str">
        <f t="shared" si="78"/>
        <v>Sin Mov.</v>
      </c>
      <c r="G1729" t="str">
        <f>IF(+'Libro Diario'!H242=0,"",+'Libro Diario'!H242)</f>
        <v>Operaciones del Ejercicio</v>
      </c>
      <c r="H1729" t="str">
        <f>IF(+'Libro Diario'!I242=0,"",+'Libro Diario'!I242)</f>
        <v/>
      </c>
      <c r="I1729" t="str">
        <f>+IF(Table3[[#This Row],[Tipo Movimiento]]="Estructura Balance y PyG","Excluir","Incluir")</f>
        <v>Incluir</v>
      </c>
      <c r="J1729" s="153">
        <f>+IF(Table3[[#This Row],[Sin cuenta]]="Con Mov.",(IF(Table3[[#This Row],[Movimiento]]="Debe",Table3[[#This Row],[Importe]],IF(Table3[[#This Row],[Movimiento]]="Haber",Table3[[#This Row],[Importe]]*-1,0))),0)</f>
        <v>0</v>
      </c>
      <c r="K1729" s="145">
        <f t="shared" si="79"/>
        <v>0</v>
      </c>
      <c r="L1729" s="145" t="str">
        <f t="shared" si="80"/>
        <v/>
      </c>
      <c r="M1729" t="str">
        <f>_xlfn.XLOOKUP(Table3[[#This Row],[Cuenta]],Estructura_Balance[Nombre Cuenta ()],Estructura_Balance[Grupo],"",0)</f>
        <v/>
      </c>
      <c r="N1729" t="str">
        <f>_xlfn.XLOOKUP(Table3[[#This Row],[Cuenta]],Estructura_Balance[Nombre Cuenta ()],Estructura_Balance[Nivel 1],"",0)</f>
        <v/>
      </c>
      <c r="O1729" t="str">
        <f>_xlfn.XLOOKUP(Table3[[#This Row],[Cuenta]],Estructura_Balance[Nombre Cuenta ()],Estructura_Balance[Nivel 2],"",0)</f>
        <v/>
      </c>
      <c r="P1729" t="str">
        <f>_xlfn.XLOOKUP(Table3[[#This Row],[Cuenta]],Estructura_Balance[Nombre Cuenta ()],Estructura_Balance[Nivel 3],"",0)</f>
        <v/>
      </c>
      <c r="Q1729" t="str">
        <f>_xlfn.XLOOKUP(Table3[[#This Row],[Cuenta]],Estructura_Balance[Nombre Cuenta ()],Estructura_Balance[Nivel 4],"",0)</f>
        <v/>
      </c>
      <c r="R1729" t="str">
        <f>_xlfn.XLOOKUP(Table3[[#This Row],[Cuenta]],Table8[Nombre Cuenta ()],Table8[Nivel 1],"",0)</f>
        <v/>
      </c>
      <c r="S1729" t="str">
        <f>_xlfn.XLOOKUP(Table3[[#This Row],[Cuenta]],Table8[Nombre Cuenta ()],Table8[Nivel 2],"",0)</f>
        <v/>
      </c>
      <c r="T1729" t="str">
        <f>_xlfn.XLOOKUP(Table3[[#This Row],[Cuenta]],Table8[Nombre Cuenta ()],Table8[Nivel 3],"",0)</f>
        <v/>
      </c>
      <c r="U1729">
        <v>326</v>
      </c>
      <c r="V1729" t="str">
        <f>_xlfn.XLOOKUP(Table3[[#This Row],[Cuenta]],Estructura_Balance[Nombre Cuenta ()],Estructura_Balance[Niveles:2],"",0)</f>
        <v/>
      </c>
      <c r="W1729" t="str">
        <f>_xlfn.XLOOKUP(Table3[[#This Row],[Cuenta]],Estructura_Balance[Nombre Cuenta ()],Estructura_Balance[Niveles:3],"",0)</f>
        <v/>
      </c>
      <c r="X1729" t="str">
        <f>_xlfn.XLOOKUP(Table3[[#This Row],[Cuenta]],Estructura_Balance[Nombre Cuenta ()],Estructura_Balance[Grupos],"Grupo 1",0)</f>
        <v>Grupo 1</v>
      </c>
      <c r="Y1729" t="str">
        <f>+Table3[[#This Row],[BS_Nivel_1]]</f>
        <v/>
      </c>
    </row>
    <row r="1730" spans="1:25" ht="15" customHeight="1">
      <c r="A1730">
        <f>+'Libro Diario'!F243</f>
        <v>24</v>
      </c>
      <c r="B1730" s="144">
        <f>VALUE(IF(+'Libro Diario'!G243="","01/01/2025",+'Libro Diario'!G243))</f>
        <v>45853</v>
      </c>
      <c r="C1730">
        <f>IF(ISNUMBER(+IF(IFERROR(VALUE(MID('Libro Diario'!C243,1,4)),0)&lt;&gt;0,'Libro Diario'!C243,0))=FALSE,'Libro Diario'!C243,0)</f>
        <v>0</v>
      </c>
      <c r="D1730" s="145">
        <f>+'Libro Diario'!B243</f>
        <v>0</v>
      </c>
      <c r="E1730" s="139" t="s">
        <v>445</v>
      </c>
      <c r="F1730" t="str">
        <f t="shared" si="78"/>
        <v>Sin Mov.</v>
      </c>
      <c r="G1730" t="str">
        <f>IF(+'Libro Diario'!H243=0,"",+'Libro Diario'!H243)</f>
        <v>Operaciones del Ejercicio</v>
      </c>
      <c r="H1730" t="str">
        <f>IF(+'Libro Diario'!I243=0,"",+'Libro Diario'!I243)</f>
        <v/>
      </c>
      <c r="I1730" t="str">
        <f>+IF(Table3[[#This Row],[Tipo Movimiento]]="Estructura Balance y PyG","Excluir","Incluir")</f>
        <v>Incluir</v>
      </c>
      <c r="J1730" s="153">
        <f>+IF(Table3[[#This Row],[Sin cuenta]]="Con Mov.",(IF(Table3[[#This Row],[Movimiento]]="Debe",Table3[[#This Row],[Importe]],IF(Table3[[#This Row],[Movimiento]]="Haber",Table3[[#This Row],[Importe]]*-1,0))),0)</f>
        <v>0</v>
      </c>
      <c r="K1730" s="145">
        <f t="shared" si="79"/>
        <v>0</v>
      </c>
      <c r="L1730" s="145" t="str">
        <f t="shared" si="80"/>
        <v/>
      </c>
      <c r="M1730" t="str">
        <f>_xlfn.XLOOKUP(Table3[[#This Row],[Cuenta]],Estructura_Balance[Nombre Cuenta ()],Estructura_Balance[Grupo],"",0)</f>
        <v/>
      </c>
      <c r="N1730" t="str">
        <f>_xlfn.XLOOKUP(Table3[[#This Row],[Cuenta]],Estructura_Balance[Nombre Cuenta ()],Estructura_Balance[Nivel 1],"",0)</f>
        <v/>
      </c>
      <c r="O1730" t="str">
        <f>_xlfn.XLOOKUP(Table3[[#This Row],[Cuenta]],Estructura_Balance[Nombre Cuenta ()],Estructura_Balance[Nivel 2],"",0)</f>
        <v/>
      </c>
      <c r="P1730" t="str">
        <f>_xlfn.XLOOKUP(Table3[[#This Row],[Cuenta]],Estructura_Balance[Nombre Cuenta ()],Estructura_Balance[Nivel 3],"",0)</f>
        <v/>
      </c>
      <c r="Q1730" t="str">
        <f>_xlfn.XLOOKUP(Table3[[#This Row],[Cuenta]],Estructura_Balance[Nombre Cuenta ()],Estructura_Balance[Nivel 4],"",0)</f>
        <v/>
      </c>
      <c r="R1730" t="str">
        <f>_xlfn.XLOOKUP(Table3[[#This Row],[Cuenta]],Table8[Nombre Cuenta ()],Table8[Nivel 1],"",0)</f>
        <v/>
      </c>
      <c r="S1730" t="str">
        <f>_xlfn.XLOOKUP(Table3[[#This Row],[Cuenta]],Table8[Nombre Cuenta ()],Table8[Nivel 2],"",0)</f>
        <v/>
      </c>
      <c r="T1730" t="str">
        <f>_xlfn.XLOOKUP(Table3[[#This Row],[Cuenta]],Table8[Nombre Cuenta ()],Table8[Nivel 3],"",0)</f>
        <v/>
      </c>
      <c r="U1730">
        <v>327</v>
      </c>
      <c r="V1730" t="str">
        <f>_xlfn.XLOOKUP(Table3[[#This Row],[Cuenta]],Estructura_Balance[Nombre Cuenta ()],Estructura_Balance[Niveles:2],"",0)</f>
        <v/>
      </c>
      <c r="W1730" t="str">
        <f>_xlfn.XLOOKUP(Table3[[#This Row],[Cuenta]],Estructura_Balance[Nombre Cuenta ()],Estructura_Balance[Niveles:3],"",0)</f>
        <v/>
      </c>
      <c r="X1730" t="str">
        <f>_xlfn.XLOOKUP(Table3[[#This Row],[Cuenta]],Estructura_Balance[Nombre Cuenta ()],Estructura_Balance[Grupos],"Grupo 1",0)</f>
        <v>Grupo 1</v>
      </c>
      <c r="Y1730" t="str">
        <f>+Table3[[#This Row],[BS_Nivel_1]]</f>
        <v/>
      </c>
    </row>
    <row r="1731" spans="1:25" ht="15" customHeight="1">
      <c r="A1731">
        <f>+'Libro Diario'!F242</f>
        <v>24</v>
      </c>
      <c r="B1731" s="144">
        <f>VALUE(IF(+'Libro Diario'!G242="","01/01/2025",+'Libro Diario'!G242))</f>
        <v>45853</v>
      </c>
      <c r="C1731">
        <f>IF(ISNUMBER(+IF(IFERROR(VALUE(MID('Libro Diario'!D242,1,4)),0)&lt;&gt;0,'Libro Diario'!D242,0))=FALSE,'Libro Diario'!D242,0)</f>
        <v>0</v>
      </c>
      <c r="D1731" s="145">
        <f>+'Libro Diario'!E242</f>
        <v>0</v>
      </c>
      <c r="E1731" s="139" t="s">
        <v>446</v>
      </c>
      <c r="F1731" t="str">
        <f t="shared" ref="F1731:F1794" si="81">+IF(C1731=0,"Sin Mov.","Con Mov.")</f>
        <v>Sin Mov.</v>
      </c>
      <c r="G1731" t="str">
        <f>IF(+'Libro Diario'!H242=0,"",+'Libro Diario'!H242)</f>
        <v>Operaciones del Ejercicio</v>
      </c>
      <c r="H1731" t="str">
        <f>IF(+'Libro Diario'!I242=0,"",+'Libro Diario'!I242)</f>
        <v/>
      </c>
      <c r="I1731" t="str">
        <f>+IF(Table3[[#This Row],[Tipo Movimiento]]="Estructura Balance y PyG","Excluir","Incluir")</f>
        <v>Incluir</v>
      </c>
      <c r="J1731" s="153">
        <f>+IF(Table3[[#This Row],[Sin cuenta]]="Con Mov.",(IF(Table3[[#This Row],[Movimiento]]="Debe",Table3[[#This Row],[Importe]],IF(Table3[[#This Row],[Movimiento]]="Haber",Table3[[#This Row],[Importe]]*-1,0))),0)</f>
        <v>0</v>
      </c>
      <c r="K1731" s="145" t="str">
        <f t="shared" ref="K1731:K1794" si="82">+IF(E1731="Debe",D1731,"")</f>
        <v/>
      </c>
      <c r="L1731" s="145">
        <f t="shared" ref="L1731:L1794" si="83">+IF(E1731="Haber",D1731,"")</f>
        <v>0</v>
      </c>
      <c r="M1731" t="str">
        <f>_xlfn.XLOOKUP(Table3[[#This Row],[Cuenta]],Estructura_Balance[Nombre Cuenta ()],Estructura_Balance[Grupo],"",0)</f>
        <v/>
      </c>
      <c r="N1731" t="str">
        <f>_xlfn.XLOOKUP(Table3[[#This Row],[Cuenta]],Estructura_Balance[Nombre Cuenta ()],Estructura_Balance[Nivel 1],"",0)</f>
        <v/>
      </c>
      <c r="O1731" t="str">
        <f>_xlfn.XLOOKUP(Table3[[#This Row],[Cuenta]],Estructura_Balance[Nombre Cuenta ()],Estructura_Balance[Nivel 2],"",0)</f>
        <v/>
      </c>
      <c r="P1731" t="str">
        <f>_xlfn.XLOOKUP(Table3[[#This Row],[Cuenta]],Estructura_Balance[Nombre Cuenta ()],Estructura_Balance[Nivel 3],"",0)</f>
        <v/>
      </c>
      <c r="Q1731" t="str">
        <f>_xlfn.XLOOKUP(Table3[[#This Row],[Cuenta]],Estructura_Balance[Nombre Cuenta ()],Estructura_Balance[Nivel 4],"",0)</f>
        <v/>
      </c>
      <c r="R1731" t="str">
        <f>_xlfn.XLOOKUP(Table3[[#This Row],[Cuenta]],Table8[Nombre Cuenta ()],Table8[Nivel 1],"",0)</f>
        <v/>
      </c>
      <c r="S1731" t="str">
        <f>_xlfn.XLOOKUP(Table3[[#This Row],[Cuenta]],Table8[Nombre Cuenta ()],Table8[Nivel 2],"",0)</f>
        <v/>
      </c>
      <c r="T1731" t="str">
        <f>_xlfn.XLOOKUP(Table3[[#This Row],[Cuenta]],Table8[Nombre Cuenta ()],Table8[Nivel 3],"",0)</f>
        <v/>
      </c>
      <c r="U1731">
        <v>1635</v>
      </c>
      <c r="V1731" t="str">
        <f>_xlfn.XLOOKUP(Table3[[#This Row],[Cuenta]],Estructura_Balance[Nombre Cuenta ()],Estructura_Balance[Niveles:2],"",0)</f>
        <v/>
      </c>
      <c r="W1731" t="str">
        <f>_xlfn.XLOOKUP(Table3[[#This Row],[Cuenta]],Estructura_Balance[Nombre Cuenta ()],Estructura_Balance[Niveles:3],"",0)</f>
        <v/>
      </c>
      <c r="X1731" t="str">
        <f>_xlfn.XLOOKUP(Table3[[#This Row],[Cuenta]],Estructura_Balance[Nombre Cuenta ()],Estructura_Balance[Grupos],"Grupo 1",0)</f>
        <v>Grupo 1</v>
      </c>
      <c r="Y1731" t="str">
        <f>+Table3[[#This Row],[BS_Nivel_1]]</f>
        <v/>
      </c>
    </row>
    <row r="1732" spans="1:25" ht="15" customHeight="1">
      <c r="A1732">
        <f>+'Libro Diario'!F243</f>
        <v>24</v>
      </c>
      <c r="B1732" s="144">
        <f>VALUE(IF(+'Libro Diario'!G243="","01/01/2025",+'Libro Diario'!G243))</f>
        <v>45853</v>
      </c>
      <c r="C1732">
        <f>IF(ISNUMBER(+IF(IFERROR(VALUE(MID('Libro Diario'!D243,1,4)),0)&lt;&gt;0,'Libro Diario'!D243,0))=FALSE,'Libro Diario'!D243,0)</f>
        <v>0</v>
      </c>
      <c r="D1732" s="145">
        <f>+'Libro Diario'!E243</f>
        <v>0</v>
      </c>
      <c r="E1732" s="139" t="s">
        <v>446</v>
      </c>
      <c r="F1732" t="str">
        <f t="shared" si="81"/>
        <v>Sin Mov.</v>
      </c>
      <c r="G1732" t="str">
        <f>IF(+'Libro Diario'!H243=0,"",+'Libro Diario'!H243)</f>
        <v>Operaciones del Ejercicio</v>
      </c>
      <c r="H1732" t="str">
        <f>IF(+'Libro Diario'!I243=0,"",+'Libro Diario'!I243)</f>
        <v/>
      </c>
      <c r="I1732" t="str">
        <f>+IF(Table3[[#This Row],[Tipo Movimiento]]="Estructura Balance y PyG","Excluir","Incluir")</f>
        <v>Incluir</v>
      </c>
      <c r="J1732" s="153">
        <f>+IF(Table3[[#This Row],[Sin cuenta]]="Con Mov.",(IF(Table3[[#This Row],[Movimiento]]="Debe",Table3[[#This Row],[Importe]],IF(Table3[[#This Row],[Movimiento]]="Haber",Table3[[#This Row],[Importe]]*-1,0))),0)</f>
        <v>0</v>
      </c>
      <c r="K1732" s="145" t="str">
        <f t="shared" si="82"/>
        <v/>
      </c>
      <c r="L1732" s="145">
        <f t="shared" si="83"/>
        <v>0</v>
      </c>
      <c r="M1732" t="str">
        <f>_xlfn.XLOOKUP(Table3[[#This Row],[Cuenta]],Estructura_Balance[Nombre Cuenta ()],Estructura_Balance[Grupo],"",0)</f>
        <v/>
      </c>
      <c r="N1732" t="str">
        <f>_xlfn.XLOOKUP(Table3[[#This Row],[Cuenta]],Estructura_Balance[Nombre Cuenta ()],Estructura_Balance[Nivel 1],"",0)</f>
        <v/>
      </c>
      <c r="O1732" t="str">
        <f>_xlfn.XLOOKUP(Table3[[#This Row],[Cuenta]],Estructura_Balance[Nombre Cuenta ()],Estructura_Balance[Nivel 2],"",0)</f>
        <v/>
      </c>
      <c r="P1732" t="str">
        <f>_xlfn.XLOOKUP(Table3[[#This Row],[Cuenta]],Estructura_Balance[Nombre Cuenta ()],Estructura_Balance[Nivel 3],"",0)</f>
        <v/>
      </c>
      <c r="Q1732" t="str">
        <f>_xlfn.XLOOKUP(Table3[[#This Row],[Cuenta]],Estructura_Balance[Nombre Cuenta ()],Estructura_Balance[Nivel 4],"",0)</f>
        <v/>
      </c>
      <c r="R1732" t="str">
        <f>_xlfn.XLOOKUP(Table3[[#This Row],[Cuenta]],Table8[Nombre Cuenta ()],Table8[Nivel 1],"",0)</f>
        <v/>
      </c>
      <c r="S1732" t="str">
        <f>_xlfn.XLOOKUP(Table3[[#This Row],[Cuenta]],Table8[Nombre Cuenta ()],Table8[Nivel 2],"",0)</f>
        <v/>
      </c>
      <c r="T1732" t="str">
        <f>_xlfn.XLOOKUP(Table3[[#This Row],[Cuenta]],Table8[Nombre Cuenta ()],Table8[Nivel 3],"",0)</f>
        <v/>
      </c>
      <c r="U1732">
        <v>1636</v>
      </c>
      <c r="V1732" t="str">
        <f>_xlfn.XLOOKUP(Table3[[#This Row],[Cuenta]],Estructura_Balance[Nombre Cuenta ()],Estructura_Balance[Niveles:2],"",0)</f>
        <v/>
      </c>
      <c r="W1732" t="str">
        <f>_xlfn.XLOOKUP(Table3[[#This Row],[Cuenta]],Estructura_Balance[Nombre Cuenta ()],Estructura_Balance[Niveles:3],"",0)</f>
        <v/>
      </c>
      <c r="X1732" t="str">
        <f>_xlfn.XLOOKUP(Table3[[#This Row],[Cuenta]],Estructura_Balance[Nombre Cuenta ()],Estructura_Balance[Grupos],"Grupo 1",0)</f>
        <v>Grupo 1</v>
      </c>
      <c r="Y1732" t="str">
        <f>+Table3[[#This Row],[BS_Nivel_1]]</f>
        <v/>
      </c>
    </row>
    <row r="1733" spans="1:25" ht="15" customHeight="1">
      <c r="A1733">
        <f>+'Libro Diario'!F249</f>
        <v>25</v>
      </c>
      <c r="B1733" s="144">
        <f>VALUE(IF(+'Libro Diario'!G249="","01/01/2025",+'Libro Diario'!G249))</f>
        <v>45870</v>
      </c>
      <c r="C1733">
        <f>IF(ISNUMBER(+IF(IFERROR(VALUE(MID('Libro Diario'!C249,1,4)),0)&lt;&gt;0,'Libro Diario'!C249,0))=FALSE,'Libro Diario'!C249,0)</f>
        <v>0</v>
      </c>
      <c r="D1733" s="145">
        <f>+'Libro Diario'!B249</f>
        <v>0</v>
      </c>
      <c r="E1733" s="139" t="s">
        <v>445</v>
      </c>
      <c r="F1733" t="str">
        <f t="shared" si="81"/>
        <v>Sin Mov.</v>
      </c>
      <c r="G1733" t="str">
        <f>IF(+'Libro Diario'!H249=0,"",+'Libro Diario'!H249)</f>
        <v>Operaciones del Ejercicio</v>
      </c>
      <c r="H1733" t="str">
        <f>IF(+'Libro Diario'!I249=0,"",+'Libro Diario'!I249)</f>
        <v/>
      </c>
      <c r="I1733" t="str">
        <f>+IF(Table3[[#This Row],[Tipo Movimiento]]="Estructura Balance y PyG","Excluir","Incluir")</f>
        <v>Incluir</v>
      </c>
      <c r="J1733" s="153">
        <f>+IF(Table3[[#This Row],[Sin cuenta]]="Con Mov.",(IF(Table3[[#This Row],[Movimiento]]="Debe",Table3[[#This Row],[Importe]],IF(Table3[[#This Row],[Movimiento]]="Haber",Table3[[#This Row],[Importe]]*-1,0))),0)</f>
        <v>0</v>
      </c>
      <c r="K1733" s="145">
        <f t="shared" si="82"/>
        <v>0</v>
      </c>
      <c r="L1733" s="145" t="str">
        <f t="shared" si="83"/>
        <v/>
      </c>
      <c r="M1733" t="str">
        <f>_xlfn.XLOOKUP(Table3[[#This Row],[Cuenta]],Estructura_Balance[Nombre Cuenta ()],Estructura_Balance[Grupo],"",0)</f>
        <v/>
      </c>
      <c r="N1733" t="str">
        <f>_xlfn.XLOOKUP(Table3[[#This Row],[Cuenta]],Estructura_Balance[Nombre Cuenta ()],Estructura_Balance[Nivel 1],"",0)</f>
        <v/>
      </c>
      <c r="O1733" t="str">
        <f>_xlfn.XLOOKUP(Table3[[#This Row],[Cuenta]],Estructura_Balance[Nombre Cuenta ()],Estructura_Balance[Nivel 2],"",0)</f>
        <v/>
      </c>
      <c r="P1733" t="str">
        <f>_xlfn.XLOOKUP(Table3[[#This Row],[Cuenta]],Estructura_Balance[Nombre Cuenta ()],Estructura_Balance[Nivel 3],"",0)</f>
        <v/>
      </c>
      <c r="Q1733" t="str">
        <f>_xlfn.XLOOKUP(Table3[[#This Row],[Cuenta]],Estructura_Balance[Nombre Cuenta ()],Estructura_Balance[Nivel 4],"",0)</f>
        <v/>
      </c>
      <c r="R1733" t="str">
        <f>_xlfn.XLOOKUP(Table3[[#This Row],[Cuenta]],Table8[Nombre Cuenta ()],Table8[Nivel 1],"",0)</f>
        <v/>
      </c>
      <c r="S1733" t="str">
        <f>_xlfn.XLOOKUP(Table3[[#This Row],[Cuenta]],Table8[Nombre Cuenta ()],Table8[Nivel 2],"",0)</f>
        <v/>
      </c>
      <c r="T1733" t="str">
        <f>_xlfn.XLOOKUP(Table3[[#This Row],[Cuenta]],Table8[Nombre Cuenta ()],Table8[Nivel 3],"",0)</f>
        <v/>
      </c>
      <c r="U1733">
        <v>337</v>
      </c>
      <c r="V1733" t="str">
        <f>_xlfn.XLOOKUP(Table3[[#This Row],[Cuenta]],Estructura_Balance[Nombre Cuenta ()],Estructura_Balance[Niveles:2],"",0)</f>
        <v/>
      </c>
      <c r="W1733" t="str">
        <f>_xlfn.XLOOKUP(Table3[[#This Row],[Cuenta]],Estructura_Balance[Nombre Cuenta ()],Estructura_Balance[Niveles:3],"",0)</f>
        <v/>
      </c>
      <c r="X1733" t="str">
        <f>_xlfn.XLOOKUP(Table3[[#This Row],[Cuenta]],Estructura_Balance[Nombre Cuenta ()],Estructura_Balance[Grupos],"Grupo 1",0)</f>
        <v>Grupo 1</v>
      </c>
      <c r="Y1733" t="str">
        <f>+Table3[[#This Row],[BS_Nivel_1]]</f>
        <v/>
      </c>
    </row>
    <row r="1734" spans="1:25" ht="15" customHeight="1">
      <c r="A1734">
        <f>+'Libro Diario'!F250</f>
        <v>25</v>
      </c>
      <c r="B1734" s="144">
        <f>VALUE(IF(+'Libro Diario'!G250="","01/01/2025",+'Libro Diario'!G250))</f>
        <v>45870</v>
      </c>
      <c r="C1734">
        <f>IF(ISNUMBER(+IF(IFERROR(VALUE(MID('Libro Diario'!C250,1,4)),0)&lt;&gt;0,'Libro Diario'!C250,0))=FALSE,'Libro Diario'!C250,0)</f>
        <v>0</v>
      </c>
      <c r="D1734" s="145">
        <f>+'Libro Diario'!B250</f>
        <v>0</v>
      </c>
      <c r="E1734" s="139" t="s">
        <v>445</v>
      </c>
      <c r="F1734" t="str">
        <f t="shared" si="81"/>
        <v>Sin Mov.</v>
      </c>
      <c r="G1734" t="str">
        <f>IF(+'Libro Diario'!H250=0,"",+'Libro Diario'!H250)</f>
        <v>Operaciones del Ejercicio</v>
      </c>
      <c r="H1734" t="str">
        <f>IF(+'Libro Diario'!I250=0,"",+'Libro Diario'!I250)</f>
        <v/>
      </c>
      <c r="I1734" t="str">
        <f>+IF(Table3[[#This Row],[Tipo Movimiento]]="Estructura Balance y PyG","Excluir","Incluir")</f>
        <v>Incluir</v>
      </c>
      <c r="J1734" s="153">
        <f>+IF(Table3[[#This Row],[Sin cuenta]]="Con Mov.",(IF(Table3[[#This Row],[Movimiento]]="Debe",Table3[[#This Row],[Importe]],IF(Table3[[#This Row],[Movimiento]]="Haber",Table3[[#This Row],[Importe]]*-1,0))),0)</f>
        <v>0</v>
      </c>
      <c r="K1734" s="145">
        <f t="shared" si="82"/>
        <v>0</v>
      </c>
      <c r="L1734" s="145" t="str">
        <f t="shared" si="83"/>
        <v/>
      </c>
      <c r="M1734" t="str">
        <f>_xlfn.XLOOKUP(Table3[[#This Row],[Cuenta]],Estructura_Balance[Nombre Cuenta ()],Estructura_Balance[Grupo],"",0)</f>
        <v/>
      </c>
      <c r="N1734" t="str">
        <f>_xlfn.XLOOKUP(Table3[[#This Row],[Cuenta]],Estructura_Balance[Nombre Cuenta ()],Estructura_Balance[Nivel 1],"",0)</f>
        <v/>
      </c>
      <c r="O1734" t="str">
        <f>_xlfn.XLOOKUP(Table3[[#This Row],[Cuenta]],Estructura_Balance[Nombre Cuenta ()],Estructura_Balance[Nivel 2],"",0)</f>
        <v/>
      </c>
      <c r="P1734" t="str">
        <f>_xlfn.XLOOKUP(Table3[[#This Row],[Cuenta]],Estructura_Balance[Nombre Cuenta ()],Estructura_Balance[Nivel 3],"",0)</f>
        <v/>
      </c>
      <c r="Q1734" t="str">
        <f>_xlfn.XLOOKUP(Table3[[#This Row],[Cuenta]],Estructura_Balance[Nombre Cuenta ()],Estructura_Balance[Nivel 4],"",0)</f>
        <v/>
      </c>
      <c r="R1734" t="str">
        <f>_xlfn.XLOOKUP(Table3[[#This Row],[Cuenta]],Table8[Nombre Cuenta ()],Table8[Nivel 1],"",0)</f>
        <v/>
      </c>
      <c r="S1734" t="str">
        <f>_xlfn.XLOOKUP(Table3[[#This Row],[Cuenta]],Table8[Nombre Cuenta ()],Table8[Nivel 2],"",0)</f>
        <v/>
      </c>
      <c r="T1734" t="str">
        <f>_xlfn.XLOOKUP(Table3[[#This Row],[Cuenta]],Table8[Nombre Cuenta ()],Table8[Nivel 3],"",0)</f>
        <v/>
      </c>
      <c r="U1734">
        <v>338</v>
      </c>
      <c r="V1734" t="str">
        <f>_xlfn.XLOOKUP(Table3[[#This Row],[Cuenta]],Estructura_Balance[Nombre Cuenta ()],Estructura_Balance[Niveles:2],"",0)</f>
        <v/>
      </c>
      <c r="W1734" t="str">
        <f>_xlfn.XLOOKUP(Table3[[#This Row],[Cuenta]],Estructura_Balance[Nombre Cuenta ()],Estructura_Balance[Niveles:3],"",0)</f>
        <v/>
      </c>
      <c r="X1734" t="str">
        <f>_xlfn.XLOOKUP(Table3[[#This Row],[Cuenta]],Estructura_Balance[Nombre Cuenta ()],Estructura_Balance[Grupos],"Grupo 1",0)</f>
        <v>Grupo 1</v>
      </c>
      <c r="Y1734" t="str">
        <f>+Table3[[#This Row],[BS_Nivel_1]]</f>
        <v/>
      </c>
    </row>
    <row r="1735" spans="1:25" ht="15" customHeight="1">
      <c r="A1735">
        <f>+'Libro Diario'!F249</f>
        <v>25</v>
      </c>
      <c r="B1735" s="144">
        <f>VALUE(IF(+'Libro Diario'!G249="","01/01/2025",+'Libro Diario'!G249))</f>
        <v>45870</v>
      </c>
      <c r="C1735">
        <f>IF(ISNUMBER(+IF(IFERROR(VALUE(MID('Libro Diario'!D249,1,4)),0)&lt;&gt;0,'Libro Diario'!D249,0))=FALSE,'Libro Diario'!D249,0)</f>
        <v>0</v>
      </c>
      <c r="D1735" s="145">
        <f>+'Libro Diario'!E249</f>
        <v>0</v>
      </c>
      <c r="E1735" s="139" t="s">
        <v>446</v>
      </c>
      <c r="F1735" t="str">
        <f t="shared" si="81"/>
        <v>Sin Mov.</v>
      </c>
      <c r="G1735" t="str">
        <f>IF(+'Libro Diario'!H249=0,"",+'Libro Diario'!H249)</f>
        <v>Operaciones del Ejercicio</v>
      </c>
      <c r="H1735" t="str">
        <f>IF(+'Libro Diario'!I249=0,"",+'Libro Diario'!I249)</f>
        <v/>
      </c>
      <c r="I1735" t="str">
        <f>+IF(Table3[[#This Row],[Tipo Movimiento]]="Estructura Balance y PyG","Excluir","Incluir")</f>
        <v>Incluir</v>
      </c>
      <c r="J1735" s="153">
        <f>+IF(Table3[[#This Row],[Sin cuenta]]="Con Mov.",(IF(Table3[[#This Row],[Movimiento]]="Debe",Table3[[#This Row],[Importe]],IF(Table3[[#This Row],[Movimiento]]="Haber",Table3[[#This Row],[Importe]]*-1,0))),0)</f>
        <v>0</v>
      </c>
      <c r="K1735" s="145" t="str">
        <f t="shared" si="82"/>
        <v/>
      </c>
      <c r="L1735" s="145">
        <f t="shared" si="83"/>
        <v>0</v>
      </c>
      <c r="M1735" t="str">
        <f>_xlfn.XLOOKUP(Table3[[#This Row],[Cuenta]],Estructura_Balance[Nombre Cuenta ()],Estructura_Balance[Grupo],"",0)</f>
        <v/>
      </c>
      <c r="N1735" t="str">
        <f>_xlfn.XLOOKUP(Table3[[#This Row],[Cuenta]],Estructura_Balance[Nombre Cuenta ()],Estructura_Balance[Nivel 1],"",0)</f>
        <v/>
      </c>
      <c r="O1735" t="str">
        <f>_xlfn.XLOOKUP(Table3[[#This Row],[Cuenta]],Estructura_Balance[Nombre Cuenta ()],Estructura_Balance[Nivel 2],"",0)</f>
        <v/>
      </c>
      <c r="P1735" t="str">
        <f>_xlfn.XLOOKUP(Table3[[#This Row],[Cuenta]],Estructura_Balance[Nombre Cuenta ()],Estructura_Balance[Nivel 3],"",0)</f>
        <v/>
      </c>
      <c r="Q1735" t="str">
        <f>_xlfn.XLOOKUP(Table3[[#This Row],[Cuenta]],Estructura_Balance[Nombre Cuenta ()],Estructura_Balance[Nivel 4],"",0)</f>
        <v/>
      </c>
      <c r="R1735" t="str">
        <f>_xlfn.XLOOKUP(Table3[[#This Row],[Cuenta]],Table8[Nombre Cuenta ()],Table8[Nivel 1],"",0)</f>
        <v/>
      </c>
      <c r="S1735" t="str">
        <f>_xlfn.XLOOKUP(Table3[[#This Row],[Cuenta]],Table8[Nombre Cuenta ()],Table8[Nivel 2],"",0)</f>
        <v/>
      </c>
      <c r="T1735" t="str">
        <f>_xlfn.XLOOKUP(Table3[[#This Row],[Cuenta]],Table8[Nombre Cuenta ()],Table8[Nivel 3],"",0)</f>
        <v/>
      </c>
      <c r="U1735">
        <v>1642</v>
      </c>
      <c r="V1735" t="str">
        <f>_xlfn.XLOOKUP(Table3[[#This Row],[Cuenta]],Estructura_Balance[Nombre Cuenta ()],Estructura_Balance[Niveles:2],"",0)</f>
        <v/>
      </c>
      <c r="W1735" t="str">
        <f>_xlfn.XLOOKUP(Table3[[#This Row],[Cuenta]],Estructura_Balance[Nombre Cuenta ()],Estructura_Balance[Niveles:3],"",0)</f>
        <v/>
      </c>
      <c r="X1735" t="str">
        <f>_xlfn.XLOOKUP(Table3[[#This Row],[Cuenta]],Estructura_Balance[Nombre Cuenta ()],Estructura_Balance[Grupos],"Grupo 1",0)</f>
        <v>Grupo 1</v>
      </c>
      <c r="Y1735" t="str">
        <f>+Table3[[#This Row],[BS_Nivel_1]]</f>
        <v/>
      </c>
    </row>
    <row r="1736" spans="1:25" ht="15" customHeight="1">
      <c r="A1736">
        <f>+'Libro Diario'!F250</f>
        <v>25</v>
      </c>
      <c r="B1736" s="144">
        <f>VALUE(IF(+'Libro Diario'!G250="","01/01/2025",+'Libro Diario'!G250))</f>
        <v>45870</v>
      </c>
      <c r="C1736">
        <f>IF(ISNUMBER(+IF(IFERROR(VALUE(MID('Libro Diario'!D250,1,4)),0)&lt;&gt;0,'Libro Diario'!D250,0))=FALSE,'Libro Diario'!D250,0)</f>
        <v>0</v>
      </c>
      <c r="D1736" s="145">
        <f>+'Libro Diario'!E250</f>
        <v>0</v>
      </c>
      <c r="E1736" s="139" t="s">
        <v>446</v>
      </c>
      <c r="F1736" t="str">
        <f t="shared" si="81"/>
        <v>Sin Mov.</v>
      </c>
      <c r="G1736" t="str">
        <f>IF(+'Libro Diario'!H250=0,"",+'Libro Diario'!H250)</f>
        <v>Operaciones del Ejercicio</v>
      </c>
      <c r="H1736" t="str">
        <f>IF(+'Libro Diario'!I250=0,"",+'Libro Diario'!I250)</f>
        <v/>
      </c>
      <c r="I1736" t="str">
        <f>+IF(Table3[[#This Row],[Tipo Movimiento]]="Estructura Balance y PyG","Excluir","Incluir")</f>
        <v>Incluir</v>
      </c>
      <c r="J1736" s="153">
        <f>+IF(Table3[[#This Row],[Sin cuenta]]="Con Mov.",(IF(Table3[[#This Row],[Movimiento]]="Debe",Table3[[#This Row],[Importe]],IF(Table3[[#This Row],[Movimiento]]="Haber",Table3[[#This Row],[Importe]]*-1,0))),0)</f>
        <v>0</v>
      </c>
      <c r="K1736" s="145" t="str">
        <f t="shared" si="82"/>
        <v/>
      </c>
      <c r="L1736" s="145">
        <f t="shared" si="83"/>
        <v>0</v>
      </c>
      <c r="M1736" t="str">
        <f>_xlfn.XLOOKUP(Table3[[#This Row],[Cuenta]],Estructura_Balance[Nombre Cuenta ()],Estructura_Balance[Grupo],"",0)</f>
        <v/>
      </c>
      <c r="N1736" t="str">
        <f>_xlfn.XLOOKUP(Table3[[#This Row],[Cuenta]],Estructura_Balance[Nombre Cuenta ()],Estructura_Balance[Nivel 1],"",0)</f>
        <v/>
      </c>
      <c r="O1736" t="str">
        <f>_xlfn.XLOOKUP(Table3[[#This Row],[Cuenta]],Estructura_Balance[Nombre Cuenta ()],Estructura_Balance[Nivel 2],"",0)</f>
        <v/>
      </c>
      <c r="P1736" t="str">
        <f>_xlfn.XLOOKUP(Table3[[#This Row],[Cuenta]],Estructura_Balance[Nombre Cuenta ()],Estructura_Balance[Nivel 3],"",0)</f>
        <v/>
      </c>
      <c r="Q1736" t="str">
        <f>_xlfn.XLOOKUP(Table3[[#This Row],[Cuenta]],Estructura_Balance[Nombre Cuenta ()],Estructura_Balance[Nivel 4],"",0)</f>
        <v/>
      </c>
      <c r="R1736" t="str">
        <f>_xlfn.XLOOKUP(Table3[[#This Row],[Cuenta]],Table8[Nombre Cuenta ()],Table8[Nivel 1],"",0)</f>
        <v/>
      </c>
      <c r="S1736" t="str">
        <f>_xlfn.XLOOKUP(Table3[[#This Row],[Cuenta]],Table8[Nombre Cuenta ()],Table8[Nivel 2],"",0)</f>
        <v/>
      </c>
      <c r="T1736" t="str">
        <f>_xlfn.XLOOKUP(Table3[[#This Row],[Cuenta]],Table8[Nombre Cuenta ()],Table8[Nivel 3],"",0)</f>
        <v/>
      </c>
      <c r="U1736">
        <v>1643</v>
      </c>
      <c r="V1736" t="str">
        <f>_xlfn.XLOOKUP(Table3[[#This Row],[Cuenta]],Estructura_Balance[Nombre Cuenta ()],Estructura_Balance[Niveles:2],"",0)</f>
        <v/>
      </c>
      <c r="W1736" t="str">
        <f>_xlfn.XLOOKUP(Table3[[#This Row],[Cuenta]],Estructura_Balance[Nombre Cuenta ()],Estructura_Balance[Niveles:3],"",0)</f>
        <v/>
      </c>
      <c r="X1736" t="str">
        <f>_xlfn.XLOOKUP(Table3[[#This Row],[Cuenta]],Estructura_Balance[Nombre Cuenta ()],Estructura_Balance[Grupos],"Grupo 1",0)</f>
        <v>Grupo 1</v>
      </c>
      <c r="Y1736" t="str">
        <f>+Table3[[#This Row],[BS_Nivel_1]]</f>
        <v/>
      </c>
    </row>
    <row r="1737" spans="1:25" ht="15" customHeight="1">
      <c r="A1737">
        <f>+'Libro Diario'!F256</f>
        <v>26</v>
      </c>
      <c r="B1737" s="144">
        <f>VALUE(IF(+'Libro Diario'!G256="","01/01/2025",+'Libro Diario'!G256))</f>
        <v>45870</v>
      </c>
      <c r="C1737">
        <f>IF(ISNUMBER(+IF(IFERROR(VALUE(MID('Libro Diario'!C256,1,4)),0)&lt;&gt;0,'Libro Diario'!C256,0))=FALSE,'Libro Diario'!C256,0)</f>
        <v>0</v>
      </c>
      <c r="D1737" s="145">
        <f>+'Libro Diario'!B256</f>
        <v>0</v>
      </c>
      <c r="E1737" s="139" t="s">
        <v>445</v>
      </c>
      <c r="F1737" t="str">
        <f t="shared" si="81"/>
        <v>Sin Mov.</v>
      </c>
      <c r="G1737" t="str">
        <f>IF(+'Libro Diario'!H256=0,"",+'Libro Diario'!H256)</f>
        <v>Operaciones del Ejercicio</v>
      </c>
      <c r="H1737" t="str">
        <f>IF(+'Libro Diario'!I256=0,"",+'Libro Diario'!I256)</f>
        <v/>
      </c>
      <c r="I1737" t="str">
        <f>+IF(Table3[[#This Row],[Tipo Movimiento]]="Estructura Balance y PyG","Excluir","Incluir")</f>
        <v>Incluir</v>
      </c>
      <c r="J1737" s="153">
        <f>+IF(Table3[[#This Row],[Sin cuenta]]="Con Mov.",(IF(Table3[[#This Row],[Movimiento]]="Debe",Table3[[#This Row],[Importe]],IF(Table3[[#This Row],[Movimiento]]="Haber",Table3[[#This Row],[Importe]]*-1,0))),0)</f>
        <v>0</v>
      </c>
      <c r="K1737" s="145">
        <f t="shared" si="82"/>
        <v>0</v>
      </c>
      <c r="L1737" s="145" t="str">
        <f t="shared" si="83"/>
        <v/>
      </c>
      <c r="M1737" t="str">
        <f>_xlfn.XLOOKUP(Table3[[#This Row],[Cuenta]],Estructura_Balance[Nombre Cuenta ()],Estructura_Balance[Grupo],"",0)</f>
        <v/>
      </c>
      <c r="N1737" t="str">
        <f>_xlfn.XLOOKUP(Table3[[#This Row],[Cuenta]],Estructura_Balance[Nombre Cuenta ()],Estructura_Balance[Nivel 1],"",0)</f>
        <v/>
      </c>
      <c r="O1737" t="str">
        <f>_xlfn.XLOOKUP(Table3[[#This Row],[Cuenta]],Estructura_Balance[Nombre Cuenta ()],Estructura_Balance[Nivel 2],"",0)</f>
        <v/>
      </c>
      <c r="P1737" t="str">
        <f>_xlfn.XLOOKUP(Table3[[#This Row],[Cuenta]],Estructura_Balance[Nombre Cuenta ()],Estructura_Balance[Nivel 3],"",0)</f>
        <v/>
      </c>
      <c r="Q1737" t="str">
        <f>_xlfn.XLOOKUP(Table3[[#This Row],[Cuenta]],Estructura_Balance[Nombre Cuenta ()],Estructura_Balance[Nivel 4],"",0)</f>
        <v/>
      </c>
      <c r="R1737" t="str">
        <f>_xlfn.XLOOKUP(Table3[[#This Row],[Cuenta]],Table8[Nombre Cuenta ()],Table8[Nivel 1],"",0)</f>
        <v/>
      </c>
      <c r="S1737" t="str">
        <f>_xlfn.XLOOKUP(Table3[[#This Row],[Cuenta]],Table8[Nombre Cuenta ()],Table8[Nivel 2],"",0)</f>
        <v/>
      </c>
      <c r="T1737" t="str">
        <f>_xlfn.XLOOKUP(Table3[[#This Row],[Cuenta]],Table8[Nombre Cuenta ()],Table8[Nivel 3],"",0)</f>
        <v/>
      </c>
      <c r="U1737">
        <v>347</v>
      </c>
      <c r="V1737" t="str">
        <f>_xlfn.XLOOKUP(Table3[[#This Row],[Cuenta]],Estructura_Balance[Nombre Cuenta ()],Estructura_Balance[Niveles:2],"",0)</f>
        <v/>
      </c>
      <c r="W1737" t="str">
        <f>_xlfn.XLOOKUP(Table3[[#This Row],[Cuenta]],Estructura_Balance[Nombre Cuenta ()],Estructura_Balance[Niveles:3],"",0)</f>
        <v/>
      </c>
      <c r="X1737" t="str">
        <f>_xlfn.XLOOKUP(Table3[[#This Row],[Cuenta]],Estructura_Balance[Nombre Cuenta ()],Estructura_Balance[Grupos],"Grupo 1",0)</f>
        <v>Grupo 1</v>
      </c>
      <c r="Y1737" t="str">
        <f>+Table3[[#This Row],[BS_Nivel_1]]</f>
        <v/>
      </c>
    </row>
    <row r="1738" spans="1:25" ht="15" customHeight="1">
      <c r="A1738">
        <f>+'Libro Diario'!F257</f>
        <v>26</v>
      </c>
      <c r="B1738" s="144">
        <f>VALUE(IF(+'Libro Diario'!G257="","01/01/2025",+'Libro Diario'!G257))</f>
        <v>45870</v>
      </c>
      <c r="C1738">
        <f>IF(ISNUMBER(+IF(IFERROR(VALUE(MID('Libro Diario'!C257,1,4)),0)&lt;&gt;0,'Libro Diario'!C257,0))=FALSE,'Libro Diario'!C257,0)</f>
        <v>0</v>
      </c>
      <c r="D1738" s="145">
        <f>+'Libro Diario'!B257</f>
        <v>0</v>
      </c>
      <c r="E1738" s="139" t="s">
        <v>445</v>
      </c>
      <c r="F1738" t="str">
        <f t="shared" si="81"/>
        <v>Sin Mov.</v>
      </c>
      <c r="G1738" t="str">
        <f>IF(+'Libro Diario'!H257=0,"",+'Libro Diario'!H257)</f>
        <v>Operaciones del Ejercicio</v>
      </c>
      <c r="H1738" t="str">
        <f>IF(+'Libro Diario'!I257=0,"",+'Libro Diario'!I257)</f>
        <v/>
      </c>
      <c r="I1738" t="str">
        <f>+IF(Table3[[#This Row],[Tipo Movimiento]]="Estructura Balance y PyG","Excluir","Incluir")</f>
        <v>Incluir</v>
      </c>
      <c r="J1738" s="153">
        <f>+IF(Table3[[#This Row],[Sin cuenta]]="Con Mov.",(IF(Table3[[#This Row],[Movimiento]]="Debe",Table3[[#This Row],[Importe]],IF(Table3[[#This Row],[Movimiento]]="Haber",Table3[[#This Row],[Importe]]*-1,0))),0)</f>
        <v>0</v>
      </c>
      <c r="K1738" s="145">
        <f t="shared" si="82"/>
        <v>0</v>
      </c>
      <c r="L1738" s="145" t="str">
        <f t="shared" si="83"/>
        <v/>
      </c>
      <c r="M1738" t="str">
        <f>_xlfn.XLOOKUP(Table3[[#This Row],[Cuenta]],Estructura_Balance[Nombre Cuenta ()],Estructura_Balance[Grupo],"",0)</f>
        <v/>
      </c>
      <c r="N1738" t="str">
        <f>_xlfn.XLOOKUP(Table3[[#This Row],[Cuenta]],Estructura_Balance[Nombre Cuenta ()],Estructura_Balance[Nivel 1],"",0)</f>
        <v/>
      </c>
      <c r="O1738" t="str">
        <f>_xlfn.XLOOKUP(Table3[[#This Row],[Cuenta]],Estructura_Balance[Nombre Cuenta ()],Estructura_Balance[Nivel 2],"",0)</f>
        <v/>
      </c>
      <c r="P1738" t="str">
        <f>_xlfn.XLOOKUP(Table3[[#This Row],[Cuenta]],Estructura_Balance[Nombre Cuenta ()],Estructura_Balance[Nivel 3],"",0)</f>
        <v/>
      </c>
      <c r="Q1738" t="str">
        <f>_xlfn.XLOOKUP(Table3[[#This Row],[Cuenta]],Estructura_Balance[Nombre Cuenta ()],Estructura_Balance[Nivel 4],"",0)</f>
        <v/>
      </c>
      <c r="R1738" t="str">
        <f>_xlfn.XLOOKUP(Table3[[#This Row],[Cuenta]],Table8[Nombre Cuenta ()],Table8[Nivel 1],"",0)</f>
        <v/>
      </c>
      <c r="S1738" t="str">
        <f>_xlfn.XLOOKUP(Table3[[#This Row],[Cuenta]],Table8[Nombre Cuenta ()],Table8[Nivel 2],"",0)</f>
        <v/>
      </c>
      <c r="T1738" t="str">
        <f>_xlfn.XLOOKUP(Table3[[#This Row],[Cuenta]],Table8[Nombre Cuenta ()],Table8[Nivel 3],"",0)</f>
        <v/>
      </c>
      <c r="U1738">
        <v>348</v>
      </c>
      <c r="V1738" t="str">
        <f>_xlfn.XLOOKUP(Table3[[#This Row],[Cuenta]],Estructura_Balance[Nombre Cuenta ()],Estructura_Balance[Niveles:2],"",0)</f>
        <v/>
      </c>
      <c r="W1738" t="str">
        <f>_xlfn.XLOOKUP(Table3[[#This Row],[Cuenta]],Estructura_Balance[Nombre Cuenta ()],Estructura_Balance[Niveles:3],"",0)</f>
        <v/>
      </c>
      <c r="X1738" t="str">
        <f>_xlfn.XLOOKUP(Table3[[#This Row],[Cuenta]],Estructura_Balance[Nombre Cuenta ()],Estructura_Balance[Grupos],"Grupo 1",0)</f>
        <v>Grupo 1</v>
      </c>
      <c r="Y1738" t="str">
        <f>+Table3[[#This Row],[BS_Nivel_1]]</f>
        <v/>
      </c>
    </row>
    <row r="1739" spans="1:25" ht="15" customHeight="1">
      <c r="A1739">
        <f>+'Libro Diario'!F256</f>
        <v>26</v>
      </c>
      <c r="B1739" s="144">
        <f>VALUE(IF(+'Libro Diario'!G256="","01/01/2025",+'Libro Diario'!G256))</f>
        <v>45870</v>
      </c>
      <c r="C1739">
        <f>IF(ISNUMBER(+IF(IFERROR(VALUE(MID('Libro Diario'!D256,1,4)),0)&lt;&gt;0,'Libro Diario'!D256,0))=FALSE,'Libro Diario'!D256,0)</f>
        <v>0</v>
      </c>
      <c r="D1739" s="145">
        <f>+'Libro Diario'!E256</f>
        <v>0</v>
      </c>
      <c r="E1739" s="139" t="s">
        <v>446</v>
      </c>
      <c r="F1739" t="str">
        <f t="shared" si="81"/>
        <v>Sin Mov.</v>
      </c>
      <c r="G1739" t="str">
        <f>IF(+'Libro Diario'!H256=0,"",+'Libro Diario'!H256)</f>
        <v>Operaciones del Ejercicio</v>
      </c>
      <c r="H1739" t="str">
        <f>IF(+'Libro Diario'!I256=0,"",+'Libro Diario'!I256)</f>
        <v/>
      </c>
      <c r="I1739" t="str">
        <f>+IF(Table3[[#This Row],[Tipo Movimiento]]="Estructura Balance y PyG","Excluir","Incluir")</f>
        <v>Incluir</v>
      </c>
      <c r="J1739" s="153">
        <f>+IF(Table3[[#This Row],[Sin cuenta]]="Con Mov.",(IF(Table3[[#This Row],[Movimiento]]="Debe",Table3[[#This Row],[Importe]],IF(Table3[[#This Row],[Movimiento]]="Haber",Table3[[#This Row],[Importe]]*-1,0))),0)</f>
        <v>0</v>
      </c>
      <c r="K1739" s="145" t="str">
        <f t="shared" si="82"/>
        <v/>
      </c>
      <c r="L1739" s="145">
        <f t="shared" si="83"/>
        <v>0</v>
      </c>
      <c r="M1739" t="str">
        <f>_xlfn.XLOOKUP(Table3[[#This Row],[Cuenta]],Estructura_Balance[Nombre Cuenta ()],Estructura_Balance[Grupo],"",0)</f>
        <v/>
      </c>
      <c r="N1739" t="str">
        <f>_xlfn.XLOOKUP(Table3[[#This Row],[Cuenta]],Estructura_Balance[Nombre Cuenta ()],Estructura_Balance[Nivel 1],"",0)</f>
        <v/>
      </c>
      <c r="O1739" t="str">
        <f>_xlfn.XLOOKUP(Table3[[#This Row],[Cuenta]],Estructura_Balance[Nombre Cuenta ()],Estructura_Balance[Nivel 2],"",0)</f>
        <v/>
      </c>
      <c r="P1739" t="str">
        <f>_xlfn.XLOOKUP(Table3[[#This Row],[Cuenta]],Estructura_Balance[Nombre Cuenta ()],Estructura_Balance[Nivel 3],"",0)</f>
        <v/>
      </c>
      <c r="Q1739" t="str">
        <f>_xlfn.XLOOKUP(Table3[[#This Row],[Cuenta]],Estructura_Balance[Nombre Cuenta ()],Estructura_Balance[Nivel 4],"",0)</f>
        <v/>
      </c>
      <c r="R1739" t="str">
        <f>_xlfn.XLOOKUP(Table3[[#This Row],[Cuenta]],Table8[Nombre Cuenta ()],Table8[Nivel 1],"",0)</f>
        <v/>
      </c>
      <c r="S1739" t="str">
        <f>_xlfn.XLOOKUP(Table3[[#This Row],[Cuenta]],Table8[Nombre Cuenta ()],Table8[Nivel 2],"",0)</f>
        <v/>
      </c>
      <c r="T1739" t="str">
        <f>_xlfn.XLOOKUP(Table3[[#This Row],[Cuenta]],Table8[Nombre Cuenta ()],Table8[Nivel 3],"",0)</f>
        <v/>
      </c>
      <c r="U1739">
        <v>1649</v>
      </c>
      <c r="V1739" t="str">
        <f>_xlfn.XLOOKUP(Table3[[#This Row],[Cuenta]],Estructura_Balance[Nombre Cuenta ()],Estructura_Balance[Niveles:2],"",0)</f>
        <v/>
      </c>
      <c r="W1739" t="str">
        <f>_xlfn.XLOOKUP(Table3[[#This Row],[Cuenta]],Estructura_Balance[Nombre Cuenta ()],Estructura_Balance[Niveles:3],"",0)</f>
        <v/>
      </c>
      <c r="X1739" t="str">
        <f>_xlfn.XLOOKUP(Table3[[#This Row],[Cuenta]],Estructura_Balance[Nombre Cuenta ()],Estructura_Balance[Grupos],"Grupo 1",0)</f>
        <v>Grupo 1</v>
      </c>
      <c r="Y1739" t="str">
        <f>+Table3[[#This Row],[BS_Nivel_1]]</f>
        <v/>
      </c>
    </row>
    <row r="1740" spans="1:25" ht="15" customHeight="1">
      <c r="A1740">
        <f>+'Libro Diario'!F257</f>
        <v>26</v>
      </c>
      <c r="B1740" s="144">
        <f>VALUE(IF(+'Libro Diario'!G257="","01/01/2025",+'Libro Diario'!G257))</f>
        <v>45870</v>
      </c>
      <c r="C1740">
        <f>IF(ISNUMBER(+IF(IFERROR(VALUE(MID('Libro Diario'!D257,1,4)),0)&lt;&gt;0,'Libro Diario'!D257,0))=FALSE,'Libro Diario'!D257,0)</f>
        <v>0</v>
      </c>
      <c r="D1740" s="145">
        <f>+'Libro Diario'!E257</f>
        <v>0</v>
      </c>
      <c r="E1740" s="139" t="s">
        <v>446</v>
      </c>
      <c r="F1740" t="str">
        <f t="shared" si="81"/>
        <v>Sin Mov.</v>
      </c>
      <c r="G1740" t="str">
        <f>IF(+'Libro Diario'!H257=0,"",+'Libro Diario'!H257)</f>
        <v>Operaciones del Ejercicio</v>
      </c>
      <c r="H1740" t="str">
        <f>IF(+'Libro Diario'!I257=0,"",+'Libro Diario'!I257)</f>
        <v/>
      </c>
      <c r="I1740" t="str">
        <f>+IF(Table3[[#This Row],[Tipo Movimiento]]="Estructura Balance y PyG","Excluir","Incluir")</f>
        <v>Incluir</v>
      </c>
      <c r="J1740" s="153">
        <f>+IF(Table3[[#This Row],[Sin cuenta]]="Con Mov.",(IF(Table3[[#This Row],[Movimiento]]="Debe",Table3[[#This Row],[Importe]],IF(Table3[[#This Row],[Movimiento]]="Haber",Table3[[#This Row],[Importe]]*-1,0))),0)</f>
        <v>0</v>
      </c>
      <c r="K1740" s="145" t="str">
        <f t="shared" si="82"/>
        <v/>
      </c>
      <c r="L1740" s="145">
        <f t="shared" si="83"/>
        <v>0</v>
      </c>
      <c r="M1740" t="str">
        <f>_xlfn.XLOOKUP(Table3[[#This Row],[Cuenta]],Estructura_Balance[Nombre Cuenta ()],Estructura_Balance[Grupo],"",0)</f>
        <v/>
      </c>
      <c r="N1740" t="str">
        <f>_xlfn.XLOOKUP(Table3[[#This Row],[Cuenta]],Estructura_Balance[Nombre Cuenta ()],Estructura_Balance[Nivel 1],"",0)</f>
        <v/>
      </c>
      <c r="O1740" t="str">
        <f>_xlfn.XLOOKUP(Table3[[#This Row],[Cuenta]],Estructura_Balance[Nombre Cuenta ()],Estructura_Balance[Nivel 2],"",0)</f>
        <v/>
      </c>
      <c r="P1740" t="str">
        <f>_xlfn.XLOOKUP(Table3[[#This Row],[Cuenta]],Estructura_Balance[Nombre Cuenta ()],Estructura_Balance[Nivel 3],"",0)</f>
        <v/>
      </c>
      <c r="Q1740" t="str">
        <f>_xlfn.XLOOKUP(Table3[[#This Row],[Cuenta]],Estructura_Balance[Nombre Cuenta ()],Estructura_Balance[Nivel 4],"",0)</f>
        <v/>
      </c>
      <c r="R1740" t="str">
        <f>_xlfn.XLOOKUP(Table3[[#This Row],[Cuenta]],Table8[Nombre Cuenta ()],Table8[Nivel 1],"",0)</f>
        <v/>
      </c>
      <c r="S1740" t="str">
        <f>_xlfn.XLOOKUP(Table3[[#This Row],[Cuenta]],Table8[Nombre Cuenta ()],Table8[Nivel 2],"",0)</f>
        <v/>
      </c>
      <c r="T1740" t="str">
        <f>_xlfn.XLOOKUP(Table3[[#This Row],[Cuenta]],Table8[Nombre Cuenta ()],Table8[Nivel 3],"",0)</f>
        <v/>
      </c>
      <c r="U1740">
        <v>1650</v>
      </c>
      <c r="V1740" t="str">
        <f>_xlfn.XLOOKUP(Table3[[#This Row],[Cuenta]],Estructura_Balance[Nombre Cuenta ()],Estructura_Balance[Niveles:2],"",0)</f>
        <v/>
      </c>
      <c r="W1740" t="str">
        <f>_xlfn.XLOOKUP(Table3[[#This Row],[Cuenta]],Estructura_Balance[Nombre Cuenta ()],Estructura_Balance[Niveles:3],"",0)</f>
        <v/>
      </c>
      <c r="X1740" t="str">
        <f>_xlfn.XLOOKUP(Table3[[#This Row],[Cuenta]],Estructura_Balance[Nombre Cuenta ()],Estructura_Balance[Grupos],"Grupo 1",0)</f>
        <v>Grupo 1</v>
      </c>
      <c r="Y1740" t="str">
        <f>+Table3[[#This Row],[BS_Nivel_1]]</f>
        <v/>
      </c>
    </row>
    <row r="1741" spans="1:25" ht="15" customHeight="1">
      <c r="A1741">
        <f>+'Libro Diario'!F263</f>
        <v>27</v>
      </c>
      <c r="B1741" s="144">
        <f>VALUE(IF(+'Libro Diario'!G263="","01/01/2025",+'Libro Diario'!G263))</f>
        <v>45884</v>
      </c>
      <c r="C1741">
        <f>IF(ISNUMBER(+IF(IFERROR(VALUE(MID('Libro Diario'!C263,1,4)),0)&lt;&gt;0,'Libro Diario'!C263,0))=FALSE,'Libro Diario'!C263,0)</f>
        <v>0</v>
      </c>
      <c r="D1741" s="145">
        <f>+'Libro Diario'!B263</f>
        <v>0</v>
      </c>
      <c r="E1741" s="139" t="s">
        <v>445</v>
      </c>
      <c r="F1741" t="str">
        <f t="shared" si="81"/>
        <v>Sin Mov.</v>
      </c>
      <c r="G1741" t="str">
        <f>IF(+'Libro Diario'!H263=0,"",+'Libro Diario'!H263)</f>
        <v>Operaciones del Ejercicio</v>
      </c>
      <c r="H1741" t="str">
        <f>IF(+'Libro Diario'!I263=0,"",+'Libro Diario'!I263)</f>
        <v/>
      </c>
      <c r="I1741" t="str">
        <f>+IF(Table3[[#This Row],[Tipo Movimiento]]="Estructura Balance y PyG","Excluir","Incluir")</f>
        <v>Incluir</v>
      </c>
      <c r="J1741" s="153">
        <f>+IF(Table3[[#This Row],[Sin cuenta]]="Con Mov.",(IF(Table3[[#This Row],[Movimiento]]="Debe",Table3[[#This Row],[Importe]],IF(Table3[[#This Row],[Movimiento]]="Haber",Table3[[#This Row],[Importe]]*-1,0))),0)</f>
        <v>0</v>
      </c>
      <c r="K1741" s="145">
        <f t="shared" si="82"/>
        <v>0</v>
      </c>
      <c r="L1741" s="145" t="str">
        <f t="shared" si="83"/>
        <v/>
      </c>
      <c r="M1741" t="str">
        <f>_xlfn.XLOOKUP(Table3[[#This Row],[Cuenta]],Estructura_Balance[Nombre Cuenta ()],Estructura_Balance[Grupo],"",0)</f>
        <v/>
      </c>
      <c r="N1741" t="str">
        <f>_xlfn.XLOOKUP(Table3[[#This Row],[Cuenta]],Estructura_Balance[Nombre Cuenta ()],Estructura_Balance[Nivel 1],"",0)</f>
        <v/>
      </c>
      <c r="O1741" t="str">
        <f>_xlfn.XLOOKUP(Table3[[#This Row],[Cuenta]],Estructura_Balance[Nombre Cuenta ()],Estructura_Balance[Nivel 2],"",0)</f>
        <v/>
      </c>
      <c r="P1741" t="str">
        <f>_xlfn.XLOOKUP(Table3[[#This Row],[Cuenta]],Estructura_Balance[Nombre Cuenta ()],Estructura_Balance[Nivel 3],"",0)</f>
        <v/>
      </c>
      <c r="Q1741" t="str">
        <f>_xlfn.XLOOKUP(Table3[[#This Row],[Cuenta]],Estructura_Balance[Nombre Cuenta ()],Estructura_Balance[Nivel 4],"",0)</f>
        <v/>
      </c>
      <c r="R1741" t="str">
        <f>_xlfn.XLOOKUP(Table3[[#This Row],[Cuenta]],Table8[Nombre Cuenta ()],Table8[Nivel 1],"",0)</f>
        <v/>
      </c>
      <c r="S1741" t="str">
        <f>_xlfn.XLOOKUP(Table3[[#This Row],[Cuenta]],Table8[Nombre Cuenta ()],Table8[Nivel 2],"",0)</f>
        <v/>
      </c>
      <c r="T1741" t="str">
        <f>_xlfn.XLOOKUP(Table3[[#This Row],[Cuenta]],Table8[Nombre Cuenta ()],Table8[Nivel 3],"",0)</f>
        <v/>
      </c>
      <c r="U1741">
        <v>356</v>
      </c>
      <c r="V1741" t="str">
        <f>_xlfn.XLOOKUP(Table3[[#This Row],[Cuenta]],Estructura_Balance[Nombre Cuenta ()],Estructura_Balance[Niveles:2],"",0)</f>
        <v/>
      </c>
      <c r="W1741" t="str">
        <f>_xlfn.XLOOKUP(Table3[[#This Row],[Cuenta]],Estructura_Balance[Nombre Cuenta ()],Estructura_Balance[Niveles:3],"",0)</f>
        <v/>
      </c>
      <c r="X1741" t="str">
        <f>_xlfn.XLOOKUP(Table3[[#This Row],[Cuenta]],Estructura_Balance[Nombre Cuenta ()],Estructura_Balance[Grupos],"Grupo 1",0)</f>
        <v>Grupo 1</v>
      </c>
      <c r="Y1741" t="str">
        <f>+Table3[[#This Row],[BS_Nivel_1]]</f>
        <v/>
      </c>
    </row>
    <row r="1742" spans="1:25" ht="15" customHeight="1">
      <c r="A1742">
        <f>+'Libro Diario'!F264</f>
        <v>27</v>
      </c>
      <c r="B1742" s="144">
        <f>VALUE(IF(+'Libro Diario'!G264="","01/01/2025",+'Libro Diario'!G264))</f>
        <v>45884</v>
      </c>
      <c r="C1742">
        <f>IF(ISNUMBER(+IF(IFERROR(VALUE(MID('Libro Diario'!C264,1,4)),0)&lt;&gt;0,'Libro Diario'!C264,0))=FALSE,'Libro Diario'!C264,0)</f>
        <v>0</v>
      </c>
      <c r="D1742" s="145">
        <f>+'Libro Diario'!B264</f>
        <v>0</v>
      </c>
      <c r="E1742" s="139" t="s">
        <v>445</v>
      </c>
      <c r="F1742" t="str">
        <f t="shared" si="81"/>
        <v>Sin Mov.</v>
      </c>
      <c r="G1742" t="str">
        <f>IF(+'Libro Diario'!H264=0,"",+'Libro Diario'!H264)</f>
        <v>Operaciones del Ejercicio</v>
      </c>
      <c r="H1742" t="str">
        <f>IF(+'Libro Diario'!I264=0,"",+'Libro Diario'!I264)</f>
        <v/>
      </c>
      <c r="I1742" t="str">
        <f>+IF(Table3[[#This Row],[Tipo Movimiento]]="Estructura Balance y PyG","Excluir","Incluir")</f>
        <v>Incluir</v>
      </c>
      <c r="J1742" s="153">
        <f>+IF(Table3[[#This Row],[Sin cuenta]]="Con Mov.",(IF(Table3[[#This Row],[Movimiento]]="Debe",Table3[[#This Row],[Importe]],IF(Table3[[#This Row],[Movimiento]]="Haber",Table3[[#This Row],[Importe]]*-1,0))),0)</f>
        <v>0</v>
      </c>
      <c r="K1742" s="145">
        <f t="shared" si="82"/>
        <v>0</v>
      </c>
      <c r="L1742" s="145" t="str">
        <f t="shared" si="83"/>
        <v/>
      </c>
      <c r="M1742" t="str">
        <f>_xlfn.XLOOKUP(Table3[[#This Row],[Cuenta]],Estructura_Balance[Nombre Cuenta ()],Estructura_Balance[Grupo],"",0)</f>
        <v/>
      </c>
      <c r="N1742" t="str">
        <f>_xlfn.XLOOKUP(Table3[[#This Row],[Cuenta]],Estructura_Balance[Nombre Cuenta ()],Estructura_Balance[Nivel 1],"",0)</f>
        <v/>
      </c>
      <c r="O1742" t="str">
        <f>_xlfn.XLOOKUP(Table3[[#This Row],[Cuenta]],Estructura_Balance[Nombre Cuenta ()],Estructura_Balance[Nivel 2],"",0)</f>
        <v/>
      </c>
      <c r="P1742" t="str">
        <f>_xlfn.XLOOKUP(Table3[[#This Row],[Cuenta]],Estructura_Balance[Nombre Cuenta ()],Estructura_Balance[Nivel 3],"",0)</f>
        <v/>
      </c>
      <c r="Q1742" t="str">
        <f>_xlfn.XLOOKUP(Table3[[#This Row],[Cuenta]],Estructura_Balance[Nombre Cuenta ()],Estructura_Balance[Nivel 4],"",0)</f>
        <v/>
      </c>
      <c r="R1742" t="str">
        <f>_xlfn.XLOOKUP(Table3[[#This Row],[Cuenta]],Table8[Nombre Cuenta ()],Table8[Nivel 1],"",0)</f>
        <v/>
      </c>
      <c r="S1742" t="str">
        <f>_xlfn.XLOOKUP(Table3[[#This Row],[Cuenta]],Table8[Nombre Cuenta ()],Table8[Nivel 2],"",0)</f>
        <v/>
      </c>
      <c r="T1742" t="str">
        <f>_xlfn.XLOOKUP(Table3[[#This Row],[Cuenta]],Table8[Nombre Cuenta ()],Table8[Nivel 3],"",0)</f>
        <v/>
      </c>
      <c r="U1742">
        <v>362</v>
      </c>
      <c r="V1742" t="str">
        <f>_xlfn.XLOOKUP(Table3[[#This Row],[Cuenta]],Estructura_Balance[Nombre Cuenta ()],Estructura_Balance[Niveles:2],"",0)</f>
        <v/>
      </c>
      <c r="W1742" t="str">
        <f>_xlfn.XLOOKUP(Table3[[#This Row],[Cuenta]],Estructura_Balance[Nombre Cuenta ()],Estructura_Balance[Niveles:3],"",0)</f>
        <v/>
      </c>
      <c r="X1742" t="str">
        <f>_xlfn.XLOOKUP(Table3[[#This Row],[Cuenta]],Estructura_Balance[Nombre Cuenta ()],Estructura_Balance[Grupos],"Grupo 1",0)</f>
        <v>Grupo 1</v>
      </c>
      <c r="Y1742" t="str">
        <f>+Table3[[#This Row],[BS_Nivel_1]]</f>
        <v/>
      </c>
    </row>
    <row r="1743" spans="1:25" ht="15" customHeight="1">
      <c r="A1743">
        <f>+'Libro Diario'!F263</f>
        <v>27</v>
      </c>
      <c r="B1743" s="144">
        <f>VALUE(IF(+'Libro Diario'!G263="","01/01/2025",+'Libro Diario'!G263))</f>
        <v>45884</v>
      </c>
      <c r="C1743">
        <f>IF(ISNUMBER(+IF(IFERROR(VALUE(MID('Libro Diario'!D263,1,4)),0)&lt;&gt;0,'Libro Diario'!D263,0))=FALSE,'Libro Diario'!D263,0)</f>
        <v>0</v>
      </c>
      <c r="D1743" s="145">
        <f>+'Libro Diario'!E263</f>
        <v>0</v>
      </c>
      <c r="E1743" s="139" t="s">
        <v>446</v>
      </c>
      <c r="F1743" t="str">
        <f t="shared" si="81"/>
        <v>Sin Mov.</v>
      </c>
      <c r="G1743" t="str">
        <f>IF(+'Libro Diario'!H263=0,"",+'Libro Diario'!H263)</f>
        <v>Operaciones del Ejercicio</v>
      </c>
      <c r="H1743" t="str">
        <f>IF(+'Libro Diario'!I263=0,"",+'Libro Diario'!I263)</f>
        <v/>
      </c>
      <c r="I1743" t="str">
        <f>+IF(Table3[[#This Row],[Tipo Movimiento]]="Estructura Balance y PyG","Excluir","Incluir")</f>
        <v>Incluir</v>
      </c>
      <c r="J1743" s="153">
        <f>+IF(Table3[[#This Row],[Sin cuenta]]="Con Mov.",(IF(Table3[[#This Row],[Movimiento]]="Debe",Table3[[#This Row],[Importe]],IF(Table3[[#This Row],[Movimiento]]="Haber",Table3[[#This Row],[Importe]]*-1,0))),0)</f>
        <v>0</v>
      </c>
      <c r="K1743" s="145" t="str">
        <f t="shared" si="82"/>
        <v/>
      </c>
      <c r="L1743" s="145">
        <f t="shared" si="83"/>
        <v>0</v>
      </c>
      <c r="M1743" t="str">
        <f>_xlfn.XLOOKUP(Table3[[#This Row],[Cuenta]],Estructura_Balance[Nombre Cuenta ()],Estructura_Balance[Grupo],"",0)</f>
        <v/>
      </c>
      <c r="N1743" t="str">
        <f>_xlfn.XLOOKUP(Table3[[#This Row],[Cuenta]],Estructura_Balance[Nombre Cuenta ()],Estructura_Balance[Nivel 1],"",0)</f>
        <v/>
      </c>
      <c r="O1743" t="str">
        <f>_xlfn.XLOOKUP(Table3[[#This Row],[Cuenta]],Estructura_Balance[Nombre Cuenta ()],Estructura_Balance[Nivel 2],"",0)</f>
        <v/>
      </c>
      <c r="P1743" t="str">
        <f>_xlfn.XLOOKUP(Table3[[#This Row],[Cuenta]],Estructura_Balance[Nombre Cuenta ()],Estructura_Balance[Nivel 3],"",0)</f>
        <v/>
      </c>
      <c r="Q1743" t="str">
        <f>_xlfn.XLOOKUP(Table3[[#This Row],[Cuenta]],Estructura_Balance[Nombre Cuenta ()],Estructura_Balance[Nivel 4],"",0)</f>
        <v/>
      </c>
      <c r="R1743" t="str">
        <f>_xlfn.XLOOKUP(Table3[[#This Row],[Cuenta]],Table8[Nombre Cuenta ()],Table8[Nivel 1],"",0)</f>
        <v/>
      </c>
      <c r="S1743" t="str">
        <f>_xlfn.XLOOKUP(Table3[[#This Row],[Cuenta]],Table8[Nombre Cuenta ()],Table8[Nivel 2],"",0)</f>
        <v/>
      </c>
      <c r="T1743" t="str">
        <f>_xlfn.XLOOKUP(Table3[[#This Row],[Cuenta]],Table8[Nombre Cuenta ()],Table8[Nivel 3],"",0)</f>
        <v/>
      </c>
      <c r="U1743">
        <v>1656</v>
      </c>
      <c r="V1743" t="str">
        <f>_xlfn.XLOOKUP(Table3[[#This Row],[Cuenta]],Estructura_Balance[Nombre Cuenta ()],Estructura_Balance[Niveles:2],"",0)</f>
        <v/>
      </c>
      <c r="W1743" t="str">
        <f>_xlfn.XLOOKUP(Table3[[#This Row],[Cuenta]],Estructura_Balance[Nombre Cuenta ()],Estructura_Balance[Niveles:3],"",0)</f>
        <v/>
      </c>
      <c r="X1743" t="str">
        <f>_xlfn.XLOOKUP(Table3[[#This Row],[Cuenta]],Estructura_Balance[Nombre Cuenta ()],Estructura_Balance[Grupos],"Grupo 1",0)</f>
        <v>Grupo 1</v>
      </c>
      <c r="Y1743" t="str">
        <f>+Table3[[#This Row],[BS_Nivel_1]]</f>
        <v/>
      </c>
    </row>
    <row r="1744" spans="1:25" ht="15" customHeight="1">
      <c r="A1744">
        <f>+'Libro Diario'!F264</f>
        <v>27</v>
      </c>
      <c r="B1744" s="144">
        <f>VALUE(IF(+'Libro Diario'!G264="","01/01/2025",+'Libro Diario'!G264))</f>
        <v>45884</v>
      </c>
      <c r="C1744">
        <f>IF(ISNUMBER(+IF(IFERROR(VALUE(MID('Libro Diario'!D264,1,4)),0)&lt;&gt;0,'Libro Diario'!D264,0))=FALSE,'Libro Diario'!D264,0)</f>
        <v>0</v>
      </c>
      <c r="D1744" s="145">
        <f>+'Libro Diario'!E264</f>
        <v>0</v>
      </c>
      <c r="E1744" s="139" t="s">
        <v>446</v>
      </c>
      <c r="F1744" t="str">
        <f t="shared" si="81"/>
        <v>Sin Mov.</v>
      </c>
      <c r="G1744" t="str">
        <f>IF(+'Libro Diario'!H264=0,"",+'Libro Diario'!H264)</f>
        <v>Operaciones del Ejercicio</v>
      </c>
      <c r="H1744" t="str">
        <f>IF(+'Libro Diario'!I264=0,"",+'Libro Diario'!I264)</f>
        <v/>
      </c>
      <c r="I1744" t="str">
        <f>+IF(Table3[[#This Row],[Tipo Movimiento]]="Estructura Balance y PyG","Excluir","Incluir")</f>
        <v>Incluir</v>
      </c>
      <c r="J1744" s="153">
        <f>+IF(Table3[[#This Row],[Sin cuenta]]="Con Mov.",(IF(Table3[[#This Row],[Movimiento]]="Debe",Table3[[#This Row],[Importe]],IF(Table3[[#This Row],[Movimiento]]="Haber",Table3[[#This Row],[Importe]]*-1,0))),0)</f>
        <v>0</v>
      </c>
      <c r="K1744" s="145" t="str">
        <f t="shared" si="82"/>
        <v/>
      </c>
      <c r="L1744" s="145">
        <f t="shared" si="83"/>
        <v>0</v>
      </c>
      <c r="M1744" t="str">
        <f>_xlfn.XLOOKUP(Table3[[#This Row],[Cuenta]],Estructura_Balance[Nombre Cuenta ()],Estructura_Balance[Grupo],"",0)</f>
        <v/>
      </c>
      <c r="N1744" t="str">
        <f>_xlfn.XLOOKUP(Table3[[#This Row],[Cuenta]],Estructura_Balance[Nombre Cuenta ()],Estructura_Balance[Nivel 1],"",0)</f>
        <v/>
      </c>
      <c r="O1744" t="str">
        <f>_xlfn.XLOOKUP(Table3[[#This Row],[Cuenta]],Estructura_Balance[Nombre Cuenta ()],Estructura_Balance[Nivel 2],"",0)</f>
        <v/>
      </c>
      <c r="P1744" t="str">
        <f>_xlfn.XLOOKUP(Table3[[#This Row],[Cuenta]],Estructura_Balance[Nombre Cuenta ()],Estructura_Balance[Nivel 3],"",0)</f>
        <v/>
      </c>
      <c r="Q1744" t="str">
        <f>_xlfn.XLOOKUP(Table3[[#This Row],[Cuenta]],Estructura_Balance[Nombre Cuenta ()],Estructura_Balance[Nivel 4],"",0)</f>
        <v/>
      </c>
      <c r="R1744" t="str">
        <f>_xlfn.XLOOKUP(Table3[[#This Row],[Cuenta]],Table8[Nombre Cuenta ()],Table8[Nivel 1],"",0)</f>
        <v/>
      </c>
      <c r="S1744" t="str">
        <f>_xlfn.XLOOKUP(Table3[[#This Row],[Cuenta]],Table8[Nombre Cuenta ()],Table8[Nivel 2],"",0)</f>
        <v/>
      </c>
      <c r="T1744" t="str">
        <f>_xlfn.XLOOKUP(Table3[[#This Row],[Cuenta]],Table8[Nombre Cuenta ()],Table8[Nivel 3],"",0)</f>
        <v/>
      </c>
      <c r="U1744">
        <v>1657</v>
      </c>
      <c r="V1744" t="str">
        <f>_xlfn.XLOOKUP(Table3[[#This Row],[Cuenta]],Estructura_Balance[Nombre Cuenta ()],Estructura_Balance[Niveles:2],"",0)</f>
        <v/>
      </c>
      <c r="W1744" t="str">
        <f>_xlfn.XLOOKUP(Table3[[#This Row],[Cuenta]],Estructura_Balance[Nombre Cuenta ()],Estructura_Balance[Niveles:3],"",0)</f>
        <v/>
      </c>
      <c r="X1744" t="str">
        <f>_xlfn.XLOOKUP(Table3[[#This Row],[Cuenta]],Estructura_Balance[Nombre Cuenta ()],Estructura_Balance[Grupos],"Grupo 1",0)</f>
        <v>Grupo 1</v>
      </c>
      <c r="Y1744" t="str">
        <f>+Table3[[#This Row],[BS_Nivel_1]]</f>
        <v/>
      </c>
    </row>
    <row r="1745" spans="1:25" ht="15" customHeight="1">
      <c r="A1745">
        <f>+'Libro Diario'!F270</f>
        <v>28</v>
      </c>
      <c r="B1745" s="144">
        <f>VALUE(IF(+'Libro Diario'!G270="","01/01/2025",+'Libro Diario'!G270))</f>
        <v>45884</v>
      </c>
      <c r="C1745">
        <f>IF(ISNUMBER(+IF(IFERROR(VALUE(MID('Libro Diario'!C270,1,4)),0)&lt;&gt;0,'Libro Diario'!C270,0))=FALSE,'Libro Diario'!C270,0)</f>
        <v>0</v>
      </c>
      <c r="D1745" s="145">
        <f>+'Libro Diario'!B270</f>
        <v>0</v>
      </c>
      <c r="E1745" s="139" t="s">
        <v>445</v>
      </c>
      <c r="F1745" t="str">
        <f t="shared" si="81"/>
        <v>Sin Mov.</v>
      </c>
      <c r="G1745" t="str">
        <f>IF(+'Libro Diario'!H270=0,"",+'Libro Diario'!H270)</f>
        <v>Operaciones del Ejercicio</v>
      </c>
      <c r="H1745" t="str">
        <f>IF(+'Libro Diario'!I270=0,"",+'Libro Diario'!I270)</f>
        <v/>
      </c>
      <c r="I1745" t="str">
        <f>+IF(Table3[[#This Row],[Tipo Movimiento]]="Estructura Balance y PyG","Excluir","Incluir")</f>
        <v>Incluir</v>
      </c>
      <c r="J1745" s="153">
        <f>+IF(Table3[[#This Row],[Sin cuenta]]="Con Mov.",(IF(Table3[[#This Row],[Movimiento]]="Debe",Table3[[#This Row],[Importe]],IF(Table3[[#This Row],[Movimiento]]="Haber",Table3[[#This Row],[Importe]]*-1,0))),0)</f>
        <v>0</v>
      </c>
      <c r="K1745" s="145">
        <f t="shared" si="82"/>
        <v>0</v>
      </c>
      <c r="L1745" s="145" t="str">
        <f t="shared" si="83"/>
        <v/>
      </c>
      <c r="M1745" t="str">
        <f>_xlfn.XLOOKUP(Table3[[#This Row],[Cuenta]],Estructura_Balance[Nombre Cuenta ()],Estructura_Balance[Grupo],"",0)</f>
        <v/>
      </c>
      <c r="N1745" t="str">
        <f>_xlfn.XLOOKUP(Table3[[#This Row],[Cuenta]],Estructura_Balance[Nombre Cuenta ()],Estructura_Balance[Nivel 1],"",0)</f>
        <v/>
      </c>
      <c r="O1745" t="str">
        <f>_xlfn.XLOOKUP(Table3[[#This Row],[Cuenta]],Estructura_Balance[Nombre Cuenta ()],Estructura_Balance[Nivel 2],"",0)</f>
        <v/>
      </c>
      <c r="P1745" t="str">
        <f>_xlfn.XLOOKUP(Table3[[#This Row],[Cuenta]],Estructura_Balance[Nombre Cuenta ()],Estructura_Balance[Nivel 3],"",0)</f>
        <v/>
      </c>
      <c r="Q1745" t="str">
        <f>_xlfn.XLOOKUP(Table3[[#This Row],[Cuenta]],Estructura_Balance[Nombre Cuenta ()],Estructura_Balance[Nivel 4],"",0)</f>
        <v/>
      </c>
      <c r="R1745" t="str">
        <f>_xlfn.XLOOKUP(Table3[[#This Row],[Cuenta]],Table8[Nombre Cuenta ()],Table8[Nivel 1],"",0)</f>
        <v/>
      </c>
      <c r="S1745" t="str">
        <f>_xlfn.XLOOKUP(Table3[[#This Row],[Cuenta]],Table8[Nombre Cuenta ()],Table8[Nivel 2],"",0)</f>
        <v/>
      </c>
      <c r="T1745" t="str">
        <f>_xlfn.XLOOKUP(Table3[[#This Row],[Cuenta]],Table8[Nombre Cuenta ()],Table8[Nivel 3],"",0)</f>
        <v/>
      </c>
      <c r="U1745">
        <v>370</v>
      </c>
      <c r="V1745" t="str">
        <f>_xlfn.XLOOKUP(Table3[[#This Row],[Cuenta]],Estructura_Balance[Nombre Cuenta ()],Estructura_Balance[Niveles:2],"",0)</f>
        <v/>
      </c>
      <c r="W1745" t="str">
        <f>_xlfn.XLOOKUP(Table3[[#This Row],[Cuenta]],Estructura_Balance[Nombre Cuenta ()],Estructura_Balance[Niveles:3],"",0)</f>
        <v/>
      </c>
      <c r="X1745" t="str">
        <f>_xlfn.XLOOKUP(Table3[[#This Row],[Cuenta]],Estructura_Balance[Nombre Cuenta ()],Estructura_Balance[Grupos],"Grupo 1",0)</f>
        <v>Grupo 1</v>
      </c>
      <c r="Y1745" t="str">
        <f>+Table3[[#This Row],[BS_Nivel_1]]</f>
        <v/>
      </c>
    </row>
    <row r="1746" spans="1:25" ht="15" customHeight="1">
      <c r="A1746">
        <f>+'Libro Diario'!F271</f>
        <v>28</v>
      </c>
      <c r="B1746" s="144">
        <f>VALUE(IF(+'Libro Diario'!G271="","01/01/2025",+'Libro Diario'!G271))</f>
        <v>45884</v>
      </c>
      <c r="C1746">
        <f>IF(ISNUMBER(+IF(IFERROR(VALUE(MID('Libro Diario'!C271,1,4)),0)&lt;&gt;0,'Libro Diario'!C271,0))=FALSE,'Libro Diario'!C271,0)</f>
        <v>0</v>
      </c>
      <c r="D1746" s="145">
        <f>+'Libro Diario'!B271</f>
        <v>0</v>
      </c>
      <c r="E1746" s="139" t="s">
        <v>445</v>
      </c>
      <c r="F1746" t="str">
        <f t="shared" si="81"/>
        <v>Sin Mov.</v>
      </c>
      <c r="G1746" t="str">
        <f>IF(+'Libro Diario'!H271=0,"",+'Libro Diario'!H271)</f>
        <v>Operaciones del Ejercicio</v>
      </c>
      <c r="H1746" t="str">
        <f>IF(+'Libro Diario'!I271=0,"",+'Libro Diario'!I271)</f>
        <v/>
      </c>
      <c r="I1746" t="str">
        <f>+IF(Table3[[#This Row],[Tipo Movimiento]]="Estructura Balance y PyG","Excluir","Incluir")</f>
        <v>Incluir</v>
      </c>
      <c r="J1746" s="153">
        <f>+IF(Table3[[#This Row],[Sin cuenta]]="Con Mov.",(IF(Table3[[#This Row],[Movimiento]]="Debe",Table3[[#This Row],[Importe]],IF(Table3[[#This Row],[Movimiento]]="Haber",Table3[[#This Row],[Importe]]*-1,0))),0)</f>
        <v>0</v>
      </c>
      <c r="K1746" s="145">
        <f t="shared" si="82"/>
        <v>0</v>
      </c>
      <c r="L1746" s="145" t="str">
        <f t="shared" si="83"/>
        <v/>
      </c>
      <c r="M1746" t="str">
        <f>_xlfn.XLOOKUP(Table3[[#This Row],[Cuenta]],Estructura_Balance[Nombre Cuenta ()],Estructura_Balance[Grupo],"",0)</f>
        <v/>
      </c>
      <c r="N1746" t="str">
        <f>_xlfn.XLOOKUP(Table3[[#This Row],[Cuenta]],Estructura_Balance[Nombre Cuenta ()],Estructura_Balance[Nivel 1],"",0)</f>
        <v/>
      </c>
      <c r="O1746" t="str">
        <f>_xlfn.XLOOKUP(Table3[[#This Row],[Cuenta]],Estructura_Balance[Nombre Cuenta ()],Estructura_Balance[Nivel 2],"",0)</f>
        <v/>
      </c>
      <c r="P1746" t="str">
        <f>_xlfn.XLOOKUP(Table3[[#This Row],[Cuenta]],Estructura_Balance[Nombre Cuenta ()],Estructura_Balance[Nivel 3],"",0)</f>
        <v/>
      </c>
      <c r="Q1746" t="str">
        <f>_xlfn.XLOOKUP(Table3[[#This Row],[Cuenta]],Estructura_Balance[Nombre Cuenta ()],Estructura_Balance[Nivel 4],"",0)</f>
        <v/>
      </c>
      <c r="R1746" t="str">
        <f>_xlfn.XLOOKUP(Table3[[#This Row],[Cuenta]],Table8[Nombre Cuenta ()],Table8[Nivel 1],"",0)</f>
        <v/>
      </c>
      <c r="S1746" t="str">
        <f>_xlfn.XLOOKUP(Table3[[#This Row],[Cuenta]],Table8[Nombre Cuenta ()],Table8[Nivel 2],"",0)</f>
        <v/>
      </c>
      <c r="T1746" t="str">
        <f>_xlfn.XLOOKUP(Table3[[#This Row],[Cuenta]],Table8[Nombre Cuenta ()],Table8[Nivel 3],"",0)</f>
        <v/>
      </c>
      <c r="U1746">
        <v>371</v>
      </c>
      <c r="V1746" t="str">
        <f>_xlfn.XLOOKUP(Table3[[#This Row],[Cuenta]],Estructura_Balance[Nombre Cuenta ()],Estructura_Balance[Niveles:2],"",0)</f>
        <v/>
      </c>
      <c r="W1746" t="str">
        <f>_xlfn.XLOOKUP(Table3[[#This Row],[Cuenta]],Estructura_Balance[Nombre Cuenta ()],Estructura_Balance[Niveles:3],"",0)</f>
        <v/>
      </c>
      <c r="X1746" t="str">
        <f>_xlfn.XLOOKUP(Table3[[#This Row],[Cuenta]],Estructura_Balance[Nombre Cuenta ()],Estructura_Balance[Grupos],"Grupo 1",0)</f>
        <v>Grupo 1</v>
      </c>
      <c r="Y1746" t="str">
        <f>+Table3[[#This Row],[BS_Nivel_1]]</f>
        <v/>
      </c>
    </row>
    <row r="1747" spans="1:25" ht="15" customHeight="1">
      <c r="A1747">
        <f>+'Libro Diario'!F270</f>
        <v>28</v>
      </c>
      <c r="B1747" s="144">
        <f>VALUE(IF(+'Libro Diario'!G270="","01/01/2025",+'Libro Diario'!G270))</f>
        <v>45884</v>
      </c>
      <c r="C1747">
        <f>IF(ISNUMBER(+IF(IFERROR(VALUE(MID('Libro Diario'!D270,1,4)),0)&lt;&gt;0,'Libro Diario'!D270,0))=FALSE,'Libro Diario'!D270,0)</f>
        <v>0</v>
      </c>
      <c r="D1747" s="145">
        <f>+'Libro Diario'!E270</f>
        <v>0</v>
      </c>
      <c r="E1747" s="139" t="s">
        <v>446</v>
      </c>
      <c r="F1747" t="str">
        <f t="shared" si="81"/>
        <v>Sin Mov.</v>
      </c>
      <c r="G1747" t="str">
        <f>IF(+'Libro Diario'!H270=0,"",+'Libro Diario'!H270)</f>
        <v>Operaciones del Ejercicio</v>
      </c>
      <c r="H1747" t="str">
        <f>IF(+'Libro Diario'!I270=0,"",+'Libro Diario'!I270)</f>
        <v/>
      </c>
      <c r="I1747" t="str">
        <f>+IF(Table3[[#This Row],[Tipo Movimiento]]="Estructura Balance y PyG","Excluir","Incluir")</f>
        <v>Incluir</v>
      </c>
      <c r="J1747" s="153">
        <f>+IF(Table3[[#This Row],[Sin cuenta]]="Con Mov.",(IF(Table3[[#This Row],[Movimiento]]="Debe",Table3[[#This Row],[Importe]],IF(Table3[[#This Row],[Movimiento]]="Haber",Table3[[#This Row],[Importe]]*-1,0))),0)</f>
        <v>0</v>
      </c>
      <c r="K1747" s="145" t="str">
        <f t="shared" si="82"/>
        <v/>
      </c>
      <c r="L1747" s="145">
        <f t="shared" si="83"/>
        <v>0</v>
      </c>
      <c r="M1747" t="str">
        <f>_xlfn.XLOOKUP(Table3[[#This Row],[Cuenta]],Estructura_Balance[Nombre Cuenta ()],Estructura_Balance[Grupo],"",0)</f>
        <v/>
      </c>
      <c r="N1747" t="str">
        <f>_xlfn.XLOOKUP(Table3[[#This Row],[Cuenta]],Estructura_Balance[Nombre Cuenta ()],Estructura_Balance[Nivel 1],"",0)</f>
        <v/>
      </c>
      <c r="O1747" t="str">
        <f>_xlfn.XLOOKUP(Table3[[#This Row],[Cuenta]],Estructura_Balance[Nombre Cuenta ()],Estructura_Balance[Nivel 2],"",0)</f>
        <v/>
      </c>
      <c r="P1747" t="str">
        <f>_xlfn.XLOOKUP(Table3[[#This Row],[Cuenta]],Estructura_Balance[Nombre Cuenta ()],Estructura_Balance[Nivel 3],"",0)</f>
        <v/>
      </c>
      <c r="Q1747" t="str">
        <f>_xlfn.XLOOKUP(Table3[[#This Row],[Cuenta]],Estructura_Balance[Nombre Cuenta ()],Estructura_Balance[Nivel 4],"",0)</f>
        <v/>
      </c>
      <c r="R1747" t="str">
        <f>_xlfn.XLOOKUP(Table3[[#This Row],[Cuenta]],Table8[Nombre Cuenta ()],Table8[Nivel 1],"",0)</f>
        <v/>
      </c>
      <c r="S1747" t="str">
        <f>_xlfn.XLOOKUP(Table3[[#This Row],[Cuenta]],Table8[Nombre Cuenta ()],Table8[Nivel 2],"",0)</f>
        <v/>
      </c>
      <c r="T1747" t="str">
        <f>_xlfn.XLOOKUP(Table3[[#This Row],[Cuenta]],Table8[Nombre Cuenta ()],Table8[Nivel 3],"",0)</f>
        <v/>
      </c>
      <c r="U1747">
        <v>1663</v>
      </c>
      <c r="V1747" t="str">
        <f>_xlfn.XLOOKUP(Table3[[#This Row],[Cuenta]],Estructura_Balance[Nombre Cuenta ()],Estructura_Balance[Niveles:2],"",0)</f>
        <v/>
      </c>
      <c r="W1747" t="str">
        <f>_xlfn.XLOOKUP(Table3[[#This Row],[Cuenta]],Estructura_Balance[Nombre Cuenta ()],Estructura_Balance[Niveles:3],"",0)</f>
        <v/>
      </c>
      <c r="X1747" t="str">
        <f>_xlfn.XLOOKUP(Table3[[#This Row],[Cuenta]],Estructura_Balance[Nombre Cuenta ()],Estructura_Balance[Grupos],"Grupo 1",0)</f>
        <v>Grupo 1</v>
      </c>
      <c r="Y1747" t="str">
        <f>+Table3[[#This Row],[BS_Nivel_1]]</f>
        <v/>
      </c>
    </row>
    <row r="1748" spans="1:25" ht="15" customHeight="1">
      <c r="A1748">
        <f>+'Libro Diario'!F271</f>
        <v>28</v>
      </c>
      <c r="B1748" s="144">
        <f>VALUE(IF(+'Libro Diario'!G271="","01/01/2025",+'Libro Diario'!G271))</f>
        <v>45884</v>
      </c>
      <c r="C1748">
        <f>IF(ISNUMBER(+IF(IFERROR(VALUE(MID('Libro Diario'!D271,1,4)),0)&lt;&gt;0,'Libro Diario'!D271,0))=FALSE,'Libro Diario'!D271,0)</f>
        <v>0</v>
      </c>
      <c r="D1748" s="145">
        <f>+'Libro Diario'!E271</f>
        <v>0</v>
      </c>
      <c r="E1748" s="139" t="s">
        <v>446</v>
      </c>
      <c r="F1748" t="str">
        <f t="shared" si="81"/>
        <v>Sin Mov.</v>
      </c>
      <c r="G1748" t="str">
        <f>IF(+'Libro Diario'!H271=0,"",+'Libro Diario'!H271)</f>
        <v>Operaciones del Ejercicio</v>
      </c>
      <c r="H1748" t="str">
        <f>IF(+'Libro Diario'!I271=0,"",+'Libro Diario'!I271)</f>
        <v/>
      </c>
      <c r="I1748" t="str">
        <f>+IF(Table3[[#This Row],[Tipo Movimiento]]="Estructura Balance y PyG","Excluir","Incluir")</f>
        <v>Incluir</v>
      </c>
      <c r="J1748" s="153">
        <f>+IF(Table3[[#This Row],[Sin cuenta]]="Con Mov.",(IF(Table3[[#This Row],[Movimiento]]="Debe",Table3[[#This Row],[Importe]],IF(Table3[[#This Row],[Movimiento]]="Haber",Table3[[#This Row],[Importe]]*-1,0))),0)</f>
        <v>0</v>
      </c>
      <c r="K1748" s="145" t="str">
        <f t="shared" si="82"/>
        <v/>
      </c>
      <c r="L1748" s="145">
        <f t="shared" si="83"/>
        <v>0</v>
      </c>
      <c r="M1748" t="str">
        <f>_xlfn.XLOOKUP(Table3[[#This Row],[Cuenta]],Estructura_Balance[Nombre Cuenta ()],Estructura_Balance[Grupo],"",0)</f>
        <v/>
      </c>
      <c r="N1748" t="str">
        <f>_xlfn.XLOOKUP(Table3[[#This Row],[Cuenta]],Estructura_Balance[Nombre Cuenta ()],Estructura_Balance[Nivel 1],"",0)</f>
        <v/>
      </c>
      <c r="O1748" t="str">
        <f>_xlfn.XLOOKUP(Table3[[#This Row],[Cuenta]],Estructura_Balance[Nombre Cuenta ()],Estructura_Balance[Nivel 2],"",0)</f>
        <v/>
      </c>
      <c r="P1748" t="str">
        <f>_xlfn.XLOOKUP(Table3[[#This Row],[Cuenta]],Estructura_Balance[Nombre Cuenta ()],Estructura_Balance[Nivel 3],"",0)</f>
        <v/>
      </c>
      <c r="Q1748" t="str">
        <f>_xlfn.XLOOKUP(Table3[[#This Row],[Cuenta]],Estructura_Balance[Nombre Cuenta ()],Estructura_Balance[Nivel 4],"",0)</f>
        <v/>
      </c>
      <c r="R1748" t="str">
        <f>_xlfn.XLOOKUP(Table3[[#This Row],[Cuenta]],Table8[Nombre Cuenta ()],Table8[Nivel 1],"",0)</f>
        <v/>
      </c>
      <c r="S1748" t="str">
        <f>_xlfn.XLOOKUP(Table3[[#This Row],[Cuenta]],Table8[Nombre Cuenta ()],Table8[Nivel 2],"",0)</f>
        <v/>
      </c>
      <c r="T1748" t="str">
        <f>_xlfn.XLOOKUP(Table3[[#This Row],[Cuenta]],Table8[Nombre Cuenta ()],Table8[Nivel 3],"",0)</f>
        <v/>
      </c>
      <c r="U1748">
        <v>1664</v>
      </c>
      <c r="V1748" t="str">
        <f>_xlfn.XLOOKUP(Table3[[#This Row],[Cuenta]],Estructura_Balance[Nombre Cuenta ()],Estructura_Balance[Niveles:2],"",0)</f>
        <v/>
      </c>
      <c r="W1748" t="str">
        <f>_xlfn.XLOOKUP(Table3[[#This Row],[Cuenta]],Estructura_Balance[Nombre Cuenta ()],Estructura_Balance[Niveles:3],"",0)</f>
        <v/>
      </c>
      <c r="X1748" t="str">
        <f>_xlfn.XLOOKUP(Table3[[#This Row],[Cuenta]],Estructura_Balance[Nombre Cuenta ()],Estructura_Balance[Grupos],"Grupo 1",0)</f>
        <v>Grupo 1</v>
      </c>
      <c r="Y1748" t="str">
        <f>+Table3[[#This Row],[BS_Nivel_1]]</f>
        <v/>
      </c>
    </row>
    <row r="1749" spans="1:25" ht="15" customHeight="1">
      <c r="A1749">
        <f>+'Libro Diario'!F277</f>
        <v>29</v>
      </c>
      <c r="B1749" s="144">
        <f>VALUE(IF(+'Libro Diario'!G277="","01/01/2025",+'Libro Diario'!G277))</f>
        <v>45900</v>
      </c>
      <c r="C1749">
        <f>IF(ISNUMBER(+IF(IFERROR(VALUE(MID('Libro Diario'!C277,1,4)),0)&lt;&gt;0,'Libro Diario'!C277,0))=FALSE,'Libro Diario'!C277,0)</f>
        <v>0</v>
      </c>
      <c r="D1749" s="145">
        <f>+'Libro Diario'!B277</f>
        <v>0</v>
      </c>
      <c r="E1749" s="139" t="s">
        <v>445</v>
      </c>
      <c r="F1749" t="str">
        <f t="shared" si="81"/>
        <v>Sin Mov.</v>
      </c>
      <c r="G1749" t="str">
        <f>IF(+'Libro Diario'!H277=0,"",+'Libro Diario'!H277)</f>
        <v>Operaciones del Ejercicio</v>
      </c>
      <c r="H1749" t="str">
        <f>IF(+'Libro Diario'!I277=0,"",+'Libro Diario'!I277)</f>
        <v/>
      </c>
      <c r="I1749" t="str">
        <f>+IF(Table3[[#This Row],[Tipo Movimiento]]="Estructura Balance y PyG","Excluir","Incluir")</f>
        <v>Incluir</v>
      </c>
      <c r="J1749" s="153">
        <f>+IF(Table3[[#This Row],[Sin cuenta]]="Con Mov.",(IF(Table3[[#This Row],[Movimiento]]="Debe",Table3[[#This Row],[Importe]],IF(Table3[[#This Row],[Movimiento]]="Haber",Table3[[#This Row],[Importe]]*-1,0))),0)</f>
        <v>0</v>
      </c>
      <c r="K1749" s="145">
        <f t="shared" si="82"/>
        <v>0</v>
      </c>
      <c r="L1749" s="145" t="str">
        <f t="shared" si="83"/>
        <v/>
      </c>
      <c r="M1749" t="str">
        <f>_xlfn.XLOOKUP(Table3[[#This Row],[Cuenta]],Estructura_Balance[Nombre Cuenta ()],Estructura_Balance[Grupo],"",0)</f>
        <v/>
      </c>
      <c r="N1749" t="str">
        <f>_xlfn.XLOOKUP(Table3[[#This Row],[Cuenta]],Estructura_Balance[Nombre Cuenta ()],Estructura_Balance[Nivel 1],"",0)</f>
        <v/>
      </c>
      <c r="O1749" t="str">
        <f>_xlfn.XLOOKUP(Table3[[#This Row],[Cuenta]],Estructura_Balance[Nombre Cuenta ()],Estructura_Balance[Nivel 2],"",0)</f>
        <v/>
      </c>
      <c r="P1749" t="str">
        <f>_xlfn.XLOOKUP(Table3[[#This Row],[Cuenta]],Estructura_Balance[Nombre Cuenta ()],Estructura_Balance[Nivel 3],"",0)</f>
        <v/>
      </c>
      <c r="Q1749" t="str">
        <f>_xlfn.XLOOKUP(Table3[[#This Row],[Cuenta]],Estructura_Balance[Nombre Cuenta ()],Estructura_Balance[Nivel 4],"",0)</f>
        <v/>
      </c>
      <c r="R1749" t="str">
        <f>_xlfn.XLOOKUP(Table3[[#This Row],[Cuenta]],Table8[Nombre Cuenta ()],Table8[Nivel 1],"",0)</f>
        <v/>
      </c>
      <c r="S1749" t="str">
        <f>_xlfn.XLOOKUP(Table3[[#This Row],[Cuenta]],Table8[Nombre Cuenta ()],Table8[Nivel 2],"",0)</f>
        <v/>
      </c>
      <c r="T1749" t="str">
        <f>_xlfn.XLOOKUP(Table3[[#This Row],[Cuenta]],Table8[Nombre Cuenta ()],Table8[Nivel 3],"",0)</f>
        <v/>
      </c>
      <c r="U1749">
        <v>379</v>
      </c>
      <c r="V1749" t="str">
        <f>_xlfn.XLOOKUP(Table3[[#This Row],[Cuenta]],Estructura_Balance[Nombre Cuenta ()],Estructura_Balance[Niveles:2],"",0)</f>
        <v/>
      </c>
      <c r="W1749" t="str">
        <f>_xlfn.XLOOKUP(Table3[[#This Row],[Cuenta]],Estructura_Balance[Nombre Cuenta ()],Estructura_Balance[Niveles:3],"",0)</f>
        <v/>
      </c>
      <c r="X1749" t="str">
        <f>_xlfn.XLOOKUP(Table3[[#This Row],[Cuenta]],Estructura_Balance[Nombre Cuenta ()],Estructura_Balance[Grupos],"Grupo 1",0)</f>
        <v>Grupo 1</v>
      </c>
      <c r="Y1749" t="str">
        <f>+Table3[[#This Row],[BS_Nivel_1]]</f>
        <v/>
      </c>
    </row>
    <row r="1750" spans="1:25" ht="15" customHeight="1">
      <c r="A1750">
        <f>+'Libro Diario'!F278</f>
        <v>29</v>
      </c>
      <c r="B1750" s="144">
        <f>VALUE(IF(+'Libro Diario'!G278="","01/01/2025",+'Libro Diario'!G278))</f>
        <v>45900</v>
      </c>
      <c r="C1750">
        <f>IF(ISNUMBER(+IF(IFERROR(VALUE(MID('Libro Diario'!C278,1,4)),0)&lt;&gt;0,'Libro Diario'!C278,0))=FALSE,'Libro Diario'!C278,0)</f>
        <v>0</v>
      </c>
      <c r="D1750" s="145">
        <f>+'Libro Diario'!B278</f>
        <v>0</v>
      </c>
      <c r="E1750" s="139" t="s">
        <v>445</v>
      </c>
      <c r="F1750" t="str">
        <f t="shared" si="81"/>
        <v>Sin Mov.</v>
      </c>
      <c r="G1750" t="str">
        <f>IF(+'Libro Diario'!H278=0,"",+'Libro Diario'!H278)</f>
        <v>Operaciones del Ejercicio</v>
      </c>
      <c r="H1750" t="str">
        <f>IF(+'Libro Diario'!I278=0,"",+'Libro Diario'!I278)</f>
        <v/>
      </c>
      <c r="I1750" t="str">
        <f>+IF(Table3[[#This Row],[Tipo Movimiento]]="Estructura Balance y PyG","Excluir","Incluir")</f>
        <v>Incluir</v>
      </c>
      <c r="J1750" s="153">
        <f>+IF(Table3[[#This Row],[Sin cuenta]]="Con Mov.",(IF(Table3[[#This Row],[Movimiento]]="Debe",Table3[[#This Row],[Importe]],IF(Table3[[#This Row],[Movimiento]]="Haber",Table3[[#This Row],[Importe]]*-1,0))),0)</f>
        <v>0</v>
      </c>
      <c r="K1750" s="145">
        <f t="shared" si="82"/>
        <v>0</v>
      </c>
      <c r="L1750" s="145" t="str">
        <f t="shared" si="83"/>
        <v/>
      </c>
      <c r="M1750" t="str">
        <f>_xlfn.XLOOKUP(Table3[[#This Row],[Cuenta]],Estructura_Balance[Nombre Cuenta ()],Estructura_Balance[Grupo],"",0)</f>
        <v/>
      </c>
      <c r="N1750" t="str">
        <f>_xlfn.XLOOKUP(Table3[[#This Row],[Cuenta]],Estructura_Balance[Nombre Cuenta ()],Estructura_Balance[Nivel 1],"",0)</f>
        <v/>
      </c>
      <c r="O1750" t="str">
        <f>_xlfn.XLOOKUP(Table3[[#This Row],[Cuenta]],Estructura_Balance[Nombre Cuenta ()],Estructura_Balance[Nivel 2],"",0)</f>
        <v/>
      </c>
      <c r="P1750" t="str">
        <f>_xlfn.XLOOKUP(Table3[[#This Row],[Cuenta]],Estructura_Balance[Nombre Cuenta ()],Estructura_Balance[Nivel 3],"",0)</f>
        <v/>
      </c>
      <c r="Q1750" t="str">
        <f>_xlfn.XLOOKUP(Table3[[#This Row],[Cuenta]],Estructura_Balance[Nombre Cuenta ()],Estructura_Balance[Nivel 4],"",0)</f>
        <v/>
      </c>
      <c r="R1750" t="str">
        <f>_xlfn.XLOOKUP(Table3[[#This Row],[Cuenta]],Table8[Nombre Cuenta ()],Table8[Nivel 1],"",0)</f>
        <v/>
      </c>
      <c r="S1750" t="str">
        <f>_xlfn.XLOOKUP(Table3[[#This Row],[Cuenta]],Table8[Nombre Cuenta ()],Table8[Nivel 2],"",0)</f>
        <v/>
      </c>
      <c r="T1750" t="str">
        <f>_xlfn.XLOOKUP(Table3[[#This Row],[Cuenta]],Table8[Nombre Cuenta ()],Table8[Nivel 3],"",0)</f>
        <v/>
      </c>
      <c r="U1750">
        <v>380</v>
      </c>
      <c r="V1750" t="str">
        <f>_xlfn.XLOOKUP(Table3[[#This Row],[Cuenta]],Estructura_Balance[Nombre Cuenta ()],Estructura_Balance[Niveles:2],"",0)</f>
        <v/>
      </c>
      <c r="W1750" t="str">
        <f>_xlfn.XLOOKUP(Table3[[#This Row],[Cuenta]],Estructura_Balance[Nombre Cuenta ()],Estructura_Balance[Niveles:3],"",0)</f>
        <v/>
      </c>
      <c r="X1750" t="str">
        <f>_xlfn.XLOOKUP(Table3[[#This Row],[Cuenta]],Estructura_Balance[Nombre Cuenta ()],Estructura_Balance[Grupos],"Grupo 1",0)</f>
        <v>Grupo 1</v>
      </c>
      <c r="Y1750" t="str">
        <f>+Table3[[#This Row],[BS_Nivel_1]]</f>
        <v/>
      </c>
    </row>
    <row r="1751" spans="1:25" ht="15" customHeight="1">
      <c r="A1751">
        <f>+'Libro Diario'!F277</f>
        <v>29</v>
      </c>
      <c r="B1751" s="144">
        <f>VALUE(IF(+'Libro Diario'!G277="","01/01/2025",+'Libro Diario'!G277))</f>
        <v>45900</v>
      </c>
      <c r="C1751">
        <f>IF(ISNUMBER(+IF(IFERROR(VALUE(MID('Libro Diario'!D277,1,4)),0)&lt;&gt;0,'Libro Diario'!D277,0))=FALSE,'Libro Diario'!D277,0)</f>
        <v>0</v>
      </c>
      <c r="D1751" s="145">
        <f>+'Libro Diario'!E277</f>
        <v>0</v>
      </c>
      <c r="E1751" s="139" t="s">
        <v>446</v>
      </c>
      <c r="F1751" t="str">
        <f t="shared" si="81"/>
        <v>Sin Mov.</v>
      </c>
      <c r="G1751" t="str">
        <f>IF(+'Libro Diario'!H277=0,"",+'Libro Diario'!H277)</f>
        <v>Operaciones del Ejercicio</v>
      </c>
      <c r="H1751" t="str">
        <f>IF(+'Libro Diario'!I277=0,"",+'Libro Diario'!I277)</f>
        <v/>
      </c>
      <c r="I1751" t="str">
        <f>+IF(Table3[[#This Row],[Tipo Movimiento]]="Estructura Balance y PyG","Excluir","Incluir")</f>
        <v>Incluir</v>
      </c>
      <c r="J1751" s="153">
        <f>+IF(Table3[[#This Row],[Sin cuenta]]="Con Mov.",(IF(Table3[[#This Row],[Movimiento]]="Debe",Table3[[#This Row],[Importe]],IF(Table3[[#This Row],[Movimiento]]="Haber",Table3[[#This Row],[Importe]]*-1,0))),0)</f>
        <v>0</v>
      </c>
      <c r="K1751" s="145" t="str">
        <f t="shared" si="82"/>
        <v/>
      </c>
      <c r="L1751" s="145">
        <f t="shared" si="83"/>
        <v>0</v>
      </c>
      <c r="M1751" t="str">
        <f>_xlfn.XLOOKUP(Table3[[#This Row],[Cuenta]],Estructura_Balance[Nombre Cuenta ()],Estructura_Balance[Grupo],"",0)</f>
        <v/>
      </c>
      <c r="N1751" t="str">
        <f>_xlfn.XLOOKUP(Table3[[#This Row],[Cuenta]],Estructura_Balance[Nombre Cuenta ()],Estructura_Balance[Nivel 1],"",0)</f>
        <v/>
      </c>
      <c r="O1751" t="str">
        <f>_xlfn.XLOOKUP(Table3[[#This Row],[Cuenta]],Estructura_Balance[Nombre Cuenta ()],Estructura_Balance[Nivel 2],"",0)</f>
        <v/>
      </c>
      <c r="P1751" t="str">
        <f>_xlfn.XLOOKUP(Table3[[#This Row],[Cuenta]],Estructura_Balance[Nombre Cuenta ()],Estructura_Balance[Nivel 3],"",0)</f>
        <v/>
      </c>
      <c r="Q1751" t="str">
        <f>_xlfn.XLOOKUP(Table3[[#This Row],[Cuenta]],Estructura_Balance[Nombre Cuenta ()],Estructura_Balance[Nivel 4],"",0)</f>
        <v/>
      </c>
      <c r="R1751" t="str">
        <f>_xlfn.XLOOKUP(Table3[[#This Row],[Cuenta]],Table8[Nombre Cuenta ()],Table8[Nivel 1],"",0)</f>
        <v/>
      </c>
      <c r="S1751" t="str">
        <f>_xlfn.XLOOKUP(Table3[[#This Row],[Cuenta]],Table8[Nombre Cuenta ()],Table8[Nivel 2],"",0)</f>
        <v/>
      </c>
      <c r="T1751" t="str">
        <f>_xlfn.XLOOKUP(Table3[[#This Row],[Cuenta]],Table8[Nombre Cuenta ()],Table8[Nivel 3],"",0)</f>
        <v/>
      </c>
      <c r="U1751">
        <v>1670</v>
      </c>
      <c r="V1751" t="str">
        <f>_xlfn.XLOOKUP(Table3[[#This Row],[Cuenta]],Estructura_Balance[Nombre Cuenta ()],Estructura_Balance[Niveles:2],"",0)</f>
        <v/>
      </c>
      <c r="W1751" t="str">
        <f>_xlfn.XLOOKUP(Table3[[#This Row],[Cuenta]],Estructura_Balance[Nombre Cuenta ()],Estructura_Balance[Niveles:3],"",0)</f>
        <v/>
      </c>
      <c r="X1751" t="str">
        <f>_xlfn.XLOOKUP(Table3[[#This Row],[Cuenta]],Estructura_Balance[Nombre Cuenta ()],Estructura_Balance[Grupos],"Grupo 1",0)</f>
        <v>Grupo 1</v>
      </c>
      <c r="Y1751" t="str">
        <f>+Table3[[#This Row],[BS_Nivel_1]]</f>
        <v/>
      </c>
    </row>
    <row r="1752" spans="1:25" ht="15" customHeight="1">
      <c r="A1752">
        <f>+'Libro Diario'!F278</f>
        <v>29</v>
      </c>
      <c r="B1752" s="144">
        <f>VALUE(IF(+'Libro Diario'!G278="","01/01/2025",+'Libro Diario'!G278))</f>
        <v>45900</v>
      </c>
      <c r="C1752">
        <f>IF(ISNUMBER(+IF(IFERROR(VALUE(MID('Libro Diario'!D278,1,4)),0)&lt;&gt;0,'Libro Diario'!D278,0))=FALSE,'Libro Diario'!D278,0)</f>
        <v>0</v>
      </c>
      <c r="D1752" s="145">
        <f>+'Libro Diario'!E278</f>
        <v>0</v>
      </c>
      <c r="E1752" s="139" t="s">
        <v>446</v>
      </c>
      <c r="F1752" t="str">
        <f t="shared" si="81"/>
        <v>Sin Mov.</v>
      </c>
      <c r="G1752" t="str">
        <f>IF(+'Libro Diario'!H278=0,"",+'Libro Diario'!H278)</f>
        <v>Operaciones del Ejercicio</v>
      </c>
      <c r="H1752" t="str">
        <f>IF(+'Libro Diario'!I278=0,"",+'Libro Diario'!I278)</f>
        <v/>
      </c>
      <c r="I1752" t="str">
        <f>+IF(Table3[[#This Row],[Tipo Movimiento]]="Estructura Balance y PyG","Excluir","Incluir")</f>
        <v>Incluir</v>
      </c>
      <c r="J1752" s="153">
        <f>+IF(Table3[[#This Row],[Sin cuenta]]="Con Mov.",(IF(Table3[[#This Row],[Movimiento]]="Debe",Table3[[#This Row],[Importe]],IF(Table3[[#This Row],[Movimiento]]="Haber",Table3[[#This Row],[Importe]]*-1,0))),0)</f>
        <v>0</v>
      </c>
      <c r="K1752" s="145" t="str">
        <f t="shared" si="82"/>
        <v/>
      </c>
      <c r="L1752" s="145">
        <f t="shared" si="83"/>
        <v>0</v>
      </c>
      <c r="M1752" t="str">
        <f>_xlfn.XLOOKUP(Table3[[#This Row],[Cuenta]],Estructura_Balance[Nombre Cuenta ()],Estructura_Balance[Grupo],"",0)</f>
        <v/>
      </c>
      <c r="N1752" t="str">
        <f>_xlfn.XLOOKUP(Table3[[#This Row],[Cuenta]],Estructura_Balance[Nombre Cuenta ()],Estructura_Balance[Nivel 1],"",0)</f>
        <v/>
      </c>
      <c r="O1752" t="str">
        <f>_xlfn.XLOOKUP(Table3[[#This Row],[Cuenta]],Estructura_Balance[Nombre Cuenta ()],Estructura_Balance[Nivel 2],"",0)</f>
        <v/>
      </c>
      <c r="P1752" t="str">
        <f>_xlfn.XLOOKUP(Table3[[#This Row],[Cuenta]],Estructura_Balance[Nombre Cuenta ()],Estructura_Balance[Nivel 3],"",0)</f>
        <v/>
      </c>
      <c r="Q1752" t="str">
        <f>_xlfn.XLOOKUP(Table3[[#This Row],[Cuenta]],Estructura_Balance[Nombre Cuenta ()],Estructura_Balance[Nivel 4],"",0)</f>
        <v/>
      </c>
      <c r="R1752" t="str">
        <f>_xlfn.XLOOKUP(Table3[[#This Row],[Cuenta]],Table8[Nombre Cuenta ()],Table8[Nivel 1],"",0)</f>
        <v/>
      </c>
      <c r="S1752" t="str">
        <f>_xlfn.XLOOKUP(Table3[[#This Row],[Cuenta]],Table8[Nombre Cuenta ()],Table8[Nivel 2],"",0)</f>
        <v/>
      </c>
      <c r="T1752" t="str">
        <f>_xlfn.XLOOKUP(Table3[[#This Row],[Cuenta]],Table8[Nombre Cuenta ()],Table8[Nivel 3],"",0)</f>
        <v/>
      </c>
      <c r="U1752">
        <v>1671</v>
      </c>
      <c r="V1752" t="str">
        <f>_xlfn.XLOOKUP(Table3[[#This Row],[Cuenta]],Estructura_Balance[Nombre Cuenta ()],Estructura_Balance[Niveles:2],"",0)</f>
        <v/>
      </c>
      <c r="W1752" t="str">
        <f>_xlfn.XLOOKUP(Table3[[#This Row],[Cuenta]],Estructura_Balance[Nombre Cuenta ()],Estructura_Balance[Niveles:3],"",0)</f>
        <v/>
      </c>
      <c r="X1752" t="str">
        <f>_xlfn.XLOOKUP(Table3[[#This Row],[Cuenta]],Estructura_Balance[Nombre Cuenta ()],Estructura_Balance[Grupos],"Grupo 1",0)</f>
        <v>Grupo 1</v>
      </c>
      <c r="Y1752" t="str">
        <f>+Table3[[#This Row],[BS_Nivel_1]]</f>
        <v/>
      </c>
    </row>
    <row r="1753" spans="1:25" ht="15" customHeight="1">
      <c r="A1753">
        <f>+'Libro Diario'!F284</f>
        <v>30</v>
      </c>
      <c r="B1753" s="144">
        <f>VALUE(IF(+'Libro Diario'!G284="","01/01/2025",+'Libro Diario'!G284))</f>
        <v>0</v>
      </c>
      <c r="C1753">
        <f>IF(ISNUMBER(+IF(IFERROR(VALUE(MID('Libro Diario'!C284,1,4)),0)&lt;&gt;0,'Libro Diario'!C284,0))=FALSE,'Libro Diario'!C284,0)</f>
        <v>0</v>
      </c>
      <c r="D1753" s="145">
        <f>+'Libro Diario'!B284</f>
        <v>0</v>
      </c>
      <c r="E1753" s="139" t="s">
        <v>445</v>
      </c>
      <c r="F1753" t="str">
        <f t="shared" si="81"/>
        <v>Sin Mov.</v>
      </c>
      <c r="G1753" t="str">
        <f>IF(+'Libro Diario'!H284=0,"",+'Libro Diario'!H284)</f>
        <v>Operaciones del Ejercicio</v>
      </c>
      <c r="H1753" t="str">
        <f>IF(+'Libro Diario'!I284=0,"",+'Libro Diario'!I284)</f>
        <v/>
      </c>
      <c r="I1753" t="str">
        <f>+IF(Table3[[#This Row],[Tipo Movimiento]]="Estructura Balance y PyG","Excluir","Incluir")</f>
        <v>Incluir</v>
      </c>
      <c r="J1753" s="153">
        <f>+IF(Table3[[#This Row],[Sin cuenta]]="Con Mov.",(IF(Table3[[#This Row],[Movimiento]]="Debe",Table3[[#This Row],[Importe]],IF(Table3[[#This Row],[Movimiento]]="Haber",Table3[[#This Row],[Importe]]*-1,0))),0)</f>
        <v>0</v>
      </c>
      <c r="K1753" s="145">
        <f t="shared" si="82"/>
        <v>0</v>
      </c>
      <c r="L1753" s="145" t="str">
        <f t="shared" si="83"/>
        <v/>
      </c>
      <c r="M1753" t="str">
        <f>_xlfn.XLOOKUP(Table3[[#This Row],[Cuenta]],Estructura_Balance[Nombre Cuenta ()],Estructura_Balance[Grupo],"",0)</f>
        <v/>
      </c>
      <c r="N1753" t="str">
        <f>_xlfn.XLOOKUP(Table3[[#This Row],[Cuenta]],Estructura_Balance[Nombre Cuenta ()],Estructura_Balance[Nivel 1],"",0)</f>
        <v/>
      </c>
      <c r="O1753" t="str">
        <f>_xlfn.XLOOKUP(Table3[[#This Row],[Cuenta]],Estructura_Balance[Nombre Cuenta ()],Estructura_Balance[Nivel 2],"",0)</f>
        <v/>
      </c>
      <c r="P1753" t="str">
        <f>_xlfn.XLOOKUP(Table3[[#This Row],[Cuenta]],Estructura_Balance[Nombre Cuenta ()],Estructura_Balance[Nivel 3],"",0)</f>
        <v/>
      </c>
      <c r="Q1753" t="str">
        <f>_xlfn.XLOOKUP(Table3[[#This Row],[Cuenta]],Estructura_Balance[Nombre Cuenta ()],Estructura_Balance[Nivel 4],"",0)</f>
        <v/>
      </c>
      <c r="R1753" t="str">
        <f>_xlfn.XLOOKUP(Table3[[#This Row],[Cuenta]],Table8[Nombre Cuenta ()],Table8[Nivel 1],"",0)</f>
        <v/>
      </c>
      <c r="S1753" t="str">
        <f>_xlfn.XLOOKUP(Table3[[#This Row],[Cuenta]],Table8[Nombre Cuenta ()],Table8[Nivel 2],"",0)</f>
        <v/>
      </c>
      <c r="T1753" t="str">
        <f>_xlfn.XLOOKUP(Table3[[#This Row],[Cuenta]],Table8[Nombre Cuenta ()],Table8[Nivel 3],"",0)</f>
        <v/>
      </c>
      <c r="U1753">
        <v>390</v>
      </c>
      <c r="V1753" t="str">
        <f>_xlfn.XLOOKUP(Table3[[#This Row],[Cuenta]],Estructura_Balance[Nombre Cuenta ()],Estructura_Balance[Niveles:2],"",0)</f>
        <v/>
      </c>
      <c r="W1753" t="str">
        <f>_xlfn.XLOOKUP(Table3[[#This Row],[Cuenta]],Estructura_Balance[Nombre Cuenta ()],Estructura_Balance[Niveles:3],"",0)</f>
        <v/>
      </c>
      <c r="X1753" t="str">
        <f>_xlfn.XLOOKUP(Table3[[#This Row],[Cuenta]],Estructura_Balance[Nombre Cuenta ()],Estructura_Balance[Grupos],"Grupo 1",0)</f>
        <v>Grupo 1</v>
      </c>
      <c r="Y1753" t="str">
        <f>+Table3[[#This Row],[BS_Nivel_1]]</f>
        <v/>
      </c>
    </row>
    <row r="1754" spans="1:25" ht="15" customHeight="1">
      <c r="A1754">
        <f>+'Libro Diario'!F285</f>
        <v>30</v>
      </c>
      <c r="B1754" s="144">
        <f>VALUE(IF(+'Libro Diario'!G285="","01/01/2025",+'Libro Diario'!G285))</f>
        <v>0</v>
      </c>
      <c r="C1754">
        <f>IF(ISNUMBER(+IF(IFERROR(VALUE(MID('Libro Diario'!C285,1,4)),0)&lt;&gt;0,'Libro Diario'!C285,0))=FALSE,'Libro Diario'!C285,0)</f>
        <v>0</v>
      </c>
      <c r="D1754" s="145">
        <f>+'Libro Diario'!B285</f>
        <v>0</v>
      </c>
      <c r="E1754" s="139" t="s">
        <v>445</v>
      </c>
      <c r="F1754" t="str">
        <f t="shared" si="81"/>
        <v>Sin Mov.</v>
      </c>
      <c r="G1754" t="str">
        <f>IF(+'Libro Diario'!H285=0,"",+'Libro Diario'!H285)</f>
        <v>Operaciones del Ejercicio</v>
      </c>
      <c r="H1754" t="str">
        <f>IF(+'Libro Diario'!I285=0,"",+'Libro Diario'!I285)</f>
        <v/>
      </c>
      <c r="I1754" t="str">
        <f>+IF(Table3[[#This Row],[Tipo Movimiento]]="Estructura Balance y PyG","Excluir","Incluir")</f>
        <v>Incluir</v>
      </c>
      <c r="J1754" s="153">
        <f>+IF(Table3[[#This Row],[Sin cuenta]]="Con Mov.",(IF(Table3[[#This Row],[Movimiento]]="Debe",Table3[[#This Row],[Importe]],IF(Table3[[#This Row],[Movimiento]]="Haber",Table3[[#This Row],[Importe]]*-1,0))),0)</f>
        <v>0</v>
      </c>
      <c r="K1754" s="145">
        <f t="shared" si="82"/>
        <v>0</v>
      </c>
      <c r="L1754" s="145" t="str">
        <f t="shared" si="83"/>
        <v/>
      </c>
      <c r="M1754" t="str">
        <f>_xlfn.XLOOKUP(Table3[[#This Row],[Cuenta]],Estructura_Balance[Nombre Cuenta ()],Estructura_Balance[Grupo],"",0)</f>
        <v/>
      </c>
      <c r="N1754" t="str">
        <f>_xlfn.XLOOKUP(Table3[[#This Row],[Cuenta]],Estructura_Balance[Nombre Cuenta ()],Estructura_Balance[Nivel 1],"",0)</f>
        <v/>
      </c>
      <c r="O1754" t="str">
        <f>_xlfn.XLOOKUP(Table3[[#This Row],[Cuenta]],Estructura_Balance[Nombre Cuenta ()],Estructura_Balance[Nivel 2],"",0)</f>
        <v/>
      </c>
      <c r="P1754" t="str">
        <f>_xlfn.XLOOKUP(Table3[[#This Row],[Cuenta]],Estructura_Balance[Nombre Cuenta ()],Estructura_Balance[Nivel 3],"",0)</f>
        <v/>
      </c>
      <c r="Q1754" t="str">
        <f>_xlfn.XLOOKUP(Table3[[#This Row],[Cuenta]],Estructura_Balance[Nombre Cuenta ()],Estructura_Balance[Nivel 4],"",0)</f>
        <v/>
      </c>
      <c r="R1754" t="str">
        <f>_xlfn.XLOOKUP(Table3[[#This Row],[Cuenta]],Table8[Nombre Cuenta ()],Table8[Nivel 1],"",0)</f>
        <v/>
      </c>
      <c r="S1754" t="str">
        <f>_xlfn.XLOOKUP(Table3[[#This Row],[Cuenta]],Table8[Nombre Cuenta ()],Table8[Nivel 2],"",0)</f>
        <v/>
      </c>
      <c r="T1754" t="str">
        <f>_xlfn.XLOOKUP(Table3[[#This Row],[Cuenta]],Table8[Nombre Cuenta ()],Table8[Nivel 3],"",0)</f>
        <v/>
      </c>
      <c r="U1754">
        <v>391</v>
      </c>
      <c r="V1754" t="str">
        <f>_xlfn.XLOOKUP(Table3[[#This Row],[Cuenta]],Estructura_Balance[Nombre Cuenta ()],Estructura_Balance[Niveles:2],"",0)</f>
        <v/>
      </c>
      <c r="W1754" t="str">
        <f>_xlfn.XLOOKUP(Table3[[#This Row],[Cuenta]],Estructura_Balance[Nombre Cuenta ()],Estructura_Balance[Niveles:3],"",0)</f>
        <v/>
      </c>
      <c r="X1754" t="str">
        <f>_xlfn.XLOOKUP(Table3[[#This Row],[Cuenta]],Estructura_Balance[Nombre Cuenta ()],Estructura_Balance[Grupos],"Grupo 1",0)</f>
        <v>Grupo 1</v>
      </c>
      <c r="Y1754" t="str">
        <f>+Table3[[#This Row],[BS_Nivel_1]]</f>
        <v/>
      </c>
    </row>
    <row r="1755" spans="1:25" ht="15" customHeight="1">
      <c r="A1755">
        <f>+'Libro Diario'!F284</f>
        <v>30</v>
      </c>
      <c r="B1755" s="144">
        <f>VALUE(IF(+'Libro Diario'!G284="","01/01/2025",+'Libro Diario'!G284))</f>
        <v>0</v>
      </c>
      <c r="C1755">
        <f>IF(ISNUMBER(+IF(IFERROR(VALUE(MID('Libro Diario'!D284,1,4)),0)&lt;&gt;0,'Libro Diario'!D284,0))=FALSE,'Libro Diario'!D284,0)</f>
        <v>0</v>
      </c>
      <c r="D1755" s="145">
        <f>+'Libro Diario'!E284</f>
        <v>0</v>
      </c>
      <c r="E1755" s="139" t="s">
        <v>446</v>
      </c>
      <c r="F1755" t="str">
        <f t="shared" si="81"/>
        <v>Sin Mov.</v>
      </c>
      <c r="G1755" t="str">
        <f>IF(+'Libro Diario'!H284=0,"",+'Libro Diario'!H284)</f>
        <v>Operaciones del Ejercicio</v>
      </c>
      <c r="H1755" t="str">
        <f>IF(+'Libro Diario'!I284=0,"",+'Libro Diario'!I284)</f>
        <v/>
      </c>
      <c r="I1755" t="str">
        <f>+IF(Table3[[#This Row],[Tipo Movimiento]]="Estructura Balance y PyG","Excluir","Incluir")</f>
        <v>Incluir</v>
      </c>
      <c r="J1755" s="153">
        <f>+IF(Table3[[#This Row],[Sin cuenta]]="Con Mov.",(IF(Table3[[#This Row],[Movimiento]]="Debe",Table3[[#This Row],[Importe]],IF(Table3[[#This Row],[Movimiento]]="Haber",Table3[[#This Row],[Importe]]*-1,0))),0)</f>
        <v>0</v>
      </c>
      <c r="K1755" s="145" t="str">
        <f t="shared" si="82"/>
        <v/>
      </c>
      <c r="L1755" s="145">
        <f t="shared" si="83"/>
        <v>0</v>
      </c>
      <c r="M1755" t="str">
        <f>_xlfn.XLOOKUP(Table3[[#This Row],[Cuenta]],Estructura_Balance[Nombre Cuenta ()],Estructura_Balance[Grupo],"",0)</f>
        <v/>
      </c>
      <c r="N1755" t="str">
        <f>_xlfn.XLOOKUP(Table3[[#This Row],[Cuenta]],Estructura_Balance[Nombre Cuenta ()],Estructura_Balance[Nivel 1],"",0)</f>
        <v/>
      </c>
      <c r="O1755" t="str">
        <f>_xlfn.XLOOKUP(Table3[[#This Row],[Cuenta]],Estructura_Balance[Nombre Cuenta ()],Estructura_Balance[Nivel 2],"",0)</f>
        <v/>
      </c>
      <c r="P1755" t="str">
        <f>_xlfn.XLOOKUP(Table3[[#This Row],[Cuenta]],Estructura_Balance[Nombre Cuenta ()],Estructura_Balance[Nivel 3],"",0)</f>
        <v/>
      </c>
      <c r="Q1755" t="str">
        <f>_xlfn.XLOOKUP(Table3[[#This Row],[Cuenta]],Estructura_Balance[Nombre Cuenta ()],Estructura_Balance[Nivel 4],"",0)</f>
        <v/>
      </c>
      <c r="R1755" t="str">
        <f>_xlfn.XLOOKUP(Table3[[#This Row],[Cuenta]],Table8[Nombre Cuenta ()],Table8[Nivel 1],"",0)</f>
        <v/>
      </c>
      <c r="S1755" t="str">
        <f>_xlfn.XLOOKUP(Table3[[#This Row],[Cuenta]],Table8[Nombre Cuenta ()],Table8[Nivel 2],"",0)</f>
        <v/>
      </c>
      <c r="T1755" t="str">
        <f>_xlfn.XLOOKUP(Table3[[#This Row],[Cuenta]],Table8[Nombre Cuenta ()],Table8[Nivel 3],"",0)</f>
        <v/>
      </c>
      <c r="U1755">
        <v>1677</v>
      </c>
      <c r="V1755" t="str">
        <f>_xlfn.XLOOKUP(Table3[[#This Row],[Cuenta]],Estructura_Balance[Nombre Cuenta ()],Estructura_Balance[Niveles:2],"",0)</f>
        <v/>
      </c>
      <c r="W1755" t="str">
        <f>_xlfn.XLOOKUP(Table3[[#This Row],[Cuenta]],Estructura_Balance[Nombre Cuenta ()],Estructura_Balance[Niveles:3],"",0)</f>
        <v/>
      </c>
      <c r="X1755" t="str">
        <f>_xlfn.XLOOKUP(Table3[[#This Row],[Cuenta]],Estructura_Balance[Nombre Cuenta ()],Estructura_Balance[Grupos],"Grupo 1",0)</f>
        <v>Grupo 1</v>
      </c>
      <c r="Y1755" t="str">
        <f>+Table3[[#This Row],[BS_Nivel_1]]</f>
        <v/>
      </c>
    </row>
    <row r="1756" spans="1:25" ht="15" customHeight="1">
      <c r="A1756">
        <f>+'Libro Diario'!F285</f>
        <v>30</v>
      </c>
      <c r="B1756" s="144">
        <f>VALUE(IF(+'Libro Diario'!G285="","01/01/2025",+'Libro Diario'!G285))</f>
        <v>0</v>
      </c>
      <c r="C1756">
        <f>IF(ISNUMBER(+IF(IFERROR(VALUE(MID('Libro Diario'!D285,1,4)),0)&lt;&gt;0,'Libro Diario'!D285,0))=FALSE,'Libro Diario'!D285,0)</f>
        <v>0</v>
      </c>
      <c r="D1756" s="145">
        <f>+'Libro Diario'!E285</f>
        <v>0</v>
      </c>
      <c r="E1756" s="139" t="s">
        <v>446</v>
      </c>
      <c r="F1756" t="str">
        <f t="shared" si="81"/>
        <v>Sin Mov.</v>
      </c>
      <c r="G1756" t="str">
        <f>IF(+'Libro Diario'!H285=0,"",+'Libro Diario'!H285)</f>
        <v>Operaciones del Ejercicio</v>
      </c>
      <c r="H1756" t="str">
        <f>IF(+'Libro Diario'!I285=0,"",+'Libro Diario'!I285)</f>
        <v/>
      </c>
      <c r="I1756" t="str">
        <f>+IF(Table3[[#This Row],[Tipo Movimiento]]="Estructura Balance y PyG","Excluir","Incluir")</f>
        <v>Incluir</v>
      </c>
      <c r="J1756" s="153">
        <f>+IF(Table3[[#This Row],[Sin cuenta]]="Con Mov.",(IF(Table3[[#This Row],[Movimiento]]="Debe",Table3[[#This Row],[Importe]],IF(Table3[[#This Row],[Movimiento]]="Haber",Table3[[#This Row],[Importe]]*-1,0))),0)</f>
        <v>0</v>
      </c>
      <c r="K1756" s="145" t="str">
        <f t="shared" si="82"/>
        <v/>
      </c>
      <c r="L1756" s="145">
        <f t="shared" si="83"/>
        <v>0</v>
      </c>
      <c r="M1756" t="str">
        <f>_xlfn.XLOOKUP(Table3[[#This Row],[Cuenta]],Estructura_Balance[Nombre Cuenta ()],Estructura_Balance[Grupo],"",0)</f>
        <v/>
      </c>
      <c r="N1756" t="str">
        <f>_xlfn.XLOOKUP(Table3[[#This Row],[Cuenta]],Estructura_Balance[Nombre Cuenta ()],Estructura_Balance[Nivel 1],"",0)</f>
        <v/>
      </c>
      <c r="O1756" t="str">
        <f>_xlfn.XLOOKUP(Table3[[#This Row],[Cuenta]],Estructura_Balance[Nombre Cuenta ()],Estructura_Balance[Nivel 2],"",0)</f>
        <v/>
      </c>
      <c r="P1756" t="str">
        <f>_xlfn.XLOOKUP(Table3[[#This Row],[Cuenta]],Estructura_Balance[Nombre Cuenta ()],Estructura_Balance[Nivel 3],"",0)</f>
        <v/>
      </c>
      <c r="Q1756" t="str">
        <f>_xlfn.XLOOKUP(Table3[[#This Row],[Cuenta]],Estructura_Balance[Nombre Cuenta ()],Estructura_Balance[Nivel 4],"",0)</f>
        <v/>
      </c>
      <c r="R1756" t="str">
        <f>_xlfn.XLOOKUP(Table3[[#This Row],[Cuenta]],Table8[Nombre Cuenta ()],Table8[Nivel 1],"",0)</f>
        <v/>
      </c>
      <c r="S1756" t="str">
        <f>_xlfn.XLOOKUP(Table3[[#This Row],[Cuenta]],Table8[Nombre Cuenta ()],Table8[Nivel 2],"",0)</f>
        <v/>
      </c>
      <c r="T1756" t="str">
        <f>_xlfn.XLOOKUP(Table3[[#This Row],[Cuenta]],Table8[Nombre Cuenta ()],Table8[Nivel 3],"",0)</f>
        <v/>
      </c>
      <c r="U1756">
        <v>1678</v>
      </c>
      <c r="V1756" t="str">
        <f>_xlfn.XLOOKUP(Table3[[#This Row],[Cuenta]],Estructura_Balance[Nombre Cuenta ()],Estructura_Balance[Niveles:2],"",0)</f>
        <v/>
      </c>
      <c r="W1756" t="str">
        <f>_xlfn.XLOOKUP(Table3[[#This Row],[Cuenta]],Estructura_Balance[Nombre Cuenta ()],Estructura_Balance[Niveles:3],"",0)</f>
        <v/>
      </c>
      <c r="X1756" t="str">
        <f>_xlfn.XLOOKUP(Table3[[#This Row],[Cuenta]],Estructura_Balance[Nombre Cuenta ()],Estructura_Balance[Grupos],"Grupo 1",0)</f>
        <v>Grupo 1</v>
      </c>
      <c r="Y1756" t="str">
        <f>+Table3[[#This Row],[BS_Nivel_1]]</f>
        <v/>
      </c>
    </row>
    <row r="1757" spans="1:25" ht="15" customHeight="1">
      <c r="A1757">
        <f>+'Libro Diario'!F291</f>
        <v>31</v>
      </c>
      <c r="B1757" s="144">
        <f>VALUE(IF(+'Libro Diario'!G291="","01/01/2025",+'Libro Diario'!G291))</f>
        <v>45915</v>
      </c>
      <c r="C1757">
        <f>IF(ISNUMBER(+IF(IFERROR(VALUE(MID('Libro Diario'!C291,1,4)),0)&lt;&gt;0,'Libro Diario'!C291,0))=FALSE,'Libro Diario'!C291,0)</f>
        <v>0</v>
      </c>
      <c r="D1757" s="145">
        <f>+'Libro Diario'!B291</f>
        <v>0</v>
      </c>
      <c r="E1757" s="139" t="s">
        <v>445</v>
      </c>
      <c r="F1757" t="str">
        <f t="shared" si="81"/>
        <v>Sin Mov.</v>
      </c>
      <c r="G1757" t="str">
        <f>IF(+'Libro Diario'!H291=0,"",+'Libro Diario'!H291)</f>
        <v>Operaciones del Ejercicio</v>
      </c>
      <c r="H1757" t="str">
        <f>IF(+'Libro Diario'!I291=0,"",+'Libro Diario'!I291)</f>
        <v/>
      </c>
      <c r="I1757" t="str">
        <f>+IF(Table3[[#This Row],[Tipo Movimiento]]="Estructura Balance y PyG","Excluir","Incluir")</f>
        <v>Incluir</v>
      </c>
      <c r="J1757" s="153">
        <f>+IF(Table3[[#This Row],[Sin cuenta]]="Con Mov.",(IF(Table3[[#This Row],[Movimiento]]="Debe",Table3[[#This Row],[Importe]],IF(Table3[[#This Row],[Movimiento]]="Haber",Table3[[#This Row],[Importe]]*-1,0))),0)</f>
        <v>0</v>
      </c>
      <c r="K1757" s="145">
        <f t="shared" si="82"/>
        <v>0</v>
      </c>
      <c r="L1757" s="145" t="str">
        <f t="shared" si="83"/>
        <v/>
      </c>
      <c r="M1757" t="str">
        <f>_xlfn.XLOOKUP(Table3[[#This Row],[Cuenta]],Estructura_Balance[Nombre Cuenta ()],Estructura_Balance[Grupo],"",0)</f>
        <v/>
      </c>
      <c r="N1757" t="str">
        <f>_xlfn.XLOOKUP(Table3[[#This Row],[Cuenta]],Estructura_Balance[Nombre Cuenta ()],Estructura_Balance[Nivel 1],"",0)</f>
        <v/>
      </c>
      <c r="O1757" t="str">
        <f>_xlfn.XLOOKUP(Table3[[#This Row],[Cuenta]],Estructura_Balance[Nombre Cuenta ()],Estructura_Balance[Nivel 2],"",0)</f>
        <v/>
      </c>
      <c r="P1757" t="str">
        <f>_xlfn.XLOOKUP(Table3[[#This Row],[Cuenta]],Estructura_Balance[Nombre Cuenta ()],Estructura_Balance[Nivel 3],"",0)</f>
        <v/>
      </c>
      <c r="Q1757" t="str">
        <f>_xlfn.XLOOKUP(Table3[[#This Row],[Cuenta]],Estructura_Balance[Nombre Cuenta ()],Estructura_Balance[Nivel 4],"",0)</f>
        <v/>
      </c>
      <c r="R1757" t="str">
        <f>_xlfn.XLOOKUP(Table3[[#This Row],[Cuenta]],Table8[Nombre Cuenta ()],Table8[Nivel 1],"",0)</f>
        <v/>
      </c>
      <c r="S1757" t="str">
        <f>_xlfn.XLOOKUP(Table3[[#This Row],[Cuenta]],Table8[Nombre Cuenta ()],Table8[Nivel 2],"",0)</f>
        <v/>
      </c>
      <c r="T1757" t="str">
        <f>_xlfn.XLOOKUP(Table3[[#This Row],[Cuenta]],Table8[Nombre Cuenta ()],Table8[Nivel 3],"",0)</f>
        <v/>
      </c>
      <c r="U1757">
        <v>399</v>
      </c>
      <c r="V1757" t="str">
        <f>_xlfn.XLOOKUP(Table3[[#This Row],[Cuenta]],Estructura_Balance[Nombre Cuenta ()],Estructura_Balance[Niveles:2],"",0)</f>
        <v/>
      </c>
      <c r="W1757" t="str">
        <f>_xlfn.XLOOKUP(Table3[[#This Row],[Cuenta]],Estructura_Balance[Nombre Cuenta ()],Estructura_Balance[Niveles:3],"",0)</f>
        <v/>
      </c>
      <c r="X1757" t="str">
        <f>_xlfn.XLOOKUP(Table3[[#This Row],[Cuenta]],Estructura_Balance[Nombre Cuenta ()],Estructura_Balance[Grupos],"Grupo 1",0)</f>
        <v>Grupo 1</v>
      </c>
      <c r="Y1757" t="str">
        <f>+Table3[[#This Row],[BS_Nivel_1]]</f>
        <v/>
      </c>
    </row>
    <row r="1758" spans="1:25" ht="15" customHeight="1">
      <c r="A1758">
        <f>+'Libro Diario'!F292</f>
        <v>31</v>
      </c>
      <c r="B1758" s="144">
        <f>VALUE(IF(+'Libro Diario'!G292="","01/01/2025",+'Libro Diario'!G292))</f>
        <v>45915</v>
      </c>
      <c r="C1758">
        <f>IF(ISNUMBER(+IF(IFERROR(VALUE(MID('Libro Diario'!C292,1,4)),0)&lt;&gt;0,'Libro Diario'!C292,0))=FALSE,'Libro Diario'!C292,0)</f>
        <v>0</v>
      </c>
      <c r="D1758" s="145">
        <f>+'Libro Diario'!B292</f>
        <v>0</v>
      </c>
      <c r="E1758" s="139" t="s">
        <v>445</v>
      </c>
      <c r="F1758" t="str">
        <f t="shared" si="81"/>
        <v>Sin Mov.</v>
      </c>
      <c r="G1758" t="str">
        <f>IF(+'Libro Diario'!H292=0,"",+'Libro Diario'!H292)</f>
        <v>Operaciones del Ejercicio</v>
      </c>
      <c r="H1758" t="str">
        <f>IF(+'Libro Diario'!I292=0,"",+'Libro Diario'!I292)</f>
        <v/>
      </c>
      <c r="I1758" t="str">
        <f>+IF(Table3[[#This Row],[Tipo Movimiento]]="Estructura Balance y PyG","Excluir","Incluir")</f>
        <v>Incluir</v>
      </c>
      <c r="J1758" s="153">
        <f>+IF(Table3[[#This Row],[Sin cuenta]]="Con Mov.",(IF(Table3[[#This Row],[Movimiento]]="Debe",Table3[[#This Row],[Importe]],IF(Table3[[#This Row],[Movimiento]]="Haber",Table3[[#This Row],[Importe]]*-1,0))),0)</f>
        <v>0</v>
      </c>
      <c r="K1758" s="145">
        <f t="shared" si="82"/>
        <v>0</v>
      </c>
      <c r="L1758" s="145" t="str">
        <f t="shared" si="83"/>
        <v/>
      </c>
      <c r="M1758" t="str">
        <f>_xlfn.XLOOKUP(Table3[[#This Row],[Cuenta]],Estructura_Balance[Nombre Cuenta ()],Estructura_Balance[Grupo],"",0)</f>
        <v/>
      </c>
      <c r="N1758" t="str">
        <f>_xlfn.XLOOKUP(Table3[[#This Row],[Cuenta]],Estructura_Balance[Nombre Cuenta ()],Estructura_Balance[Nivel 1],"",0)</f>
        <v/>
      </c>
      <c r="O1758" t="str">
        <f>_xlfn.XLOOKUP(Table3[[#This Row],[Cuenta]],Estructura_Balance[Nombre Cuenta ()],Estructura_Balance[Nivel 2],"",0)</f>
        <v/>
      </c>
      <c r="P1758" t="str">
        <f>_xlfn.XLOOKUP(Table3[[#This Row],[Cuenta]],Estructura_Balance[Nombre Cuenta ()],Estructura_Balance[Nivel 3],"",0)</f>
        <v/>
      </c>
      <c r="Q1758" t="str">
        <f>_xlfn.XLOOKUP(Table3[[#This Row],[Cuenta]],Estructura_Balance[Nombre Cuenta ()],Estructura_Balance[Nivel 4],"",0)</f>
        <v/>
      </c>
      <c r="R1758" t="str">
        <f>_xlfn.XLOOKUP(Table3[[#This Row],[Cuenta]],Table8[Nombre Cuenta ()],Table8[Nivel 1],"",0)</f>
        <v/>
      </c>
      <c r="S1758" t="str">
        <f>_xlfn.XLOOKUP(Table3[[#This Row],[Cuenta]],Table8[Nombre Cuenta ()],Table8[Nivel 2],"",0)</f>
        <v/>
      </c>
      <c r="T1758" t="str">
        <f>_xlfn.XLOOKUP(Table3[[#This Row],[Cuenta]],Table8[Nombre Cuenta ()],Table8[Nivel 3],"",0)</f>
        <v/>
      </c>
      <c r="U1758">
        <v>400</v>
      </c>
      <c r="V1758" t="str">
        <f>_xlfn.XLOOKUP(Table3[[#This Row],[Cuenta]],Estructura_Balance[Nombre Cuenta ()],Estructura_Balance[Niveles:2],"",0)</f>
        <v/>
      </c>
      <c r="W1758" t="str">
        <f>_xlfn.XLOOKUP(Table3[[#This Row],[Cuenta]],Estructura_Balance[Nombre Cuenta ()],Estructura_Balance[Niveles:3],"",0)</f>
        <v/>
      </c>
      <c r="X1758" t="str">
        <f>_xlfn.XLOOKUP(Table3[[#This Row],[Cuenta]],Estructura_Balance[Nombre Cuenta ()],Estructura_Balance[Grupos],"Grupo 1",0)</f>
        <v>Grupo 1</v>
      </c>
      <c r="Y1758" t="str">
        <f>+Table3[[#This Row],[BS_Nivel_1]]</f>
        <v/>
      </c>
    </row>
    <row r="1759" spans="1:25" ht="15" customHeight="1">
      <c r="A1759">
        <f>+'Libro Diario'!F291</f>
        <v>31</v>
      </c>
      <c r="B1759" s="144">
        <f>VALUE(IF(+'Libro Diario'!G291="","01/01/2025",+'Libro Diario'!G291))</f>
        <v>45915</v>
      </c>
      <c r="C1759">
        <f>IF(ISNUMBER(+IF(IFERROR(VALUE(MID('Libro Diario'!D291,1,4)),0)&lt;&gt;0,'Libro Diario'!D291,0))=FALSE,'Libro Diario'!D291,0)</f>
        <v>0</v>
      </c>
      <c r="D1759" s="145">
        <f>+'Libro Diario'!E291</f>
        <v>0</v>
      </c>
      <c r="E1759" s="139" t="s">
        <v>446</v>
      </c>
      <c r="F1759" t="str">
        <f t="shared" si="81"/>
        <v>Sin Mov.</v>
      </c>
      <c r="G1759" t="str">
        <f>IF(+'Libro Diario'!H291=0,"",+'Libro Diario'!H291)</f>
        <v>Operaciones del Ejercicio</v>
      </c>
      <c r="H1759" t="str">
        <f>IF(+'Libro Diario'!I291=0,"",+'Libro Diario'!I291)</f>
        <v/>
      </c>
      <c r="I1759" t="str">
        <f>+IF(Table3[[#This Row],[Tipo Movimiento]]="Estructura Balance y PyG","Excluir","Incluir")</f>
        <v>Incluir</v>
      </c>
      <c r="J1759" s="153">
        <f>+IF(Table3[[#This Row],[Sin cuenta]]="Con Mov.",(IF(Table3[[#This Row],[Movimiento]]="Debe",Table3[[#This Row],[Importe]],IF(Table3[[#This Row],[Movimiento]]="Haber",Table3[[#This Row],[Importe]]*-1,0))),0)</f>
        <v>0</v>
      </c>
      <c r="K1759" s="145" t="str">
        <f t="shared" si="82"/>
        <v/>
      </c>
      <c r="L1759" s="145">
        <f t="shared" si="83"/>
        <v>0</v>
      </c>
      <c r="M1759" t="str">
        <f>_xlfn.XLOOKUP(Table3[[#This Row],[Cuenta]],Estructura_Balance[Nombre Cuenta ()],Estructura_Balance[Grupo],"",0)</f>
        <v/>
      </c>
      <c r="N1759" t="str">
        <f>_xlfn.XLOOKUP(Table3[[#This Row],[Cuenta]],Estructura_Balance[Nombre Cuenta ()],Estructura_Balance[Nivel 1],"",0)</f>
        <v/>
      </c>
      <c r="O1759" t="str">
        <f>_xlfn.XLOOKUP(Table3[[#This Row],[Cuenta]],Estructura_Balance[Nombre Cuenta ()],Estructura_Balance[Nivel 2],"",0)</f>
        <v/>
      </c>
      <c r="P1759" t="str">
        <f>_xlfn.XLOOKUP(Table3[[#This Row],[Cuenta]],Estructura_Balance[Nombre Cuenta ()],Estructura_Balance[Nivel 3],"",0)</f>
        <v/>
      </c>
      <c r="Q1759" t="str">
        <f>_xlfn.XLOOKUP(Table3[[#This Row],[Cuenta]],Estructura_Balance[Nombre Cuenta ()],Estructura_Balance[Nivel 4],"",0)</f>
        <v/>
      </c>
      <c r="R1759" t="str">
        <f>_xlfn.XLOOKUP(Table3[[#This Row],[Cuenta]],Table8[Nombre Cuenta ()],Table8[Nivel 1],"",0)</f>
        <v/>
      </c>
      <c r="S1759" t="str">
        <f>_xlfn.XLOOKUP(Table3[[#This Row],[Cuenta]],Table8[Nombre Cuenta ()],Table8[Nivel 2],"",0)</f>
        <v/>
      </c>
      <c r="T1759" t="str">
        <f>_xlfn.XLOOKUP(Table3[[#This Row],[Cuenta]],Table8[Nombre Cuenta ()],Table8[Nivel 3],"",0)</f>
        <v/>
      </c>
      <c r="U1759">
        <v>1684</v>
      </c>
      <c r="V1759" t="str">
        <f>_xlfn.XLOOKUP(Table3[[#This Row],[Cuenta]],Estructura_Balance[Nombre Cuenta ()],Estructura_Balance[Niveles:2],"",0)</f>
        <v/>
      </c>
      <c r="W1759" t="str">
        <f>_xlfn.XLOOKUP(Table3[[#This Row],[Cuenta]],Estructura_Balance[Nombre Cuenta ()],Estructura_Balance[Niveles:3],"",0)</f>
        <v/>
      </c>
      <c r="X1759" t="str">
        <f>_xlfn.XLOOKUP(Table3[[#This Row],[Cuenta]],Estructura_Balance[Nombre Cuenta ()],Estructura_Balance[Grupos],"Grupo 1",0)</f>
        <v>Grupo 1</v>
      </c>
      <c r="Y1759" t="str">
        <f>+Table3[[#This Row],[BS_Nivel_1]]</f>
        <v/>
      </c>
    </row>
    <row r="1760" spans="1:25" ht="15" customHeight="1">
      <c r="A1760">
        <f>+'Libro Diario'!F292</f>
        <v>31</v>
      </c>
      <c r="B1760" s="144">
        <f>VALUE(IF(+'Libro Diario'!G292="","01/01/2025",+'Libro Diario'!G292))</f>
        <v>45915</v>
      </c>
      <c r="C1760">
        <f>IF(ISNUMBER(+IF(IFERROR(VALUE(MID('Libro Diario'!D292,1,4)),0)&lt;&gt;0,'Libro Diario'!D292,0))=FALSE,'Libro Diario'!D292,0)</f>
        <v>0</v>
      </c>
      <c r="D1760" s="145">
        <f>+'Libro Diario'!E292</f>
        <v>0</v>
      </c>
      <c r="E1760" s="139" t="s">
        <v>446</v>
      </c>
      <c r="F1760" t="str">
        <f t="shared" si="81"/>
        <v>Sin Mov.</v>
      </c>
      <c r="G1760" t="str">
        <f>IF(+'Libro Diario'!H292=0,"",+'Libro Diario'!H292)</f>
        <v>Operaciones del Ejercicio</v>
      </c>
      <c r="H1760" t="str">
        <f>IF(+'Libro Diario'!I292=0,"",+'Libro Diario'!I292)</f>
        <v/>
      </c>
      <c r="I1760" t="str">
        <f>+IF(Table3[[#This Row],[Tipo Movimiento]]="Estructura Balance y PyG","Excluir","Incluir")</f>
        <v>Incluir</v>
      </c>
      <c r="J1760" s="153">
        <f>+IF(Table3[[#This Row],[Sin cuenta]]="Con Mov.",(IF(Table3[[#This Row],[Movimiento]]="Debe",Table3[[#This Row],[Importe]],IF(Table3[[#This Row],[Movimiento]]="Haber",Table3[[#This Row],[Importe]]*-1,0))),0)</f>
        <v>0</v>
      </c>
      <c r="K1760" s="145" t="str">
        <f t="shared" si="82"/>
        <v/>
      </c>
      <c r="L1760" s="145">
        <f t="shared" si="83"/>
        <v>0</v>
      </c>
      <c r="M1760" t="str">
        <f>_xlfn.XLOOKUP(Table3[[#This Row],[Cuenta]],Estructura_Balance[Nombre Cuenta ()],Estructura_Balance[Grupo],"",0)</f>
        <v/>
      </c>
      <c r="N1760" t="str">
        <f>_xlfn.XLOOKUP(Table3[[#This Row],[Cuenta]],Estructura_Balance[Nombre Cuenta ()],Estructura_Balance[Nivel 1],"",0)</f>
        <v/>
      </c>
      <c r="O1760" t="str">
        <f>_xlfn.XLOOKUP(Table3[[#This Row],[Cuenta]],Estructura_Balance[Nombre Cuenta ()],Estructura_Balance[Nivel 2],"",0)</f>
        <v/>
      </c>
      <c r="P1760" t="str">
        <f>_xlfn.XLOOKUP(Table3[[#This Row],[Cuenta]],Estructura_Balance[Nombre Cuenta ()],Estructura_Balance[Nivel 3],"",0)</f>
        <v/>
      </c>
      <c r="Q1760" t="str">
        <f>_xlfn.XLOOKUP(Table3[[#This Row],[Cuenta]],Estructura_Balance[Nombre Cuenta ()],Estructura_Balance[Nivel 4],"",0)</f>
        <v/>
      </c>
      <c r="R1760" t="str">
        <f>_xlfn.XLOOKUP(Table3[[#This Row],[Cuenta]],Table8[Nombre Cuenta ()],Table8[Nivel 1],"",0)</f>
        <v/>
      </c>
      <c r="S1760" t="str">
        <f>_xlfn.XLOOKUP(Table3[[#This Row],[Cuenta]],Table8[Nombre Cuenta ()],Table8[Nivel 2],"",0)</f>
        <v/>
      </c>
      <c r="T1760" t="str">
        <f>_xlfn.XLOOKUP(Table3[[#This Row],[Cuenta]],Table8[Nombre Cuenta ()],Table8[Nivel 3],"",0)</f>
        <v/>
      </c>
      <c r="U1760">
        <v>1685</v>
      </c>
      <c r="V1760" t="str">
        <f>_xlfn.XLOOKUP(Table3[[#This Row],[Cuenta]],Estructura_Balance[Nombre Cuenta ()],Estructura_Balance[Niveles:2],"",0)</f>
        <v/>
      </c>
      <c r="W1760" t="str">
        <f>_xlfn.XLOOKUP(Table3[[#This Row],[Cuenta]],Estructura_Balance[Nombre Cuenta ()],Estructura_Balance[Niveles:3],"",0)</f>
        <v/>
      </c>
      <c r="X1760" t="str">
        <f>_xlfn.XLOOKUP(Table3[[#This Row],[Cuenta]],Estructura_Balance[Nombre Cuenta ()],Estructura_Balance[Grupos],"Grupo 1",0)</f>
        <v>Grupo 1</v>
      </c>
      <c r="Y1760" t="str">
        <f>+Table3[[#This Row],[BS_Nivel_1]]</f>
        <v/>
      </c>
    </row>
    <row r="1761" spans="1:25" ht="15" customHeight="1">
      <c r="A1761">
        <f>+'Libro Diario'!F298</f>
        <v>32</v>
      </c>
      <c r="B1761" s="144">
        <f>VALUE(IF(+'Libro Diario'!G298="","01/01/2025",+'Libro Diario'!G298))</f>
        <v>45915</v>
      </c>
      <c r="C1761">
        <f>IF(ISNUMBER(+IF(IFERROR(VALUE(MID('Libro Diario'!C298,1,4)),0)&lt;&gt;0,'Libro Diario'!C298,0))=FALSE,'Libro Diario'!C298,0)</f>
        <v>0</v>
      </c>
      <c r="D1761" s="145">
        <f>+'Libro Diario'!B298</f>
        <v>0</v>
      </c>
      <c r="E1761" s="139" t="s">
        <v>445</v>
      </c>
      <c r="F1761" t="str">
        <f t="shared" si="81"/>
        <v>Sin Mov.</v>
      </c>
      <c r="G1761" t="str">
        <f>IF(+'Libro Diario'!H298=0,"",+'Libro Diario'!H298)</f>
        <v>Operaciones del Ejercicio</v>
      </c>
      <c r="H1761" t="str">
        <f>IF(+'Libro Diario'!I298=0,"",+'Libro Diario'!I298)</f>
        <v/>
      </c>
      <c r="I1761" t="str">
        <f>+IF(Table3[[#This Row],[Tipo Movimiento]]="Estructura Balance y PyG","Excluir","Incluir")</f>
        <v>Incluir</v>
      </c>
      <c r="J1761" s="153">
        <f>+IF(Table3[[#This Row],[Sin cuenta]]="Con Mov.",(IF(Table3[[#This Row],[Movimiento]]="Debe",Table3[[#This Row],[Importe]],IF(Table3[[#This Row],[Movimiento]]="Haber",Table3[[#This Row],[Importe]]*-1,0))),0)</f>
        <v>0</v>
      </c>
      <c r="K1761" s="145">
        <f t="shared" si="82"/>
        <v>0</v>
      </c>
      <c r="L1761" s="145" t="str">
        <f t="shared" si="83"/>
        <v/>
      </c>
      <c r="M1761" t="str">
        <f>_xlfn.XLOOKUP(Table3[[#This Row],[Cuenta]],Estructura_Balance[Nombre Cuenta ()],Estructura_Balance[Grupo],"",0)</f>
        <v/>
      </c>
      <c r="N1761" t="str">
        <f>_xlfn.XLOOKUP(Table3[[#This Row],[Cuenta]],Estructura_Balance[Nombre Cuenta ()],Estructura_Balance[Nivel 1],"",0)</f>
        <v/>
      </c>
      <c r="O1761" t="str">
        <f>_xlfn.XLOOKUP(Table3[[#This Row],[Cuenta]],Estructura_Balance[Nombre Cuenta ()],Estructura_Balance[Nivel 2],"",0)</f>
        <v/>
      </c>
      <c r="P1761" t="str">
        <f>_xlfn.XLOOKUP(Table3[[#This Row],[Cuenta]],Estructura_Balance[Nombre Cuenta ()],Estructura_Balance[Nivel 3],"",0)</f>
        <v/>
      </c>
      <c r="Q1761" t="str">
        <f>_xlfn.XLOOKUP(Table3[[#This Row],[Cuenta]],Estructura_Balance[Nombre Cuenta ()],Estructura_Balance[Nivel 4],"",0)</f>
        <v/>
      </c>
      <c r="R1761" t="str">
        <f>_xlfn.XLOOKUP(Table3[[#This Row],[Cuenta]],Table8[Nombre Cuenta ()],Table8[Nivel 1],"",0)</f>
        <v/>
      </c>
      <c r="S1761" t="str">
        <f>_xlfn.XLOOKUP(Table3[[#This Row],[Cuenta]],Table8[Nombre Cuenta ()],Table8[Nivel 2],"",0)</f>
        <v/>
      </c>
      <c r="T1761" t="str">
        <f>_xlfn.XLOOKUP(Table3[[#This Row],[Cuenta]],Table8[Nombre Cuenta ()],Table8[Nivel 3],"",0)</f>
        <v/>
      </c>
      <c r="U1761">
        <v>408</v>
      </c>
      <c r="V1761" t="str">
        <f>_xlfn.XLOOKUP(Table3[[#This Row],[Cuenta]],Estructura_Balance[Nombre Cuenta ()],Estructura_Balance[Niveles:2],"",0)</f>
        <v/>
      </c>
      <c r="W1761" t="str">
        <f>_xlfn.XLOOKUP(Table3[[#This Row],[Cuenta]],Estructura_Balance[Nombre Cuenta ()],Estructura_Balance[Niveles:3],"",0)</f>
        <v/>
      </c>
      <c r="X1761" t="str">
        <f>_xlfn.XLOOKUP(Table3[[#This Row],[Cuenta]],Estructura_Balance[Nombre Cuenta ()],Estructura_Balance[Grupos],"Grupo 1",0)</f>
        <v>Grupo 1</v>
      </c>
      <c r="Y1761" t="str">
        <f>+Table3[[#This Row],[BS_Nivel_1]]</f>
        <v/>
      </c>
    </row>
    <row r="1762" spans="1:25" ht="15" customHeight="1">
      <c r="A1762">
        <f>+'Libro Diario'!F299</f>
        <v>32</v>
      </c>
      <c r="B1762" s="144">
        <f>VALUE(IF(+'Libro Diario'!G299="","01/01/2025",+'Libro Diario'!G299))</f>
        <v>45915</v>
      </c>
      <c r="C1762">
        <f>IF(ISNUMBER(+IF(IFERROR(VALUE(MID('Libro Diario'!C299,1,4)),0)&lt;&gt;0,'Libro Diario'!C299,0))=FALSE,'Libro Diario'!C299,0)</f>
        <v>0</v>
      </c>
      <c r="D1762" s="145">
        <f>+'Libro Diario'!B299</f>
        <v>0</v>
      </c>
      <c r="E1762" s="139" t="s">
        <v>445</v>
      </c>
      <c r="F1762" t="str">
        <f t="shared" si="81"/>
        <v>Sin Mov.</v>
      </c>
      <c r="G1762" t="str">
        <f>IF(+'Libro Diario'!H299=0,"",+'Libro Diario'!H299)</f>
        <v>Operaciones del Ejercicio</v>
      </c>
      <c r="H1762" t="str">
        <f>IF(+'Libro Diario'!I299=0,"",+'Libro Diario'!I299)</f>
        <v/>
      </c>
      <c r="I1762" t="str">
        <f>+IF(Table3[[#This Row],[Tipo Movimiento]]="Estructura Balance y PyG","Excluir","Incluir")</f>
        <v>Incluir</v>
      </c>
      <c r="J1762" s="153">
        <f>+IF(Table3[[#This Row],[Sin cuenta]]="Con Mov.",(IF(Table3[[#This Row],[Movimiento]]="Debe",Table3[[#This Row],[Importe]],IF(Table3[[#This Row],[Movimiento]]="Haber",Table3[[#This Row],[Importe]]*-1,0))),0)</f>
        <v>0</v>
      </c>
      <c r="K1762" s="145">
        <f t="shared" si="82"/>
        <v>0</v>
      </c>
      <c r="L1762" s="145" t="str">
        <f t="shared" si="83"/>
        <v/>
      </c>
      <c r="M1762" t="str">
        <f>_xlfn.XLOOKUP(Table3[[#This Row],[Cuenta]],Estructura_Balance[Nombre Cuenta ()],Estructura_Balance[Grupo],"",0)</f>
        <v/>
      </c>
      <c r="N1762" t="str">
        <f>_xlfn.XLOOKUP(Table3[[#This Row],[Cuenta]],Estructura_Balance[Nombre Cuenta ()],Estructura_Balance[Nivel 1],"",0)</f>
        <v/>
      </c>
      <c r="O1762" t="str">
        <f>_xlfn.XLOOKUP(Table3[[#This Row],[Cuenta]],Estructura_Balance[Nombre Cuenta ()],Estructura_Balance[Nivel 2],"",0)</f>
        <v/>
      </c>
      <c r="P1762" t="str">
        <f>_xlfn.XLOOKUP(Table3[[#This Row],[Cuenta]],Estructura_Balance[Nombre Cuenta ()],Estructura_Balance[Nivel 3],"",0)</f>
        <v/>
      </c>
      <c r="Q1762" t="str">
        <f>_xlfn.XLOOKUP(Table3[[#This Row],[Cuenta]],Estructura_Balance[Nombre Cuenta ()],Estructura_Balance[Nivel 4],"",0)</f>
        <v/>
      </c>
      <c r="R1762" t="str">
        <f>_xlfn.XLOOKUP(Table3[[#This Row],[Cuenta]],Table8[Nombre Cuenta ()],Table8[Nivel 1],"",0)</f>
        <v/>
      </c>
      <c r="S1762" t="str">
        <f>_xlfn.XLOOKUP(Table3[[#This Row],[Cuenta]],Table8[Nombre Cuenta ()],Table8[Nivel 2],"",0)</f>
        <v/>
      </c>
      <c r="T1762" t="str">
        <f>_xlfn.XLOOKUP(Table3[[#This Row],[Cuenta]],Table8[Nombre Cuenta ()],Table8[Nivel 3],"",0)</f>
        <v/>
      </c>
      <c r="U1762">
        <v>411</v>
      </c>
      <c r="V1762" t="str">
        <f>_xlfn.XLOOKUP(Table3[[#This Row],[Cuenta]],Estructura_Balance[Nombre Cuenta ()],Estructura_Balance[Niveles:2],"",0)</f>
        <v/>
      </c>
      <c r="W1762" t="str">
        <f>_xlfn.XLOOKUP(Table3[[#This Row],[Cuenta]],Estructura_Balance[Nombre Cuenta ()],Estructura_Balance[Niveles:3],"",0)</f>
        <v/>
      </c>
      <c r="X1762" t="str">
        <f>_xlfn.XLOOKUP(Table3[[#This Row],[Cuenta]],Estructura_Balance[Nombre Cuenta ()],Estructura_Balance[Grupos],"Grupo 1",0)</f>
        <v>Grupo 1</v>
      </c>
      <c r="Y1762" t="str">
        <f>+Table3[[#This Row],[BS_Nivel_1]]</f>
        <v/>
      </c>
    </row>
    <row r="1763" spans="1:25" ht="15" customHeight="1">
      <c r="A1763">
        <f>+'Libro Diario'!F298</f>
        <v>32</v>
      </c>
      <c r="B1763" s="144">
        <f>VALUE(IF(+'Libro Diario'!G298="","01/01/2025",+'Libro Diario'!G298))</f>
        <v>45915</v>
      </c>
      <c r="C1763">
        <f>IF(ISNUMBER(+IF(IFERROR(VALUE(MID('Libro Diario'!D298,1,4)),0)&lt;&gt;0,'Libro Diario'!D298,0))=FALSE,'Libro Diario'!D298,0)</f>
        <v>0</v>
      </c>
      <c r="D1763" s="145">
        <f>+'Libro Diario'!E298</f>
        <v>0</v>
      </c>
      <c r="E1763" s="139" t="s">
        <v>446</v>
      </c>
      <c r="F1763" t="str">
        <f t="shared" si="81"/>
        <v>Sin Mov.</v>
      </c>
      <c r="G1763" t="str">
        <f>IF(+'Libro Diario'!H298=0,"",+'Libro Diario'!H298)</f>
        <v>Operaciones del Ejercicio</v>
      </c>
      <c r="H1763" t="str">
        <f>IF(+'Libro Diario'!I298=0,"",+'Libro Diario'!I298)</f>
        <v/>
      </c>
      <c r="I1763" t="str">
        <f>+IF(Table3[[#This Row],[Tipo Movimiento]]="Estructura Balance y PyG","Excluir","Incluir")</f>
        <v>Incluir</v>
      </c>
      <c r="J1763" s="153">
        <f>+IF(Table3[[#This Row],[Sin cuenta]]="Con Mov.",(IF(Table3[[#This Row],[Movimiento]]="Debe",Table3[[#This Row],[Importe]],IF(Table3[[#This Row],[Movimiento]]="Haber",Table3[[#This Row],[Importe]]*-1,0))),0)</f>
        <v>0</v>
      </c>
      <c r="K1763" s="145" t="str">
        <f t="shared" si="82"/>
        <v/>
      </c>
      <c r="L1763" s="145">
        <f t="shared" si="83"/>
        <v>0</v>
      </c>
      <c r="M1763" t="str">
        <f>_xlfn.XLOOKUP(Table3[[#This Row],[Cuenta]],Estructura_Balance[Nombre Cuenta ()],Estructura_Balance[Grupo],"",0)</f>
        <v/>
      </c>
      <c r="N1763" t="str">
        <f>_xlfn.XLOOKUP(Table3[[#This Row],[Cuenta]],Estructura_Balance[Nombre Cuenta ()],Estructura_Balance[Nivel 1],"",0)</f>
        <v/>
      </c>
      <c r="O1763" t="str">
        <f>_xlfn.XLOOKUP(Table3[[#This Row],[Cuenta]],Estructura_Balance[Nombre Cuenta ()],Estructura_Balance[Nivel 2],"",0)</f>
        <v/>
      </c>
      <c r="P1763" t="str">
        <f>_xlfn.XLOOKUP(Table3[[#This Row],[Cuenta]],Estructura_Balance[Nombre Cuenta ()],Estructura_Balance[Nivel 3],"",0)</f>
        <v/>
      </c>
      <c r="Q1763" t="str">
        <f>_xlfn.XLOOKUP(Table3[[#This Row],[Cuenta]],Estructura_Balance[Nombre Cuenta ()],Estructura_Balance[Nivel 4],"",0)</f>
        <v/>
      </c>
      <c r="R1763" t="str">
        <f>_xlfn.XLOOKUP(Table3[[#This Row],[Cuenta]],Table8[Nombre Cuenta ()],Table8[Nivel 1],"",0)</f>
        <v/>
      </c>
      <c r="S1763" t="str">
        <f>_xlfn.XLOOKUP(Table3[[#This Row],[Cuenta]],Table8[Nombre Cuenta ()],Table8[Nivel 2],"",0)</f>
        <v/>
      </c>
      <c r="T1763" t="str">
        <f>_xlfn.XLOOKUP(Table3[[#This Row],[Cuenta]],Table8[Nombre Cuenta ()],Table8[Nivel 3],"",0)</f>
        <v/>
      </c>
      <c r="U1763">
        <v>1691</v>
      </c>
      <c r="V1763" t="str">
        <f>_xlfn.XLOOKUP(Table3[[#This Row],[Cuenta]],Estructura_Balance[Nombre Cuenta ()],Estructura_Balance[Niveles:2],"",0)</f>
        <v/>
      </c>
      <c r="W1763" t="str">
        <f>_xlfn.XLOOKUP(Table3[[#This Row],[Cuenta]],Estructura_Balance[Nombre Cuenta ()],Estructura_Balance[Niveles:3],"",0)</f>
        <v/>
      </c>
      <c r="X1763" t="str">
        <f>_xlfn.XLOOKUP(Table3[[#This Row],[Cuenta]],Estructura_Balance[Nombre Cuenta ()],Estructura_Balance[Grupos],"Grupo 1",0)</f>
        <v>Grupo 1</v>
      </c>
      <c r="Y1763" t="str">
        <f>+Table3[[#This Row],[BS_Nivel_1]]</f>
        <v/>
      </c>
    </row>
    <row r="1764" spans="1:25" ht="15" customHeight="1">
      <c r="A1764">
        <f>+'Libro Diario'!F299</f>
        <v>32</v>
      </c>
      <c r="B1764" s="144">
        <f>VALUE(IF(+'Libro Diario'!G299="","01/01/2025",+'Libro Diario'!G299))</f>
        <v>45915</v>
      </c>
      <c r="C1764">
        <f>IF(ISNUMBER(+IF(IFERROR(VALUE(MID('Libro Diario'!D299,1,4)),0)&lt;&gt;0,'Libro Diario'!D299,0))=FALSE,'Libro Diario'!D299,0)</f>
        <v>0</v>
      </c>
      <c r="D1764" s="145">
        <f>+'Libro Diario'!E299</f>
        <v>0</v>
      </c>
      <c r="E1764" s="139" t="s">
        <v>446</v>
      </c>
      <c r="F1764" t="str">
        <f t="shared" si="81"/>
        <v>Sin Mov.</v>
      </c>
      <c r="G1764" t="str">
        <f>IF(+'Libro Diario'!H299=0,"",+'Libro Diario'!H299)</f>
        <v>Operaciones del Ejercicio</v>
      </c>
      <c r="H1764" t="str">
        <f>IF(+'Libro Diario'!I299=0,"",+'Libro Diario'!I299)</f>
        <v/>
      </c>
      <c r="I1764" t="str">
        <f>+IF(Table3[[#This Row],[Tipo Movimiento]]="Estructura Balance y PyG","Excluir","Incluir")</f>
        <v>Incluir</v>
      </c>
      <c r="J1764" s="153">
        <f>+IF(Table3[[#This Row],[Sin cuenta]]="Con Mov.",(IF(Table3[[#This Row],[Movimiento]]="Debe",Table3[[#This Row],[Importe]],IF(Table3[[#This Row],[Movimiento]]="Haber",Table3[[#This Row],[Importe]]*-1,0))),0)</f>
        <v>0</v>
      </c>
      <c r="K1764" s="145" t="str">
        <f t="shared" si="82"/>
        <v/>
      </c>
      <c r="L1764" s="145">
        <f t="shared" si="83"/>
        <v>0</v>
      </c>
      <c r="M1764" t="str">
        <f>_xlfn.XLOOKUP(Table3[[#This Row],[Cuenta]],Estructura_Balance[Nombre Cuenta ()],Estructura_Balance[Grupo],"",0)</f>
        <v/>
      </c>
      <c r="N1764" t="str">
        <f>_xlfn.XLOOKUP(Table3[[#This Row],[Cuenta]],Estructura_Balance[Nombre Cuenta ()],Estructura_Balance[Nivel 1],"",0)</f>
        <v/>
      </c>
      <c r="O1764" t="str">
        <f>_xlfn.XLOOKUP(Table3[[#This Row],[Cuenta]],Estructura_Balance[Nombre Cuenta ()],Estructura_Balance[Nivel 2],"",0)</f>
        <v/>
      </c>
      <c r="P1764" t="str">
        <f>_xlfn.XLOOKUP(Table3[[#This Row],[Cuenta]],Estructura_Balance[Nombre Cuenta ()],Estructura_Balance[Nivel 3],"",0)</f>
        <v/>
      </c>
      <c r="Q1764" t="str">
        <f>_xlfn.XLOOKUP(Table3[[#This Row],[Cuenta]],Estructura_Balance[Nombre Cuenta ()],Estructura_Balance[Nivel 4],"",0)</f>
        <v/>
      </c>
      <c r="R1764" t="str">
        <f>_xlfn.XLOOKUP(Table3[[#This Row],[Cuenta]],Table8[Nombre Cuenta ()],Table8[Nivel 1],"",0)</f>
        <v/>
      </c>
      <c r="S1764" t="str">
        <f>_xlfn.XLOOKUP(Table3[[#This Row],[Cuenta]],Table8[Nombre Cuenta ()],Table8[Nivel 2],"",0)</f>
        <v/>
      </c>
      <c r="T1764" t="str">
        <f>_xlfn.XLOOKUP(Table3[[#This Row],[Cuenta]],Table8[Nombre Cuenta ()],Table8[Nivel 3],"",0)</f>
        <v/>
      </c>
      <c r="U1764">
        <v>1692</v>
      </c>
      <c r="V1764" t="str">
        <f>_xlfn.XLOOKUP(Table3[[#This Row],[Cuenta]],Estructura_Balance[Nombre Cuenta ()],Estructura_Balance[Niveles:2],"",0)</f>
        <v/>
      </c>
      <c r="W1764" t="str">
        <f>_xlfn.XLOOKUP(Table3[[#This Row],[Cuenta]],Estructura_Balance[Nombre Cuenta ()],Estructura_Balance[Niveles:3],"",0)</f>
        <v/>
      </c>
      <c r="X1764" t="str">
        <f>_xlfn.XLOOKUP(Table3[[#This Row],[Cuenta]],Estructura_Balance[Nombre Cuenta ()],Estructura_Balance[Grupos],"Grupo 1",0)</f>
        <v>Grupo 1</v>
      </c>
      <c r="Y1764" t="str">
        <f>+Table3[[#This Row],[BS_Nivel_1]]</f>
        <v/>
      </c>
    </row>
    <row r="1765" spans="1:25" ht="15" customHeight="1">
      <c r="A1765">
        <f>+'Libro Diario'!F305</f>
        <v>33</v>
      </c>
      <c r="B1765" s="144">
        <f>VALUE(IF(+'Libro Diario'!G305="","01/01/2025",+'Libro Diario'!G305))</f>
        <v>45921</v>
      </c>
      <c r="C1765">
        <f>IF(ISNUMBER(+IF(IFERROR(VALUE(MID('Libro Diario'!C305,1,4)),0)&lt;&gt;0,'Libro Diario'!C305,0))=FALSE,'Libro Diario'!C305,0)</f>
        <v>0</v>
      </c>
      <c r="D1765" s="145">
        <f>+'Libro Diario'!B305</f>
        <v>0</v>
      </c>
      <c r="E1765" s="139" t="s">
        <v>445</v>
      </c>
      <c r="F1765" t="str">
        <f t="shared" si="81"/>
        <v>Sin Mov.</v>
      </c>
      <c r="G1765" t="str">
        <f>IF(+'Libro Diario'!H305=0,"",+'Libro Diario'!H305)</f>
        <v>Operaciones del Ejercicio</v>
      </c>
      <c r="H1765" t="str">
        <f>IF(+'Libro Diario'!I305=0,"",+'Libro Diario'!I305)</f>
        <v/>
      </c>
      <c r="I1765" t="str">
        <f>+IF(Table3[[#This Row],[Tipo Movimiento]]="Estructura Balance y PyG","Excluir","Incluir")</f>
        <v>Incluir</v>
      </c>
      <c r="J1765" s="153">
        <f>+IF(Table3[[#This Row],[Sin cuenta]]="Con Mov.",(IF(Table3[[#This Row],[Movimiento]]="Debe",Table3[[#This Row],[Importe]],IF(Table3[[#This Row],[Movimiento]]="Haber",Table3[[#This Row],[Importe]]*-1,0))),0)</f>
        <v>0</v>
      </c>
      <c r="K1765" s="145">
        <f t="shared" si="82"/>
        <v>0</v>
      </c>
      <c r="L1765" s="145" t="str">
        <f t="shared" si="83"/>
        <v/>
      </c>
      <c r="M1765" t="str">
        <f>_xlfn.XLOOKUP(Table3[[#This Row],[Cuenta]],Estructura_Balance[Nombre Cuenta ()],Estructura_Balance[Grupo],"",0)</f>
        <v/>
      </c>
      <c r="N1765" t="str">
        <f>_xlfn.XLOOKUP(Table3[[#This Row],[Cuenta]],Estructura_Balance[Nombre Cuenta ()],Estructura_Balance[Nivel 1],"",0)</f>
        <v/>
      </c>
      <c r="O1765" t="str">
        <f>_xlfn.XLOOKUP(Table3[[#This Row],[Cuenta]],Estructura_Balance[Nombre Cuenta ()],Estructura_Balance[Nivel 2],"",0)</f>
        <v/>
      </c>
      <c r="P1765" t="str">
        <f>_xlfn.XLOOKUP(Table3[[#This Row],[Cuenta]],Estructura_Balance[Nombre Cuenta ()],Estructura_Balance[Nivel 3],"",0)</f>
        <v/>
      </c>
      <c r="Q1765" t="str">
        <f>_xlfn.XLOOKUP(Table3[[#This Row],[Cuenta]],Estructura_Balance[Nombre Cuenta ()],Estructura_Balance[Nivel 4],"",0)</f>
        <v/>
      </c>
      <c r="R1765" t="str">
        <f>_xlfn.XLOOKUP(Table3[[#This Row],[Cuenta]],Table8[Nombre Cuenta ()],Table8[Nivel 1],"",0)</f>
        <v/>
      </c>
      <c r="S1765" t="str">
        <f>_xlfn.XLOOKUP(Table3[[#This Row],[Cuenta]],Table8[Nombre Cuenta ()],Table8[Nivel 2],"",0)</f>
        <v/>
      </c>
      <c r="T1765" t="str">
        <f>_xlfn.XLOOKUP(Table3[[#This Row],[Cuenta]],Table8[Nombre Cuenta ()],Table8[Nivel 3],"",0)</f>
        <v/>
      </c>
      <c r="U1765">
        <v>419</v>
      </c>
      <c r="V1765" t="str">
        <f>_xlfn.XLOOKUP(Table3[[#This Row],[Cuenta]],Estructura_Balance[Nombre Cuenta ()],Estructura_Balance[Niveles:2],"",0)</f>
        <v/>
      </c>
      <c r="W1765" t="str">
        <f>_xlfn.XLOOKUP(Table3[[#This Row],[Cuenta]],Estructura_Balance[Nombre Cuenta ()],Estructura_Balance[Niveles:3],"",0)</f>
        <v/>
      </c>
      <c r="X1765" t="str">
        <f>_xlfn.XLOOKUP(Table3[[#This Row],[Cuenta]],Estructura_Balance[Nombre Cuenta ()],Estructura_Balance[Grupos],"Grupo 1",0)</f>
        <v>Grupo 1</v>
      </c>
      <c r="Y1765" t="str">
        <f>+Table3[[#This Row],[BS_Nivel_1]]</f>
        <v/>
      </c>
    </row>
    <row r="1766" spans="1:25" ht="15" customHeight="1">
      <c r="A1766">
        <f>+'Libro Diario'!F306</f>
        <v>33</v>
      </c>
      <c r="B1766" s="144">
        <f>VALUE(IF(+'Libro Diario'!G306="","01/01/2025",+'Libro Diario'!G306))</f>
        <v>45921</v>
      </c>
      <c r="C1766">
        <f>IF(ISNUMBER(+IF(IFERROR(VALUE(MID('Libro Diario'!C306,1,4)),0)&lt;&gt;0,'Libro Diario'!C306,0))=FALSE,'Libro Diario'!C306,0)</f>
        <v>0</v>
      </c>
      <c r="D1766" s="145">
        <f>+'Libro Diario'!B306</f>
        <v>0</v>
      </c>
      <c r="E1766" s="139" t="s">
        <v>445</v>
      </c>
      <c r="F1766" t="str">
        <f t="shared" si="81"/>
        <v>Sin Mov.</v>
      </c>
      <c r="G1766" t="str">
        <f>IF(+'Libro Diario'!H306=0,"",+'Libro Diario'!H306)</f>
        <v>Operaciones del Ejercicio</v>
      </c>
      <c r="H1766" t="str">
        <f>IF(+'Libro Diario'!I306=0,"",+'Libro Diario'!I306)</f>
        <v/>
      </c>
      <c r="I1766" t="str">
        <f>+IF(Table3[[#This Row],[Tipo Movimiento]]="Estructura Balance y PyG","Excluir","Incluir")</f>
        <v>Incluir</v>
      </c>
      <c r="J1766" s="153">
        <f>+IF(Table3[[#This Row],[Sin cuenta]]="Con Mov.",(IF(Table3[[#This Row],[Movimiento]]="Debe",Table3[[#This Row],[Importe]],IF(Table3[[#This Row],[Movimiento]]="Haber",Table3[[#This Row],[Importe]]*-1,0))),0)</f>
        <v>0</v>
      </c>
      <c r="K1766" s="145">
        <f t="shared" si="82"/>
        <v>0</v>
      </c>
      <c r="L1766" s="145" t="str">
        <f t="shared" si="83"/>
        <v/>
      </c>
      <c r="M1766" t="str">
        <f>_xlfn.XLOOKUP(Table3[[#This Row],[Cuenta]],Estructura_Balance[Nombre Cuenta ()],Estructura_Balance[Grupo],"",0)</f>
        <v/>
      </c>
      <c r="N1766" t="str">
        <f>_xlfn.XLOOKUP(Table3[[#This Row],[Cuenta]],Estructura_Balance[Nombre Cuenta ()],Estructura_Balance[Nivel 1],"",0)</f>
        <v/>
      </c>
      <c r="O1766" t="str">
        <f>_xlfn.XLOOKUP(Table3[[#This Row],[Cuenta]],Estructura_Balance[Nombre Cuenta ()],Estructura_Balance[Nivel 2],"",0)</f>
        <v/>
      </c>
      <c r="P1766" t="str">
        <f>_xlfn.XLOOKUP(Table3[[#This Row],[Cuenta]],Estructura_Balance[Nombre Cuenta ()],Estructura_Balance[Nivel 3],"",0)</f>
        <v/>
      </c>
      <c r="Q1766" t="str">
        <f>_xlfn.XLOOKUP(Table3[[#This Row],[Cuenta]],Estructura_Balance[Nombre Cuenta ()],Estructura_Balance[Nivel 4],"",0)</f>
        <v/>
      </c>
      <c r="R1766" t="str">
        <f>_xlfn.XLOOKUP(Table3[[#This Row],[Cuenta]],Table8[Nombre Cuenta ()],Table8[Nivel 1],"",0)</f>
        <v/>
      </c>
      <c r="S1766" t="str">
        <f>_xlfn.XLOOKUP(Table3[[#This Row],[Cuenta]],Table8[Nombre Cuenta ()],Table8[Nivel 2],"",0)</f>
        <v/>
      </c>
      <c r="T1766" t="str">
        <f>_xlfn.XLOOKUP(Table3[[#This Row],[Cuenta]],Table8[Nombre Cuenta ()],Table8[Nivel 3],"",0)</f>
        <v/>
      </c>
      <c r="U1766">
        <v>420</v>
      </c>
      <c r="V1766" t="str">
        <f>_xlfn.XLOOKUP(Table3[[#This Row],[Cuenta]],Estructura_Balance[Nombre Cuenta ()],Estructura_Balance[Niveles:2],"",0)</f>
        <v/>
      </c>
      <c r="W1766" t="str">
        <f>_xlfn.XLOOKUP(Table3[[#This Row],[Cuenta]],Estructura_Balance[Nombre Cuenta ()],Estructura_Balance[Niveles:3],"",0)</f>
        <v/>
      </c>
      <c r="X1766" t="str">
        <f>_xlfn.XLOOKUP(Table3[[#This Row],[Cuenta]],Estructura_Balance[Nombre Cuenta ()],Estructura_Balance[Grupos],"Grupo 1",0)</f>
        <v>Grupo 1</v>
      </c>
      <c r="Y1766" t="str">
        <f>+Table3[[#This Row],[BS_Nivel_1]]</f>
        <v/>
      </c>
    </row>
    <row r="1767" spans="1:25" ht="15" customHeight="1">
      <c r="A1767">
        <f>+'Libro Diario'!F305</f>
        <v>33</v>
      </c>
      <c r="B1767" s="144">
        <f>VALUE(IF(+'Libro Diario'!G305="","01/01/2025",+'Libro Diario'!G305))</f>
        <v>45921</v>
      </c>
      <c r="C1767">
        <f>IF(ISNUMBER(+IF(IFERROR(VALUE(MID('Libro Diario'!D305,1,4)),0)&lt;&gt;0,'Libro Diario'!D305,0))=FALSE,'Libro Diario'!D305,0)</f>
        <v>0</v>
      </c>
      <c r="D1767" s="145">
        <f>+'Libro Diario'!E305</f>
        <v>0</v>
      </c>
      <c r="E1767" s="139" t="s">
        <v>446</v>
      </c>
      <c r="F1767" t="str">
        <f t="shared" si="81"/>
        <v>Sin Mov.</v>
      </c>
      <c r="G1767" t="str">
        <f>IF(+'Libro Diario'!H305=0,"",+'Libro Diario'!H305)</f>
        <v>Operaciones del Ejercicio</v>
      </c>
      <c r="H1767" t="str">
        <f>IF(+'Libro Diario'!I305=0,"",+'Libro Diario'!I305)</f>
        <v/>
      </c>
      <c r="I1767" t="str">
        <f>+IF(Table3[[#This Row],[Tipo Movimiento]]="Estructura Balance y PyG","Excluir","Incluir")</f>
        <v>Incluir</v>
      </c>
      <c r="J1767" s="153">
        <f>+IF(Table3[[#This Row],[Sin cuenta]]="Con Mov.",(IF(Table3[[#This Row],[Movimiento]]="Debe",Table3[[#This Row],[Importe]],IF(Table3[[#This Row],[Movimiento]]="Haber",Table3[[#This Row],[Importe]]*-1,0))),0)</f>
        <v>0</v>
      </c>
      <c r="K1767" s="145" t="str">
        <f t="shared" si="82"/>
        <v/>
      </c>
      <c r="L1767" s="145">
        <f t="shared" si="83"/>
        <v>0</v>
      </c>
      <c r="M1767" t="str">
        <f>_xlfn.XLOOKUP(Table3[[#This Row],[Cuenta]],Estructura_Balance[Nombre Cuenta ()],Estructura_Balance[Grupo],"",0)</f>
        <v/>
      </c>
      <c r="N1767" t="str">
        <f>_xlfn.XLOOKUP(Table3[[#This Row],[Cuenta]],Estructura_Balance[Nombre Cuenta ()],Estructura_Balance[Nivel 1],"",0)</f>
        <v/>
      </c>
      <c r="O1767" t="str">
        <f>_xlfn.XLOOKUP(Table3[[#This Row],[Cuenta]],Estructura_Balance[Nombre Cuenta ()],Estructura_Balance[Nivel 2],"",0)</f>
        <v/>
      </c>
      <c r="P1767" t="str">
        <f>_xlfn.XLOOKUP(Table3[[#This Row],[Cuenta]],Estructura_Balance[Nombre Cuenta ()],Estructura_Balance[Nivel 3],"",0)</f>
        <v/>
      </c>
      <c r="Q1767" t="str">
        <f>_xlfn.XLOOKUP(Table3[[#This Row],[Cuenta]],Estructura_Balance[Nombre Cuenta ()],Estructura_Balance[Nivel 4],"",0)</f>
        <v/>
      </c>
      <c r="R1767" t="str">
        <f>_xlfn.XLOOKUP(Table3[[#This Row],[Cuenta]],Table8[Nombre Cuenta ()],Table8[Nivel 1],"",0)</f>
        <v/>
      </c>
      <c r="S1767" t="str">
        <f>_xlfn.XLOOKUP(Table3[[#This Row],[Cuenta]],Table8[Nombre Cuenta ()],Table8[Nivel 2],"",0)</f>
        <v/>
      </c>
      <c r="T1767" t="str">
        <f>_xlfn.XLOOKUP(Table3[[#This Row],[Cuenta]],Table8[Nombre Cuenta ()],Table8[Nivel 3],"",0)</f>
        <v/>
      </c>
      <c r="U1767">
        <v>1698</v>
      </c>
      <c r="V1767" t="str">
        <f>_xlfn.XLOOKUP(Table3[[#This Row],[Cuenta]],Estructura_Balance[Nombre Cuenta ()],Estructura_Balance[Niveles:2],"",0)</f>
        <v/>
      </c>
      <c r="W1767" t="str">
        <f>_xlfn.XLOOKUP(Table3[[#This Row],[Cuenta]],Estructura_Balance[Nombre Cuenta ()],Estructura_Balance[Niveles:3],"",0)</f>
        <v/>
      </c>
      <c r="X1767" t="str">
        <f>_xlfn.XLOOKUP(Table3[[#This Row],[Cuenta]],Estructura_Balance[Nombre Cuenta ()],Estructura_Balance[Grupos],"Grupo 1",0)</f>
        <v>Grupo 1</v>
      </c>
      <c r="Y1767" t="str">
        <f>+Table3[[#This Row],[BS_Nivel_1]]</f>
        <v/>
      </c>
    </row>
    <row r="1768" spans="1:25" ht="15" customHeight="1">
      <c r="A1768">
        <f>+'Libro Diario'!F306</f>
        <v>33</v>
      </c>
      <c r="B1768" s="144">
        <f>VALUE(IF(+'Libro Diario'!G306="","01/01/2025",+'Libro Diario'!G306))</f>
        <v>45921</v>
      </c>
      <c r="C1768">
        <f>IF(ISNUMBER(+IF(IFERROR(VALUE(MID('Libro Diario'!D306,1,4)),0)&lt;&gt;0,'Libro Diario'!D306,0))=FALSE,'Libro Diario'!D306,0)</f>
        <v>0</v>
      </c>
      <c r="D1768" s="145">
        <f>+'Libro Diario'!E306</f>
        <v>0</v>
      </c>
      <c r="E1768" s="139" t="s">
        <v>446</v>
      </c>
      <c r="F1768" t="str">
        <f t="shared" si="81"/>
        <v>Sin Mov.</v>
      </c>
      <c r="G1768" t="str">
        <f>IF(+'Libro Diario'!H306=0,"",+'Libro Diario'!H306)</f>
        <v>Operaciones del Ejercicio</v>
      </c>
      <c r="H1768" t="str">
        <f>IF(+'Libro Diario'!I306=0,"",+'Libro Diario'!I306)</f>
        <v/>
      </c>
      <c r="I1768" t="str">
        <f>+IF(Table3[[#This Row],[Tipo Movimiento]]="Estructura Balance y PyG","Excluir","Incluir")</f>
        <v>Incluir</v>
      </c>
      <c r="J1768" s="153">
        <f>+IF(Table3[[#This Row],[Sin cuenta]]="Con Mov.",(IF(Table3[[#This Row],[Movimiento]]="Debe",Table3[[#This Row],[Importe]],IF(Table3[[#This Row],[Movimiento]]="Haber",Table3[[#This Row],[Importe]]*-1,0))),0)</f>
        <v>0</v>
      </c>
      <c r="K1768" s="145" t="str">
        <f t="shared" si="82"/>
        <v/>
      </c>
      <c r="L1768" s="145">
        <f t="shared" si="83"/>
        <v>0</v>
      </c>
      <c r="M1768" t="str">
        <f>_xlfn.XLOOKUP(Table3[[#This Row],[Cuenta]],Estructura_Balance[Nombre Cuenta ()],Estructura_Balance[Grupo],"",0)</f>
        <v/>
      </c>
      <c r="N1768" t="str">
        <f>_xlfn.XLOOKUP(Table3[[#This Row],[Cuenta]],Estructura_Balance[Nombre Cuenta ()],Estructura_Balance[Nivel 1],"",0)</f>
        <v/>
      </c>
      <c r="O1768" t="str">
        <f>_xlfn.XLOOKUP(Table3[[#This Row],[Cuenta]],Estructura_Balance[Nombre Cuenta ()],Estructura_Balance[Nivel 2],"",0)</f>
        <v/>
      </c>
      <c r="P1768" t="str">
        <f>_xlfn.XLOOKUP(Table3[[#This Row],[Cuenta]],Estructura_Balance[Nombre Cuenta ()],Estructura_Balance[Nivel 3],"",0)</f>
        <v/>
      </c>
      <c r="Q1768" t="str">
        <f>_xlfn.XLOOKUP(Table3[[#This Row],[Cuenta]],Estructura_Balance[Nombre Cuenta ()],Estructura_Balance[Nivel 4],"",0)</f>
        <v/>
      </c>
      <c r="R1768" t="str">
        <f>_xlfn.XLOOKUP(Table3[[#This Row],[Cuenta]],Table8[Nombre Cuenta ()],Table8[Nivel 1],"",0)</f>
        <v/>
      </c>
      <c r="S1768" t="str">
        <f>_xlfn.XLOOKUP(Table3[[#This Row],[Cuenta]],Table8[Nombre Cuenta ()],Table8[Nivel 2],"",0)</f>
        <v/>
      </c>
      <c r="T1768" t="str">
        <f>_xlfn.XLOOKUP(Table3[[#This Row],[Cuenta]],Table8[Nombre Cuenta ()],Table8[Nivel 3],"",0)</f>
        <v/>
      </c>
      <c r="U1768">
        <v>1699</v>
      </c>
      <c r="V1768" t="str">
        <f>_xlfn.XLOOKUP(Table3[[#This Row],[Cuenta]],Estructura_Balance[Nombre Cuenta ()],Estructura_Balance[Niveles:2],"",0)</f>
        <v/>
      </c>
      <c r="W1768" t="str">
        <f>_xlfn.XLOOKUP(Table3[[#This Row],[Cuenta]],Estructura_Balance[Nombre Cuenta ()],Estructura_Balance[Niveles:3],"",0)</f>
        <v/>
      </c>
      <c r="X1768" t="str">
        <f>_xlfn.XLOOKUP(Table3[[#This Row],[Cuenta]],Estructura_Balance[Nombre Cuenta ()],Estructura_Balance[Grupos],"Grupo 1",0)</f>
        <v>Grupo 1</v>
      </c>
      <c r="Y1768" t="str">
        <f>+Table3[[#This Row],[BS_Nivel_1]]</f>
        <v/>
      </c>
    </row>
    <row r="1769" spans="1:25" ht="15" customHeight="1">
      <c r="A1769">
        <f>+'Libro Diario'!F312</f>
        <v>34</v>
      </c>
      <c r="B1769" s="144">
        <f>VALUE(IF(+'Libro Diario'!G312="","01/01/2025",+'Libro Diario'!G312))</f>
        <v>45921</v>
      </c>
      <c r="C1769">
        <f>IF(ISNUMBER(+IF(IFERROR(VALUE(MID('Libro Diario'!C312,1,4)),0)&lt;&gt;0,'Libro Diario'!C312,0))=FALSE,'Libro Diario'!C312,0)</f>
        <v>0</v>
      </c>
      <c r="D1769" s="145">
        <f>+'Libro Diario'!B312</f>
        <v>0</v>
      </c>
      <c r="E1769" s="139" t="s">
        <v>445</v>
      </c>
      <c r="F1769" t="str">
        <f t="shared" si="81"/>
        <v>Sin Mov.</v>
      </c>
      <c r="G1769" t="str">
        <f>IF(+'Libro Diario'!H312=0,"",+'Libro Diario'!H312)</f>
        <v>Operaciones del Ejercicio</v>
      </c>
      <c r="H1769" t="str">
        <f>IF(+'Libro Diario'!I312=0,"",+'Libro Diario'!I312)</f>
        <v/>
      </c>
      <c r="I1769" t="str">
        <f>+IF(Table3[[#This Row],[Tipo Movimiento]]="Estructura Balance y PyG","Excluir","Incluir")</f>
        <v>Incluir</v>
      </c>
      <c r="J1769" s="153">
        <f>+IF(Table3[[#This Row],[Sin cuenta]]="Con Mov.",(IF(Table3[[#This Row],[Movimiento]]="Debe",Table3[[#This Row],[Importe]],IF(Table3[[#This Row],[Movimiento]]="Haber",Table3[[#This Row],[Importe]]*-1,0))),0)</f>
        <v>0</v>
      </c>
      <c r="K1769" s="145">
        <f t="shared" si="82"/>
        <v>0</v>
      </c>
      <c r="L1769" s="145" t="str">
        <f t="shared" si="83"/>
        <v/>
      </c>
      <c r="M1769" t="str">
        <f>_xlfn.XLOOKUP(Table3[[#This Row],[Cuenta]],Estructura_Balance[Nombre Cuenta ()],Estructura_Balance[Grupo],"",0)</f>
        <v/>
      </c>
      <c r="N1769" t="str">
        <f>_xlfn.XLOOKUP(Table3[[#This Row],[Cuenta]],Estructura_Balance[Nombre Cuenta ()],Estructura_Balance[Nivel 1],"",0)</f>
        <v/>
      </c>
      <c r="O1769" t="str">
        <f>_xlfn.XLOOKUP(Table3[[#This Row],[Cuenta]],Estructura_Balance[Nombre Cuenta ()],Estructura_Balance[Nivel 2],"",0)</f>
        <v/>
      </c>
      <c r="P1769" t="str">
        <f>_xlfn.XLOOKUP(Table3[[#This Row],[Cuenta]],Estructura_Balance[Nombre Cuenta ()],Estructura_Balance[Nivel 3],"",0)</f>
        <v/>
      </c>
      <c r="Q1769" t="str">
        <f>_xlfn.XLOOKUP(Table3[[#This Row],[Cuenta]],Estructura_Balance[Nombre Cuenta ()],Estructura_Balance[Nivel 4],"",0)</f>
        <v/>
      </c>
      <c r="R1769" t="str">
        <f>_xlfn.XLOOKUP(Table3[[#This Row],[Cuenta]],Table8[Nombre Cuenta ()],Table8[Nivel 1],"",0)</f>
        <v/>
      </c>
      <c r="S1769" t="str">
        <f>_xlfn.XLOOKUP(Table3[[#This Row],[Cuenta]],Table8[Nombre Cuenta ()],Table8[Nivel 2],"",0)</f>
        <v/>
      </c>
      <c r="T1769" t="str">
        <f>_xlfn.XLOOKUP(Table3[[#This Row],[Cuenta]],Table8[Nombre Cuenta ()],Table8[Nivel 3],"",0)</f>
        <v/>
      </c>
      <c r="U1769">
        <v>428</v>
      </c>
      <c r="V1769" t="str">
        <f>_xlfn.XLOOKUP(Table3[[#This Row],[Cuenta]],Estructura_Balance[Nombre Cuenta ()],Estructura_Balance[Niveles:2],"",0)</f>
        <v/>
      </c>
      <c r="W1769" t="str">
        <f>_xlfn.XLOOKUP(Table3[[#This Row],[Cuenta]],Estructura_Balance[Nombre Cuenta ()],Estructura_Balance[Niveles:3],"",0)</f>
        <v/>
      </c>
      <c r="X1769" t="str">
        <f>_xlfn.XLOOKUP(Table3[[#This Row],[Cuenta]],Estructura_Balance[Nombre Cuenta ()],Estructura_Balance[Grupos],"Grupo 1",0)</f>
        <v>Grupo 1</v>
      </c>
      <c r="Y1769" t="str">
        <f>+Table3[[#This Row],[BS_Nivel_1]]</f>
        <v/>
      </c>
    </row>
    <row r="1770" spans="1:25" ht="15" customHeight="1">
      <c r="A1770">
        <f>+'Libro Diario'!F313</f>
        <v>34</v>
      </c>
      <c r="B1770" s="144">
        <f>VALUE(IF(+'Libro Diario'!G313="","01/01/2025",+'Libro Diario'!G313))</f>
        <v>45921</v>
      </c>
      <c r="C1770">
        <f>IF(ISNUMBER(+IF(IFERROR(VALUE(MID('Libro Diario'!C313,1,4)),0)&lt;&gt;0,'Libro Diario'!C313,0))=FALSE,'Libro Diario'!C313,0)</f>
        <v>0</v>
      </c>
      <c r="D1770" s="145">
        <f>+'Libro Diario'!B313</f>
        <v>0</v>
      </c>
      <c r="E1770" s="139" t="s">
        <v>445</v>
      </c>
      <c r="F1770" t="str">
        <f t="shared" si="81"/>
        <v>Sin Mov.</v>
      </c>
      <c r="G1770" t="str">
        <f>IF(+'Libro Diario'!H313=0,"",+'Libro Diario'!H313)</f>
        <v>Operaciones del Ejercicio</v>
      </c>
      <c r="H1770" t="str">
        <f>IF(+'Libro Diario'!I313=0,"",+'Libro Diario'!I313)</f>
        <v/>
      </c>
      <c r="I1770" t="str">
        <f>+IF(Table3[[#This Row],[Tipo Movimiento]]="Estructura Balance y PyG","Excluir","Incluir")</f>
        <v>Incluir</v>
      </c>
      <c r="J1770" s="153">
        <f>+IF(Table3[[#This Row],[Sin cuenta]]="Con Mov.",(IF(Table3[[#This Row],[Movimiento]]="Debe",Table3[[#This Row],[Importe]],IF(Table3[[#This Row],[Movimiento]]="Haber",Table3[[#This Row],[Importe]]*-1,0))),0)</f>
        <v>0</v>
      </c>
      <c r="K1770" s="145">
        <f t="shared" si="82"/>
        <v>0</v>
      </c>
      <c r="L1770" s="145" t="str">
        <f t="shared" si="83"/>
        <v/>
      </c>
      <c r="M1770" t="str">
        <f>_xlfn.XLOOKUP(Table3[[#This Row],[Cuenta]],Estructura_Balance[Nombre Cuenta ()],Estructura_Balance[Grupo],"",0)</f>
        <v/>
      </c>
      <c r="N1770" t="str">
        <f>_xlfn.XLOOKUP(Table3[[#This Row],[Cuenta]],Estructura_Balance[Nombre Cuenta ()],Estructura_Balance[Nivel 1],"",0)</f>
        <v/>
      </c>
      <c r="O1770" t="str">
        <f>_xlfn.XLOOKUP(Table3[[#This Row],[Cuenta]],Estructura_Balance[Nombre Cuenta ()],Estructura_Balance[Nivel 2],"",0)</f>
        <v/>
      </c>
      <c r="P1770" t="str">
        <f>_xlfn.XLOOKUP(Table3[[#This Row],[Cuenta]],Estructura_Balance[Nombre Cuenta ()],Estructura_Balance[Nivel 3],"",0)</f>
        <v/>
      </c>
      <c r="Q1770" t="str">
        <f>_xlfn.XLOOKUP(Table3[[#This Row],[Cuenta]],Estructura_Balance[Nombre Cuenta ()],Estructura_Balance[Nivel 4],"",0)</f>
        <v/>
      </c>
      <c r="R1770" t="str">
        <f>_xlfn.XLOOKUP(Table3[[#This Row],[Cuenta]],Table8[Nombre Cuenta ()],Table8[Nivel 1],"",0)</f>
        <v/>
      </c>
      <c r="S1770" t="str">
        <f>_xlfn.XLOOKUP(Table3[[#This Row],[Cuenta]],Table8[Nombre Cuenta ()],Table8[Nivel 2],"",0)</f>
        <v/>
      </c>
      <c r="T1770" t="str">
        <f>_xlfn.XLOOKUP(Table3[[#This Row],[Cuenta]],Table8[Nombre Cuenta ()],Table8[Nivel 3],"",0)</f>
        <v/>
      </c>
      <c r="U1770">
        <v>429</v>
      </c>
      <c r="V1770" t="str">
        <f>_xlfn.XLOOKUP(Table3[[#This Row],[Cuenta]],Estructura_Balance[Nombre Cuenta ()],Estructura_Balance[Niveles:2],"",0)</f>
        <v/>
      </c>
      <c r="W1770" t="str">
        <f>_xlfn.XLOOKUP(Table3[[#This Row],[Cuenta]],Estructura_Balance[Nombre Cuenta ()],Estructura_Balance[Niveles:3],"",0)</f>
        <v/>
      </c>
      <c r="X1770" t="str">
        <f>_xlfn.XLOOKUP(Table3[[#This Row],[Cuenta]],Estructura_Balance[Nombre Cuenta ()],Estructura_Balance[Grupos],"Grupo 1",0)</f>
        <v>Grupo 1</v>
      </c>
      <c r="Y1770" t="str">
        <f>+Table3[[#This Row],[BS_Nivel_1]]</f>
        <v/>
      </c>
    </row>
    <row r="1771" spans="1:25" ht="15" customHeight="1">
      <c r="A1771">
        <f>+'Libro Diario'!F312</f>
        <v>34</v>
      </c>
      <c r="B1771" s="144">
        <f>VALUE(IF(+'Libro Diario'!G312="","01/01/2025",+'Libro Diario'!G312))</f>
        <v>45921</v>
      </c>
      <c r="C1771">
        <f>IF(ISNUMBER(+IF(IFERROR(VALUE(MID('Libro Diario'!D312,1,4)),0)&lt;&gt;0,'Libro Diario'!D312,0))=FALSE,'Libro Diario'!D312,0)</f>
        <v>0</v>
      </c>
      <c r="D1771" s="145">
        <f>+'Libro Diario'!E312</f>
        <v>0</v>
      </c>
      <c r="E1771" s="139" t="s">
        <v>446</v>
      </c>
      <c r="F1771" t="str">
        <f t="shared" si="81"/>
        <v>Sin Mov.</v>
      </c>
      <c r="G1771" t="str">
        <f>IF(+'Libro Diario'!H312=0,"",+'Libro Diario'!H312)</f>
        <v>Operaciones del Ejercicio</v>
      </c>
      <c r="H1771" t="str">
        <f>IF(+'Libro Diario'!I312=0,"",+'Libro Diario'!I312)</f>
        <v/>
      </c>
      <c r="I1771" t="str">
        <f>+IF(Table3[[#This Row],[Tipo Movimiento]]="Estructura Balance y PyG","Excluir","Incluir")</f>
        <v>Incluir</v>
      </c>
      <c r="J1771" s="153">
        <f>+IF(Table3[[#This Row],[Sin cuenta]]="Con Mov.",(IF(Table3[[#This Row],[Movimiento]]="Debe",Table3[[#This Row],[Importe]],IF(Table3[[#This Row],[Movimiento]]="Haber",Table3[[#This Row],[Importe]]*-1,0))),0)</f>
        <v>0</v>
      </c>
      <c r="K1771" s="145" t="str">
        <f t="shared" si="82"/>
        <v/>
      </c>
      <c r="L1771" s="145">
        <f t="shared" si="83"/>
        <v>0</v>
      </c>
      <c r="M1771" t="str">
        <f>_xlfn.XLOOKUP(Table3[[#This Row],[Cuenta]],Estructura_Balance[Nombre Cuenta ()],Estructura_Balance[Grupo],"",0)</f>
        <v/>
      </c>
      <c r="N1771" t="str">
        <f>_xlfn.XLOOKUP(Table3[[#This Row],[Cuenta]],Estructura_Balance[Nombre Cuenta ()],Estructura_Balance[Nivel 1],"",0)</f>
        <v/>
      </c>
      <c r="O1771" t="str">
        <f>_xlfn.XLOOKUP(Table3[[#This Row],[Cuenta]],Estructura_Balance[Nombre Cuenta ()],Estructura_Balance[Nivel 2],"",0)</f>
        <v/>
      </c>
      <c r="P1771" t="str">
        <f>_xlfn.XLOOKUP(Table3[[#This Row],[Cuenta]],Estructura_Balance[Nombre Cuenta ()],Estructura_Balance[Nivel 3],"",0)</f>
        <v/>
      </c>
      <c r="Q1771" t="str">
        <f>_xlfn.XLOOKUP(Table3[[#This Row],[Cuenta]],Estructura_Balance[Nombre Cuenta ()],Estructura_Balance[Nivel 4],"",0)</f>
        <v/>
      </c>
      <c r="R1771" t="str">
        <f>_xlfn.XLOOKUP(Table3[[#This Row],[Cuenta]],Table8[Nombre Cuenta ()],Table8[Nivel 1],"",0)</f>
        <v/>
      </c>
      <c r="S1771" t="str">
        <f>_xlfn.XLOOKUP(Table3[[#This Row],[Cuenta]],Table8[Nombre Cuenta ()],Table8[Nivel 2],"",0)</f>
        <v/>
      </c>
      <c r="T1771" t="str">
        <f>_xlfn.XLOOKUP(Table3[[#This Row],[Cuenta]],Table8[Nombre Cuenta ()],Table8[Nivel 3],"",0)</f>
        <v/>
      </c>
      <c r="U1771">
        <v>1705</v>
      </c>
      <c r="V1771" t="str">
        <f>_xlfn.XLOOKUP(Table3[[#This Row],[Cuenta]],Estructura_Balance[Nombre Cuenta ()],Estructura_Balance[Niveles:2],"",0)</f>
        <v/>
      </c>
      <c r="W1771" t="str">
        <f>_xlfn.XLOOKUP(Table3[[#This Row],[Cuenta]],Estructura_Balance[Nombre Cuenta ()],Estructura_Balance[Niveles:3],"",0)</f>
        <v/>
      </c>
      <c r="X1771" t="str">
        <f>_xlfn.XLOOKUP(Table3[[#This Row],[Cuenta]],Estructura_Balance[Nombre Cuenta ()],Estructura_Balance[Grupos],"Grupo 1",0)</f>
        <v>Grupo 1</v>
      </c>
      <c r="Y1771" t="str">
        <f>+Table3[[#This Row],[BS_Nivel_1]]</f>
        <v/>
      </c>
    </row>
    <row r="1772" spans="1:25" ht="15" customHeight="1">
      <c r="A1772">
        <f>+'Libro Diario'!F313</f>
        <v>34</v>
      </c>
      <c r="B1772" s="144">
        <f>VALUE(IF(+'Libro Diario'!G313="","01/01/2025",+'Libro Diario'!G313))</f>
        <v>45921</v>
      </c>
      <c r="C1772">
        <f>IF(ISNUMBER(+IF(IFERROR(VALUE(MID('Libro Diario'!D313,1,4)),0)&lt;&gt;0,'Libro Diario'!D313,0))=FALSE,'Libro Diario'!D313,0)</f>
        <v>0</v>
      </c>
      <c r="D1772" s="145">
        <f>+'Libro Diario'!E313</f>
        <v>0</v>
      </c>
      <c r="E1772" s="139" t="s">
        <v>446</v>
      </c>
      <c r="F1772" t="str">
        <f t="shared" si="81"/>
        <v>Sin Mov.</v>
      </c>
      <c r="G1772" t="str">
        <f>IF(+'Libro Diario'!H313=0,"",+'Libro Diario'!H313)</f>
        <v>Operaciones del Ejercicio</v>
      </c>
      <c r="H1772" t="str">
        <f>IF(+'Libro Diario'!I313=0,"",+'Libro Diario'!I313)</f>
        <v/>
      </c>
      <c r="I1772" t="str">
        <f>+IF(Table3[[#This Row],[Tipo Movimiento]]="Estructura Balance y PyG","Excluir","Incluir")</f>
        <v>Incluir</v>
      </c>
      <c r="J1772" s="153">
        <f>+IF(Table3[[#This Row],[Sin cuenta]]="Con Mov.",(IF(Table3[[#This Row],[Movimiento]]="Debe",Table3[[#This Row],[Importe]],IF(Table3[[#This Row],[Movimiento]]="Haber",Table3[[#This Row],[Importe]]*-1,0))),0)</f>
        <v>0</v>
      </c>
      <c r="K1772" s="145" t="str">
        <f t="shared" si="82"/>
        <v/>
      </c>
      <c r="L1772" s="145">
        <f t="shared" si="83"/>
        <v>0</v>
      </c>
      <c r="M1772" t="str">
        <f>_xlfn.XLOOKUP(Table3[[#This Row],[Cuenta]],Estructura_Balance[Nombre Cuenta ()],Estructura_Balance[Grupo],"",0)</f>
        <v/>
      </c>
      <c r="N1772" t="str">
        <f>_xlfn.XLOOKUP(Table3[[#This Row],[Cuenta]],Estructura_Balance[Nombre Cuenta ()],Estructura_Balance[Nivel 1],"",0)</f>
        <v/>
      </c>
      <c r="O1772" t="str">
        <f>_xlfn.XLOOKUP(Table3[[#This Row],[Cuenta]],Estructura_Balance[Nombre Cuenta ()],Estructura_Balance[Nivel 2],"",0)</f>
        <v/>
      </c>
      <c r="P1772" t="str">
        <f>_xlfn.XLOOKUP(Table3[[#This Row],[Cuenta]],Estructura_Balance[Nombre Cuenta ()],Estructura_Balance[Nivel 3],"",0)</f>
        <v/>
      </c>
      <c r="Q1772" t="str">
        <f>_xlfn.XLOOKUP(Table3[[#This Row],[Cuenta]],Estructura_Balance[Nombre Cuenta ()],Estructura_Balance[Nivel 4],"",0)</f>
        <v/>
      </c>
      <c r="R1772" t="str">
        <f>_xlfn.XLOOKUP(Table3[[#This Row],[Cuenta]],Table8[Nombre Cuenta ()],Table8[Nivel 1],"",0)</f>
        <v/>
      </c>
      <c r="S1772" t="str">
        <f>_xlfn.XLOOKUP(Table3[[#This Row],[Cuenta]],Table8[Nombre Cuenta ()],Table8[Nivel 2],"",0)</f>
        <v/>
      </c>
      <c r="T1772" t="str">
        <f>_xlfn.XLOOKUP(Table3[[#This Row],[Cuenta]],Table8[Nombre Cuenta ()],Table8[Nivel 3],"",0)</f>
        <v/>
      </c>
      <c r="U1772">
        <v>1706</v>
      </c>
      <c r="V1772" t="str">
        <f>_xlfn.XLOOKUP(Table3[[#This Row],[Cuenta]],Estructura_Balance[Nombre Cuenta ()],Estructura_Balance[Niveles:2],"",0)</f>
        <v/>
      </c>
      <c r="W1772" t="str">
        <f>_xlfn.XLOOKUP(Table3[[#This Row],[Cuenta]],Estructura_Balance[Nombre Cuenta ()],Estructura_Balance[Niveles:3],"",0)</f>
        <v/>
      </c>
      <c r="X1772" t="str">
        <f>_xlfn.XLOOKUP(Table3[[#This Row],[Cuenta]],Estructura_Balance[Nombre Cuenta ()],Estructura_Balance[Grupos],"Grupo 1",0)</f>
        <v>Grupo 1</v>
      </c>
      <c r="Y1772" t="str">
        <f>+Table3[[#This Row],[BS_Nivel_1]]</f>
        <v/>
      </c>
    </row>
    <row r="1773" spans="1:25" ht="15" customHeight="1">
      <c r="A1773">
        <f>+'Libro Diario'!F319</f>
        <v>35</v>
      </c>
      <c r="B1773" s="144">
        <f>VALUE(IF(+'Libro Diario'!G319="","01/01/2025",+'Libro Diario'!G319))</f>
        <v>45930</v>
      </c>
      <c r="C1773">
        <f>IF(ISNUMBER(+IF(IFERROR(VALUE(MID('Libro Diario'!C319,1,4)),0)&lt;&gt;0,'Libro Diario'!C319,0))=FALSE,'Libro Diario'!C319,0)</f>
        <v>0</v>
      </c>
      <c r="D1773" s="145">
        <f>+'Libro Diario'!B319</f>
        <v>0</v>
      </c>
      <c r="E1773" s="139" t="s">
        <v>445</v>
      </c>
      <c r="F1773" t="str">
        <f t="shared" si="81"/>
        <v>Sin Mov.</v>
      </c>
      <c r="G1773" t="str">
        <f>IF(+'Libro Diario'!H319=0,"",+'Libro Diario'!H319)</f>
        <v>Operaciones del Ejercicio</v>
      </c>
      <c r="H1773" t="str">
        <f>IF(+'Libro Diario'!I319=0,"",+'Libro Diario'!I319)</f>
        <v/>
      </c>
      <c r="I1773" t="str">
        <f>+IF(Table3[[#This Row],[Tipo Movimiento]]="Estructura Balance y PyG","Excluir","Incluir")</f>
        <v>Incluir</v>
      </c>
      <c r="J1773" s="153">
        <f>+IF(Table3[[#This Row],[Sin cuenta]]="Con Mov.",(IF(Table3[[#This Row],[Movimiento]]="Debe",Table3[[#This Row],[Importe]],IF(Table3[[#This Row],[Movimiento]]="Haber",Table3[[#This Row],[Importe]]*-1,0))),0)</f>
        <v>0</v>
      </c>
      <c r="K1773" s="145">
        <f t="shared" si="82"/>
        <v>0</v>
      </c>
      <c r="L1773" s="145" t="str">
        <f t="shared" si="83"/>
        <v/>
      </c>
      <c r="M1773" t="str">
        <f>_xlfn.XLOOKUP(Table3[[#This Row],[Cuenta]],Estructura_Balance[Nombre Cuenta ()],Estructura_Balance[Grupo],"",0)</f>
        <v/>
      </c>
      <c r="N1773" t="str">
        <f>_xlfn.XLOOKUP(Table3[[#This Row],[Cuenta]],Estructura_Balance[Nombre Cuenta ()],Estructura_Balance[Nivel 1],"",0)</f>
        <v/>
      </c>
      <c r="O1773" t="str">
        <f>_xlfn.XLOOKUP(Table3[[#This Row],[Cuenta]],Estructura_Balance[Nombre Cuenta ()],Estructura_Balance[Nivel 2],"",0)</f>
        <v/>
      </c>
      <c r="P1773" t="str">
        <f>_xlfn.XLOOKUP(Table3[[#This Row],[Cuenta]],Estructura_Balance[Nombre Cuenta ()],Estructura_Balance[Nivel 3],"",0)</f>
        <v/>
      </c>
      <c r="Q1773" t="str">
        <f>_xlfn.XLOOKUP(Table3[[#This Row],[Cuenta]],Estructura_Balance[Nombre Cuenta ()],Estructura_Balance[Nivel 4],"",0)</f>
        <v/>
      </c>
      <c r="R1773" t="str">
        <f>_xlfn.XLOOKUP(Table3[[#This Row],[Cuenta]],Table8[Nombre Cuenta ()],Table8[Nivel 1],"",0)</f>
        <v/>
      </c>
      <c r="S1773" t="str">
        <f>_xlfn.XLOOKUP(Table3[[#This Row],[Cuenta]],Table8[Nombre Cuenta ()],Table8[Nivel 2],"",0)</f>
        <v/>
      </c>
      <c r="T1773" t="str">
        <f>_xlfn.XLOOKUP(Table3[[#This Row],[Cuenta]],Table8[Nombre Cuenta ()],Table8[Nivel 3],"",0)</f>
        <v/>
      </c>
      <c r="U1773">
        <v>439</v>
      </c>
      <c r="V1773" t="str">
        <f>_xlfn.XLOOKUP(Table3[[#This Row],[Cuenta]],Estructura_Balance[Nombre Cuenta ()],Estructura_Balance[Niveles:2],"",0)</f>
        <v/>
      </c>
      <c r="W1773" t="str">
        <f>_xlfn.XLOOKUP(Table3[[#This Row],[Cuenta]],Estructura_Balance[Nombre Cuenta ()],Estructura_Balance[Niveles:3],"",0)</f>
        <v/>
      </c>
      <c r="X1773" t="str">
        <f>_xlfn.XLOOKUP(Table3[[#This Row],[Cuenta]],Estructura_Balance[Nombre Cuenta ()],Estructura_Balance[Grupos],"Grupo 1",0)</f>
        <v>Grupo 1</v>
      </c>
      <c r="Y1773" t="str">
        <f>+Table3[[#This Row],[BS_Nivel_1]]</f>
        <v/>
      </c>
    </row>
    <row r="1774" spans="1:25" ht="15" customHeight="1">
      <c r="A1774">
        <f>+'Libro Diario'!F320</f>
        <v>35</v>
      </c>
      <c r="B1774" s="144">
        <f>VALUE(IF(+'Libro Diario'!G320="","01/01/2025",+'Libro Diario'!G320))</f>
        <v>45930</v>
      </c>
      <c r="C1774">
        <f>IF(ISNUMBER(+IF(IFERROR(VALUE(MID('Libro Diario'!C320,1,4)),0)&lt;&gt;0,'Libro Diario'!C320,0))=FALSE,'Libro Diario'!C320,0)</f>
        <v>0</v>
      </c>
      <c r="D1774" s="145">
        <f>+'Libro Diario'!B320</f>
        <v>0</v>
      </c>
      <c r="E1774" s="139" t="s">
        <v>445</v>
      </c>
      <c r="F1774" t="str">
        <f t="shared" si="81"/>
        <v>Sin Mov.</v>
      </c>
      <c r="G1774" t="str">
        <f>IF(+'Libro Diario'!H320=0,"",+'Libro Diario'!H320)</f>
        <v>Operaciones del Ejercicio</v>
      </c>
      <c r="H1774" t="str">
        <f>IF(+'Libro Diario'!I320=0,"",+'Libro Diario'!I320)</f>
        <v/>
      </c>
      <c r="I1774" t="str">
        <f>+IF(Table3[[#This Row],[Tipo Movimiento]]="Estructura Balance y PyG","Excluir","Incluir")</f>
        <v>Incluir</v>
      </c>
      <c r="J1774" s="153">
        <f>+IF(Table3[[#This Row],[Sin cuenta]]="Con Mov.",(IF(Table3[[#This Row],[Movimiento]]="Debe",Table3[[#This Row],[Importe]],IF(Table3[[#This Row],[Movimiento]]="Haber",Table3[[#This Row],[Importe]]*-1,0))),0)</f>
        <v>0</v>
      </c>
      <c r="K1774" s="145">
        <f t="shared" si="82"/>
        <v>0</v>
      </c>
      <c r="L1774" s="145" t="str">
        <f t="shared" si="83"/>
        <v/>
      </c>
      <c r="M1774" t="str">
        <f>_xlfn.XLOOKUP(Table3[[#This Row],[Cuenta]],Estructura_Balance[Nombre Cuenta ()],Estructura_Balance[Grupo],"",0)</f>
        <v/>
      </c>
      <c r="N1774" t="str">
        <f>_xlfn.XLOOKUP(Table3[[#This Row],[Cuenta]],Estructura_Balance[Nombre Cuenta ()],Estructura_Balance[Nivel 1],"",0)</f>
        <v/>
      </c>
      <c r="O1774" t="str">
        <f>_xlfn.XLOOKUP(Table3[[#This Row],[Cuenta]],Estructura_Balance[Nombre Cuenta ()],Estructura_Balance[Nivel 2],"",0)</f>
        <v/>
      </c>
      <c r="P1774" t="str">
        <f>_xlfn.XLOOKUP(Table3[[#This Row],[Cuenta]],Estructura_Balance[Nombre Cuenta ()],Estructura_Balance[Nivel 3],"",0)</f>
        <v/>
      </c>
      <c r="Q1774" t="str">
        <f>_xlfn.XLOOKUP(Table3[[#This Row],[Cuenta]],Estructura_Balance[Nombre Cuenta ()],Estructura_Balance[Nivel 4],"",0)</f>
        <v/>
      </c>
      <c r="R1774" t="str">
        <f>_xlfn.XLOOKUP(Table3[[#This Row],[Cuenta]],Table8[Nombre Cuenta ()],Table8[Nivel 1],"",0)</f>
        <v/>
      </c>
      <c r="S1774" t="str">
        <f>_xlfn.XLOOKUP(Table3[[#This Row],[Cuenta]],Table8[Nombre Cuenta ()],Table8[Nivel 2],"",0)</f>
        <v/>
      </c>
      <c r="T1774" t="str">
        <f>_xlfn.XLOOKUP(Table3[[#This Row],[Cuenta]],Table8[Nombre Cuenta ()],Table8[Nivel 3],"",0)</f>
        <v/>
      </c>
      <c r="U1774">
        <v>440</v>
      </c>
      <c r="V1774" t="str">
        <f>_xlfn.XLOOKUP(Table3[[#This Row],[Cuenta]],Estructura_Balance[Nombre Cuenta ()],Estructura_Balance[Niveles:2],"",0)</f>
        <v/>
      </c>
      <c r="W1774" t="str">
        <f>_xlfn.XLOOKUP(Table3[[#This Row],[Cuenta]],Estructura_Balance[Nombre Cuenta ()],Estructura_Balance[Niveles:3],"",0)</f>
        <v/>
      </c>
      <c r="X1774" t="str">
        <f>_xlfn.XLOOKUP(Table3[[#This Row],[Cuenta]],Estructura_Balance[Nombre Cuenta ()],Estructura_Balance[Grupos],"Grupo 1",0)</f>
        <v>Grupo 1</v>
      </c>
      <c r="Y1774" t="str">
        <f>+Table3[[#This Row],[BS_Nivel_1]]</f>
        <v/>
      </c>
    </row>
    <row r="1775" spans="1:25" ht="15" customHeight="1">
      <c r="A1775">
        <f>+'Libro Diario'!F319</f>
        <v>35</v>
      </c>
      <c r="B1775" s="144">
        <f>VALUE(IF(+'Libro Diario'!G319="","01/01/2025",+'Libro Diario'!G319))</f>
        <v>45930</v>
      </c>
      <c r="C1775">
        <f>IF(ISNUMBER(+IF(IFERROR(VALUE(MID('Libro Diario'!D319,1,4)),0)&lt;&gt;0,'Libro Diario'!D319,0))=FALSE,'Libro Diario'!D319,0)</f>
        <v>0</v>
      </c>
      <c r="D1775" s="145">
        <f>+'Libro Diario'!E319</f>
        <v>0</v>
      </c>
      <c r="E1775" s="139" t="s">
        <v>446</v>
      </c>
      <c r="F1775" t="str">
        <f t="shared" si="81"/>
        <v>Sin Mov.</v>
      </c>
      <c r="G1775" t="str">
        <f>IF(+'Libro Diario'!H319=0,"",+'Libro Diario'!H319)</f>
        <v>Operaciones del Ejercicio</v>
      </c>
      <c r="H1775" t="str">
        <f>IF(+'Libro Diario'!I319=0,"",+'Libro Diario'!I319)</f>
        <v/>
      </c>
      <c r="I1775" t="str">
        <f>+IF(Table3[[#This Row],[Tipo Movimiento]]="Estructura Balance y PyG","Excluir","Incluir")</f>
        <v>Incluir</v>
      </c>
      <c r="J1775" s="153">
        <f>+IF(Table3[[#This Row],[Sin cuenta]]="Con Mov.",(IF(Table3[[#This Row],[Movimiento]]="Debe",Table3[[#This Row],[Importe]],IF(Table3[[#This Row],[Movimiento]]="Haber",Table3[[#This Row],[Importe]]*-1,0))),0)</f>
        <v>0</v>
      </c>
      <c r="K1775" s="145" t="str">
        <f t="shared" si="82"/>
        <v/>
      </c>
      <c r="L1775" s="145">
        <f t="shared" si="83"/>
        <v>0</v>
      </c>
      <c r="M1775" t="str">
        <f>_xlfn.XLOOKUP(Table3[[#This Row],[Cuenta]],Estructura_Balance[Nombre Cuenta ()],Estructura_Balance[Grupo],"",0)</f>
        <v/>
      </c>
      <c r="N1775" t="str">
        <f>_xlfn.XLOOKUP(Table3[[#This Row],[Cuenta]],Estructura_Balance[Nombre Cuenta ()],Estructura_Balance[Nivel 1],"",0)</f>
        <v/>
      </c>
      <c r="O1775" t="str">
        <f>_xlfn.XLOOKUP(Table3[[#This Row],[Cuenta]],Estructura_Balance[Nombre Cuenta ()],Estructura_Balance[Nivel 2],"",0)</f>
        <v/>
      </c>
      <c r="P1775" t="str">
        <f>_xlfn.XLOOKUP(Table3[[#This Row],[Cuenta]],Estructura_Balance[Nombre Cuenta ()],Estructura_Balance[Nivel 3],"",0)</f>
        <v/>
      </c>
      <c r="Q1775" t="str">
        <f>_xlfn.XLOOKUP(Table3[[#This Row],[Cuenta]],Estructura_Balance[Nombre Cuenta ()],Estructura_Balance[Nivel 4],"",0)</f>
        <v/>
      </c>
      <c r="R1775" t="str">
        <f>_xlfn.XLOOKUP(Table3[[#This Row],[Cuenta]],Table8[Nombre Cuenta ()],Table8[Nivel 1],"",0)</f>
        <v/>
      </c>
      <c r="S1775" t="str">
        <f>_xlfn.XLOOKUP(Table3[[#This Row],[Cuenta]],Table8[Nombre Cuenta ()],Table8[Nivel 2],"",0)</f>
        <v/>
      </c>
      <c r="T1775" t="str">
        <f>_xlfn.XLOOKUP(Table3[[#This Row],[Cuenta]],Table8[Nombre Cuenta ()],Table8[Nivel 3],"",0)</f>
        <v/>
      </c>
      <c r="U1775">
        <v>1712</v>
      </c>
      <c r="V1775" t="str">
        <f>_xlfn.XLOOKUP(Table3[[#This Row],[Cuenta]],Estructura_Balance[Nombre Cuenta ()],Estructura_Balance[Niveles:2],"",0)</f>
        <v/>
      </c>
      <c r="W1775" t="str">
        <f>_xlfn.XLOOKUP(Table3[[#This Row],[Cuenta]],Estructura_Balance[Nombre Cuenta ()],Estructura_Balance[Niveles:3],"",0)</f>
        <v/>
      </c>
      <c r="X1775" t="str">
        <f>_xlfn.XLOOKUP(Table3[[#This Row],[Cuenta]],Estructura_Balance[Nombre Cuenta ()],Estructura_Balance[Grupos],"Grupo 1",0)</f>
        <v>Grupo 1</v>
      </c>
      <c r="Y1775" t="str">
        <f>+Table3[[#This Row],[BS_Nivel_1]]</f>
        <v/>
      </c>
    </row>
    <row r="1776" spans="1:25" ht="15" customHeight="1">
      <c r="A1776">
        <f>+'Libro Diario'!F320</f>
        <v>35</v>
      </c>
      <c r="B1776" s="144">
        <f>VALUE(IF(+'Libro Diario'!G320="","01/01/2025",+'Libro Diario'!G320))</f>
        <v>45930</v>
      </c>
      <c r="C1776">
        <f>IF(ISNUMBER(+IF(IFERROR(VALUE(MID('Libro Diario'!D320,1,4)),0)&lt;&gt;0,'Libro Diario'!D320,0))=FALSE,'Libro Diario'!D320,0)</f>
        <v>0</v>
      </c>
      <c r="D1776" s="145">
        <f>+'Libro Diario'!E320</f>
        <v>0</v>
      </c>
      <c r="E1776" s="139" t="s">
        <v>446</v>
      </c>
      <c r="F1776" t="str">
        <f t="shared" si="81"/>
        <v>Sin Mov.</v>
      </c>
      <c r="G1776" t="str">
        <f>IF(+'Libro Diario'!H320=0,"",+'Libro Diario'!H320)</f>
        <v>Operaciones del Ejercicio</v>
      </c>
      <c r="H1776" t="str">
        <f>IF(+'Libro Diario'!I320=0,"",+'Libro Diario'!I320)</f>
        <v/>
      </c>
      <c r="I1776" t="str">
        <f>+IF(Table3[[#This Row],[Tipo Movimiento]]="Estructura Balance y PyG","Excluir","Incluir")</f>
        <v>Incluir</v>
      </c>
      <c r="J1776" s="153">
        <f>+IF(Table3[[#This Row],[Sin cuenta]]="Con Mov.",(IF(Table3[[#This Row],[Movimiento]]="Debe",Table3[[#This Row],[Importe]],IF(Table3[[#This Row],[Movimiento]]="Haber",Table3[[#This Row],[Importe]]*-1,0))),0)</f>
        <v>0</v>
      </c>
      <c r="K1776" s="145" t="str">
        <f t="shared" si="82"/>
        <v/>
      </c>
      <c r="L1776" s="145">
        <f t="shared" si="83"/>
        <v>0</v>
      </c>
      <c r="M1776" t="str">
        <f>_xlfn.XLOOKUP(Table3[[#This Row],[Cuenta]],Estructura_Balance[Nombre Cuenta ()],Estructura_Balance[Grupo],"",0)</f>
        <v/>
      </c>
      <c r="N1776" t="str">
        <f>_xlfn.XLOOKUP(Table3[[#This Row],[Cuenta]],Estructura_Balance[Nombre Cuenta ()],Estructura_Balance[Nivel 1],"",0)</f>
        <v/>
      </c>
      <c r="O1776" t="str">
        <f>_xlfn.XLOOKUP(Table3[[#This Row],[Cuenta]],Estructura_Balance[Nombre Cuenta ()],Estructura_Balance[Nivel 2],"",0)</f>
        <v/>
      </c>
      <c r="P1776" t="str">
        <f>_xlfn.XLOOKUP(Table3[[#This Row],[Cuenta]],Estructura_Balance[Nombre Cuenta ()],Estructura_Balance[Nivel 3],"",0)</f>
        <v/>
      </c>
      <c r="Q1776" t="str">
        <f>_xlfn.XLOOKUP(Table3[[#This Row],[Cuenta]],Estructura_Balance[Nombre Cuenta ()],Estructura_Balance[Nivel 4],"",0)</f>
        <v/>
      </c>
      <c r="R1776" t="str">
        <f>_xlfn.XLOOKUP(Table3[[#This Row],[Cuenta]],Table8[Nombre Cuenta ()],Table8[Nivel 1],"",0)</f>
        <v/>
      </c>
      <c r="S1776" t="str">
        <f>_xlfn.XLOOKUP(Table3[[#This Row],[Cuenta]],Table8[Nombre Cuenta ()],Table8[Nivel 2],"",0)</f>
        <v/>
      </c>
      <c r="T1776" t="str">
        <f>_xlfn.XLOOKUP(Table3[[#This Row],[Cuenta]],Table8[Nombre Cuenta ()],Table8[Nivel 3],"",0)</f>
        <v/>
      </c>
      <c r="U1776">
        <v>1713</v>
      </c>
      <c r="V1776" t="str">
        <f>_xlfn.XLOOKUP(Table3[[#This Row],[Cuenta]],Estructura_Balance[Nombre Cuenta ()],Estructura_Balance[Niveles:2],"",0)</f>
        <v/>
      </c>
      <c r="W1776" t="str">
        <f>_xlfn.XLOOKUP(Table3[[#This Row],[Cuenta]],Estructura_Balance[Nombre Cuenta ()],Estructura_Balance[Niveles:3],"",0)</f>
        <v/>
      </c>
      <c r="X1776" t="str">
        <f>_xlfn.XLOOKUP(Table3[[#This Row],[Cuenta]],Estructura_Balance[Nombre Cuenta ()],Estructura_Balance[Grupos],"Grupo 1",0)</f>
        <v>Grupo 1</v>
      </c>
      <c r="Y1776" t="str">
        <f>+Table3[[#This Row],[BS_Nivel_1]]</f>
        <v/>
      </c>
    </row>
    <row r="1777" spans="1:25" ht="15" customHeight="1">
      <c r="A1777">
        <f>+'Libro Diario'!F326</f>
        <v>36</v>
      </c>
      <c r="B1777" s="144">
        <f>VALUE(IF(+'Libro Diario'!G326="","01/01/2025",+'Libro Diario'!G326))</f>
        <v>0</v>
      </c>
      <c r="C1777">
        <f>IF(ISNUMBER(+IF(IFERROR(VALUE(MID('Libro Diario'!C326,1,4)),0)&lt;&gt;0,'Libro Diario'!C326,0))=FALSE,'Libro Diario'!C326,0)</f>
        <v>0</v>
      </c>
      <c r="D1777" s="145">
        <f>+'Libro Diario'!B326</f>
        <v>0</v>
      </c>
      <c r="E1777" s="139" t="s">
        <v>445</v>
      </c>
      <c r="F1777" t="str">
        <f t="shared" si="81"/>
        <v>Sin Mov.</v>
      </c>
      <c r="G1777" t="str">
        <f>IF(+'Libro Diario'!H326=0,"",+'Libro Diario'!H326)</f>
        <v>Operaciones del Ejercicio</v>
      </c>
      <c r="H1777" t="str">
        <f>IF(+'Libro Diario'!I326=0,"",+'Libro Diario'!I326)</f>
        <v/>
      </c>
      <c r="I1777" t="str">
        <f>+IF(Table3[[#This Row],[Tipo Movimiento]]="Estructura Balance y PyG","Excluir","Incluir")</f>
        <v>Incluir</v>
      </c>
      <c r="J1777" s="153">
        <f>+IF(Table3[[#This Row],[Sin cuenta]]="Con Mov.",(IF(Table3[[#This Row],[Movimiento]]="Debe",Table3[[#This Row],[Importe]],IF(Table3[[#This Row],[Movimiento]]="Haber",Table3[[#This Row],[Importe]]*-1,0))),0)</f>
        <v>0</v>
      </c>
      <c r="K1777" s="145">
        <f t="shared" si="82"/>
        <v>0</v>
      </c>
      <c r="L1777" s="145" t="str">
        <f t="shared" si="83"/>
        <v/>
      </c>
      <c r="M1777" t="str">
        <f>_xlfn.XLOOKUP(Table3[[#This Row],[Cuenta]],Estructura_Balance[Nombre Cuenta ()],Estructura_Balance[Grupo],"",0)</f>
        <v/>
      </c>
      <c r="N1777" t="str">
        <f>_xlfn.XLOOKUP(Table3[[#This Row],[Cuenta]],Estructura_Balance[Nombre Cuenta ()],Estructura_Balance[Nivel 1],"",0)</f>
        <v/>
      </c>
      <c r="O1777" t="str">
        <f>_xlfn.XLOOKUP(Table3[[#This Row],[Cuenta]],Estructura_Balance[Nombre Cuenta ()],Estructura_Balance[Nivel 2],"",0)</f>
        <v/>
      </c>
      <c r="P1777" t="str">
        <f>_xlfn.XLOOKUP(Table3[[#This Row],[Cuenta]],Estructura_Balance[Nombre Cuenta ()],Estructura_Balance[Nivel 3],"",0)</f>
        <v/>
      </c>
      <c r="Q1777" t="str">
        <f>_xlfn.XLOOKUP(Table3[[#This Row],[Cuenta]],Estructura_Balance[Nombre Cuenta ()],Estructura_Balance[Nivel 4],"",0)</f>
        <v/>
      </c>
      <c r="R1777" t="str">
        <f>_xlfn.XLOOKUP(Table3[[#This Row],[Cuenta]],Table8[Nombre Cuenta ()],Table8[Nivel 1],"",0)</f>
        <v/>
      </c>
      <c r="S1777" t="str">
        <f>_xlfn.XLOOKUP(Table3[[#This Row],[Cuenta]],Table8[Nombre Cuenta ()],Table8[Nivel 2],"",0)</f>
        <v/>
      </c>
      <c r="T1777" t="str">
        <f>_xlfn.XLOOKUP(Table3[[#This Row],[Cuenta]],Table8[Nombre Cuenta ()],Table8[Nivel 3],"",0)</f>
        <v/>
      </c>
      <c r="U1777">
        <v>448</v>
      </c>
      <c r="V1777" t="str">
        <f>_xlfn.XLOOKUP(Table3[[#This Row],[Cuenta]],Estructura_Balance[Nombre Cuenta ()],Estructura_Balance[Niveles:2],"",0)</f>
        <v/>
      </c>
      <c r="W1777" t="str">
        <f>_xlfn.XLOOKUP(Table3[[#This Row],[Cuenta]],Estructura_Balance[Nombre Cuenta ()],Estructura_Balance[Niveles:3],"",0)</f>
        <v/>
      </c>
      <c r="X1777" t="str">
        <f>_xlfn.XLOOKUP(Table3[[#This Row],[Cuenta]],Estructura_Balance[Nombre Cuenta ()],Estructura_Balance[Grupos],"Grupo 1",0)</f>
        <v>Grupo 1</v>
      </c>
      <c r="Y1777" t="str">
        <f>+Table3[[#This Row],[BS_Nivel_1]]</f>
        <v/>
      </c>
    </row>
    <row r="1778" spans="1:25" ht="15" customHeight="1">
      <c r="A1778">
        <f>+'Libro Diario'!F327</f>
        <v>36</v>
      </c>
      <c r="B1778" s="144">
        <f>VALUE(IF(+'Libro Diario'!G327="","01/01/2025",+'Libro Diario'!G327))</f>
        <v>0</v>
      </c>
      <c r="C1778">
        <f>IF(ISNUMBER(+IF(IFERROR(VALUE(MID('Libro Diario'!C327,1,4)),0)&lt;&gt;0,'Libro Diario'!C327,0))=FALSE,'Libro Diario'!C327,0)</f>
        <v>0</v>
      </c>
      <c r="D1778" s="145">
        <f>+'Libro Diario'!B327</f>
        <v>0</v>
      </c>
      <c r="E1778" s="139" t="s">
        <v>445</v>
      </c>
      <c r="F1778" t="str">
        <f t="shared" si="81"/>
        <v>Sin Mov.</v>
      </c>
      <c r="G1778" t="str">
        <f>IF(+'Libro Diario'!H327=0,"",+'Libro Diario'!H327)</f>
        <v>Operaciones del Ejercicio</v>
      </c>
      <c r="H1778" t="str">
        <f>IF(+'Libro Diario'!I327=0,"",+'Libro Diario'!I327)</f>
        <v/>
      </c>
      <c r="I1778" t="str">
        <f>+IF(Table3[[#This Row],[Tipo Movimiento]]="Estructura Balance y PyG","Excluir","Incluir")</f>
        <v>Incluir</v>
      </c>
      <c r="J1778" s="153">
        <f>+IF(Table3[[#This Row],[Sin cuenta]]="Con Mov.",(IF(Table3[[#This Row],[Movimiento]]="Debe",Table3[[#This Row],[Importe]],IF(Table3[[#This Row],[Movimiento]]="Haber",Table3[[#This Row],[Importe]]*-1,0))),0)</f>
        <v>0</v>
      </c>
      <c r="K1778" s="145">
        <f t="shared" si="82"/>
        <v>0</v>
      </c>
      <c r="L1778" s="145" t="str">
        <f t="shared" si="83"/>
        <v/>
      </c>
      <c r="M1778" t="str">
        <f>_xlfn.XLOOKUP(Table3[[#This Row],[Cuenta]],Estructura_Balance[Nombre Cuenta ()],Estructura_Balance[Grupo],"",0)</f>
        <v/>
      </c>
      <c r="N1778" t="str">
        <f>_xlfn.XLOOKUP(Table3[[#This Row],[Cuenta]],Estructura_Balance[Nombre Cuenta ()],Estructura_Balance[Nivel 1],"",0)</f>
        <v/>
      </c>
      <c r="O1778" t="str">
        <f>_xlfn.XLOOKUP(Table3[[#This Row],[Cuenta]],Estructura_Balance[Nombre Cuenta ()],Estructura_Balance[Nivel 2],"",0)</f>
        <v/>
      </c>
      <c r="P1778" t="str">
        <f>_xlfn.XLOOKUP(Table3[[#This Row],[Cuenta]],Estructura_Balance[Nombre Cuenta ()],Estructura_Balance[Nivel 3],"",0)</f>
        <v/>
      </c>
      <c r="Q1778" t="str">
        <f>_xlfn.XLOOKUP(Table3[[#This Row],[Cuenta]],Estructura_Balance[Nombre Cuenta ()],Estructura_Balance[Nivel 4],"",0)</f>
        <v/>
      </c>
      <c r="R1778" t="str">
        <f>_xlfn.XLOOKUP(Table3[[#This Row],[Cuenta]],Table8[Nombre Cuenta ()],Table8[Nivel 1],"",0)</f>
        <v/>
      </c>
      <c r="S1778" t="str">
        <f>_xlfn.XLOOKUP(Table3[[#This Row],[Cuenta]],Table8[Nombre Cuenta ()],Table8[Nivel 2],"",0)</f>
        <v/>
      </c>
      <c r="T1778" t="str">
        <f>_xlfn.XLOOKUP(Table3[[#This Row],[Cuenta]],Table8[Nombre Cuenta ()],Table8[Nivel 3],"",0)</f>
        <v/>
      </c>
      <c r="U1778">
        <v>449</v>
      </c>
      <c r="V1778" t="str">
        <f>_xlfn.XLOOKUP(Table3[[#This Row],[Cuenta]],Estructura_Balance[Nombre Cuenta ()],Estructura_Balance[Niveles:2],"",0)</f>
        <v/>
      </c>
      <c r="W1778" t="str">
        <f>_xlfn.XLOOKUP(Table3[[#This Row],[Cuenta]],Estructura_Balance[Nombre Cuenta ()],Estructura_Balance[Niveles:3],"",0)</f>
        <v/>
      </c>
      <c r="X1778" t="str">
        <f>_xlfn.XLOOKUP(Table3[[#This Row],[Cuenta]],Estructura_Balance[Nombre Cuenta ()],Estructura_Balance[Grupos],"Grupo 1",0)</f>
        <v>Grupo 1</v>
      </c>
      <c r="Y1778" t="str">
        <f>+Table3[[#This Row],[BS_Nivel_1]]</f>
        <v/>
      </c>
    </row>
    <row r="1779" spans="1:25" ht="15" customHeight="1">
      <c r="A1779">
        <f>+'Libro Diario'!F326</f>
        <v>36</v>
      </c>
      <c r="B1779" s="144">
        <f>VALUE(IF(+'Libro Diario'!G326="","01/01/2025",+'Libro Diario'!G326))</f>
        <v>0</v>
      </c>
      <c r="C1779">
        <f>IF(ISNUMBER(+IF(IFERROR(VALUE(MID('Libro Diario'!D326,1,4)),0)&lt;&gt;0,'Libro Diario'!D326,0))=FALSE,'Libro Diario'!D326,0)</f>
        <v>0</v>
      </c>
      <c r="D1779" s="145">
        <f>+'Libro Diario'!E326</f>
        <v>0</v>
      </c>
      <c r="E1779" s="139" t="s">
        <v>446</v>
      </c>
      <c r="F1779" t="str">
        <f t="shared" si="81"/>
        <v>Sin Mov.</v>
      </c>
      <c r="G1779" t="str">
        <f>IF(+'Libro Diario'!H326=0,"",+'Libro Diario'!H326)</f>
        <v>Operaciones del Ejercicio</v>
      </c>
      <c r="H1779" t="str">
        <f>IF(+'Libro Diario'!I326=0,"",+'Libro Diario'!I326)</f>
        <v/>
      </c>
      <c r="I1779" t="str">
        <f>+IF(Table3[[#This Row],[Tipo Movimiento]]="Estructura Balance y PyG","Excluir","Incluir")</f>
        <v>Incluir</v>
      </c>
      <c r="J1779" s="153">
        <f>+IF(Table3[[#This Row],[Sin cuenta]]="Con Mov.",(IF(Table3[[#This Row],[Movimiento]]="Debe",Table3[[#This Row],[Importe]],IF(Table3[[#This Row],[Movimiento]]="Haber",Table3[[#This Row],[Importe]]*-1,0))),0)</f>
        <v>0</v>
      </c>
      <c r="K1779" s="145" t="str">
        <f t="shared" si="82"/>
        <v/>
      </c>
      <c r="L1779" s="145">
        <f t="shared" si="83"/>
        <v>0</v>
      </c>
      <c r="M1779" t="str">
        <f>_xlfn.XLOOKUP(Table3[[#This Row],[Cuenta]],Estructura_Balance[Nombre Cuenta ()],Estructura_Balance[Grupo],"",0)</f>
        <v/>
      </c>
      <c r="N1779" t="str">
        <f>_xlfn.XLOOKUP(Table3[[#This Row],[Cuenta]],Estructura_Balance[Nombre Cuenta ()],Estructura_Balance[Nivel 1],"",0)</f>
        <v/>
      </c>
      <c r="O1779" t="str">
        <f>_xlfn.XLOOKUP(Table3[[#This Row],[Cuenta]],Estructura_Balance[Nombre Cuenta ()],Estructura_Balance[Nivel 2],"",0)</f>
        <v/>
      </c>
      <c r="P1779" t="str">
        <f>_xlfn.XLOOKUP(Table3[[#This Row],[Cuenta]],Estructura_Balance[Nombre Cuenta ()],Estructura_Balance[Nivel 3],"",0)</f>
        <v/>
      </c>
      <c r="Q1779" t="str">
        <f>_xlfn.XLOOKUP(Table3[[#This Row],[Cuenta]],Estructura_Balance[Nombre Cuenta ()],Estructura_Balance[Nivel 4],"",0)</f>
        <v/>
      </c>
      <c r="R1779" t="str">
        <f>_xlfn.XLOOKUP(Table3[[#This Row],[Cuenta]],Table8[Nombre Cuenta ()],Table8[Nivel 1],"",0)</f>
        <v/>
      </c>
      <c r="S1779" t="str">
        <f>_xlfn.XLOOKUP(Table3[[#This Row],[Cuenta]],Table8[Nombre Cuenta ()],Table8[Nivel 2],"",0)</f>
        <v/>
      </c>
      <c r="T1779" t="str">
        <f>_xlfn.XLOOKUP(Table3[[#This Row],[Cuenta]],Table8[Nombre Cuenta ()],Table8[Nivel 3],"",0)</f>
        <v/>
      </c>
      <c r="U1779">
        <v>1719</v>
      </c>
      <c r="V1779" t="str">
        <f>_xlfn.XLOOKUP(Table3[[#This Row],[Cuenta]],Estructura_Balance[Nombre Cuenta ()],Estructura_Balance[Niveles:2],"",0)</f>
        <v/>
      </c>
      <c r="W1779" t="str">
        <f>_xlfn.XLOOKUP(Table3[[#This Row],[Cuenta]],Estructura_Balance[Nombre Cuenta ()],Estructura_Balance[Niveles:3],"",0)</f>
        <v/>
      </c>
      <c r="X1779" t="str">
        <f>_xlfn.XLOOKUP(Table3[[#This Row],[Cuenta]],Estructura_Balance[Nombre Cuenta ()],Estructura_Balance[Grupos],"Grupo 1",0)</f>
        <v>Grupo 1</v>
      </c>
      <c r="Y1779" t="str">
        <f>+Table3[[#This Row],[BS_Nivel_1]]</f>
        <v/>
      </c>
    </row>
    <row r="1780" spans="1:25" ht="15" customHeight="1">
      <c r="A1780">
        <f>+'Libro Diario'!F327</f>
        <v>36</v>
      </c>
      <c r="B1780" s="144">
        <f>VALUE(IF(+'Libro Diario'!G327="","01/01/2025",+'Libro Diario'!G327))</f>
        <v>0</v>
      </c>
      <c r="C1780">
        <f>IF(ISNUMBER(+IF(IFERROR(VALUE(MID('Libro Diario'!D327,1,4)),0)&lt;&gt;0,'Libro Diario'!D327,0))=FALSE,'Libro Diario'!D327,0)</f>
        <v>0</v>
      </c>
      <c r="D1780" s="145">
        <f>+'Libro Diario'!E327</f>
        <v>0</v>
      </c>
      <c r="E1780" s="139" t="s">
        <v>446</v>
      </c>
      <c r="F1780" t="str">
        <f t="shared" si="81"/>
        <v>Sin Mov.</v>
      </c>
      <c r="G1780" t="str">
        <f>IF(+'Libro Diario'!H327=0,"",+'Libro Diario'!H327)</f>
        <v>Operaciones del Ejercicio</v>
      </c>
      <c r="H1780" t="str">
        <f>IF(+'Libro Diario'!I327=0,"",+'Libro Diario'!I327)</f>
        <v/>
      </c>
      <c r="I1780" t="str">
        <f>+IF(Table3[[#This Row],[Tipo Movimiento]]="Estructura Balance y PyG","Excluir","Incluir")</f>
        <v>Incluir</v>
      </c>
      <c r="J1780" s="153">
        <f>+IF(Table3[[#This Row],[Sin cuenta]]="Con Mov.",(IF(Table3[[#This Row],[Movimiento]]="Debe",Table3[[#This Row],[Importe]],IF(Table3[[#This Row],[Movimiento]]="Haber",Table3[[#This Row],[Importe]]*-1,0))),0)</f>
        <v>0</v>
      </c>
      <c r="K1780" s="145" t="str">
        <f t="shared" si="82"/>
        <v/>
      </c>
      <c r="L1780" s="145">
        <f t="shared" si="83"/>
        <v>0</v>
      </c>
      <c r="M1780" t="str">
        <f>_xlfn.XLOOKUP(Table3[[#This Row],[Cuenta]],Estructura_Balance[Nombre Cuenta ()],Estructura_Balance[Grupo],"",0)</f>
        <v/>
      </c>
      <c r="N1780" t="str">
        <f>_xlfn.XLOOKUP(Table3[[#This Row],[Cuenta]],Estructura_Balance[Nombre Cuenta ()],Estructura_Balance[Nivel 1],"",0)</f>
        <v/>
      </c>
      <c r="O1780" t="str">
        <f>_xlfn.XLOOKUP(Table3[[#This Row],[Cuenta]],Estructura_Balance[Nombre Cuenta ()],Estructura_Balance[Nivel 2],"",0)</f>
        <v/>
      </c>
      <c r="P1780" t="str">
        <f>_xlfn.XLOOKUP(Table3[[#This Row],[Cuenta]],Estructura_Balance[Nombre Cuenta ()],Estructura_Balance[Nivel 3],"",0)</f>
        <v/>
      </c>
      <c r="Q1780" t="str">
        <f>_xlfn.XLOOKUP(Table3[[#This Row],[Cuenta]],Estructura_Balance[Nombre Cuenta ()],Estructura_Balance[Nivel 4],"",0)</f>
        <v/>
      </c>
      <c r="R1780" t="str">
        <f>_xlfn.XLOOKUP(Table3[[#This Row],[Cuenta]],Table8[Nombre Cuenta ()],Table8[Nivel 1],"",0)</f>
        <v/>
      </c>
      <c r="S1780" t="str">
        <f>_xlfn.XLOOKUP(Table3[[#This Row],[Cuenta]],Table8[Nombre Cuenta ()],Table8[Nivel 2],"",0)</f>
        <v/>
      </c>
      <c r="T1780" t="str">
        <f>_xlfn.XLOOKUP(Table3[[#This Row],[Cuenta]],Table8[Nombre Cuenta ()],Table8[Nivel 3],"",0)</f>
        <v/>
      </c>
      <c r="U1780">
        <v>1720</v>
      </c>
      <c r="V1780" t="str">
        <f>_xlfn.XLOOKUP(Table3[[#This Row],[Cuenta]],Estructura_Balance[Nombre Cuenta ()],Estructura_Balance[Niveles:2],"",0)</f>
        <v/>
      </c>
      <c r="W1780" t="str">
        <f>_xlfn.XLOOKUP(Table3[[#This Row],[Cuenta]],Estructura_Balance[Nombre Cuenta ()],Estructura_Balance[Niveles:3],"",0)</f>
        <v/>
      </c>
      <c r="X1780" t="str">
        <f>_xlfn.XLOOKUP(Table3[[#This Row],[Cuenta]],Estructura_Balance[Nombre Cuenta ()],Estructura_Balance[Grupos],"Grupo 1",0)</f>
        <v>Grupo 1</v>
      </c>
      <c r="Y1780" t="str">
        <f>+Table3[[#This Row],[BS_Nivel_1]]</f>
        <v/>
      </c>
    </row>
    <row r="1781" spans="1:25" ht="15" customHeight="1">
      <c r="A1781">
        <f>+'Libro Diario'!F333</f>
        <v>37</v>
      </c>
      <c r="B1781" s="144">
        <f>VALUE(IF(+'Libro Diario'!G333="","01/01/2025",+'Libro Diario'!G333))</f>
        <v>45931</v>
      </c>
      <c r="C1781">
        <f>IF(ISNUMBER(+IF(IFERROR(VALUE(MID('Libro Diario'!C333,1,4)),0)&lt;&gt;0,'Libro Diario'!C333,0))=FALSE,'Libro Diario'!C333,0)</f>
        <v>0</v>
      </c>
      <c r="D1781" s="145">
        <f>+'Libro Diario'!B333</f>
        <v>0</v>
      </c>
      <c r="E1781" s="139" t="s">
        <v>445</v>
      </c>
      <c r="F1781" t="str">
        <f t="shared" si="81"/>
        <v>Sin Mov.</v>
      </c>
      <c r="G1781" t="str">
        <f>IF(+'Libro Diario'!H333=0,"",+'Libro Diario'!H333)</f>
        <v>Operaciones del Ejercicio</v>
      </c>
      <c r="H1781" t="str">
        <f>IF(+'Libro Diario'!I333=0,"",+'Libro Diario'!I333)</f>
        <v/>
      </c>
      <c r="I1781" t="str">
        <f>+IF(Table3[[#This Row],[Tipo Movimiento]]="Estructura Balance y PyG","Excluir","Incluir")</f>
        <v>Incluir</v>
      </c>
      <c r="J1781" s="153">
        <f>+IF(Table3[[#This Row],[Sin cuenta]]="Con Mov.",(IF(Table3[[#This Row],[Movimiento]]="Debe",Table3[[#This Row],[Importe]],IF(Table3[[#This Row],[Movimiento]]="Haber",Table3[[#This Row],[Importe]]*-1,0))),0)</f>
        <v>0</v>
      </c>
      <c r="K1781" s="145">
        <f t="shared" si="82"/>
        <v>0</v>
      </c>
      <c r="L1781" s="145" t="str">
        <f t="shared" si="83"/>
        <v/>
      </c>
      <c r="M1781" t="str">
        <f>_xlfn.XLOOKUP(Table3[[#This Row],[Cuenta]],Estructura_Balance[Nombre Cuenta ()],Estructura_Balance[Grupo],"",0)</f>
        <v/>
      </c>
      <c r="N1781" t="str">
        <f>_xlfn.XLOOKUP(Table3[[#This Row],[Cuenta]],Estructura_Balance[Nombre Cuenta ()],Estructura_Balance[Nivel 1],"",0)</f>
        <v/>
      </c>
      <c r="O1781" t="str">
        <f>_xlfn.XLOOKUP(Table3[[#This Row],[Cuenta]],Estructura_Balance[Nombre Cuenta ()],Estructura_Balance[Nivel 2],"",0)</f>
        <v/>
      </c>
      <c r="P1781" t="str">
        <f>_xlfn.XLOOKUP(Table3[[#This Row],[Cuenta]],Estructura_Balance[Nombre Cuenta ()],Estructura_Balance[Nivel 3],"",0)</f>
        <v/>
      </c>
      <c r="Q1781" t="str">
        <f>_xlfn.XLOOKUP(Table3[[#This Row],[Cuenta]],Estructura_Balance[Nombre Cuenta ()],Estructura_Balance[Nivel 4],"",0)</f>
        <v/>
      </c>
      <c r="R1781" t="str">
        <f>_xlfn.XLOOKUP(Table3[[#This Row],[Cuenta]],Table8[Nombre Cuenta ()],Table8[Nivel 1],"",0)</f>
        <v/>
      </c>
      <c r="S1781" t="str">
        <f>_xlfn.XLOOKUP(Table3[[#This Row],[Cuenta]],Table8[Nombre Cuenta ()],Table8[Nivel 2],"",0)</f>
        <v/>
      </c>
      <c r="T1781" t="str">
        <f>_xlfn.XLOOKUP(Table3[[#This Row],[Cuenta]],Table8[Nombre Cuenta ()],Table8[Nivel 3],"",0)</f>
        <v/>
      </c>
      <c r="U1781">
        <v>457</v>
      </c>
      <c r="V1781" t="str">
        <f>_xlfn.XLOOKUP(Table3[[#This Row],[Cuenta]],Estructura_Balance[Nombre Cuenta ()],Estructura_Balance[Niveles:2],"",0)</f>
        <v/>
      </c>
      <c r="W1781" t="str">
        <f>_xlfn.XLOOKUP(Table3[[#This Row],[Cuenta]],Estructura_Balance[Nombre Cuenta ()],Estructura_Balance[Niveles:3],"",0)</f>
        <v/>
      </c>
      <c r="X1781" t="str">
        <f>_xlfn.XLOOKUP(Table3[[#This Row],[Cuenta]],Estructura_Balance[Nombre Cuenta ()],Estructura_Balance[Grupos],"Grupo 1",0)</f>
        <v>Grupo 1</v>
      </c>
      <c r="Y1781" t="str">
        <f>+Table3[[#This Row],[BS_Nivel_1]]</f>
        <v/>
      </c>
    </row>
    <row r="1782" spans="1:25" ht="15" customHeight="1">
      <c r="A1782">
        <f>+'Libro Diario'!F334</f>
        <v>37</v>
      </c>
      <c r="B1782" s="144">
        <f>VALUE(IF(+'Libro Diario'!G334="","01/01/2025",+'Libro Diario'!G334))</f>
        <v>45931</v>
      </c>
      <c r="C1782">
        <f>IF(ISNUMBER(+IF(IFERROR(VALUE(MID('Libro Diario'!C334,1,4)),0)&lt;&gt;0,'Libro Diario'!C334,0))=FALSE,'Libro Diario'!C334,0)</f>
        <v>0</v>
      </c>
      <c r="D1782" s="145">
        <f>+'Libro Diario'!B334</f>
        <v>0</v>
      </c>
      <c r="E1782" s="139" t="s">
        <v>445</v>
      </c>
      <c r="F1782" t="str">
        <f t="shared" si="81"/>
        <v>Sin Mov.</v>
      </c>
      <c r="G1782" t="str">
        <f>IF(+'Libro Diario'!H334=0,"",+'Libro Diario'!H334)</f>
        <v>Operaciones del Ejercicio</v>
      </c>
      <c r="H1782" t="str">
        <f>IF(+'Libro Diario'!I334=0,"",+'Libro Diario'!I334)</f>
        <v/>
      </c>
      <c r="I1782" t="str">
        <f>+IF(Table3[[#This Row],[Tipo Movimiento]]="Estructura Balance y PyG","Excluir","Incluir")</f>
        <v>Incluir</v>
      </c>
      <c r="J1782" s="153">
        <f>+IF(Table3[[#This Row],[Sin cuenta]]="Con Mov.",(IF(Table3[[#This Row],[Movimiento]]="Debe",Table3[[#This Row],[Importe]],IF(Table3[[#This Row],[Movimiento]]="Haber",Table3[[#This Row],[Importe]]*-1,0))),0)</f>
        <v>0</v>
      </c>
      <c r="K1782" s="145">
        <f t="shared" si="82"/>
        <v>0</v>
      </c>
      <c r="L1782" s="145" t="str">
        <f t="shared" si="83"/>
        <v/>
      </c>
      <c r="M1782" t="str">
        <f>_xlfn.XLOOKUP(Table3[[#This Row],[Cuenta]],Estructura_Balance[Nombre Cuenta ()],Estructura_Balance[Grupo],"",0)</f>
        <v/>
      </c>
      <c r="N1782" t="str">
        <f>_xlfn.XLOOKUP(Table3[[#This Row],[Cuenta]],Estructura_Balance[Nombre Cuenta ()],Estructura_Balance[Nivel 1],"",0)</f>
        <v/>
      </c>
      <c r="O1782" t="str">
        <f>_xlfn.XLOOKUP(Table3[[#This Row],[Cuenta]],Estructura_Balance[Nombre Cuenta ()],Estructura_Balance[Nivel 2],"",0)</f>
        <v/>
      </c>
      <c r="P1782" t="str">
        <f>_xlfn.XLOOKUP(Table3[[#This Row],[Cuenta]],Estructura_Balance[Nombre Cuenta ()],Estructura_Balance[Nivel 3],"",0)</f>
        <v/>
      </c>
      <c r="Q1782" t="str">
        <f>_xlfn.XLOOKUP(Table3[[#This Row],[Cuenta]],Estructura_Balance[Nombre Cuenta ()],Estructura_Balance[Nivel 4],"",0)</f>
        <v/>
      </c>
      <c r="R1782" t="str">
        <f>_xlfn.XLOOKUP(Table3[[#This Row],[Cuenta]],Table8[Nombre Cuenta ()],Table8[Nivel 1],"",0)</f>
        <v/>
      </c>
      <c r="S1782" t="str">
        <f>_xlfn.XLOOKUP(Table3[[#This Row],[Cuenta]],Table8[Nombre Cuenta ()],Table8[Nivel 2],"",0)</f>
        <v/>
      </c>
      <c r="T1782" t="str">
        <f>_xlfn.XLOOKUP(Table3[[#This Row],[Cuenta]],Table8[Nombre Cuenta ()],Table8[Nivel 3],"",0)</f>
        <v/>
      </c>
      <c r="U1782">
        <v>460</v>
      </c>
      <c r="V1782" t="str">
        <f>_xlfn.XLOOKUP(Table3[[#This Row],[Cuenta]],Estructura_Balance[Nombre Cuenta ()],Estructura_Balance[Niveles:2],"",0)</f>
        <v/>
      </c>
      <c r="W1782" t="str">
        <f>_xlfn.XLOOKUP(Table3[[#This Row],[Cuenta]],Estructura_Balance[Nombre Cuenta ()],Estructura_Balance[Niveles:3],"",0)</f>
        <v/>
      </c>
      <c r="X1782" t="str">
        <f>_xlfn.XLOOKUP(Table3[[#This Row],[Cuenta]],Estructura_Balance[Nombre Cuenta ()],Estructura_Balance[Grupos],"Grupo 1",0)</f>
        <v>Grupo 1</v>
      </c>
      <c r="Y1782" t="str">
        <f>+Table3[[#This Row],[BS_Nivel_1]]</f>
        <v/>
      </c>
    </row>
    <row r="1783" spans="1:25" ht="15" customHeight="1">
      <c r="A1783">
        <f>+'Libro Diario'!F335</f>
        <v>37</v>
      </c>
      <c r="B1783" s="144">
        <f>VALUE(IF(+'Libro Diario'!G335="","01/01/2025",+'Libro Diario'!G335))</f>
        <v>45931</v>
      </c>
      <c r="C1783">
        <f>IF(ISNUMBER(+IF(IFERROR(VALUE(MID('Libro Diario'!C335,1,4)),0)&lt;&gt;0,'Libro Diario'!C335,0))=FALSE,'Libro Diario'!C335,0)</f>
        <v>0</v>
      </c>
      <c r="D1783" s="145">
        <f>+'Libro Diario'!B335</f>
        <v>0</v>
      </c>
      <c r="E1783" s="139" t="s">
        <v>445</v>
      </c>
      <c r="F1783" t="str">
        <f t="shared" si="81"/>
        <v>Sin Mov.</v>
      </c>
      <c r="G1783" t="str">
        <f>IF(+'Libro Diario'!H335=0,"",+'Libro Diario'!H335)</f>
        <v>Operaciones del Ejercicio</v>
      </c>
      <c r="H1783" t="str">
        <f>IF(+'Libro Diario'!I335=0,"",+'Libro Diario'!I335)</f>
        <v/>
      </c>
      <c r="I1783" t="str">
        <f>+IF(Table3[[#This Row],[Tipo Movimiento]]="Estructura Balance y PyG","Excluir","Incluir")</f>
        <v>Incluir</v>
      </c>
      <c r="J1783" s="153">
        <f>+IF(Table3[[#This Row],[Sin cuenta]]="Con Mov.",(IF(Table3[[#This Row],[Movimiento]]="Debe",Table3[[#This Row],[Importe]],IF(Table3[[#This Row],[Movimiento]]="Haber",Table3[[#This Row],[Importe]]*-1,0))),0)</f>
        <v>0</v>
      </c>
      <c r="K1783" s="145">
        <f t="shared" si="82"/>
        <v>0</v>
      </c>
      <c r="L1783" s="145" t="str">
        <f t="shared" si="83"/>
        <v/>
      </c>
      <c r="M1783" t="str">
        <f>_xlfn.XLOOKUP(Table3[[#This Row],[Cuenta]],Estructura_Balance[Nombre Cuenta ()],Estructura_Balance[Grupo],"",0)</f>
        <v/>
      </c>
      <c r="N1783" t="str">
        <f>_xlfn.XLOOKUP(Table3[[#This Row],[Cuenta]],Estructura_Balance[Nombre Cuenta ()],Estructura_Balance[Nivel 1],"",0)</f>
        <v/>
      </c>
      <c r="O1783" t="str">
        <f>_xlfn.XLOOKUP(Table3[[#This Row],[Cuenta]],Estructura_Balance[Nombre Cuenta ()],Estructura_Balance[Nivel 2],"",0)</f>
        <v/>
      </c>
      <c r="P1783" t="str">
        <f>_xlfn.XLOOKUP(Table3[[#This Row],[Cuenta]],Estructura_Balance[Nombre Cuenta ()],Estructura_Balance[Nivel 3],"",0)</f>
        <v/>
      </c>
      <c r="Q1783" t="str">
        <f>_xlfn.XLOOKUP(Table3[[#This Row],[Cuenta]],Estructura_Balance[Nombre Cuenta ()],Estructura_Balance[Nivel 4],"",0)</f>
        <v/>
      </c>
      <c r="R1783" t="str">
        <f>_xlfn.XLOOKUP(Table3[[#This Row],[Cuenta]],Table8[Nombre Cuenta ()],Table8[Nivel 1],"",0)</f>
        <v/>
      </c>
      <c r="S1783" t="str">
        <f>_xlfn.XLOOKUP(Table3[[#This Row],[Cuenta]],Table8[Nombre Cuenta ()],Table8[Nivel 2],"",0)</f>
        <v/>
      </c>
      <c r="T1783" t="str">
        <f>_xlfn.XLOOKUP(Table3[[#This Row],[Cuenta]],Table8[Nombre Cuenta ()],Table8[Nivel 3],"",0)</f>
        <v/>
      </c>
      <c r="U1783">
        <v>461</v>
      </c>
      <c r="V1783" t="str">
        <f>_xlfn.XLOOKUP(Table3[[#This Row],[Cuenta]],Estructura_Balance[Nombre Cuenta ()],Estructura_Balance[Niveles:2],"",0)</f>
        <v/>
      </c>
      <c r="W1783" t="str">
        <f>_xlfn.XLOOKUP(Table3[[#This Row],[Cuenta]],Estructura_Balance[Nombre Cuenta ()],Estructura_Balance[Niveles:3],"",0)</f>
        <v/>
      </c>
      <c r="X1783" t="str">
        <f>_xlfn.XLOOKUP(Table3[[#This Row],[Cuenta]],Estructura_Balance[Nombre Cuenta ()],Estructura_Balance[Grupos],"Grupo 1",0)</f>
        <v>Grupo 1</v>
      </c>
      <c r="Y1783" t="str">
        <f>+Table3[[#This Row],[BS_Nivel_1]]</f>
        <v/>
      </c>
    </row>
    <row r="1784" spans="1:25" ht="15" customHeight="1">
      <c r="A1784">
        <f>+'Libro Diario'!F333</f>
        <v>37</v>
      </c>
      <c r="B1784" s="144">
        <f>VALUE(IF(+'Libro Diario'!G333="","01/01/2025",+'Libro Diario'!G333))</f>
        <v>45931</v>
      </c>
      <c r="C1784">
        <f>IF(ISNUMBER(+IF(IFERROR(VALUE(MID('Libro Diario'!D333,1,4)),0)&lt;&gt;0,'Libro Diario'!D333,0))=FALSE,'Libro Diario'!D333,0)</f>
        <v>0</v>
      </c>
      <c r="D1784" s="145">
        <f>+'Libro Diario'!E333</f>
        <v>0</v>
      </c>
      <c r="E1784" s="139" t="s">
        <v>446</v>
      </c>
      <c r="F1784" t="str">
        <f t="shared" si="81"/>
        <v>Sin Mov.</v>
      </c>
      <c r="G1784" t="str">
        <f>IF(+'Libro Diario'!H333=0,"",+'Libro Diario'!H333)</f>
        <v>Operaciones del Ejercicio</v>
      </c>
      <c r="H1784" t="str">
        <f>IF(+'Libro Diario'!I333=0,"",+'Libro Diario'!I333)</f>
        <v/>
      </c>
      <c r="I1784" t="str">
        <f>+IF(Table3[[#This Row],[Tipo Movimiento]]="Estructura Balance y PyG","Excluir","Incluir")</f>
        <v>Incluir</v>
      </c>
      <c r="J1784" s="153">
        <f>+IF(Table3[[#This Row],[Sin cuenta]]="Con Mov.",(IF(Table3[[#This Row],[Movimiento]]="Debe",Table3[[#This Row],[Importe]],IF(Table3[[#This Row],[Movimiento]]="Haber",Table3[[#This Row],[Importe]]*-1,0))),0)</f>
        <v>0</v>
      </c>
      <c r="K1784" s="145" t="str">
        <f t="shared" si="82"/>
        <v/>
      </c>
      <c r="L1784" s="145">
        <f t="shared" si="83"/>
        <v>0</v>
      </c>
      <c r="M1784" t="str">
        <f>_xlfn.XLOOKUP(Table3[[#This Row],[Cuenta]],Estructura_Balance[Nombre Cuenta ()],Estructura_Balance[Grupo],"",0)</f>
        <v/>
      </c>
      <c r="N1784" t="str">
        <f>_xlfn.XLOOKUP(Table3[[#This Row],[Cuenta]],Estructura_Balance[Nombre Cuenta ()],Estructura_Balance[Nivel 1],"",0)</f>
        <v/>
      </c>
      <c r="O1784" t="str">
        <f>_xlfn.XLOOKUP(Table3[[#This Row],[Cuenta]],Estructura_Balance[Nombre Cuenta ()],Estructura_Balance[Nivel 2],"",0)</f>
        <v/>
      </c>
      <c r="P1784" t="str">
        <f>_xlfn.XLOOKUP(Table3[[#This Row],[Cuenta]],Estructura_Balance[Nombre Cuenta ()],Estructura_Balance[Nivel 3],"",0)</f>
        <v/>
      </c>
      <c r="Q1784" t="str">
        <f>_xlfn.XLOOKUP(Table3[[#This Row],[Cuenta]],Estructura_Balance[Nombre Cuenta ()],Estructura_Balance[Nivel 4],"",0)</f>
        <v/>
      </c>
      <c r="R1784" t="str">
        <f>_xlfn.XLOOKUP(Table3[[#This Row],[Cuenta]],Table8[Nombre Cuenta ()],Table8[Nivel 1],"",0)</f>
        <v/>
      </c>
      <c r="S1784" t="str">
        <f>_xlfn.XLOOKUP(Table3[[#This Row],[Cuenta]],Table8[Nombre Cuenta ()],Table8[Nivel 2],"",0)</f>
        <v/>
      </c>
      <c r="T1784" t="str">
        <f>_xlfn.XLOOKUP(Table3[[#This Row],[Cuenta]],Table8[Nombre Cuenta ()],Table8[Nivel 3],"",0)</f>
        <v/>
      </c>
      <c r="U1784">
        <v>1726</v>
      </c>
      <c r="V1784" t="str">
        <f>_xlfn.XLOOKUP(Table3[[#This Row],[Cuenta]],Estructura_Balance[Nombre Cuenta ()],Estructura_Balance[Niveles:2],"",0)</f>
        <v/>
      </c>
      <c r="W1784" t="str">
        <f>_xlfn.XLOOKUP(Table3[[#This Row],[Cuenta]],Estructura_Balance[Nombre Cuenta ()],Estructura_Balance[Niveles:3],"",0)</f>
        <v/>
      </c>
      <c r="X1784" t="str">
        <f>_xlfn.XLOOKUP(Table3[[#This Row],[Cuenta]],Estructura_Balance[Nombre Cuenta ()],Estructura_Balance[Grupos],"Grupo 1",0)</f>
        <v>Grupo 1</v>
      </c>
      <c r="Y1784" t="str">
        <f>+Table3[[#This Row],[BS_Nivel_1]]</f>
        <v/>
      </c>
    </row>
    <row r="1785" spans="1:25" ht="15" customHeight="1">
      <c r="A1785">
        <f>+'Libro Diario'!F334</f>
        <v>37</v>
      </c>
      <c r="B1785" s="144">
        <f>VALUE(IF(+'Libro Diario'!G334="","01/01/2025",+'Libro Diario'!G334))</f>
        <v>45931</v>
      </c>
      <c r="C1785">
        <f>IF(ISNUMBER(+IF(IFERROR(VALUE(MID('Libro Diario'!D334,1,4)),0)&lt;&gt;0,'Libro Diario'!D334,0))=FALSE,'Libro Diario'!D334,0)</f>
        <v>0</v>
      </c>
      <c r="D1785" s="145">
        <f>+'Libro Diario'!E334</f>
        <v>0</v>
      </c>
      <c r="E1785" s="139" t="s">
        <v>446</v>
      </c>
      <c r="F1785" t="str">
        <f t="shared" si="81"/>
        <v>Sin Mov.</v>
      </c>
      <c r="G1785" t="str">
        <f>IF(+'Libro Diario'!H334=0,"",+'Libro Diario'!H334)</f>
        <v>Operaciones del Ejercicio</v>
      </c>
      <c r="H1785" t="str">
        <f>IF(+'Libro Diario'!I334=0,"",+'Libro Diario'!I334)</f>
        <v/>
      </c>
      <c r="I1785" t="str">
        <f>+IF(Table3[[#This Row],[Tipo Movimiento]]="Estructura Balance y PyG","Excluir","Incluir")</f>
        <v>Incluir</v>
      </c>
      <c r="J1785" s="153">
        <f>+IF(Table3[[#This Row],[Sin cuenta]]="Con Mov.",(IF(Table3[[#This Row],[Movimiento]]="Debe",Table3[[#This Row],[Importe]],IF(Table3[[#This Row],[Movimiento]]="Haber",Table3[[#This Row],[Importe]]*-1,0))),0)</f>
        <v>0</v>
      </c>
      <c r="K1785" s="145" t="str">
        <f t="shared" si="82"/>
        <v/>
      </c>
      <c r="L1785" s="145">
        <f t="shared" si="83"/>
        <v>0</v>
      </c>
      <c r="M1785" t="str">
        <f>_xlfn.XLOOKUP(Table3[[#This Row],[Cuenta]],Estructura_Balance[Nombre Cuenta ()],Estructura_Balance[Grupo],"",0)</f>
        <v/>
      </c>
      <c r="N1785" t="str">
        <f>_xlfn.XLOOKUP(Table3[[#This Row],[Cuenta]],Estructura_Balance[Nombre Cuenta ()],Estructura_Balance[Nivel 1],"",0)</f>
        <v/>
      </c>
      <c r="O1785" t="str">
        <f>_xlfn.XLOOKUP(Table3[[#This Row],[Cuenta]],Estructura_Balance[Nombre Cuenta ()],Estructura_Balance[Nivel 2],"",0)</f>
        <v/>
      </c>
      <c r="P1785" t="str">
        <f>_xlfn.XLOOKUP(Table3[[#This Row],[Cuenta]],Estructura_Balance[Nombre Cuenta ()],Estructura_Balance[Nivel 3],"",0)</f>
        <v/>
      </c>
      <c r="Q1785" t="str">
        <f>_xlfn.XLOOKUP(Table3[[#This Row],[Cuenta]],Estructura_Balance[Nombre Cuenta ()],Estructura_Balance[Nivel 4],"",0)</f>
        <v/>
      </c>
      <c r="R1785" t="str">
        <f>_xlfn.XLOOKUP(Table3[[#This Row],[Cuenta]],Table8[Nombre Cuenta ()],Table8[Nivel 1],"",0)</f>
        <v/>
      </c>
      <c r="S1785" t="str">
        <f>_xlfn.XLOOKUP(Table3[[#This Row],[Cuenta]],Table8[Nombre Cuenta ()],Table8[Nivel 2],"",0)</f>
        <v/>
      </c>
      <c r="T1785" t="str">
        <f>_xlfn.XLOOKUP(Table3[[#This Row],[Cuenta]],Table8[Nombre Cuenta ()],Table8[Nivel 3],"",0)</f>
        <v/>
      </c>
      <c r="U1785">
        <v>1727</v>
      </c>
      <c r="V1785" t="str">
        <f>_xlfn.XLOOKUP(Table3[[#This Row],[Cuenta]],Estructura_Balance[Nombre Cuenta ()],Estructura_Balance[Niveles:2],"",0)</f>
        <v/>
      </c>
      <c r="W1785" t="str">
        <f>_xlfn.XLOOKUP(Table3[[#This Row],[Cuenta]],Estructura_Balance[Nombre Cuenta ()],Estructura_Balance[Niveles:3],"",0)</f>
        <v/>
      </c>
      <c r="X1785" t="str">
        <f>_xlfn.XLOOKUP(Table3[[#This Row],[Cuenta]],Estructura_Balance[Nombre Cuenta ()],Estructura_Balance[Grupos],"Grupo 1",0)</f>
        <v>Grupo 1</v>
      </c>
      <c r="Y1785" t="str">
        <f>+Table3[[#This Row],[BS_Nivel_1]]</f>
        <v/>
      </c>
    </row>
    <row r="1786" spans="1:25" ht="15" customHeight="1">
      <c r="A1786">
        <f>+'Libro Diario'!F335</f>
        <v>37</v>
      </c>
      <c r="B1786" s="144">
        <f>VALUE(IF(+'Libro Diario'!G335="","01/01/2025",+'Libro Diario'!G335))</f>
        <v>45931</v>
      </c>
      <c r="C1786">
        <f>IF(ISNUMBER(+IF(IFERROR(VALUE(MID('Libro Diario'!D335,1,4)),0)&lt;&gt;0,'Libro Diario'!D335,0))=FALSE,'Libro Diario'!D335,0)</f>
        <v>0</v>
      </c>
      <c r="D1786" s="145">
        <f>+'Libro Diario'!E335</f>
        <v>0</v>
      </c>
      <c r="E1786" s="139" t="s">
        <v>446</v>
      </c>
      <c r="F1786" t="str">
        <f t="shared" si="81"/>
        <v>Sin Mov.</v>
      </c>
      <c r="G1786" t="str">
        <f>IF(+'Libro Diario'!H335=0,"",+'Libro Diario'!H335)</f>
        <v>Operaciones del Ejercicio</v>
      </c>
      <c r="H1786" t="str">
        <f>IF(+'Libro Diario'!I335=0,"",+'Libro Diario'!I335)</f>
        <v/>
      </c>
      <c r="I1786" t="str">
        <f>+IF(Table3[[#This Row],[Tipo Movimiento]]="Estructura Balance y PyG","Excluir","Incluir")</f>
        <v>Incluir</v>
      </c>
      <c r="J1786" s="153">
        <f>+IF(Table3[[#This Row],[Sin cuenta]]="Con Mov.",(IF(Table3[[#This Row],[Movimiento]]="Debe",Table3[[#This Row],[Importe]],IF(Table3[[#This Row],[Movimiento]]="Haber",Table3[[#This Row],[Importe]]*-1,0))),0)</f>
        <v>0</v>
      </c>
      <c r="K1786" s="145" t="str">
        <f t="shared" si="82"/>
        <v/>
      </c>
      <c r="L1786" s="145">
        <f t="shared" si="83"/>
        <v>0</v>
      </c>
      <c r="M1786" t="str">
        <f>_xlfn.XLOOKUP(Table3[[#This Row],[Cuenta]],Estructura_Balance[Nombre Cuenta ()],Estructura_Balance[Grupo],"",0)</f>
        <v/>
      </c>
      <c r="N1786" t="str">
        <f>_xlfn.XLOOKUP(Table3[[#This Row],[Cuenta]],Estructura_Balance[Nombre Cuenta ()],Estructura_Balance[Nivel 1],"",0)</f>
        <v/>
      </c>
      <c r="O1786" t="str">
        <f>_xlfn.XLOOKUP(Table3[[#This Row],[Cuenta]],Estructura_Balance[Nombre Cuenta ()],Estructura_Balance[Nivel 2],"",0)</f>
        <v/>
      </c>
      <c r="P1786" t="str">
        <f>_xlfn.XLOOKUP(Table3[[#This Row],[Cuenta]],Estructura_Balance[Nombre Cuenta ()],Estructura_Balance[Nivel 3],"",0)</f>
        <v/>
      </c>
      <c r="Q1786" t="str">
        <f>_xlfn.XLOOKUP(Table3[[#This Row],[Cuenta]],Estructura_Balance[Nombre Cuenta ()],Estructura_Balance[Nivel 4],"",0)</f>
        <v/>
      </c>
      <c r="R1786" t="str">
        <f>_xlfn.XLOOKUP(Table3[[#This Row],[Cuenta]],Table8[Nombre Cuenta ()],Table8[Nivel 1],"",0)</f>
        <v/>
      </c>
      <c r="S1786" t="str">
        <f>_xlfn.XLOOKUP(Table3[[#This Row],[Cuenta]],Table8[Nombre Cuenta ()],Table8[Nivel 2],"",0)</f>
        <v/>
      </c>
      <c r="T1786" t="str">
        <f>_xlfn.XLOOKUP(Table3[[#This Row],[Cuenta]],Table8[Nombre Cuenta ()],Table8[Nivel 3],"",0)</f>
        <v/>
      </c>
      <c r="U1786">
        <v>1728</v>
      </c>
      <c r="V1786" t="str">
        <f>_xlfn.XLOOKUP(Table3[[#This Row],[Cuenta]],Estructura_Balance[Nombre Cuenta ()],Estructura_Balance[Niveles:2],"",0)</f>
        <v/>
      </c>
      <c r="W1786" t="str">
        <f>_xlfn.XLOOKUP(Table3[[#This Row],[Cuenta]],Estructura_Balance[Nombre Cuenta ()],Estructura_Balance[Niveles:3],"",0)</f>
        <v/>
      </c>
      <c r="X1786" t="str">
        <f>_xlfn.XLOOKUP(Table3[[#This Row],[Cuenta]],Estructura_Balance[Nombre Cuenta ()],Estructura_Balance[Grupos],"Grupo 1",0)</f>
        <v>Grupo 1</v>
      </c>
      <c r="Y1786" t="str">
        <f>+Table3[[#This Row],[BS_Nivel_1]]</f>
        <v/>
      </c>
    </row>
    <row r="1787" spans="1:25" ht="15" customHeight="1">
      <c r="A1787">
        <f>+'Libro Diario'!F341</f>
        <v>38</v>
      </c>
      <c r="B1787" s="144">
        <f>VALUE(IF(+'Libro Diario'!G341="","01/01/2025",+'Libro Diario'!G341))</f>
        <v>45961</v>
      </c>
      <c r="C1787">
        <f>IF(ISNUMBER(+IF(IFERROR(VALUE(MID('Libro Diario'!C341,1,4)),0)&lt;&gt;0,'Libro Diario'!C341,0))=FALSE,'Libro Diario'!C341,0)</f>
        <v>0</v>
      </c>
      <c r="D1787" s="145">
        <f>+'Libro Diario'!B341</f>
        <v>0</v>
      </c>
      <c r="E1787" s="139" t="s">
        <v>445</v>
      </c>
      <c r="F1787" t="str">
        <f t="shared" si="81"/>
        <v>Sin Mov.</v>
      </c>
      <c r="G1787" t="str">
        <f>IF(+'Libro Diario'!H341=0,"",+'Libro Diario'!H341)</f>
        <v>Operaciones del Ejercicio</v>
      </c>
      <c r="H1787" t="str">
        <f>IF(+'Libro Diario'!I341=0,"",+'Libro Diario'!I341)</f>
        <v/>
      </c>
      <c r="I1787" t="str">
        <f>+IF(Table3[[#This Row],[Tipo Movimiento]]="Estructura Balance y PyG","Excluir","Incluir")</f>
        <v>Incluir</v>
      </c>
      <c r="J1787" s="153">
        <f>+IF(Table3[[#This Row],[Sin cuenta]]="Con Mov.",(IF(Table3[[#This Row],[Movimiento]]="Debe",Table3[[#This Row],[Importe]],IF(Table3[[#This Row],[Movimiento]]="Haber",Table3[[#This Row],[Importe]]*-1,0))),0)</f>
        <v>0</v>
      </c>
      <c r="K1787" s="145">
        <f t="shared" si="82"/>
        <v>0</v>
      </c>
      <c r="L1787" s="145" t="str">
        <f t="shared" si="83"/>
        <v/>
      </c>
      <c r="M1787" t="str">
        <f>_xlfn.XLOOKUP(Table3[[#This Row],[Cuenta]],Estructura_Balance[Nombre Cuenta ()],Estructura_Balance[Grupo],"",0)</f>
        <v/>
      </c>
      <c r="N1787" t="str">
        <f>_xlfn.XLOOKUP(Table3[[#This Row],[Cuenta]],Estructura_Balance[Nombre Cuenta ()],Estructura_Balance[Nivel 1],"",0)</f>
        <v/>
      </c>
      <c r="O1787" t="str">
        <f>_xlfn.XLOOKUP(Table3[[#This Row],[Cuenta]],Estructura_Balance[Nombre Cuenta ()],Estructura_Balance[Nivel 2],"",0)</f>
        <v/>
      </c>
      <c r="P1787" t="str">
        <f>_xlfn.XLOOKUP(Table3[[#This Row],[Cuenta]],Estructura_Balance[Nombre Cuenta ()],Estructura_Balance[Nivel 3],"",0)</f>
        <v/>
      </c>
      <c r="Q1787" t="str">
        <f>_xlfn.XLOOKUP(Table3[[#This Row],[Cuenta]],Estructura_Balance[Nombre Cuenta ()],Estructura_Balance[Nivel 4],"",0)</f>
        <v/>
      </c>
      <c r="R1787" t="str">
        <f>_xlfn.XLOOKUP(Table3[[#This Row],[Cuenta]],Table8[Nombre Cuenta ()],Table8[Nivel 1],"",0)</f>
        <v/>
      </c>
      <c r="S1787" t="str">
        <f>_xlfn.XLOOKUP(Table3[[#This Row],[Cuenta]],Table8[Nombre Cuenta ()],Table8[Nivel 2],"",0)</f>
        <v/>
      </c>
      <c r="T1787" t="str">
        <f>_xlfn.XLOOKUP(Table3[[#This Row],[Cuenta]],Table8[Nombre Cuenta ()],Table8[Nivel 3],"",0)</f>
        <v/>
      </c>
      <c r="U1787">
        <v>469</v>
      </c>
      <c r="V1787" t="str">
        <f>_xlfn.XLOOKUP(Table3[[#This Row],[Cuenta]],Estructura_Balance[Nombre Cuenta ()],Estructura_Balance[Niveles:2],"",0)</f>
        <v/>
      </c>
      <c r="W1787" t="str">
        <f>_xlfn.XLOOKUP(Table3[[#This Row],[Cuenta]],Estructura_Balance[Nombre Cuenta ()],Estructura_Balance[Niveles:3],"",0)</f>
        <v/>
      </c>
      <c r="X1787" t="str">
        <f>_xlfn.XLOOKUP(Table3[[#This Row],[Cuenta]],Estructura_Balance[Nombre Cuenta ()],Estructura_Balance[Grupos],"Grupo 1",0)</f>
        <v>Grupo 1</v>
      </c>
      <c r="Y1787" t="str">
        <f>+Table3[[#This Row],[BS_Nivel_1]]</f>
        <v/>
      </c>
    </row>
    <row r="1788" spans="1:25" ht="15" customHeight="1">
      <c r="A1788">
        <f>+'Libro Diario'!F342</f>
        <v>38</v>
      </c>
      <c r="B1788" s="144">
        <f>VALUE(IF(+'Libro Diario'!G342="","01/01/2025",+'Libro Diario'!G342))</f>
        <v>45961</v>
      </c>
      <c r="C1788">
        <f>IF(ISNUMBER(+IF(IFERROR(VALUE(MID('Libro Diario'!C342,1,4)),0)&lt;&gt;0,'Libro Diario'!C342,0))=FALSE,'Libro Diario'!C342,0)</f>
        <v>0</v>
      </c>
      <c r="D1788" s="145">
        <f>+'Libro Diario'!B342</f>
        <v>0</v>
      </c>
      <c r="E1788" s="139" t="s">
        <v>445</v>
      </c>
      <c r="F1788" t="str">
        <f t="shared" si="81"/>
        <v>Sin Mov.</v>
      </c>
      <c r="G1788" t="str">
        <f>IF(+'Libro Diario'!H342=0,"",+'Libro Diario'!H342)</f>
        <v>Operaciones del Ejercicio</v>
      </c>
      <c r="H1788" t="str">
        <f>IF(+'Libro Diario'!I342=0,"",+'Libro Diario'!I342)</f>
        <v/>
      </c>
      <c r="I1788" t="str">
        <f>+IF(Table3[[#This Row],[Tipo Movimiento]]="Estructura Balance y PyG","Excluir","Incluir")</f>
        <v>Incluir</v>
      </c>
      <c r="J1788" s="153">
        <f>+IF(Table3[[#This Row],[Sin cuenta]]="Con Mov.",(IF(Table3[[#This Row],[Movimiento]]="Debe",Table3[[#This Row],[Importe]],IF(Table3[[#This Row],[Movimiento]]="Haber",Table3[[#This Row],[Importe]]*-1,0))),0)</f>
        <v>0</v>
      </c>
      <c r="K1788" s="145">
        <f t="shared" si="82"/>
        <v>0</v>
      </c>
      <c r="L1788" s="145" t="str">
        <f t="shared" si="83"/>
        <v/>
      </c>
      <c r="M1788" t="str">
        <f>_xlfn.XLOOKUP(Table3[[#This Row],[Cuenta]],Estructura_Balance[Nombre Cuenta ()],Estructura_Balance[Grupo],"",0)</f>
        <v/>
      </c>
      <c r="N1788" t="str">
        <f>_xlfn.XLOOKUP(Table3[[#This Row],[Cuenta]],Estructura_Balance[Nombre Cuenta ()],Estructura_Balance[Nivel 1],"",0)</f>
        <v/>
      </c>
      <c r="O1788" t="str">
        <f>_xlfn.XLOOKUP(Table3[[#This Row],[Cuenta]],Estructura_Balance[Nombre Cuenta ()],Estructura_Balance[Nivel 2],"",0)</f>
        <v/>
      </c>
      <c r="P1788" t="str">
        <f>_xlfn.XLOOKUP(Table3[[#This Row],[Cuenta]],Estructura_Balance[Nombre Cuenta ()],Estructura_Balance[Nivel 3],"",0)</f>
        <v/>
      </c>
      <c r="Q1788" t="str">
        <f>_xlfn.XLOOKUP(Table3[[#This Row],[Cuenta]],Estructura_Balance[Nombre Cuenta ()],Estructura_Balance[Nivel 4],"",0)</f>
        <v/>
      </c>
      <c r="R1788" t="str">
        <f>_xlfn.XLOOKUP(Table3[[#This Row],[Cuenta]],Table8[Nombre Cuenta ()],Table8[Nivel 1],"",0)</f>
        <v/>
      </c>
      <c r="S1788" t="str">
        <f>_xlfn.XLOOKUP(Table3[[#This Row],[Cuenta]],Table8[Nombre Cuenta ()],Table8[Nivel 2],"",0)</f>
        <v/>
      </c>
      <c r="T1788" t="str">
        <f>_xlfn.XLOOKUP(Table3[[#This Row],[Cuenta]],Table8[Nombre Cuenta ()],Table8[Nivel 3],"",0)</f>
        <v/>
      </c>
      <c r="U1788">
        <v>470</v>
      </c>
      <c r="V1788" t="str">
        <f>_xlfn.XLOOKUP(Table3[[#This Row],[Cuenta]],Estructura_Balance[Nombre Cuenta ()],Estructura_Balance[Niveles:2],"",0)</f>
        <v/>
      </c>
      <c r="W1788" t="str">
        <f>_xlfn.XLOOKUP(Table3[[#This Row],[Cuenta]],Estructura_Balance[Nombre Cuenta ()],Estructura_Balance[Niveles:3],"",0)</f>
        <v/>
      </c>
      <c r="X1788" t="str">
        <f>_xlfn.XLOOKUP(Table3[[#This Row],[Cuenta]],Estructura_Balance[Nombre Cuenta ()],Estructura_Balance[Grupos],"Grupo 1",0)</f>
        <v>Grupo 1</v>
      </c>
      <c r="Y1788" t="str">
        <f>+Table3[[#This Row],[BS_Nivel_1]]</f>
        <v/>
      </c>
    </row>
    <row r="1789" spans="1:25" ht="15" customHeight="1">
      <c r="A1789">
        <f>+'Libro Diario'!F341</f>
        <v>38</v>
      </c>
      <c r="B1789" s="144">
        <f>VALUE(IF(+'Libro Diario'!G341="","01/01/2025",+'Libro Diario'!G341))</f>
        <v>45961</v>
      </c>
      <c r="C1789">
        <f>IF(ISNUMBER(+IF(IFERROR(VALUE(MID('Libro Diario'!D341,1,4)),0)&lt;&gt;0,'Libro Diario'!D341,0))=FALSE,'Libro Diario'!D341,0)</f>
        <v>0</v>
      </c>
      <c r="D1789" s="145">
        <f>+'Libro Diario'!E341</f>
        <v>0</v>
      </c>
      <c r="E1789" s="139" t="s">
        <v>446</v>
      </c>
      <c r="F1789" t="str">
        <f t="shared" si="81"/>
        <v>Sin Mov.</v>
      </c>
      <c r="G1789" t="str">
        <f>IF(+'Libro Diario'!H341=0,"",+'Libro Diario'!H341)</f>
        <v>Operaciones del Ejercicio</v>
      </c>
      <c r="H1789" t="str">
        <f>IF(+'Libro Diario'!I341=0,"",+'Libro Diario'!I341)</f>
        <v/>
      </c>
      <c r="I1789" t="str">
        <f>+IF(Table3[[#This Row],[Tipo Movimiento]]="Estructura Balance y PyG","Excluir","Incluir")</f>
        <v>Incluir</v>
      </c>
      <c r="J1789" s="153">
        <f>+IF(Table3[[#This Row],[Sin cuenta]]="Con Mov.",(IF(Table3[[#This Row],[Movimiento]]="Debe",Table3[[#This Row],[Importe]],IF(Table3[[#This Row],[Movimiento]]="Haber",Table3[[#This Row],[Importe]]*-1,0))),0)</f>
        <v>0</v>
      </c>
      <c r="K1789" s="145" t="str">
        <f t="shared" si="82"/>
        <v/>
      </c>
      <c r="L1789" s="145">
        <f t="shared" si="83"/>
        <v>0</v>
      </c>
      <c r="M1789" t="str">
        <f>_xlfn.XLOOKUP(Table3[[#This Row],[Cuenta]],Estructura_Balance[Nombre Cuenta ()],Estructura_Balance[Grupo],"",0)</f>
        <v/>
      </c>
      <c r="N1789" t="str">
        <f>_xlfn.XLOOKUP(Table3[[#This Row],[Cuenta]],Estructura_Balance[Nombre Cuenta ()],Estructura_Balance[Nivel 1],"",0)</f>
        <v/>
      </c>
      <c r="O1789" t="str">
        <f>_xlfn.XLOOKUP(Table3[[#This Row],[Cuenta]],Estructura_Balance[Nombre Cuenta ()],Estructura_Balance[Nivel 2],"",0)</f>
        <v/>
      </c>
      <c r="P1789" t="str">
        <f>_xlfn.XLOOKUP(Table3[[#This Row],[Cuenta]],Estructura_Balance[Nombre Cuenta ()],Estructura_Balance[Nivel 3],"",0)</f>
        <v/>
      </c>
      <c r="Q1789" t="str">
        <f>_xlfn.XLOOKUP(Table3[[#This Row],[Cuenta]],Estructura_Balance[Nombre Cuenta ()],Estructura_Balance[Nivel 4],"",0)</f>
        <v/>
      </c>
      <c r="R1789" t="str">
        <f>_xlfn.XLOOKUP(Table3[[#This Row],[Cuenta]],Table8[Nombre Cuenta ()],Table8[Nivel 1],"",0)</f>
        <v/>
      </c>
      <c r="S1789" t="str">
        <f>_xlfn.XLOOKUP(Table3[[#This Row],[Cuenta]],Table8[Nombre Cuenta ()],Table8[Nivel 2],"",0)</f>
        <v/>
      </c>
      <c r="T1789" t="str">
        <f>_xlfn.XLOOKUP(Table3[[#This Row],[Cuenta]],Table8[Nombre Cuenta ()],Table8[Nivel 3],"",0)</f>
        <v/>
      </c>
      <c r="U1789">
        <v>1734</v>
      </c>
      <c r="V1789" t="str">
        <f>_xlfn.XLOOKUP(Table3[[#This Row],[Cuenta]],Estructura_Balance[Nombre Cuenta ()],Estructura_Balance[Niveles:2],"",0)</f>
        <v/>
      </c>
      <c r="W1789" t="str">
        <f>_xlfn.XLOOKUP(Table3[[#This Row],[Cuenta]],Estructura_Balance[Nombre Cuenta ()],Estructura_Balance[Niveles:3],"",0)</f>
        <v/>
      </c>
      <c r="X1789" t="str">
        <f>_xlfn.XLOOKUP(Table3[[#This Row],[Cuenta]],Estructura_Balance[Nombre Cuenta ()],Estructura_Balance[Grupos],"Grupo 1",0)</f>
        <v>Grupo 1</v>
      </c>
      <c r="Y1789" t="str">
        <f>+Table3[[#This Row],[BS_Nivel_1]]</f>
        <v/>
      </c>
    </row>
    <row r="1790" spans="1:25" ht="15" customHeight="1">
      <c r="A1790">
        <f>+'Libro Diario'!F342</f>
        <v>38</v>
      </c>
      <c r="B1790" s="144">
        <f>VALUE(IF(+'Libro Diario'!G342="","01/01/2025",+'Libro Diario'!G342))</f>
        <v>45961</v>
      </c>
      <c r="C1790">
        <f>IF(ISNUMBER(+IF(IFERROR(VALUE(MID('Libro Diario'!D342,1,4)),0)&lt;&gt;0,'Libro Diario'!D342,0))=FALSE,'Libro Diario'!D342,0)</f>
        <v>0</v>
      </c>
      <c r="D1790" s="145">
        <f>+'Libro Diario'!E342</f>
        <v>0</v>
      </c>
      <c r="E1790" s="139" t="s">
        <v>446</v>
      </c>
      <c r="F1790" t="str">
        <f t="shared" si="81"/>
        <v>Sin Mov.</v>
      </c>
      <c r="G1790" t="str">
        <f>IF(+'Libro Diario'!H342=0,"",+'Libro Diario'!H342)</f>
        <v>Operaciones del Ejercicio</v>
      </c>
      <c r="H1790" t="str">
        <f>IF(+'Libro Diario'!I342=0,"",+'Libro Diario'!I342)</f>
        <v/>
      </c>
      <c r="I1790" t="str">
        <f>+IF(Table3[[#This Row],[Tipo Movimiento]]="Estructura Balance y PyG","Excluir","Incluir")</f>
        <v>Incluir</v>
      </c>
      <c r="J1790" s="153">
        <f>+IF(Table3[[#This Row],[Sin cuenta]]="Con Mov.",(IF(Table3[[#This Row],[Movimiento]]="Debe",Table3[[#This Row],[Importe]],IF(Table3[[#This Row],[Movimiento]]="Haber",Table3[[#This Row],[Importe]]*-1,0))),0)</f>
        <v>0</v>
      </c>
      <c r="K1790" s="145" t="str">
        <f t="shared" si="82"/>
        <v/>
      </c>
      <c r="L1790" s="145">
        <f t="shared" si="83"/>
        <v>0</v>
      </c>
      <c r="M1790" t="str">
        <f>_xlfn.XLOOKUP(Table3[[#This Row],[Cuenta]],Estructura_Balance[Nombre Cuenta ()],Estructura_Balance[Grupo],"",0)</f>
        <v/>
      </c>
      <c r="N1790" t="str">
        <f>_xlfn.XLOOKUP(Table3[[#This Row],[Cuenta]],Estructura_Balance[Nombre Cuenta ()],Estructura_Balance[Nivel 1],"",0)</f>
        <v/>
      </c>
      <c r="O1790" t="str">
        <f>_xlfn.XLOOKUP(Table3[[#This Row],[Cuenta]],Estructura_Balance[Nombre Cuenta ()],Estructura_Balance[Nivel 2],"",0)</f>
        <v/>
      </c>
      <c r="P1790" t="str">
        <f>_xlfn.XLOOKUP(Table3[[#This Row],[Cuenta]],Estructura_Balance[Nombre Cuenta ()],Estructura_Balance[Nivel 3],"",0)</f>
        <v/>
      </c>
      <c r="Q1790" t="str">
        <f>_xlfn.XLOOKUP(Table3[[#This Row],[Cuenta]],Estructura_Balance[Nombre Cuenta ()],Estructura_Balance[Nivel 4],"",0)</f>
        <v/>
      </c>
      <c r="R1790" t="str">
        <f>_xlfn.XLOOKUP(Table3[[#This Row],[Cuenta]],Table8[Nombre Cuenta ()],Table8[Nivel 1],"",0)</f>
        <v/>
      </c>
      <c r="S1790" t="str">
        <f>_xlfn.XLOOKUP(Table3[[#This Row],[Cuenta]],Table8[Nombre Cuenta ()],Table8[Nivel 2],"",0)</f>
        <v/>
      </c>
      <c r="T1790" t="str">
        <f>_xlfn.XLOOKUP(Table3[[#This Row],[Cuenta]],Table8[Nombre Cuenta ()],Table8[Nivel 3],"",0)</f>
        <v/>
      </c>
      <c r="U1790">
        <v>1735</v>
      </c>
      <c r="V1790" t="str">
        <f>_xlfn.XLOOKUP(Table3[[#This Row],[Cuenta]],Estructura_Balance[Nombre Cuenta ()],Estructura_Balance[Niveles:2],"",0)</f>
        <v/>
      </c>
      <c r="W1790" t="str">
        <f>_xlfn.XLOOKUP(Table3[[#This Row],[Cuenta]],Estructura_Balance[Nombre Cuenta ()],Estructura_Balance[Niveles:3],"",0)</f>
        <v/>
      </c>
      <c r="X1790" t="str">
        <f>_xlfn.XLOOKUP(Table3[[#This Row],[Cuenta]],Estructura_Balance[Nombre Cuenta ()],Estructura_Balance[Grupos],"Grupo 1",0)</f>
        <v>Grupo 1</v>
      </c>
      <c r="Y1790" t="str">
        <f>+Table3[[#This Row],[BS_Nivel_1]]</f>
        <v/>
      </c>
    </row>
    <row r="1791" spans="1:25" ht="15" customHeight="1">
      <c r="A1791">
        <f>+'Libro Diario'!F348</f>
        <v>39</v>
      </c>
      <c r="B1791" s="144">
        <f>VALUE(IF(+'Libro Diario'!G348="","01/01/2025",+'Libro Diario'!G348))</f>
        <v>45991</v>
      </c>
      <c r="C1791">
        <f>IF(ISNUMBER(+IF(IFERROR(VALUE(MID('Libro Diario'!C348,1,4)),0)&lt;&gt;0,'Libro Diario'!C348,0))=FALSE,'Libro Diario'!C348,0)</f>
        <v>0</v>
      </c>
      <c r="D1791" s="145">
        <f>+'Libro Diario'!B348</f>
        <v>0</v>
      </c>
      <c r="E1791" s="139" t="s">
        <v>445</v>
      </c>
      <c r="F1791" t="str">
        <f t="shared" si="81"/>
        <v>Sin Mov.</v>
      </c>
      <c r="G1791" t="str">
        <f>IF(+'Libro Diario'!H348=0,"",+'Libro Diario'!H348)</f>
        <v>Operaciones del Ejercicio</v>
      </c>
      <c r="H1791" t="str">
        <f>IF(+'Libro Diario'!I348=0,"",+'Libro Diario'!I348)</f>
        <v/>
      </c>
      <c r="I1791" t="str">
        <f>+IF(Table3[[#This Row],[Tipo Movimiento]]="Estructura Balance y PyG","Excluir","Incluir")</f>
        <v>Incluir</v>
      </c>
      <c r="J1791" s="153">
        <f>+IF(Table3[[#This Row],[Sin cuenta]]="Con Mov.",(IF(Table3[[#This Row],[Movimiento]]="Debe",Table3[[#This Row],[Importe]],IF(Table3[[#This Row],[Movimiento]]="Haber",Table3[[#This Row],[Importe]]*-1,0))),0)</f>
        <v>0</v>
      </c>
      <c r="K1791" s="145">
        <f t="shared" si="82"/>
        <v>0</v>
      </c>
      <c r="L1791" s="145" t="str">
        <f t="shared" si="83"/>
        <v/>
      </c>
      <c r="M1791" t="str">
        <f>_xlfn.XLOOKUP(Table3[[#This Row],[Cuenta]],Estructura_Balance[Nombre Cuenta ()],Estructura_Balance[Grupo],"",0)</f>
        <v/>
      </c>
      <c r="N1791" t="str">
        <f>_xlfn.XLOOKUP(Table3[[#This Row],[Cuenta]],Estructura_Balance[Nombre Cuenta ()],Estructura_Balance[Nivel 1],"",0)</f>
        <v/>
      </c>
      <c r="O1791" t="str">
        <f>_xlfn.XLOOKUP(Table3[[#This Row],[Cuenta]],Estructura_Balance[Nombre Cuenta ()],Estructura_Balance[Nivel 2],"",0)</f>
        <v/>
      </c>
      <c r="P1791" t="str">
        <f>_xlfn.XLOOKUP(Table3[[#This Row],[Cuenta]],Estructura_Balance[Nombre Cuenta ()],Estructura_Balance[Nivel 3],"",0)</f>
        <v/>
      </c>
      <c r="Q1791" t="str">
        <f>_xlfn.XLOOKUP(Table3[[#This Row],[Cuenta]],Estructura_Balance[Nombre Cuenta ()],Estructura_Balance[Nivel 4],"",0)</f>
        <v/>
      </c>
      <c r="R1791" t="str">
        <f>_xlfn.XLOOKUP(Table3[[#This Row],[Cuenta]],Table8[Nombre Cuenta ()],Table8[Nivel 1],"",0)</f>
        <v/>
      </c>
      <c r="S1791" t="str">
        <f>_xlfn.XLOOKUP(Table3[[#This Row],[Cuenta]],Table8[Nombre Cuenta ()],Table8[Nivel 2],"",0)</f>
        <v/>
      </c>
      <c r="T1791" t="str">
        <f>_xlfn.XLOOKUP(Table3[[#This Row],[Cuenta]],Table8[Nombre Cuenta ()],Table8[Nivel 3],"",0)</f>
        <v/>
      </c>
      <c r="U1791">
        <v>478</v>
      </c>
      <c r="V1791" t="str">
        <f>_xlfn.XLOOKUP(Table3[[#This Row],[Cuenta]],Estructura_Balance[Nombre Cuenta ()],Estructura_Balance[Niveles:2],"",0)</f>
        <v/>
      </c>
      <c r="W1791" t="str">
        <f>_xlfn.XLOOKUP(Table3[[#This Row],[Cuenta]],Estructura_Balance[Nombre Cuenta ()],Estructura_Balance[Niveles:3],"",0)</f>
        <v/>
      </c>
      <c r="X1791" t="str">
        <f>_xlfn.XLOOKUP(Table3[[#This Row],[Cuenta]],Estructura_Balance[Nombre Cuenta ()],Estructura_Balance[Grupos],"Grupo 1",0)</f>
        <v>Grupo 1</v>
      </c>
      <c r="Y1791" t="str">
        <f>+Table3[[#This Row],[BS_Nivel_1]]</f>
        <v/>
      </c>
    </row>
    <row r="1792" spans="1:25" ht="15" customHeight="1">
      <c r="A1792">
        <f>+'Libro Diario'!F349</f>
        <v>39</v>
      </c>
      <c r="B1792" s="144">
        <f>VALUE(IF(+'Libro Diario'!G349="","01/01/2025",+'Libro Diario'!G349))</f>
        <v>45991</v>
      </c>
      <c r="C1792">
        <f>IF(ISNUMBER(+IF(IFERROR(VALUE(MID('Libro Diario'!C349,1,4)),0)&lt;&gt;0,'Libro Diario'!C349,0))=FALSE,'Libro Diario'!C349,0)</f>
        <v>0</v>
      </c>
      <c r="D1792" s="145">
        <f>+'Libro Diario'!B349</f>
        <v>0</v>
      </c>
      <c r="E1792" s="139" t="s">
        <v>445</v>
      </c>
      <c r="F1792" t="str">
        <f t="shared" si="81"/>
        <v>Sin Mov.</v>
      </c>
      <c r="G1792" t="str">
        <f>IF(+'Libro Diario'!H349=0,"",+'Libro Diario'!H349)</f>
        <v>Operaciones del Ejercicio</v>
      </c>
      <c r="H1792" t="str">
        <f>IF(+'Libro Diario'!I349=0,"",+'Libro Diario'!I349)</f>
        <v/>
      </c>
      <c r="I1792" t="str">
        <f>+IF(Table3[[#This Row],[Tipo Movimiento]]="Estructura Balance y PyG","Excluir","Incluir")</f>
        <v>Incluir</v>
      </c>
      <c r="J1792" s="153">
        <f>+IF(Table3[[#This Row],[Sin cuenta]]="Con Mov.",(IF(Table3[[#This Row],[Movimiento]]="Debe",Table3[[#This Row],[Importe]],IF(Table3[[#This Row],[Movimiento]]="Haber",Table3[[#This Row],[Importe]]*-1,0))),0)</f>
        <v>0</v>
      </c>
      <c r="K1792" s="145">
        <f t="shared" si="82"/>
        <v>0</v>
      </c>
      <c r="L1792" s="145" t="str">
        <f t="shared" si="83"/>
        <v/>
      </c>
      <c r="M1792" t="str">
        <f>_xlfn.XLOOKUP(Table3[[#This Row],[Cuenta]],Estructura_Balance[Nombre Cuenta ()],Estructura_Balance[Grupo],"",0)</f>
        <v/>
      </c>
      <c r="N1792" t="str">
        <f>_xlfn.XLOOKUP(Table3[[#This Row],[Cuenta]],Estructura_Balance[Nombre Cuenta ()],Estructura_Balance[Nivel 1],"",0)</f>
        <v/>
      </c>
      <c r="O1792" t="str">
        <f>_xlfn.XLOOKUP(Table3[[#This Row],[Cuenta]],Estructura_Balance[Nombre Cuenta ()],Estructura_Balance[Nivel 2],"",0)</f>
        <v/>
      </c>
      <c r="P1792" t="str">
        <f>_xlfn.XLOOKUP(Table3[[#This Row],[Cuenta]],Estructura_Balance[Nombre Cuenta ()],Estructura_Balance[Nivel 3],"",0)</f>
        <v/>
      </c>
      <c r="Q1792" t="str">
        <f>_xlfn.XLOOKUP(Table3[[#This Row],[Cuenta]],Estructura_Balance[Nombre Cuenta ()],Estructura_Balance[Nivel 4],"",0)</f>
        <v/>
      </c>
      <c r="R1792" t="str">
        <f>_xlfn.XLOOKUP(Table3[[#This Row],[Cuenta]],Table8[Nombre Cuenta ()],Table8[Nivel 1],"",0)</f>
        <v/>
      </c>
      <c r="S1792" t="str">
        <f>_xlfn.XLOOKUP(Table3[[#This Row],[Cuenta]],Table8[Nombre Cuenta ()],Table8[Nivel 2],"",0)</f>
        <v/>
      </c>
      <c r="T1792" t="str">
        <f>_xlfn.XLOOKUP(Table3[[#This Row],[Cuenta]],Table8[Nombre Cuenta ()],Table8[Nivel 3],"",0)</f>
        <v/>
      </c>
      <c r="U1792">
        <v>481</v>
      </c>
      <c r="V1792" t="str">
        <f>_xlfn.XLOOKUP(Table3[[#This Row],[Cuenta]],Estructura_Balance[Nombre Cuenta ()],Estructura_Balance[Niveles:2],"",0)</f>
        <v/>
      </c>
      <c r="W1792" t="str">
        <f>_xlfn.XLOOKUP(Table3[[#This Row],[Cuenta]],Estructura_Balance[Nombre Cuenta ()],Estructura_Balance[Niveles:3],"",0)</f>
        <v/>
      </c>
      <c r="X1792" t="str">
        <f>_xlfn.XLOOKUP(Table3[[#This Row],[Cuenta]],Estructura_Balance[Nombre Cuenta ()],Estructura_Balance[Grupos],"Grupo 1",0)</f>
        <v>Grupo 1</v>
      </c>
      <c r="Y1792" t="str">
        <f>+Table3[[#This Row],[BS_Nivel_1]]</f>
        <v/>
      </c>
    </row>
    <row r="1793" spans="1:25" ht="15" customHeight="1">
      <c r="A1793">
        <f>+'Libro Diario'!F348</f>
        <v>39</v>
      </c>
      <c r="B1793" s="144">
        <f>VALUE(IF(+'Libro Diario'!G348="","01/01/2025",+'Libro Diario'!G348))</f>
        <v>45991</v>
      </c>
      <c r="C1793">
        <f>IF(ISNUMBER(+IF(IFERROR(VALUE(MID('Libro Diario'!D348,1,4)),0)&lt;&gt;0,'Libro Diario'!D348,0))=FALSE,'Libro Diario'!D348,0)</f>
        <v>0</v>
      </c>
      <c r="D1793" s="145">
        <f>+'Libro Diario'!E348</f>
        <v>0</v>
      </c>
      <c r="E1793" s="139" t="s">
        <v>446</v>
      </c>
      <c r="F1793" t="str">
        <f t="shared" si="81"/>
        <v>Sin Mov.</v>
      </c>
      <c r="G1793" t="str">
        <f>IF(+'Libro Diario'!H348=0,"",+'Libro Diario'!H348)</f>
        <v>Operaciones del Ejercicio</v>
      </c>
      <c r="H1793" t="str">
        <f>IF(+'Libro Diario'!I348=0,"",+'Libro Diario'!I348)</f>
        <v/>
      </c>
      <c r="I1793" t="str">
        <f>+IF(Table3[[#This Row],[Tipo Movimiento]]="Estructura Balance y PyG","Excluir","Incluir")</f>
        <v>Incluir</v>
      </c>
      <c r="J1793" s="153">
        <f>+IF(Table3[[#This Row],[Sin cuenta]]="Con Mov.",(IF(Table3[[#This Row],[Movimiento]]="Debe",Table3[[#This Row],[Importe]],IF(Table3[[#This Row],[Movimiento]]="Haber",Table3[[#This Row],[Importe]]*-1,0))),0)</f>
        <v>0</v>
      </c>
      <c r="K1793" s="145" t="str">
        <f t="shared" si="82"/>
        <v/>
      </c>
      <c r="L1793" s="145">
        <f t="shared" si="83"/>
        <v>0</v>
      </c>
      <c r="M1793" t="str">
        <f>_xlfn.XLOOKUP(Table3[[#This Row],[Cuenta]],Estructura_Balance[Nombre Cuenta ()],Estructura_Balance[Grupo],"",0)</f>
        <v/>
      </c>
      <c r="N1793" t="str">
        <f>_xlfn.XLOOKUP(Table3[[#This Row],[Cuenta]],Estructura_Balance[Nombre Cuenta ()],Estructura_Balance[Nivel 1],"",0)</f>
        <v/>
      </c>
      <c r="O1793" t="str">
        <f>_xlfn.XLOOKUP(Table3[[#This Row],[Cuenta]],Estructura_Balance[Nombre Cuenta ()],Estructura_Balance[Nivel 2],"",0)</f>
        <v/>
      </c>
      <c r="P1793" t="str">
        <f>_xlfn.XLOOKUP(Table3[[#This Row],[Cuenta]],Estructura_Balance[Nombre Cuenta ()],Estructura_Balance[Nivel 3],"",0)</f>
        <v/>
      </c>
      <c r="Q1793" t="str">
        <f>_xlfn.XLOOKUP(Table3[[#This Row],[Cuenta]],Estructura_Balance[Nombre Cuenta ()],Estructura_Balance[Nivel 4],"",0)</f>
        <v/>
      </c>
      <c r="R1793" t="str">
        <f>_xlfn.XLOOKUP(Table3[[#This Row],[Cuenta]],Table8[Nombre Cuenta ()],Table8[Nivel 1],"",0)</f>
        <v/>
      </c>
      <c r="S1793" t="str">
        <f>_xlfn.XLOOKUP(Table3[[#This Row],[Cuenta]],Table8[Nombre Cuenta ()],Table8[Nivel 2],"",0)</f>
        <v/>
      </c>
      <c r="T1793" t="str">
        <f>_xlfn.XLOOKUP(Table3[[#This Row],[Cuenta]],Table8[Nombre Cuenta ()],Table8[Nivel 3],"",0)</f>
        <v/>
      </c>
      <c r="U1793">
        <v>1741</v>
      </c>
      <c r="V1793" t="str">
        <f>_xlfn.XLOOKUP(Table3[[#This Row],[Cuenta]],Estructura_Balance[Nombre Cuenta ()],Estructura_Balance[Niveles:2],"",0)</f>
        <v/>
      </c>
      <c r="W1793" t="str">
        <f>_xlfn.XLOOKUP(Table3[[#This Row],[Cuenta]],Estructura_Balance[Nombre Cuenta ()],Estructura_Balance[Niveles:3],"",0)</f>
        <v/>
      </c>
      <c r="X1793" t="str">
        <f>_xlfn.XLOOKUP(Table3[[#This Row],[Cuenta]],Estructura_Balance[Nombre Cuenta ()],Estructura_Balance[Grupos],"Grupo 1",0)</f>
        <v>Grupo 1</v>
      </c>
      <c r="Y1793" t="str">
        <f>+Table3[[#This Row],[BS_Nivel_1]]</f>
        <v/>
      </c>
    </row>
    <row r="1794" spans="1:25" ht="15" customHeight="1">
      <c r="A1794">
        <f>+'Libro Diario'!F349</f>
        <v>39</v>
      </c>
      <c r="B1794" s="144">
        <f>VALUE(IF(+'Libro Diario'!G349="","01/01/2025",+'Libro Diario'!G349))</f>
        <v>45991</v>
      </c>
      <c r="C1794">
        <f>IF(ISNUMBER(+IF(IFERROR(VALUE(MID('Libro Diario'!D349,1,4)),0)&lt;&gt;0,'Libro Diario'!D349,0))=FALSE,'Libro Diario'!D349,0)</f>
        <v>0</v>
      </c>
      <c r="D1794" s="145">
        <f>+'Libro Diario'!E349</f>
        <v>0</v>
      </c>
      <c r="E1794" s="139" t="s">
        <v>446</v>
      </c>
      <c r="F1794" t="str">
        <f t="shared" si="81"/>
        <v>Sin Mov.</v>
      </c>
      <c r="G1794" t="str">
        <f>IF(+'Libro Diario'!H349=0,"",+'Libro Diario'!H349)</f>
        <v>Operaciones del Ejercicio</v>
      </c>
      <c r="H1794" t="str">
        <f>IF(+'Libro Diario'!I349=0,"",+'Libro Diario'!I349)</f>
        <v/>
      </c>
      <c r="I1794" t="str">
        <f>+IF(Table3[[#This Row],[Tipo Movimiento]]="Estructura Balance y PyG","Excluir","Incluir")</f>
        <v>Incluir</v>
      </c>
      <c r="J1794" s="153">
        <f>+IF(Table3[[#This Row],[Sin cuenta]]="Con Mov.",(IF(Table3[[#This Row],[Movimiento]]="Debe",Table3[[#This Row],[Importe]],IF(Table3[[#This Row],[Movimiento]]="Haber",Table3[[#This Row],[Importe]]*-1,0))),0)</f>
        <v>0</v>
      </c>
      <c r="K1794" s="145" t="str">
        <f t="shared" si="82"/>
        <v/>
      </c>
      <c r="L1794" s="145">
        <f t="shared" si="83"/>
        <v>0</v>
      </c>
      <c r="M1794" t="str">
        <f>_xlfn.XLOOKUP(Table3[[#This Row],[Cuenta]],Estructura_Balance[Nombre Cuenta ()],Estructura_Balance[Grupo],"",0)</f>
        <v/>
      </c>
      <c r="N1794" t="str">
        <f>_xlfn.XLOOKUP(Table3[[#This Row],[Cuenta]],Estructura_Balance[Nombre Cuenta ()],Estructura_Balance[Nivel 1],"",0)</f>
        <v/>
      </c>
      <c r="O1794" t="str">
        <f>_xlfn.XLOOKUP(Table3[[#This Row],[Cuenta]],Estructura_Balance[Nombre Cuenta ()],Estructura_Balance[Nivel 2],"",0)</f>
        <v/>
      </c>
      <c r="P1794" t="str">
        <f>_xlfn.XLOOKUP(Table3[[#This Row],[Cuenta]],Estructura_Balance[Nombre Cuenta ()],Estructura_Balance[Nivel 3],"",0)</f>
        <v/>
      </c>
      <c r="Q1794" t="str">
        <f>_xlfn.XLOOKUP(Table3[[#This Row],[Cuenta]],Estructura_Balance[Nombre Cuenta ()],Estructura_Balance[Nivel 4],"",0)</f>
        <v/>
      </c>
      <c r="R1794" t="str">
        <f>_xlfn.XLOOKUP(Table3[[#This Row],[Cuenta]],Table8[Nombre Cuenta ()],Table8[Nivel 1],"",0)</f>
        <v/>
      </c>
      <c r="S1794" t="str">
        <f>_xlfn.XLOOKUP(Table3[[#This Row],[Cuenta]],Table8[Nombre Cuenta ()],Table8[Nivel 2],"",0)</f>
        <v/>
      </c>
      <c r="T1794" t="str">
        <f>_xlfn.XLOOKUP(Table3[[#This Row],[Cuenta]],Table8[Nombre Cuenta ()],Table8[Nivel 3],"",0)</f>
        <v/>
      </c>
      <c r="U1794">
        <v>1742</v>
      </c>
      <c r="V1794" t="str">
        <f>_xlfn.XLOOKUP(Table3[[#This Row],[Cuenta]],Estructura_Balance[Nombre Cuenta ()],Estructura_Balance[Niveles:2],"",0)</f>
        <v/>
      </c>
      <c r="W1794" t="str">
        <f>_xlfn.XLOOKUP(Table3[[#This Row],[Cuenta]],Estructura_Balance[Nombre Cuenta ()],Estructura_Balance[Niveles:3],"",0)</f>
        <v/>
      </c>
      <c r="X1794" t="str">
        <f>_xlfn.XLOOKUP(Table3[[#This Row],[Cuenta]],Estructura_Balance[Nombre Cuenta ()],Estructura_Balance[Grupos],"Grupo 1",0)</f>
        <v>Grupo 1</v>
      </c>
      <c r="Y1794" t="str">
        <f>+Table3[[#This Row],[BS_Nivel_1]]</f>
        <v/>
      </c>
    </row>
    <row r="1795" spans="1:25" ht="15" customHeight="1">
      <c r="A1795">
        <f>+'Libro Diario'!F355</f>
        <v>40</v>
      </c>
      <c r="B1795" s="144">
        <f>VALUE(IF(+'Libro Diario'!G355="","01/01/2025",+'Libro Diario'!G355))</f>
        <v>45991</v>
      </c>
      <c r="C1795">
        <f>IF(ISNUMBER(+IF(IFERROR(VALUE(MID('Libro Diario'!C355,1,4)),0)&lt;&gt;0,'Libro Diario'!C355,0))=FALSE,'Libro Diario'!C355,0)</f>
        <v>0</v>
      </c>
      <c r="D1795" s="145">
        <f>+'Libro Diario'!B355</f>
        <v>0</v>
      </c>
      <c r="E1795" s="139" t="s">
        <v>445</v>
      </c>
      <c r="F1795" t="str">
        <f t="shared" ref="F1795:F1858" si="84">+IF(C1795=0,"Sin Mov.","Con Mov.")</f>
        <v>Sin Mov.</v>
      </c>
      <c r="G1795" t="str">
        <f>IF(+'Libro Diario'!H355=0,"",+'Libro Diario'!H355)</f>
        <v>Operaciones del Ejercicio</v>
      </c>
      <c r="H1795" t="str">
        <f>IF(+'Libro Diario'!I355=0,"",+'Libro Diario'!I355)</f>
        <v/>
      </c>
      <c r="I1795" t="str">
        <f>+IF(Table3[[#This Row],[Tipo Movimiento]]="Estructura Balance y PyG","Excluir","Incluir")</f>
        <v>Incluir</v>
      </c>
      <c r="J1795" s="153">
        <f>+IF(Table3[[#This Row],[Sin cuenta]]="Con Mov.",(IF(Table3[[#This Row],[Movimiento]]="Debe",Table3[[#This Row],[Importe]],IF(Table3[[#This Row],[Movimiento]]="Haber",Table3[[#This Row],[Importe]]*-1,0))),0)</f>
        <v>0</v>
      </c>
      <c r="K1795" s="145">
        <f t="shared" ref="K1795:K1858" si="85">+IF(E1795="Debe",D1795,"")</f>
        <v>0</v>
      </c>
      <c r="L1795" s="145" t="str">
        <f t="shared" ref="L1795:L1858" si="86">+IF(E1795="Haber",D1795,"")</f>
        <v/>
      </c>
      <c r="M1795" t="str">
        <f>_xlfn.XLOOKUP(Table3[[#This Row],[Cuenta]],Estructura_Balance[Nombre Cuenta ()],Estructura_Balance[Grupo],"",0)</f>
        <v/>
      </c>
      <c r="N1795" t="str">
        <f>_xlfn.XLOOKUP(Table3[[#This Row],[Cuenta]],Estructura_Balance[Nombre Cuenta ()],Estructura_Balance[Nivel 1],"",0)</f>
        <v/>
      </c>
      <c r="O1795" t="str">
        <f>_xlfn.XLOOKUP(Table3[[#This Row],[Cuenta]],Estructura_Balance[Nombre Cuenta ()],Estructura_Balance[Nivel 2],"",0)</f>
        <v/>
      </c>
      <c r="P1795" t="str">
        <f>_xlfn.XLOOKUP(Table3[[#This Row],[Cuenta]],Estructura_Balance[Nombre Cuenta ()],Estructura_Balance[Nivel 3],"",0)</f>
        <v/>
      </c>
      <c r="Q1795" t="str">
        <f>_xlfn.XLOOKUP(Table3[[#This Row],[Cuenta]],Estructura_Balance[Nombre Cuenta ()],Estructura_Balance[Nivel 4],"",0)</f>
        <v/>
      </c>
      <c r="R1795" t="str">
        <f>_xlfn.XLOOKUP(Table3[[#This Row],[Cuenta]],Table8[Nombre Cuenta ()],Table8[Nivel 1],"",0)</f>
        <v/>
      </c>
      <c r="S1795" t="str">
        <f>_xlfn.XLOOKUP(Table3[[#This Row],[Cuenta]],Table8[Nombre Cuenta ()],Table8[Nivel 2],"",0)</f>
        <v/>
      </c>
      <c r="T1795" t="str">
        <f>_xlfn.XLOOKUP(Table3[[#This Row],[Cuenta]],Table8[Nombre Cuenta ()],Table8[Nivel 3],"",0)</f>
        <v/>
      </c>
      <c r="U1795">
        <v>489</v>
      </c>
      <c r="V1795" t="str">
        <f>_xlfn.XLOOKUP(Table3[[#This Row],[Cuenta]],Estructura_Balance[Nombre Cuenta ()],Estructura_Balance[Niveles:2],"",0)</f>
        <v/>
      </c>
      <c r="W1795" t="str">
        <f>_xlfn.XLOOKUP(Table3[[#This Row],[Cuenta]],Estructura_Balance[Nombre Cuenta ()],Estructura_Balance[Niveles:3],"",0)</f>
        <v/>
      </c>
      <c r="X1795" t="str">
        <f>_xlfn.XLOOKUP(Table3[[#This Row],[Cuenta]],Estructura_Balance[Nombre Cuenta ()],Estructura_Balance[Grupos],"Grupo 1",0)</f>
        <v>Grupo 1</v>
      </c>
      <c r="Y1795" t="str">
        <f>+Table3[[#This Row],[BS_Nivel_1]]</f>
        <v/>
      </c>
    </row>
    <row r="1796" spans="1:25" ht="15" customHeight="1">
      <c r="A1796">
        <f>+'Libro Diario'!F356</f>
        <v>40</v>
      </c>
      <c r="B1796" s="144">
        <f>VALUE(IF(+'Libro Diario'!G356="","01/01/2025",+'Libro Diario'!G356))</f>
        <v>45991</v>
      </c>
      <c r="C1796">
        <f>IF(ISNUMBER(+IF(IFERROR(VALUE(MID('Libro Diario'!C356,1,4)),0)&lt;&gt;0,'Libro Diario'!C356,0))=FALSE,'Libro Diario'!C356,0)</f>
        <v>0</v>
      </c>
      <c r="D1796" s="145">
        <f>+'Libro Diario'!B356</f>
        <v>0</v>
      </c>
      <c r="E1796" s="139" t="s">
        <v>445</v>
      </c>
      <c r="F1796" t="str">
        <f t="shared" si="84"/>
        <v>Sin Mov.</v>
      </c>
      <c r="G1796" t="str">
        <f>IF(+'Libro Diario'!H356=0,"",+'Libro Diario'!H356)</f>
        <v>Operaciones del Ejercicio</v>
      </c>
      <c r="H1796" t="str">
        <f>IF(+'Libro Diario'!I356=0,"",+'Libro Diario'!I356)</f>
        <v/>
      </c>
      <c r="I1796" t="str">
        <f>+IF(Table3[[#This Row],[Tipo Movimiento]]="Estructura Balance y PyG","Excluir","Incluir")</f>
        <v>Incluir</v>
      </c>
      <c r="J1796" s="153">
        <f>+IF(Table3[[#This Row],[Sin cuenta]]="Con Mov.",(IF(Table3[[#This Row],[Movimiento]]="Debe",Table3[[#This Row],[Importe]],IF(Table3[[#This Row],[Movimiento]]="Haber",Table3[[#This Row],[Importe]]*-1,0))),0)</f>
        <v>0</v>
      </c>
      <c r="K1796" s="145">
        <f t="shared" si="85"/>
        <v>0</v>
      </c>
      <c r="L1796" s="145" t="str">
        <f t="shared" si="86"/>
        <v/>
      </c>
      <c r="M1796" t="str">
        <f>_xlfn.XLOOKUP(Table3[[#This Row],[Cuenta]],Estructura_Balance[Nombre Cuenta ()],Estructura_Balance[Grupo],"",0)</f>
        <v/>
      </c>
      <c r="N1796" t="str">
        <f>_xlfn.XLOOKUP(Table3[[#This Row],[Cuenta]],Estructura_Balance[Nombre Cuenta ()],Estructura_Balance[Nivel 1],"",0)</f>
        <v/>
      </c>
      <c r="O1796" t="str">
        <f>_xlfn.XLOOKUP(Table3[[#This Row],[Cuenta]],Estructura_Balance[Nombre Cuenta ()],Estructura_Balance[Nivel 2],"",0)</f>
        <v/>
      </c>
      <c r="P1796" t="str">
        <f>_xlfn.XLOOKUP(Table3[[#This Row],[Cuenta]],Estructura_Balance[Nombre Cuenta ()],Estructura_Balance[Nivel 3],"",0)</f>
        <v/>
      </c>
      <c r="Q1796" t="str">
        <f>_xlfn.XLOOKUP(Table3[[#This Row],[Cuenta]],Estructura_Balance[Nombre Cuenta ()],Estructura_Balance[Nivel 4],"",0)</f>
        <v/>
      </c>
      <c r="R1796" t="str">
        <f>_xlfn.XLOOKUP(Table3[[#This Row],[Cuenta]],Table8[Nombre Cuenta ()],Table8[Nivel 1],"",0)</f>
        <v/>
      </c>
      <c r="S1796" t="str">
        <f>_xlfn.XLOOKUP(Table3[[#This Row],[Cuenta]],Table8[Nombre Cuenta ()],Table8[Nivel 2],"",0)</f>
        <v/>
      </c>
      <c r="T1796" t="str">
        <f>_xlfn.XLOOKUP(Table3[[#This Row],[Cuenta]],Table8[Nombre Cuenta ()],Table8[Nivel 3],"",0)</f>
        <v/>
      </c>
      <c r="U1796">
        <v>490</v>
      </c>
      <c r="V1796" t="str">
        <f>_xlfn.XLOOKUP(Table3[[#This Row],[Cuenta]],Estructura_Balance[Nombre Cuenta ()],Estructura_Balance[Niveles:2],"",0)</f>
        <v/>
      </c>
      <c r="W1796" t="str">
        <f>_xlfn.XLOOKUP(Table3[[#This Row],[Cuenta]],Estructura_Balance[Nombre Cuenta ()],Estructura_Balance[Niveles:3],"",0)</f>
        <v/>
      </c>
      <c r="X1796" t="str">
        <f>_xlfn.XLOOKUP(Table3[[#This Row],[Cuenta]],Estructura_Balance[Nombre Cuenta ()],Estructura_Balance[Grupos],"Grupo 1",0)</f>
        <v>Grupo 1</v>
      </c>
      <c r="Y1796" t="str">
        <f>+Table3[[#This Row],[BS_Nivel_1]]</f>
        <v/>
      </c>
    </row>
    <row r="1797" spans="1:25" ht="15" customHeight="1">
      <c r="A1797">
        <f>+'Libro Diario'!F357</f>
        <v>40</v>
      </c>
      <c r="B1797" s="144">
        <f>VALUE(IF(+'Libro Diario'!G357="","01/01/2025",+'Libro Diario'!G357))</f>
        <v>45991</v>
      </c>
      <c r="C1797">
        <f>IF(ISNUMBER(+IF(IFERROR(VALUE(MID('Libro Diario'!C357,1,4)),0)&lt;&gt;0,'Libro Diario'!C357,0))=FALSE,'Libro Diario'!C357,0)</f>
        <v>0</v>
      </c>
      <c r="D1797" s="145">
        <f>+'Libro Diario'!B357</f>
        <v>0</v>
      </c>
      <c r="E1797" s="139" t="s">
        <v>445</v>
      </c>
      <c r="F1797" t="str">
        <f t="shared" si="84"/>
        <v>Sin Mov.</v>
      </c>
      <c r="G1797" t="str">
        <f>IF(+'Libro Diario'!H357=0,"",+'Libro Diario'!H357)</f>
        <v>Operaciones del Ejercicio</v>
      </c>
      <c r="H1797" t="str">
        <f>IF(+'Libro Diario'!I357=0,"",+'Libro Diario'!I357)</f>
        <v/>
      </c>
      <c r="I1797" t="str">
        <f>+IF(Table3[[#This Row],[Tipo Movimiento]]="Estructura Balance y PyG","Excluir","Incluir")</f>
        <v>Incluir</v>
      </c>
      <c r="J1797" s="153">
        <f>+IF(Table3[[#This Row],[Sin cuenta]]="Con Mov.",(IF(Table3[[#This Row],[Movimiento]]="Debe",Table3[[#This Row],[Importe]],IF(Table3[[#This Row],[Movimiento]]="Haber",Table3[[#This Row],[Importe]]*-1,0))),0)</f>
        <v>0</v>
      </c>
      <c r="K1797" s="145">
        <f t="shared" si="85"/>
        <v>0</v>
      </c>
      <c r="L1797" s="145" t="str">
        <f t="shared" si="86"/>
        <v/>
      </c>
      <c r="M1797" t="str">
        <f>_xlfn.XLOOKUP(Table3[[#This Row],[Cuenta]],Estructura_Balance[Nombre Cuenta ()],Estructura_Balance[Grupo],"",0)</f>
        <v/>
      </c>
      <c r="N1797" t="str">
        <f>_xlfn.XLOOKUP(Table3[[#This Row],[Cuenta]],Estructura_Balance[Nombre Cuenta ()],Estructura_Balance[Nivel 1],"",0)</f>
        <v/>
      </c>
      <c r="O1797" t="str">
        <f>_xlfn.XLOOKUP(Table3[[#This Row],[Cuenta]],Estructura_Balance[Nombre Cuenta ()],Estructura_Balance[Nivel 2],"",0)</f>
        <v/>
      </c>
      <c r="P1797" t="str">
        <f>_xlfn.XLOOKUP(Table3[[#This Row],[Cuenta]],Estructura_Balance[Nombre Cuenta ()],Estructura_Balance[Nivel 3],"",0)</f>
        <v/>
      </c>
      <c r="Q1797" t="str">
        <f>_xlfn.XLOOKUP(Table3[[#This Row],[Cuenta]],Estructura_Balance[Nombre Cuenta ()],Estructura_Balance[Nivel 4],"",0)</f>
        <v/>
      </c>
      <c r="R1797" t="str">
        <f>_xlfn.XLOOKUP(Table3[[#This Row],[Cuenta]],Table8[Nombre Cuenta ()],Table8[Nivel 1],"",0)</f>
        <v/>
      </c>
      <c r="S1797" t="str">
        <f>_xlfn.XLOOKUP(Table3[[#This Row],[Cuenta]],Table8[Nombre Cuenta ()],Table8[Nivel 2],"",0)</f>
        <v/>
      </c>
      <c r="T1797" t="str">
        <f>_xlfn.XLOOKUP(Table3[[#This Row],[Cuenta]],Table8[Nombre Cuenta ()],Table8[Nivel 3],"",0)</f>
        <v/>
      </c>
      <c r="U1797">
        <v>491</v>
      </c>
      <c r="V1797" t="str">
        <f>_xlfn.XLOOKUP(Table3[[#This Row],[Cuenta]],Estructura_Balance[Nombre Cuenta ()],Estructura_Balance[Niveles:2],"",0)</f>
        <v/>
      </c>
      <c r="W1797" t="str">
        <f>_xlfn.XLOOKUP(Table3[[#This Row],[Cuenta]],Estructura_Balance[Nombre Cuenta ()],Estructura_Balance[Niveles:3],"",0)</f>
        <v/>
      </c>
      <c r="X1797" t="str">
        <f>_xlfn.XLOOKUP(Table3[[#This Row],[Cuenta]],Estructura_Balance[Nombre Cuenta ()],Estructura_Balance[Grupos],"Grupo 1",0)</f>
        <v>Grupo 1</v>
      </c>
      <c r="Y1797" t="str">
        <f>+Table3[[#This Row],[BS_Nivel_1]]</f>
        <v/>
      </c>
    </row>
    <row r="1798" spans="1:25" ht="15" customHeight="1">
      <c r="A1798">
        <f>+'Libro Diario'!F355</f>
        <v>40</v>
      </c>
      <c r="B1798" s="144">
        <f>VALUE(IF(+'Libro Diario'!G355="","01/01/2025",+'Libro Diario'!G355))</f>
        <v>45991</v>
      </c>
      <c r="C1798">
        <f>IF(ISNUMBER(+IF(IFERROR(VALUE(MID('Libro Diario'!D355,1,4)),0)&lt;&gt;0,'Libro Diario'!D355,0))=FALSE,'Libro Diario'!D355,0)</f>
        <v>0</v>
      </c>
      <c r="D1798" s="145">
        <f>+'Libro Diario'!E355</f>
        <v>0</v>
      </c>
      <c r="E1798" s="139" t="s">
        <v>446</v>
      </c>
      <c r="F1798" t="str">
        <f t="shared" si="84"/>
        <v>Sin Mov.</v>
      </c>
      <c r="G1798" t="str">
        <f>IF(+'Libro Diario'!H355=0,"",+'Libro Diario'!H355)</f>
        <v>Operaciones del Ejercicio</v>
      </c>
      <c r="H1798" t="str">
        <f>IF(+'Libro Diario'!I355=0,"",+'Libro Diario'!I355)</f>
        <v/>
      </c>
      <c r="I1798" t="str">
        <f>+IF(Table3[[#This Row],[Tipo Movimiento]]="Estructura Balance y PyG","Excluir","Incluir")</f>
        <v>Incluir</v>
      </c>
      <c r="J1798" s="153">
        <f>+IF(Table3[[#This Row],[Sin cuenta]]="Con Mov.",(IF(Table3[[#This Row],[Movimiento]]="Debe",Table3[[#This Row],[Importe]],IF(Table3[[#This Row],[Movimiento]]="Haber",Table3[[#This Row],[Importe]]*-1,0))),0)</f>
        <v>0</v>
      </c>
      <c r="K1798" s="145" t="str">
        <f t="shared" si="85"/>
        <v/>
      </c>
      <c r="L1798" s="145">
        <f t="shared" si="86"/>
        <v>0</v>
      </c>
      <c r="M1798" t="str">
        <f>_xlfn.XLOOKUP(Table3[[#This Row],[Cuenta]],Estructura_Balance[Nombre Cuenta ()],Estructura_Balance[Grupo],"",0)</f>
        <v/>
      </c>
      <c r="N1798" t="str">
        <f>_xlfn.XLOOKUP(Table3[[#This Row],[Cuenta]],Estructura_Balance[Nombre Cuenta ()],Estructura_Balance[Nivel 1],"",0)</f>
        <v/>
      </c>
      <c r="O1798" t="str">
        <f>_xlfn.XLOOKUP(Table3[[#This Row],[Cuenta]],Estructura_Balance[Nombre Cuenta ()],Estructura_Balance[Nivel 2],"",0)</f>
        <v/>
      </c>
      <c r="P1798" t="str">
        <f>_xlfn.XLOOKUP(Table3[[#This Row],[Cuenta]],Estructura_Balance[Nombre Cuenta ()],Estructura_Balance[Nivel 3],"",0)</f>
        <v/>
      </c>
      <c r="Q1798" t="str">
        <f>_xlfn.XLOOKUP(Table3[[#This Row],[Cuenta]],Estructura_Balance[Nombre Cuenta ()],Estructura_Balance[Nivel 4],"",0)</f>
        <v/>
      </c>
      <c r="R1798" t="str">
        <f>_xlfn.XLOOKUP(Table3[[#This Row],[Cuenta]],Table8[Nombre Cuenta ()],Table8[Nivel 1],"",0)</f>
        <v/>
      </c>
      <c r="S1798" t="str">
        <f>_xlfn.XLOOKUP(Table3[[#This Row],[Cuenta]],Table8[Nombre Cuenta ()],Table8[Nivel 2],"",0)</f>
        <v/>
      </c>
      <c r="T1798" t="str">
        <f>_xlfn.XLOOKUP(Table3[[#This Row],[Cuenta]],Table8[Nombre Cuenta ()],Table8[Nivel 3],"",0)</f>
        <v/>
      </c>
      <c r="U1798">
        <v>1748</v>
      </c>
      <c r="V1798" t="str">
        <f>_xlfn.XLOOKUP(Table3[[#This Row],[Cuenta]],Estructura_Balance[Nombre Cuenta ()],Estructura_Balance[Niveles:2],"",0)</f>
        <v/>
      </c>
      <c r="W1798" t="str">
        <f>_xlfn.XLOOKUP(Table3[[#This Row],[Cuenta]],Estructura_Balance[Nombre Cuenta ()],Estructura_Balance[Niveles:3],"",0)</f>
        <v/>
      </c>
      <c r="X1798" t="str">
        <f>_xlfn.XLOOKUP(Table3[[#This Row],[Cuenta]],Estructura_Balance[Nombre Cuenta ()],Estructura_Balance[Grupos],"Grupo 1",0)</f>
        <v>Grupo 1</v>
      </c>
      <c r="Y1798" t="str">
        <f>+Table3[[#This Row],[BS_Nivel_1]]</f>
        <v/>
      </c>
    </row>
    <row r="1799" spans="1:25" ht="15" customHeight="1">
      <c r="A1799">
        <f>+'Libro Diario'!F356</f>
        <v>40</v>
      </c>
      <c r="B1799" s="144">
        <f>VALUE(IF(+'Libro Diario'!G356="","01/01/2025",+'Libro Diario'!G356))</f>
        <v>45991</v>
      </c>
      <c r="C1799">
        <f>IF(ISNUMBER(+IF(IFERROR(VALUE(MID('Libro Diario'!D356,1,4)),0)&lt;&gt;0,'Libro Diario'!D356,0))=FALSE,'Libro Diario'!D356,0)</f>
        <v>0</v>
      </c>
      <c r="D1799" s="145">
        <f>+'Libro Diario'!E356</f>
        <v>0</v>
      </c>
      <c r="E1799" s="139" t="s">
        <v>446</v>
      </c>
      <c r="F1799" t="str">
        <f t="shared" si="84"/>
        <v>Sin Mov.</v>
      </c>
      <c r="G1799" t="str">
        <f>IF(+'Libro Diario'!H356=0,"",+'Libro Diario'!H356)</f>
        <v>Operaciones del Ejercicio</v>
      </c>
      <c r="H1799" t="str">
        <f>IF(+'Libro Diario'!I356=0,"",+'Libro Diario'!I356)</f>
        <v/>
      </c>
      <c r="I1799" t="str">
        <f>+IF(Table3[[#This Row],[Tipo Movimiento]]="Estructura Balance y PyG","Excluir","Incluir")</f>
        <v>Incluir</v>
      </c>
      <c r="J1799" s="153">
        <f>+IF(Table3[[#This Row],[Sin cuenta]]="Con Mov.",(IF(Table3[[#This Row],[Movimiento]]="Debe",Table3[[#This Row],[Importe]],IF(Table3[[#This Row],[Movimiento]]="Haber",Table3[[#This Row],[Importe]]*-1,0))),0)</f>
        <v>0</v>
      </c>
      <c r="K1799" s="145" t="str">
        <f t="shared" si="85"/>
        <v/>
      </c>
      <c r="L1799" s="145">
        <f t="shared" si="86"/>
        <v>0</v>
      </c>
      <c r="M1799" t="str">
        <f>_xlfn.XLOOKUP(Table3[[#This Row],[Cuenta]],Estructura_Balance[Nombre Cuenta ()],Estructura_Balance[Grupo],"",0)</f>
        <v/>
      </c>
      <c r="N1799" t="str">
        <f>_xlfn.XLOOKUP(Table3[[#This Row],[Cuenta]],Estructura_Balance[Nombre Cuenta ()],Estructura_Balance[Nivel 1],"",0)</f>
        <v/>
      </c>
      <c r="O1799" t="str">
        <f>_xlfn.XLOOKUP(Table3[[#This Row],[Cuenta]],Estructura_Balance[Nombre Cuenta ()],Estructura_Balance[Nivel 2],"",0)</f>
        <v/>
      </c>
      <c r="P1799" t="str">
        <f>_xlfn.XLOOKUP(Table3[[#This Row],[Cuenta]],Estructura_Balance[Nombre Cuenta ()],Estructura_Balance[Nivel 3],"",0)</f>
        <v/>
      </c>
      <c r="Q1799" t="str">
        <f>_xlfn.XLOOKUP(Table3[[#This Row],[Cuenta]],Estructura_Balance[Nombre Cuenta ()],Estructura_Balance[Nivel 4],"",0)</f>
        <v/>
      </c>
      <c r="R1799" t="str">
        <f>_xlfn.XLOOKUP(Table3[[#This Row],[Cuenta]],Table8[Nombre Cuenta ()],Table8[Nivel 1],"",0)</f>
        <v/>
      </c>
      <c r="S1799" t="str">
        <f>_xlfn.XLOOKUP(Table3[[#This Row],[Cuenta]],Table8[Nombre Cuenta ()],Table8[Nivel 2],"",0)</f>
        <v/>
      </c>
      <c r="T1799" t="str">
        <f>_xlfn.XLOOKUP(Table3[[#This Row],[Cuenta]],Table8[Nombre Cuenta ()],Table8[Nivel 3],"",0)</f>
        <v/>
      </c>
      <c r="U1799">
        <v>1749</v>
      </c>
      <c r="V1799" t="str">
        <f>_xlfn.XLOOKUP(Table3[[#This Row],[Cuenta]],Estructura_Balance[Nombre Cuenta ()],Estructura_Balance[Niveles:2],"",0)</f>
        <v/>
      </c>
      <c r="W1799" t="str">
        <f>_xlfn.XLOOKUP(Table3[[#This Row],[Cuenta]],Estructura_Balance[Nombre Cuenta ()],Estructura_Balance[Niveles:3],"",0)</f>
        <v/>
      </c>
      <c r="X1799" t="str">
        <f>_xlfn.XLOOKUP(Table3[[#This Row],[Cuenta]],Estructura_Balance[Nombre Cuenta ()],Estructura_Balance[Grupos],"Grupo 1",0)</f>
        <v>Grupo 1</v>
      </c>
      <c r="Y1799" t="str">
        <f>+Table3[[#This Row],[BS_Nivel_1]]</f>
        <v/>
      </c>
    </row>
    <row r="1800" spans="1:25" ht="15" customHeight="1">
      <c r="A1800">
        <f>+'Libro Diario'!F357</f>
        <v>40</v>
      </c>
      <c r="B1800" s="144">
        <f>VALUE(IF(+'Libro Diario'!G357="","01/01/2025",+'Libro Diario'!G357))</f>
        <v>45991</v>
      </c>
      <c r="C1800">
        <f>IF(ISNUMBER(+IF(IFERROR(VALUE(MID('Libro Diario'!D357,1,4)),0)&lt;&gt;0,'Libro Diario'!D357,0))=FALSE,'Libro Diario'!D357,0)</f>
        <v>0</v>
      </c>
      <c r="D1800" s="145">
        <f>+'Libro Diario'!E357</f>
        <v>0</v>
      </c>
      <c r="E1800" s="139" t="s">
        <v>446</v>
      </c>
      <c r="F1800" t="str">
        <f t="shared" si="84"/>
        <v>Sin Mov.</v>
      </c>
      <c r="G1800" t="str">
        <f>IF(+'Libro Diario'!H357=0,"",+'Libro Diario'!H357)</f>
        <v>Operaciones del Ejercicio</v>
      </c>
      <c r="H1800" t="str">
        <f>IF(+'Libro Diario'!I357=0,"",+'Libro Diario'!I357)</f>
        <v/>
      </c>
      <c r="I1800" t="str">
        <f>+IF(Table3[[#This Row],[Tipo Movimiento]]="Estructura Balance y PyG","Excluir","Incluir")</f>
        <v>Incluir</v>
      </c>
      <c r="J1800" s="153">
        <f>+IF(Table3[[#This Row],[Sin cuenta]]="Con Mov.",(IF(Table3[[#This Row],[Movimiento]]="Debe",Table3[[#This Row],[Importe]],IF(Table3[[#This Row],[Movimiento]]="Haber",Table3[[#This Row],[Importe]]*-1,0))),0)</f>
        <v>0</v>
      </c>
      <c r="K1800" s="145" t="str">
        <f t="shared" si="85"/>
        <v/>
      </c>
      <c r="L1800" s="145">
        <f t="shared" si="86"/>
        <v>0</v>
      </c>
      <c r="M1800" t="str">
        <f>_xlfn.XLOOKUP(Table3[[#This Row],[Cuenta]],Estructura_Balance[Nombre Cuenta ()],Estructura_Balance[Grupo],"",0)</f>
        <v/>
      </c>
      <c r="N1800" t="str">
        <f>_xlfn.XLOOKUP(Table3[[#This Row],[Cuenta]],Estructura_Balance[Nombre Cuenta ()],Estructura_Balance[Nivel 1],"",0)</f>
        <v/>
      </c>
      <c r="O1800" t="str">
        <f>_xlfn.XLOOKUP(Table3[[#This Row],[Cuenta]],Estructura_Balance[Nombre Cuenta ()],Estructura_Balance[Nivel 2],"",0)</f>
        <v/>
      </c>
      <c r="P1800" t="str">
        <f>_xlfn.XLOOKUP(Table3[[#This Row],[Cuenta]],Estructura_Balance[Nombre Cuenta ()],Estructura_Balance[Nivel 3],"",0)</f>
        <v/>
      </c>
      <c r="Q1800" t="str">
        <f>_xlfn.XLOOKUP(Table3[[#This Row],[Cuenta]],Estructura_Balance[Nombre Cuenta ()],Estructura_Balance[Nivel 4],"",0)</f>
        <v/>
      </c>
      <c r="R1800" t="str">
        <f>_xlfn.XLOOKUP(Table3[[#This Row],[Cuenta]],Table8[Nombre Cuenta ()],Table8[Nivel 1],"",0)</f>
        <v/>
      </c>
      <c r="S1800" t="str">
        <f>_xlfn.XLOOKUP(Table3[[#This Row],[Cuenta]],Table8[Nombre Cuenta ()],Table8[Nivel 2],"",0)</f>
        <v/>
      </c>
      <c r="T1800" t="str">
        <f>_xlfn.XLOOKUP(Table3[[#This Row],[Cuenta]],Table8[Nombre Cuenta ()],Table8[Nivel 3],"",0)</f>
        <v/>
      </c>
      <c r="U1800">
        <v>1750</v>
      </c>
      <c r="V1800" t="str">
        <f>_xlfn.XLOOKUP(Table3[[#This Row],[Cuenta]],Estructura_Balance[Nombre Cuenta ()],Estructura_Balance[Niveles:2],"",0)</f>
        <v/>
      </c>
      <c r="W1800" t="str">
        <f>_xlfn.XLOOKUP(Table3[[#This Row],[Cuenta]],Estructura_Balance[Nombre Cuenta ()],Estructura_Balance[Niveles:3],"",0)</f>
        <v/>
      </c>
      <c r="X1800" t="str">
        <f>_xlfn.XLOOKUP(Table3[[#This Row],[Cuenta]],Estructura_Balance[Nombre Cuenta ()],Estructura_Balance[Grupos],"Grupo 1",0)</f>
        <v>Grupo 1</v>
      </c>
      <c r="Y1800" t="str">
        <f>+Table3[[#This Row],[BS_Nivel_1]]</f>
        <v/>
      </c>
    </row>
    <row r="1801" spans="1:25" ht="15" customHeight="1">
      <c r="A1801">
        <f>+'Libro Diario'!F363</f>
        <v>41</v>
      </c>
      <c r="B1801" s="144">
        <f>VALUE(IF(+'Libro Diario'!G363="","01/01/2025",+'Libro Diario'!G363))</f>
        <v>46011</v>
      </c>
      <c r="C1801">
        <f>IF(ISNUMBER(+IF(IFERROR(VALUE(MID('Libro Diario'!C363,1,4)),0)&lt;&gt;0,'Libro Diario'!C363,0))=FALSE,'Libro Diario'!C363,0)</f>
        <v>0</v>
      </c>
      <c r="D1801" s="145">
        <f>+'Libro Diario'!B363</f>
        <v>0</v>
      </c>
      <c r="E1801" s="139" t="s">
        <v>445</v>
      </c>
      <c r="F1801" t="str">
        <f t="shared" si="84"/>
        <v>Sin Mov.</v>
      </c>
      <c r="G1801" t="str">
        <f>IF(+'Libro Diario'!H363=0,"",+'Libro Diario'!H363)</f>
        <v>Operaciones del Ejercicio</v>
      </c>
      <c r="H1801" t="str">
        <f>IF(+'Libro Diario'!I363=0,"",+'Libro Diario'!I363)</f>
        <v/>
      </c>
      <c r="I1801" t="str">
        <f>+IF(Table3[[#This Row],[Tipo Movimiento]]="Estructura Balance y PyG","Excluir","Incluir")</f>
        <v>Incluir</v>
      </c>
      <c r="J1801" s="153">
        <f>+IF(Table3[[#This Row],[Sin cuenta]]="Con Mov.",(IF(Table3[[#This Row],[Movimiento]]="Debe",Table3[[#This Row],[Importe]],IF(Table3[[#This Row],[Movimiento]]="Haber",Table3[[#This Row],[Importe]]*-1,0))),0)</f>
        <v>0</v>
      </c>
      <c r="K1801" s="145">
        <f t="shared" si="85"/>
        <v>0</v>
      </c>
      <c r="L1801" s="145" t="str">
        <f t="shared" si="86"/>
        <v/>
      </c>
      <c r="M1801" t="str">
        <f>_xlfn.XLOOKUP(Table3[[#This Row],[Cuenta]],Estructura_Balance[Nombre Cuenta ()],Estructura_Balance[Grupo],"",0)</f>
        <v/>
      </c>
      <c r="N1801" t="str">
        <f>_xlfn.XLOOKUP(Table3[[#This Row],[Cuenta]],Estructura_Balance[Nombre Cuenta ()],Estructura_Balance[Nivel 1],"",0)</f>
        <v/>
      </c>
      <c r="O1801" t="str">
        <f>_xlfn.XLOOKUP(Table3[[#This Row],[Cuenta]],Estructura_Balance[Nombre Cuenta ()],Estructura_Balance[Nivel 2],"",0)</f>
        <v/>
      </c>
      <c r="P1801" t="str">
        <f>_xlfn.XLOOKUP(Table3[[#This Row],[Cuenta]],Estructura_Balance[Nombre Cuenta ()],Estructura_Balance[Nivel 3],"",0)</f>
        <v/>
      </c>
      <c r="Q1801" t="str">
        <f>_xlfn.XLOOKUP(Table3[[#This Row],[Cuenta]],Estructura_Balance[Nombre Cuenta ()],Estructura_Balance[Nivel 4],"",0)</f>
        <v/>
      </c>
      <c r="R1801" t="str">
        <f>_xlfn.XLOOKUP(Table3[[#This Row],[Cuenta]],Table8[Nombre Cuenta ()],Table8[Nivel 1],"",0)</f>
        <v/>
      </c>
      <c r="S1801" t="str">
        <f>_xlfn.XLOOKUP(Table3[[#This Row],[Cuenta]],Table8[Nombre Cuenta ()],Table8[Nivel 2],"",0)</f>
        <v/>
      </c>
      <c r="T1801" t="str">
        <f>_xlfn.XLOOKUP(Table3[[#This Row],[Cuenta]],Table8[Nombre Cuenta ()],Table8[Nivel 3],"",0)</f>
        <v/>
      </c>
      <c r="U1801">
        <v>499</v>
      </c>
      <c r="V1801" t="str">
        <f>_xlfn.XLOOKUP(Table3[[#This Row],[Cuenta]],Estructura_Balance[Nombre Cuenta ()],Estructura_Balance[Niveles:2],"",0)</f>
        <v/>
      </c>
      <c r="W1801" t="str">
        <f>_xlfn.XLOOKUP(Table3[[#This Row],[Cuenta]],Estructura_Balance[Nombre Cuenta ()],Estructura_Balance[Niveles:3],"",0)</f>
        <v/>
      </c>
      <c r="X1801" t="str">
        <f>_xlfn.XLOOKUP(Table3[[#This Row],[Cuenta]],Estructura_Balance[Nombre Cuenta ()],Estructura_Balance[Grupos],"Grupo 1",0)</f>
        <v>Grupo 1</v>
      </c>
      <c r="Y1801" t="str">
        <f>+Table3[[#This Row],[BS_Nivel_1]]</f>
        <v/>
      </c>
    </row>
    <row r="1802" spans="1:25" ht="15" customHeight="1">
      <c r="A1802">
        <f>+'Libro Diario'!F364</f>
        <v>41</v>
      </c>
      <c r="B1802" s="144">
        <f>VALUE(IF(+'Libro Diario'!G364="","01/01/2025",+'Libro Diario'!G364))</f>
        <v>46011</v>
      </c>
      <c r="C1802">
        <f>IF(ISNUMBER(+IF(IFERROR(VALUE(MID('Libro Diario'!C364,1,4)),0)&lt;&gt;0,'Libro Diario'!C364,0))=FALSE,'Libro Diario'!C364,0)</f>
        <v>0</v>
      </c>
      <c r="D1802" s="145">
        <f>+'Libro Diario'!B364</f>
        <v>0</v>
      </c>
      <c r="E1802" s="139" t="s">
        <v>445</v>
      </c>
      <c r="F1802" t="str">
        <f t="shared" si="84"/>
        <v>Sin Mov.</v>
      </c>
      <c r="G1802" t="str">
        <f>IF(+'Libro Diario'!H364=0,"",+'Libro Diario'!H364)</f>
        <v>Operaciones del Ejercicio</v>
      </c>
      <c r="H1802" t="str">
        <f>IF(+'Libro Diario'!I364=0,"",+'Libro Diario'!I364)</f>
        <v/>
      </c>
      <c r="I1802" t="str">
        <f>+IF(Table3[[#This Row],[Tipo Movimiento]]="Estructura Balance y PyG","Excluir","Incluir")</f>
        <v>Incluir</v>
      </c>
      <c r="J1802" s="153">
        <f>+IF(Table3[[#This Row],[Sin cuenta]]="Con Mov.",(IF(Table3[[#This Row],[Movimiento]]="Debe",Table3[[#This Row],[Importe]],IF(Table3[[#This Row],[Movimiento]]="Haber",Table3[[#This Row],[Importe]]*-1,0))),0)</f>
        <v>0</v>
      </c>
      <c r="K1802" s="145">
        <f t="shared" si="85"/>
        <v>0</v>
      </c>
      <c r="L1802" s="145" t="str">
        <f t="shared" si="86"/>
        <v/>
      </c>
      <c r="M1802" t="str">
        <f>_xlfn.XLOOKUP(Table3[[#This Row],[Cuenta]],Estructura_Balance[Nombre Cuenta ()],Estructura_Balance[Grupo],"",0)</f>
        <v/>
      </c>
      <c r="N1802" t="str">
        <f>_xlfn.XLOOKUP(Table3[[#This Row],[Cuenta]],Estructura_Balance[Nombre Cuenta ()],Estructura_Balance[Nivel 1],"",0)</f>
        <v/>
      </c>
      <c r="O1802" t="str">
        <f>_xlfn.XLOOKUP(Table3[[#This Row],[Cuenta]],Estructura_Balance[Nombre Cuenta ()],Estructura_Balance[Nivel 2],"",0)</f>
        <v/>
      </c>
      <c r="P1802" t="str">
        <f>_xlfn.XLOOKUP(Table3[[#This Row],[Cuenta]],Estructura_Balance[Nombre Cuenta ()],Estructura_Balance[Nivel 3],"",0)</f>
        <v/>
      </c>
      <c r="Q1802" t="str">
        <f>_xlfn.XLOOKUP(Table3[[#This Row],[Cuenta]],Estructura_Balance[Nombre Cuenta ()],Estructura_Balance[Nivel 4],"",0)</f>
        <v/>
      </c>
      <c r="R1802" t="str">
        <f>_xlfn.XLOOKUP(Table3[[#This Row],[Cuenta]],Table8[Nombre Cuenta ()],Table8[Nivel 1],"",0)</f>
        <v/>
      </c>
      <c r="S1802" t="str">
        <f>_xlfn.XLOOKUP(Table3[[#This Row],[Cuenta]],Table8[Nombre Cuenta ()],Table8[Nivel 2],"",0)</f>
        <v/>
      </c>
      <c r="T1802" t="str">
        <f>_xlfn.XLOOKUP(Table3[[#This Row],[Cuenta]],Table8[Nombre Cuenta ()],Table8[Nivel 3],"",0)</f>
        <v/>
      </c>
      <c r="U1802">
        <v>516</v>
      </c>
      <c r="V1802" t="str">
        <f>_xlfn.XLOOKUP(Table3[[#This Row],[Cuenta]],Estructura_Balance[Nombre Cuenta ()],Estructura_Balance[Niveles:2],"",0)</f>
        <v/>
      </c>
      <c r="W1802" t="str">
        <f>_xlfn.XLOOKUP(Table3[[#This Row],[Cuenta]],Estructura_Balance[Nombre Cuenta ()],Estructura_Balance[Niveles:3],"",0)</f>
        <v/>
      </c>
      <c r="X1802" t="str">
        <f>_xlfn.XLOOKUP(Table3[[#This Row],[Cuenta]],Estructura_Balance[Nombre Cuenta ()],Estructura_Balance[Grupos],"Grupo 1",0)</f>
        <v>Grupo 1</v>
      </c>
      <c r="Y1802" t="str">
        <f>+Table3[[#This Row],[BS_Nivel_1]]</f>
        <v/>
      </c>
    </row>
    <row r="1803" spans="1:25" ht="15" customHeight="1">
      <c r="A1803">
        <f>+'Libro Diario'!F363</f>
        <v>41</v>
      </c>
      <c r="B1803" s="144">
        <f>VALUE(IF(+'Libro Diario'!G363="","01/01/2025",+'Libro Diario'!G363))</f>
        <v>46011</v>
      </c>
      <c r="C1803">
        <f>IF(ISNUMBER(+IF(IFERROR(VALUE(MID('Libro Diario'!D363,1,4)),0)&lt;&gt;0,'Libro Diario'!D363,0))=FALSE,'Libro Diario'!D363,0)</f>
        <v>0</v>
      </c>
      <c r="D1803" s="145">
        <f>+'Libro Diario'!E363</f>
        <v>0</v>
      </c>
      <c r="E1803" s="139" t="s">
        <v>446</v>
      </c>
      <c r="F1803" t="str">
        <f t="shared" si="84"/>
        <v>Sin Mov.</v>
      </c>
      <c r="G1803" t="str">
        <f>IF(+'Libro Diario'!H363=0,"",+'Libro Diario'!H363)</f>
        <v>Operaciones del Ejercicio</v>
      </c>
      <c r="H1803" t="str">
        <f>IF(+'Libro Diario'!I363=0,"",+'Libro Diario'!I363)</f>
        <v/>
      </c>
      <c r="I1803" t="str">
        <f>+IF(Table3[[#This Row],[Tipo Movimiento]]="Estructura Balance y PyG","Excluir","Incluir")</f>
        <v>Incluir</v>
      </c>
      <c r="J1803" s="153">
        <f>+IF(Table3[[#This Row],[Sin cuenta]]="Con Mov.",(IF(Table3[[#This Row],[Movimiento]]="Debe",Table3[[#This Row],[Importe]],IF(Table3[[#This Row],[Movimiento]]="Haber",Table3[[#This Row],[Importe]]*-1,0))),0)</f>
        <v>0</v>
      </c>
      <c r="K1803" s="145" t="str">
        <f t="shared" si="85"/>
        <v/>
      </c>
      <c r="L1803" s="145">
        <f t="shared" si="86"/>
        <v>0</v>
      </c>
      <c r="M1803" t="str">
        <f>_xlfn.XLOOKUP(Table3[[#This Row],[Cuenta]],Estructura_Balance[Nombre Cuenta ()],Estructura_Balance[Grupo],"",0)</f>
        <v/>
      </c>
      <c r="N1803" t="str">
        <f>_xlfn.XLOOKUP(Table3[[#This Row],[Cuenta]],Estructura_Balance[Nombre Cuenta ()],Estructura_Balance[Nivel 1],"",0)</f>
        <v/>
      </c>
      <c r="O1803" t="str">
        <f>_xlfn.XLOOKUP(Table3[[#This Row],[Cuenta]],Estructura_Balance[Nombre Cuenta ()],Estructura_Balance[Nivel 2],"",0)</f>
        <v/>
      </c>
      <c r="P1803" t="str">
        <f>_xlfn.XLOOKUP(Table3[[#This Row],[Cuenta]],Estructura_Balance[Nombre Cuenta ()],Estructura_Balance[Nivel 3],"",0)</f>
        <v/>
      </c>
      <c r="Q1803" t="str">
        <f>_xlfn.XLOOKUP(Table3[[#This Row],[Cuenta]],Estructura_Balance[Nombre Cuenta ()],Estructura_Balance[Nivel 4],"",0)</f>
        <v/>
      </c>
      <c r="R1803" t="str">
        <f>_xlfn.XLOOKUP(Table3[[#This Row],[Cuenta]],Table8[Nombre Cuenta ()],Table8[Nivel 1],"",0)</f>
        <v/>
      </c>
      <c r="S1803" t="str">
        <f>_xlfn.XLOOKUP(Table3[[#This Row],[Cuenta]],Table8[Nombre Cuenta ()],Table8[Nivel 2],"",0)</f>
        <v/>
      </c>
      <c r="T1803" t="str">
        <f>_xlfn.XLOOKUP(Table3[[#This Row],[Cuenta]],Table8[Nombre Cuenta ()],Table8[Nivel 3],"",0)</f>
        <v/>
      </c>
      <c r="U1803">
        <v>1756</v>
      </c>
      <c r="V1803" t="str">
        <f>_xlfn.XLOOKUP(Table3[[#This Row],[Cuenta]],Estructura_Balance[Nombre Cuenta ()],Estructura_Balance[Niveles:2],"",0)</f>
        <v/>
      </c>
      <c r="W1803" t="str">
        <f>_xlfn.XLOOKUP(Table3[[#This Row],[Cuenta]],Estructura_Balance[Nombre Cuenta ()],Estructura_Balance[Niveles:3],"",0)</f>
        <v/>
      </c>
      <c r="X1803" t="str">
        <f>_xlfn.XLOOKUP(Table3[[#This Row],[Cuenta]],Estructura_Balance[Nombre Cuenta ()],Estructura_Balance[Grupos],"Grupo 1",0)</f>
        <v>Grupo 1</v>
      </c>
      <c r="Y1803" t="str">
        <f>+Table3[[#This Row],[BS_Nivel_1]]</f>
        <v/>
      </c>
    </row>
    <row r="1804" spans="1:25" ht="15" customHeight="1">
      <c r="A1804">
        <f>+'Libro Diario'!F364</f>
        <v>41</v>
      </c>
      <c r="B1804" s="144">
        <f>VALUE(IF(+'Libro Diario'!G364="","01/01/2025",+'Libro Diario'!G364))</f>
        <v>46011</v>
      </c>
      <c r="C1804">
        <f>IF(ISNUMBER(+IF(IFERROR(VALUE(MID('Libro Diario'!D364,1,4)),0)&lt;&gt;0,'Libro Diario'!D364,0))=FALSE,'Libro Diario'!D364,0)</f>
        <v>0</v>
      </c>
      <c r="D1804" s="145">
        <f>+'Libro Diario'!E364</f>
        <v>0</v>
      </c>
      <c r="E1804" s="139" t="s">
        <v>446</v>
      </c>
      <c r="F1804" t="str">
        <f t="shared" si="84"/>
        <v>Sin Mov.</v>
      </c>
      <c r="G1804" t="str">
        <f>IF(+'Libro Diario'!H364=0,"",+'Libro Diario'!H364)</f>
        <v>Operaciones del Ejercicio</v>
      </c>
      <c r="H1804" t="str">
        <f>IF(+'Libro Diario'!I364=0,"",+'Libro Diario'!I364)</f>
        <v/>
      </c>
      <c r="I1804" t="str">
        <f>+IF(Table3[[#This Row],[Tipo Movimiento]]="Estructura Balance y PyG","Excluir","Incluir")</f>
        <v>Incluir</v>
      </c>
      <c r="J1804" s="153">
        <f>+IF(Table3[[#This Row],[Sin cuenta]]="Con Mov.",(IF(Table3[[#This Row],[Movimiento]]="Debe",Table3[[#This Row],[Importe]],IF(Table3[[#This Row],[Movimiento]]="Haber",Table3[[#This Row],[Importe]]*-1,0))),0)</f>
        <v>0</v>
      </c>
      <c r="K1804" s="145" t="str">
        <f t="shared" si="85"/>
        <v/>
      </c>
      <c r="L1804" s="145">
        <f t="shared" si="86"/>
        <v>0</v>
      </c>
      <c r="M1804" t="str">
        <f>_xlfn.XLOOKUP(Table3[[#This Row],[Cuenta]],Estructura_Balance[Nombre Cuenta ()],Estructura_Balance[Grupo],"",0)</f>
        <v/>
      </c>
      <c r="N1804" t="str">
        <f>_xlfn.XLOOKUP(Table3[[#This Row],[Cuenta]],Estructura_Balance[Nombre Cuenta ()],Estructura_Balance[Nivel 1],"",0)</f>
        <v/>
      </c>
      <c r="O1804" t="str">
        <f>_xlfn.XLOOKUP(Table3[[#This Row],[Cuenta]],Estructura_Balance[Nombre Cuenta ()],Estructura_Balance[Nivel 2],"",0)</f>
        <v/>
      </c>
      <c r="P1804" t="str">
        <f>_xlfn.XLOOKUP(Table3[[#This Row],[Cuenta]],Estructura_Balance[Nombre Cuenta ()],Estructura_Balance[Nivel 3],"",0)</f>
        <v/>
      </c>
      <c r="Q1804" t="str">
        <f>_xlfn.XLOOKUP(Table3[[#This Row],[Cuenta]],Estructura_Balance[Nombre Cuenta ()],Estructura_Balance[Nivel 4],"",0)</f>
        <v/>
      </c>
      <c r="R1804" t="str">
        <f>_xlfn.XLOOKUP(Table3[[#This Row],[Cuenta]],Table8[Nombre Cuenta ()],Table8[Nivel 1],"",0)</f>
        <v/>
      </c>
      <c r="S1804" t="str">
        <f>_xlfn.XLOOKUP(Table3[[#This Row],[Cuenta]],Table8[Nombre Cuenta ()],Table8[Nivel 2],"",0)</f>
        <v/>
      </c>
      <c r="T1804" t="str">
        <f>_xlfn.XLOOKUP(Table3[[#This Row],[Cuenta]],Table8[Nombre Cuenta ()],Table8[Nivel 3],"",0)</f>
        <v/>
      </c>
      <c r="U1804">
        <v>1757</v>
      </c>
      <c r="V1804" t="str">
        <f>_xlfn.XLOOKUP(Table3[[#This Row],[Cuenta]],Estructura_Balance[Nombre Cuenta ()],Estructura_Balance[Niveles:2],"",0)</f>
        <v/>
      </c>
      <c r="W1804" t="str">
        <f>_xlfn.XLOOKUP(Table3[[#This Row],[Cuenta]],Estructura_Balance[Nombre Cuenta ()],Estructura_Balance[Niveles:3],"",0)</f>
        <v/>
      </c>
      <c r="X1804" t="str">
        <f>_xlfn.XLOOKUP(Table3[[#This Row],[Cuenta]],Estructura_Balance[Nombre Cuenta ()],Estructura_Balance[Grupos],"Grupo 1",0)</f>
        <v>Grupo 1</v>
      </c>
      <c r="Y1804" t="str">
        <f>+Table3[[#This Row],[BS_Nivel_1]]</f>
        <v/>
      </c>
    </row>
    <row r="1805" spans="1:25" ht="15" customHeight="1">
      <c r="A1805">
        <f>+'Libro Diario'!F370</f>
        <v>42</v>
      </c>
      <c r="B1805" s="144">
        <f>VALUE(IF(+'Libro Diario'!G370="","01/01/2025",+'Libro Diario'!G370))</f>
        <v>46018</v>
      </c>
      <c r="C1805">
        <f>IF(ISNUMBER(+IF(IFERROR(VALUE(MID('Libro Diario'!C370,1,4)),0)&lt;&gt;0,'Libro Diario'!C370,0))=FALSE,'Libro Diario'!C370,0)</f>
        <v>0</v>
      </c>
      <c r="D1805" s="145">
        <f>+'Libro Diario'!B370</f>
        <v>0</v>
      </c>
      <c r="E1805" s="139" t="s">
        <v>445</v>
      </c>
      <c r="F1805" t="str">
        <f t="shared" si="84"/>
        <v>Sin Mov.</v>
      </c>
      <c r="G1805" t="str">
        <f>IF(+'Libro Diario'!H370=0,"",+'Libro Diario'!H370)</f>
        <v>Operaciones del Ejercicio</v>
      </c>
      <c r="H1805" t="str">
        <f>IF(+'Libro Diario'!I370=0,"",+'Libro Diario'!I370)</f>
        <v/>
      </c>
      <c r="I1805" t="str">
        <f>+IF(Table3[[#This Row],[Tipo Movimiento]]="Estructura Balance y PyG","Excluir","Incluir")</f>
        <v>Incluir</v>
      </c>
      <c r="J1805" s="153">
        <f>+IF(Table3[[#This Row],[Sin cuenta]]="Con Mov.",(IF(Table3[[#This Row],[Movimiento]]="Debe",Table3[[#This Row],[Importe]],IF(Table3[[#This Row],[Movimiento]]="Haber",Table3[[#This Row],[Importe]]*-1,0))),0)</f>
        <v>0</v>
      </c>
      <c r="K1805" s="145">
        <f t="shared" si="85"/>
        <v>0</v>
      </c>
      <c r="L1805" s="145" t="str">
        <f t="shared" si="86"/>
        <v/>
      </c>
      <c r="M1805" t="str">
        <f>_xlfn.XLOOKUP(Table3[[#This Row],[Cuenta]],Estructura_Balance[Nombre Cuenta ()],Estructura_Balance[Grupo],"",0)</f>
        <v/>
      </c>
      <c r="N1805" t="str">
        <f>_xlfn.XLOOKUP(Table3[[#This Row],[Cuenta]],Estructura_Balance[Nombre Cuenta ()],Estructura_Balance[Nivel 1],"",0)</f>
        <v/>
      </c>
      <c r="O1805" t="str">
        <f>_xlfn.XLOOKUP(Table3[[#This Row],[Cuenta]],Estructura_Balance[Nombre Cuenta ()],Estructura_Balance[Nivel 2],"",0)</f>
        <v/>
      </c>
      <c r="P1805" t="str">
        <f>_xlfn.XLOOKUP(Table3[[#This Row],[Cuenta]],Estructura_Balance[Nombre Cuenta ()],Estructura_Balance[Nivel 3],"",0)</f>
        <v/>
      </c>
      <c r="Q1805" t="str">
        <f>_xlfn.XLOOKUP(Table3[[#This Row],[Cuenta]],Estructura_Balance[Nombre Cuenta ()],Estructura_Balance[Nivel 4],"",0)</f>
        <v/>
      </c>
      <c r="R1805" t="str">
        <f>_xlfn.XLOOKUP(Table3[[#This Row],[Cuenta]],Table8[Nombre Cuenta ()],Table8[Nivel 1],"",0)</f>
        <v/>
      </c>
      <c r="S1805" t="str">
        <f>_xlfn.XLOOKUP(Table3[[#This Row],[Cuenta]],Table8[Nombre Cuenta ()],Table8[Nivel 2],"",0)</f>
        <v/>
      </c>
      <c r="T1805" t="str">
        <f>_xlfn.XLOOKUP(Table3[[#This Row],[Cuenta]],Table8[Nombre Cuenta ()],Table8[Nivel 3],"",0)</f>
        <v/>
      </c>
      <c r="U1805">
        <v>534</v>
      </c>
      <c r="V1805" t="str">
        <f>_xlfn.XLOOKUP(Table3[[#This Row],[Cuenta]],Estructura_Balance[Nombre Cuenta ()],Estructura_Balance[Niveles:2],"",0)</f>
        <v/>
      </c>
      <c r="W1805" t="str">
        <f>_xlfn.XLOOKUP(Table3[[#This Row],[Cuenta]],Estructura_Balance[Nombre Cuenta ()],Estructura_Balance[Niveles:3],"",0)</f>
        <v/>
      </c>
      <c r="X1805" t="str">
        <f>_xlfn.XLOOKUP(Table3[[#This Row],[Cuenta]],Estructura_Balance[Nombre Cuenta ()],Estructura_Balance[Grupos],"Grupo 1",0)</f>
        <v>Grupo 1</v>
      </c>
      <c r="Y1805" t="str">
        <f>+Table3[[#This Row],[BS_Nivel_1]]</f>
        <v/>
      </c>
    </row>
    <row r="1806" spans="1:25" ht="15" customHeight="1">
      <c r="A1806">
        <f>+'Libro Diario'!F371</f>
        <v>42</v>
      </c>
      <c r="B1806" s="144">
        <f>VALUE(IF(+'Libro Diario'!G371="","01/01/2025",+'Libro Diario'!G371))</f>
        <v>46018</v>
      </c>
      <c r="C1806">
        <f>IF(ISNUMBER(+IF(IFERROR(VALUE(MID('Libro Diario'!C371,1,4)),0)&lt;&gt;0,'Libro Diario'!C371,0))=FALSE,'Libro Diario'!C371,0)</f>
        <v>0</v>
      </c>
      <c r="D1806" s="145">
        <f>+'Libro Diario'!B371</f>
        <v>0</v>
      </c>
      <c r="E1806" s="139" t="s">
        <v>445</v>
      </c>
      <c r="F1806" t="str">
        <f t="shared" si="84"/>
        <v>Sin Mov.</v>
      </c>
      <c r="G1806" t="str">
        <f>IF(+'Libro Diario'!H371=0,"",+'Libro Diario'!H371)</f>
        <v>Operaciones del Ejercicio</v>
      </c>
      <c r="H1806" t="str">
        <f>IF(+'Libro Diario'!I371=0,"",+'Libro Diario'!I371)</f>
        <v/>
      </c>
      <c r="I1806" t="str">
        <f>+IF(Table3[[#This Row],[Tipo Movimiento]]="Estructura Balance y PyG","Excluir","Incluir")</f>
        <v>Incluir</v>
      </c>
      <c r="J1806" s="153">
        <f>+IF(Table3[[#This Row],[Sin cuenta]]="Con Mov.",(IF(Table3[[#This Row],[Movimiento]]="Debe",Table3[[#This Row],[Importe]],IF(Table3[[#This Row],[Movimiento]]="Haber",Table3[[#This Row],[Importe]]*-1,0))),0)</f>
        <v>0</v>
      </c>
      <c r="K1806" s="145">
        <f t="shared" si="85"/>
        <v>0</v>
      </c>
      <c r="L1806" s="145" t="str">
        <f t="shared" si="86"/>
        <v/>
      </c>
      <c r="M1806" t="str">
        <f>_xlfn.XLOOKUP(Table3[[#This Row],[Cuenta]],Estructura_Balance[Nombre Cuenta ()],Estructura_Balance[Grupo],"",0)</f>
        <v/>
      </c>
      <c r="N1806" t="str">
        <f>_xlfn.XLOOKUP(Table3[[#This Row],[Cuenta]],Estructura_Balance[Nombre Cuenta ()],Estructura_Balance[Nivel 1],"",0)</f>
        <v/>
      </c>
      <c r="O1806" t="str">
        <f>_xlfn.XLOOKUP(Table3[[#This Row],[Cuenta]],Estructura_Balance[Nombre Cuenta ()],Estructura_Balance[Nivel 2],"",0)</f>
        <v/>
      </c>
      <c r="P1806" t="str">
        <f>_xlfn.XLOOKUP(Table3[[#This Row],[Cuenta]],Estructura_Balance[Nombre Cuenta ()],Estructura_Balance[Nivel 3],"",0)</f>
        <v/>
      </c>
      <c r="Q1806" t="str">
        <f>_xlfn.XLOOKUP(Table3[[#This Row],[Cuenta]],Estructura_Balance[Nombre Cuenta ()],Estructura_Balance[Nivel 4],"",0)</f>
        <v/>
      </c>
      <c r="R1806" t="str">
        <f>_xlfn.XLOOKUP(Table3[[#This Row],[Cuenta]],Table8[Nombre Cuenta ()],Table8[Nivel 1],"",0)</f>
        <v/>
      </c>
      <c r="S1806" t="str">
        <f>_xlfn.XLOOKUP(Table3[[#This Row],[Cuenta]],Table8[Nombre Cuenta ()],Table8[Nivel 2],"",0)</f>
        <v/>
      </c>
      <c r="T1806" t="str">
        <f>_xlfn.XLOOKUP(Table3[[#This Row],[Cuenta]],Table8[Nombre Cuenta ()],Table8[Nivel 3],"",0)</f>
        <v/>
      </c>
      <c r="U1806">
        <v>535</v>
      </c>
      <c r="V1806" t="str">
        <f>_xlfn.XLOOKUP(Table3[[#This Row],[Cuenta]],Estructura_Balance[Nombre Cuenta ()],Estructura_Balance[Niveles:2],"",0)</f>
        <v/>
      </c>
      <c r="W1806" t="str">
        <f>_xlfn.XLOOKUP(Table3[[#This Row],[Cuenta]],Estructura_Balance[Nombre Cuenta ()],Estructura_Balance[Niveles:3],"",0)</f>
        <v/>
      </c>
      <c r="X1806" t="str">
        <f>_xlfn.XLOOKUP(Table3[[#This Row],[Cuenta]],Estructura_Balance[Nombre Cuenta ()],Estructura_Balance[Grupos],"Grupo 1",0)</f>
        <v>Grupo 1</v>
      </c>
      <c r="Y1806" t="str">
        <f>+Table3[[#This Row],[BS_Nivel_1]]</f>
        <v/>
      </c>
    </row>
    <row r="1807" spans="1:25" ht="15" customHeight="1">
      <c r="A1807">
        <f>+'Libro Diario'!F372</f>
        <v>42</v>
      </c>
      <c r="B1807" s="144">
        <f>VALUE(IF(+'Libro Diario'!G372="","01/01/2025",+'Libro Diario'!G372))</f>
        <v>46018</v>
      </c>
      <c r="C1807">
        <f>IF(ISNUMBER(+IF(IFERROR(VALUE(MID('Libro Diario'!C372,1,4)),0)&lt;&gt;0,'Libro Diario'!C372,0))=FALSE,'Libro Diario'!C372,0)</f>
        <v>0</v>
      </c>
      <c r="D1807" s="145">
        <f>+'Libro Diario'!B372</f>
        <v>0</v>
      </c>
      <c r="E1807" s="139" t="s">
        <v>445</v>
      </c>
      <c r="F1807" t="str">
        <f t="shared" si="84"/>
        <v>Sin Mov.</v>
      </c>
      <c r="G1807" t="str">
        <f>IF(+'Libro Diario'!H372=0,"",+'Libro Diario'!H372)</f>
        <v>Operaciones del Ejercicio</v>
      </c>
      <c r="H1807" t="str">
        <f>IF(+'Libro Diario'!I372=0,"",+'Libro Diario'!I372)</f>
        <v/>
      </c>
      <c r="I1807" t="str">
        <f>+IF(Table3[[#This Row],[Tipo Movimiento]]="Estructura Balance y PyG","Excluir","Incluir")</f>
        <v>Incluir</v>
      </c>
      <c r="J1807" s="153">
        <f>+IF(Table3[[#This Row],[Sin cuenta]]="Con Mov.",(IF(Table3[[#This Row],[Movimiento]]="Debe",Table3[[#This Row],[Importe]],IF(Table3[[#This Row],[Movimiento]]="Haber",Table3[[#This Row],[Importe]]*-1,0))),0)</f>
        <v>0</v>
      </c>
      <c r="K1807" s="145">
        <f t="shared" si="85"/>
        <v>0</v>
      </c>
      <c r="L1807" s="145" t="str">
        <f t="shared" si="86"/>
        <v/>
      </c>
      <c r="M1807" t="str">
        <f>_xlfn.XLOOKUP(Table3[[#This Row],[Cuenta]],Estructura_Balance[Nombre Cuenta ()],Estructura_Balance[Grupo],"",0)</f>
        <v/>
      </c>
      <c r="N1807" t="str">
        <f>_xlfn.XLOOKUP(Table3[[#This Row],[Cuenta]],Estructura_Balance[Nombre Cuenta ()],Estructura_Balance[Nivel 1],"",0)</f>
        <v/>
      </c>
      <c r="O1807" t="str">
        <f>_xlfn.XLOOKUP(Table3[[#This Row],[Cuenta]],Estructura_Balance[Nombre Cuenta ()],Estructura_Balance[Nivel 2],"",0)</f>
        <v/>
      </c>
      <c r="P1807" t="str">
        <f>_xlfn.XLOOKUP(Table3[[#This Row],[Cuenta]],Estructura_Balance[Nombre Cuenta ()],Estructura_Balance[Nivel 3],"",0)</f>
        <v/>
      </c>
      <c r="Q1807" t="str">
        <f>_xlfn.XLOOKUP(Table3[[#This Row],[Cuenta]],Estructura_Balance[Nombre Cuenta ()],Estructura_Balance[Nivel 4],"",0)</f>
        <v/>
      </c>
      <c r="R1807" t="str">
        <f>_xlfn.XLOOKUP(Table3[[#This Row],[Cuenta]],Table8[Nombre Cuenta ()],Table8[Nivel 1],"",0)</f>
        <v/>
      </c>
      <c r="S1807" t="str">
        <f>_xlfn.XLOOKUP(Table3[[#This Row],[Cuenta]],Table8[Nombre Cuenta ()],Table8[Nivel 2],"",0)</f>
        <v/>
      </c>
      <c r="T1807" t="str">
        <f>_xlfn.XLOOKUP(Table3[[#This Row],[Cuenta]],Table8[Nombre Cuenta ()],Table8[Nivel 3],"",0)</f>
        <v/>
      </c>
      <c r="U1807">
        <v>536</v>
      </c>
      <c r="V1807" t="str">
        <f>_xlfn.XLOOKUP(Table3[[#This Row],[Cuenta]],Estructura_Balance[Nombre Cuenta ()],Estructura_Balance[Niveles:2],"",0)</f>
        <v/>
      </c>
      <c r="W1807" t="str">
        <f>_xlfn.XLOOKUP(Table3[[#This Row],[Cuenta]],Estructura_Balance[Nombre Cuenta ()],Estructura_Balance[Niveles:3],"",0)</f>
        <v/>
      </c>
      <c r="X1807" t="str">
        <f>_xlfn.XLOOKUP(Table3[[#This Row],[Cuenta]],Estructura_Balance[Nombre Cuenta ()],Estructura_Balance[Grupos],"Grupo 1",0)</f>
        <v>Grupo 1</v>
      </c>
      <c r="Y1807" t="str">
        <f>+Table3[[#This Row],[BS_Nivel_1]]</f>
        <v/>
      </c>
    </row>
    <row r="1808" spans="1:25" ht="15" customHeight="1">
      <c r="A1808">
        <f>+'Libro Diario'!F373</f>
        <v>42</v>
      </c>
      <c r="B1808" s="144">
        <f>VALUE(IF(+'Libro Diario'!G373="","01/01/2025",+'Libro Diario'!G373))</f>
        <v>46018</v>
      </c>
      <c r="C1808">
        <f>IF(ISNUMBER(+IF(IFERROR(VALUE(MID('Libro Diario'!C373,1,4)),0)&lt;&gt;0,'Libro Diario'!C373,0))=FALSE,'Libro Diario'!C373,0)</f>
        <v>0</v>
      </c>
      <c r="D1808" s="145">
        <f>+'Libro Diario'!B373</f>
        <v>0</v>
      </c>
      <c r="E1808" s="139" t="s">
        <v>445</v>
      </c>
      <c r="F1808" t="str">
        <f t="shared" si="84"/>
        <v>Sin Mov.</v>
      </c>
      <c r="G1808" t="str">
        <f>IF(+'Libro Diario'!H373=0,"",+'Libro Diario'!H373)</f>
        <v>Operaciones del Ejercicio</v>
      </c>
      <c r="H1808" t="str">
        <f>IF(+'Libro Diario'!I373=0,"",+'Libro Diario'!I373)</f>
        <v/>
      </c>
      <c r="I1808" t="str">
        <f>+IF(Table3[[#This Row],[Tipo Movimiento]]="Estructura Balance y PyG","Excluir","Incluir")</f>
        <v>Incluir</v>
      </c>
      <c r="J1808" s="153">
        <f>+IF(Table3[[#This Row],[Sin cuenta]]="Con Mov.",(IF(Table3[[#This Row],[Movimiento]]="Debe",Table3[[#This Row],[Importe]],IF(Table3[[#This Row],[Movimiento]]="Haber",Table3[[#This Row],[Importe]]*-1,0))),0)</f>
        <v>0</v>
      </c>
      <c r="K1808" s="145">
        <f t="shared" si="85"/>
        <v>0</v>
      </c>
      <c r="L1808" s="145" t="str">
        <f t="shared" si="86"/>
        <v/>
      </c>
      <c r="M1808" t="str">
        <f>_xlfn.XLOOKUP(Table3[[#This Row],[Cuenta]],Estructura_Balance[Nombre Cuenta ()],Estructura_Balance[Grupo],"",0)</f>
        <v/>
      </c>
      <c r="N1808" t="str">
        <f>_xlfn.XLOOKUP(Table3[[#This Row],[Cuenta]],Estructura_Balance[Nombre Cuenta ()],Estructura_Balance[Nivel 1],"",0)</f>
        <v/>
      </c>
      <c r="O1808" t="str">
        <f>_xlfn.XLOOKUP(Table3[[#This Row],[Cuenta]],Estructura_Balance[Nombre Cuenta ()],Estructura_Balance[Nivel 2],"",0)</f>
        <v/>
      </c>
      <c r="P1808" t="str">
        <f>_xlfn.XLOOKUP(Table3[[#This Row],[Cuenta]],Estructura_Balance[Nombre Cuenta ()],Estructura_Balance[Nivel 3],"",0)</f>
        <v/>
      </c>
      <c r="Q1808" t="str">
        <f>_xlfn.XLOOKUP(Table3[[#This Row],[Cuenta]],Estructura_Balance[Nombre Cuenta ()],Estructura_Balance[Nivel 4],"",0)</f>
        <v/>
      </c>
      <c r="R1808" t="str">
        <f>_xlfn.XLOOKUP(Table3[[#This Row],[Cuenta]],Table8[Nombre Cuenta ()],Table8[Nivel 1],"",0)</f>
        <v/>
      </c>
      <c r="S1808" t="str">
        <f>_xlfn.XLOOKUP(Table3[[#This Row],[Cuenta]],Table8[Nombre Cuenta ()],Table8[Nivel 2],"",0)</f>
        <v/>
      </c>
      <c r="T1808" t="str">
        <f>_xlfn.XLOOKUP(Table3[[#This Row],[Cuenta]],Table8[Nombre Cuenta ()],Table8[Nivel 3],"",0)</f>
        <v/>
      </c>
      <c r="U1808">
        <v>537</v>
      </c>
      <c r="V1808" t="str">
        <f>_xlfn.XLOOKUP(Table3[[#This Row],[Cuenta]],Estructura_Balance[Nombre Cuenta ()],Estructura_Balance[Niveles:2],"",0)</f>
        <v/>
      </c>
      <c r="W1808" t="str">
        <f>_xlfn.XLOOKUP(Table3[[#This Row],[Cuenta]],Estructura_Balance[Nombre Cuenta ()],Estructura_Balance[Niveles:3],"",0)</f>
        <v/>
      </c>
      <c r="X1808" t="str">
        <f>_xlfn.XLOOKUP(Table3[[#This Row],[Cuenta]],Estructura_Balance[Nombre Cuenta ()],Estructura_Balance[Grupos],"Grupo 1",0)</f>
        <v>Grupo 1</v>
      </c>
      <c r="Y1808" t="str">
        <f>+Table3[[#This Row],[BS_Nivel_1]]</f>
        <v/>
      </c>
    </row>
    <row r="1809" spans="1:25" ht="15" customHeight="1">
      <c r="A1809">
        <f>+'Libro Diario'!F374</f>
        <v>42</v>
      </c>
      <c r="B1809" s="144">
        <f>VALUE(IF(+'Libro Diario'!G374="","01/01/2025",+'Libro Diario'!G374))</f>
        <v>46018</v>
      </c>
      <c r="C1809">
        <f>IF(ISNUMBER(+IF(IFERROR(VALUE(MID('Libro Diario'!C374,1,4)),0)&lt;&gt;0,'Libro Diario'!C374,0))=FALSE,'Libro Diario'!C374,0)</f>
        <v>0</v>
      </c>
      <c r="D1809" s="145">
        <f>+'Libro Diario'!B374</f>
        <v>0</v>
      </c>
      <c r="E1809" s="139" t="s">
        <v>445</v>
      </c>
      <c r="F1809" t="str">
        <f t="shared" si="84"/>
        <v>Sin Mov.</v>
      </c>
      <c r="G1809" t="str">
        <f>IF(+'Libro Diario'!H374=0,"",+'Libro Diario'!H374)</f>
        <v>Operaciones del Ejercicio</v>
      </c>
      <c r="H1809" t="str">
        <f>IF(+'Libro Diario'!I374=0,"",+'Libro Diario'!I374)</f>
        <v/>
      </c>
      <c r="I1809" t="str">
        <f>+IF(Table3[[#This Row],[Tipo Movimiento]]="Estructura Balance y PyG","Excluir","Incluir")</f>
        <v>Incluir</v>
      </c>
      <c r="J1809" s="153">
        <f>+IF(Table3[[#This Row],[Sin cuenta]]="Con Mov.",(IF(Table3[[#This Row],[Movimiento]]="Debe",Table3[[#This Row],[Importe]],IF(Table3[[#This Row],[Movimiento]]="Haber",Table3[[#This Row],[Importe]]*-1,0))),0)</f>
        <v>0</v>
      </c>
      <c r="K1809" s="145">
        <f t="shared" si="85"/>
        <v>0</v>
      </c>
      <c r="L1809" s="145" t="str">
        <f t="shared" si="86"/>
        <v/>
      </c>
      <c r="M1809" t="str">
        <f>_xlfn.XLOOKUP(Table3[[#This Row],[Cuenta]],Estructura_Balance[Nombre Cuenta ()],Estructura_Balance[Grupo],"",0)</f>
        <v/>
      </c>
      <c r="N1809" t="str">
        <f>_xlfn.XLOOKUP(Table3[[#This Row],[Cuenta]],Estructura_Balance[Nombre Cuenta ()],Estructura_Balance[Nivel 1],"",0)</f>
        <v/>
      </c>
      <c r="O1809" t="str">
        <f>_xlfn.XLOOKUP(Table3[[#This Row],[Cuenta]],Estructura_Balance[Nombre Cuenta ()],Estructura_Balance[Nivel 2],"",0)</f>
        <v/>
      </c>
      <c r="P1809" t="str">
        <f>_xlfn.XLOOKUP(Table3[[#This Row],[Cuenta]],Estructura_Balance[Nombre Cuenta ()],Estructura_Balance[Nivel 3],"",0)</f>
        <v/>
      </c>
      <c r="Q1809" t="str">
        <f>_xlfn.XLOOKUP(Table3[[#This Row],[Cuenta]],Estructura_Balance[Nombre Cuenta ()],Estructura_Balance[Nivel 4],"",0)</f>
        <v/>
      </c>
      <c r="R1809" t="str">
        <f>_xlfn.XLOOKUP(Table3[[#This Row],[Cuenta]],Table8[Nombre Cuenta ()],Table8[Nivel 1],"",0)</f>
        <v/>
      </c>
      <c r="S1809" t="str">
        <f>_xlfn.XLOOKUP(Table3[[#This Row],[Cuenta]],Table8[Nombre Cuenta ()],Table8[Nivel 2],"",0)</f>
        <v/>
      </c>
      <c r="T1809" t="str">
        <f>_xlfn.XLOOKUP(Table3[[#This Row],[Cuenta]],Table8[Nombre Cuenta ()],Table8[Nivel 3],"",0)</f>
        <v/>
      </c>
      <c r="U1809">
        <v>540</v>
      </c>
      <c r="V1809" t="str">
        <f>_xlfn.XLOOKUP(Table3[[#This Row],[Cuenta]],Estructura_Balance[Nombre Cuenta ()],Estructura_Balance[Niveles:2],"",0)</f>
        <v/>
      </c>
      <c r="W1809" t="str">
        <f>_xlfn.XLOOKUP(Table3[[#This Row],[Cuenta]],Estructura_Balance[Nombre Cuenta ()],Estructura_Balance[Niveles:3],"",0)</f>
        <v/>
      </c>
      <c r="X1809" t="str">
        <f>_xlfn.XLOOKUP(Table3[[#This Row],[Cuenta]],Estructura_Balance[Nombre Cuenta ()],Estructura_Balance[Grupos],"Grupo 1",0)</f>
        <v>Grupo 1</v>
      </c>
      <c r="Y1809" t="str">
        <f>+Table3[[#This Row],[BS_Nivel_1]]</f>
        <v/>
      </c>
    </row>
    <row r="1810" spans="1:25" ht="15" customHeight="1">
      <c r="A1810">
        <f>+'Libro Diario'!F370</f>
        <v>42</v>
      </c>
      <c r="B1810" s="144">
        <f>VALUE(IF(+'Libro Diario'!G370="","01/01/2025",+'Libro Diario'!G370))</f>
        <v>46018</v>
      </c>
      <c r="C1810">
        <f>IF(ISNUMBER(+IF(IFERROR(VALUE(MID('Libro Diario'!D370,1,4)),0)&lt;&gt;0,'Libro Diario'!D370,0))=FALSE,'Libro Diario'!D370,0)</f>
        <v>0</v>
      </c>
      <c r="D1810" s="145">
        <f>+'Libro Diario'!E370</f>
        <v>0</v>
      </c>
      <c r="E1810" s="139" t="s">
        <v>446</v>
      </c>
      <c r="F1810" t="str">
        <f t="shared" si="84"/>
        <v>Sin Mov.</v>
      </c>
      <c r="G1810" t="str">
        <f>IF(+'Libro Diario'!H370=0,"",+'Libro Diario'!H370)</f>
        <v>Operaciones del Ejercicio</v>
      </c>
      <c r="H1810" t="str">
        <f>IF(+'Libro Diario'!I370=0,"",+'Libro Diario'!I370)</f>
        <v/>
      </c>
      <c r="I1810" t="str">
        <f>+IF(Table3[[#This Row],[Tipo Movimiento]]="Estructura Balance y PyG","Excluir","Incluir")</f>
        <v>Incluir</v>
      </c>
      <c r="J1810" s="153">
        <f>+IF(Table3[[#This Row],[Sin cuenta]]="Con Mov.",(IF(Table3[[#This Row],[Movimiento]]="Debe",Table3[[#This Row],[Importe]],IF(Table3[[#This Row],[Movimiento]]="Haber",Table3[[#This Row],[Importe]]*-1,0))),0)</f>
        <v>0</v>
      </c>
      <c r="K1810" s="145" t="str">
        <f t="shared" si="85"/>
        <v/>
      </c>
      <c r="L1810" s="145">
        <f t="shared" si="86"/>
        <v>0</v>
      </c>
      <c r="M1810" t="str">
        <f>_xlfn.XLOOKUP(Table3[[#This Row],[Cuenta]],Estructura_Balance[Nombre Cuenta ()],Estructura_Balance[Grupo],"",0)</f>
        <v/>
      </c>
      <c r="N1810" t="str">
        <f>_xlfn.XLOOKUP(Table3[[#This Row],[Cuenta]],Estructura_Balance[Nombre Cuenta ()],Estructura_Balance[Nivel 1],"",0)</f>
        <v/>
      </c>
      <c r="O1810" t="str">
        <f>_xlfn.XLOOKUP(Table3[[#This Row],[Cuenta]],Estructura_Balance[Nombre Cuenta ()],Estructura_Balance[Nivel 2],"",0)</f>
        <v/>
      </c>
      <c r="P1810" t="str">
        <f>_xlfn.XLOOKUP(Table3[[#This Row],[Cuenta]],Estructura_Balance[Nombre Cuenta ()],Estructura_Balance[Nivel 3],"",0)</f>
        <v/>
      </c>
      <c r="Q1810" t="str">
        <f>_xlfn.XLOOKUP(Table3[[#This Row],[Cuenta]],Estructura_Balance[Nombre Cuenta ()],Estructura_Balance[Nivel 4],"",0)</f>
        <v/>
      </c>
      <c r="R1810" t="str">
        <f>_xlfn.XLOOKUP(Table3[[#This Row],[Cuenta]],Table8[Nombre Cuenta ()],Table8[Nivel 1],"",0)</f>
        <v/>
      </c>
      <c r="S1810" t="str">
        <f>_xlfn.XLOOKUP(Table3[[#This Row],[Cuenta]],Table8[Nombre Cuenta ()],Table8[Nivel 2],"",0)</f>
        <v/>
      </c>
      <c r="T1810" t="str">
        <f>_xlfn.XLOOKUP(Table3[[#This Row],[Cuenta]],Table8[Nombre Cuenta ()],Table8[Nivel 3],"",0)</f>
        <v/>
      </c>
      <c r="U1810">
        <v>1763</v>
      </c>
      <c r="V1810" t="str">
        <f>_xlfn.XLOOKUP(Table3[[#This Row],[Cuenta]],Estructura_Balance[Nombre Cuenta ()],Estructura_Balance[Niveles:2],"",0)</f>
        <v/>
      </c>
      <c r="W1810" t="str">
        <f>_xlfn.XLOOKUP(Table3[[#This Row],[Cuenta]],Estructura_Balance[Nombre Cuenta ()],Estructura_Balance[Niveles:3],"",0)</f>
        <v/>
      </c>
      <c r="X1810" t="str">
        <f>_xlfn.XLOOKUP(Table3[[#This Row],[Cuenta]],Estructura_Balance[Nombre Cuenta ()],Estructura_Balance[Grupos],"Grupo 1",0)</f>
        <v>Grupo 1</v>
      </c>
      <c r="Y1810" t="str">
        <f>+Table3[[#This Row],[BS_Nivel_1]]</f>
        <v/>
      </c>
    </row>
    <row r="1811" spans="1:25" ht="15" customHeight="1">
      <c r="A1811">
        <f>+'Libro Diario'!F371</f>
        <v>42</v>
      </c>
      <c r="B1811" s="144">
        <f>VALUE(IF(+'Libro Diario'!G371="","01/01/2025",+'Libro Diario'!G371))</f>
        <v>46018</v>
      </c>
      <c r="C1811">
        <f>IF(ISNUMBER(+IF(IFERROR(VALUE(MID('Libro Diario'!D371,1,4)),0)&lt;&gt;0,'Libro Diario'!D371,0))=FALSE,'Libro Diario'!D371,0)</f>
        <v>0</v>
      </c>
      <c r="D1811" s="145">
        <f>+'Libro Diario'!E371</f>
        <v>0</v>
      </c>
      <c r="E1811" s="139" t="s">
        <v>446</v>
      </c>
      <c r="F1811" t="str">
        <f t="shared" si="84"/>
        <v>Sin Mov.</v>
      </c>
      <c r="G1811" t="str">
        <f>IF(+'Libro Diario'!H371=0,"",+'Libro Diario'!H371)</f>
        <v>Operaciones del Ejercicio</v>
      </c>
      <c r="H1811" t="str">
        <f>IF(+'Libro Diario'!I371=0,"",+'Libro Diario'!I371)</f>
        <v/>
      </c>
      <c r="I1811" t="str">
        <f>+IF(Table3[[#This Row],[Tipo Movimiento]]="Estructura Balance y PyG","Excluir","Incluir")</f>
        <v>Incluir</v>
      </c>
      <c r="J1811" s="153">
        <f>+IF(Table3[[#This Row],[Sin cuenta]]="Con Mov.",(IF(Table3[[#This Row],[Movimiento]]="Debe",Table3[[#This Row],[Importe]],IF(Table3[[#This Row],[Movimiento]]="Haber",Table3[[#This Row],[Importe]]*-1,0))),0)</f>
        <v>0</v>
      </c>
      <c r="K1811" s="145" t="str">
        <f t="shared" si="85"/>
        <v/>
      </c>
      <c r="L1811" s="145">
        <f t="shared" si="86"/>
        <v>0</v>
      </c>
      <c r="M1811" t="str">
        <f>_xlfn.XLOOKUP(Table3[[#This Row],[Cuenta]],Estructura_Balance[Nombre Cuenta ()],Estructura_Balance[Grupo],"",0)</f>
        <v/>
      </c>
      <c r="N1811" t="str">
        <f>_xlfn.XLOOKUP(Table3[[#This Row],[Cuenta]],Estructura_Balance[Nombre Cuenta ()],Estructura_Balance[Nivel 1],"",0)</f>
        <v/>
      </c>
      <c r="O1811" t="str">
        <f>_xlfn.XLOOKUP(Table3[[#This Row],[Cuenta]],Estructura_Balance[Nombre Cuenta ()],Estructura_Balance[Nivel 2],"",0)</f>
        <v/>
      </c>
      <c r="P1811" t="str">
        <f>_xlfn.XLOOKUP(Table3[[#This Row],[Cuenta]],Estructura_Balance[Nombre Cuenta ()],Estructura_Balance[Nivel 3],"",0)</f>
        <v/>
      </c>
      <c r="Q1811" t="str">
        <f>_xlfn.XLOOKUP(Table3[[#This Row],[Cuenta]],Estructura_Balance[Nombre Cuenta ()],Estructura_Balance[Nivel 4],"",0)</f>
        <v/>
      </c>
      <c r="R1811" t="str">
        <f>_xlfn.XLOOKUP(Table3[[#This Row],[Cuenta]],Table8[Nombre Cuenta ()],Table8[Nivel 1],"",0)</f>
        <v/>
      </c>
      <c r="S1811" t="str">
        <f>_xlfn.XLOOKUP(Table3[[#This Row],[Cuenta]],Table8[Nombre Cuenta ()],Table8[Nivel 2],"",0)</f>
        <v/>
      </c>
      <c r="T1811" t="str">
        <f>_xlfn.XLOOKUP(Table3[[#This Row],[Cuenta]],Table8[Nombre Cuenta ()],Table8[Nivel 3],"",0)</f>
        <v/>
      </c>
      <c r="U1811">
        <v>1764</v>
      </c>
      <c r="V1811" t="str">
        <f>_xlfn.XLOOKUP(Table3[[#This Row],[Cuenta]],Estructura_Balance[Nombre Cuenta ()],Estructura_Balance[Niveles:2],"",0)</f>
        <v/>
      </c>
      <c r="W1811" t="str">
        <f>_xlfn.XLOOKUP(Table3[[#This Row],[Cuenta]],Estructura_Balance[Nombre Cuenta ()],Estructura_Balance[Niveles:3],"",0)</f>
        <v/>
      </c>
      <c r="X1811" t="str">
        <f>_xlfn.XLOOKUP(Table3[[#This Row],[Cuenta]],Estructura_Balance[Nombre Cuenta ()],Estructura_Balance[Grupos],"Grupo 1",0)</f>
        <v>Grupo 1</v>
      </c>
      <c r="Y1811" t="str">
        <f>+Table3[[#This Row],[BS_Nivel_1]]</f>
        <v/>
      </c>
    </row>
    <row r="1812" spans="1:25" ht="15" customHeight="1">
      <c r="A1812">
        <f>+'Libro Diario'!F372</f>
        <v>42</v>
      </c>
      <c r="B1812" s="144">
        <f>VALUE(IF(+'Libro Diario'!G372="","01/01/2025",+'Libro Diario'!G372))</f>
        <v>46018</v>
      </c>
      <c r="C1812">
        <f>IF(ISNUMBER(+IF(IFERROR(VALUE(MID('Libro Diario'!D372,1,4)),0)&lt;&gt;0,'Libro Diario'!D372,0))=FALSE,'Libro Diario'!D372,0)</f>
        <v>0</v>
      </c>
      <c r="D1812" s="145">
        <f>+'Libro Diario'!E372</f>
        <v>0</v>
      </c>
      <c r="E1812" s="139" t="s">
        <v>446</v>
      </c>
      <c r="F1812" t="str">
        <f t="shared" si="84"/>
        <v>Sin Mov.</v>
      </c>
      <c r="G1812" t="str">
        <f>IF(+'Libro Diario'!H372=0,"",+'Libro Diario'!H372)</f>
        <v>Operaciones del Ejercicio</v>
      </c>
      <c r="H1812" t="str">
        <f>IF(+'Libro Diario'!I372=0,"",+'Libro Diario'!I372)</f>
        <v/>
      </c>
      <c r="I1812" t="str">
        <f>+IF(Table3[[#This Row],[Tipo Movimiento]]="Estructura Balance y PyG","Excluir","Incluir")</f>
        <v>Incluir</v>
      </c>
      <c r="J1812" s="153">
        <f>+IF(Table3[[#This Row],[Sin cuenta]]="Con Mov.",(IF(Table3[[#This Row],[Movimiento]]="Debe",Table3[[#This Row],[Importe]],IF(Table3[[#This Row],[Movimiento]]="Haber",Table3[[#This Row],[Importe]]*-1,0))),0)</f>
        <v>0</v>
      </c>
      <c r="K1812" s="145" t="str">
        <f t="shared" si="85"/>
        <v/>
      </c>
      <c r="L1812" s="145">
        <f t="shared" si="86"/>
        <v>0</v>
      </c>
      <c r="M1812" t="str">
        <f>_xlfn.XLOOKUP(Table3[[#This Row],[Cuenta]],Estructura_Balance[Nombre Cuenta ()],Estructura_Balance[Grupo],"",0)</f>
        <v/>
      </c>
      <c r="N1812" t="str">
        <f>_xlfn.XLOOKUP(Table3[[#This Row],[Cuenta]],Estructura_Balance[Nombre Cuenta ()],Estructura_Balance[Nivel 1],"",0)</f>
        <v/>
      </c>
      <c r="O1812" t="str">
        <f>_xlfn.XLOOKUP(Table3[[#This Row],[Cuenta]],Estructura_Balance[Nombre Cuenta ()],Estructura_Balance[Nivel 2],"",0)</f>
        <v/>
      </c>
      <c r="P1812" t="str">
        <f>_xlfn.XLOOKUP(Table3[[#This Row],[Cuenta]],Estructura_Balance[Nombre Cuenta ()],Estructura_Balance[Nivel 3],"",0)</f>
        <v/>
      </c>
      <c r="Q1812" t="str">
        <f>_xlfn.XLOOKUP(Table3[[#This Row],[Cuenta]],Estructura_Balance[Nombre Cuenta ()],Estructura_Balance[Nivel 4],"",0)</f>
        <v/>
      </c>
      <c r="R1812" t="str">
        <f>_xlfn.XLOOKUP(Table3[[#This Row],[Cuenta]],Table8[Nombre Cuenta ()],Table8[Nivel 1],"",0)</f>
        <v/>
      </c>
      <c r="S1812" t="str">
        <f>_xlfn.XLOOKUP(Table3[[#This Row],[Cuenta]],Table8[Nombre Cuenta ()],Table8[Nivel 2],"",0)</f>
        <v/>
      </c>
      <c r="T1812" t="str">
        <f>_xlfn.XLOOKUP(Table3[[#This Row],[Cuenta]],Table8[Nombre Cuenta ()],Table8[Nivel 3],"",0)</f>
        <v/>
      </c>
      <c r="U1812">
        <v>1765</v>
      </c>
      <c r="V1812" t="str">
        <f>_xlfn.XLOOKUP(Table3[[#This Row],[Cuenta]],Estructura_Balance[Nombre Cuenta ()],Estructura_Balance[Niveles:2],"",0)</f>
        <v/>
      </c>
      <c r="W1812" t="str">
        <f>_xlfn.XLOOKUP(Table3[[#This Row],[Cuenta]],Estructura_Balance[Nombre Cuenta ()],Estructura_Balance[Niveles:3],"",0)</f>
        <v/>
      </c>
      <c r="X1812" t="str">
        <f>_xlfn.XLOOKUP(Table3[[#This Row],[Cuenta]],Estructura_Balance[Nombre Cuenta ()],Estructura_Balance[Grupos],"Grupo 1",0)</f>
        <v>Grupo 1</v>
      </c>
      <c r="Y1812" t="str">
        <f>+Table3[[#This Row],[BS_Nivel_1]]</f>
        <v/>
      </c>
    </row>
    <row r="1813" spans="1:25" ht="15" customHeight="1">
      <c r="A1813">
        <f>+'Libro Diario'!F373</f>
        <v>42</v>
      </c>
      <c r="B1813" s="144">
        <f>VALUE(IF(+'Libro Diario'!G373="","01/01/2025",+'Libro Diario'!G373))</f>
        <v>46018</v>
      </c>
      <c r="C1813">
        <f>IF(ISNUMBER(+IF(IFERROR(VALUE(MID('Libro Diario'!D373,1,4)),0)&lt;&gt;0,'Libro Diario'!D373,0))=FALSE,'Libro Diario'!D373,0)</f>
        <v>0</v>
      </c>
      <c r="D1813" s="145">
        <f>+'Libro Diario'!E373</f>
        <v>0</v>
      </c>
      <c r="E1813" s="139" t="s">
        <v>446</v>
      </c>
      <c r="F1813" t="str">
        <f t="shared" si="84"/>
        <v>Sin Mov.</v>
      </c>
      <c r="G1813" t="str">
        <f>IF(+'Libro Diario'!H373=0,"",+'Libro Diario'!H373)</f>
        <v>Operaciones del Ejercicio</v>
      </c>
      <c r="H1813" t="str">
        <f>IF(+'Libro Diario'!I373=0,"",+'Libro Diario'!I373)</f>
        <v/>
      </c>
      <c r="I1813" t="str">
        <f>+IF(Table3[[#This Row],[Tipo Movimiento]]="Estructura Balance y PyG","Excluir","Incluir")</f>
        <v>Incluir</v>
      </c>
      <c r="J1813" s="153">
        <f>+IF(Table3[[#This Row],[Sin cuenta]]="Con Mov.",(IF(Table3[[#This Row],[Movimiento]]="Debe",Table3[[#This Row],[Importe]],IF(Table3[[#This Row],[Movimiento]]="Haber",Table3[[#This Row],[Importe]]*-1,0))),0)</f>
        <v>0</v>
      </c>
      <c r="K1813" s="145" t="str">
        <f t="shared" si="85"/>
        <v/>
      </c>
      <c r="L1813" s="145">
        <f t="shared" si="86"/>
        <v>0</v>
      </c>
      <c r="M1813" t="str">
        <f>_xlfn.XLOOKUP(Table3[[#This Row],[Cuenta]],Estructura_Balance[Nombre Cuenta ()],Estructura_Balance[Grupo],"",0)</f>
        <v/>
      </c>
      <c r="N1813" t="str">
        <f>_xlfn.XLOOKUP(Table3[[#This Row],[Cuenta]],Estructura_Balance[Nombre Cuenta ()],Estructura_Balance[Nivel 1],"",0)</f>
        <v/>
      </c>
      <c r="O1813" t="str">
        <f>_xlfn.XLOOKUP(Table3[[#This Row],[Cuenta]],Estructura_Balance[Nombre Cuenta ()],Estructura_Balance[Nivel 2],"",0)</f>
        <v/>
      </c>
      <c r="P1813" t="str">
        <f>_xlfn.XLOOKUP(Table3[[#This Row],[Cuenta]],Estructura_Balance[Nombre Cuenta ()],Estructura_Balance[Nivel 3],"",0)</f>
        <v/>
      </c>
      <c r="Q1813" t="str">
        <f>_xlfn.XLOOKUP(Table3[[#This Row],[Cuenta]],Estructura_Balance[Nombre Cuenta ()],Estructura_Balance[Nivel 4],"",0)</f>
        <v/>
      </c>
      <c r="R1813" t="str">
        <f>_xlfn.XLOOKUP(Table3[[#This Row],[Cuenta]],Table8[Nombre Cuenta ()],Table8[Nivel 1],"",0)</f>
        <v/>
      </c>
      <c r="S1813" t="str">
        <f>_xlfn.XLOOKUP(Table3[[#This Row],[Cuenta]],Table8[Nombre Cuenta ()],Table8[Nivel 2],"",0)</f>
        <v/>
      </c>
      <c r="T1813" t="str">
        <f>_xlfn.XLOOKUP(Table3[[#This Row],[Cuenta]],Table8[Nombre Cuenta ()],Table8[Nivel 3],"",0)</f>
        <v/>
      </c>
      <c r="U1813">
        <v>1766</v>
      </c>
      <c r="V1813" t="str">
        <f>_xlfn.XLOOKUP(Table3[[#This Row],[Cuenta]],Estructura_Balance[Nombre Cuenta ()],Estructura_Balance[Niveles:2],"",0)</f>
        <v/>
      </c>
      <c r="W1813" t="str">
        <f>_xlfn.XLOOKUP(Table3[[#This Row],[Cuenta]],Estructura_Balance[Nombre Cuenta ()],Estructura_Balance[Niveles:3],"",0)</f>
        <v/>
      </c>
      <c r="X1813" t="str">
        <f>_xlfn.XLOOKUP(Table3[[#This Row],[Cuenta]],Estructura_Balance[Nombre Cuenta ()],Estructura_Balance[Grupos],"Grupo 1",0)</f>
        <v>Grupo 1</v>
      </c>
      <c r="Y1813" t="str">
        <f>+Table3[[#This Row],[BS_Nivel_1]]</f>
        <v/>
      </c>
    </row>
    <row r="1814" spans="1:25" ht="15" customHeight="1">
      <c r="A1814">
        <f>+'Libro Diario'!F374</f>
        <v>42</v>
      </c>
      <c r="B1814" s="144">
        <f>VALUE(IF(+'Libro Diario'!G374="","01/01/2025",+'Libro Diario'!G374))</f>
        <v>46018</v>
      </c>
      <c r="C1814">
        <f>IF(ISNUMBER(+IF(IFERROR(VALUE(MID('Libro Diario'!D374,1,4)),0)&lt;&gt;0,'Libro Diario'!D374,0))=FALSE,'Libro Diario'!D374,0)</f>
        <v>0</v>
      </c>
      <c r="D1814" s="145">
        <f>+'Libro Diario'!E374</f>
        <v>0</v>
      </c>
      <c r="E1814" s="139" t="s">
        <v>446</v>
      </c>
      <c r="F1814" t="str">
        <f t="shared" si="84"/>
        <v>Sin Mov.</v>
      </c>
      <c r="G1814" t="str">
        <f>IF(+'Libro Diario'!H374=0,"",+'Libro Diario'!H374)</f>
        <v>Operaciones del Ejercicio</v>
      </c>
      <c r="H1814" t="str">
        <f>IF(+'Libro Diario'!I374=0,"",+'Libro Diario'!I374)</f>
        <v/>
      </c>
      <c r="I1814" t="str">
        <f>+IF(Table3[[#This Row],[Tipo Movimiento]]="Estructura Balance y PyG","Excluir","Incluir")</f>
        <v>Incluir</v>
      </c>
      <c r="J1814" s="153">
        <f>+IF(Table3[[#This Row],[Sin cuenta]]="Con Mov.",(IF(Table3[[#This Row],[Movimiento]]="Debe",Table3[[#This Row],[Importe]],IF(Table3[[#This Row],[Movimiento]]="Haber",Table3[[#This Row],[Importe]]*-1,0))),0)</f>
        <v>0</v>
      </c>
      <c r="K1814" s="145" t="str">
        <f t="shared" si="85"/>
        <v/>
      </c>
      <c r="L1814" s="145">
        <f t="shared" si="86"/>
        <v>0</v>
      </c>
      <c r="M1814" t="str">
        <f>_xlfn.XLOOKUP(Table3[[#This Row],[Cuenta]],Estructura_Balance[Nombre Cuenta ()],Estructura_Balance[Grupo],"",0)</f>
        <v/>
      </c>
      <c r="N1814" t="str">
        <f>_xlfn.XLOOKUP(Table3[[#This Row],[Cuenta]],Estructura_Balance[Nombre Cuenta ()],Estructura_Balance[Nivel 1],"",0)</f>
        <v/>
      </c>
      <c r="O1814" t="str">
        <f>_xlfn.XLOOKUP(Table3[[#This Row],[Cuenta]],Estructura_Balance[Nombre Cuenta ()],Estructura_Balance[Nivel 2],"",0)</f>
        <v/>
      </c>
      <c r="P1814" t="str">
        <f>_xlfn.XLOOKUP(Table3[[#This Row],[Cuenta]],Estructura_Balance[Nombre Cuenta ()],Estructura_Balance[Nivel 3],"",0)</f>
        <v/>
      </c>
      <c r="Q1814" t="str">
        <f>_xlfn.XLOOKUP(Table3[[#This Row],[Cuenta]],Estructura_Balance[Nombre Cuenta ()],Estructura_Balance[Nivel 4],"",0)</f>
        <v/>
      </c>
      <c r="R1814" t="str">
        <f>_xlfn.XLOOKUP(Table3[[#This Row],[Cuenta]],Table8[Nombre Cuenta ()],Table8[Nivel 1],"",0)</f>
        <v/>
      </c>
      <c r="S1814" t="str">
        <f>_xlfn.XLOOKUP(Table3[[#This Row],[Cuenta]],Table8[Nombre Cuenta ()],Table8[Nivel 2],"",0)</f>
        <v/>
      </c>
      <c r="T1814" t="str">
        <f>_xlfn.XLOOKUP(Table3[[#This Row],[Cuenta]],Table8[Nombre Cuenta ()],Table8[Nivel 3],"",0)</f>
        <v/>
      </c>
      <c r="U1814">
        <v>1767</v>
      </c>
      <c r="V1814" t="str">
        <f>_xlfn.XLOOKUP(Table3[[#This Row],[Cuenta]],Estructura_Balance[Nombre Cuenta ()],Estructura_Balance[Niveles:2],"",0)</f>
        <v/>
      </c>
      <c r="W1814" t="str">
        <f>_xlfn.XLOOKUP(Table3[[#This Row],[Cuenta]],Estructura_Balance[Nombre Cuenta ()],Estructura_Balance[Niveles:3],"",0)</f>
        <v/>
      </c>
      <c r="X1814" t="str">
        <f>_xlfn.XLOOKUP(Table3[[#This Row],[Cuenta]],Estructura_Balance[Nombre Cuenta ()],Estructura_Balance[Grupos],"Grupo 1",0)</f>
        <v>Grupo 1</v>
      </c>
      <c r="Y1814" t="str">
        <f>+Table3[[#This Row],[BS_Nivel_1]]</f>
        <v/>
      </c>
    </row>
    <row r="1815" spans="1:25" ht="15" customHeight="1">
      <c r="A1815">
        <f>+'Libro Diario'!F380</f>
        <v>43</v>
      </c>
      <c r="B1815" s="144">
        <f>VALUE(IF(+'Libro Diario'!G380="","01/01/2025",+'Libro Diario'!G380))</f>
        <v>46022</v>
      </c>
      <c r="C1815">
        <f>IF(ISNUMBER(+IF(IFERROR(VALUE(MID('Libro Diario'!C380,1,4)),0)&lt;&gt;0,'Libro Diario'!C380,0))=FALSE,'Libro Diario'!C380,0)</f>
        <v>0</v>
      </c>
      <c r="D1815" s="145">
        <f>+'Libro Diario'!B380</f>
        <v>0</v>
      </c>
      <c r="E1815" s="139" t="s">
        <v>445</v>
      </c>
      <c r="F1815" t="str">
        <f t="shared" si="84"/>
        <v>Sin Mov.</v>
      </c>
      <c r="G1815" t="str">
        <f>IF(+'Libro Diario'!H380=0,"",+'Libro Diario'!H380)</f>
        <v>Operaciones del Ejercicio</v>
      </c>
      <c r="H1815" t="str">
        <f>IF(+'Libro Diario'!I380=0,"",+'Libro Diario'!I380)</f>
        <v/>
      </c>
      <c r="I1815" t="str">
        <f>+IF(Table3[[#This Row],[Tipo Movimiento]]="Estructura Balance y PyG","Excluir","Incluir")</f>
        <v>Incluir</v>
      </c>
      <c r="J1815" s="153">
        <f>+IF(Table3[[#This Row],[Sin cuenta]]="Con Mov.",(IF(Table3[[#This Row],[Movimiento]]="Debe",Table3[[#This Row],[Importe]],IF(Table3[[#This Row],[Movimiento]]="Haber",Table3[[#This Row],[Importe]]*-1,0))),0)</f>
        <v>0</v>
      </c>
      <c r="K1815" s="145">
        <f t="shared" si="85"/>
        <v>0</v>
      </c>
      <c r="L1815" s="145" t="str">
        <f t="shared" si="86"/>
        <v/>
      </c>
      <c r="M1815" t="str">
        <f>_xlfn.XLOOKUP(Table3[[#This Row],[Cuenta]],Estructura_Balance[Nombre Cuenta ()],Estructura_Balance[Grupo],"",0)</f>
        <v/>
      </c>
      <c r="N1815" t="str">
        <f>_xlfn.XLOOKUP(Table3[[#This Row],[Cuenta]],Estructura_Balance[Nombre Cuenta ()],Estructura_Balance[Nivel 1],"",0)</f>
        <v/>
      </c>
      <c r="O1815" t="str">
        <f>_xlfn.XLOOKUP(Table3[[#This Row],[Cuenta]],Estructura_Balance[Nombre Cuenta ()],Estructura_Balance[Nivel 2],"",0)</f>
        <v/>
      </c>
      <c r="P1815" t="str">
        <f>_xlfn.XLOOKUP(Table3[[#This Row],[Cuenta]],Estructura_Balance[Nombre Cuenta ()],Estructura_Balance[Nivel 3],"",0)</f>
        <v/>
      </c>
      <c r="Q1815" t="str">
        <f>_xlfn.XLOOKUP(Table3[[#This Row],[Cuenta]],Estructura_Balance[Nombre Cuenta ()],Estructura_Balance[Nivel 4],"",0)</f>
        <v/>
      </c>
      <c r="R1815" t="str">
        <f>_xlfn.XLOOKUP(Table3[[#This Row],[Cuenta]],Table8[Nombre Cuenta ()],Table8[Nivel 1],"",0)</f>
        <v/>
      </c>
      <c r="S1815" t="str">
        <f>_xlfn.XLOOKUP(Table3[[#This Row],[Cuenta]],Table8[Nombre Cuenta ()],Table8[Nivel 2],"",0)</f>
        <v/>
      </c>
      <c r="T1815" t="str">
        <f>_xlfn.XLOOKUP(Table3[[#This Row],[Cuenta]],Table8[Nombre Cuenta ()],Table8[Nivel 3],"",0)</f>
        <v/>
      </c>
      <c r="U1815">
        <v>548</v>
      </c>
      <c r="V1815" t="str">
        <f>_xlfn.XLOOKUP(Table3[[#This Row],[Cuenta]],Estructura_Balance[Nombre Cuenta ()],Estructura_Balance[Niveles:2],"",0)</f>
        <v/>
      </c>
      <c r="W1815" t="str">
        <f>_xlfn.XLOOKUP(Table3[[#This Row],[Cuenta]],Estructura_Balance[Nombre Cuenta ()],Estructura_Balance[Niveles:3],"",0)</f>
        <v/>
      </c>
      <c r="X1815" t="str">
        <f>_xlfn.XLOOKUP(Table3[[#This Row],[Cuenta]],Estructura_Balance[Nombre Cuenta ()],Estructura_Balance[Grupos],"Grupo 1",0)</f>
        <v>Grupo 1</v>
      </c>
      <c r="Y1815" t="str">
        <f>+Table3[[#This Row],[BS_Nivel_1]]</f>
        <v/>
      </c>
    </row>
    <row r="1816" spans="1:25" ht="15" customHeight="1">
      <c r="A1816">
        <f>+'Libro Diario'!F381</f>
        <v>43</v>
      </c>
      <c r="B1816" s="144">
        <f>VALUE(IF(+'Libro Diario'!G381="","01/01/2025",+'Libro Diario'!G381))</f>
        <v>46022</v>
      </c>
      <c r="C1816">
        <f>IF(ISNUMBER(+IF(IFERROR(VALUE(MID('Libro Diario'!C381,1,4)),0)&lt;&gt;0,'Libro Diario'!C381,0))=FALSE,'Libro Diario'!C381,0)</f>
        <v>0</v>
      </c>
      <c r="D1816" s="145">
        <f>+'Libro Diario'!B381</f>
        <v>0</v>
      </c>
      <c r="E1816" s="139" t="s">
        <v>445</v>
      </c>
      <c r="F1816" t="str">
        <f t="shared" si="84"/>
        <v>Sin Mov.</v>
      </c>
      <c r="G1816" t="str">
        <f>IF(+'Libro Diario'!H381=0,"",+'Libro Diario'!H381)</f>
        <v>Operaciones del Ejercicio</v>
      </c>
      <c r="H1816" t="str">
        <f>IF(+'Libro Diario'!I381=0,"",+'Libro Diario'!I381)</f>
        <v/>
      </c>
      <c r="I1816" t="str">
        <f>+IF(Table3[[#This Row],[Tipo Movimiento]]="Estructura Balance y PyG","Excluir","Incluir")</f>
        <v>Incluir</v>
      </c>
      <c r="J1816" s="153">
        <f>+IF(Table3[[#This Row],[Sin cuenta]]="Con Mov.",(IF(Table3[[#This Row],[Movimiento]]="Debe",Table3[[#This Row],[Importe]],IF(Table3[[#This Row],[Movimiento]]="Haber",Table3[[#This Row],[Importe]]*-1,0))),0)</f>
        <v>0</v>
      </c>
      <c r="K1816" s="145">
        <f t="shared" si="85"/>
        <v>0</v>
      </c>
      <c r="L1816" s="145" t="str">
        <f t="shared" si="86"/>
        <v/>
      </c>
      <c r="M1816" t="str">
        <f>_xlfn.XLOOKUP(Table3[[#This Row],[Cuenta]],Estructura_Balance[Nombre Cuenta ()],Estructura_Balance[Grupo],"",0)</f>
        <v/>
      </c>
      <c r="N1816" t="str">
        <f>_xlfn.XLOOKUP(Table3[[#This Row],[Cuenta]],Estructura_Balance[Nombre Cuenta ()],Estructura_Balance[Nivel 1],"",0)</f>
        <v/>
      </c>
      <c r="O1816" t="str">
        <f>_xlfn.XLOOKUP(Table3[[#This Row],[Cuenta]],Estructura_Balance[Nombre Cuenta ()],Estructura_Balance[Nivel 2],"",0)</f>
        <v/>
      </c>
      <c r="P1816" t="str">
        <f>_xlfn.XLOOKUP(Table3[[#This Row],[Cuenta]],Estructura_Balance[Nombre Cuenta ()],Estructura_Balance[Nivel 3],"",0)</f>
        <v/>
      </c>
      <c r="Q1816" t="str">
        <f>_xlfn.XLOOKUP(Table3[[#This Row],[Cuenta]],Estructura_Balance[Nombre Cuenta ()],Estructura_Balance[Nivel 4],"",0)</f>
        <v/>
      </c>
      <c r="R1816" t="str">
        <f>_xlfn.XLOOKUP(Table3[[#This Row],[Cuenta]],Table8[Nombre Cuenta ()],Table8[Nivel 1],"",0)</f>
        <v/>
      </c>
      <c r="S1816" t="str">
        <f>_xlfn.XLOOKUP(Table3[[#This Row],[Cuenta]],Table8[Nombre Cuenta ()],Table8[Nivel 2],"",0)</f>
        <v/>
      </c>
      <c r="T1816" t="str">
        <f>_xlfn.XLOOKUP(Table3[[#This Row],[Cuenta]],Table8[Nombre Cuenta ()],Table8[Nivel 3],"",0)</f>
        <v/>
      </c>
      <c r="U1816">
        <v>549</v>
      </c>
      <c r="V1816" t="str">
        <f>_xlfn.XLOOKUP(Table3[[#This Row],[Cuenta]],Estructura_Balance[Nombre Cuenta ()],Estructura_Balance[Niveles:2],"",0)</f>
        <v/>
      </c>
      <c r="W1816" t="str">
        <f>_xlfn.XLOOKUP(Table3[[#This Row],[Cuenta]],Estructura_Balance[Nombre Cuenta ()],Estructura_Balance[Niveles:3],"",0)</f>
        <v/>
      </c>
      <c r="X1816" t="str">
        <f>_xlfn.XLOOKUP(Table3[[#This Row],[Cuenta]],Estructura_Balance[Nombre Cuenta ()],Estructura_Balance[Grupos],"Grupo 1",0)</f>
        <v>Grupo 1</v>
      </c>
      <c r="Y1816" t="str">
        <f>+Table3[[#This Row],[BS_Nivel_1]]</f>
        <v/>
      </c>
    </row>
    <row r="1817" spans="1:25" ht="15" customHeight="1">
      <c r="A1817">
        <f>+'Libro Diario'!F380</f>
        <v>43</v>
      </c>
      <c r="B1817" s="144">
        <f>VALUE(IF(+'Libro Diario'!G380="","01/01/2025",+'Libro Diario'!G380))</f>
        <v>46022</v>
      </c>
      <c r="C1817">
        <f>IF(ISNUMBER(+IF(IFERROR(VALUE(MID('Libro Diario'!D380,1,4)),0)&lt;&gt;0,'Libro Diario'!D380,0))=FALSE,'Libro Diario'!D380,0)</f>
        <v>0</v>
      </c>
      <c r="D1817" s="145">
        <f>+'Libro Diario'!E380</f>
        <v>0</v>
      </c>
      <c r="E1817" s="139" t="s">
        <v>446</v>
      </c>
      <c r="F1817" t="str">
        <f t="shared" si="84"/>
        <v>Sin Mov.</v>
      </c>
      <c r="G1817" t="str">
        <f>IF(+'Libro Diario'!H380=0,"",+'Libro Diario'!H380)</f>
        <v>Operaciones del Ejercicio</v>
      </c>
      <c r="H1817" t="str">
        <f>IF(+'Libro Diario'!I380=0,"",+'Libro Diario'!I380)</f>
        <v/>
      </c>
      <c r="I1817" t="str">
        <f>+IF(Table3[[#This Row],[Tipo Movimiento]]="Estructura Balance y PyG","Excluir","Incluir")</f>
        <v>Incluir</v>
      </c>
      <c r="J1817" s="153">
        <f>+IF(Table3[[#This Row],[Sin cuenta]]="Con Mov.",(IF(Table3[[#This Row],[Movimiento]]="Debe",Table3[[#This Row],[Importe]],IF(Table3[[#This Row],[Movimiento]]="Haber",Table3[[#This Row],[Importe]]*-1,0))),0)</f>
        <v>0</v>
      </c>
      <c r="K1817" s="145" t="str">
        <f t="shared" si="85"/>
        <v/>
      </c>
      <c r="L1817" s="145">
        <f t="shared" si="86"/>
        <v>0</v>
      </c>
      <c r="M1817" t="str">
        <f>_xlfn.XLOOKUP(Table3[[#This Row],[Cuenta]],Estructura_Balance[Nombre Cuenta ()],Estructura_Balance[Grupo],"",0)</f>
        <v/>
      </c>
      <c r="N1817" t="str">
        <f>_xlfn.XLOOKUP(Table3[[#This Row],[Cuenta]],Estructura_Balance[Nombre Cuenta ()],Estructura_Balance[Nivel 1],"",0)</f>
        <v/>
      </c>
      <c r="O1817" t="str">
        <f>_xlfn.XLOOKUP(Table3[[#This Row],[Cuenta]],Estructura_Balance[Nombre Cuenta ()],Estructura_Balance[Nivel 2],"",0)</f>
        <v/>
      </c>
      <c r="P1817" t="str">
        <f>_xlfn.XLOOKUP(Table3[[#This Row],[Cuenta]],Estructura_Balance[Nombre Cuenta ()],Estructura_Balance[Nivel 3],"",0)</f>
        <v/>
      </c>
      <c r="Q1817" t="str">
        <f>_xlfn.XLOOKUP(Table3[[#This Row],[Cuenta]],Estructura_Balance[Nombre Cuenta ()],Estructura_Balance[Nivel 4],"",0)</f>
        <v/>
      </c>
      <c r="R1817" t="str">
        <f>_xlfn.XLOOKUP(Table3[[#This Row],[Cuenta]],Table8[Nombre Cuenta ()],Table8[Nivel 1],"",0)</f>
        <v/>
      </c>
      <c r="S1817" t="str">
        <f>_xlfn.XLOOKUP(Table3[[#This Row],[Cuenta]],Table8[Nombre Cuenta ()],Table8[Nivel 2],"",0)</f>
        <v/>
      </c>
      <c r="T1817" t="str">
        <f>_xlfn.XLOOKUP(Table3[[#This Row],[Cuenta]],Table8[Nombre Cuenta ()],Table8[Nivel 3],"",0)</f>
        <v/>
      </c>
      <c r="U1817">
        <v>1773</v>
      </c>
      <c r="V1817" t="str">
        <f>_xlfn.XLOOKUP(Table3[[#This Row],[Cuenta]],Estructura_Balance[Nombre Cuenta ()],Estructura_Balance[Niveles:2],"",0)</f>
        <v/>
      </c>
      <c r="W1817" t="str">
        <f>_xlfn.XLOOKUP(Table3[[#This Row],[Cuenta]],Estructura_Balance[Nombre Cuenta ()],Estructura_Balance[Niveles:3],"",0)</f>
        <v/>
      </c>
      <c r="X1817" t="str">
        <f>_xlfn.XLOOKUP(Table3[[#This Row],[Cuenta]],Estructura_Balance[Nombre Cuenta ()],Estructura_Balance[Grupos],"Grupo 1",0)</f>
        <v>Grupo 1</v>
      </c>
      <c r="Y1817" t="str">
        <f>+Table3[[#This Row],[BS_Nivel_1]]</f>
        <v/>
      </c>
    </row>
    <row r="1818" spans="1:25" ht="15" customHeight="1">
      <c r="A1818">
        <f>+'Libro Diario'!F381</f>
        <v>43</v>
      </c>
      <c r="B1818" s="144">
        <f>VALUE(IF(+'Libro Diario'!G381="","01/01/2025",+'Libro Diario'!G381))</f>
        <v>46022</v>
      </c>
      <c r="C1818">
        <f>IF(ISNUMBER(+IF(IFERROR(VALUE(MID('Libro Diario'!D381,1,4)),0)&lt;&gt;0,'Libro Diario'!D381,0))=FALSE,'Libro Diario'!D381,0)</f>
        <v>0</v>
      </c>
      <c r="D1818" s="145">
        <f>+'Libro Diario'!E381</f>
        <v>0</v>
      </c>
      <c r="E1818" s="139" t="s">
        <v>446</v>
      </c>
      <c r="F1818" t="str">
        <f t="shared" si="84"/>
        <v>Sin Mov.</v>
      </c>
      <c r="G1818" t="str">
        <f>IF(+'Libro Diario'!H381=0,"",+'Libro Diario'!H381)</f>
        <v>Operaciones del Ejercicio</v>
      </c>
      <c r="H1818" t="str">
        <f>IF(+'Libro Diario'!I381=0,"",+'Libro Diario'!I381)</f>
        <v/>
      </c>
      <c r="I1818" t="str">
        <f>+IF(Table3[[#This Row],[Tipo Movimiento]]="Estructura Balance y PyG","Excluir","Incluir")</f>
        <v>Incluir</v>
      </c>
      <c r="J1818" s="153">
        <f>+IF(Table3[[#This Row],[Sin cuenta]]="Con Mov.",(IF(Table3[[#This Row],[Movimiento]]="Debe",Table3[[#This Row],[Importe]],IF(Table3[[#This Row],[Movimiento]]="Haber",Table3[[#This Row],[Importe]]*-1,0))),0)</f>
        <v>0</v>
      </c>
      <c r="K1818" s="145" t="str">
        <f t="shared" si="85"/>
        <v/>
      </c>
      <c r="L1818" s="145">
        <f t="shared" si="86"/>
        <v>0</v>
      </c>
      <c r="M1818" t="str">
        <f>_xlfn.XLOOKUP(Table3[[#This Row],[Cuenta]],Estructura_Balance[Nombre Cuenta ()],Estructura_Balance[Grupo],"",0)</f>
        <v/>
      </c>
      <c r="N1818" t="str">
        <f>_xlfn.XLOOKUP(Table3[[#This Row],[Cuenta]],Estructura_Balance[Nombre Cuenta ()],Estructura_Balance[Nivel 1],"",0)</f>
        <v/>
      </c>
      <c r="O1818" t="str">
        <f>_xlfn.XLOOKUP(Table3[[#This Row],[Cuenta]],Estructura_Balance[Nombre Cuenta ()],Estructura_Balance[Nivel 2],"",0)</f>
        <v/>
      </c>
      <c r="P1818" t="str">
        <f>_xlfn.XLOOKUP(Table3[[#This Row],[Cuenta]],Estructura_Balance[Nombre Cuenta ()],Estructura_Balance[Nivel 3],"",0)</f>
        <v/>
      </c>
      <c r="Q1818" t="str">
        <f>_xlfn.XLOOKUP(Table3[[#This Row],[Cuenta]],Estructura_Balance[Nombre Cuenta ()],Estructura_Balance[Nivel 4],"",0)</f>
        <v/>
      </c>
      <c r="R1818" t="str">
        <f>_xlfn.XLOOKUP(Table3[[#This Row],[Cuenta]],Table8[Nombre Cuenta ()],Table8[Nivel 1],"",0)</f>
        <v/>
      </c>
      <c r="S1818" t="str">
        <f>_xlfn.XLOOKUP(Table3[[#This Row],[Cuenta]],Table8[Nombre Cuenta ()],Table8[Nivel 2],"",0)</f>
        <v/>
      </c>
      <c r="T1818" t="str">
        <f>_xlfn.XLOOKUP(Table3[[#This Row],[Cuenta]],Table8[Nombre Cuenta ()],Table8[Nivel 3],"",0)</f>
        <v/>
      </c>
      <c r="U1818">
        <v>1774</v>
      </c>
      <c r="V1818" t="str">
        <f>_xlfn.XLOOKUP(Table3[[#This Row],[Cuenta]],Estructura_Balance[Nombre Cuenta ()],Estructura_Balance[Niveles:2],"",0)</f>
        <v/>
      </c>
      <c r="W1818" t="str">
        <f>_xlfn.XLOOKUP(Table3[[#This Row],[Cuenta]],Estructura_Balance[Nombre Cuenta ()],Estructura_Balance[Niveles:3],"",0)</f>
        <v/>
      </c>
      <c r="X1818" t="str">
        <f>_xlfn.XLOOKUP(Table3[[#This Row],[Cuenta]],Estructura_Balance[Nombre Cuenta ()],Estructura_Balance[Grupos],"Grupo 1",0)</f>
        <v>Grupo 1</v>
      </c>
      <c r="Y1818" t="str">
        <f>+Table3[[#This Row],[BS_Nivel_1]]</f>
        <v/>
      </c>
    </row>
    <row r="1819" spans="1:25" ht="15" customHeight="1">
      <c r="A1819">
        <f>+'Libro Diario'!F387</f>
        <v>44</v>
      </c>
      <c r="B1819" s="144">
        <f>VALUE(IF(+'Libro Diario'!G387="","01/01/2025",+'Libro Diario'!G387))</f>
        <v>46022</v>
      </c>
      <c r="C1819">
        <f>IF(ISNUMBER(+IF(IFERROR(VALUE(MID('Libro Diario'!C387,1,4)),0)&lt;&gt;0,'Libro Diario'!C387,0))=FALSE,'Libro Diario'!C387,0)</f>
        <v>0</v>
      </c>
      <c r="D1819" s="145">
        <f>+'Libro Diario'!B387</f>
        <v>0</v>
      </c>
      <c r="E1819" s="139" t="s">
        <v>445</v>
      </c>
      <c r="F1819" t="str">
        <f t="shared" si="84"/>
        <v>Sin Mov.</v>
      </c>
      <c r="G1819" t="str">
        <f>IF(+'Libro Diario'!H387=0,"",+'Libro Diario'!H387)</f>
        <v>Ajuste por Periodificación</v>
      </c>
      <c r="H1819" t="str">
        <f>IF(+'Libro Diario'!I387=0,"",+'Libro Diario'!I387)</f>
        <v/>
      </c>
      <c r="I1819" t="str">
        <f>+IF(Table3[[#This Row],[Tipo Movimiento]]="Estructura Balance y PyG","Excluir","Incluir")</f>
        <v>Incluir</v>
      </c>
      <c r="J1819" s="153">
        <f>+IF(Table3[[#This Row],[Sin cuenta]]="Con Mov.",(IF(Table3[[#This Row],[Movimiento]]="Debe",Table3[[#This Row],[Importe]],IF(Table3[[#This Row],[Movimiento]]="Haber",Table3[[#This Row],[Importe]]*-1,0))),0)</f>
        <v>0</v>
      </c>
      <c r="K1819" s="145">
        <f t="shared" si="85"/>
        <v>0</v>
      </c>
      <c r="L1819" s="145" t="str">
        <f t="shared" si="86"/>
        <v/>
      </c>
      <c r="M1819" t="str">
        <f>_xlfn.XLOOKUP(Table3[[#This Row],[Cuenta]],Estructura_Balance[Nombre Cuenta ()],Estructura_Balance[Grupo],"",0)</f>
        <v/>
      </c>
      <c r="N1819" t="str">
        <f>_xlfn.XLOOKUP(Table3[[#This Row],[Cuenta]],Estructura_Balance[Nombre Cuenta ()],Estructura_Balance[Nivel 1],"",0)</f>
        <v/>
      </c>
      <c r="O1819" t="str">
        <f>_xlfn.XLOOKUP(Table3[[#This Row],[Cuenta]],Estructura_Balance[Nombre Cuenta ()],Estructura_Balance[Nivel 2],"",0)</f>
        <v/>
      </c>
      <c r="P1819" t="str">
        <f>_xlfn.XLOOKUP(Table3[[#This Row],[Cuenta]],Estructura_Balance[Nombre Cuenta ()],Estructura_Balance[Nivel 3],"",0)</f>
        <v/>
      </c>
      <c r="Q1819" t="str">
        <f>_xlfn.XLOOKUP(Table3[[#This Row],[Cuenta]],Estructura_Balance[Nombre Cuenta ()],Estructura_Balance[Nivel 4],"",0)</f>
        <v/>
      </c>
      <c r="R1819" t="str">
        <f>_xlfn.XLOOKUP(Table3[[#This Row],[Cuenta]],Table8[Nombre Cuenta ()],Table8[Nivel 1],"",0)</f>
        <v/>
      </c>
      <c r="S1819" t="str">
        <f>_xlfn.XLOOKUP(Table3[[#This Row],[Cuenta]],Table8[Nombre Cuenta ()],Table8[Nivel 2],"",0)</f>
        <v/>
      </c>
      <c r="T1819" t="str">
        <f>_xlfn.XLOOKUP(Table3[[#This Row],[Cuenta]],Table8[Nombre Cuenta ()],Table8[Nivel 3],"",0)</f>
        <v/>
      </c>
      <c r="U1819">
        <v>578</v>
      </c>
      <c r="V1819" t="str">
        <f>_xlfn.XLOOKUP(Table3[[#This Row],[Cuenta]],Estructura_Balance[Nombre Cuenta ()],Estructura_Balance[Niveles:2],"",0)</f>
        <v/>
      </c>
      <c r="W1819" t="str">
        <f>_xlfn.XLOOKUP(Table3[[#This Row],[Cuenta]],Estructura_Balance[Nombre Cuenta ()],Estructura_Balance[Niveles:3],"",0)</f>
        <v/>
      </c>
      <c r="X1819" t="str">
        <f>_xlfn.XLOOKUP(Table3[[#This Row],[Cuenta]],Estructura_Balance[Nombre Cuenta ()],Estructura_Balance[Grupos],"Grupo 1",0)</f>
        <v>Grupo 1</v>
      </c>
      <c r="Y1819" t="str">
        <f>+Table3[[#This Row],[BS_Nivel_1]]</f>
        <v/>
      </c>
    </row>
    <row r="1820" spans="1:25" ht="15" customHeight="1">
      <c r="A1820">
        <f>+'Libro Diario'!F388</f>
        <v>44</v>
      </c>
      <c r="B1820" s="144">
        <f>VALUE(IF(+'Libro Diario'!G388="","01/01/2025",+'Libro Diario'!G388))</f>
        <v>46022</v>
      </c>
      <c r="C1820">
        <f>IF(ISNUMBER(+IF(IFERROR(VALUE(MID('Libro Diario'!C388,1,4)),0)&lt;&gt;0,'Libro Diario'!C388,0))=FALSE,'Libro Diario'!C388,0)</f>
        <v>0</v>
      </c>
      <c r="D1820" s="145">
        <f>+'Libro Diario'!B388</f>
        <v>0</v>
      </c>
      <c r="E1820" s="139" t="s">
        <v>445</v>
      </c>
      <c r="F1820" t="str">
        <f t="shared" si="84"/>
        <v>Sin Mov.</v>
      </c>
      <c r="G1820" t="str">
        <f>IF(+'Libro Diario'!H388=0,"",+'Libro Diario'!H388)</f>
        <v>Ajuste por Periodificación</v>
      </c>
      <c r="H1820" t="str">
        <f>IF(+'Libro Diario'!I388=0,"",+'Libro Diario'!I388)</f>
        <v/>
      </c>
      <c r="I1820" t="str">
        <f>+IF(Table3[[#This Row],[Tipo Movimiento]]="Estructura Balance y PyG","Excluir","Incluir")</f>
        <v>Incluir</v>
      </c>
      <c r="J1820" s="153">
        <f>+IF(Table3[[#This Row],[Sin cuenta]]="Con Mov.",(IF(Table3[[#This Row],[Movimiento]]="Debe",Table3[[#This Row],[Importe]],IF(Table3[[#This Row],[Movimiento]]="Haber",Table3[[#This Row],[Importe]]*-1,0))),0)</f>
        <v>0</v>
      </c>
      <c r="K1820" s="145">
        <f t="shared" si="85"/>
        <v>0</v>
      </c>
      <c r="L1820" s="145" t="str">
        <f t="shared" si="86"/>
        <v/>
      </c>
      <c r="M1820" t="str">
        <f>_xlfn.XLOOKUP(Table3[[#This Row],[Cuenta]],Estructura_Balance[Nombre Cuenta ()],Estructura_Balance[Grupo],"",0)</f>
        <v/>
      </c>
      <c r="N1820" t="str">
        <f>_xlfn.XLOOKUP(Table3[[#This Row],[Cuenta]],Estructura_Balance[Nombre Cuenta ()],Estructura_Balance[Nivel 1],"",0)</f>
        <v/>
      </c>
      <c r="O1820" t="str">
        <f>_xlfn.XLOOKUP(Table3[[#This Row],[Cuenta]],Estructura_Balance[Nombre Cuenta ()],Estructura_Balance[Nivel 2],"",0)</f>
        <v/>
      </c>
      <c r="P1820" t="str">
        <f>_xlfn.XLOOKUP(Table3[[#This Row],[Cuenta]],Estructura_Balance[Nombre Cuenta ()],Estructura_Balance[Nivel 3],"",0)</f>
        <v/>
      </c>
      <c r="Q1820" t="str">
        <f>_xlfn.XLOOKUP(Table3[[#This Row],[Cuenta]],Estructura_Balance[Nombre Cuenta ()],Estructura_Balance[Nivel 4],"",0)</f>
        <v/>
      </c>
      <c r="R1820" t="str">
        <f>_xlfn.XLOOKUP(Table3[[#This Row],[Cuenta]],Table8[Nombre Cuenta ()],Table8[Nivel 1],"",0)</f>
        <v/>
      </c>
      <c r="S1820" t="str">
        <f>_xlfn.XLOOKUP(Table3[[#This Row],[Cuenta]],Table8[Nombre Cuenta ()],Table8[Nivel 2],"",0)</f>
        <v/>
      </c>
      <c r="T1820" t="str">
        <f>_xlfn.XLOOKUP(Table3[[#This Row],[Cuenta]],Table8[Nombre Cuenta ()],Table8[Nivel 3],"",0)</f>
        <v/>
      </c>
      <c r="U1820">
        <v>579</v>
      </c>
      <c r="V1820" t="str">
        <f>_xlfn.XLOOKUP(Table3[[#This Row],[Cuenta]],Estructura_Balance[Nombre Cuenta ()],Estructura_Balance[Niveles:2],"",0)</f>
        <v/>
      </c>
      <c r="W1820" t="str">
        <f>_xlfn.XLOOKUP(Table3[[#This Row],[Cuenta]],Estructura_Balance[Nombre Cuenta ()],Estructura_Balance[Niveles:3],"",0)</f>
        <v/>
      </c>
      <c r="X1820" t="str">
        <f>_xlfn.XLOOKUP(Table3[[#This Row],[Cuenta]],Estructura_Balance[Nombre Cuenta ()],Estructura_Balance[Grupos],"Grupo 1",0)</f>
        <v>Grupo 1</v>
      </c>
      <c r="Y1820" t="str">
        <f>+Table3[[#This Row],[BS_Nivel_1]]</f>
        <v/>
      </c>
    </row>
    <row r="1821" spans="1:25" ht="15" customHeight="1">
      <c r="A1821">
        <f>+'Libro Diario'!F387</f>
        <v>44</v>
      </c>
      <c r="B1821" s="144">
        <f>VALUE(IF(+'Libro Diario'!G387="","01/01/2025",+'Libro Diario'!G387))</f>
        <v>46022</v>
      </c>
      <c r="C1821">
        <f>IF(ISNUMBER(+IF(IFERROR(VALUE(MID('Libro Diario'!D387,1,4)),0)&lt;&gt;0,'Libro Diario'!D387,0))=FALSE,'Libro Diario'!D387,0)</f>
        <v>0</v>
      </c>
      <c r="D1821" s="145">
        <f>+'Libro Diario'!E387</f>
        <v>0</v>
      </c>
      <c r="E1821" s="139" t="s">
        <v>446</v>
      </c>
      <c r="F1821" t="str">
        <f t="shared" si="84"/>
        <v>Sin Mov.</v>
      </c>
      <c r="G1821" t="str">
        <f>IF(+'Libro Diario'!H387=0,"",+'Libro Diario'!H387)</f>
        <v>Ajuste por Periodificación</v>
      </c>
      <c r="H1821" t="str">
        <f>IF(+'Libro Diario'!I387=0,"",+'Libro Diario'!I387)</f>
        <v/>
      </c>
      <c r="I1821" t="str">
        <f>+IF(Table3[[#This Row],[Tipo Movimiento]]="Estructura Balance y PyG","Excluir","Incluir")</f>
        <v>Incluir</v>
      </c>
      <c r="J1821" s="153">
        <f>+IF(Table3[[#This Row],[Sin cuenta]]="Con Mov.",(IF(Table3[[#This Row],[Movimiento]]="Debe",Table3[[#This Row],[Importe]],IF(Table3[[#This Row],[Movimiento]]="Haber",Table3[[#This Row],[Importe]]*-1,0))),0)</f>
        <v>0</v>
      </c>
      <c r="K1821" s="145" t="str">
        <f t="shared" si="85"/>
        <v/>
      </c>
      <c r="L1821" s="145">
        <f t="shared" si="86"/>
        <v>0</v>
      </c>
      <c r="M1821" t="str">
        <f>_xlfn.XLOOKUP(Table3[[#This Row],[Cuenta]],Estructura_Balance[Nombre Cuenta ()],Estructura_Balance[Grupo],"",0)</f>
        <v/>
      </c>
      <c r="N1821" t="str">
        <f>_xlfn.XLOOKUP(Table3[[#This Row],[Cuenta]],Estructura_Balance[Nombre Cuenta ()],Estructura_Balance[Nivel 1],"",0)</f>
        <v/>
      </c>
      <c r="O1821" t="str">
        <f>_xlfn.XLOOKUP(Table3[[#This Row],[Cuenta]],Estructura_Balance[Nombre Cuenta ()],Estructura_Balance[Nivel 2],"",0)</f>
        <v/>
      </c>
      <c r="P1821" t="str">
        <f>_xlfn.XLOOKUP(Table3[[#This Row],[Cuenta]],Estructura_Balance[Nombre Cuenta ()],Estructura_Balance[Nivel 3],"",0)</f>
        <v/>
      </c>
      <c r="Q1821" t="str">
        <f>_xlfn.XLOOKUP(Table3[[#This Row],[Cuenta]],Estructura_Balance[Nombre Cuenta ()],Estructura_Balance[Nivel 4],"",0)</f>
        <v/>
      </c>
      <c r="R1821" t="str">
        <f>_xlfn.XLOOKUP(Table3[[#This Row],[Cuenta]],Table8[Nombre Cuenta ()],Table8[Nivel 1],"",0)</f>
        <v/>
      </c>
      <c r="S1821" t="str">
        <f>_xlfn.XLOOKUP(Table3[[#This Row],[Cuenta]],Table8[Nombre Cuenta ()],Table8[Nivel 2],"",0)</f>
        <v/>
      </c>
      <c r="T1821" t="str">
        <f>_xlfn.XLOOKUP(Table3[[#This Row],[Cuenta]],Table8[Nombre Cuenta ()],Table8[Nivel 3],"",0)</f>
        <v/>
      </c>
      <c r="U1821">
        <v>1780</v>
      </c>
      <c r="V1821" t="str">
        <f>_xlfn.XLOOKUP(Table3[[#This Row],[Cuenta]],Estructura_Balance[Nombre Cuenta ()],Estructura_Balance[Niveles:2],"",0)</f>
        <v/>
      </c>
      <c r="W1821" t="str">
        <f>_xlfn.XLOOKUP(Table3[[#This Row],[Cuenta]],Estructura_Balance[Nombre Cuenta ()],Estructura_Balance[Niveles:3],"",0)</f>
        <v/>
      </c>
      <c r="X1821" t="str">
        <f>_xlfn.XLOOKUP(Table3[[#This Row],[Cuenta]],Estructura_Balance[Nombre Cuenta ()],Estructura_Balance[Grupos],"Grupo 1",0)</f>
        <v>Grupo 1</v>
      </c>
      <c r="Y1821" t="str">
        <f>+Table3[[#This Row],[BS_Nivel_1]]</f>
        <v/>
      </c>
    </row>
    <row r="1822" spans="1:25" ht="15" customHeight="1">
      <c r="A1822">
        <f>+'Libro Diario'!F388</f>
        <v>44</v>
      </c>
      <c r="B1822" s="144">
        <f>VALUE(IF(+'Libro Diario'!G388="","01/01/2025",+'Libro Diario'!G388))</f>
        <v>46022</v>
      </c>
      <c r="C1822">
        <f>IF(ISNUMBER(+IF(IFERROR(VALUE(MID('Libro Diario'!D388,1,4)),0)&lt;&gt;0,'Libro Diario'!D388,0))=FALSE,'Libro Diario'!D388,0)</f>
        <v>0</v>
      </c>
      <c r="D1822" s="145">
        <f>+'Libro Diario'!E388</f>
        <v>0</v>
      </c>
      <c r="E1822" s="139" t="s">
        <v>446</v>
      </c>
      <c r="F1822" t="str">
        <f t="shared" si="84"/>
        <v>Sin Mov.</v>
      </c>
      <c r="G1822" t="str">
        <f>IF(+'Libro Diario'!H388=0,"",+'Libro Diario'!H388)</f>
        <v>Ajuste por Periodificación</v>
      </c>
      <c r="H1822" t="str">
        <f>IF(+'Libro Diario'!I388=0,"",+'Libro Diario'!I388)</f>
        <v/>
      </c>
      <c r="I1822" t="str">
        <f>+IF(Table3[[#This Row],[Tipo Movimiento]]="Estructura Balance y PyG","Excluir","Incluir")</f>
        <v>Incluir</v>
      </c>
      <c r="J1822" s="153">
        <f>+IF(Table3[[#This Row],[Sin cuenta]]="Con Mov.",(IF(Table3[[#This Row],[Movimiento]]="Debe",Table3[[#This Row],[Importe]],IF(Table3[[#This Row],[Movimiento]]="Haber",Table3[[#This Row],[Importe]]*-1,0))),0)</f>
        <v>0</v>
      </c>
      <c r="K1822" s="145" t="str">
        <f t="shared" si="85"/>
        <v/>
      </c>
      <c r="L1822" s="145">
        <f t="shared" si="86"/>
        <v>0</v>
      </c>
      <c r="M1822" t="str">
        <f>_xlfn.XLOOKUP(Table3[[#This Row],[Cuenta]],Estructura_Balance[Nombre Cuenta ()],Estructura_Balance[Grupo],"",0)</f>
        <v/>
      </c>
      <c r="N1822" t="str">
        <f>_xlfn.XLOOKUP(Table3[[#This Row],[Cuenta]],Estructura_Balance[Nombre Cuenta ()],Estructura_Balance[Nivel 1],"",0)</f>
        <v/>
      </c>
      <c r="O1822" t="str">
        <f>_xlfn.XLOOKUP(Table3[[#This Row],[Cuenta]],Estructura_Balance[Nombre Cuenta ()],Estructura_Balance[Nivel 2],"",0)</f>
        <v/>
      </c>
      <c r="P1822" t="str">
        <f>_xlfn.XLOOKUP(Table3[[#This Row],[Cuenta]],Estructura_Balance[Nombre Cuenta ()],Estructura_Balance[Nivel 3],"",0)</f>
        <v/>
      </c>
      <c r="Q1822" t="str">
        <f>_xlfn.XLOOKUP(Table3[[#This Row],[Cuenta]],Estructura_Balance[Nombre Cuenta ()],Estructura_Balance[Nivel 4],"",0)</f>
        <v/>
      </c>
      <c r="R1822" t="str">
        <f>_xlfn.XLOOKUP(Table3[[#This Row],[Cuenta]],Table8[Nombre Cuenta ()],Table8[Nivel 1],"",0)</f>
        <v/>
      </c>
      <c r="S1822" t="str">
        <f>_xlfn.XLOOKUP(Table3[[#This Row],[Cuenta]],Table8[Nombre Cuenta ()],Table8[Nivel 2],"",0)</f>
        <v/>
      </c>
      <c r="T1822" t="str">
        <f>_xlfn.XLOOKUP(Table3[[#This Row],[Cuenta]],Table8[Nombre Cuenta ()],Table8[Nivel 3],"",0)</f>
        <v/>
      </c>
      <c r="U1822">
        <v>1781</v>
      </c>
      <c r="V1822" t="str">
        <f>_xlfn.XLOOKUP(Table3[[#This Row],[Cuenta]],Estructura_Balance[Nombre Cuenta ()],Estructura_Balance[Niveles:2],"",0)</f>
        <v/>
      </c>
      <c r="W1822" t="str">
        <f>_xlfn.XLOOKUP(Table3[[#This Row],[Cuenta]],Estructura_Balance[Nombre Cuenta ()],Estructura_Balance[Niveles:3],"",0)</f>
        <v/>
      </c>
      <c r="X1822" t="str">
        <f>_xlfn.XLOOKUP(Table3[[#This Row],[Cuenta]],Estructura_Balance[Nombre Cuenta ()],Estructura_Balance[Grupos],"Grupo 1",0)</f>
        <v>Grupo 1</v>
      </c>
      <c r="Y1822" t="str">
        <f>+Table3[[#This Row],[BS_Nivel_1]]</f>
        <v/>
      </c>
    </row>
    <row r="1823" spans="1:25" ht="15" customHeight="1">
      <c r="A1823">
        <f>+'Libro Diario'!F394</f>
        <v>45</v>
      </c>
      <c r="B1823" s="144">
        <f>VALUE(IF(+'Libro Diario'!G394="","01/01/2025",+'Libro Diario'!G394))</f>
        <v>46022</v>
      </c>
      <c r="C1823">
        <f>IF(ISNUMBER(+IF(IFERROR(VALUE(MID('Libro Diario'!C394,1,4)),0)&lt;&gt;0,'Libro Diario'!C394,0))=FALSE,'Libro Diario'!C394,0)</f>
        <v>0</v>
      </c>
      <c r="D1823" s="145">
        <f>+'Libro Diario'!B394</f>
        <v>0</v>
      </c>
      <c r="E1823" s="139" t="s">
        <v>445</v>
      </c>
      <c r="F1823" t="str">
        <f t="shared" si="84"/>
        <v>Sin Mov.</v>
      </c>
      <c r="G1823" t="str">
        <f>IF(+'Libro Diario'!H394=0,"",+'Libro Diario'!H394)</f>
        <v>Ajuste por Periodificación</v>
      </c>
      <c r="H1823" t="str">
        <f>IF(+'Libro Diario'!I394=0,"",+'Libro Diario'!I394)</f>
        <v/>
      </c>
      <c r="I1823" t="str">
        <f>+IF(Table3[[#This Row],[Tipo Movimiento]]="Estructura Balance y PyG","Excluir","Incluir")</f>
        <v>Incluir</v>
      </c>
      <c r="J1823" s="153">
        <f>+IF(Table3[[#This Row],[Sin cuenta]]="Con Mov.",(IF(Table3[[#This Row],[Movimiento]]="Debe",Table3[[#This Row],[Importe]],IF(Table3[[#This Row],[Movimiento]]="Haber",Table3[[#This Row],[Importe]]*-1,0))),0)</f>
        <v>0</v>
      </c>
      <c r="K1823" s="145">
        <f t="shared" si="85"/>
        <v>0</v>
      </c>
      <c r="L1823" s="145" t="str">
        <f t="shared" si="86"/>
        <v/>
      </c>
      <c r="M1823" t="str">
        <f>_xlfn.XLOOKUP(Table3[[#This Row],[Cuenta]],Estructura_Balance[Nombre Cuenta ()],Estructura_Balance[Grupo],"",0)</f>
        <v/>
      </c>
      <c r="N1823" t="str">
        <f>_xlfn.XLOOKUP(Table3[[#This Row],[Cuenta]],Estructura_Balance[Nombre Cuenta ()],Estructura_Balance[Nivel 1],"",0)</f>
        <v/>
      </c>
      <c r="O1823" t="str">
        <f>_xlfn.XLOOKUP(Table3[[#This Row],[Cuenta]],Estructura_Balance[Nombre Cuenta ()],Estructura_Balance[Nivel 2],"",0)</f>
        <v/>
      </c>
      <c r="P1823" t="str">
        <f>_xlfn.XLOOKUP(Table3[[#This Row],[Cuenta]],Estructura_Balance[Nombre Cuenta ()],Estructura_Balance[Nivel 3],"",0)</f>
        <v/>
      </c>
      <c r="Q1823" t="str">
        <f>_xlfn.XLOOKUP(Table3[[#This Row],[Cuenta]],Estructura_Balance[Nombre Cuenta ()],Estructura_Balance[Nivel 4],"",0)</f>
        <v/>
      </c>
      <c r="R1823" t="str">
        <f>_xlfn.XLOOKUP(Table3[[#This Row],[Cuenta]],Table8[Nombre Cuenta ()],Table8[Nivel 1],"",0)</f>
        <v/>
      </c>
      <c r="S1823" t="str">
        <f>_xlfn.XLOOKUP(Table3[[#This Row],[Cuenta]],Table8[Nombre Cuenta ()],Table8[Nivel 2],"",0)</f>
        <v/>
      </c>
      <c r="T1823" t="str">
        <f>_xlfn.XLOOKUP(Table3[[#This Row],[Cuenta]],Table8[Nombre Cuenta ()],Table8[Nivel 3],"",0)</f>
        <v/>
      </c>
      <c r="U1823">
        <v>585</v>
      </c>
      <c r="V1823" t="str">
        <f>_xlfn.XLOOKUP(Table3[[#This Row],[Cuenta]],Estructura_Balance[Nombre Cuenta ()],Estructura_Balance[Niveles:2],"",0)</f>
        <v/>
      </c>
      <c r="W1823" t="str">
        <f>_xlfn.XLOOKUP(Table3[[#This Row],[Cuenta]],Estructura_Balance[Nombre Cuenta ()],Estructura_Balance[Niveles:3],"",0)</f>
        <v/>
      </c>
      <c r="X1823" t="str">
        <f>_xlfn.XLOOKUP(Table3[[#This Row],[Cuenta]],Estructura_Balance[Nombre Cuenta ()],Estructura_Balance[Grupos],"Grupo 1",0)</f>
        <v>Grupo 1</v>
      </c>
      <c r="Y1823" t="str">
        <f>+Table3[[#This Row],[BS_Nivel_1]]</f>
        <v/>
      </c>
    </row>
    <row r="1824" spans="1:25" ht="15" customHeight="1">
      <c r="A1824">
        <f>+'Libro Diario'!F395</f>
        <v>45</v>
      </c>
      <c r="B1824" s="144">
        <f>VALUE(IF(+'Libro Diario'!G395="","01/01/2025",+'Libro Diario'!G395))</f>
        <v>46022</v>
      </c>
      <c r="C1824">
        <f>IF(ISNUMBER(+IF(IFERROR(VALUE(MID('Libro Diario'!C395,1,4)),0)&lt;&gt;0,'Libro Diario'!C395,0))=FALSE,'Libro Diario'!C395,0)</f>
        <v>0</v>
      </c>
      <c r="D1824" s="145">
        <f>+'Libro Diario'!B395</f>
        <v>0</v>
      </c>
      <c r="E1824" s="139" t="s">
        <v>445</v>
      </c>
      <c r="F1824" t="str">
        <f t="shared" si="84"/>
        <v>Sin Mov.</v>
      </c>
      <c r="G1824" t="str">
        <f>IF(+'Libro Diario'!H395=0,"",+'Libro Diario'!H395)</f>
        <v>Ajuste por Periodificación</v>
      </c>
      <c r="H1824" t="str">
        <f>IF(+'Libro Diario'!I395=0,"",+'Libro Diario'!I395)</f>
        <v/>
      </c>
      <c r="I1824" t="str">
        <f>+IF(Table3[[#This Row],[Tipo Movimiento]]="Estructura Balance y PyG","Excluir","Incluir")</f>
        <v>Incluir</v>
      </c>
      <c r="J1824" s="153">
        <f>+IF(Table3[[#This Row],[Sin cuenta]]="Con Mov.",(IF(Table3[[#This Row],[Movimiento]]="Debe",Table3[[#This Row],[Importe]],IF(Table3[[#This Row],[Movimiento]]="Haber",Table3[[#This Row],[Importe]]*-1,0))),0)</f>
        <v>0</v>
      </c>
      <c r="K1824" s="145">
        <f t="shared" si="85"/>
        <v>0</v>
      </c>
      <c r="L1824" s="145" t="str">
        <f t="shared" si="86"/>
        <v/>
      </c>
      <c r="M1824" t="str">
        <f>_xlfn.XLOOKUP(Table3[[#This Row],[Cuenta]],Estructura_Balance[Nombre Cuenta ()],Estructura_Balance[Grupo],"",0)</f>
        <v/>
      </c>
      <c r="N1824" t="str">
        <f>_xlfn.XLOOKUP(Table3[[#This Row],[Cuenta]],Estructura_Balance[Nombre Cuenta ()],Estructura_Balance[Nivel 1],"",0)</f>
        <v/>
      </c>
      <c r="O1824" t="str">
        <f>_xlfn.XLOOKUP(Table3[[#This Row],[Cuenta]],Estructura_Balance[Nombre Cuenta ()],Estructura_Balance[Nivel 2],"",0)</f>
        <v/>
      </c>
      <c r="P1824" t="str">
        <f>_xlfn.XLOOKUP(Table3[[#This Row],[Cuenta]],Estructura_Balance[Nombre Cuenta ()],Estructura_Balance[Nivel 3],"",0)</f>
        <v/>
      </c>
      <c r="Q1824" t="str">
        <f>_xlfn.XLOOKUP(Table3[[#This Row],[Cuenta]],Estructura_Balance[Nombre Cuenta ()],Estructura_Balance[Nivel 4],"",0)</f>
        <v/>
      </c>
      <c r="R1824" t="str">
        <f>_xlfn.XLOOKUP(Table3[[#This Row],[Cuenta]],Table8[Nombre Cuenta ()],Table8[Nivel 1],"",0)</f>
        <v/>
      </c>
      <c r="S1824" t="str">
        <f>_xlfn.XLOOKUP(Table3[[#This Row],[Cuenta]],Table8[Nombre Cuenta ()],Table8[Nivel 2],"",0)</f>
        <v/>
      </c>
      <c r="T1824" t="str">
        <f>_xlfn.XLOOKUP(Table3[[#This Row],[Cuenta]],Table8[Nombre Cuenta ()],Table8[Nivel 3],"",0)</f>
        <v/>
      </c>
      <c r="U1824">
        <v>586</v>
      </c>
      <c r="V1824" t="str">
        <f>_xlfn.XLOOKUP(Table3[[#This Row],[Cuenta]],Estructura_Balance[Nombre Cuenta ()],Estructura_Balance[Niveles:2],"",0)</f>
        <v/>
      </c>
      <c r="W1824" t="str">
        <f>_xlfn.XLOOKUP(Table3[[#This Row],[Cuenta]],Estructura_Balance[Nombre Cuenta ()],Estructura_Balance[Niveles:3],"",0)</f>
        <v/>
      </c>
      <c r="X1824" t="str">
        <f>_xlfn.XLOOKUP(Table3[[#This Row],[Cuenta]],Estructura_Balance[Nombre Cuenta ()],Estructura_Balance[Grupos],"Grupo 1",0)</f>
        <v>Grupo 1</v>
      </c>
      <c r="Y1824" t="str">
        <f>+Table3[[#This Row],[BS_Nivel_1]]</f>
        <v/>
      </c>
    </row>
    <row r="1825" spans="1:25" ht="15" customHeight="1">
      <c r="A1825">
        <f>+'Libro Diario'!F394</f>
        <v>45</v>
      </c>
      <c r="B1825" s="144">
        <f>VALUE(IF(+'Libro Diario'!G394="","01/01/2025",+'Libro Diario'!G394))</f>
        <v>46022</v>
      </c>
      <c r="C1825">
        <f>IF(ISNUMBER(+IF(IFERROR(VALUE(MID('Libro Diario'!D394,1,4)),0)&lt;&gt;0,'Libro Diario'!D394,0))=FALSE,'Libro Diario'!D394,0)</f>
        <v>0</v>
      </c>
      <c r="D1825" s="145">
        <f>+'Libro Diario'!E394</f>
        <v>0</v>
      </c>
      <c r="E1825" s="139" t="s">
        <v>446</v>
      </c>
      <c r="F1825" t="str">
        <f t="shared" si="84"/>
        <v>Sin Mov.</v>
      </c>
      <c r="G1825" t="str">
        <f>IF(+'Libro Diario'!H394=0,"",+'Libro Diario'!H394)</f>
        <v>Ajuste por Periodificación</v>
      </c>
      <c r="H1825" t="str">
        <f>IF(+'Libro Diario'!I394=0,"",+'Libro Diario'!I394)</f>
        <v/>
      </c>
      <c r="I1825" t="str">
        <f>+IF(Table3[[#This Row],[Tipo Movimiento]]="Estructura Balance y PyG","Excluir","Incluir")</f>
        <v>Incluir</v>
      </c>
      <c r="J1825" s="153">
        <f>+IF(Table3[[#This Row],[Sin cuenta]]="Con Mov.",(IF(Table3[[#This Row],[Movimiento]]="Debe",Table3[[#This Row],[Importe]],IF(Table3[[#This Row],[Movimiento]]="Haber",Table3[[#This Row],[Importe]]*-1,0))),0)</f>
        <v>0</v>
      </c>
      <c r="K1825" s="145" t="str">
        <f t="shared" si="85"/>
        <v/>
      </c>
      <c r="L1825" s="145">
        <f t="shared" si="86"/>
        <v>0</v>
      </c>
      <c r="M1825" t="str">
        <f>_xlfn.XLOOKUP(Table3[[#This Row],[Cuenta]],Estructura_Balance[Nombre Cuenta ()],Estructura_Balance[Grupo],"",0)</f>
        <v/>
      </c>
      <c r="N1825" t="str">
        <f>_xlfn.XLOOKUP(Table3[[#This Row],[Cuenta]],Estructura_Balance[Nombre Cuenta ()],Estructura_Balance[Nivel 1],"",0)</f>
        <v/>
      </c>
      <c r="O1825" t="str">
        <f>_xlfn.XLOOKUP(Table3[[#This Row],[Cuenta]],Estructura_Balance[Nombre Cuenta ()],Estructura_Balance[Nivel 2],"",0)</f>
        <v/>
      </c>
      <c r="P1825" t="str">
        <f>_xlfn.XLOOKUP(Table3[[#This Row],[Cuenta]],Estructura_Balance[Nombre Cuenta ()],Estructura_Balance[Nivel 3],"",0)</f>
        <v/>
      </c>
      <c r="Q1825" t="str">
        <f>_xlfn.XLOOKUP(Table3[[#This Row],[Cuenta]],Estructura_Balance[Nombre Cuenta ()],Estructura_Balance[Nivel 4],"",0)</f>
        <v/>
      </c>
      <c r="R1825" t="str">
        <f>_xlfn.XLOOKUP(Table3[[#This Row],[Cuenta]],Table8[Nombre Cuenta ()],Table8[Nivel 1],"",0)</f>
        <v/>
      </c>
      <c r="S1825" t="str">
        <f>_xlfn.XLOOKUP(Table3[[#This Row],[Cuenta]],Table8[Nombre Cuenta ()],Table8[Nivel 2],"",0)</f>
        <v/>
      </c>
      <c r="T1825" t="str">
        <f>_xlfn.XLOOKUP(Table3[[#This Row],[Cuenta]],Table8[Nombre Cuenta ()],Table8[Nivel 3],"",0)</f>
        <v/>
      </c>
      <c r="U1825">
        <v>1787</v>
      </c>
      <c r="V1825" t="str">
        <f>_xlfn.XLOOKUP(Table3[[#This Row],[Cuenta]],Estructura_Balance[Nombre Cuenta ()],Estructura_Balance[Niveles:2],"",0)</f>
        <v/>
      </c>
      <c r="W1825" t="str">
        <f>_xlfn.XLOOKUP(Table3[[#This Row],[Cuenta]],Estructura_Balance[Nombre Cuenta ()],Estructura_Balance[Niveles:3],"",0)</f>
        <v/>
      </c>
      <c r="X1825" t="str">
        <f>_xlfn.XLOOKUP(Table3[[#This Row],[Cuenta]],Estructura_Balance[Nombre Cuenta ()],Estructura_Balance[Grupos],"Grupo 1",0)</f>
        <v>Grupo 1</v>
      </c>
      <c r="Y1825" t="str">
        <f>+Table3[[#This Row],[BS_Nivel_1]]</f>
        <v/>
      </c>
    </row>
    <row r="1826" spans="1:25" ht="15" customHeight="1">
      <c r="A1826">
        <f>+'Libro Diario'!F395</f>
        <v>45</v>
      </c>
      <c r="B1826" s="144">
        <f>VALUE(IF(+'Libro Diario'!G395="","01/01/2025",+'Libro Diario'!G395))</f>
        <v>46022</v>
      </c>
      <c r="C1826">
        <f>IF(ISNUMBER(+IF(IFERROR(VALUE(MID('Libro Diario'!D395,1,4)),0)&lt;&gt;0,'Libro Diario'!D395,0))=FALSE,'Libro Diario'!D395,0)</f>
        <v>0</v>
      </c>
      <c r="D1826" s="145">
        <f>+'Libro Diario'!E395</f>
        <v>0</v>
      </c>
      <c r="E1826" s="139" t="s">
        <v>446</v>
      </c>
      <c r="F1826" t="str">
        <f t="shared" si="84"/>
        <v>Sin Mov.</v>
      </c>
      <c r="G1826" t="str">
        <f>IF(+'Libro Diario'!H395=0,"",+'Libro Diario'!H395)</f>
        <v>Ajuste por Periodificación</v>
      </c>
      <c r="H1826" t="str">
        <f>IF(+'Libro Diario'!I395=0,"",+'Libro Diario'!I395)</f>
        <v/>
      </c>
      <c r="I1826" t="str">
        <f>+IF(Table3[[#This Row],[Tipo Movimiento]]="Estructura Balance y PyG","Excluir","Incluir")</f>
        <v>Incluir</v>
      </c>
      <c r="J1826" s="153">
        <f>+IF(Table3[[#This Row],[Sin cuenta]]="Con Mov.",(IF(Table3[[#This Row],[Movimiento]]="Debe",Table3[[#This Row],[Importe]],IF(Table3[[#This Row],[Movimiento]]="Haber",Table3[[#This Row],[Importe]]*-1,0))),0)</f>
        <v>0</v>
      </c>
      <c r="K1826" s="145" t="str">
        <f t="shared" si="85"/>
        <v/>
      </c>
      <c r="L1826" s="145">
        <f t="shared" si="86"/>
        <v>0</v>
      </c>
      <c r="M1826" t="str">
        <f>_xlfn.XLOOKUP(Table3[[#This Row],[Cuenta]],Estructura_Balance[Nombre Cuenta ()],Estructura_Balance[Grupo],"",0)</f>
        <v/>
      </c>
      <c r="N1826" t="str">
        <f>_xlfn.XLOOKUP(Table3[[#This Row],[Cuenta]],Estructura_Balance[Nombre Cuenta ()],Estructura_Balance[Nivel 1],"",0)</f>
        <v/>
      </c>
      <c r="O1826" t="str">
        <f>_xlfn.XLOOKUP(Table3[[#This Row],[Cuenta]],Estructura_Balance[Nombre Cuenta ()],Estructura_Balance[Nivel 2],"",0)</f>
        <v/>
      </c>
      <c r="P1826" t="str">
        <f>_xlfn.XLOOKUP(Table3[[#This Row],[Cuenta]],Estructura_Balance[Nombre Cuenta ()],Estructura_Balance[Nivel 3],"",0)</f>
        <v/>
      </c>
      <c r="Q1826" t="str">
        <f>_xlfn.XLOOKUP(Table3[[#This Row],[Cuenta]],Estructura_Balance[Nombre Cuenta ()],Estructura_Balance[Nivel 4],"",0)</f>
        <v/>
      </c>
      <c r="R1826" t="str">
        <f>_xlfn.XLOOKUP(Table3[[#This Row],[Cuenta]],Table8[Nombre Cuenta ()],Table8[Nivel 1],"",0)</f>
        <v/>
      </c>
      <c r="S1826" t="str">
        <f>_xlfn.XLOOKUP(Table3[[#This Row],[Cuenta]],Table8[Nombre Cuenta ()],Table8[Nivel 2],"",0)</f>
        <v/>
      </c>
      <c r="T1826" t="str">
        <f>_xlfn.XLOOKUP(Table3[[#This Row],[Cuenta]],Table8[Nombre Cuenta ()],Table8[Nivel 3],"",0)</f>
        <v/>
      </c>
      <c r="U1826">
        <v>1788</v>
      </c>
      <c r="V1826" t="str">
        <f>_xlfn.XLOOKUP(Table3[[#This Row],[Cuenta]],Estructura_Balance[Nombre Cuenta ()],Estructura_Balance[Niveles:2],"",0)</f>
        <v/>
      </c>
      <c r="W1826" t="str">
        <f>_xlfn.XLOOKUP(Table3[[#This Row],[Cuenta]],Estructura_Balance[Nombre Cuenta ()],Estructura_Balance[Niveles:3],"",0)</f>
        <v/>
      </c>
      <c r="X1826" t="str">
        <f>_xlfn.XLOOKUP(Table3[[#This Row],[Cuenta]],Estructura_Balance[Nombre Cuenta ()],Estructura_Balance[Grupos],"Grupo 1",0)</f>
        <v>Grupo 1</v>
      </c>
      <c r="Y1826" t="str">
        <f>+Table3[[#This Row],[BS_Nivel_1]]</f>
        <v/>
      </c>
    </row>
    <row r="1827" spans="1:25" ht="15" customHeight="1">
      <c r="A1827">
        <f>+'Libro Diario'!F401</f>
        <v>46</v>
      </c>
      <c r="B1827" s="144">
        <f>VALUE(IF(+'Libro Diario'!G401="","01/01/2025",+'Libro Diario'!G401))</f>
        <v>46022</v>
      </c>
      <c r="C1827">
        <f>IF(ISNUMBER(+IF(IFERROR(VALUE(MID('Libro Diario'!C401,1,4)),0)&lt;&gt;0,'Libro Diario'!C401,0))=FALSE,'Libro Diario'!C401,0)</f>
        <v>0</v>
      </c>
      <c r="D1827" s="145">
        <f>+'Libro Diario'!B401</f>
        <v>0</v>
      </c>
      <c r="E1827" s="139" t="s">
        <v>445</v>
      </c>
      <c r="F1827" t="str">
        <f t="shared" si="84"/>
        <v>Sin Mov.</v>
      </c>
      <c r="G1827" t="str">
        <f>IF(+'Libro Diario'!H401=0,"",+'Libro Diario'!H401)</f>
        <v>Ajuste por Periodificación</v>
      </c>
      <c r="H1827" t="str">
        <f>IF(+'Libro Diario'!I401=0,"",+'Libro Diario'!I401)</f>
        <v/>
      </c>
      <c r="I1827" t="str">
        <f>+IF(Table3[[#This Row],[Tipo Movimiento]]="Estructura Balance y PyG","Excluir","Incluir")</f>
        <v>Incluir</v>
      </c>
      <c r="J1827" s="153">
        <f>+IF(Table3[[#This Row],[Sin cuenta]]="Con Mov.",(IF(Table3[[#This Row],[Movimiento]]="Debe",Table3[[#This Row],[Importe]],IF(Table3[[#This Row],[Movimiento]]="Haber",Table3[[#This Row],[Importe]]*-1,0))),0)</f>
        <v>0</v>
      </c>
      <c r="K1827" s="145">
        <f t="shared" si="85"/>
        <v>0</v>
      </c>
      <c r="L1827" s="145" t="str">
        <f t="shared" si="86"/>
        <v/>
      </c>
      <c r="M1827" t="str">
        <f>_xlfn.XLOOKUP(Table3[[#This Row],[Cuenta]],Estructura_Balance[Nombre Cuenta ()],Estructura_Balance[Grupo],"",0)</f>
        <v/>
      </c>
      <c r="N1827" t="str">
        <f>_xlfn.XLOOKUP(Table3[[#This Row],[Cuenta]],Estructura_Balance[Nombre Cuenta ()],Estructura_Balance[Nivel 1],"",0)</f>
        <v/>
      </c>
      <c r="O1827" t="str">
        <f>_xlfn.XLOOKUP(Table3[[#This Row],[Cuenta]],Estructura_Balance[Nombre Cuenta ()],Estructura_Balance[Nivel 2],"",0)</f>
        <v/>
      </c>
      <c r="P1827" t="str">
        <f>_xlfn.XLOOKUP(Table3[[#This Row],[Cuenta]],Estructura_Balance[Nombre Cuenta ()],Estructura_Balance[Nivel 3],"",0)</f>
        <v/>
      </c>
      <c r="Q1827" t="str">
        <f>_xlfn.XLOOKUP(Table3[[#This Row],[Cuenta]],Estructura_Balance[Nombre Cuenta ()],Estructura_Balance[Nivel 4],"",0)</f>
        <v/>
      </c>
      <c r="R1827" t="str">
        <f>_xlfn.XLOOKUP(Table3[[#This Row],[Cuenta]],Table8[Nombre Cuenta ()],Table8[Nivel 1],"",0)</f>
        <v/>
      </c>
      <c r="S1827" t="str">
        <f>_xlfn.XLOOKUP(Table3[[#This Row],[Cuenta]],Table8[Nombre Cuenta ()],Table8[Nivel 2],"",0)</f>
        <v/>
      </c>
      <c r="T1827" t="str">
        <f>_xlfn.XLOOKUP(Table3[[#This Row],[Cuenta]],Table8[Nombre Cuenta ()],Table8[Nivel 3],"",0)</f>
        <v/>
      </c>
      <c r="U1827">
        <v>592</v>
      </c>
      <c r="V1827" t="str">
        <f>_xlfn.XLOOKUP(Table3[[#This Row],[Cuenta]],Estructura_Balance[Nombre Cuenta ()],Estructura_Balance[Niveles:2],"",0)</f>
        <v/>
      </c>
      <c r="W1827" t="str">
        <f>_xlfn.XLOOKUP(Table3[[#This Row],[Cuenta]],Estructura_Balance[Nombre Cuenta ()],Estructura_Balance[Niveles:3],"",0)</f>
        <v/>
      </c>
      <c r="X1827" t="str">
        <f>_xlfn.XLOOKUP(Table3[[#This Row],[Cuenta]],Estructura_Balance[Nombre Cuenta ()],Estructura_Balance[Grupos],"Grupo 1",0)</f>
        <v>Grupo 1</v>
      </c>
      <c r="Y1827" t="str">
        <f>+Table3[[#This Row],[BS_Nivel_1]]</f>
        <v/>
      </c>
    </row>
    <row r="1828" spans="1:25" ht="15" customHeight="1">
      <c r="A1828">
        <f>+'Libro Diario'!F402</f>
        <v>46</v>
      </c>
      <c r="B1828" s="144">
        <f>VALUE(IF(+'Libro Diario'!G402="","01/01/2025",+'Libro Diario'!G402))</f>
        <v>46022</v>
      </c>
      <c r="C1828">
        <f>IF(ISNUMBER(+IF(IFERROR(VALUE(MID('Libro Diario'!C402,1,4)),0)&lt;&gt;0,'Libro Diario'!C402,0))=FALSE,'Libro Diario'!C402,0)</f>
        <v>0</v>
      </c>
      <c r="D1828" s="145">
        <f>+'Libro Diario'!B402</f>
        <v>0</v>
      </c>
      <c r="E1828" s="139" t="s">
        <v>445</v>
      </c>
      <c r="F1828" t="str">
        <f t="shared" si="84"/>
        <v>Sin Mov.</v>
      </c>
      <c r="G1828" t="str">
        <f>IF(+'Libro Diario'!H402=0,"",+'Libro Diario'!H402)</f>
        <v>Ajuste por Periodificación</v>
      </c>
      <c r="H1828" t="str">
        <f>IF(+'Libro Diario'!I402=0,"",+'Libro Diario'!I402)</f>
        <v/>
      </c>
      <c r="I1828" t="str">
        <f>+IF(Table3[[#This Row],[Tipo Movimiento]]="Estructura Balance y PyG","Excluir","Incluir")</f>
        <v>Incluir</v>
      </c>
      <c r="J1828" s="153">
        <f>+IF(Table3[[#This Row],[Sin cuenta]]="Con Mov.",(IF(Table3[[#This Row],[Movimiento]]="Debe",Table3[[#This Row],[Importe]],IF(Table3[[#This Row],[Movimiento]]="Haber",Table3[[#This Row],[Importe]]*-1,0))),0)</f>
        <v>0</v>
      </c>
      <c r="K1828" s="145">
        <f t="shared" si="85"/>
        <v>0</v>
      </c>
      <c r="L1828" s="145" t="str">
        <f t="shared" si="86"/>
        <v/>
      </c>
      <c r="M1828" t="str">
        <f>_xlfn.XLOOKUP(Table3[[#This Row],[Cuenta]],Estructura_Balance[Nombre Cuenta ()],Estructura_Balance[Grupo],"",0)</f>
        <v/>
      </c>
      <c r="N1828" t="str">
        <f>_xlfn.XLOOKUP(Table3[[#This Row],[Cuenta]],Estructura_Balance[Nombre Cuenta ()],Estructura_Balance[Nivel 1],"",0)</f>
        <v/>
      </c>
      <c r="O1828" t="str">
        <f>_xlfn.XLOOKUP(Table3[[#This Row],[Cuenta]],Estructura_Balance[Nombre Cuenta ()],Estructura_Balance[Nivel 2],"",0)</f>
        <v/>
      </c>
      <c r="P1828" t="str">
        <f>_xlfn.XLOOKUP(Table3[[#This Row],[Cuenta]],Estructura_Balance[Nombre Cuenta ()],Estructura_Balance[Nivel 3],"",0)</f>
        <v/>
      </c>
      <c r="Q1828" t="str">
        <f>_xlfn.XLOOKUP(Table3[[#This Row],[Cuenta]],Estructura_Balance[Nombre Cuenta ()],Estructura_Balance[Nivel 4],"",0)</f>
        <v/>
      </c>
      <c r="R1828" s="154" t="str">
        <f>_xlfn.XLOOKUP(Table3[[#This Row],[Cuenta]],Table8[Nombre Cuenta ()],Table8[Nivel 1],"",0)</f>
        <v/>
      </c>
      <c r="S1828" t="str">
        <f>_xlfn.XLOOKUP(Table3[[#This Row],[Cuenta]],Table8[Nombre Cuenta ()],Table8[Nivel 2],"",0)</f>
        <v/>
      </c>
      <c r="T1828" t="str">
        <f>_xlfn.XLOOKUP(Table3[[#This Row],[Cuenta]],Table8[Nombre Cuenta ()],Table8[Nivel 3],"",0)</f>
        <v/>
      </c>
      <c r="U1828">
        <v>593</v>
      </c>
      <c r="V1828" t="str">
        <f>_xlfn.XLOOKUP(Table3[[#This Row],[Cuenta]],Estructura_Balance[Nombre Cuenta ()],Estructura_Balance[Niveles:2],"",0)</f>
        <v/>
      </c>
      <c r="W1828" t="str">
        <f>_xlfn.XLOOKUP(Table3[[#This Row],[Cuenta]],Estructura_Balance[Nombre Cuenta ()],Estructura_Balance[Niveles:3],"",0)</f>
        <v/>
      </c>
      <c r="X1828" t="str">
        <f>_xlfn.XLOOKUP(Table3[[#This Row],[Cuenta]],Estructura_Balance[Nombre Cuenta ()],Estructura_Balance[Grupos],"Grupo 1",0)</f>
        <v>Grupo 1</v>
      </c>
      <c r="Y1828" t="str">
        <f>+Table3[[#This Row],[BS_Nivel_1]]</f>
        <v/>
      </c>
    </row>
    <row r="1829" spans="1:25" ht="15" customHeight="1">
      <c r="A1829">
        <f>+'Libro Diario'!F401</f>
        <v>46</v>
      </c>
      <c r="B1829" s="144">
        <f>VALUE(IF(+'Libro Diario'!G401="","01/01/2025",+'Libro Diario'!G401))</f>
        <v>46022</v>
      </c>
      <c r="C1829">
        <f>IF(ISNUMBER(+IF(IFERROR(VALUE(MID('Libro Diario'!D401,1,4)),0)&lt;&gt;0,'Libro Diario'!D401,0))=FALSE,'Libro Diario'!D401,0)</f>
        <v>0</v>
      </c>
      <c r="D1829" s="145">
        <f>+'Libro Diario'!E401</f>
        <v>0</v>
      </c>
      <c r="E1829" s="139" t="s">
        <v>446</v>
      </c>
      <c r="F1829" t="str">
        <f t="shared" si="84"/>
        <v>Sin Mov.</v>
      </c>
      <c r="G1829" t="str">
        <f>IF(+'Libro Diario'!H401=0,"",+'Libro Diario'!H401)</f>
        <v>Ajuste por Periodificación</v>
      </c>
      <c r="H1829" t="str">
        <f>IF(+'Libro Diario'!I401=0,"",+'Libro Diario'!I401)</f>
        <v/>
      </c>
      <c r="I1829" t="str">
        <f>+IF(Table3[[#This Row],[Tipo Movimiento]]="Estructura Balance y PyG","Excluir","Incluir")</f>
        <v>Incluir</v>
      </c>
      <c r="J1829" s="153">
        <f>+IF(Table3[[#This Row],[Sin cuenta]]="Con Mov.",(IF(Table3[[#This Row],[Movimiento]]="Debe",Table3[[#This Row],[Importe]],IF(Table3[[#This Row],[Movimiento]]="Haber",Table3[[#This Row],[Importe]]*-1,0))),0)</f>
        <v>0</v>
      </c>
      <c r="K1829" s="145" t="str">
        <f t="shared" si="85"/>
        <v/>
      </c>
      <c r="L1829" s="145">
        <f t="shared" si="86"/>
        <v>0</v>
      </c>
      <c r="M1829" t="str">
        <f>_xlfn.XLOOKUP(Table3[[#This Row],[Cuenta]],Estructura_Balance[Nombre Cuenta ()],Estructura_Balance[Grupo],"",0)</f>
        <v/>
      </c>
      <c r="N1829" t="str">
        <f>_xlfn.XLOOKUP(Table3[[#This Row],[Cuenta]],Estructura_Balance[Nombre Cuenta ()],Estructura_Balance[Nivel 1],"",0)</f>
        <v/>
      </c>
      <c r="O1829" t="str">
        <f>_xlfn.XLOOKUP(Table3[[#This Row],[Cuenta]],Estructura_Balance[Nombre Cuenta ()],Estructura_Balance[Nivel 2],"",0)</f>
        <v/>
      </c>
      <c r="P1829" t="str">
        <f>_xlfn.XLOOKUP(Table3[[#This Row],[Cuenta]],Estructura_Balance[Nombre Cuenta ()],Estructura_Balance[Nivel 3],"",0)</f>
        <v/>
      </c>
      <c r="Q1829" t="str">
        <f>_xlfn.XLOOKUP(Table3[[#This Row],[Cuenta]],Estructura_Balance[Nombre Cuenta ()],Estructura_Balance[Nivel 4],"",0)</f>
        <v/>
      </c>
      <c r="R1829" t="str">
        <f>_xlfn.XLOOKUP(Table3[[#This Row],[Cuenta]],Table8[Nombre Cuenta ()],Table8[Nivel 1],"",0)</f>
        <v/>
      </c>
      <c r="S1829" t="str">
        <f>_xlfn.XLOOKUP(Table3[[#This Row],[Cuenta]],Table8[Nombre Cuenta ()],Table8[Nivel 2],"",0)</f>
        <v/>
      </c>
      <c r="T1829" t="str">
        <f>_xlfn.XLOOKUP(Table3[[#This Row],[Cuenta]],Table8[Nombre Cuenta ()],Table8[Nivel 3],"",0)</f>
        <v/>
      </c>
      <c r="U1829">
        <v>1794</v>
      </c>
      <c r="V1829" t="str">
        <f>_xlfn.XLOOKUP(Table3[[#This Row],[Cuenta]],Estructura_Balance[Nombre Cuenta ()],Estructura_Balance[Niveles:2],"",0)</f>
        <v/>
      </c>
      <c r="W1829" t="str">
        <f>_xlfn.XLOOKUP(Table3[[#This Row],[Cuenta]],Estructura_Balance[Nombre Cuenta ()],Estructura_Balance[Niveles:3],"",0)</f>
        <v/>
      </c>
      <c r="X1829" t="str">
        <f>_xlfn.XLOOKUP(Table3[[#This Row],[Cuenta]],Estructura_Balance[Nombre Cuenta ()],Estructura_Balance[Grupos],"Grupo 1",0)</f>
        <v>Grupo 1</v>
      </c>
      <c r="Y1829" t="str">
        <f>+Table3[[#This Row],[BS_Nivel_1]]</f>
        <v/>
      </c>
    </row>
    <row r="1830" spans="1:25" ht="15" customHeight="1">
      <c r="A1830">
        <f>+'Libro Diario'!F402</f>
        <v>46</v>
      </c>
      <c r="B1830" s="144">
        <f>VALUE(IF(+'Libro Diario'!G402="","01/01/2025",+'Libro Diario'!G402))</f>
        <v>46022</v>
      </c>
      <c r="C1830">
        <f>IF(ISNUMBER(+IF(IFERROR(VALUE(MID('Libro Diario'!D402,1,4)),0)&lt;&gt;0,'Libro Diario'!D402,0))=FALSE,'Libro Diario'!D402,0)</f>
        <v>0</v>
      </c>
      <c r="D1830" s="145">
        <f>+'Libro Diario'!E402</f>
        <v>0</v>
      </c>
      <c r="E1830" s="139" t="s">
        <v>446</v>
      </c>
      <c r="F1830" t="str">
        <f t="shared" si="84"/>
        <v>Sin Mov.</v>
      </c>
      <c r="G1830" t="str">
        <f>IF(+'Libro Diario'!H402=0,"",+'Libro Diario'!H402)</f>
        <v>Ajuste por Periodificación</v>
      </c>
      <c r="H1830" t="str">
        <f>IF(+'Libro Diario'!I402=0,"",+'Libro Diario'!I402)</f>
        <v/>
      </c>
      <c r="I1830" t="str">
        <f>+IF(Table3[[#This Row],[Tipo Movimiento]]="Estructura Balance y PyG","Excluir","Incluir")</f>
        <v>Incluir</v>
      </c>
      <c r="J1830" s="153">
        <f>+IF(Table3[[#This Row],[Sin cuenta]]="Con Mov.",(IF(Table3[[#This Row],[Movimiento]]="Debe",Table3[[#This Row],[Importe]],IF(Table3[[#This Row],[Movimiento]]="Haber",Table3[[#This Row],[Importe]]*-1,0))),0)</f>
        <v>0</v>
      </c>
      <c r="K1830" s="145" t="str">
        <f t="shared" si="85"/>
        <v/>
      </c>
      <c r="L1830" s="145">
        <f t="shared" si="86"/>
        <v>0</v>
      </c>
      <c r="M1830" t="str">
        <f>_xlfn.XLOOKUP(Table3[[#This Row],[Cuenta]],Estructura_Balance[Nombre Cuenta ()],Estructura_Balance[Grupo],"",0)</f>
        <v/>
      </c>
      <c r="N1830" t="str">
        <f>_xlfn.XLOOKUP(Table3[[#This Row],[Cuenta]],Estructura_Balance[Nombre Cuenta ()],Estructura_Balance[Nivel 1],"",0)</f>
        <v/>
      </c>
      <c r="O1830" t="str">
        <f>_xlfn.XLOOKUP(Table3[[#This Row],[Cuenta]],Estructura_Balance[Nombre Cuenta ()],Estructura_Balance[Nivel 2],"",0)</f>
        <v/>
      </c>
      <c r="P1830" t="str">
        <f>_xlfn.XLOOKUP(Table3[[#This Row],[Cuenta]],Estructura_Balance[Nombre Cuenta ()],Estructura_Balance[Nivel 3],"",0)</f>
        <v/>
      </c>
      <c r="Q1830" t="str">
        <f>_xlfn.XLOOKUP(Table3[[#This Row],[Cuenta]],Estructura_Balance[Nombre Cuenta ()],Estructura_Balance[Nivel 4],"",0)</f>
        <v/>
      </c>
      <c r="R1830" t="str">
        <f>_xlfn.XLOOKUP(Table3[[#This Row],[Cuenta]],Table8[Nombre Cuenta ()],Table8[Nivel 1],"",0)</f>
        <v/>
      </c>
      <c r="S1830" t="str">
        <f>_xlfn.XLOOKUP(Table3[[#This Row],[Cuenta]],Table8[Nombre Cuenta ()],Table8[Nivel 2],"",0)</f>
        <v/>
      </c>
      <c r="T1830" t="str">
        <f>_xlfn.XLOOKUP(Table3[[#This Row],[Cuenta]],Table8[Nombre Cuenta ()],Table8[Nivel 3],"",0)</f>
        <v/>
      </c>
      <c r="U1830">
        <v>1795</v>
      </c>
      <c r="V1830" t="str">
        <f>_xlfn.XLOOKUP(Table3[[#This Row],[Cuenta]],Estructura_Balance[Nombre Cuenta ()],Estructura_Balance[Niveles:2],"",0)</f>
        <v/>
      </c>
      <c r="W1830" t="str">
        <f>_xlfn.XLOOKUP(Table3[[#This Row],[Cuenta]],Estructura_Balance[Nombre Cuenta ()],Estructura_Balance[Niveles:3],"",0)</f>
        <v/>
      </c>
      <c r="X1830" t="str">
        <f>_xlfn.XLOOKUP(Table3[[#This Row],[Cuenta]],Estructura_Balance[Nombre Cuenta ()],Estructura_Balance[Grupos],"Grupo 1",0)</f>
        <v>Grupo 1</v>
      </c>
      <c r="Y1830" t="str">
        <f>+Table3[[#This Row],[BS_Nivel_1]]</f>
        <v/>
      </c>
    </row>
    <row r="1831" spans="1:25" ht="15" customHeight="1">
      <c r="A1831">
        <f>+'Libro Diario'!F408</f>
        <v>47</v>
      </c>
      <c r="B1831" s="144">
        <f>VALUE(IF(+'Libro Diario'!G408="","01/01/2025",+'Libro Diario'!G408))</f>
        <v>46022</v>
      </c>
      <c r="C1831">
        <f>IF(ISNUMBER(+IF(IFERROR(VALUE(MID('Libro Diario'!C408,1,4)),0)&lt;&gt;0,'Libro Diario'!C408,0))=FALSE,'Libro Diario'!C408,0)</f>
        <v>0</v>
      </c>
      <c r="D1831" s="145">
        <f>+'Libro Diario'!B408</f>
        <v>0</v>
      </c>
      <c r="E1831" s="139" t="s">
        <v>445</v>
      </c>
      <c r="F1831" t="str">
        <f t="shared" si="84"/>
        <v>Sin Mov.</v>
      </c>
      <c r="G1831" t="str">
        <f>IF(+'Libro Diario'!H408=0,"",+'Libro Diario'!H408)</f>
        <v>Ajuste por Reclasificación</v>
      </c>
      <c r="H1831" t="str">
        <f>IF(+'Libro Diario'!I408=0,"",+'Libro Diario'!I408)</f>
        <v/>
      </c>
      <c r="I1831" t="str">
        <f>+IF(Table3[[#This Row],[Tipo Movimiento]]="Estructura Balance y PyG","Excluir","Incluir")</f>
        <v>Incluir</v>
      </c>
      <c r="J1831" s="153">
        <f>+IF(Table3[[#This Row],[Sin cuenta]]="Con Mov.",(IF(Table3[[#This Row],[Movimiento]]="Debe",Table3[[#This Row],[Importe]],IF(Table3[[#This Row],[Movimiento]]="Haber",Table3[[#This Row],[Importe]]*-1,0))),0)</f>
        <v>0</v>
      </c>
      <c r="K1831" s="145">
        <f t="shared" si="85"/>
        <v>0</v>
      </c>
      <c r="L1831" s="145" t="str">
        <f t="shared" si="86"/>
        <v/>
      </c>
      <c r="M1831" t="str">
        <f>_xlfn.XLOOKUP(Table3[[#This Row],[Cuenta]],Estructura_Balance[Nombre Cuenta ()],Estructura_Balance[Grupo],"",0)</f>
        <v/>
      </c>
      <c r="N1831" t="str">
        <f>_xlfn.XLOOKUP(Table3[[#This Row],[Cuenta]],Estructura_Balance[Nombre Cuenta ()],Estructura_Balance[Nivel 1],"",0)</f>
        <v/>
      </c>
      <c r="O1831" t="str">
        <f>_xlfn.XLOOKUP(Table3[[#This Row],[Cuenta]],Estructura_Balance[Nombre Cuenta ()],Estructura_Balance[Nivel 2],"",0)</f>
        <v/>
      </c>
      <c r="P1831" t="str">
        <f>_xlfn.XLOOKUP(Table3[[#This Row],[Cuenta]],Estructura_Balance[Nombre Cuenta ()],Estructura_Balance[Nivel 3],"",0)</f>
        <v/>
      </c>
      <c r="Q1831" t="str">
        <f>_xlfn.XLOOKUP(Table3[[#This Row],[Cuenta]],Estructura_Balance[Nombre Cuenta ()],Estructura_Balance[Nivel 4],"",0)</f>
        <v/>
      </c>
      <c r="R1831" s="154" t="str">
        <f>_xlfn.XLOOKUP(Table3[[#This Row],[Cuenta]],Table8[Nombre Cuenta ()],Table8[Nivel 1],"",0)</f>
        <v/>
      </c>
      <c r="S1831" t="str">
        <f>_xlfn.XLOOKUP(Table3[[#This Row],[Cuenta]],Table8[Nombre Cuenta ()],Table8[Nivel 2],"",0)</f>
        <v/>
      </c>
      <c r="T1831" t="str">
        <f>_xlfn.XLOOKUP(Table3[[#This Row],[Cuenta]],Table8[Nombre Cuenta ()],Table8[Nivel 3],"",0)</f>
        <v/>
      </c>
      <c r="U1831">
        <v>599</v>
      </c>
      <c r="V1831" t="str">
        <f>_xlfn.XLOOKUP(Table3[[#This Row],[Cuenta]],Estructura_Balance[Nombre Cuenta ()],Estructura_Balance[Niveles:2],"",0)</f>
        <v/>
      </c>
      <c r="W1831" t="str">
        <f>_xlfn.XLOOKUP(Table3[[#This Row],[Cuenta]],Estructura_Balance[Nombre Cuenta ()],Estructura_Balance[Niveles:3],"",0)</f>
        <v/>
      </c>
      <c r="X1831" t="str">
        <f>_xlfn.XLOOKUP(Table3[[#This Row],[Cuenta]],Estructura_Balance[Nombre Cuenta ()],Estructura_Balance[Grupos],"Grupo 1",0)</f>
        <v>Grupo 1</v>
      </c>
      <c r="Y1831" t="str">
        <f>+Table3[[#This Row],[BS_Nivel_1]]</f>
        <v/>
      </c>
    </row>
    <row r="1832" spans="1:25" ht="15" customHeight="1">
      <c r="A1832">
        <f>+'Libro Diario'!F409</f>
        <v>47</v>
      </c>
      <c r="B1832" s="144">
        <f>VALUE(IF(+'Libro Diario'!G409="","01/01/2025",+'Libro Diario'!G409))</f>
        <v>46022</v>
      </c>
      <c r="C1832">
        <f>IF(ISNUMBER(+IF(IFERROR(VALUE(MID('Libro Diario'!C409,1,4)),0)&lt;&gt;0,'Libro Diario'!C409,0))=FALSE,'Libro Diario'!C409,0)</f>
        <v>0</v>
      </c>
      <c r="D1832" s="145">
        <f>+'Libro Diario'!B409</f>
        <v>0</v>
      </c>
      <c r="E1832" s="139" t="s">
        <v>445</v>
      </c>
      <c r="F1832" t="str">
        <f t="shared" si="84"/>
        <v>Sin Mov.</v>
      </c>
      <c r="G1832" t="str">
        <f>IF(+'Libro Diario'!H409=0,"",+'Libro Diario'!H409)</f>
        <v>Ajuste por Reclasificación</v>
      </c>
      <c r="H1832" t="str">
        <f>IF(+'Libro Diario'!I409=0,"",+'Libro Diario'!I409)</f>
        <v/>
      </c>
      <c r="I1832" t="str">
        <f>+IF(Table3[[#This Row],[Tipo Movimiento]]="Estructura Balance y PyG","Excluir","Incluir")</f>
        <v>Incluir</v>
      </c>
      <c r="J1832" s="153">
        <f>+IF(Table3[[#This Row],[Sin cuenta]]="Con Mov.",(IF(Table3[[#This Row],[Movimiento]]="Debe",Table3[[#This Row],[Importe]],IF(Table3[[#This Row],[Movimiento]]="Haber",Table3[[#This Row],[Importe]]*-1,0))),0)</f>
        <v>0</v>
      </c>
      <c r="K1832" s="145">
        <f t="shared" si="85"/>
        <v>0</v>
      </c>
      <c r="L1832" s="145" t="str">
        <f t="shared" si="86"/>
        <v/>
      </c>
      <c r="M1832" t="str">
        <f>_xlfn.XLOOKUP(Table3[[#This Row],[Cuenta]],Estructura_Balance[Nombre Cuenta ()],Estructura_Balance[Grupo],"",0)</f>
        <v/>
      </c>
      <c r="N1832" t="str">
        <f>_xlfn.XLOOKUP(Table3[[#This Row],[Cuenta]],Estructura_Balance[Nombre Cuenta ()],Estructura_Balance[Nivel 1],"",0)</f>
        <v/>
      </c>
      <c r="O1832" t="str">
        <f>_xlfn.XLOOKUP(Table3[[#This Row],[Cuenta]],Estructura_Balance[Nombre Cuenta ()],Estructura_Balance[Nivel 2],"",0)</f>
        <v/>
      </c>
      <c r="P1832" t="str">
        <f>_xlfn.XLOOKUP(Table3[[#This Row],[Cuenta]],Estructura_Balance[Nombre Cuenta ()],Estructura_Balance[Nivel 3],"",0)</f>
        <v/>
      </c>
      <c r="Q1832" t="str">
        <f>_xlfn.XLOOKUP(Table3[[#This Row],[Cuenta]],Estructura_Balance[Nombre Cuenta ()],Estructura_Balance[Nivel 4],"",0)</f>
        <v/>
      </c>
      <c r="R1832" s="154" t="str">
        <f>_xlfn.XLOOKUP(Table3[[#This Row],[Cuenta]],Table8[Nombre Cuenta ()],Table8[Nivel 1],"",0)</f>
        <v/>
      </c>
      <c r="S1832" t="str">
        <f>_xlfn.XLOOKUP(Table3[[#This Row],[Cuenta]],Table8[Nombre Cuenta ()],Table8[Nivel 2],"",0)</f>
        <v/>
      </c>
      <c r="T1832" t="str">
        <f>_xlfn.XLOOKUP(Table3[[#This Row],[Cuenta]],Table8[Nombre Cuenta ()],Table8[Nivel 3],"",0)</f>
        <v/>
      </c>
      <c r="U1832">
        <v>600</v>
      </c>
      <c r="V1832" t="str">
        <f>_xlfn.XLOOKUP(Table3[[#This Row],[Cuenta]],Estructura_Balance[Nombre Cuenta ()],Estructura_Balance[Niveles:2],"",0)</f>
        <v/>
      </c>
      <c r="W1832" t="str">
        <f>_xlfn.XLOOKUP(Table3[[#This Row],[Cuenta]],Estructura_Balance[Nombre Cuenta ()],Estructura_Balance[Niveles:3],"",0)</f>
        <v/>
      </c>
      <c r="X1832" t="str">
        <f>_xlfn.XLOOKUP(Table3[[#This Row],[Cuenta]],Estructura_Balance[Nombre Cuenta ()],Estructura_Balance[Grupos],"Grupo 1",0)</f>
        <v>Grupo 1</v>
      </c>
      <c r="Y1832" t="str">
        <f>+Table3[[#This Row],[BS_Nivel_1]]</f>
        <v/>
      </c>
    </row>
    <row r="1833" spans="1:25" ht="15" customHeight="1">
      <c r="A1833">
        <f>+'Libro Diario'!F408</f>
        <v>47</v>
      </c>
      <c r="B1833" s="144">
        <f>VALUE(IF(+'Libro Diario'!G408="","01/01/2025",+'Libro Diario'!G408))</f>
        <v>46022</v>
      </c>
      <c r="C1833">
        <f>IF(ISNUMBER(+IF(IFERROR(VALUE(MID('Libro Diario'!D408,1,4)),0)&lt;&gt;0,'Libro Diario'!D408,0))=FALSE,'Libro Diario'!D408,0)</f>
        <v>0</v>
      </c>
      <c r="D1833" s="145">
        <f>+'Libro Diario'!E408</f>
        <v>0</v>
      </c>
      <c r="E1833" s="139" t="s">
        <v>446</v>
      </c>
      <c r="F1833" t="str">
        <f t="shared" si="84"/>
        <v>Sin Mov.</v>
      </c>
      <c r="G1833" t="str">
        <f>IF(+'Libro Diario'!H408=0,"",+'Libro Diario'!H408)</f>
        <v>Ajuste por Reclasificación</v>
      </c>
      <c r="H1833" t="str">
        <f>IF(+'Libro Diario'!I408=0,"",+'Libro Diario'!I408)</f>
        <v/>
      </c>
      <c r="I1833" t="str">
        <f>+IF(Table3[[#This Row],[Tipo Movimiento]]="Estructura Balance y PyG","Excluir","Incluir")</f>
        <v>Incluir</v>
      </c>
      <c r="J1833" s="153">
        <f>+IF(Table3[[#This Row],[Sin cuenta]]="Con Mov.",(IF(Table3[[#This Row],[Movimiento]]="Debe",Table3[[#This Row],[Importe]],IF(Table3[[#This Row],[Movimiento]]="Haber",Table3[[#This Row],[Importe]]*-1,0))),0)</f>
        <v>0</v>
      </c>
      <c r="K1833" s="145" t="str">
        <f t="shared" si="85"/>
        <v/>
      </c>
      <c r="L1833" s="145">
        <f t="shared" si="86"/>
        <v>0</v>
      </c>
      <c r="M1833" t="str">
        <f>_xlfn.XLOOKUP(Table3[[#This Row],[Cuenta]],Estructura_Balance[Nombre Cuenta ()],Estructura_Balance[Grupo],"",0)</f>
        <v/>
      </c>
      <c r="N1833" t="str">
        <f>_xlfn.XLOOKUP(Table3[[#This Row],[Cuenta]],Estructura_Balance[Nombre Cuenta ()],Estructura_Balance[Nivel 1],"",0)</f>
        <v/>
      </c>
      <c r="O1833" t="str">
        <f>_xlfn.XLOOKUP(Table3[[#This Row],[Cuenta]],Estructura_Balance[Nombre Cuenta ()],Estructura_Balance[Nivel 2],"",0)</f>
        <v/>
      </c>
      <c r="P1833" t="str">
        <f>_xlfn.XLOOKUP(Table3[[#This Row],[Cuenta]],Estructura_Balance[Nombre Cuenta ()],Estructura_Balance[Nivel 3],"",0)</f>
        <v/>
      </c>
      <c r="Q1833" t="str">
        <f>_xlfn.XLOOKUP(Table3[[#This Row],[Cuenta]],Estructura_Balance[Nombre Cuenta ()],Estructura_Balance[Nivel 4],"",0)</f>
        <v/>
      </c>
      <c r="R1833" t="str">
        <f>_xlfn.XLOOKUP(Table3[[#This Row],[Cuenta]],Table8[Nombre Cuenta ()],Table8[Nivel 1],"",0)</f>
        <v/>
      </c>
      <c r="S1833" t="str">
        <f>_xlfn.XLOOKUP(Table3[[#This Row],[Cuenta]],Table8[Nombre Cuenta ()],Table8[Nivel 2],"",0)</f>
        <v/>
      </c>
      <c r="T1833" t="str">
        <f>_xlfn.XLOOKUP(Table3[[#This Row],[Cuenta]],Table8[Nombre Cuenta ()],Table8[Nivel 3],"",0)</f>
        <v/>
      </c>
      <c r="U1833">
        <v>1801</v>
      </c>
      <c r="V1833" t="str">
        <f>_xlfn.XLOOKUP(Table3[[#This Row],[Cuenta]],Estructura_Balance[Nombre Cuenta ()],Estructura_Balance[Niveles:2],"",0)</f>
        <v/>
      </c>
      <c r="W1833" t="str">
        <f>_xlfn.XLOOKUP(Table3[[#This Row],[Cuenta]],Estructura_Balance[Nombre Cuenta ()],Estructura_Balance[Niveles:3],"",0)</f>
        <v/>
      </c>
      <c r="X1833" t="str">
        <f>_xlfn.XLOOKUP(Table3[[#This Row],[Cuenta]],Estructura_Balance[Nombre Cuenta ()],Estructura_Balance[Grupos],"Grupo 1",0)</f>
        <v>Grupo 1</v>
      </c>
      <c r="Y1833" t="str">
        <f>+Table3[[#This Row],[BS_Nivel_1]]</f>
        <v/>
      </c>
    </row>
    <row r="1834" spans="1:25" ht="15" customHeight="1">
      <c r="A1834">
        <f>+'Libro Diario'!F409</f>
        <v>47</v>
      </c>
      <c r="B1834" s="144">
        <f>VALUE(IF(+'Libro Diario'!G409="","01/01/2025",+'Libro Diario'!G409))</f>
        <v>46022</v>
      </c>
      <c r="C1834">
        <f>IF(ISNUMBER(+IF(IFERROR(VALUE(MID('Libro Diario'!D409,1,4)),0)&lt;&gt;0,'Libro Diario'!D409,0))=FALSE,'Libro Diario'!D409,0)</f>
        <v>0</v>
      </c>
      <c r="D1834" s="145">
        <f>+'Libro Diario'!E409</f>
        <v>0</v>
      </c>
      <c r="E1834" s="139" t="s">
        <v>446</v>
      </c>
      <c r="F1834" t="str">
        <f t="shared" si="84"/>
        <v>Sin Mov.</v>
      </c>
      <c r="G1834" t="str">
        <f>IF(+'Libro Diario'!H409=0,"",+'Libro Diario'!H409)</f>
        <v>Ajuste por Reclasificación</v>
      </c>
      <c r="H1834" t="str">
        <f>IF(+'Libro Diario'!I409=0,"",+'Libro Diario'!I409)</f>
        <v/>
      </c>
      <c r="I1834" t="str">
        <f>+IF(Table3[[#This Row],[Tipo Movimiento]]="Estructura Balance y PyG","Excluir","Incluir")</f>
        <v>Incluir</v>
      </c>
      <c r="J1834" s="153">
        <f>+IF(Table3[[#This Row],[Sin cuenta]]="Con Mov.",(IF(Table3[[#This Row],[Movimiento]]="Debe",Table3[[#This Row],[Importe]],IF(Table3[[#This Row],[Movimiento]]="Haber",Table3[[#This Row],[Importe]]*-1,0))),0)</f>
        <v>0</v>
      </c>
      <c r="K1834" s="145" t="str">
        <f t="shared" si="85"/>
        <v/>
      </c>
      <c r="L1834" s="145">
        <f t="shared" si="86"/>
        <v>0</v>
      </c>
      <c r="M1834" t="str">
        <f>_xlfn.XLOOKUP(Table3[[#This Row],[Cuenta]],Estructura_Balance[Nombre Cuenta ()],Estructura_Balance[Grupo],"",0)</f>
        <v/>
      </c>
      <c r="N1834" t="str">
        <f>_xlfn.XLOOKUP(Table3[[#This Row],[Cuenta]],Estructura_Balance[Nombre Cuenta ()],Estructura_Balance[Nivel 1],"",0)</f>
        <v/>
      </c>
      <c r="O1834" t="str">
        <f>_xlfn.XLOOKUP(Table3[[#This Row],[Cuenta]],Estructura_Balance[Nombre Cuenta ()],Estructura_Balance[Nivel 2],"",0)</f>
        <v/>
      </c>
      <c r="P1834" t="str">
        <f>_xlfn.XLOOKUP(Table3[[#This Row],[Cuenta]],Estructura_Balance[Nombre Cuenta ()],Estructura_Balance[Nivel 3],"",0)</f>
        <v/>
      </c>
      <c r="Q1834" t="str">
        <f>_xlfn.XLOOKUP(Table3[[#This Row],[Cuenta]],Estructura_Balance[Nombre Cuenta ()],Estructura_Balance[Nivel 4],"",0)</f>
        <v/>
      </c>
      <c r="R1834" t="str">
        <f>_xlfn.XLOOKUP(Table3[[#This Row],[Cuenta]],Table8[Nombre Cuenta ()],Table8[Nivel 1],"",0)</f>
        <v/>
      </c>
      <c r="S1834" t="str">
        <f>_xlfn.XLOOKUP(Table3[[#This Row],[Cuenta]],Table8[Nombre Cuenta ()],Table8[Nivel 2],"",0)</f>
        <v/>
      </c>
      <c r="T1834" t="str">
        <f>_xlfn.XLOOKUP(Table3[[#This Row],[Cuenta]],Table8[Nombre Cuenta ()],Table8[Nivel 3],"",0)</f>
        <v/>
      </c>
      <c r="U1834">
        <v>1802</v>
      </c>
      <c r="V1834" t="str">
        <f>_xlfn.XLOOKUP(Table3[[#This Row],[Cuenta]],Estructura_Balance[Nombre Cuenta ()],Estructura_Balance[Niveles:2],"",0)</f>
        <v/>
      </c>
      <c r="W1834" t="str">
        <f>_xlfn.XLOOKUP(Table3[[#This Row],[Cuenta]],Estructura_Balance[Nombre Cuenta ()],Estructura_Balance[Niveles:3],"",0)</f>
        <v/>
      </c>
      <c r="X1834" t="str">
        <f>_xlfn.XLOOKUP(Table3[[#This Row],[Cuenta]],Estructura_Balance[Nombre Cuenta ()],Estructura_Balance[Grupos],"Grupo 1",0)</f>
        <v>Grupo 1</v>
      </c>
      <c r="Y1834" t="str">
        <f>+Table3[[#This Row],[BS_Nivel_1]]</f>
        <v/>
      </c>
    </row>
    <row r="1835" spans="1:25" ht="15" customHeight="1">
      <c r="A1835">
        <f>+'Libro Diario'!F415</f>
        <v>48</v>
      </c>
      <c r="B1835" s="144">
        <f>VALUE(IF(+'Libro Diario'!G415="","01/01/2025",+'Libro Diario'!G415))</f>
        <v>46022</v>
      </c>
      <c r="C1835">
        <f>IF(ISNUMBER(+IF(IFERROR(VALUE(MID('Libro Diario'!C415,1,4)),0)&lt;&gt;0,'Libro Diario'!C415,0))=FALSE,'Libro Diario'!C415,0)</f>
        <v>0</v>
      </c>
      <c r="D1835" s="145">
        <f>+'Libro Diario'!B415</f>
        <v>0</v>
      </c>
      <c r="E1835" s="139" t="s">
        <v>445</v>
      </c>
      <c r="F1835" t="str">
        <f t="shared" si="84"/>
        <v>Sin Mov.</v>
      </c>
      <c r="G1835" t="str">
        <f>IF(+'Libro Diario'!H415=0,"",+'Libro Diario'!H415)</f>
        <v>Ajuste por Reclasificación</v>
      </c>
      <c r="H1835" t="str">
        <f>IF(+'Libro Diario'!I415=0,"",+'Libro Diario'!I415)</f>
        <v/>
      </c>
      <c r="I1835" t="str">
        <f>+IF(Table3[[#This Row],[Tipo Movimiento]]="Estructura Balance y PyG","Excluir","Incluir")</f>
        <v>Incluir</v>
      </c>
      <c r="J1835" s="153">
        <f>+IF(Table3[[#This Row],[Sin cuenta]]="Con Mov.",(IF(Table3[[#This Row],[Movimiento]]="Debe",Table3[[#This Row],[Importe]],IF(Table3[[#This Row],[Movimiento]]="Haber",Table3[[#This Row],[Importe]]*-1,0))),0)</f>
        <v>0</v>
      </c>
      <c r="K1835" s="145">
        <f t="shared" si="85"/>
        <v>0</v>
      </c>
      <c r="L1835" s="145" t="str">
        <f t="shared" si="86"/>
        <v/>
      </c>
      <c r="M1835" t="str">
        <f>_xlfn.XLOOKUP(Table3[[#This Row],[Cuenta]],Estructura_Balance[Nombre Cuenta ()],Estructura_Balance[Grupo],"",0)</f>
        <v/>
      </c>
      <c r="N1835" t="str">
        <f>_xlfn.XLOOKUP(Table3[[#This Row],[Cuenta]],Estructura_Balance[Nombre Cuenta ()],Estructura_Balance[Nivel 1],"",0)</f>
        <v/>
      </c>
      <c r="O1835" t="str">
        <f>_xlfn.XLOOKUP(Table3[[#This Row],[Cuenta]],Estructura_Balance[Nombre Cuenta ()],Estructura_Balance[Nivel 2],"",0)</f>
        <v/>
      </c>
      <c r="P1835" t="str">
        <f>_xlfn.XLOOKUP(Table3[[#This Row],[Cuenta]],Estructura_Balance[Nombre Cuenta ()],Estructura_Balance[Nivel 3],"",0)</f>
        <v/>
      </c>
      <c r="Q1835" t="str">
        <f>_xlfn.XLOOKUP(Table3[[#This Row],[Cuenta]],Estructura_Balance[Nombre Cuenta ()],Estructura_Balance[Nivel 4],"",0)</f>
        <v/>
      </c>
      <c r="R1835" s="154" t="str">
        <f>_xlfn.XLOOKUP(Table3[[#This Row],[Cuenta]],Table8[Nombre Cuenta ()],Table8[Nivel 1],"",0)</f>
        <v/>
      </c>
      <c r="S1835" t="str">
        <f>_xlfn.XLOOKUP(Table3[[#This Row],[Cuenta]],Table8[Nombre Cuenta ()],Table8[Nivel 2],"",0)</f>
        <v/>
      </c>
      <c r="T1835" t="str">
        <f>_xlfn.XLOOKUP(Table3[[#This Row],[Cuenta]],Table8[Nombre Cuenta ()],Table8[Nivel 3],"",0)</f>
        <v/>
      </c>
      <c r="U1835">
        <v>606</v>
      </c>
      <c r="V1835" t="str">
        <f>_xlfn.XLOOKUP(Table3[[#This Row],[Cuenta]],Estructura_Balance[Nombre Cuenta ()],Estructura_Balance[Niveles:2],"",0)</f>
        <v/>
      </c>
      <c r="W1835" t="str">
        <f>_xlfn.XLOOKUP(Table3[[#This Row],[Cuenta]],Estructura_Balance[Nombre Cuenta ()],Estructura_Balance[Niveles:3],"",0)</f>
        <v/>
      </c>
      <c r="X1835" t="str">
        <f>_xlfn.XLOOKUP(Table3[[#This Row],[Cuenta]],Estructura_Balance[Nombre Cuenta ()],Estructura_Balance[Grupos],"Grupo 1",0)</f>
        <v>Grupo 1</v>
      </c>
      <c r="Y1835" t="str">
        <f>+Table3[[#This Row],[BS_Nivel_1]]</f>
        <v/>
      </c>
    </row>
    <row r="1836" spans="1:25" ht="15" customHeight="1">
      <c r="A1836">
        <f>+'Libro Diario'!F416</f>
        <v>48</v>
      </c>
      <c r="B1836" s="144">
        <f>VALUE(IF(+'Libro Diario'!G416="","01/01/2025",+'Libro Diario'!G416))</f>
        <v>46022</v>
      </c>
      <c r="C1836">
        <f>IF(ISNUMBER(+IF(IFERROR(VALUE(MID('Libro Diario'!C416,1,4)),0)&lt;&gt;0,'Libro Diario'!C416,0))=FALSE,'Libro Diario'!C416,0)</f>
        <v>0</v>
      </c>
      <c r="D1836" s="145">
        <f>+'Libro Diario'!B416</f>
        <v>0</v>
      </c>
      <c r="E1836" s="139" t="s">
        <v>445</v>
      </c>
      <c r="F1836" t="str">
        <f t="shared" si="84"/>
        <v>Sin Mov.</v>
      </c>
      <c r="G1836" t="str">
        <f>IF(+'Libro Diario'!H416=0,"",+'Libro Diario'!H416)</f>
        <v>Ajuste por Reclasificación</v>
      </c>
      <c r="H1836" t="str">
        <f>IF(+'Libro Diario'!I416=0,"",+'Libro Diario'!I416)</f>
        <v/>
      </c>
      <c r="I1836" t="str">
        <f>+IF(Table3[[#This Row],[Tipo Movimiento]]="Estructura Balance y PyG","Excluir","Incluir")</f>
        <v>Incluir</v>
      </c>
      <c r="J1836" s="153">
        <f>+IF(Table3[[#This Row],[Sin cuenta]]="Con Mov.",(IF(Table3[[#This Row],[Movimiento]]="Debe",Table3[[#This Row],[Importe]],IF(Table3[[#This Row],[Movimiento]]="Haber",Table3[[#This Row],[Importe]]*-1,0))),0)</f>
        <v>0</v>
      </c>
      <c r="K1836" s="145">
        <f t="shared" si="85"/>
        <v>0</v>
      </c>
      <c r="L1836" s="145" t="str">
        <f t="shared" si="86"/>
        <v/>
      </c>
      <c r="M1836" t="str">
        <f>_xlfn.XLOOKUP(Table3[[#This Row],[Cuenta]],Estructura_Balance[Nombre Cuenta ()],Estructura_Balance[Grupo],"",0)</f>
        <v/>
      </c>
      <c r="N1836" t="str">
        <f>_xlfn.XLOOKUP(Table3[[#This Row],[Cuenta]],Estructura_Balance[Nombre Cuenta ()],Estructura_Balance[Nivel 1],"",0)</f>
        <v/>
      </c>
      <c r="O1836" t="str">
        <f>_xlfn.XLOOKUP(Table3[[#This Row],[Cuenta]],Estructura_Balance[Nombre Cuenta ()],Estructura_Balance[Nivel 2],"",0)</f>
        <v/>
      </c>
      <c r="P1836" t="str">
        <f>_xlfn.XLOOKUP(Table3[[#This Row],[Cuenta]],Estructura_Balance[Nombre Cuenta ()],Estructura_Balance[Nivel 3],"",0)</f>
        <v/>
      </c>
      <c r="Q1836" t="str">
        <f>_xlfn.XLOOKUP(Table3[[#This Row],[Cuenta]],Estructura_Balance[Nombre Cuenta ()],Estructura_Balance[Nivel 4],"",0)</f>
        <v/>
      </c>
      <c r="R1836" s="154" t="str">
        <f>_xlfn.XLOOKUP(Table3[[#This Row],[Cuenta]],Table8[Nombre Cuenta ()],Table8[Nivel 1],"",0)</f>
        <v/>
      </c>
      <c r="S1836" t="str">
        <f>_xlfn.XLOOKUP(Table3[[#This Row],[Cuenta]],Table8[Nombre Cuenta ()],Table8[Nivel 2],"",0)</f>
        <v/>
      </c>
      <c r="T1836" t="str">
        <f>_xlfn.XLOOKUP(Table3[[#This Row],[Cuenta]],Table8[Nombre Cuenta ()],Table8[Nivel 3],"",0)</f>
        <v/>
      </c>
      <c r="U1836">
        <v>607</v>
      </c>
      <c r="V1836" t="str">
        <f>_xlfn.XLOOKUP(Table3[[#This Row],[Cuenta]],Estructura_Balance[Nombre Cuenta ()],Estructura_Balance[Niveles:2],"",0)</f>
        <v/>
      </c>
      <c r="W1836" t="str">
        <f>_xlfn.XLOOKUP(Table3[[#This Row],[Cuenta]],Estructura_Balance[Nombre Cuenta ()],Estructura_Balance[Niveles:3],"",0)</f>
        <v/>
      </c>
      <c r="X1836" t="str">
        <f>_xlfn.XLOOKUP(Table3[[#This Row],[Cuenta]],Estructura_Balance[Nombre Cuenta ()],Estructura_Balance[Grupos],"Grupo 1",0)</f>
        <v>Grupo 1</v>
      </c>
      <c r="Y1836" t="str">
        <f>+Table3[[#This Row],[BS_Nivel_1]]</f>
        <v/>
      </c>
    </row>
    <row r="1837" spans="1:25" ht="15" customHeight="1">
      <c r="A1837">
        <f>+'Libro Diario'!F415</f>
        <v>48</v>
      </c>
      <c r="B1837" s="144">
        <f>VALUE(IF(+'Libro Diario'!G415="","01/01/2025",+'Libro Diario'!G415))</f>
        <v>46022</v>
      </c>
      <c r="C1837">
        <f>IF(ISNUMBER(+IF(IFERROR(VALUE(MID('Libro Diario'!D415,1,4)),0)&lt;&gt;0,'Libro Diario'!D415,0))=FALSE,'Libro Diario'!D415,0)</f>
        <v>0</v>
      </c>
      <c r="D1837" s="145">
        <f>+'Libro Diario'!E415</f>
        <v>0</v>
      </c>
      <c r="E1837" s="139" t="s">
        <v>446</v>
      </c>
      <c r="F1837" t="str">
        <f t="shared" si="84"/>
        <v>Sin Mov.</v>
      </c>
      <c r="G1837" t="str">
        <f>IF(+'Libro Diario'!H415=0,"",+'Libro Diario'!H415)</f>
        <v>Ajuste por Reclasificación</v>
      </c>
      <c r="H1837" t="str">
        <f>IF(+'Libro Diario'!I415=0,"",+'Libro Diario'!I415)</f>
        <v/>
      </c>
      <c r="I1837" t="str">
        <f>+IF(Table3[[#This Row],[Tipo Movimiento]]="Estructura Balance y PyG","Excluir","Incluir")</f>
        <v>Incluir</v>
      </c>
      <c r="J1837" s="153">
        <f>+IF(Table3[[#This Row],[Sin cuenta]]="Con Mov.",(IF(Table3[[#This Row],[Movimiento]]="Debe",Table3[[#This Row],[Importe]],IF(Table3[[#This Row],[Movimiento]]="Haber",Table3[[#This Row],[Importe]]*-1,0))),0)</f>
        <v>0</v>
      </c>
      <c r="K1837" s="145" t="str">
        <f t="shared" si="85"/>
        <v/>
      </c>
      <c r="L1837" s="145">
        <f t="shared" si="86"/>
        <v>0</v>
      </c>
      <c r="M1837" t="str">
        <f>_xlfn.XLOOKUP(Table3[[#This Row],[Cuenta]],Estructura_Balance[Nombre Cuenta ()],Estructura_Balance[Grupo],"",0)</f>
        <v/>
      </c>
      <c r="N1837" t="str">
        <f>_xlfn.XLOOKUP(Table3[[#This Row],[Cuenta]],Estructura_Balance[Nombre Cuenta ()],Estructura_Balance[Nivel 1],"",0)</f>
        <v/>
      </c>
      <c r="O1837" t="str">
        <f>_xlfn.XLOOKUP(Table3[[#This Row],[Cuenta]],Estructura_Balance[Nombre Cuenta ()],Estructura_Balance[Nivel 2],"",0)</f>
        <v/>
      </c>
      <c r="P1837" t="str">
        <f>_xlfn.XLOOKUP(Table3[[#This Row],[Cuenta]],Estructura_Balance[Nombre Cuenta ()],Estructura_Balance[Nivel 3],"",0)</f>
        <v/>
      </c>
      <c r="Q1837" t="str">
        <f>_xlfn.XLOOKUP(Table3[[#This Row],[Cuenta]],Estructura_Balance[Nombre Cuenta ()],Estructura_Balance[Nivel 4],"",0)</f>
        <v/>
      </c>
      <c r="R1837" t="str">
        <f>_xlfn.XLOOKUP(Table3[[#This Row],[Cuenta]],Table8[Nombre Cuenta ()],Table8[Nivel 1],"",0)</f>
        <v/>
      </c>
      <c r="S1837" t="str">
        <f>_xlfn.XLOOKUP(Table3[[#This Row],[Cuenta]],Table8[Nombre Cuenta ()],Table8[Nivel 2],"",0)</f>
        <v/>
      </c>
      <c r="T1837" t="str">
        <f>_xlfn.XLOOKUP(Table3[[#This Row],[Cuenta]],Table8[Nombre Cuenta ()],Table8[Nivel 3],"",0)</f>
        <v/>
      </c>
      <c r="U1837">
        <v>1808</v>
      </c>
      <c r="V1837" t="str">
        <f>_xlfn.XLOOKUP(Table3[[#This Row],[Cuenta]],Estructura_Balance[Nombre Cuenta ()],Estructura_Balance[Niveles:2],"",0)</f>
        <v/>
      </c>
      <c r="W1837" t="str">
        <f>_xlfn.XLOOKUP(Table3[[#This Row],[Cuenta]],Estructura_Balance[Nombre Cuenta ()],Estructura_Balance[Niveles:3],"",0)</f>
        <v/>
      </c>
      <c r="X1837" t="str">
        <f>_xlfn.XLOOKUP(Table3[[#This Row],[Cuenta]],Estructura_Balance[Nombre Cuenta ()],Estructura_Balance[Grupos],"Grupo 1",0)</f>
        <v>Grupo 1</v>
      </c>
      <c r="Y1837" t="str">
        <f>+Table3[[#This Row],[BS_Nivel_1]]</f>
        <v/>
      </c>
    </row>
    <row r="1838" spans="1:25" ht="15" customHeight="1">
      <c r="A1838">
        <f>+'Libro Diario'!F416</f>
        <v>48</v>
      </c>
      <c r="B1838" s="144">
        <f>VALUE(IF(+'Libro Diario'!G416="","01/01/2025",+'Libro Diario'!G416))</f>
        <v>46022</v>
      </c>
      <c r="C1838">
        <f>IF(ISNUMBER(+IF(IFERROR(VALUE(MID('Libro Diario'!D416,1,4)),0)&lt;&gt;0,'Libro Diario'!D416,0))=FALSE,'Libro Diario'!D416,0)</f>
        <v>0</v>
      </c>
      <c r="D1838" s="145">
        <f>+'Libro Diario'!E416</f>
        <v>0</v>
      </c>
      <c r="E1838" s="139" t="s">
        <v>446</v>
      </c>
      <c r="F1838" t="str">
        <f t="shared" si="84"/>
        <v>Sin Mov.</v>
      </c>
      <c r="G1838" t="str">
        <f>IF(+'Libro Diario'!H416=0,"",+'Libro Diario'!H416)</f>
        <v>Ajuste por Reclasificación</v>
      </c>
      <c r="H1838" t="str">
        <f>IF(+'Libro Diario'!I416=0,"",+'Libro Diario'!I416)</f>
        <v/>
      </c>
      <c r="I1838" t="str">
        <f>+IF(Table3[[#This Row],[Tipo Movimiento]]="Estructura Balance y PyG","Excluir","Incluir")</f>
        <v>Incluir</v>
      </c>
      <c r="J1838" s="153">
        <f>+IF(Table3[[#This Row],[Sin cuenta]]="Con Mov.",(IF(Table3[[#This Row],[Movimiento]]="Debe",Table3[[#This Row],[Importe]],IF(Table3[[#This Row],[Movimiento]]="Haber",Table3[[#This Row],[Importe]]*-1,0))),0)</f>
        <v>0</v>
      </c>
      <c r="K1838" s="145" t="str">
        <f t="shared" si="85"/>
        <v/>
      </c>
      <c r="L1838" s="145">
        <f t="shared" si="86"/>
        <v>0</v>
      </c>
      <c r="M1838" t="str">
        <f>_xlfn.XLOOKUP(Table3[[#This Row],[Cuenta]],Estructura_Balance[Nombre Cuenta ()],Estructura_Balance[Grupo],"",0)</f>
        <v/>
      </c>
      <c r="N1838" t="str">
        <f>_xlfn.XLOOKUP(Table3[[#This Row],[Cuenta]],Estructura_Balance[Nombre Cuenta ()],Estructura_Balance[Nivel 1],"",0)</f>
        <v/>
      </c>
      <c r="O1838" t="str">
        <f>_xlfn.XLOOKUP(Table3[[#This Row],[Cuenta]],Estructura_Balance[Nombre Cuenta ()],Estructura_Balance[Nivel 2],"",0)</f>
        <v/>
      </c>
      <c r="P1838" t="str">
        <f>_xlfn.XLOOKUP(Table3[[#This Row],[Cuenta]],Estructura_Balance[Nombre Cuenta ()],Estructura_Balance[Nivel 3],"",0)</f>
        <v/>
      </c>
      <c r="Q1838" t="str">
        <f>_xlfn.XLOOKUP(Table3[[#This Row],[Cuenta]],Estructura_Balance[Nombre Cuenta ()],Estructura_Balance[Nivel 4],"",0)</f>
        <v/>
      </c>
      <c r="R1838" t="str">
        <f>_xlfn.XLOOKUP(Table3[[#This Row],[Cuenta]],Table8[Nombre Cuenta ()],Table8[Nivel 1],"",0)</f>
        <v/>
      </c>
      <c r="S1838" t="str">
        <f>_xlfn.XLOOKUP(Table3[[#This Row],[Cuenta]],Table8[Nombre Cuenta ()],Table8[Nivel 2],"",0)</f>
        <v/>
      </c>
      <c r="T1838" t="str">
        <f>_xlfn.XLOOKUP(Table3[[#This Row],[Cuenta]],Table8[Nombre Cuenta ()],Table8[Nivel 3],"",0)</f>
        <v/>
      </c>
      <c r="U1838">
        <v>1809</v>
      </c>
      <c r="V1838" t="str">
        <f>_xlfn.XLOOKUP(Table3[[#This Row],[Cuenta]],Estructura_Balance[Nombre Cuenta ()],Estructura_Balance[Niveles:2],"",0)</f>
        <v/>
      </c>
      <c r="W1838" t="str">
        <f>_xlfn.XLOOKUP(Table3[[#This Row],[Cuenta]],Estructura_Balance[Nombre Cuenta ()],Estructura_Balance[Niveles:3],"",0)</f>
        <v/>
      </c>
      <c r="X1838" t="str">
        <f>_xlfn.XLOOKUP(Table3[[#This Row],[Cuenta]],Estructura_Balance[Nombre Cuenta ()],Estructura_Balance[Grupos],"Grupo 1",0)</f>
        <v>Grupo 1</v>
      </c>
      <c r="Y1838" t="str">
        <f>+Table3[[#This Row],[BS_Nivel_1]]</f>
        <v/>
      </c>
    </row>
    <row r="1839" spans="1:25" ht="15" customHeight="1">
      <c r="A1839">
        <f>+'Libro Diario'!F422</f>
        <v>49</v>
      </c>
      <c r="B1839" s="144">
        <f>VALUE(IF(+'Libro Diario'!G422="","01/01/2025",+'Libro Diario'!G422))</f>
        <v>46022</v>
      </c>
      <c r="C1839">
        <f>IF(ISNUMBER(+IF(IFERROR(VALUE(MID('Libro Diario'!C422,1,4)),0)&lt;&gt;0,'Libro Diario'!C422,0))=FALSE,'Libro Diario'!C422,0)</f>
        <v>0</v>
      </c>
      <c r="D1839" s="145">
        <f>+'Libro Diario'!B422</f>
        <v>0</v>
      </c>
      <c r="E1839" s="139" t="s">
        <v>445</v>
      </c>
      <c r="F1839" t="str">
        <f t="shared" si="84"/>
        <v>Sin Mov.</v>
      </c>
      <c r="G1839" t="str">
        <f>IF(+'Libro Diario'!H422=0,"",+'Libro Diario'!H422)</f>
        <v>Corrección Valorativa - Amortización</v>
      </c>
      <c r="H1839" t="str">
        <f>IF(+'Libro Diario'!I422=0,"",+'Libro Diario'!I422)</f>
        <v/>
      </c>
      <c r="I1839" t="str">
        <f>+IF(Table3[[#This Row],[Tipo Movimiento]]="Estructura Balance y PyG","Excluir","Incluir")</f>
        <v>Incluir</v>
      </c>
      <c r="J1839" s="153">
        <f>+IF(Table3[[#This Row],[Sin cuenta]]="Con Mov.",(IF(Table3[[#This Row],[Movimiento]]="Debe",Table3[[#This Row],[Importe]],IF(Table3[[#This Row],[Movimiento]]="Haber",Table3[[#This Row],[Importe]]*-1,0))),0)</f>
        <v>0</v>
      </c>
      <c r="K1839" s="145">
        <f t="shared" si="85"/>
        <v>0</v>
      </c>
      <c r="L1839" s="145" t="str">
        <f t="shared" si="86"/>
        <v/>
      </c>
      <c r="M1839" t="str">
        <f>_xlfn.XLOOKUP(Table3[[#This Row],[Cuenta]],Estructura_Balance[Nombre Cuenta ()],Estructura_Balance[Grupo],"",0)</f>
        <v/>
      </c>
      <c r="N1839" t="str">
        <f>_xlfn.XLOOKUP(Table3[[#This Row],[Cuenta]],Estructura_Balance[Nombre Cuenta ()],Estructura_Balance[Nivel 1],"",0)</f>
        <v/>
      </c>
      <c r="O1839" t="str">
        <f>_xlfn.XLOOKUP(Table3[[#This Row],[Cuenta]],Estructura_Balance[Nombre Cuenta ()],Estructura_Balance[Nivel 2],"",0)</f>
        <v/>
      </c>
      <c r="P1839" t="str">
        <f>_xlfn.XLOOKUP(Table3[[#This Row],[Cuenta]],Estructura_Balance[Nombre Cuenta ()],Estructura_Balance[Nivel 3],"",0)</f>
        <v/>
      </c>
      <c r="Q1839" t="str">
        <f>_xlfn.XLOOKUP(Table3[[#This Row],[Cuenta]],Estructura_Balance[Nombre Cuenta ()],Estructura_Balance[Nivel 4],"",0)</f>
        <v/>
      </c>
      <c r="R1839" s="154" t="str">
        <f>_xlfn.XLOOKUP(Table3[[#This Row],[Cuenta]],Table8[Nombre Cuenta ()],Table8[Nivel 1],"",0)</f>
        <v/>
      </c>
      <c r="S1839" t="str">
        <f>_xlfn.XLOOKUP(Table3[[#This Row],[Cuenta]],Table8[Nombre Cuenta ()],Table8[Nivel 2],"",0)</f>
        <v/>
      </c>
      <c r="T1839" t="str">
        <f>_xlfn.XLOOKUP(Table3[[#This Row],[Cuenta]],Table8[Nombre Cuenta ()],Table8[Nivel 3],"",0)</f>
        <v/>
      </c>
      <c r="U1839">
        <v>613</v>
      </c>
      <c r="V1839" t="str">
        <f>_xlfn.XLOOKUP(Table3[[#This Row],[Cuenta]],Estructura_Balance[Nombre Cuenta ()],Estructura_Balance[Niveles:2],"",0)</f>
        <v/>
      </c>
      <c r="W1839" t="str">
        <f>_xlfn.XLOOKUP(Table3[[#This Row],[Cuenta]],Estructura_Balance[Nombre Cuenta ()],Estructura_Balance[Niveles:3],"",0)</f>
        <v/>
      </c>
      <c r="X1839" t="str">
        <f>_xlfn.XLOOKUP(Table3[[#This Row],[Cuenta]],Estructura_Balance[Nombre Cuenta ()],Estructura_Balance[Grupos],"Grupo 1",0)</f>
        <v>Grupo 1</v>
      </c>
      <c r="Y1839" t="str">
        <f>+Table3[[#This Row],[BS_Nivel_1]]</f>
        <v/>
      </c>
    </row>
    <row r="1840" spans="1:25" ht="15" customHeight="1">
      <c r="A1840">
        <f>+'Libro Diario'!F423</f>
        <v>49</v>
      </c>
      <c r="B1840" s="144">
        <f>VALUE(IF(+'Libro Diario'!G423="","01/01/2025",+'Libro Diario'!G423))</f>
        <v>46022</v>
      </c>
      <c r="C1840">
        <f>IF(ISNUMBER(+IF(IFERROR(VALUE(MID('Libro Diario'!C423,1,4)),0)&lt;&gt;0,'Libro Diario'!C423,0))=FALSE,'Libro Diario'!C423,0)</f>
        <v>0</v>
      </c>
      <c r="D1840" s="145">
        <f>+'Libro Diario'!B423</f>
        <v>0</v>
      </c>
      <c r="E1840" s="139" t="s">
        <v>445</v>
      </c>
      <c r="F1840" t="str">
        <f t="shared" si="84"/>
        <v>Sin Mov.</v>
      </c>
      <c r="G1840" t="str">
        <f>IF(+'Libro Diario'!H423=0,"",+'Libro Diario'!H423)</f>
        <v>Corrección Valorativa - Amortización</v>
      </c>
      <c r="H1840" t="str">
        <f>IF(+'Libro Diario'!I423=0,"",+'Libro Diario'!I423)</f>
        <v/>
      </c>
      <c r="I1840" t="str">
        <f>+IF(Table3[[#This Row],[Tipo Movimiento]]="Estructura Balance y PyG","Excluir","Incluir")</f>
        <v>Incluir</v>
      </c>
      <c r="J1840" s="153">
        <f>+IF(Table3[[#This Row],[Sin cuenta]]="Con Mov.",(IF(Table3[[#This Row],[Movimiento]]="Debe",Table3[[#This Row],[Importe]],IF(Table3[[#This Row],[Movimiento]]="Haber",Table3[[#This Row],[Importe]]*-1,0))),0)</f>
        <v>0</v>
      </c>
      <c r="K1840" s="145">
        <f t="shared" si="85"/>
        <v>0</v>
      </c>
      <c r="L1840" s="145" t="str">
        <f t="shared" si="86"/>
        <v/>
      </c>
      <c r="M1840" t="str">
        <f>_xlfn.XLOOKUP(Table3[[#This Row],[Cuenta]],Estructura_Balance[Nombre Cuenta ()],Estructura_Balance[Grupo],"",0)</f>
        <v/>
      </c>
      <c r="N1840" t="str">
        <f>_xlfn.XLOOKUP(Table3[[#This Row],[Cuenta]],Estructura_Balance[Nombre Cuenta ()],Estructura_Balance[Nivel 1],"",0)</f>
        <v/>
      </c>
      <c r="O1840" t="str">
        <f>_xlfn.XLOOKUP(Table3[[#This Row],[Cuenta]],Estructura_Balance[Nombre Cuenta ()],Estructura_Balance[Nivel 2],"",0)</f>
        <v/>
      </c>
      <c r="P1840" t="str">
        <f>_xlfn.XLOOKUP(Table3[[#This Row],[Cuenta]],Estructura_Balance[Nombre Cuenta ()],Estructura_Balance[Nivel 3],"",0)</f>
        <v/>
      </c>
      <c r="Q1840" t="str">
        <f>_xlfn.XLOOKUP(Table3[[#This Row],[Cuenta]],Estructura_Balance[Nombre Cuenta ()],Estructura_Balance[Nivel 4],"",0)</f>
        <v/>
      </c>
      <c r="R1840" s="154" t="str">
        <f>_xlfn.XLOOKUP(Table3[[#This Row],[Cuenta]],Table8[Nombre Cuenta ()],Table8[Nivel 1],"",0)</f>
        <v/>
      </c>
      <c r="S1840" t="str">
        <f>_xlfn.XLOOKUP(Table3[[#This Row],[Cuenta]],Table8[Nombre Cuenta ()],Table8[Nivel 2],"",0)</f>
        <v/>
      </c>
      <c r="T1840" t="str">
        <f>_xlfn.XLOOKUP(Table3[[#This Row],[Cuenta]],Table8[Nombre Cuenta ()],Table8[Nivel 3],"",0)</f>
        <v/>
      </c>
      <c r="U1840">
        <v>614</v>
      </c>
      <c r="V1840" t="str">
        <f>_xlfn.XLOOKUP(Table3[[#This Row],[Cuenta]],Estructura_Balance[Nombre Cuenta ()],Estructura_Balance[Niveles:2],"",0)</f>
        <v/>
      </c>
      <c r="W1840" t="str">
        <f>_xlfn.XLOOKUP(Table3[[#This Row],[Cuenta]],Estructura_Balance[Nombre Cuenta ()],Estructura_Balance[Niveles:3],"",0)</f>
        <v/>
      </c>
      <c r="X1840" t="str">
        <f>_xlfn.XLOOKUP(Table3[[#This Row],[Cuenta]],Estructura_Balance[Nombre Cuenta ()],Estructura_Balance[Grupos],"Grupo 1",0)</f>
        <v>Grupo 1</v>
      </c>
      <c r="Y1840" t="str">
        <f>+Table3[[#This Row],[BS_Nivel_1]]</f>
        <v/>
      </c>
    </row>
    <row r="1841" spans="1:25" ht="15" customHeight="1">
      <c r="A1841">
        <f>+'Libro Diario'!F422</f>
        <v>49</v>
      </c>
      <c r="B1841" s="144">
        <f>VALUE(IF(+'Libro Diario'!G422="","01/01/2025",+'Libro Diario'!G422))</f>
        <v>46022</v>
      </c>
      <c r="C1841">
        <f>IF(ISNUMBER(+IF(IFERROR(VALUE(MID('Libro Diario'!D422,1,4)),0)&lt;&gt;0,'Libro Diario'!D422,0))=FALSE,'Libro Diario'!D422,0)</f>
        <v>0</v>
      </c>
      <c r="D1841" s="145">
        <f>+'Libro Diario'!E422</f>
        <v>0</v>
      </c>
      <c r="E1841" s="139" t="s">
        <v>446</v>
      </c>
      <c r="F1841" t="str">
        <f t="shared" si="84"/>
        <v>Sin Mov.</v>
      </c>
      <c r="G1841" t="str">
        <f>IF(+'Libro Diario'!H422=0,"",+'Libro Diario'!H422)</f>
        <v>Corrección Valorativa - Amortización</v>
      </c>
      <c r="H1841" t="str">
        <f>IF(+'Libro Diario'!I422=0,"",+'Libro Diario'!I422)</f>
        <v/>
      </c>
      <c r="I1841" t="str">
        <f>+IF(Table3[[#This Row],[Tipo Movimiento]]="Estructura Balance y PyG","Excluir","Incluir")</f>
        <v>Incluir</v>
      </c>
      <c r="J1841" s="153">
        <f>+IF(Table3[[#This Row],[Sin cuenta]]="Con Mov.",(IF(Table3[[#This Row],[Movimiento]]="Debe",Table3[[#This Row],[Importe]],IF(Table3[[#This Row],[Movimiento]]="Haber",Table3[[#This Row],[Importe]]*-1,0))),0)</f>
        <v>0</v>
      </c>
      <c r="K1841" s="145" t="str">
        <f t="shared" si="85"/>
        <v/>
      </c>
      <c r="L1841" s="145">
        <f t="shared" si="86"/>
        <v>0</v>
      </c>
      <c r="M1841" t="str">
        <f>_xlfn.XLOOKUP(Table3[[#This Row],[Cuenta]],Estructura_Balance[Nombre Cuenta ()],Estructura_Balance[Grupo],"",0)</f>
        <v/>
      </c>
      <c r="N1841" t="str">
        <f>_xlfn.XLOOKUP(Table3[[#This Row],[Cuenta]],Estructura_Balance[Nombre Cuenta ()],Estructura_Balance[Nivel 1],"",0)</f>
        <v/>
      </c>
      <c r="O1841" t="str">
        <f>_xlfn.XLOOKUP(Table3[[#This Row],[Cuenta]],Estructura_Balance[Nombre Cuenta ()],Estructura_Balance[Nivel 2],"",0)</f>
        <v/>
      </c>
      <c r="P1841" t="str">
        <f>_xlfn.XLOOKUP(Table3[[#This Row],[Cuenta]],Estructura_Balance[Nombre Cuenta ()],Estructura_Balance[Nivel 3],"",0)</f>
        <v/>
      </c>
      <c r="Q1841" t="str">
        <f>_xlfn.XLOOKUP(Table3[[#This Row],[Cuenta]],Estructura_Balance[Nombre Cuenta ()],Estructura_Balance[Nivel 4],"",0)</f>
        <v/>
      </c>
      <c r="R1841" t="str">
        <f>_xlfn.XLOOKUP(Table3[[#This Row],[Cuenta]],Table8[Nombre Cuenta ()],Table8[Nivel 1],"",0)</f>
        <v/>
      </c>
      <c r="S1841" t="str">
        <f>_xlfn.XLOOKUP(Table3[[#This Row],[Cuenta]],Table8[Nombre Cuenta ()],Table8[Nivel 2],"",0)</f>
        <v/>
      </c>
      <c r="T1841" t="str">
        <f>_xlfn.XLOOKUP(Table3[[#This Row],[Cuenta]],Table8[Nombre Cuenta ()],Table8[Nivel 3],"",0)</f>
        <v/>
      </c>
      <c r="U1841">
        <v>1815</v>
      </c>
      <c r="V1841" t="str">
        <f>_xlfn.XLOOKUP(Table3[[#This Row],[Cuenta]],Estructura_Balance[Nombre Cuenta ()],Estructura_Balance[Niveles:2],"",0)</f>
        <v/>
      </c>
      <c r="W1841" t="str">
        <f>_xlfn.XLOOKUP(Table3[[#This Row],[Cuenta]],Estructura_Balance[Nombre Cuenta ()],Estructura_Balance[Niveles:3],"",0)</f>
        <v/>
      </c>
      <c r="X1841" t="str">
        <f>_xlfn.XLOOKUP(Table3[[#This Row],[Cuenta]],Estructura_Balance[Nombre Cuenta ()],Estructura_Balance[Grupos],"Grupo 1",0)</f>
        <v>Grupo 1</v>
      </c>
      <c r="Y1841" t="str">
        <f>+Table3[[#This Row],[BS_Nivel_1]]</f>
        <v/>
      </c>
    </row>
    <row r="1842" spans="1:25" ht="15" customHeight="1">
      <c r="A1842">
        <f>+'Libro Diario'!F423</f>
        <v>49</v>
      </c>
      <c r="B1842" s="144">
        <f>VALUE(IF(+'Libro Diario'!G423="","01/01/2025",+'Libro Diario'!G423))</f>
        <v>46022</v>
      </c>
      <c r="C1842">
        <f>IF(ISNUMBER(+IF(IFERROR(VALUE(MID('Libro Diario'!D423,1,4)),0)&lt;&gt;0,'Libro Diario'!D423,0))=FALSE,'Libro Diario'!D423,0)</f>
        <v>0</v>
      </c>
      <c r="D1842" s="145">
        <f>+'Libro Diario'!E423</f>
        <v>0</v>
      </c>
      <c r="E1842" s="139" t="s">
        <v>446</v>
      </c>
      <c r="F1842" t="str">
        <f t="shared" si="84"/>
        <v>Sin Mov.</v>
      </c>
      <c r="G1842" t="str">
        <f>IF(+'Libro Diario'!H423=0,"",+'Libro Diario'!H423)</f>
        <v>Corrección Valorativa - Amortización</v>
      </c>
      <c r="H1842" t="str">
        <f>IF(+'Libro Diario'!I423=0,"",+'Libro Diario'!I423)</f>
        <v/>
      </c>
      <c r="I1842" t="str">
        <f>+IF(Table3[[#This Row],[Tipo Movimiento]]="Estructura Balance y PyG","Excluir","Incluir")</f>
        <v>Incluir</v>
      </c>
      <c r="J1842" s="153">
        <f>+IF(Table3[[#This Row],[Sin cuenta]]="Con Mov.",(IF(Table3[[#This Row],[Movimiento]]="Debe",Table3[[#This Row],[Importe]],IF(Table3[[#This Row],[Movimiento]]="Haber",Table3[[#This Row],[Importe]]*-1,0))),0)</f>
        <v>0</v>
      </c>
      <c r="K1842" s="145" t="str">
        <f t="shared" si="85"/>
        <v/>
      </c>
      <c r="L1842" s="145">
        <f t="shared" si="86"/>
        <v>0</v>
      </c>
      <c r="M1842" t="str">
        <f>_xlfn.XLOOKUP(Table3[[#This Row],[Cuenta]],Estructura_Balance[Nombre Cuenta ()],Estructura_Balance[Grupo],"",0)</f>
        <v/>
      </c>
      <c r="N1842" t="str">
        <f>_xlfn.XLOOKUP(Table3[[#This Row],[Cuenta]],Estructura_Balance[Nombre Cuenta ()],Estructura_Balance[Nivel 1],"",0)</f>
        <v/>
      </c>
      <c r="O1842" t="str">
        <f>_xlfn.XLOOKUP(Table3[[#This Row],[Cuenta]],Estructura_Balance[Nombre Cuenta ()],Estructura_Balance[Nivel 2],"",0)</f>
        <v/>
      </c>
      <c r="P1842" t="str">
        <f>_xlfn.XLOOKUP(Table3[[#This Row],[Cuenta]],Estructura_Balance[Nombre Cuenta ()],Estructura_Balance[Nivel 3],"",0)</f>
        <v/>
      </c>
      <c r="Q1842" t="str">
        <f>_xlfn.XLOOKUP(Table3[[#This Row],[Cuenta]],Estructura_Balance[Nombre Cuenta ()],Estructura_Balance[Nivel 4],"",0)</f>
        <v/>
      </c>
      <c r="R1842" t="str">
        <f>_xlfn.XLOOKUP(Table3[[#This Row],[Cuenta]],Table8[Nombre Cuenta ()],Table8[Nivel 1],"",0)</f>
        <v/>
      </c>
      <c r="S1842" t="str">
        <f>_xlfn.XLOOKUP(Table3[[#This Row],[Cuenta]],Table8[Nombre Cuenta ()],Table8[Nivel 2],"",0)</f>
        <v/>
      </c>
      <c r="T1842" t="str">
        <f>_xlfn.XLOOKUP(Table3[[#This Row],[Cuenta]],Table8[Nombre Cuenta ()],Table8[Nivel 3],"",0)</f>
        <v/>
      </c>
      <c r="U1842">
        <v>1816</v>
      </c>
      <c r="V1842" t="str">
        <f>_xlfn.XLOOKUP(Table3[[#This Row],[Cuenta]],Estructura_Balance[Nombre Cuenta ()],Estructura_Balance[Niveles:2],"",0)</f>
        <v/>
      </c>
      <c r="W1842" t="str">
        <f>_xlfn.XLOOKUP(Table3[[#This Row],[Cuenta]],Estructura_Balance[Nombre Cuenta ()],Estructura_Balance[Niveles:3],"",0)</f>
        <v/>
      </c>
      <c r="X1842" t="str">
        <f>_xlfn.XLOOKUP(Table3[[#This Row],[Cuenta]],Estructura_Balance[Nombre Cuenta ()],Estructura_Balance[Grupos],"Grupo 1",0)</f>
        <v>Grupo 1</v>
      </c>
      <c r="Y1842" t="str">
        <f>+Table3[[#This Row],[BS_Nivel_1]]</f>
        <v/>
      </c>
    </row>
    <row r="1843" spans="1:25" ht="15" customHeight="1">
      <c r="A1843">
        <f>+'Libro Diario'!F429</f>
        <v>50</v>
      </c>
      <c r="B1843" s="144">
        <f>VALUE(IF(+'Libro Diario'!G429="","01/01/2025",+'Libro Diario'!G429))</f>
        <v>46022</v>
      </c>
      <c r="C1843">
        <f>IF(ISNUMBER(+IF(IFERROR(VALUE(MID('Libro Diario'!C429,1,4)),0)&lt;&gt;0,'Libro Diario'!C429,0))=FALSE,'Libro Diario'!C429,0)</f>
        <v>0</v>
      </c>
      <c r="D1843" s="145">
        <f>+'Libro Diario'!B429</f>
        <v>0</v>
      </c>
      <c r="E1843" s="139" t="s">
        <v>445</v>
      </c>
      <c r="F1843" t="str">
        <f t="shared" si="84"/>
        <v>Sin Mov.</v>
      </c>
      <c r="G1843" t="str">
        <f>IF(+'Libro Diario'!H429=0,"",+'Libro Diario'!H429)</f>
        <v>Corrección Valorativa - Amortización</v>
      </c>
      <c r="H1843" t="str">
        <f>IF(+'Libro Diario'!I429=0,"",+'Libro Diario'!I429)</f>
        <v/>
      </c>
      <c r="I1843" t="str">
        <f>+IF(Table3[[#This Row],[Tipo Movimiento]]="Estructura Balance y PyG","Excluir","Incluir")</f>
        <v>Incluir</v>
      </c>
      <c r="J1843" s="153">
        <f>+IF(Table3[[#This Row],[Sin cuenta]]="Con Mov.",(IF(Table3[[#This Row],[Movimiento]]="Debe",Table3[[#This Row],[Importe]],IF(Table3[[#This Row],[Movimiento]]="Haber",Table3[[#This Row],[Importe]]*-1,0))),0)</f>
        <v>0</v>
      </c>
      <c r="K1843" s="145">
        <f t="shared" si="85"/>
        <v>0</v>
      </c>
      <c r="L1843" s="145" t="str">
        <f t="shared" si="86"/>
        <v/>
      </c>
      <c r="M1843" t="str">
        <f>_xlfn.XLOOKUP(Table3[[#This Row],[Cuenta]],Estructura_Balance[Nombre Cuenta ()],Estructura_Balance[Grupo],"",0)</f>
        <v/>
      </c>
      <c r="N1843" t="str">
        <f>_xlfn.XLOOKUP(Table3[[#This Row],[Cuenta]],Estructura_Balance[Nombre Cuenta ()],Estructura_Balance[Nivel 1],"",0)</f>
        <v/>
      </c>
      <c r="O1843" t="str">
        <f>_xlfn.XLOOKUP(Table3[[#This Row],[Cuenta]],Estructura_Balance[Nombre Cuenta ()],Estructura_Balance[Nivel 2],"",0)</f>
        <v/>
      </c>
      <c r="P1843" t="str">
        <f>_xlfn.XLOOKUP(Table3[[#This Row],[Cuenta]],Estructura_Balance[Nombre Cuenta ()],Estructura_Balance[Nivel 3],"",0)</f>
        <v/>
      </c>
      <c r="Q1843" t="str">
        <f>_xlfn.XLOOKUP(Table3[[#This Row],[Cuenta]],Estructura_Balance[Nombre Cuenta ()],Estructura_Balance[Nivel 4],"",0)</f>
        <v/>
      </c>
      <c r="R1843" s="154" t="str">
        <f>_xlfn.XLOOKUP(Table3[[#This Row],[Cuenta]],Table8[Nombre Cuenta ()],Table8[Nivel 1],"",0)</f>
        <v/>
      </c>
      <c r="S1843" t="str">
        <f>_xlfn.XLOOKUP(Table3[[#This Row],[Cuenta]],Table8[Nombre Cuenta ()],Table8[Nivel 2],"",0)</f>
        <v/>
      </c>
      <c r="T1843" t="str">
        <f>_xlfn.XLOOKUP(Table3[[#This Row],[Cuenta]],Table8[Nombre Cuenta ()],Table8[Nivel 3],"",0)</f>
        <v/>
      </c>
      <c r="U1843">
        <v>620</v>
      </c>
      <c r="V1843" t="str">
        <f>_xlfn.XLOOKUP(Table3[[#This Row],[Cuenta]],Estructura_Balance[Nombre Cuenta ()],Estructura_Balance[Niveles:2],"",0)</f>
        <v/>
      </c>
      <c r="W1843" t="str">
        <f>_xlfn.XLOOKUP(Table3[[#This Row],[Cuenta]],Estructura_Balance[Nombre Cuenta ()],Estructura_Balance[Niveles:3],"",0)</f>
        <v/>
      </c>
      <c r="X1843" t="str">
        <f>_xlfn.XLOOKUP(Table3[[#This Row],[Cuenta]],Estructura_Balance[Nombre Cuenta ()],Estructura_Balance[Grupos],"Grupo 1",0)</f>
        <v>Grupo 1</v>
      </c>
      <c r="Y1843" t="str">
        <f>+Table3[[#This Row],[BS_Nivel_1]]</f>
        <v/>
      </c>
    </row>
    <row r="1844" spans="1:25" ht="15" customHeight="1">
      <c r="A1844">
        <f>+'Libro Diario'!F430</f>
        <v>50</v>
      </c>
      <c r="B1844" s="144">
        <f>VALUE(IF(+'Libro Diario'!G430="","01/01/2025",+'Libro Diario'!G430))</f>
        <v>46022</v>
      </c>
      <c r="C1844">
        <f>IF(ISNUMBER(+IF(IFERROR(VALUE(MID('Libro Diario'!C430,1,4)),0)&lt;&gt;0,'Libro Diario'!C430,0))=FALSE,'Libro Diario'!C430,0)</f>
        <v>0</v>
      </c>
      <c r="D1844" s="145">
        <f>+'Libro Diario'!B430</f>
        <v>0</v>
      </c>
      <c r="E1844" s="139" t="s">
        <v>445</v>
      </c>
      <c r="F1844" t="str">
        <f t="shared" si="84"/>
        <v>Sin Mov.</v>
      </c>
      <c r="G1844" t="str">
        <f>IF(+'Libro Diario'!H430=0,"",+'Libro Diario'!H430)</f>
        <v>Corrección Valorativa - Amortización</v>
      </c>
      <c r="H1844" t="str">
        <f>IF(+'Libro Diario'!I430=0,"",+'Libro Diario'!I430)</f>
        <v/>
      </c>
      <c r="I1844" t="str">
        <f>+IF(Table3[[#This Row],[Tipo Movimiento]]="Estructura Balance y PyG","Excluir","Incluir")</f>
        <v>Incluir</v>
      </c>
      <c r="J1844" s="153">
        <f>+IF(Table3[[#This Row],[Sin cuenta]]="Con Mov.",(IF(Table3[[#This Row],[Movimiento]]="Debe",Table3[[#This Row],[Importe]],IF(Table3[[#This Row],[Movimiento]]="Haber",Table3[[#This Row],[Importe]]*-1,0))),0)</f>
        <v>0</v>
      </c>
      <c r="K1844" s="145">
        <f t="shared" si="85"/>
        <v>0</v>
      </c>
      <c r="L1844" s="145" t="str">
        <f t="shared" si="86"/>
        <v/>
      </c>
      <c r="M1844" t="str">
        <f>_xlfn.XLOOKUP(Table3[[#This Row],[Cuenta]],Estructura_Balance[Nombre Cuenta ()],Estructura_Balance[Grupo],"",0)</f>
        <v/>
      </c>
      <c r="N1844" t="str">
        <f>_xlfn.XLOOKUP(Table3[[#This Row],[Cuenta]],Estructura_Balance[Nombre Cuenta ()],Estructura_Balance[Nivel 1],"",0)</f>
        <v/>
      </c>
      <c r="O1844" t="str">
        <f>_xlfn.XLOOKUP(Table3[[#This Row],[Cuenta]],Estructura_Balance[Nombre Cuenta ()],Estructura_Balance[Nivel 2],"",0)</f>
        <v/>
      </c>
      <c r="P1844" t="str">
        <f>_xlfn.XLOOKUP(Table3[[#This Row],[Cuenta]],Estructura_Balance[Nombre Cuenta ()],Estructura_Balance[Nivel 3],"",0)</f>
        <v/>
      </c>
      <c r="Q1844" t="str">
        <f>_xlfn.XLOOKUP(Table3[[#This Row],[Cuenta]],Estructura_Balance[Nombre Cuenta ()],Estructura_Balance[Nivel 4],"",0)</f>
        <v/>
      </c>
      <c r="R1844" s="154" t="str">
        <f>_xlfn.XLOOKUP(Table3[[#This Row],[Cuenta]],Table8[Nombre Cuenta ()],Table8[Nivel 1],"",0)</f>
        <v/>
      </c>
      <c r="S1844" t="str">
        <f>_xlfn.XLOOKUP(Table3[[#This Row],[Cuenta]],Table8[Nombre Cuenta ()],Table8[Nivel 2],"",0)</f>
        <v/>
      </c>
      <c r="T1844" t="str">
        <f>_xlfn.XLOOKUP(Table3[[#This Row],[Cuenta]],Table8[Nombre Cuenta ()],Table8[Nivel 3],"",0)</f>
        <v/>
      </c>
      <c r="U1844">
        <v>621</v>
      </c>
      <c r="V1844" t="str">
        <f>_xlfn.XLOOKUP(Table3[[#This Row],[Cuenta]],Estructura_Balance[Nombre Cuenta ()],Estructura_Balance[Niveles:2],"",0)</f>
        <v/>
      </c>
      <c r="W1844" t="str">
        <f>_xlfn.XLOOKUP(Table3[[#This Row],[Cuenta]],Estructura_Balance[Nombre Cuenta ()],Estructura_Balance[Niveles:3],"",0)</f>
        <v/>
      </c>
      <c r="X1844" t="str">
        <f>_xlfn.XLOOKUP(Table3[[#This Row],[Cuenta]],Estructura_Balance[Nombre Cuenta ()],Estructura_Balance[Grupos],"Grupo 1",0)</f>
        <v>Grupo 1</v>
      </c>
      <c r="Y1844" t="str">
        <f>+Table3[[#This Row],[BS_Nivel_1]]</f>
        <v/>
      </c>
    </row>
    <row r="1845" spans="1:25" ht="15" customHeight="1">
      <c r="A1845">
        <f>+'Libro Diario'!F429</f>
        <v>50</v>
      </c>
      <c r="B1845" s="144">
        <f>VALUE(IF(+'Libro Diario'!G429="","01/01/2025",+'Libro Diario'!G429))</f>
        <v>46022</v>
      </c>
      <c r="C1845">
        <f>IF(ISNUMBER(+IF(IFERROR(VALUE(MID('Libro Diario'!D429,1,4)),0)&lt;&gt;0,'Libro Diario'!D429,0))=FALSE,'Libro Diario'!D429,0)</f>
        <v>0</v>
      </c>
      <c r="D1845" s="145">
        <f>+'Libro Diario'!E429</f>
        <v>0</v>
      </c>
      <c r="E1845" s="139" t="s">
        <v>446</v>
      </c>
      <c r="F1845" t="str">
        <f t="shared" si="84"/>
        <v>Sin Mov.</v>
      </c>
      <c r="G1845" t="str">
        <f>IF(+'Libro Diario'!H429=0,"",+'Libro Diario'!H429)</f>
        <v>Corrección Valorativa - Amortización</v>
      </c>
      <c r="H1845" t="str">
        <f>IF(+'Libro Diario'!I429=0,"",+'Libro Diario'!I429)</f>
        <v/>
      </c>
      <c r="I1845" t="str">
        <f>+IF(Table3[[#This Row],[Tipo Movimiento]]="Estructura Balance y PyG","Excluir","Incluir")</f>
        <v>Incluir</v>
      </c>
      <c r="J1845" s="153">
        <f>+IF(Table3[[#This Row],[Sin cuenta]]="Con Mov.",(IF(Table3[[#This Row],[Movimiento]]="Debe",Table3[[#This Row],[Importe]],IF(Table3[[#This Row],[Movimiento]]="Haber",Table3[[#This Row],[Importe]]*-1,0))),0)</f>
        <v>0</v>
      </c>
      <c r="K1845" s="145" t="str">
        <f t="shared" si="85"/>
        <v/>
      </c>
      <c r="L1845" s="145">
        <f t="shared" si="86"/>
        <v>0</v>
      </c>
      <c r="M1845" t="str">
        <f>_xlfn.XLOOKUP(Table3[[#This Row],[Cuenta]],Estructura_Balance[Nombre Cuenta ()],Estructura_Balance[Grupo],"",0)</f>
        <v/>
      </c>
      <c r="N1845" t="str">
        <f>_xlfn.XLOOKUP(Table3[[#This Row],[Cuenta]],Estructura_Balance[Nombre Cuenta ()],Estructura_Balance[Nivel 1],"",0)</f>
        <v/>
      </c>
      <c r="O1845" t="str">
        <f>_xlfn.XLOOKUP(Table3[[#This Row],[Cuenta]],Estructura_Balance[Nombre Cuenta ()],Estructura_Balance[Nivel 2],"",0)</f>
        <v/>
      </c>
      <c r="P1845" t="str">
        <f>_xlfn.XLOOKUP(Table3[[#This Row],[Cuenta]],Estructura_Balance[Nombre Cuenta ()],Estructura_Balance[Nivel 3],"",0)</f>
        <v/>
      </c>
      <c r="Q1845" t="str">
        <f>_xlfn.XLOOKUP(Table3[[#This Row],[Cuenta]],Estructura_Balance[Nombre Cuenta ()],Estructura_Balance[Nivel 4],"",0)</f>
        <v/>
      </c>
      <c r="R1845" t="str">
        <f>_xlfn.XLOOKUP(Table3[[#This Row],[Cuenta]],Table8[Nombre Cuenta ()],Table8[Nivel 1],"",0)</f>
        <v/>
      </c>
      <c r="S1845" t="str">
        <f>_xlfn.XLOOKUP(Table3[[#This Row],[Cuenta]],Table8[Nombre Cuenta ()],Table8[Nivel 2],"",0)</f>
        <v/>
      </c>
      <c r="T1845" t="str">
        <f>_xlfn.XLOOKUP(Table3[[#This Row],[Cuenta]],Table8[Nombre Cuenta ()],Table8[Nivel 3],"",0)</f>
        <v/>
      </c>
      <c r="U1845">
        <v>1822</v>
      </c>
      <c r="V1845" t="str">
        <f>_xlfn.XLOOKUP(Table3[[#This Row],[Cuenta]],Estructura_Balance[Nombre Cuenta ()],Estructura_Balance[Niveles:2],"",0)</f>
        <v/>
      </c>
      <c r="W1845" t="str">
        <f>_xlfn.XLOOKUP(Table3[[#This Row],[Cuenta]],Estructura_Balance[Nombre Cuenta ()],Estructura_Balance[Niveles:3],"",0)</f>
        <v/>
      </c>
      <c r="X1845" t="str">
        <f>_xlfn.XLOOKUP(Table3[[#This Row],[Cuenta]],Estructura_Balance[Nombre Cuenta ()],Estructura_Balance[Grupos],"Grupo 1",0)</f>
        <v>Grupo 1</v>
      </c>
      <c r="Y1845" t="str">
        <f>+Table3[[#This Row],[BS_Nivel_1]]</f>
        <v/>
      </c>
    </row>
    <row r="1846" spans="1:25" ht="15" customHeight="1">
      <c r="A1846">
        <f>+'Libro Diario'!F430</f>
        <v>50</v>
      </c>
      <c r="B1846" s="144">
        <f>VALUE(IF(+'Libro Diario'!G430="","01/01/2025",+'Libro Diario'!G430))</f>
        <v>46022</v>
      </c>
      <c r="C1846">
        <f>IF(ISNUMBER(+IF(IFERROR(VALUE(MID('Libro Diario'!D430,1,4)),0)&lt;&gt;0,'Libro Diario'!D430,0))=FALSE,'Libro Diario'!D430,0)</f>
        <v>0</v>
      </c>
      <c r="D1846" s="145">
        <f>+'Libro Diario'!E430</f>
        <v>0</v>
      </c>
      <c r="E1846" s="139" t="s">
        <v>446</v>
      </c>
      <c r="F1846" t="str">
        <f t="shared" si="84"/>
        <v>Sin Mov.</v>
      </c>
      <c r="G1846" t="str">
        <f>IF(+'Libro Diario'!H430=0,"",+'Libro Diario'!H430)</f>
        <v>Corrección Valorativa - Amortización</v>
      </c>
      <c r="H1846" t="str">
        <f>IF(+'Libro Diario'!I430=0,"",+'Libro Diario'!I430)</f>
        <v/>
      </c>
      <c r="I1846" t="str">
        <f>+IF(Table3[[#This Row],[Tipo Movimiento]]="Estructura Balance y PyG","Excluir","Incluir")</f>
        <v>Incluir</v>
      </c>
      <c r="J1846" s="153">
        <f>+IF(Table3[[#This Row],[Sin cuenta]]="Con Mov.",(IF(Table3[[#This Row],[Movimiento]]="Debe",Table3[[#This Row],[Importe]],IF(Table3[[#This Row],[Movimiento]]="Haber",Table3[[#This Row],[Importe]]*-1,0))),0)</f>
        <v>0</v>
      </c>
      <c r="K1846" s="145" t="str">
        <f t="shared" si="85"/>
        <v/>
      </c>
      <c r="L1846" s="145">
        <f t="shared" si="86"/>
        <v>0</v>
      </c>
      <c r="M1846" t="str">
        <f>_xlfn.XLOOKUP(Table3[[#This Row],[Cuenta]],Estructura_Balance[Nombre Cuenta ()],Estructura_Balance[Grupo],"",0)</f>
        <v/>
      </c>
      <c r="N1846" t="str">
        <f>_xlfn.XLOOKUP(Table3[[#This Row],[Cuenta]],Estructura_Balance[Nombre Cuenta ()],Estructura_Balance[Nivel 1],"",0)</f>
        <v/>
      </c>
      <c r="O1846" t="str">
        <f>_xlfn.XLOOKUP(Table3[[#This Row],[Cuenta]],Estructura_Balance[Nombre Cuenta ()],Estructura_Balance[Nivel 2],"",0)</f>
        <v/>
      </c>
      <c r="P1846" t="str">
        <f>_xlfn.XLOOKUP(Table3[[#This Row],[Cuenta]],Estructura_Balance[Nombre Cuenta ()],Estructura_Balance[Nivel 3],"",0)</f>
        <v/>
      </c>
      <c r="Q1846" t="str">
        <f>_xlfn.XLOOKUP(Table3[[#This Row],[Cuenta]],Estructura_Balance[Nombre Cuenta ()],Estructura_Balance[Nivel 4],"",0)</f>
        <v/>
      </c>
      <c r="R1846" t="str">
        <f>_xlfn.XLOOKUP(Table3[[#This Row],[Cuenta]],Table8[Nombre Cuenta ()],Table8[Nivel 1],"",0)</f>
        <v/>
      </c>
      <c r="S1846" t="str">
        <f>_xlfn.XLOOKUP(Table3[[#This Row],[Cuenta]],Table8[Nombre Cuenta ()],Table8[Nivel 2],"",0)</f>
        <v/>
      </c>
      <c r="T1846" t="str">
        <f>_xlfn.XLOOKUP(Table3[[#This Row],[Cuenta]],Table8[Nombre Cuenta ()],Table8[Nivel 3],"",0)</f>
        <v/>
      </c>
      <c r="U1846">
        <v>1823</v>
      </c>
      <c r="V1846" t="str">
        <f>_xlfn.XLOOKUP(Table3[[#This Row],[Cuenta]],Estructura_Balance[Nombre Cuenta ()],Estructura_Balance[Niveles:2],"",0)</f>
        <v/>
      </c>
      <c r="W1846" t="str">
        <f>_xlfn.XLOOKUP(Table3[[#This Row],[Cuenta]],Estructura_Balance[Nombre Cuenta ()],Estructura_Balance[Niveles:3],"",0)</f>
        <v/>
      </c>
      <c r="X1846" t="str">
        <f>_xlfn.XLOOKUP(Table3[[#This Row],[Cuenta]],Estructura_Balance[Nombre Cuenta ()],Estructura_Balance[Grupos],"Grupo 1",0)</f>
        <v>Grupo 1</v>
      </c>
      <c r="Y1846" t="str">
        <f>+Table3[[#This Row],[BS_Nivel_1]]</f>
        <v/>
      </c>
    </row>
    <row r="1847" spans="1:25" ht="15" customHeight="1">
      <c r="A1847">
        <f>+'Libro Diario'!F436</f>
        <v>51</v>
      </c>
      <c r="B1847" s="144">
        <f>VALUE(IF(+'Libro Diario'!G436="","01/01/2025",+'Libro Diario'!G436))</f>
        <v>46022</v>
      </c>
      <c r="C1847">
        <f>IF(ISNUMBER(+IF(IFERROR(VALUE(MID('Libro Diario'!C436,1,4)),0)&lt;&gt;0,'Libro Diario'!C436,0))=FALSE,'Libro Diario'!C436,0)</f>
        <v>0</v>
      </c>
      <c r="D1847" s="145">
        <f>+'Libro Diario'!B436</f>
        <v>0</v>
      </c>
      <c r="E1847" s="139" t="s">
        <v>445</v>
      </c>
      <c r="F1847" t="str">
        <f t="shared" si="84"/>
        <v>Sin Mov.</v>
      </c>
      <c r="G1847" t="str">
        <f>IF(+'Libro Diario'!H436=0,"",+'Libro Diario'!H436)</f>
        <v>Corrección Valorativa - Amortización</v>
      </c>
      <c r="H1847" t="str">
        <f>IF(+'Libro Diario'!I436=0,"",+'Libro Diario'!I436)</f>
        <v/>
      </c>
      <c r="I1847" t="str">
        <f>+IF(Table3[[#This Row],[Tipo Movimiento]]="Estructura Balance y PyG","Excluir","Incluir")</f>
        <v>Incluir</v>
      </c>
      <c r="J1847" s="153">
        <f>+IF(Table3[[#This Row],[Sin cuenta]]="Con Mov.",(IF(Table3[[#This Row],[Movimiento]]="Debe",Table3[[#This Row],[Importe]],IF(Table3[[#This Row],[Movimiento]]="Haber",Table3[[#This Row],[Importe]]*-1,0))),0)</f>
        <v>0</v>
      </c>
      <c r="K1847" s="145">
        <f t="shared" si="85"/>
        <v>0</v>
      </c>
      <c r="L1847" s="145" t="str">
        <f t="shared" si="86"/>
        <v/>
      </c>
      <c r="M1847" t="str">
        <f>_xlfn.XLOOKUP(Table3[[#This Row],[Cuenta]],Estructura_Balance[Nombre Cuenta ()],Estructura_Balance[Grupo],"",0)</f>
        <v/>
      </c>
      <c r="N1847" t="str">
        <f>_xlfn.XLOOKUP(Table3[[#This Row],[Cuenta]],Estructura_Balance[Nombre Cuenta ()],Estructura_Balance[Nivel 1],"",0)</f>
        <v/>
      </c>
      <c r="O1847" t="str">
        <f>_xlfn.XLOOKUP(Table3[[#This Row],[Cuenta]],Estructura_Balance[Nombre Cuenta ()],Estructura_Balance[Nivel 2],"",0)</f>
        <v/>
      </c>
      <c r="P1847" t="str">
        <f>_xlfn.XLOOKUP(Table3[[#This Row],[Cuenta]],Estructura_Balance[Nombre Cuenta ()],Estructura_Balance[Nivel 3],"",0)</f>
        <v/>
      </c>
      <c r="Q1847" t="str">
        <f>_xlfn.XLOOKUP(Table3[[#This Row],[Cuenta]],Estructura_Balance[Nombre Cuenta ()],Estructura_Balance[Nivel 4],"",0)</f>
        <v/>
      </c>
      <c r="R1847" s="154" t="str">
        <f>_xlfn.XLOOKUP(Table3[[#This Row],[Cuenta]],Table8[Nombre Cuenta ()],Table8[Nivel 1],"",0)</f>
        <v/>
      </c>
      <c r="S1847" t="str">
        <f>_xlfn.XLOOKUP(Table3[[#This Row],[Cuenta]],Table8[Nombre Cuenta ()],Table8[Nivel 2],"",0)</f>
        <v/>
      </c>
      <c r="T1847" t="str">
        <f>_xlfn.XLOOKUP(Table3[[#This Row],[Cuenta]],Table8[Nombre Cuenta ()],Table8[Nivel 3],"",0)</f>
        <v/>
      </c>
      <c r="U1847">
        <v>627</v>
      </c>
      <c r="V1847" t="str">
        <f>_xlfn.XLOOKUP(Table3[[#This Row],[Cuenta]],Estructura_Balance[Nombre Cuenta ()],Estructura_Balance[Niveles:2],"",0)</f>
        <v/>
      </c>
      <c r="W1847" t="str">
        <f>_xlfn.XLOOKUP(Table3[[#This Row],[Cuenta]],Estructura_Balance[Nombre Cuenta ()],Estructura_Balance[Niveles:3],"",0)</f>
        <v/>
      </c>
      <c r="X1847" t="str">
        <f>_xlfn.XLOOKUP(Table3[[#This Row],[Cuenta]],Estructura_Balance[Nombre Cuenta ()],Estructura_Balance[Grupos],"Grupo 1",0)</f>
        <v>Grupo 1</v>
      </c>
      <c r="Y1847" t="str">
        <f>+Table3[[#This Row],[BS_Nivel_1]]</f>
        <v/>
      </c>
    </row>
    <row r="1848" spans="1:25" ht="15" customHeight="1">
      <c r="A1848">
        <f>+'Libro Diario'!F437</f>
        <v>51</v>
      </c>
      <c r="B1848" s="144">
        <f>VALUE(IF(+'Libro Diario'!G437="","01/01/2025",+'Libro Diario'!G437))</f>
        <v>46022</v>
      </c>
      <c r="C1848">
        <f>IF(ISNUMBER(+IF(IFERROR(VALUE(MID('Libro Diario'!C437,1,4)),0)&lt;&gt;0,'Libro Diario'!C437,0))=FALSE,'Libro Diario'!C437,0)</f>
        <v>0</v>
      </c>
      <c r="D1848" s="145">
        <f>+'Libro Diario'!B437</f>
        <v>0</v>
      </c>
      <c r="E1848" s="139" t="s">
        <v>445</v>
      </c>
      <c r="F1848" t="str">
        <f t="shared" si="84"/>
        <v>Sin Mov.</v>
      </c>
      <c r="G1848" t="str">
        <f>IF(+'Libro Diario'!H437=0,"",+'Libro Diario'!H437)</f>
        <v>Corrección Valorativa - Amortización</v>
      </c>
      <c r="H1848" t="str">
        <f>IF(+'Libro Diario'!I437=0,"",+'Libro Diario'!I437)</f>
        <v/>
      </c>
      <c r="I1848" t="str">
        <f>+IF(Table3[[#This Row],[Tipo Movimiento]]="Estructura Balance y PyG","Excluir","Incluir")</f>
        <v>Incluir</v>
      </c>
      <c r="J1848" s="153">
        <f>+IF(Table3[[#This Row],[Sin cuenta]]="Con Mov.",(IF(Table3[[#This Row],[Movimiento]]="Debe",Table3[[#This Row],[Importe]],IF(Table3[[#This Row],[Movimiento]]="Haber",Table3[[#This Row],[Importe]]*-1,0))),0)</f>
        <v>0</v>
      </c>
      <c r="K1848" s="145">
        <f t="shared" si="85"/>
        <v>0</v>
      </c>
      <c r="L1848" s="145" t="str">
        <f t="shared" si="86"/>
        <v/>
      </c>
      <c r="M1848" t="str">
        <f>_xlfn.XLOOKUP(Table3[[#This Row],[Cuenta]],Estructura_Balance[Nombre Cuenta ()],Estructura_Balance[Grupo],"",0)</f>
        <v/>
      </c>
      <c r="N1848" t="str">
        <f>_xlfn.XLOOKUP(Table3[[#This Row],[Cuenta]],Estructura_Balance[Nombre Cuenta ()],Estructura_Balance[Nivel 1],"",0)</f>
        <v/>
      </c>
      <c r="O1848" t="str">
        <f>_xlfn.XLOOKUP(Table3[[#This Row],[Cuenta]],Estructura_Balance[Nombre Cuenta ()],Estructura_Balance[Nivel 2],"",0)</f>
        <v/>
      </c>
      <c r="P1848" t="str">
        <f>_xlfn.XLOOKUP(Table3[[#This Row],[Cuenta]],Estructura_Balance[Nombre Cuenta ()],Estructura_Balance[Nivel 3],"",0)</f>
        <v/>
      </c>
      <c r="Q1848" t="str">
        <f>_xlfn.XLOOKUP(Table3[[#This Row],[Cuenta]],Estructura_Balance[Nombre Cuenta ()],Estructura_Balance[Nivel 4],"",0)</f>
        <v/>
      </c>
      <c r="R1848" s="154" t="str">
        <f>_xlfn.XLOOKUP(Table3[[#This Row],[Cuenta]],Table8[Nombre Cuenta ()],Table8[Nivel 1],"",0)</f>
        <v/>
      </c>
      <c r="S1848" t="str">
        <f>_xlfn.XLOOKUP(Table3[[#This Row],[Cuenta]],Table8[Nombre Cuenta ()],Table8[Nivel 2],"",0)</f>
        <v/>
      </c>
      <c r="T1848" t="str">
        <f>_xlfn.XLOOKUP(Table3[[#This Row],[Cuenta]],Table8[Nombre Cuenta ()],Table8[Nivel 3],"",0)</f>
        <v/>
      </c>
      <c r="U1848">
        <v>628</v>
      </c>
      <c r="V1848" t="str">
        <f>_xlfn.XLOOKUP(Table3[[#This Row],[Cuenta]],Estructura_Balance[Nombre Cuenta ()],Estructura_Balance[Niveles:2],"",0)</f>
        <v/>
      </c>
      <c r="W1848" t="str">
        <f>_xlfn.XLOOKUP(Table3[[#This Row],[Cuenta]],Estructura_Balance[Nombre Cuenta ()],Estructura_Balance[Niveles:3],"",0)</f>
        <v/>
      </c>
      <c r="X1848" t="str">
        <f>_xlfn.XLOOKUP(Table3[[#This Row],[Cuenta]],Estructura_Balance[Nombre Cuenta ()],Estructura_Balance[Grupos],"Grupo 1",0)</f>
        <v>Grupo 1</v>
      </c>
      <c r="Y1848" t="str">
        <f>+Table3[[#This Row],[BS_Nivel_1]]</f>
        <v/>
      </c>
    </row>
    <row r="1849" spans="1:25" ht="15" customHeight="1">
      <c r="A1849">
        <f>+'Libro Diario'!F436</f>
        <v>51</v>
      </c>
      <c r="B1849" s="144">
        <f>VALUE(IF(+'Libro Diario'!G436="","01/01/2025",+'Libro Diario'!G436))</f>
        <v>46022</v>
      </c>
      <c r="C1849">
        <f>IF(ISNUMBER(+IF(IFERROR(VALUE(MID('Libro Diario'!D436,1,4)),0)&lt;&gt;0,'Libro Diario'!D436,0))=FALSE,'Libro Diario'!D436,0)</f>
        <v>0</v>
      </c>
      <c r="D1849" s="145">
        <f>+'Libro Diario'!E436</f>
        <v>0</v>
      </c>
      <c r="E1849" s="139" t="s">
        <v>446</v>
      </c>
      <c r="F1849" t="str">
        <f t="shared" si="84"/>
        <v>Sin Mov.</v>
      </c>
      <c r="G1849" t="str">
        <f>IF(+'Libro Diario'!H436=0,"",+'Libro Diario'!H436)</f>
        <v>Corrección Valorativa - Amortización</v>
      </c>
      <c r="H1849" t="str">
        <f>IF(+'Libro Diario'!I436=0,"",+'Libro Diario'!I436)</f>
        <v/>
      </c>
      <c r="I1849" t="str">
        <f>+IF(Table3[[#This Row],[Tipo Movimiento]]="Estructura Balance y PyG","Excluir","Incluir")</f>
        <v>Incluir</v>
      </c>
      <c r="J1849" s="153">
        <f>+IF(Table3[[#This Row],[Sin cuenta]]="Con Mov.",(IF(Table3[[#This Row],[Movimiento]]="Debe",Table3[[#This Row],[Importe]],IF(Table3[[#This Row],[Movimiento]]="Haber",Table3[[#This Row],[Importe]]*-1,0))),0)</f>
        <v>0</v>
      </c>
      <c r="K1849" s="145" t="str">
        <f t="shared" si="85"/>
        <v/>
      </c>
      <c r="L1849" s="145">
        <f t="shared" si="86"/>
        <v>0</v>
      </c>
      <c r="M1849" t="str">
        <f>_xlfn.XLOOKUP(Table3[[#This Row],[Cuenta]],Estructura_Balance[Nombre Cuenta ()],Estructura_Balance[Grupo],"",0)</f>
        <v/>
      </c>
      <c r="N1849" t="str">
        <f>_xlfn.XLOOKUP(Table3[[#This Row],[Cuenta]],Estructura_Balance[Nombre Cuenta ()],Estructura_Balance[Nivel 1],"",0)</f>
        <v/>
      </c>
      <c r="O1849" t="str">
        <f>_xlfn.XLOOKUP(Table3[[#This Row],[Cuenta]],Estructura_Balance[Nombre Cuenta ()],Estructura_Balance[Nivel 2],"",0)</f>
        <v/>
      </c>
      <c r="P1849" t="str">
        <f>_xlfn.XLOOKUP(Table3[[#This Row],[Cuenta]],Estructura_Balance[Nombre Cuenta ()],Estructura_Balance[Nivel 3],"",0)</f>
        <v/>
      </c>
      <c r="Q1849" t="str">
        <f>_xlfn.XLOOKUP(Table3[[#This Row],[Cuenta]],Estructura_Balance[Nombre Cuenta ()],Estructura_Balance[Nivel 4],"",0)</f>
        <v/>
      </c>
      <c r="R1849" t="str">
        <f>_xlfn.XLOOKUP(Table3[[#This Row],[Cuenta]],Table8[Nombre Cuenta ()],Table8[Nivel 1],"",0)</f>
        <v/>
      </c>
      <c r="S1849" t="str">
        <f>_xlfn.XLOOKUP(Table3[[#This Row],[Cuenta]],Table8[Nombre Cuenta ()],Table8[Nivel 2],"",0)</f>
        <v/>
      </c>
      <c r="T1849" t="str">
        <f>_xlfn.XLOOKUP(Table3[[#This Row],[Cuenta]],Table8[Nombre Cuenta ()],Table8[Nivel 3],"",0)</f>
        <v/>
      </c>
      <c r="U1849">
        <v>1829</v>
      </c>
      <c r="V1849" t="str">
        <f>_xlfn.XLOOKUP(Table3[[#This Row],[Cuenta]],Estructura_Balance[Nombre Cuenta ()],Estructura_Balance[Niveles:2],"",0)</f>
        <v/>
      </c>
      <c r="W1849" t="str">
        <f>_xlfn.XLOOKUP(Table3[[#This Row],[Cuenta]],Estructura_Balance[Nombre Cuenta ()],Estructura_Balance[Niveles:3],"",0)</f>
        <v/>
      </c>
      <c r="X1849" t="str">
        <f>_xlfn.XLOOKUP(Table3[[#This Row],[Cuenta]],Estructura_Balance[Nombre Cuenta ()],Estructura_Balance[Grupos],"Grupo 1",0)</f>
        <v>Grupo 1</v>
      </c>
      <c r="Y1849" t="str">
        <f>+Table3[[#This Row],[BS_Nivel_1]]</f>
        <v/>
      </c>
    </row>
    <row r="1850" spans="1:25" ht="15" customHeight="1">
      <c r="A1850">
        <f>+'Libro Diario'!F437</f>
        <v>51</v>
      </c>
      <c r="B1850" s="144">
        <f>VALUE(IF(+'Libro Diario'!G437="","01/01/2025",+'Libro Diario'!G437))</f>
        <v>46022</v>
      </c>
      <c r="C1850">
        <f>IF(ISNUMBER(+IF(IFERROR(VALUE(MID('Libro Diario'!D437,1,4)),0)&lt;&gt;0,'Libro Diario'!D437,0))=FALSE,'Libro Diario'!D437,0)</f>
        <v>0</v>
      </c>
      <c r="D1850" s="145">
        <f>+'Libro Diario'!E437</f>
        <v>0</v>
      </c>
      <c r="E1850" s="139" t="s">
        <v>446</v>
      </c>
      <c r="F1850" t="str">
        <f t="shared" si="84"/>
        <v>Sin Mov.</v>
      </c>
      <c r="G1850" t="str">
        <f>IF(+'Libro Diario'!H437=0,"",+'Libro Diario'!H437)</f>
        <v>Corrección Valorativa - Amortización</v>
      </c>
      <c r="H1850" t="str">
        <f>IF(+'Libro Diario'!I437=0,"",+'Libro Diario'!I437)</f>
        <v/>
      </c>
      <c r="I1850" t="str">
        <f>+IF(Table3[[#This Row],[Tipo Movimiento]]="Estructura Balance y PyG","Excluir","Incluir")</f>
        <v>Incluir</v>
      </c>
      <c r="J1850" s="153">
        <f>+IF(Table3[[#This Row],[Sin cuenta]]="Con Mov.",(IF(Table3[[#This Row],[Movimiento]]="Debe",Table3[[#This Row],[Importe]],IF(Table3[[#This Row],[Movimiento]]="Haber",Table3[[#This Row],[Importe]]*-1,0))),0)</f>
        <v>0</v>
      </c>
      <c r="K1850" s="145" t="str">
        <f t="shared" si="85"/>
        <v/>
      </c>
      <c r="L1850" s="145">
        <f t="shared" si="86"/>
        <v>0</v>
      </c>
      <c r="M1850" t="str">
        <f>_xlfn.XLOOKUP(Table3[[#This Row],[Cuenta]],Estructura_Balance[Nombre Cuenta ()],Estructura_Balance[Grupo],"",0)</f>
        <v/>
      </c>
      <c r="N1850" t="str">
        <f>_xlfn.XLOOKUP(Table3[[#This Row],[Cuenta]],Estructura_Balance[Nombre Cuenta ()],Estructura_Balance[Nivel 1],"",0)</f>
        <v/>
      </c>
      <c r="O1850" t="str">
        <f>_xlfn.XLOOKUP(Table3[[#This Row],[Cuenta]],Estructura_Balance[Nombre Cuenta ()],Estructura_Balance[Nivel 2],"",0)</f>
        <v/>
      </c>
      <c r="P1850" t="str">
        <f>_xlfn.XLOOKUP(Table3[[#This Row],[Cuenta]],Estructura_Balance[Nombre Cuenta ()],Estructura_Balance[Nivel 3],"",0)</f>
        <v/>
      </c>
      <c r="Q1850" t="str">
        <f>_xlfn.XLOOKUP(Table3[[#This Row],[Cuenta]],Estructura_Balance[Nombre Cuenta ()],Estructura_Balance[Nivel 4],"",0)</f>
        <v/>
      </c>
      <c r="R1850" t="str">
        <f>_xlfn.XLOOKUP(Table3[[#This Row],[Cuenta]],Table8[Nombre Cuenta ()],Table8[Nivel 1],"",0)</f>
        <v/>
      </c>
      <c r="S1850" t="str">
        <f>_xlfn.XLOOKUP(Table3[[#This Row],[Cuenta]],Table8[Nombre Cuenta ()],Table8[Nivel 2],"",0)</f>
        <v/>
      </c>
      <c r="T1850" t="str">
        <f>_xlfn.XLOOKUP(Table3[[#This Row],[Cuenta]],Table8[Nombre Cuenta ()],Table8[Nivel 3],"",0)</f>
        <v/>
      </c>
      <c r="U1850">
        <v>1830</v>
      </c>
      <c r="V1850" t="str">
        <f>_xlfn.XLOOKUP(Table3[[#This Row],[Cuenta]],Estructura_Balance[Nombre Cuenta ()],Estructura_Balance[Niveles:2],"",0)</f>
        <v/>
      </c>
      <c r="W1850" t="str">
        <f>_xlfn.XLOOKUP(Table3[[#This Row],[Cuenta]],Estructura_Balance[Nombre Cuenta ()],Estructura_Balance[Niveles:3],"",0)</f>
        <v/>
      </c>
      <c r="X1850" t="str">
        <f>_xlfn.XLOOKUP(Table3[[#This Row],[Cuenta]],Estructura_Balance[Nombre Cuenta ()],Estructura_Balance[Grupos],"Grupo 1",0)</f>
        <v>Grupo 1</v>
      </c>
      <c r="Y1850" t="str">
        <f>+Table3[[#This Row],[BS_Nivel_1]]</f>
        <v/>
      </c>
    </row>
    <row r="1851" spans="1:25" ht="15" customHeight="1">
      <c r="A1851">
        <f>+'Libro Diario'!F443</f>
        <v>52</v>
      </c>
      <c r="B1851" s="144">
        <f>VALUE(IF(+'Libro Diario'!G443="","01/01/2025",+'Libro Diario'!G443))</f>
        <v>46022</v>
      </c>
      <c r="C1851">
        <f>IF(ISNUMBER(+IF(IFERROR(VALUE(MID('Libro Diario'!C443,1,4)),0)&lt;&gt;0,'Libro Diario'!C443,0))=FALSE,'Libro Diario'!C443,0)</f>
        <v>0</v>
      </c>
      <c r="D1851" s="145">
        <f>+'Libro Diario'!B443</f>
        <v>0</v>
      </c>
      <c r="E1851" s="139" t="s">
        <v>445</v>
      </c>
      <c r="F1851" t="str">
        <f t="shared" si="84"/>
        <v>Sin Mov.</v>
      </c>
      <c r="G1851" t="str">
        <f>IF(+'Libro Diario'!H443=0,"",+'Libro Diario'!H443)</f>
        <v>Corrección Valorativa - Deterioro de Valor</v>
      </c>
      <c r="H1851" t="str">
        <f>IF(+'Libro Diario'!I443=0,"",+'Libro Diario'!I443)</f>
        <v/>
      </c>
      <c r="I1851" t="str">
        <f>+IF(Table3[[#This Row],[Tipo Movimiento]]="Estructura Balance y PyG","Excluir","Incluir")</f>
        <v>Incluir</v>
      </c>
      <c r="J1851" s="153">
        <f>+IF(Table3[[#This Row],[Sin cuenta]]="Con Mov.",(IF(Table3[[#This Row],[Movimiento]]="Debe",Table3[[#This Row],[Importe]],IF(Table3[[#This Row],[Movimiento]]="Haber",Table3[[#This Row],[Importe]]*-1,0))),0)</f>
        <v>0</v>
      </c>
      <c r="K1851" s="145">
        <f t="shared" si="85"/>
        <v>0</v>
      </c>
      <c r="L1851" s="145" t="str">
        <f t="shared" si="86"/>
        <v/>
      </c>
      <c r="M1851" t="str">
        <f>_xlfn.XLOOKUP(Table3[[#This Row],[Cuenta]],Estructura_Balance[Nombre Cuenta ()],Estructura_Balance[Grupo],"",0)</f>
        <v/>
      </c>
      <c r="N1851" t="str">
        <f>_xlfn.XLOOKUP(Table3[[#This Row],[Cuenta]],Estructura_Balance[Nombre Cuenta ()],Estructura_Balance[Nivel 1],"",0)</f>
        <v/>
      </c>
      <c r="O1851" t="str">
        <f>_xlfn.XLOOKUP(Table3[[#This Row],[Cuenta]],Estructura_Balance[Nombre Cuenta ()],Estructura_Balance[Nivel 2],"",0)</f>
        <v/>
      </c>
      <c r="P1851" t="str">
        <f>_xlfn.XLOOKUP(Table3[[#This Row],[Cuenta]],Estructura_Balance[Nombre Cuenta ()],Estructura_Balance[Nivel 3],"",0)</f>
        <v/>
      </c>
      <c r="Q1851" t="str">
        <f>_xlfn.XLOOKUP(Table3[[#This Row],[Cuenta]],Estructura_Balance[Nombre Cuenta ()],Estructura_Balance[Nivel 4],"",0)</f>
        <v/>
      </c>
      <c r="R1851" t="str">
        <f>_xlfn.XLOOKUP(Table3[[#This Row],[Cuenta]],Table8[Nombre Cuenta ()],Table8[Nivel 1],"",0)</f>
        <v/>
      </c>
      <c r="S1851" t="str">
        <f>_xlfn.XLOOKUP(Table3[[#This Row],[Cuenta]],Table8[Nombre Cuenta ()],Table8[Nivel 2],"",0)</f>
        <v/>
      </c>
      <c r="T1851" t="str">
        <f>_xlfn.XLOOKUP(Table3[[#This Row],[Cuenta]],Table8[Nombre Cuenta ()],Table8[Nivel 3],"",0)</f>
        <v/>
      </c>
      <c r="U1851">
        <v>634</v>
      </c>
      <c r="V1851" t="str">
        <f>_xlfn.XLOOKUP(Table3[[#This Row],[Cuenta]],Estructura_Balance[Nombre Cuenta ()],Estructura_Balance[Niveles:2],"",0)</f>
        <v/>
      </c>
      <c r="W1851" t="str">
        <f>_xlfn.XLOOKUP(Table3[[#This Row],[Cuenta]],Estructura_Balance[Nombre Cuenta ()],Estructura_Balance[Niveles:3],"",0)</f>
        <v/>
      </c>
      <c r="X1851" t="str">
        <f>_xlfn.XLOOKUP(Table3[[#This Row],[Cuenta]],Estructura_Balance[Nombre Cuenta ()],Estructura_Balance[Grupos],"Grupo 1",0)</f>
        <v>Grupo 1</v>
      </c>
      <c r="Y1851" t="str">
        <f>+Table3[[#This Row],[BS_Nivel_1]]</f>
        <v/>
      </c>
    </row>
    <row r="1852" spans="1:25" ht="15" customHeight="1">
      <c r="A1852">
        <f>+'Libro Diario'!F444</f>
        <v>52</v>
      </c>
      <c r="B1852" s="144">
        <f>VALUE(IF(+'Libro Diario'!G444="","01/01/2025",+'Libro Diario'!G444))</f>
        <v>46022</v>
      </c>
      <c r="C1852">
        <f>IF(ISNUMBER(+IF(IFERROR(VALUE(MID('Libro Diario'!C444,1,4)),0)&lt;&gt;0,'Libro Diario'!C444,0))=FALSE,'Libro Diario'!C444,0)</f>
        <v>0</v>
      </c>
      <c r="D1852" s="145">
        <f>+'Libro Diario'!B444</f>
        <v>0</v>
      </c>
      <c r="E1852" s="139" t="s">
        <v>445</v>
      </c>
      <c r="F1852" t="str">
        <f t="shared" si="84"/>
        <v>Sin Mov.</v>
      </c>
      <c r="G1852" t="str">
        <f>IF(+'Libro Diario'!H444=0,"",+'Libro Diario'!H444)</f>
        <v>Corrección Valorativa - Deterioro de Valor</v>
      </c>
      <c r="H1852" t="str">
        <f>IF(+'Libro Diario'!I444=0,"",+'Libro Diario'!I444)</f>
        <v/>
      </c>
      <c r="I1852" t="str">
        <f>+IF(Table3[[#This Row],[Tipo Movimiento]]="Estructura Balance y PyG","Excluir","Incluir")</f>
        <v>Incluir</v>
      </c>
      <c r="J1852" s="153">
        <f>+IF(Table3[[#This Row],[Sin cuenta]]="Con Mov.",(IF(Table3[[#This Row],[Movimiento]]="Debe",Table3[[#This Row],[Importe]],IF(Table3[[#This Row],[Movimiento]]="Haber",Table3[[#This Row],[Importe]]*-1,0))),0)</f>
        <v>0</v>
      </c>
      <c r="K1852" s="145">
        <f t="shared" si="85"/>
        <v>0</v>
      </c>
      <c r="L1852" s="145" t="str">
        <f t="shared" si="86"/>
        <v/>
      </c>
      <c r="M1852" t="str">
        <f>_xlfn.XLOOKUP(Table3[[#This Row],[Cuenta]],Estructura_Balance[Nombre Cuenta ()],Estructura_Balance[Grupo],"",0)</f>
        <v/>
      </c>
      <c r="N1852" t="str">
        <f>_xlfn.XLOOKUP(Table3[[#This Row],[Cuenta]],Estructura_Balance[Nombre Cuenta ()],Estructura_Balance[Nivel 1],"",0)</f>
        <v/>
      </c>
      <c r="O1852" t="str">
        <f>_xlfn.XLOOKUP(Table3[[#This Row],[Cuenta]],Estructura_Balance[Nombre Cuenta ()],Estructura_Balance[Nivel 2],"",0)</f>
        <v/>
      </c>
      <c r="P1852" t="str">
        <f>_xlfn.XLOOKUP(Table3[[#This Row],[Cuenta]],Estructura_Balance[Nombre Cuenta ()],Estructura_Balance[Nivel 3],"",0)</f>
        <v/>
      </c>
      <c r="Q1852" t="str">
        <f>_xlfn.XLOOKUP(Table3[[#This Row],[Cuenta]],Estructura_Balance[Nombre Cuenta ()],Estructura_Balance[Nivel 4],"",0)</f>
        <v/>
      </c>
      <c r="R1852" s="154" t="str">
        <f>_xlfn.XLOOKUP(Table3[[#This Row],[Cuenta]],Table8[Nombre Cuenta ()],Table8[Nivel 1],"",0)</f>
        <v/>
      </c>
      <c r="S1852" t="str">
        <f>_xlfn.XLOOKUP(Table3[[#This Row],[Cuenta]],Table8[Nombre Cuenta ()],Table8[Nivel 2],"",0)</f>
        <v/>
      </c>
      <c r="T1852" t="str">
        <f>_xlfn.XLOOKUP(Table3[[#This Row],[Cuenta]],Table8[Nombre Cuenta ()],Table8[Nivel 3],"",0)</f>
        <v/>
      </c>
      <c r="U1852">
        <v>635</v>
      </c>
      <c r="V1852" t="str">
        <f>_xlfn.XLOOKUP(Table3[[#This Row],[Cuenta]],Estructura_Balance[Nombre Cuenta ()],Estructura_Balance[Niveles:2],"",0)</f>
        <v/>
      </c>
      <c r="W1852" t="str">
        <f>_xlfn.XLOOKUP(Table3[[#This Row],[Cuenta]],Estructura_Balance[Nombre Cuenta ()],Estructura_Balance[Niveles:3],"",0)</f>
        <v/>
      </c>
      <c r="X1852" t="str">
        <f>_xlfn.XLOOKUP(Table3[[#This Row],[Cuenta]],Estructura_Balance[Nombre Cuenta ()],Estructura_Balance[Grupos],"Grupo 1",0)</f>
        <v>Grupo 1</v>
      </c>
      <c r="Y1852" t="str">
        <f>+Table3[[#This Row],[BS_Nivel_1]]</f>
        <v/>
      </c>
    </row>
    <row r="1853" spans="1:25" ht="15" customHeight="1">
      <c r="A1853">
        <f>+'Libro Diario'!F443</f>
        <v>52</v>
      </c>
      <c r="B1853" s="144">
        <f>VALUE(IF(+'Libro Diario'!G443="","01/01/2025",+'Libro Diario'!G443))</f>
        <v>46022</v>
      </c>
      <c r="C1853">
        <f>IF(ISNUMBER(+IF(IFERROR(VALUE(MID('Libro Diario'!D443,1,4)),0)&lt;&gt;0,'Libro Diario'!D443,0))=FALSE,'Libro Diario'!D443,0)</f>
        <v>0</v>
      </c>
      <c r="D1853" s="145">
        <f>+'Libro Diario'!E443</f>
        <v>0</v>
      </c>
      <c r="E1853" s="139" t="s">
        <v>446</v>
      </c>
      <c r="F1853" t="str">
        <f t="shared" si="84"/>
        <v>Sin Mov.</v>
      </c>
      <c r="G1853" t="str">
        <f>IF(+'Libro Diario'!H443=0,"",+'Libro Diario'!H443)</f>
        <v>Corrección Valorativa - Deterioro de Valor</v>
      </c>
      <c r="H1853" t="str">
        <f>IF(+'Libro Diario'!I443=0,"",+'Libro Diario'!I443)</f>
        <v/>
      </c>
      <c r="I1853" t="str">
        <f>+IF(Table3[[#This Row],[Tipo Movimiento]]="Estructura Balance y PyG","Excluir","Incluir")</f>
        <v>Incluir</v>
      </c>
      <c r="J1853" s="153">
        <f>+IF(Table3[[#This Row],[Sin cuenta]]="Con Mov.",(IF(Table3[[#This Row],[Movimiento]]="Debe",Table3[[#This Row],[Importe]],IF(Table3[[#This Row],[Movimiento]]="Haber",Table3[[#This Row],[Importe]]*-1,0))),0)</f>
        <v>0</v>
      </c>
      <c r="K1853" s="145" t="str">
        <f t="shared" si="85"/>
        <v/>
      </c>
      <c r="L1853" s="145">
        <f t="shared" si="86"/>
        <v>0</v>
      </c>
      <c r="M1853" t="str">
        <f>_xlfn.XLOOKUP(Table3[[#This Row],[Cuenta]],Estructura_Balance[Nombre Cuenta ()],Estructura_Balance[Grupo],"",0)</f>
        <v/>
      </c>
      <c r="N1853" t="str">
        <f>_xlfn.XLOOKUP(Table3[[#This Row],[Cuenta]],Estructura_Balance[Nombre Cuenta ()],Estructura_Balance[Nivel 1],"",0)</f>
        <v/>
      </c>
      <c r="O1853" t="str">
        <f>_xlfn.XLOOKUP(Table3[[#This Row],[Cuenta]],Estructura_Balance[Nombre Cuenta ()],Estructura_Balance[Nivel 2],"",0)</f>
        <v/>
      </c>
      <c r="P1853" t="str">
        <f>_xlfn.XLOOKUP(Table3[[#This Row],[Cuenta]],Estructura_Balance[Nombre Cuenta ()],Estructura_Balance[Nivel 3],"",0)</f>
        <v/>
      </c>
      <c r="Q1853" t="str">
        <f>_xlfn.XLOOKUP(Table3[[#This Row],[Cuenta]],Estructura_Balance[Nombre Cuenta ()],Estructura_Balance[Nivel 4],"",0)</f>
        <v/>
      </c>
      <c r="R1853" t="str">
        <f>_xlfn.XLOOKUP(Table3[[#This Row],[Cuenta]],Table8[Nombre Cuenta ()],Table8[Nivel 1],"",0)</f>
        <v/>
      </c>
      <c r="S1853" t="str">
        <f>_xlfn.XLOOKUP(Table3[[#This Row],[Cuenta]],Table8[Nombre Cuenta ()],Table8[Nivel 2],"",0)</f>
        <v/>
      </c>
      <c r="T1853" t="str">
        <f>_xlfn.XLOOKUP(Table3[[#This Row],[Cuenta]],Table8[Nombre Cuenta ()],Table8[Nivel 3],"",0)</f>
        <v/>
      </c>
      <c r="U1853">
        <v>1836</v>
      </c>
      <c r="V1853" t="str">
        <f>_xlfn.XLOOKUP(Table3[[#This Row],[Cuenta]],Estructura_Balance[Nombre Cuenta ()],Estructura_Balance[Niveles:2],"",0)</f>
        <v/>
      </c>
      <c r="W1853" t="str">
        <f>_xlfn.XLOOKUP(Table3[[#This Row],[Cuenta]],Estructura_Balance[Nombre Cuenta ()],Estructura_Balance[Niveles:3],"",0)</f>
        <v/>
      </c>
      <c r="X1853" t="str">
        <f>_xlfn.XLOOKUP(Table3[[#This Row],[Cuenta]],Estructura_Balance[Nombre Cuenta ()],Estructura_Balance[Grupos],"Grupo 1",0)</f>
        <v>Grupo 1</v>
      </c>
      <c r="Y1853" t="str">
        <f>+Table3[[#This Row],[BS_Nivel_1]]</f>
        <v/>
      </c>
    </row>
    <row r="1854" spans="1:25" ht="15" customHeight="1">
      <c r="A1854">
        <f>+'Libro Diario'!F444</f>
        <v>52</v>
      </c>
      <c r="B1854" s="144">
        <f>VALUE(IF(+'Libro Diario'!G444="","01/01/2025",+'Libro Diario'!G444))</f>
        <v>46022</v>
      </c>
      <c r="C1854">
        <f>IF(ISNUMBER(+IF(IFERROR(VALUE(MID('Libro Diario'!D444,1,4)),0)&lt;&gt;0,'Libro Diario'!D444,0))=FALSE,'Libro Diario'!D444,0)</f>
        <v>0</v>
      </c>
      <c r="D1854" s="145">
        <f>+'Libro Diario'!E444</f>
        <v>0</v>
      </c>
      <c r="E1854" s="139" t="s">
        <v>446</v>
      </c>
      <c r="F1854" t="str">
        <f t="shared" si="84"/>
        <v>Sin Mov.</v>
      </c>
      <c r="G1854" t="str">
        <f>IF(+'Libro Diario'!H444=0,"",+'Libro Diario'!H444)</f>
        <v>Corrección Valorativa - Deterioro de Valor</v>
      </c>
      <c r="H1854" t="str">
        <f>IF(+'Libro Diario'!I444=0,"",+'Libro Diario'!I444)</f>
        <v/>
      </c>
      <c r="I1854" t="str">
        <f>+IF(Table3[[#This Row],[Tipo Movimiento]]="Estructura Balance y PyG","Excluir","Incluir")</f>
        <v>Incluir</v>
      </c>
      <c r="J1854" s="153">
        <f>+IF(Table3[[#This Row],[Sin cuenta]]="Con Mov.",(IF(Table3[[#This Row],[Movimiento]]="Debe",Table3[[#This Row],[Importe]],IF(Table3[[#This Row],[Movimiento]]="Haber",Table3[[#This Row],[Importe]]*-1,0))),0)</f>
        <v>0</v>
      </c>
      <c r="K1854" s="145" t="str">
        <f t="shared" si="85"/>
        <v/>
      </c>
      <c r="L1854" s="145">
        <f t="shared" si="86"/>
        <v>0</v>
      </c>
      <c r="M1854" t="str">
        <f>_xlfn.XLOOKUP(Table3[[#This Row],[Cuenta]],Estructura_Balance[Nombre Cuenta ()],Estructura_Balance[Grupo],"",0)</f>
        <v/>
      </c>
      <c r="N1854" t="str">
        <f>_xlfn.XLOOKUP(Table3[[#This Row],[Cuenta]],Estructura_Balance[Nombre Cuenta ()],Estructura_Balance[Nivel 1],"",0)</f>
        <v/>
      </c>
      <c r="O1854" t="str">
        <f>_xlfn.XLOOKUP(Table3[[#This Row],[Cuenta]],Estructura_Balance[Nombre Cuenta ()],Estructura_Balance[Nivel 2],"",0)</f>
        <v/>
      </c>
      <c r="P1854" t="str">
        <f>_xlfn.XLOOKUP(Table3[[#This Row],[Cuenta]],Estructura_Balance[Nombre Cuenta ()],Estructura_Balance[Nivel 3],"",0)</f>
        <v/>
      </c>
      <c r="Q1854" t="str">
        <f>_xlfn.XLOOKUP(Table3[[#This Row],[Cuenta]],Estructura_Balance[Nombre Cuenta ()],Estructura_Balance[Nivel 4],"",0)</f>
        <v/>
      </c>
      <c r="R1854" t="str">
        <f>_xlfn.XLOOKUP(Table3[[#This Row],[Cuenta]],Table8[Nombre Cuenta ()],Table8[Nivel 1],"",0)</f>
        <v/>
      </c>
      <c r="S1854" t="str">
        <f>_xlfn.XLOOKUP(Table3[[#This Row],[Cuenta]],Table8[Nombre Cuenta ()],Table8[Nivel 2],"",0)</f>
        <v/>
      </c>
      <c r="T1854" t="str">
        <f>_xlfn.XLOOKUP(Table3[[#This Row],[Cuenta]],Table8[Nombre Cuenta ()],Table8[Nivel 3],"",0)</f>
        <v/>
      </c>
      <c r="U1854">
        <v>1837</v>
      </c>
      <c r="V1854" t="str">
        <f>_xlfn.XLOOKUP(Table3[[#This Row],[Cuenta]],Estructura_Balance[Nombre Cuenta ()],Estructura_Balance[Niveles:2],"",0)</f>
        <v/>
      </c>
      <c r="W1854" t="str">
        <f>_xlfn.XLOOKUP(Table3[[#This Row],[Cuenta]],Estructura_Balance[Nombre Cuenta ()],Estructura_Balance[Niveles:3],"",0)</f>
        <v/>
      </c>
      <c r="X1854" t="str">
        <f>_xlfn.XLOOKUP(Table3[[#This Row],[Cuenta]],Estructura_Balance[Nombre Cuenta ()],Estructura_Balance[Grupos],"Grupo 1",0)</f>
        <v>Grupo 1</v>
      </c>
      <c r="Y1854" t="str">
        <f>+Table3[[#This Row],[BS_Nivel_1]]</f>
        <v/>
      </c>
    </row>
    <row r="1855" spans="1:25" ht="15" customHeight="1">
      <c r="A1855">
        <f>+'Libro Diario'!F450</f>
        <v>53</v>
      </c>
      <c r="B1855" s="144">
        <f>VALUE(IF(+'Libro Diario'!G450="","01/01/2025",+'Libro Diario'!G450))</f>
        <v>46022</v>
      </c>
      <c r="C1855">
        <f>IF(ISNUMBER(+IF(IFERROR(VALUE(MID('Libro Diario'!C450,1,4)),0)&lt;&gt;0,'Libro Diario'!C450,0))=FALSE,'Libro Diario'!C450,0)</f>
        <v>0</v>
      </c>
      <c r="D1855" s="145">
        <f>+'Libro Diario'!B450</f>
        <v>0</v>
      </c>
      <c r="E1855" s="139" t="s">
        <v>445</v>
      </c>
      <c r="F1855" t="str">
        <f t="shared" si="84"/>
        <v>Sin Mov.</v>
      </c>
      <c r="G1855" t="str">
        <f>IF(+'Libro Diario'!H450=0,"",+'Libro Diario'!H450)</f>
        <v>Corrección Valorativa - Deterioro de Valor</v>
      </c>
      <c r="H1855" t="str">
        <f>IF(+'Libro Diario'!I450=0,"",+'Libro Diario'!I450)</f>
        <v/>
      </c>
      <c r="I1855" t="str">
        <f>+IF(Table3[[#This Row],[Tipo Movimiento]]="Estructura Balance y PyG","Excluir","Incluir")</f>
        <v>Incluir</v>
      </c>
      <c r="J1855" s="153">
        <f>+IF(Table3[[#This Row],[Sin cuenta]]="Con Mov.",(IF(Table3[[#This Row],[Movimiento]]="Debe",Table3[[#This Row],[Importe]],IF(Table3[[#This Row],[Movimiento]]="Haber",Table3[[#This Row],[Importe]]*-1,0))),0)</f>
        <v>0</v>
      </c>
      <c r="K1855" s="145">
        <f t="shared" si="85"/>
        <v>0</v>
      </c>
      <c r="L1855" s="145" t="str">
        <f t="shared" si="86"/>
        <v/>
      </c>
      <c r="M1855" t="str">
        <f>_xlfn.XLOOKUP(Table3[[#This Row],[Cuenta]],Estructura_Balance[Nombre Cuenta ()],Estructura_Balance[Grupo],"",0)</f>
        <v/>
      </c>
      <c r="N1855" t="str">
        <f>_xlfn.XLOOKUP(Table3[[#This Row],[Cuenta]],Estructura_Balance[Nombre Cuenta ()],Estructura_Balance[Nivel 1],"",0)</f>
        <v/>
      </c>
      <c r="O1855" t="str">
        <f>_xlfn.XLOOKUP(Table3[[#This Row],[Cuenta]],Estructura_Balance[Nombre Cuenta ()],Estructura_Balance[Nivel 2],"",0)</f>
        <v/>
      </c>
      <c r="P1855" t="str">
        <f>_xlfn.XLOOKUP(Table3[[#This Row],[Cuenta]],Estructura_Balance[Nombre Cuenta ()],Estructura_Balance[Nivel 3],"",0)</f>
        <v/>
      </c>
      <c r="Q1855" t="str">
        <f>_xlfn.XLOOKUP(Table3[[#This Row],[Cuenta]],Estructura_Balance[Nombre Cuenta ()],Estructura_Balance[Nivel 4],"",0)</f>
        <v/>
      </c>
      <c r="R1855" s="154" t="str">
        <f>_xlfn.XLOOKUP(Table3[[#This Row],[Cuenta]],Table8[Nombre Cuenta ()],Table8[Nivel 1],"",0)</f>
        <v/>
      </c>
      <c r="S1855" t="str">
        <f>_xlfn.XLOOKUP(Table3[[#This Row],[Cuenta]],Table8[Nombre Cuenta ()],Table8[Nivel 2],"",0)</f>
        <v/>
      </c>
      <c r="T1855" t="str">
        <f>_xlfn.XLOOKUP(Table3[[#This Row],[Cuenta]],Table8[Nombre Cuenta ()],Table8[Nivel 3],"",0)</f>
        <v/>
      </c>
      <c r="U1855">
        <v>641</v>
      </c>
      <c r="V1855" t="str">
        <f>_xlfn.XLOOKUP(Table3[[#This Row],[Cuenta]],Estructura_Balance[Nombre Cuenta ()],Estructura_Balance[Niveles:2],"",0)</f>
        <v/>
      </c>
      <c r="W1855" t="str">
        <f>_xlfn.XLOOKUP(Table3[[#This Row],[Cuenta]],Estructura_Balance[Nombre Cuenta ()],Estructura_Balance[Niveles:3],"",0)</f>
        <v/>
      </c>
      <c r="X1855" t="str">
        <f>_xlfn.XLOOKUP(Table3[[#This Row],[Cuenta]],Estructura_Balance[Nombre Cuenta ()],Estructura_Balance[Grupos],"Grupo 1",0)</f>
        <v>Grupo 1</v>
      </c>
      <c r="Y1855" t="str">
        <f>+Table3[[#This Row],[BS_Nivel_1]]</f>
        <v/>
      </c>
    </row>
    <row r="1856" spans="1:25" ht="15" customHeight="1">
      <c r="A1856">
        <f>+'Libro Diario'!F451</f>
        <v>53</v>
      </c>
      <c r="B1856" s="144">
        <f>VALUE(IF(+'Libro Diario'!G451="","01/01/2025",+'Libro Diario'!G451))</f>
        <v>46022</v>
      </c>
      <c r="C1856">
        <f>IF(ISNUMBER(+IF(IFERROR(VALUE(MID('Libro Diario'!C451,1,4)),0)&lt;&gt;0,'Libro Diario'!C451,0))=FALSE,'Libro Diario'!C451,0)</f>
        <v>0</v>
      </c>
      <c r="D1856" s="145">
        <f>+'Libro Diario'!B451</f>
        <v>0</v>
      </c>
      <c r="E1856" s="139" t="s">
        <v>445</v>
      </c>
      <c r="F1856" t="str">
        <f t="shared" si="84"/>
        <v>Sin Mov.</v>
      </c>
      <c r="G1856" t="str">
        <f>IF(+'Libro Diario'!H451=0,"",+'Libro Diario'!H451)</f>
        <v>Corrección Valorativa - Deterioro de Valor</v>
      </c>
      <c r="H1856" t="str">
        <f>IF(+'Libro Diario'!I451=0,"",+'Libro Diario'!I451)</f>
        <v/>
      </c>
      <c r="I1856" t="str">
        <f>+IF(Table3[[#This Row],[Tipo Movimiento]]="Estructura Balance y PyG","Excluir","Incluir")</f>
        <v>Incluir</v>
      </c>
      <c r="J1856" s="153">
        <f>+IF(Table3[[#This Row],[Sin cuenta]]="Con Mov.",(IF(Table3[[#This Row],[Movimiento]]="Debe",Table3[[#This Row],[Importe]],IF(Table3[[#This Row],[Movimiento]]="Haber",Table3[[#This Row],[Importe]]*-1,0))),0)</f>
        <v>0</v>
      </c>
      <c r="K1856" s="145">
        <f t="shared" si="85"/>
        <v>0</v>
      </c>
      <c r="L1856" s="145" t="str">
        <f t="shared" si="86"/>
        <v/>
      </c>
      <c r="M1856" t="str">
        <f>_xlfn.XLOOKUP(Table3[[#This Row],[Cuenta]],Estructura_Balance[Nombre Cuenta ()],Estructura_Balance[Grupo],"",0)</f>
        <v/>
      </c>
      <c r="N1856" t="str">
        <f>_xlfn.XLOOKUP(Table3[[#This Row],[Cuenta]],Estructura_Balance[Nombre Cuenta ()],Estructura_Balance[Nivel 1],"",0)</f>
        <v/>
      </c>
      <c r="O1856" t="str">
        <f>_xlfn.XLOOKUP(Table3[[#This Row],[Cuenta]],Estructura_Balance[Nombre Cuenta ()],Estructura_Balance[Nivel 2],"",0)</f>
        <v/>
      </c>
      <c r="P1856" t="str">
        <f>_xlfn.XLOOKUP(Table3[[#This Row],[Cuenta]],Estructura_Balance[Nombre Cuenta ()],Estructura_Balance[Nivel 3],"",0)</f>
        <v/>
      </c>
      <c r="Q1856" t="str">
        <f>_xlfn.XLOOKUP(Table3[[#This Row],[Cuenta]],Estructura_Balance[Nombre Cuenta ()],Estructura_Balance[Nivel 4],"",0)</f>
        <v/>
      </c>
      <c r="R1856" t="str">
        <f>_xlfn.XLOOKUP(Table3[[#This Row],[Cuenta]],Table8[Nombre Cuenta ()],Table8[Nivel 1],"",0)</f>
        <v/>
      </c>
      <c r="S1856" t="str">
        <f>_xlfn.XLOOKUP(Table3[[#This Row],[Cuenta]],Table8[Nombre Cuenta ()],Table8[Nivel 2],"",0)</f>
        <v/>
      </c>
      <c r="T1856" t="str">
        <f>_xlfn.XLOOKUP(Table3[[#This Row],[Cuenta]],Table8[Nombre Cuenta ()],Table8[Nivel 3],"",0)</f>
        <v/>
      </c>
      <c r="U1856">
        <v>642</v>
      </c>
      <c r="V1856" t="str">
        <f>_xlfn.XLOOKUP(Table3[[#This Row],[Cuenta]],Estructura_Balance[Nombre Cuenta ()],Estructura_Balance[Niveles:2],"",0)</f>
        <v/>
      </c>
      <c r="W1856" t="str">
        <f>_xlfn.XLOOKUP(Table3[[#This Row],[Cuenta]],Estructura_Balance[Nombre Cuenta ()],Estructura_Balance[Niveles:3],"",0)</f>
        <v/>
      </c>
      <c r="X1856" t="str">
        <f>_xlfn.XLOOKUP(Table3[[#This Row],[Cuenta]],Estructura_Balance[Nombre Cuenta ()],Estructura_Balance[Grupos],"Grupo 1",0)</f>
        <v>Grupo 1</v>
      </c>
      <c r="Y1856" t="str">
        <f>+Table3[[#This Row],[BS_Nivel_1]]</f>
        <v/>
      </c>
    </row>
    <row r="1857" spans="1:25" ht="15" customHeight="1">
      <c r="A1857">
        <f>+'Libro Diario'!F450</f>
        <v>53</v>
      </c>
      <c r="B1857" s="144">
        <f>VALUE(IF(+'Libro Diario'!G450="","01/01/2025",+'Libro Diario'!G450))</f>
        <v>46022</v>
      </c>
      <c r="C1857">
        <f>IF(ISNUMBER(+IF(IFERROR(VALUE(MID('Libro Diario'!D450,1,4)),0)&lt;&gt;0,'Libro Diario'!D450,0))=FALSE,'Libro Diario'!D450,0)</f>
        <v>0</v>
      </c>
      <c r="D1857" s="145">
        <f>+'Libro Diario'!E450</f>
        <v>0</v>
      </c>
      <c r="E1857" s="139" t="s">
        <v>446</v>
      </c>
      <c r="F1857" t="str">
        <f t="shared" si="84"/>
        <v>Sin Mov.</v>
      </c>
      <c r="G1857" t="str">
        <f>IF(+'Libro Diario'!H450=0,"",+'Libro Diario'!H450)</f>
        <v>Corrección Valorativa - Deterioro de Valor</v>
      </c>
      <c r="H1857" t="str">
        <f>IF(+'Libro Diario'!I450=0,"",+'Libro Diario'!I450)</f>
        <v/>
      </c>
      <c r="I1857" t="str">
        <f>+IF(Table3[[#This Row],[Tipo Movimiento]]="Estructura Balance y PyG","Excluir","Incluir")</f>
        <v>Incluir</v>
      </c>
      <c r="J1857" s="153">
        <f>+IF(Table3[[#This Row],[Sin cuenta]]="Con Mov.",(IF(Table3[[#This Row],[Movimiento]]="Debe",Table3[[#This Row],[Importe]],IF(Table3[[#This Row],[Movimiento]]="Haber",Table3[[#This Row],[Importe]]*-1,0))),0)</f>
        <v>0</v>
      </c>
      <c r="K1857" s="145" t="str">
        <f t="shared" si="85"/>
        <v/>
      </c>
      <c r="L1857" s="145">
        <f t="shared" si="86"/>
        <v>0</v>
      </c>
      <c r="M1857" t="str">
        <f>_xlfn.XLOOKUP(Table3[[#This Row],[Cuenta]],Estructura_Balance[Nombre Cuenta ()],Estructura_Balance[Grupo],"",0)</f>
        <v/>
      </c>
      <c r="N1857" t="str">
        <f>_xlfn.XLOOKUP(Table3[[#This Row],[Cuenta]],Estructura_Balance[Nombre Cuenta ()],Estructura_Balance[Nivel 1],"",0)</f>
        <v/>
      </c>
      <c r="O1857" t="str">
        <f>_xlfn.XLOOKUP(Table3[[#This Row],[Cuenta]],Estructura_Balance[Nombre Cuenta ()],Estructura_Balance[Nivel 2],"",0)</f>
        <v/>
      </c>
      <c r="P1857" t="str">
        <f>_xlfn.XLOOKUP(Table3[[#This Row],[Cuenta]],Estructura_Balance[Nombre Cuenta ()],Estructura_Balance[Nivel 3],"",0)</f>
        <v/>
      </c>
      <c r="Q1857" t="str">
        <f>_xlfn.XLOOKUP(Table3[[#This Row],[Cuenta]],Estructura_Balance[Nombre Cuenta ()],Estructura_Balance[Nivel 4],"",0)</f>
        <v/>
      </c>
      <c r="R1857" t="str">
        <f>_xlfn.XLOOKUP(Table3[[#This Row],[Cuenta]],Table8[Nombre Cuenta ()],Table8[Nivel 1],"",0)</f>
        <v/>
      </c>
      <c r="S1857" t="str">
        <f>_xlfn.XLOOKUP(Table3[[#This Row],[Cuenta]],Table8[Nombre Cuenta ()],Table8[Nivel 2],"",0)</f>
        <v/>
      </c>
      <c r="T1857" t="str">
        <f>_xlfn.XLOOKUP(Table3[[#This Row],[Cuenta]],Table8[Nombre Cuenta ()],Table8[Nivel 3],"",0)</f>
        <v/>
      </c>
      <c r="U1857">
        <v>1843</v>
      </c>
      <c r="V1857" t="str">
        <f>_xlfn.XLOOKUP(Table3[[#This Row],[Cuenta]],Estructura_Balance[Nombre Cuenta ()],Estructura_Balance[Niveles:2],"",0)</f>
        <v/>
      </c>
      <c r="W1857" t="str">
        <f>_xlfn.XLOOKUP(Table3[[#This Row],[Cuenta]],Estructura_Balance[Nombre Cuenta ()],Estructura_Balance[Niveles:3],"",0)</f>
        <v/>
      </c>
      <c r="X1857" t="str">
        <f>_xlfn.XLOOKUP(Table3[[#This Row],[Cuenta]],Estructura_Balance[Nombre Cuenta ()],Estructura_Balance[Grupos],"Grupo 1",0)</f>
        <v>Grupo 1</v>
      </c>
      <c r="Y1857" t="str">
        <f>+Table3[[#This Row],[BS_Nivel_1]]</f>
        <v/>
      </c>
    </row>
    <row r="1858" spans="1:25" ht="15" customHeight="1">
      <c r="A1858">
        <f>+'Libro Diario'!F451</f>
        <v>53</v>
      </c>
      <c r="B1858" s="144">
        <f>VALUE(IF(+'Libro Diario'!G451="","01/01/2025",+'Libro Diario'!G451))</f>
        <v>46022</v>
      </c>
      <c r="C1858">
        <f>IF(ISNUMBER(+IF(IFERROR(VALUE(MID('Libro Diario'!D451,1,4)),0)&lt;&gt;0,'Libro Diario'!D451,0))=FALSE,'Libro Diario'!D451,0)</f>
        <v>0</v>
      </c>
      <c r="D1858" s="145">
        <f>+'Libro Diario'!E451</f>
        <v>0</v>
      </c>
      <c r="E1858" s="139" t="s">
        <v>446</v>
      </c>
      <c r="F1858" t="str">
        <f t="shared" si="84"/>
        <v>Sin Mov.</v>
      </c>
      <c r="G1858" t="str">
        <f>IF(+'Libro Diario'!H451=0,"",+'Libro Diario'!H451)</f>
        <v>Corrección Valorativa - Deterioro de Valor</v>
      </c>
      <c r="H1858" t="str">
        <f>IF(+'Libro Diario'!I451=0,"",+'Libro Diario'!I451)</f>
        <v/>
      </c>
      <c r="I1858" t="str">
        <f>+IF(Table3[[#This Row],[Tipo Movimiento]]="Estructura Balance y PyG","Excluir","Incluir")</f>
        <v>Incluir</v>
      </c>
      <c r="J1858" s="153">
        <f>+IF(Table3[[#This Row],[Sin cuenta]]="Con Mov.",(IF(Table3[[#This Row],[Movimiento]]="Debe",Table3[[#This Row],[Importe]],IF(Table3[[#This Row],[Movimiento]]="Haber",Table3[[#This Row],[Importe]]*-1,0))),0)</f>
        <v>0</v>
      </c>
      <c r="K1858" s="145" t="str">
        <f t="shared" si="85"/>
        <v/>
      </c>
      <c r="L1858" s="145">
        <f t="shared" si="86"/>
        <v>0</v>
      </c>
      <c r="M1858" t="str">
        <f>_xlfn.XLOOKUP(Table3[[#This Row],[Cuenta]],Estructura_Balance[Nombre Cuenta ()],Estructura_Balance[Grupo],"",0)</f>
        <v/>
      </c>
      <c r="N1858" t="str">
        <f>_xlfn.XLOOKUP(Table3[[#This Row],[Cuenta]],Estructura_Balance[Nombre Cuenta ()],Estructura_Balance[Nivel 1],"",0)</f>
        <v/>
      </c>
      <c r="O1858" t="str">
        <f>_xlfn.XLOOKUP(Table3[[#This Row],[Cuenta]],Estructura_Balance[Nombre Cuenta ()],Estructura_Balance[Nivel 2],"",0)</f>
        <v/>
      </c>
      <c r="P1858" t="str">
        <f>_xlfn.XLOOKUP(Table3[[#This Row],[Cuenta]],Estructura_Balance[Nombre Cuenta ()],Estructura_Balance[Nivel 3],"",0)</f>
        <v/>
      </c>
      <c r="Q1858" t="str">
        <f>_xlfn.XLOOKUP(Table3[[#This Row],[Cuenta]],Estructura_Balance[Nombre Cuenta ()],Estructura_Balance[Nivel 4],"",0)</f>
        <v/>
      </c>
      <c r="R1858" t="str">
        <f>_xlfn.XLOOKUP(Table3[[#This Row],[Cuenta]],Table8[Nombre Cuenta ()],Table8[Nivel 1],"",0)</f>
        <v/>
      </c>
      <c r="S1858" t="str">
        <f>_xlfn.XLOOKUP(Table3[[#This Row],[Cuenta]],Table8[Nombre Cuenta ()],Table8[Nivel 2],"",0)</f>
        <v/>
      </c>
      <c r="T1858" t="str">
        <f>_xlfn.XLOOKUP(Table3[[#This Row],[Cuenta]],Table8[Nombre Cuenta ()],Table8[Nivel 3],"",0)</f>
        <v/>
      </c>
      <c r="U1858">
        <v>1844</v>
      </c>
      <c r="V1858" t="str">
        <f>_xlfn.XLOOKUP(Table3[[#This Row],[Cuenta]],Estructura_Balance[Nombre Cuenta ()],Estructura_Balance[Niveles:2],"",0)</f>
        <v/>
      </c>
      <c r="W1858" t="str">
        <f>_xlfn.XLOOKUP(Table3[[#This Row],[Cuenta]],Estructura_Balance[Nombre Cuenta ()],Estructura_Balance[Niveles:3],"",0)</f>
        <v/>
      </c>
      <c r="X1858" t="str">
        <f>_xlfn.XLOOKUP(Table3[[#This Row],[Cuenta]],Estructura_Balance[Nombre Cuenta ()],Estructura_Balance[Grupos],"Grupo 1",0)</f>
        <v>Grupo 1</v>
      </c>
      <c r="Y1858" t="str">
        <f>+Table3[[#This Row],[BS_Nivel_1]]</f>
        <v/>
      </c>
    </row>
    <row r="1859" spans="1:25" ht="15" customHeight="1">
      <c r="A1859">
        <f>+'Libro Diario'!F457</f>
        <v>54</v>
      </c>
      <c r="B1859" s="144">
        <f>VALUE(IF(+'Libro Diario'!G457="","01/01/2025",+'Libro Diario'!G457))</f>
        <v>46022</v>
      </c>
      <c r="C1859">
        <f>IF(ISNUMBER(+IF(IFERROR(VALUE(MID('Libro Diario'!C457,1,4)),0)&lt;&gt;0,'Libro Diario'!C457,0))=FALSE,'Libro Diario'!C457,0)</f>
        <v>0</v>
      </c>
      <c r="D1859" s="145">
        <f>+'Libro Diario'!B457</f>
        <v>0</v>
      </c>
      <c r="E1859" s="139" t="s">
        <v>445</v>
      </c>
      <c r="F1859" t="str">
        <f t="shared" ref="F1859:F1922" si="87">+IF(C1859=0,"Sin Mov.","Con Mov.")</f>
        <v>Sin Mov.</v>
      </c>
      <c r="G1859" t="str">
        <f>IF(+'Libro Diario'!H457=0,"",+'Libro Diario'!H457)</f>
        <v>Corrección Valorativa - Deterioro de Valor</v>
      </c>
      <c r="H1859" t="str">
        <f>IF(+'Libro Diario'!I457=0,"",+'Libro Diario'!I457)</f>
        <v/>
      </c>
      <c r="I1859" t="str">
        <f>+IF(Table3[[#This Row],[Tipo Movimiento]]="Estructura Balance y PyG","Excluir","Incluir")</f>
        <v>Incluir</v>
      </c>
      <c r="J1859" s="153">
        <f>+IF(Table3[[#This Row],[Sin cuenta]]="Con Mov.",(IF(Table3[[#This Row],[Movimiento]]="Debe",Table3[[#This Row],[Importe]],IF(Table3[[#This Row],[Movimiento]]="Haber",Table3[[#This Row],[Importe]]*-1,0))),0)</f>
        <v>0</v>
      </c>
      <c r="K1859" s="145">
        <f t="shared" ref="K1859:K1922" si="88">+IF(E1859="Debe",D1859,"")</f>
        <v>0</v>
      </c>
      <c r="L1859" s="145" t="str">
        <f t="shared" ref="L1859:L1922" si="89">+IF(E1859="Haber",D1859,"")</f>
        <v/>
      </c>
      <c r="M1859" t="str">
        <f>_xlfn.XLOOKUP(Table3[[#This Row],[Cuenta]],Estructura_Balance[Nombre Cuenta ()],Estructura_Balance[Grupo],"",0)</f>
        <v/>
      </c>
      <c r="N1859" t="str">
        <f>_xlfn.XLOOKUP(Table3[[#This Row],[Cuenta]],Estructura_Balance[Nombre Cuenta ()],Estructura_Balance[Nivel 1],"",0)</f>
        <v/>
      </c>
      <c r="O1859" t="str">
        <f>_xlfn.XLOOKUP(Table3[[#This Row],[Cuenta]],Estructura_Balance[Nombre Cuenta ()],Estructura_Balance[Nivel 2],"",0)</f>
        <v/>
      </c>
      <c r="P1859" t="str">
        <f>_xlfn.XLOOKUP(Table3[[#This Row],[Cuenta]],Estructura_Balance[Nombre Cuenta ()],Estructura_Balance[Nivel 3],"",0)</f>
        <v/>
      </c>
      <c r="Q1859" t="str">
        <f>_xlfn.XLOOKUP(Table3[[#This Row],[Cuenta]],Estructura_Balance[Nombre Cuenta ()],Estructura_Balance[Nivel 4],"",0)</f>
        <v/>
      </c>
      <c r="R1859" s="154" t="str">
        <f>_xlfn.XLOOKUP(Table3[[#This Row],[Cuenta]],Table8[Nombre Cuenta ()],Table8[Nivel 1],"",0)</f>
        <v/>
      </c>
      <c r="S1859" t="str">
        <f>_xlfn.XLOOKUP(Table3[[#This Row],[Cuenta]],Table8[Nombre Cuenta ()],Table8[Nivel 2],"",0)</f>
        <v/>
      </c>
      <c r="T1859" t="str">
        <f>_xlfn.XLOOKUP(Table3[[#This Row],[Cuenta]],Table8[Nombre Cuenta ()],Table8[Nivel 3],"",0)</f>
        <v/>
      </c>
      <c r="U1859">
        <v>648</v>
      </c>
      <c r="V1859" t="str">
        <f>_xlfn.XLOOKUP(Table3[[#This Row],[Cuenta]],Estructura_Balance[Nombre Cuenta ()],Estructura_Balance[Niveles:2],"",0)</f>
        <v/>
      </c>
      <c r="W1859" t="str">
        <f>_xlfn.XLOOKUP(Table3[[#This Row],[Cuenta]],Estructura_Balance[Nombre Cuenta ()],Estructura_Balance[Niveles:3],"",0)</f>
        <v/>
      </c>
      <c r="X1859" t="str">
        <f>_xlfn.XLOOKUP(Table3[[#This Row],[Cuenta]],Estructura_Balance[Nombre Cuenta ()],Estructura_Balance[Grupos],"Grupo 1",0)</f>
        <v>Grupo 1</v>
      </c>
      <c r="Y1859" t="str">
        <f>+Table3[[#This Row],[BS_Nivel_1]]</f>
        <v/>
      </c>
    </row>
    <row r="1860" spans="1:25" ht="15" customHeight="1">
      <c r="A1860">
        <f>+'Libro Diario'!F458</f>
        <v>54</v>
      </c>
      <c r="B1860" s="144">
        <f>VALUE(IF(+'Libro Diario'!G458="","01/01/2025",+'Libro Diario'!G458))</f>
        <v>46022</v>
      </c>
      <c r="C1860">
        <f>IF(ISNUMBER(+IF(IFERROR(VALUE(MID('Libro Diario'!C458,1,4)),0)&lt;&gt;0,'Libro Diario'!C458,0))=FALSE,'Libro Diario'!C458,0)</f>
        <v>0</v>
      </c>
      <c r="D1860" s="145">
        <f>+'Libro Diario'!B458</f>
        <v>0</v>
      </c>
      <c r="E1860" s="139" t="s">
        <v>445</v>
      </c>
      <c r="F1860" t="str">
        <f t="shared" si="87"/>
        <v>Sin Mov.</v>
      </c>
      <c r="G1860" t="str">
        <f>IF(+'Libro Diario'!H458=0,"",+'Libro Diario'!H458)</f>
        <v>Corrección Valorativa - Deterioro de Valor</v>
      </c>
      <c r="H1860" t="str">
        <f>IF(+'Libro Diario'!I458=0,"",+'Libro Diario'!I458)</f>
        <v/>
      </c>
      <c r="I1860" t="str">
        <f>+IF(Table3[[#This Row],[Tipo Movimiento]]="Estructura Balance y PyG","Excluir","Incluir")</f>
        <v>Incluir</v>
      </c>
      <c r="J1860" s="153">
        <f>+IF(Table3[[#This Row],[Sin cuenta]]="Con Mov.",(IF(Table3[[#This Row],[Movimiento]]="Debe",Table3[[#This Row],[Importe]],IF(Table3[[#This Row],[Movimiento]]="Haber",Table3[[#This Row],[Importe]]*-1,0))),0)</f>
        <v>0</v>
      </c>
      <c r="K1860" s="145">
        <f t="shared" si="88"/>
        <v>0</v>
      </c>
      <c r="L1860" s="145" t="str">
        <f t="shared" si="89"/>
        <v/>
      </c>
      <c r="M1860" t="str">
        <f>_xlfn.XLOOKUP(Table3[[#This Row],[Cuenta]],Estructura_Balance[Nombre Cuenta ()],Estructura_Balance[Grupo],"",0)</f>
        <v/>
      </c>
      <c r="N1860" t="str">
        <f>_xlfn.XLOOKUP(Table3[[#This Row],[Cuenta]],Estructura_Balance[Nombre Cuenta ()],Estructura_Balance[Nivel 1],"",0)</f>
        <v/>
      </c>
      <c r="O1860" t="str">
        <f>_xlfn.XLOOKUP(Table3[[#This Row],[Cuenta]],Estructura_Balance[Nombre Cuenta ()],Estructura_Balance[Nivel 2],"",0)</f>
        <v/>
      </c>
      <c r="P1860" t="str">
        <f>_xlfn.XLOOKUP(Table3[[#This Row],[Cuenta]],Estructura_Balance[Nombre Cuenta ()],Estructura_Balance[Nivel 3],"",0)</f>
        <v/>
      </c>
      <c r="Q1860" t="str">
        <f>_xlfn.XLOOKUP(Table3[[#This Row],[Cuenta]],Estructura_Balance[Nombre Cuenta ()],Estructura_Balance[Nivel 4],"",0)</f>
        <v/>
      </c>
      <c r="R1860" s="154" t="str">
        <f>_xlfn.XLOOKUP(Table3[[#This Row],[Cuenta]],Table8[Nombre Cuenta ()],Table8[Nivel 1],"",0)</f>
        <v/>
      </c>
      <c r="S1860" t="str">
        <f>_xlfn.XLOOKUP(Table3[[#This Row],[Cuenta]],Table8[Nombre Cuenta ()],Table8[Nivel 2],"",0)</f>
        <v/>
      </c>
      <c r="T1860" t="str">
        <f>_xlfn.XLOOKUP(Table3[[#This Row],[Cuenta]],Table8[Nombre Cuenta ()],Table8[Nivel 3],"",0)</f>
        <v/>
      </c>
      <c r="U1860">
        <v>649</v>
      </c>
      <c r="V1860" t="str">
        <f>_xlfn.XLOOKUP(Table3[[#This Row],[Cuenta]],Estructura_Balance[Nombre Cuenta ()],Estructura_Balance[Niveles:2],"",0)</f>
        <v/>
      </c>
      <c r="W1860" t="str">
        <f>_xlfn.XLOOKUP(Table3[[#This Row],[Cuenta]],Estructura_Balance[Nombre Cuenta ()],Estructura_Balance[Niveles:3],"",0)</f>
        <v/>
      </c>
      <c r="X1860" t="str">
        <f>_xlfn.XLOOKUP(Table3[[#This Row],[Cuenta]],Estructura_Balance[Nombre Cuenta ()],Estructura_Balance[Grupos],"Grupo 1",0)</f>
        <v>Grupo 1</v>
      </c>
      <c r="Y1860" t="str">
        <f>+Table3[[#This Row],[BS_Nivel_1]]</f>
        <v/>
      </c>
    </row>
    <row r="1861" spans="1:25" ht="15" customHeight="1">
      <c r="A1861">
        <f>+'Libro Diario'!F457</f>
        <v>54</v>
      </c>
      <c r="B1861" s="144">
        <f>VALUE(IF(+'Libro Diario'!G457="","01/01/2025",+'Libro Diario'!G457))</f>
        <v>46022</v>
      </c>
      <c r="C1861">
        <f>IF(ISNUMBER(+IF(IFERROR(VALUE(MID('Libro Diario'!D457,1,4)),0)&lt;&gt;0,'Libro Diario'!D457,0))=FALSE,'Libro Diario'!D457,0)</f>
        <v>0</v>
      </c>
      <c r="D1861" s="145">
        <f>+'Libro Diario'!E457</f>
        <v>0</v>
      </c>
      <c r="E1861" s="139" t="s">
        <v>446</v>
      </c>
      <c r="F1861" t="str">
        <f t="shared" si="87"/>
        <v>Sin Mov.</v>
      </c>
      <c r="G1861" t="str">
        <f>IF(+'Libro Diario'!H457=0,"",+'Libro Diario'!H457)</f>
        <v>Corrección Valorativa - Deterioro de Valor</v>
      </c>
      <c r="H1861" t="str">
        <f>IF(+'Libro Diario'!I457=0,"",+'Libro Diario'!I457)</f>
        <v/>
      </c>
      <c r="I1861" t="str">
        <f>+IF(Table3[[#This Row],[Tipo Movimiento]]="Estructura Balance y PyG","Excluir","Incluir")</f>
        <v>Incluir</v>
      </c>
      <c r="J1861" s="153">
        <f>+IF(Table3[[#This Row],[Sin cuenta]]="Con Mov.",(IF(Table3[[#This Row],[Movimiento]]="Debe",Table3[[#This Row],[Importe]],IF(Table3[[#This Row],[Movimiento]]="Haber",Table3[[#This Row],[Importe]]*-1,0))),0)</f>
        <v>0</v>
      </c>
      <c r="K1861" s="145" t="str">
        <f t="shared" si="88"/>
        <v/>
      </c>
      <c r="L1861" s="145">
        <f t="shared" si="89"/>
        <v>0</v>
      </c>
      <c r="M1861" t="str">
        <f>_xlfn.XLOOKUP(Table3[[#This Row],[Cuenta]],Estructura_Balance[Nombre Cuenta ()],Estructura_Balance[Grupo],"",0)</f>
        <v/>
      </c>
      <c r="N1861" t="str">
        <f>_xlfn.XLOOKUP(Table3[[#This Row],[Cuenta]],Estructura_Balance[Nombre Cuenta ()],Estructura_Balance[Nivel 1],"",0)</f>
        <v/>
      </c>
      <c r="O1861" t="str">
        <f>_xlfn.XLOOKUP(Table3[[#This Row],[Cuenta]],Estructura_Balance[Nombre Cuenta ()],Estructura_Balance[Nivel 2],"",0)</f>
        <v/>
      </c>
      <c r="P1861" t="str">
        <f>_xlfn.XLOOKUP(Table3[[#This Row],[Cuenta]],Estructura_Balance[Nombre Cuenta ()],Estructura_Balance[Nivel 3],"",0)</f>
        <v/>
      </c>
      <c r="Q1861" t="str">
        <f>_xlfn.XLOOKUP(Table3[[#This Row],[Cuenta]],Estructura_Balance[Nombre Cuenta ()],Estructura_Balance[Nivel 4],"",0)</f>
        <v/>
      </c>
      <c r="R1861" t="str">
        <f>_xlfn.XLOOKUP(Table3[[#This Row],[Cuenta]],Table8[Nombre Cuenta ()],Table8[Nivel 1],"",0)</f>
        <v/>
      </c>
      <c r="S1861" t="str">
        <f>_xlfn.XLOOKUP(Table3[[#This Row],[Cuenta]],Table8[Nombre Cuenta ()],Table8[Nivel 2],"",0)</f>
        <v/>
      </c>
      <c r="T1861" t="str">
        <f>_xlfn.XLOOKUP(Table3[[#This Row],[Cuenta]],Table8[Nombre Cuenta ()],Table8[Nivel 3],"",0)</f>
        <v/>
      </c>
      <c r="U1861">
        <v>1850</v>
      </c>
      <c r="V1861" t="str">
        <f>_xlfn.XLOOKUP(Table3[[#This Row],[Cuenta]],Estructura_Balance[Nombre Cuenta ()],Estructura_Balance[Niveles:2],"",0)</f>
        <v/>
      </c>
      <c r="W1861" t="str">
        <f>_xlfn.XLOOKUP(Table3[[#This Row],[Cuenta]],Estructura_Balance[Nombre Cuenta ()],Estructura_Balance[Niveles:3],"",0)</f>
        <v/>
      </c>
      <c r="X1861" t="str">
        <f>_xlfn.XLOOKUP(Table3[[#This Row],[Cuenta]],Estructura_Balance[Nombre Cuenta ()],Estructura_Balance[Grupos],"Grupo 1",0)</f>
        <v>Grupo 1</v>
      </c>
      <c r="Y1861" t="str">
        <f>+Table3[[#This Row],[BS_Nivel_1]]</f>
        <v/>
      </c>
    </row>
    <row r="1862" spans="1:25" ht="15" customHeight="1">
      <c r="A1862">
        <f>+'Libro Diario'!F458</f>
        <v>54</v>
      </c>
      <c r="B1862" s="144">
        <f>VALUE(IF(+'Libro Diario'!G458="","01/01/2025",+'Libro Diario'!G458))</f>
        <v>46022</v>
      </c>
      <c r="C1862">
        <f>IF(ISNUMBER(+IF(IFERROR(VALUE(MID('Libro Diario'!D458,1,4)),0)&lt;&gt;0,'Libro Diario'!D458,0))=FALSE,'Libro Diario'!D458,0)</f>
        <v>0</v>
      </c>
      <c r="D1862" s="145">
        <f>+'Libro Diario'!E458</f>
        <v>0</v>
      </c>
      <c r="E1862" s="139" t="s">
        <v>446</v>
      </c>
      <c r="F1862" t="str">
        <f t="shared" si="87"/>
        <v>Sin Mov.</v>
      </c>
      <c r="G1862" t="str">
        <f>IF(+'Libro Diario'!H458=0,"",+'Libro Diario'!H458)</f>
        <v>Corrección Valorativa - Deterioro de Valor</v>
      </c>
      <c r="H1862" t="str">
        <f>IF(+'Libro Diario'!I458=0,"",+'Libro Diario'!I458)</f>
        <v/>
      </c>
      <c r="I1862" t="str">
        <f>+IF(Table3[[#This Row],[Tipo Movimiento]]="Estructura Balance y PyG","Excluir","Incluir")</f>
        <v>Incluir</v>
      </c>
      <c r="J1862" s="153">
        <f>+IF(Table3[[#This Row],[Sin cuenta]]="Con Mov.",(IF(Table3[[#This Row],[Movimiento]]="Debe",Table3[[#This Row],[Importe]],IF(Table3[[#This Row],[Movimiento]]="Haber",Table3[[#This Row],[Importe]]*-1,0))),0)</f>
        <v>0</v>
      </c>
      <c r="K1862" s="145" t="str">
        <f t="shared" si="88"/>
        <v/>
      </c>
      <c r="L1862" s="145">
        <f t="shared" si="89"/>
        <v>0</v>
      </c>
      <c r="M1862" t="str">
        <f>_xlfn.XLOOKUP(Table3[[#This Row],[Cuenta]],Estructura_Balance[Nombre Cuenta ()],Estructura_Balance[Grupo],"",0)</f>
        <v/>
      </c>
      <c r="N1862" t="str">
        <f>_xlfn.XLOOKUP(Table3[[#This Row],[Cuenta]],Estructura_Balance[Nombre Cuenta ()],Estructura_Balance[Nivel 1],"",0)</f>
        <v/>
      </c>
      <c r="O1862" t="str">
        <f>_xlfn.XLOOKUP(Table3[[#This Row],[Cuenta]],Estructura_Balance[Nombre Cuenta ()],Estructura_Balance[Nivel 2],"",0)</f>
        <v/>
      </c>
      <c r="P1862" t="str">
        <f>_xlfn.XLOOKUP(Table3[[#This Row],[Cuenta]],Estructura_Balance[Nombre Cuenta ()],Estructura_Balance[Nivel 3],"",0)</f>
        <v/>
      </c>
      <c r="Q1862" t="str">
        <f>_xlfn.XLOOKUP(Table3[[#This Row],[Cuenta]],Estructura_Balance[Nombre Cuenta ()],Estructura_Balance[Nivel 4],"",0)</f>
        <v/>
      </c>
      <c r="R1862" t="str">
        <f>_xlfn.XLOOKUP(Table3[[#This Row],[Cuenta]],Table8[Nombre Cuenta ()],Table8[Nivel 1],"",0)</f>
        <v/>
      </c>
      <c r="S1862" t="str">
        <f>_xlfn.XLOOKUP(Table3[[#This Row],[Cuenta]],Table8[Nombre Cuenta ()],Table8[Nivel 2],"",0)</f>
        <v/>
      </c>
      <c r="T1862" t="str">
        <f>_xlfn.XLOOKUP(Table3[[#This Row],[Cuenta]],Table8[Nombre Cuenta ()],Table8[Nivel 3],"",0)</f>
        <v/>
      </c>
      <c r="U1862">
        <v>1851</v>
      </c>
      <c r="V1862" t="str">
        <f>_xlfn.XLOOKUP(Table3[[#This Row],[Cuenta]],Estructura_Balance[Nombre Cuenta ()],Estructura_Balance[Niveles:2],"",0)</f>
        <v/>
      </c>
      <c r="W1862" t="str">
        <f>_xlfn.XLOOKUP(Table3[[#This Row],[Cuenta]],Estructura_Balance[Nombre Cuenta ()],Estructura_Balance[Niveles:3],"",0)</f>
        <v/>
      </c>
      <c r="X1862" t="str">
        <f>_xlfn.XLOOKUP(Table3[[#This Row],[Cuenta]],Estructura_Balance[Nombre Cuenta ()],Estructura_Balance[Grupos],"Grupo 1",0)</f>
        <v>Grupo 1</v>
      </c>
      <c r="Y1862" t="str">
        <f>+Table3[[#This Row],[BS_Nivel_1]]</f>
        <v/>
      </c>
    </row>
    <row r="1863" spans="1:25" ht="15" customHeight="1">
      <c r="A1863">
        <f>+'Libro Diario'!F464</f>
        <v>55</v>
      </c>
      <c r="B1863" s="144">
        <f>VALUE(IF(+'Libro Diario'!G464="","01/01/2025",+'Libro Diario'!G464))</f>
        <v>46022</v>
      </c>
      <c r="C1863">
        <f>IF(ISNUMBER(+IF(IFERROR(VALUE(MID('Libro Diario'!C464,1,4)),0)&lt;&gt;0,'Libro Diario'!C464,0))=FALSE,'Libro Diario'!C464,0)</f>
        <v>0</v>
      </c>
      <c r="D1863" s="145">
        <f>+'Libro Diario'!B464</f>
        <v>0</v>
      </c>
      <c r="E1863" s="139" t="s">
        <v>445</v>
      </c>
      <c r="F1863" t="str">
        <f t="shared" si="87"/>
        <v>Sin Mov.</v>
      </c>
      <c r="G1863" t="str">
        <f>IF(+'Libro Diario'!H464=0,"",+'Libro Diario'!H464)</f>
        <v>Regularización de Existencias</v>
      </c>
      <c r="H1863" t="str">
        <f>IF(+'Libro Diario'!I464=0,"",+'Libro Diario'!I464)</f>
        <v/>
      </c>
      <c r="I1863" t="str">
        <f>+IF(Table3[[#This Row],[Tipo Movimiento]]="Estructura Balance y PyG","Excluir","Incluir")</f>
        <v>Incluir</v>
      </c>
      <c r="J1863" s="153">
        <f>+IF(Table3[[#This Row],[Sin cuenta]]="Con Mov.",(IF(Table3[[#This Row],[Movimiento]]="Debe",Table3[[#This Row],[Importe]],IF(Table3[[#This Row],[Movimiento]]="Haber",Table3[[#This Row],[Importe]]*-1,0))),0)</f>
        <v>0</v>
      </c>
      <c r="K1863" s="145">
        <f t="shared" si="88"/>
        <v>0</v>
      </c>
      <c r="L1863" s="145" t="str">
        <f t="shared" si="89"/>
        <v/>
      </c>
      <c r="M1863" t="str">
        <f>_xlfn.XLOOKUP(Table3[[#This Row],[Cuenta]],Estructura_Balance[Nombre Cuenta ()],Estructura_Balance[Grupo],"",0)</f>
        <v/>
      </c>
      <c r="N1863" t="str">
        <f>_xlfn.XLOOKUP(Table3[[#This Row],[Cuenta]],Estructura_Balance[Nombre Cuenta ()],Estructura_Balance[Nivel 1],"",0)</f>
        <v/>
      </c>
      <c r="O1863" t="str">
        <f>_xlfn.XLOOKUP(Table3[[#This Row],[Cuenta]],Estructura_Balance[Nombre Cuenta ()],Estructura_Balance[Nivel 2],"",0)</f>
        <v/>
      </c>
      <c r="P1863" t="str">
        <f>_xlfn.XLOOKUP(Table3[[#This Row],[Cuenta]],Estructura_Balance[Nombre Cuenta ()],Estructura_Balance[Nivel 3],"",0)</f>
        <v/>
      </c>
      <c r="Q1863" t="str">
        <f>_xlfn.XLOOKUP(Table3[[#This Row],[Cuenta]],Estructura_Balance[Nombre Cuenta ()],Estructura_Balance[Nivel 4],"",0)</f>
        <v/>
      </c>
      <c r="R1863" s="154" t="str">
        <f>_xlfn.XLOOKUP(Table3[[#This Row],[Cuenta]],Table8[Nombre Cuenta ()],Table8[Nivel 1],"",0)</f>
        <v/>
      </c>
      <c r="S1863" t="str">
        <f>_xlfn.XLOOKUP(Table3[[#This Row],[Cuenta]],Table8[Nombre Cuenta ()],Table8[Nivel 2],"",0)</f>
        <v/>
      </c>
      <c r="T1863" t="str">
        <f>_xlfn.XLOOKUP(Table3[[#This Row],[Cuenta]],Table8[Nombre Cuenta ()],Table8[Nivel 3],"",0)</f>
        <v/>
      </c>
      <c r="U1863">
        <v>655</v>
      </c>
      <c r="V1863" t="str">
        <f>_xlfn.XLOOKUP(Table3[[#This Row],[Cuenta]],Estructura_Balance[Nombre Cuenta ()],Estructura_Balance[Niveles:2],"",0)</f>
        <v/>
      </c>
      <c r="W1863" t="str">
        <f>_xlfn.XLOOKUP(Table3[[#This Row],[Cuenta]],Estructura_Balance[Nombre Cuenta ()],Estructura_Balance[Niveles:3],"",0)</f>
        <v/>
      </c>
      <c r="X1863" t="str">
        <f>_xlfn.XLOOKUP(Table3[[#This Row],[Cuenta]],Estructura_Balance[Nombre Cuenta ()],Estructura_Balance[Grupos],"Grupo 1",0)</f>
        <v>Grupo 1</v>
      </c>
      <c r="Y1863" t="str">
        <f>+Table3[[#This Row],[BS_Nivel_1]]</f>
        <v/>
      </c>
    </row>
    <row r="1864" spans="1:25" ht="15" customHeight="1">
      <c r="A1864">
        <f>+'Libro Diario'!F465</f>
        <v>55</v>
      </c>
      <c r="B1864" s="144">
        <f>VALUE(IF(+'Libro Diario'!G465="","01/01/2025",+'Libro Diario'!G465))</f>
        <v>46022</v>
      </c>
      <c r="C1864">
        <f>IF(ISNUMBER(+IF(IFERROR(VALUE(MID('Libro Diario'!C465,1,4)),0)&lt;&gt;0,'Libro Diario'!C465,0))=FALSE,'Libro Diario'!C465,0)</f>
        <v>0</v>
      </c>
      <c r="D1864" s="145">
        <f>+'Libro Diario'!B465</f>
        <v>0</v>
      </c>
      <c r="E1864" s="139" t="s">
        <v>445</v>
      </c>
      <c r="F1864" t="str">
        <f t="shared" si="87"/>
        <v>Sin Mov.</v>
      </c>
      <c r="G1864" t="str">
        <f>IF(+'Libro Diario'!H465=0,"",+'Libro Diario'!H465)</f>
        <v>Regularización de Existencias</v>
      </c>
      <c r="H1864" t="str">
        <f>IF(+'Libro Diario'!I465=0,"",+'Libro Diario'!I465)</f>
        <v/>
      </c>
      <c r="I1864" t="str">
        <f>+IF(Table3[[#This Row],[Tipo Movimiento]]="Estructura Balance y PyG","Excluir","Incluir")</f>
        <v>Incluir</v>
      </c>
      <c r="J1864" s="153">
        <f>+IF(Table3[[#This Row],[Sin cuenta]]="Con Mov.",(IF(Table3[[#This Row],[Movimiento]]="Debe",Table3[[#This Row],[Importe]],IF(Table3[[#This Row],[Movimiento]]="Haber",Table3[[#This Row],[Importe]]*-1,0))),0)</f>
        <v>0</v>
      </c>
      <c r="K1864" s="145">
        <f t="shared" si="88"/>
        <v>0</v>
      </c>
      <c r="L1864" s="145" t="str">
        <f t="shared" si="89"/>
        <v/>
      </c>
      <c r="M1864" t="str">
        <f>_xlfn.XLOOKUP(Table3[[#This Row],[Cuenta]],Estructura_Balance[Nombre Cuenta ()],Estructura_Balance[Grupo],"",0)</f>
        <v/>
      </c>
      <c r="N1864" t="str">
        <f>_xlfn.XLOOKUP(Table3[[#This Row],[Cuenta]],Estructura_Balance[Nombre Cuenta ()],Estructura_Balance[Nivel 1],"",0)</f>
        <v/>
      </c>
      <c r="O1864" t="str">
        <f>_xlfn.XLOOKUP(Table3[[#This Row],[Cuenta]],Estructura_Balance[Nombre Cuenta ()],Estructura_Balance[Nivel 2],"",0)</f>
        <v/>
      </c>
      <c r="P1864" t="str">
        <f>_xlfn.XLOOKUP(Table3[[#This Row],[Cuenta]],Estructura_Balance[Nombre Cuenta ()],Estructura_Balance[Nivel 3],"",0)</f>
        <v/>
      </c>
      <c r="Q1864" t="str">
        <f>_xlfn.XLOOKUP(Table3[[#This Row],[Cuenta]],Estructura_Balance[Nombre Cuenta ()],Estructura_Balance[Nivel 4],"",0)</f>
        <v/>
      </c>
      <c r="R1864" t="str">
        <f>_xlfn.XLOOKUP(Table3[[#This Row],[Cuenta]],Table8[Nombre Cuenta ()],Table8[Nivel 1],"",0)</f>
        <v/>
      </c>
      <c r="S1864" t="str">
        <f>_xlfn.XLOOKUP(Table3[[#This Row],[Cuenta]],Table8[Nombre Cuenta ()],Table8[Nivel 2],"",0)</f>
        <v/>
      </c>
      <c r="T1864" t="str">
        <f>_xlfn.XLOOKUP(Table3[[#This Row],[Cuenta]],Table8[Nombre Cuenta ()],Table8[Nivel 3],"",0)</f>
        <v/>
      </c>
      <c r="U1864">
        <v>656</v>
      </c>
      <c r="V1864" t="str">
        <f>_xlfn.XLOOKUP(Table3[[#This Row],[Cuenta]],Estructura_Balance[Nombre Cuenta ()],Estructura_Balance[Niveles:2],"",0)</f>
        <v/>
      </c>
      <c r="W1864" t="str">
        <f>_xlfn.XLOOKUP(Table3[[#This Row],[Cuenta]],Estructura_Balance[Nombre Cuenta ()],Estructura_Balance[Niveles:3],"",0)</f>
        <v/>
      </c>
      <c r="X1864" t="str">
        <f>_xlfn.XLOOKUP(Table3[[#This Row],[Cuenta]],Estructura_Balance[Nombre Cuenta ()],Estructura_Balance[Grupos],"Grupo 1",0)</f>
        <v>Grupo 1</v>
      </c>
      <c r="Y1864" t="str">
        <f>+Table3[[#This Row],[BS_Nivel_1]]</f>
        <v/>
      </c>
    </row>
    <row r="1865" spans="1:25" ht="15" customHeight="1">
      <c r="A1865">
        <f>+'Libro Diario'!F464</f>
        <v>55</v>
      </c>
      <c r="B1865" s="144">
        <f>VALUE(IF(+'Libro Diario'!G464="","01/01/2025",+'Libro Diario'!G464))</f>
        <v>46022</v>
      </c>
      <c r="C1865">
        <f>IF(ISNUMBER(+IF(IFERROR(VALUE(MID('Libro Diario'!D464,1,4)),0)&lt;&gt;0,'Libro Diario'!D464,0))=FALSE,'Libro Diario'!D464,0)</f>
        <v>0</v>
      </c>
      <c r="D1865" s="145">
        <f>+'Libro Diario'!E464</f>
        <v>0</v>
      </c>
      <c r="E1865" s="139" t="s">
        <v>446</v>
      </c>
      <c r="F1865" t="str">
        <f t="shared" si="87"/>
        <v>Sin Mov.</v>
      </c>
      <c r="G1865" t="str">
        <f>IF(+'Libro Diario'!H464=0,"",+'Libro Diario'!H464)</f>
        <v>Regularización de Existencias</v>
      </c>
      <c r="H1865" t="str">
        <f>IF(+'Libro Diario'!I464=0,"",+'Libro Diario'!I464)</f>
        <v/>
      </c>
      <c r="I1865" t="str">
        <f>+IF(Table3[[#This Row],[Tipo Movimiento]]="Estructura Balance y PyG","Excluir","Incluir")</f>
        <v>Incluir</v>
      </c>
      <c r="J1865" s="153">
        <f>+IF(Table3[[#This Row],[Sin cuenta]]="Con Mov.",(IF(Table3[[#This Row],[Movimiento]]="Debe",Table3[[#This Row],[Importe]],IF(Table3[[#This Row],[Movimiento]]="Haber",Table3[[#This Row],[Importe]]*-1,0))),0)</f>
        <v>0</v>
      </c>
      <c r="K1865" s="145" t="str">
        <f t="shared" si="88"/>
        <v/>
      </c>
      <c r="L1865" s="145">
        <f t="shared" si="89"/>
        <v>0</v>
      </c>
      <c r="M1865" t="str">
        <f>_xlfn.XLOOKUP(Table3[[#This Row],[Cuenta]],Estructura_Balance[Nombre Cuenta ()],Estructura_Balance[Grupo],"",0)</f>
        <v/>
      </c>
      <c r="N1865" t="str">
        <f>_xlfn.XLOOKUP(Table3[[#This Row],[Cuenta]],Estructura_Balance[Nombre Cuenta ()],Estructura_Balance[Nivel 1],"",0)</f>
        <v/>
      </c>
      <c r="O1865" t="str">
        <f>_xlfn.XLOOKUP(Table3[[#This Row],[Cuenta]],Estructura_Balance[Nombre Cuenta ()],Estructura_Balance[Nivel 2],"",0)</f>
        <v/>
      </c>
      <c r="P1865" t="str">
        <f>_xlfn.XLOOKUP(Table3[[#This Row],[Cuenta]],Estructura_Balance[Nombre Cuenta ()],Estructura_Balance[Nivel 3],"",0)</f>
        <v/>
      </c>
      <c r="Q1865" t="str">
        <f>_xlfn.XLOOKUP(Table3[[#This Row],[Cuenta]],Estructura_Balance[Nombre Cuenta ()],Estructura_Balance[Nivel 4],"",0)</f>
        <v/>
      </c>
      <c r="R1865" t="str">
        <f>_xlfn.XLOOKUP(Table3[[#This Row],[Cuenta]],Table8[Nombre Cuenta ()],Table8[Nivel 1],"",0)</f>
        <v/>
      </c>
      <c r="S1865" t="str">
        <f>_xlfn.XLOOKUP(Table3[[#This Row],[Cuenta]],Table8[Nombre Cuenta ()],Table8[Nivel 2],"",0)</f>
        <v/>
      </c>
      <c r="T1865" t="str">
        <f>_xlfn.XLOOKUP(Table3[[#This Row],[Cuenta]],Table8[Nombre Cuenta ()],Table8[Nivel 3],"",0)</f>
        <v/>
      </c>
      <c r="U1865">
        <v>1857</v>
      </c>
      <c r="V1865" t="str">
        <f>_xlfn.XLOOKUP(Table3[[#This Row],[Cuenta]],Estructura_Balance[Nombre Cuenta ()],Estructura_Balance[Niveles:2],"",0)</f>
        <v/>
      </c>
      <c r="W1865" t="str">
        <f>_xlfn.XLOOKUP(Table3[[#This Row],[Cuenta]],Estructura_Balance[Nombre Cuenta ()],Estructura_Balance[Niveles:3],"",0)</f>
        <v/>
      </c>
      <c r="X1865" t="str">
        <f>_xlfn.XLOOKUP(Table3[[#This Row],[Cuenta]],Estructura_Balance[Nombre Cuenta ()],Estructura_Balance[Grupos],"Grupo 1",0)</f>
        <v>Grupo 1</v>
      </c>
      <c r="Y1865" t="str">
        <f>+Table3[[#This Row],[BS_Nivel_1]]</f>
        <v/>
      </c>
    </row>
    <row r="1866" spans="1:25" ht="15" customHeight="1">
      <c r="A1866">
        <f>+'Libro Diario'!F465</f>
        <v>55</v>
      </c>
      <c r="B1866" s="144">
        <f>VALUE(IF(+'Libro Diario'!G465="","01/01/2025",+'Libro Diario'!G465))</f>
        <v>46022</v>
      </c>
      <c r="C1866">
        <f>IF(ISNUMBER(+IF(IFERROR(VALUE(MID('Libro Diario'!D465,1,4)),0)&lt;&gt;0,'Libro Diario'!D465,0))=FALSE,'Libro Diario'!D465,0)</f>
        <v>0</v>
      </c>
      <c r="D1866" s="145">
        <f>+'Libro Diario'!E465</f>
        <v>0</v>
      </c>
      <c r="E1866" s="139" t="s">
        <v>446</v>
      </c>
      <c r="F1866" t="str">
        <f t="shared" si="87"/>
        <v>Sin Mov.</v>
      </c>
      <c r="G1866" t="str">
        <f>IF(+'Libro Diario'!H465=0,"",+'Libro Diario'!H465)</f>
        <v>Regularización de Existencias</v>
      </c>
      <c r="H1866" t="str">
        <f>IF(+'Libro Diario'!I465=0,"",+'Libro Diario'!I465)</f>
        <v/>
      </c>
      <c r="I1866" t="str">
        <f>+IF(Table3[[#This Row],[Tipo Movimiento]]="Estructura Balance y PyG","Excluir","Incluir")</f>
        <v>Incluir</v>
      </c>
      <c r="J1866" s="153">
        <f>+IF(Table3[[#This Row],[Sin cuenta]]="Con Mov.",(IF(Table3[[#This Row],[Movimiento]]="Debe",Table3[[#This Row],[Importe]],IF(Table3[[#This Row],[Movimiento]]="Haber",Table3[[#This Row],[Importe]]*-1,0))),0)</f>
        <v>0</v>
      </c>
      <c r="K1866" s="145" t="str">
        <f t="shared" si="88"/>
        <v/>
      </c>
      <c r="L1866" s="145">
        <f t="shared" si="89"/>
        <v>0</v>
      </c>
      <c r="M1866" t="str">
        <f>_xlfn.XLOOKUP(Table3[[#This Row],[Cuenta]],Estructura_Balance[Nombre Cuenta ()],Estructura_Balance[Grupo],"",0)</f>
        <v/>
      </c>
      <c r="N1866" t="str">
        <f>_xlfn.XLOOKUP(Table3[[#This Row],[Cuenta]],Estructura_Balance[Nombre Cuenta ()],Estructura_Balance[Nivel 1],"",0)</f>
        <v/>
      </c>
      <c r="O1866" t="str">
        <f>_xlfn.XLOOKUP(Table3[[#This Row],[Cuenta]],Estructura_Balance[Nombre Cuenta ()],Estructura_Balance[Nivel 2],"",0)</f>
        <v/>
      </c>
      <c r="P1866" t="str">
        <f>_xlfn.XLOOKUP(Table3[[#This Row],[Cuenta]],Estructura_Balance[Nombre Cuenta ()],Estructura_Balance[Nivel 3],"",0)</f>
        <v/>
      </c>
      <c r="Q1866" t="str">
        <f>_xlfn.XLOOKUP(Table3[[#This Row],[Cuenta]],Estructura_Balance[Nombre Cuenta ()],Estructura_Balance[Nivel 4],"",0)</f>
        <v/>
      </c>
      <c r="R1866" t="str">
        <f>_xlfn.XLOOKUP(Table3[[#This Row],[Cuenta]],Table8[Nombre Cuenta ()],Table8[Nivel 1],"",0)</f>
        <v/>
      </c>
      <c r="S1866" t="str">
        <f>_xlfn.XLOOKUP(Table3[[#This Row],[Cuenta]],Table8[Nombre Cuenta ()],Table8[Nivel 2],"",0)</f>
        <v/>
      </c>
      <c r="T1866" t="str">
        <f>_xlfn.XLOOKUP(Table3[[#This Row],[Cuenta]],Table8[Nombre Cuenta ()],Table8[Nivel 3],"",0)</f>
        <v/>
      </c>
      <c r="U1866">
        <v>1858</v>
      </c>
      <c r="V1866" t="str">
        <f>_xlfn.XLOOKUP(Table3[[#This Row],[Cuenta]],Estructura_Balance[Nombre Cuenta ()],Estructura_Balance[Niveles:2],"",0)</f>
        <v/>
      </c>
      <c r="W1866" t="str">
        <f>_xlfn.XLOOKUP(Table3[[#This Row],[Cuenta]],Estructura_Balance[Nombre Cuenta ()],Estructura_Balance[Niveles:3],"",0)</f>
        <v/>
      </c>
      <c r="X1866" t="str">
        <f>_xlfn.XLOOKUP(Table3[[#This Row],[Cuenta]],Estructura_Balance[Nombre Cuenta ()],Estructura_Balance[Grupos],"Grupo 1",0)</f>
        <v>Grupo 1</v>
      </c>
      <c r="Y1866" t="str">
        <f>+Table3[[#This Row],[BS_Nivel_1]]</f>
        <v/>
      </c>
    </row>
    <row r="1867" spans="1:25" ht="15" customHeight="1">
      <c r="A1867">
        <f>+'Libro Diario'!F471</f>
        <v>56</v>
      </c>
      <c r="B1867" s="144">
        <f>VALUE(IF(+'Libro Diario'!G471="","01/01/2025",+'Libro Diario'!G471))</f>
        <v>46022</v>
      </c>
      <c r="C1867">
        <f>IF(ISNUMBER(+IF(IFERROR(VALUE(MID('Libro Diario'!C471,1,4)),0)&lt;&gt;0,'Libro Diario'!C471,0))=FALSE,'Libro Diario'!C471,0)</f>
        <v>0</v>
      </c>
      <c r="D1867" s="145">
        <f>+'Libro Diario'!B471</f>
        <v>0</v>
      </c>
      <c r="E1867" s="139" t="s">
        <v>445</v>
      </c>
      <c r="F1867" t="str">
        <f t="shared" si="87"/>
        <v>Sin Mov.</v>
      </c>
      <c r="G1867" t="str">
        <f>IF(+'Libro Diario'!H471=0,"",+'Libro Diario'!H471)</f>
        <v>Regularización de Existencias</v>
      </c>
      <c r="H1867" t="str">
        <f>IF(+'Libro Diario'!I471=0,"",+'Libro Diario'!I471)</f>
        <v/>
      </c>
      <c r="I1867" t="str">
        <f>+IF(Table3[[#This Row],[Tipo Movimiento]]="Estructura Balance y PyG","Excluir","Incluir")</f>
        <v>Incluir</v>
      </c>
      <c r="J1867" s="153">
        <f>+IF(Table3[[#This Row],[Sin cuenta]]="Con Mov.",(IF(Table3[[#This Row],[Movimiento]]="Debe",Table3[[#This Row],[Importe]],IF(Table3[[#This Row],[Movimiento]]="Haber",Table3[[#This Row],[Importe]]*-1,0))),0)</f>
        <v>0</v>
      </c>
      <c r="K1867" s="145">
        <f t="shared" si="88"/>
        <v>0</v>
      </c>
      <c r="L1867" s="145" t="str">
        <f t="shared" si="89"/>
        <v/>
      </c>
      <c r="M1867" t="str">
        <f>_xlfn.XLOOKUP(Table3[[#This Row],[Cuenta]],Estructura_Balance[Nombre Cuenta ()],Estructura_Balance[Grupo],"",0)</f>
        <v/>
      </c>
      <c r="N1867" t="str">
        <f>_xlfn.XLOOKUP(Table3[[#This Row],[Cuenta]],Estructura_Balance[Nombre Cuenta ()],Estructura_Balance[Nivel 1],"",0)</f>
        <v/>
      </c>
      <c r="O1867" t="str">
        <f>_xlfn.XLOOKUP(Table3[[#This Row],[Cuenta]],Estructura_Balance[Nombre Cuenta ()],Estructura_Balance[Nivel 2],"",0)</f>
        <v/>
      </c>
      <c r="P1867" t="str">
        <f>_xlfn.XLOOKUP(Table3[[#This Row],[Cuenta]],Estructura_Balance[Nombre Cuenta ()],Estructura_Balance[Nivel 3],"",0)</f>
        <v/>
      </c>
      <c r="Q1867" t="str">
        <f>_xlfn.XLOOKUP(Table3[[#This Row],[Cuenta]],Estructura_Balance[Nombre Cuenta ()],Estructura_Balance[Nivel 4],"",0)</f>
        <v/>
      </c>
      <c r="R1867" s="154" t="str">
        <f>_xlfn.XLOOKUP(Table3[[#This Row],[Cuenta]],Table8[Nombre Cuenta ()],Table8[Nivel 1],"",0)</f>
        <v/>
      </c>
      <c r="S1867" t="str">
        <f>_xlfn.XLOOKUP(Table3[[#This Row],[Cuenta]],Table8[Nombre Cuenta ()],Table8[Nivel 2],"",0)</f>
        <v/>
      </c>
      <c r="T1867" t="str">
        <f>_xlfn.XLOOKUP(Table3[[#This Row],[Cuenta]],Table8[Nombre Cuenta ()],Table8[Nivel 3],"",0)</f>
        <v/>
      </c>
      <c r="U1867">
        <v>662</v>
      </c>
      <c r="V1867" t="str">
        <f>_xlfn.XLOOKUP(Table3[[#This Row],[Cuenta]],Estructura_Balance[Nombre Cuenta ()],Estructura_Balance[Niveles:2],"",0)</f>
        <v/>
      </c>
      <c r="W1867" t="str">
        <f>_xlfn.XLOOKUP(Table3[[#This Row],[Cuenta]],Estructura_Balance[Nombre Cuenta ()],Estructura_Balance[Niveles:3],"",0)</f>
        <v/>
      </c>
      <c r="X1867" t="str">
        <f>_xlfn.XLOOKUP(Table3[[#This Row],[Cuenta]],Estructura_Balance[Nombre Cuenta ()],Estructura_Balance[Grupos],"Grupo 1",0)</f>
        <v>Grupo 1</v>
      </c>
      <c r="Y1867" t="str">
        <f>+Table3[[#This Row],[BS_Nivel_1]]</f>
        <v/>
      </c>
    </row>
    <row r="1868" spans="1:25" ht="15" customHeight="1">
      <c r="A1868">
        <f>+'Libro Diario'!F472</f>
        <v>56</v>
      </c>
      <c r="B1868" s="144">
        <f>VALUE(IF(+'Libro Diario'!G472="","01/01/2025",+'Libro Diario'!G472))</f>
        <v>46022</v>
      </c>
      <c r="C1868">
        <f>IF(ISNUMBER(+IF(IFERROR(VALUE(MID('Libro Diario'!C472,1,4)),0)&lt;&gt;0,'Libro Diario'!C472,0))=FALSE,'Libro Diario'!C472,0)</f>
        <v>0</v>
      </c>
      <c r="D1868" s="145">
        <f>+'Libro Diario'!B472</f>
        <v>0</v>
      </c>
      <c r="E1868" s="139" t="s">
        <v>445</v>
      </c>
      <c r="F1868" t="str">
        <f t="shared" si="87"/>
        <v>Sin Mov.</v>
      </c>
      <c r="G1868" t="str">
        <f>IF(+'Libro Diario'!H472=0,"",+'Libro Diario'!H472)</f>
        <v>Regularización de Existencias</v>
      </c>
      <c r="H1868" t="str">
        <f>IF(+'Libro Diario'!I472=0,"",+'Libro Diario'!I472)</f>
        <v/>
      </c>
      <c r="I1868" t="str">
        <f>+IF(Table3[[#This Row],[Tipo Movimiento]]="Estructura Balance y PyG","Excluir","Incluir")</f>
        <v>Incluir</v>
      </c>
      <c r="J1868" s="153">
        <f>+IF(Table3[[#This Row],[Sin cuenta]]="Con Mov.",(IF(Table3[[#This Row],[Movimiento]]="Debe",Table3[[#This Row],[Importe]],IF(Table3[[#This Row],[Movimiento]]="Haber",Table3[[#This Row],[Importe]]*-1,0))),0)</f>
        <v>0</v>
      </c>
      <c r="K1868" s="145">
        <f t="shared" si="88"/>
        <v>0</v>
      </c>
      <c r="L1868" s="145" t="str">
        <f t="shared" si="89"/>
        <v/>
      </c>
      <c r="M1868" t="str">
        <f>_xlfn.XLOOKUP(Table3[[#This Row],[Cuenta]],Estructura_Balance[Nombre Cuenta ()],Estructura_Balance[Grupo],"",0)</f>
        <v/>
      </c>
      <c r="N1868" t="str">
        <f>_xlfn.XLOOKUP(Table3[[#This Row],[Cuenta]],Estructura_Balance[Nombre Cuenta ()],Estructura_Balance[Nivel 1],"",0)</f>
        <v/>
      </c>
      <c r="O1868" t="str">
        <f>_xlfn.XLOOKUP(Table3[[#This Row],[Cuenta]],Estructura_Balance[Nombre Cuenta ()],Estructura_Balance[Nivel 2],"",0)</f>
        <v/>
      </c>
      <c r="P1868" t="str">
        <f>_xlfn.XLOOKUP(Table3[[#This Row],[Cuenta]],Estructura_Balance[Nombre Cuenta ()],Estructura_Balance[Nivel 3],"",0)</f>
        <v/>
      </c>
      <c r="Q1868" t="str">
        <f>_xlfn.XLOOKUP(Table3[[#This Row],[Cuenta]],Estructura_Balance[Nombre Cuenta ()],Estructura_Balance[Nivel 4],"",0)</f>
        <v/>
      </c>
      <c r="R1868" s="154" t="str">
        <f>_xlfn.XLOOKUP(Table3[[#This Row],[Cuenta]],Table8[Nombre Cuenta ()],Table8[Nivel 1],"",0)</f>
        <v/>
      </c>
      <c r="S1868" t="str">
        <f>_xlfn.XLOOKUP(Table3[[#This Row],[Cuenta]],Table8[Nombre Cuenta ()],Table8[Nivel 2],"",0)</f>
        <v/>
      </c>
      <c r="T1868" t="str">
        <f>_xlfn.XLOOKUP(Table3[[#This Row],[Cuenta]],Table8[Nombre Cuenta ()],Table8[Nivel 3],"",0)</f>
        <v/>
      </c>
      <c r="U1868">
        <v>663</v>
      </c>
      <c r="V1868" t="str">
        <f>_xlfn.XLOOKUP(Table3[[#This Row],[Cuenta]],Estructura_Balance[Nombre Cuenta ()],Estructura_Balance[Niveles:2],"",0)</f>
        <v/>
      </c>
      <c r="W1868" t="str">
        <f>_xlfn.XLOOKUP(Table3[[#This Row],[Cuenta]],Estructura_Balance[Nombre Cuenta ()],Estructura_Balance[Niveles:3],"",0)</f>
        <v/>
      </c>
      <c r="X1868" t="str">
        <f>_xlfn.XLOOKUP(Table3[[#This Row],[Cuenta]],Estructura_Balance[Nombre Cuenta ()],Estructura_Balance[Grupos],"Grupo 1",0)</f>
        <v>Grupo 1</v>
      </c>
      <c r="Y1868" t="str">
        <f>+Table3[[#This Row],[BS_Nivel_1]]</f>
        <v/>
      </c>
    </row>
    <row r="1869" spans="1:25" ht="15" customHeight="1">
      <c r="A1869">
        <f>+'Libro Diario'!F471</f>
        <v>56</v>
      </c>
      <c r="B1869" s="144">
        <f>VALUE(IF(+'Libro Diario'!G471="","01/01/2025",+'Libro Diario'!G471))</f>
        <v>46022</v>
      </c>
      <c r="C1869">
        <f>IF(ISNUMBER(+IF(IFERROR(VALUE(MID('Libro Diario'!D471,1,4)),0)&lt;&gt;0,'Libro Diario'!D471,0))=FALSE,'Libro Diario'!D471,0)</f>
        <v>0</v>
      </c>
      <c r="D1869" s="145">
        <f>+'Libro Diario'!E471</f>
        <v>0</v>
      </c>
      <c r="E1869" s="139" t="s">
        <v>446</v>
      </c>
      <c r="F1869" t="str">
        <f t="shared" si="87"/>
        <v>Sin Mov.</v>
      </c>
      <c r="G1869" t="str">
        <f>IF(+'Libro Diario'!H471=0,"",+'Libro Diario'!H471)</f>
        <v>Regularización de Existencias</v>
      </c>
      <c r="H1869" t="str">
        <f>IF(+'Libro Diario'!I471=0,"",+'Libro Diario'!I471)</f>
        <v/>
      </c>
      <c r="I1869" t="str">
        <f>+IF(Table3[[#This Row],[Tipo Movimiento]]="Estructura Balance y PyG","Excluir","Incluir")</f>
        <v>Incluir</v>
      </c>
      <c r="J1869" s="153">
        <f>+IF(Table3[[#This Row],[Sin cuenta]]="Con Mov.",(IF(Table3[[#This Row],[Movimiento]]="Debe",Table3[[#This Row],[Importe]],IF(Table3[[#This Row],[Movimiento]]="Haber",Table3[[#This Row],[Importe]]*-1,0))),0)</f>
        <v>0</v>
      </c>
      <c r="K1869" s="145" t="str">
        <f t="shared" si="88"/>
        <v/>
      </c>
      <c r="L1869" s="145">
        <f t="shared" si="89"/>
        <v>0</v>
      </c>
      <c r="M1869" t="str">
        <f>_xlfn.XLOOKUP(Table3[[#This Row],[Cuenta]],Estructura_Balance[Nombre Cuenta ()],Estructura_Balance[Grupo],"",0)</f>
        <v/>
      </c>
      <c r="N1869" t="str">
        <f>_xlfn.XLOOKUP(Table3[[#This Row],[Cuenta]],Estructura_Balance[Nombre Cuenta ()],Estructura_Balance[Nivel 1],"",0)</f>
        <v/>
      </c>
      <c r="O1869" t="str">
        <f>_xlfn.XLOOKUP(Table3[[#This Row],[Cuenta]],Estructura_Balance[Nombre Cuenta ()],Estructura_Balance[Nivel 2],"",0)</f>
        <v/>
      </c>
      <c r="P1869" t="str">
        <f>_xlfn.XLOOKUP(Table3[[#This Row],[Cuenta]],Estructura_Balance[Nombre Cuenta ()],Estructura_Balance[Nivel 3],"",0)</f>
        <v/>
      </c>
      <c r="Q1869" t="str">
        <f>_xlfn.XLOOKUP(Table3[[#This Row],[Cuenta]],Estructura_Balance[Nombre Cuenta ()],Estructura_Balance[Nivel 4],"",0)</f>
        <v/>
      </c>
      <c r="R1869" t="str">
        <f>_xlfn.XLOOKUP(Table3[[#This Row],[Cuenta]],Table8[Nombre Cuenta ()],Table8[Nivel 1],"",0)</f>
        <v/>
      </c>
      <c r="S1869" t="str">
        <f>_xlfn.XLOOKUP(Table3[[#This Row],[Cuenta]],Table8[Nombre Cuenta ()],Table8[Nivel 2],"",0)</f>
        <v/>
      </c>
      <c r="T1869" t="str">
        <f>_xlfn.XLOOKUP(Table3[[#This Row],[Cuenta]],Table8[Nombre Cuenta ()],Table8[Nivel 3],"",0)</f>
        <v/>
      </c>
      <c r="U1869">
        <v>1864</v>
      </c>
      <c r="V1869" t="str">
        <f>_xlfn.XLOOKUP(Table3[[#This Row],[Cuenta]],Estructura_Balance[Nombre Cuenta ()],Estructura_Balance[Niveles:2],"",0)</f>
        <v/>
      </c>
      <c r="W1869" t="str">
        <f>_xlfn.XLOOKUP(Table3[[#This Row],[Cuenta]],Estructura_Balance[Nombre Cuenta ()],Estructura_Balance[Niveles:3],"",0)</f>
        <v/>
      </c>
      <c r="X1869" t="str">
        <f>_xlfn.XLOOKUP(Table3[[#This Row],[Cuenta]],Estructura_Balance[Nombre Cuenta ()],Estructura_Balance[Grupos],"Grupo 1",0)</f>
        <v>Grupo 1</v>
      </c>
      <c r="Y1869" t="str">
        <f>+Table3[[#This Row],[BS_Nivel_1]]</f>
        <v/>
      </c>
    </row>
    <row r="1870" spans="1:25" ht="15" customHeight="1">
      <c r="A1870">
        <f>+'Libro Diario'!F472</f>
        <v>56</v>
      </c>
      <c r="B1870" s="144">
        <f>VALUE(IF(+'Libro Diario'!G472="","01/01/2025",+'Libro Diario'!G472))</f>
        <v>46022</v>
      </c>
      <c r="C1870">
        <f>IF(ISNUMBER(+IF(IFERROR(VALUE(MID('Libro Diario'!D472,1,4)),0)&lt;&gt;0,'Libro Diario'!D472,0))=FALSE,'Libro Diario'!D472,0)</f>
        <v>0</v>
      </c>
      <c r="D1870" s="145">
        <f>+'Libro Diario'!E472</f>
        <v>0</v>
      </c>
      <c r="E1870" s="139" t="s">
        <v>446</v>
      </c>
      <c r="F1870" t="str">
        <f t="shared" si="87"/>
        <v>Sin Mov.</v>
      </c>
      <c r="G1870" t="str">
        <f>IF(+'Libro Diario'!H472=0,"",+'Libro Diario'!H472)</f>
        <v>Regularización de Existencias</v>
      </c>
      <c r="H1870" t="str">
        <f>IF(+'Libro Diario'!I472=0,"",+'Libro Diario'!I472)</f>
        <v/>
      </c>
      <c r="I1870" t="str">
        <f>+IF(Table3[[#This Row],[Tipo Movimiento]]="Estructura Balance y PyG","Excluir","Incluir")</f>
        <v>Incluir</v>
      </c>
      <c r="J1870" s="153">
        <f>+IF(Table3[[#This Row],[Sin cuenta]]="Con Mov.",(IF(Table3[[#This Row],[Movimiento]]="Debe",Table3[[#This Row],[Importe]],IF(Table3[[#This Row],[Movimiento]]="Haber",Table3[[#This Row],[Importe]]*-1,0))),0)</f>
        <v>0</v>
      </c>
      <c r="K1870" s="145" t="str">
        <f t="shared" si="88"/>
        <v/>
      </c>
      <c r="L1870" s="145">
        <f t="shared" si="89"/>
        <v>0</v>
      </c>
      <c r="M1870" t="str">
        <f>_xlfn.XLOOKUP(Table3[[#This Row],[Cuenta]],Estructura_Balance[Nombre Cuenta ()],Estructura_Balance[Grupo],"",0)</f>
        <v/>
      </c>
      <c r="N1870" t="str">
        <f>_xlfn.XLOOKUP(Table3[[#This Row],[Cuenta]],Estructura_Balance[Nombre Cuenta ()],Estructura_Balance[Nivel 1],"",0)</f>
        <v/>
      </c>
      <c r="O1870" t="str">
        <f>_xlfn.XLOOKUP(Table3[[#This Row],[Cuenta]],Estructura_Balance[Nombre Cuenta ()],Estructura_Balance[Nivel 2],"",0)</f>
        <v/>
      </c>
      <c r="P1870" t="str">
        <f>_xlfn.XLOOKUP(Table3[[#This Row],[Cuenta]],Estructura_Balance[Nombre Cuenta ()],Estructura_Balance[Nivel 3],"",0)</f>
        <v/>
      </c>
      <c r="Q1870" t="str">
        <f>_xlfn.XLOOKUP(Table3[[#This Row],[Cuenta]],Estructura_Balance[Nombre Cuenta ()],Estructura_Balance[Nivel 4],"",0)</f>
        <v/>
      </c>
      <c r="R1870" t="str">
        <f>_xlfn.XLOOKUP(Table3[[#This Row],[Cuenta]],Table8[Nombre Cuenta ()],Table8[Nivel 1],"",0)</f>
        <v/>
      </c>
      <c r="S1870" t="str">
        <f>_xlfn.XLOOKUP(Table3[[#This Row],[Cuenta]],Table8[Nombre Cuenta ()],Table8[Nivel 2],"",0)</f>
        <v/>
      </c>
      <c r="T1870" t="str">
        <f>_xlfn.XLOOKUP(Table3[[#This Row],[Cuenta]],Table8[Nombre Cuenta ()],Table8[Nivel 3],"",0)</f>
        <v/>
      </c>
      <c r="U1870">
        <v>1865</v>
      </c>
      <c r="V1870" t="str">
        <f>_xlfn.XLOOKUP(Table3[[#This Row],[Cuenta]],Estructura_Balance[Nombre Cuenta ()],Estructura_Balance[Niveles:2],"",0)</f>
        <v/>
      </c>
      <c r="W1870" t="str">
        <f>_xlfn.XLOOKUP(Table3[[#This Row],[Cuenta]],Estructura_Balance[Nombre Cuenta ()],Estructura_Balance[Niveles:3],"",0)</f>
        <v/>
      </c>
      <c r="X1870" t="str">
        <f>_xlfn.XLOOKUP(Table3[[#This Row],[Cuenta]],Estructura_Balance[Nombre Cuenta ()],Estructura_Balance[Grupos],"Grupo 1",0)</f>
        <v>Grupo 1</v>
      </c>
      <c r="Y1870" t="str">
        <f>+Table3[[#This Row],[BS_Nivel_1]]</f>
        <v/>
      </c>
    </row>
    <row r="1871" spans="1:25" ht="15" customHeight="1">
      <c r="A1871">
        <f>+'Libro Diario'!F478</f>
        <v>57</v>
      </c>
      <c r="B1871" s="144">
        <f>VALUE(IF(+'Libro Diario'!G478="","01/01/2025",+'Libro Diario'!G478))</f>
        <v>46022</v>
      </c>
      <c r="C1871">
        <f>IF(ISNUMBER(+IF(IFERROR(VALUE(MID('Libro Diario'!C478,1,4)),0)&lt;&gt;0,'Libro Diario'!C478,0))=FALSE,'Libro Diario'!C478,0)</f>
        <v>0</v>
      </c>
      <c r="D1871" s="145">
        <f>+'Libro Diario'!B478</f>
        <v>0</v>
      </c>
      <c r="E1871" s="139" t="s">
        <v>445</v>
      </c>
      <c r="F1871" t="str">
        <f t="shared" si="87"/>
        <v>Sin Mov.</v>
      </c>
      <c r="G1871" t="str">
        <f>IF(+'Libro Diario'!H478=0,"",+'Libro Diario'!H478)</f>
        <v>Regularización de Existencias</v>
      </c>
      <c r="H1871" t="str">
        <f>IF(+'Libro Diario'!I478=0,"",+'Libro Diario'!I478)</f>
        <v/>
      </c>
      <c r="I1871" t="str">
        <f>+IF(Table3[[#This Row],[Tipo Movimiento]]="Estructura Balance y PyG","Excluir","Incluir")</f>
        <v>Incluir</v>
      </c>
      <c r="J1871" s="153">
        <f>+IF(Table3[[#This Row],[Sin cuenta]]="Con Mov.",(IF(Table3[[#This Row],[Movimiento]]="Debe",Table3[[#This Row],[Importe]],IF(Table3[[#This Row],[Movimiento]]="Haber",Table3[[#This Row],[Importe]]*-1,0))),0)</f>
        <v>0</v>
      </c>
      <c r="K1871" s="145">
        <f t="shared" si="88"/>
        <v>0</v>
      </c>
      <c r="L1871" s="145" t="str">
        <f t="shared" si="89"/>
        <v/>
      </c>
      <c r="M1871" t="str">
        <f>_xlfn.XLOOKUP(Table3[[#This Row],[Cuenta]],Estructura_Balance[Nombre Cuenta ()],Estructura_Balance[Grupo],"",0)</f>
        <v/>
      </c>
      <c r="N1871" t="str">
        <f>_xlfn.XLOOKUP(Table3[[#This Row],[Cuenta]],Estructura_Balance[Nombre Cuenta ()],Estructura_Balance[Nivel 1],"",0)</f>
        <v/>
      </c>
      <c r="O1871" t="str">
        <f>_xlfn.XLOOKUP(Table3[[#This Row],[Cuenta]],Estructura_Balance[Nombre Cuenta ()],Estructura_Balance[Nivel 2],"",0)</f>
        <v/>
      </c>
      <c r="P1871" t="str">
        <f>_xlfn.XLOOKUP(Table3[[#This Row],[Cuenta]],Estructura_Balance[Nombre Cuenta ()],Estructura_Balance[Nivel 3],"",0)</f>
        <v/>
      </c>
      <c r="Q1871" t="str">
        <f>_xlfn.XLOOKUP(Table3[[#This Row],[Cuenta]],Estructura_Balance[Nombre Cuenta ()],Estructura_Balance[Nivel 4],"",0)</f>
        <v/>
      </c>
      <c r="R1871" s="154" t="str">
        <f>_xlfn.XLOOKUP(Table3[[#This Row],[Cuenta]],Table8[Nombre Cuenta ()],Table8[Nivel 1],"",0)</f>
        <v/>
      </c>
      <c r="S1871" t="str">
        <f>_xlfn.XLOOKUP(Table3[[#This Row],[Cuenta]],Table8[Nombre Cuenta ()],Table8[Nivel 2],"",0)</f>
        <v/>
      </c>
      <c r="T1871" t="str">
        <f>_xlfn.XLOOKUP(Table3[[#This Row],[Cuenta]],Table8[Nombre Cuenta ()],Table8[Nivel 3],"",0)</f>
        <v/>
      </c>
      <c r="U1871">
        <v>669</v>
      </c>
      <c r="V1871" t="str">
        <f>_xlfn.XLOOKUP(Table3[[#This Row],[Cuenta]],Estructura_Balance[Nombre Cuenta ()],Estructura_Balance[Niveles:2],"",0)</f>
        <v/>
      </c>
      <c r="W1871" t="str">
        <f>_xlfn.XLOOKUP(Table3[[#This Row],[Cuenta]],Estructura_Balance[Nombre Cuenta ()],Estructura_Balance[Niveles:3],"",0)</f>
        <v/>
      </c>
      <c r="X1871" t="str">
        <f>_xlfn.XLOOKUP(Table3[[#This Row],[Cuenta]],Estructura_Balance[Nombre Cuenta ()],Estructura_Balance[Grupos],"Grupo 1",0)</f>
        <v>Grupo 1</v>
      </c>
      <c r="Y1871" t="str">
        <f>+Table3[[#This Row],[BS_Nivel_1]]</f>
        <v/>
      </c>
    </row>
    <row r="1872" spans="1:25" ht="15" customHeight="1">
      <c r="A1872">
        <f>+'Libro Diario'!F479</f>
        <v>57</v>
      </c>
      <c r="B1872" s="144">
        <f>VALUE(IF(+'Libro Diario'!G479="","01/01/2025",+'Libro Diario'!G479))</f>
        <v>46022</v>
      </c>
      <c r="C1872">
        <f>IF(ISNUMBER(+IF(IFERROR(VALUE(MID('Libro Diario'!C479,1,4)),0)&lt;&gt;0,'Libro Diario'!C479,0))=FALSE,'Libro Diario'!C479,0)</f>
        <v>0</v>
      </c>
      <c r="D1872" s="145">
        <f>+'Libro Diario'!B479</f>
        <v>0</v>
      </c>
      <c r="E1872" s="139" t="s">
        <v>445</v>
      </c>
      <c r="F1872" t="str">
        <f t="shared" si="87"/>
        <v>Sin Mov.</v>
      </c>
      <c r="G1872" t="str">
        <f>IF(+'Libro Diario'!H479=0,"",+'Libro Diario'!H479)</f>
        <v>Regularización de Existencias</v>
      </c>
      <c r="H1872" t="str">
        <f>IF(+'Libro Diario'!I479=0,"",+'Libro Diario'!I479)</f>
        <v/>
      </c>
      <c r="I1872" t="str">
        <f>+IF(Table3[[#This Row],[Tipo Movimiento]]="Estructura Balance y PyG","Excluir","Incluir")</f>
        <v>Incluir</v>
      </c>
      <c r="J1872" s="153">
        <f>+IF(Table3[[#This Row],[Sin cuenta]]="Con Mov.",(IF(Table3[[#This Row],[Movimiento]]="Debe",Table3[[#This Row],[Importe]],IF(Table3[[#This Row],[Movimiento]]="Haber",Table3[[#This Row],[Importe]]*-1,0))),0)</f>
        <v>0</v>
      </c>
      <c r="K1872" s="145">
        <f t="shared" si="88"/>
        <v>0</v>
      </c>
      <c r="L1872" s="145" t="str">
        <f t="shared" si="89"/>
        <v/>
      </c>
      <c r="M1872" t="str">
        <f>_xlfn.XLOOKUP(Table3[[#This Row],[Cuenta]],Estructura_Balance[Nombre Cuenta ()],Estructura_Balance[Grupo],"",0)</f>
        <v/>
      </c>
      <c r="N1872" t="str">
        <f>_xlfn.XLOOKUP(Table3[[#This Row],[Cuenta]],Estructura_Balance[Nombre Cuenta ()],Estructura_Balance[Nivel 1],"",0)</f>
        <v/>
      </c>
      <c r="O1872" t="str">
        <f>_xlfn.XLOOKUP(Table3[[#This Row],[Cuenta]],Estructura_Balance[Nombre Cuenta ()],Estructura_Balance[Nivel 2],"",0)</f>
        <v/>
      </c>
      <c r="P1872" t="str">
        <f>_xlfn.XLOOKUP(Table3[[#This Row],[Cuenta]],Estructura_Balance[Nombre Cuenta ()],Estructura_Balance[Nivel 3],"",0)</f>
        <v/>
      </c>
      <c r="Q1872" t="str">
        <f>_xlfn.XLOOKUP(Table3[[#This Row],[Cuenta]],Estructura_Balance[Nombre Cuenta ()],Estructura_Balance[Nivel 4],"",0)</f>
        <v/>
      </c>
      <c r="R1872" s="154" t="str">
        <f>_xlfn.XLOOKUP(Table3[[#This Row],[Cuenta]],Table8[Nombre Cuenta ()],Table8[Nivel 1],"",0)</f>
        <v/>
      </c>
      <c r="S1872" t="str">
        <f>_xlfn.XLOOKUP(Table3[[#This Row],[Cuenta]],Table8[Nombre Cuenta ()],Table8[Nivel 2],"",0)</f>
        <v/>
      </c>
      <c r="T1872" t="str">
        <f>_xlfn.XLOOKUP(Table3[[#This Row],[Cuenta]],Table8[Nombre Cuenta ()],Table8[Nivel 3],"",0)</f>
        <v/>
      </c>
      <c r="U1872">
        <v>670</v>
      </c>
      <c r="V1872" t="str">
        <f>_xlfn.XLOOKUP(Table3[[#This Row],[Cuenta]],Estructura_Balance[Nombre Cuenta ()],Estructura_Balance[Niveles:2],"",0)</f>
        <v/>
      </c>
      <c r="W1872" t="str">
        <f>_xlfn.XLOOKUP(Table3[[#This Row],[Cuenta]],Estructura_Balance[Nombre Cuenta ()],Estructura_Balance[Niveles:3],"",0)</f>
        <v/>
      </c>
      <c r="X1872" t="str">
        <f>_xlfn.XLOOKUP(Table3[[#This Row],[Cuenta]],Estructura_Balance[Nombre Cuenta ()],Estructura_Balance[Grupos],"Grupo 1",0)</f>
        <v>Grupo 1</v>
      </c>
      <c r="Y1872" t="str">
        <f>+Table3[[#This Row],[BS_Nivel_1]]</f>
        <v/>
      </c>
    </row>
    <row r="1873" spans="1:25" ht="15" customHeight="1">
      <c r="A1873">
        <f>+'Libro Diario'!F478</f>
        <v>57</v>
      </c>
      <c r="B1873" s="144">
        <f>VALUE(IF(+'Libro Diario'!G478="","01/01/2025",+'Libro Diario'!G478))</f>
        <v>46022</v>
      </c>
      <c r="C1873">
        <f>IF(ISNUMBER(+IF(IFERROR(VALUE(MID('Libro Diario'!D478,1,4)),0)&lt;&gt;0,'Libro Diario'!D478,0))=FALSE,'Libro Diario'!D478,0)</f>
        <v>0</v>
      </c>
      <c r="D1873" s="145">
        <f>+'Libro Diario'!E478</f>
        <v>0</v>
      </c>
      <c r="E1873" s="139" t="s">
        <v>446</v>
      </c>
      <c r="F1873" t="str">
        <f t="shared" si="87"/>
        <v>Sin Mov.</v>
      </c>
      <c r="G1873" t="str">
        <f>IF(+'Libro Diario'!H478=0,"",+'Libro Diario'!H478)</f>
        <v>Regularización de Existencias</v>
      </c>
      <c r="H1873" t="str">
        <f>IF(+'Libro Diario'!I478=0,"",+'Libro Diario'!I478)</f>
        <v/>
      </c>
      <c r="I1873" t="str">
        <f>+IF(Table3[[#This Row],[Tipo Movimiento]]="Estructura Balance y PyG","Excluir","Incluir")</f>
        <v>Incluir</v>
      </c>
      <c r="J1873" s="153">
        <f>+IF(Table3[[#This Row],[Sin cuenta]]="Con Mov.",(IF(Table3[[#This Row],[Movimiento]]="Debe",Table3[[#This Row],[Importe]],IF(Table3[[#This Row],[Movimiento]]="Haber",Table3[[#This Row],[Importe]]*-1,0))),0)</f>
        <v>0</v>
      </c>
      <c r="K1873" s="145" t="str">
        <f t="shared" si="88"/>
        <v/>
      </c>
      <c r="L1873" s="145">
        <f t="shared" si="89"/>
        <v>0</v>
      </c>
      <c r="M1873" t="str">
        <f>_xlfn.XLOOKUP(Table3[[#This Row],[Cuenta]],Estructura_Balance[Nombre Cuenta ()],Estructura_Balance[Grupo],"",0)</f>
        <v/>
      </c>
      <c r="N1873" t="str">
        <f>_xlfn.XLOOKUP(Table3[[#This Row],[Cuenta]],Estructura_Balance[Nombre Cuenta ()],Estructura_Balance[Nivel 1],"",0)</f>
        <v/>
      </c>
      <c r="O1873" t="str">
        <f>_xlfn.XLOOKUP(Table3[[#This Row],[Cuenta]],Estructura_Balance[Nombre Cuenta ()],Estructura_Balance[Nivel 2],"",0)</f>
        <v/>
      </c>
      <c r="P1873" t="str">
        <f>_xlfn.XLOOKUP(Table3[[#This Row],[Cuenta]],Estructura_Balance[Nombre Cuenta ()],Estructura_Balance[Nivel 3],"",0)</f>
        <v/>
      </c>
      <c r="Q1873" t="str">
        <f>_xlfn.XLOOKUP(Table3[[#This Row],[Cuenta]],Estructura_Balance[Nombre Cuenta ()],Estructura_Balance[Nivel 4],"",0)</f>
        <v/>
      </c>
      <c r="R1873" t="str">
        <f>_xlfn.XLOOKUP(Table3[[#This Row],[Cuenta]],Table8[Nombre Cuenta ()],Table8[Nivel 1],"",0)</f>
        <v/>
      </c>
      <c r="S1873" t="str">
        <f>_xlfn.XLOOKUP(Table3[[#This Row],[Cuenta]],Table8[Nombre Cuenta ()],Table8[Nivel 2],"",0)</f>
        <v/>
      </c>
      <c r="T1873" t="str">
        <f>_xlfn.XLOOKUP(Table3[[#This Row],[Cuenta]],Table8[Nombre Cuenta ()],Table8[Nivel 3],"",0)</f>
        <v/>
      </c>
      <c r="U1873">
        <v>1871</v>
      </c>
      <c r="V1873" t="str">
        <f>_xlfn.XLOOKUP(Table3[[#This Row],[Cuenta]],Estructura_Balance[Nombre Cuenta ()],Estructura_Balance[Niveles:2],"",0)</f>
        <v/>
      </c>
      <c r="W1873" t="str">
        <f>_xlfn.XLOOKUP(Table3[[#This Row],[Cuenta]],Estructura_Balance[Nombre Cuenta ()],Estructura_Balance[Niveles:3],"",0)</f>
        <v/>
      </c>
      <c r="X1873" t="str">
        <f>_xlfn.XLOOKUP(Table3[[#This Row],[Cuenta]],Estructura_Balance[Nombre Cuenta ()],Estructura_Balance[Grupos],"Grupo 1",0)</f>
        <v>Grupo 1</v>
      </c>
      <c r="Y1873" t="str">
        <f>+Table3[[#This Row],[BS_Nivel_1]]</f>
        <v/>
      </c>
    </row>
    <row r="1874" spans="1:25" ht="15" customHeight="1">
      <c r="A1874">
        <f>+'Libro Diario'!F479</f>
        <v>57</v>
      </c>
      <c r="B1874" s="144">
        <f>VALUE(IF(+'Libro Diario'!G479="","01/01/2025",+'Libro Diario'!G479))</f>
        <v>46022</v>
      </c>
      <c r="C1874">
        <f>IF(ISNUMBER(+IF(IFERROR(VALUE(MID('Libro Diario'!D479,1,4)),0)&lt;&gt;0,'Libro Diario'!D479,0))=FALSE,'Libro Diario'!D479,0)</f>
        <v>0</v>
      </c>
      <c r="D1874" s="145">
        <f>+'Libro Diario'!E479</f>
        <v>0</v>
      </c>
      <c r="E1874" s="139" t="s">
        <v>446</v>
      </c>
      <c r="F1874" t="str">
        <f t="shared" si="87"/>
        <v>Sin Mov.</v>
      </c>
      <c r="G1874" t="str">
        <f>IF(+'Libro Diario'!H479=0,"",+'Libro Diario'!H479)</f>
        <v>Regularización de Existencias</v>
      </c>
      <c r="H1874" t="str">
        <f>IF(+'Libro Diario'!I479=0,"",+'Libro Diario'!I479)</f>
        <v/>
      </c>
      <c r="I1874" t="str">
        <f>+IF(Table3[[#This Row],[Tipo Movimiento]]="Estructura Balance y PyG","Excluir","Incluir")</f>
        <v>Incluir</v>
      </c>
      <c r="J1874" s="153">
        <f>+IF(Table3[[#This Row],[Sin cuenta]]="Con Mov.",(IF(Table3[[#This Row],[Movimiento]]="Debe",Table3[[#This Row],[Importe]],IF(Table3[[#This Row],[Movimiento]]="Haber",Table3[[#This Row],[Importe]]*-1,0))),0)</f>
        <v>0</v>
      </c>
      <c r="K1874" s="145" t="str">
        <f t="shared" si="88"/>
        <v/>
      </c>
      <c r="L1874" s="145">
        <f t="shared" si="89"/>
        <v>0</v>
      </c>
      <c r="M1874" t="str">
        <f>_xlfn.XLOOKUP(Table3[[#This Row],[Cuenta]],Estructura_Balance[Nombre Cuenta ()],Estructura_Balance[Grupo],"",0)</f>
        <v/>
      </c>
      <c r="N1874" t="str">
        <f>_xlfn.XLOOKUP(Table3[[#This Row],[Cuenta]],Estructura_Balance[Nombre Cuenta ()],Estructura_Balance[Nivel 1],"",0)</f>
        <v/>
      </c>
      <c r="O1874" t="str">
        <f>_xlfn.XLOOKUP(Table3[[#This Row],[Cuenta]],Estructura_Balance[Nombre Cuenta ()],Estructura_Balance[Nivel 2],"",0)</f>
        <v/>
      </c>
      <c r="P1874" t="str">
        <f>_xlfn.XLOOKUP(Table3[[#This Row],[Cuenta]],Estructura_Balance[Nombre Cuenta ()],Estructura_Balance[Nivel 3],"",0)</f>
        <v/>
      </c>
      <c r="Q1874" t="str">
        <f>_xlfn.XLOOKUP(Table3[[#This Row],[Cuenta]],Estructura_Balance[Nombre Cuenta ()],Estructura_Balance[Nivel 4],"",0)</f>
        <v/>
      </c>
      <c r="R1874" t="str">
        <f>_xlfn.XLOOKUP(Table3[[#This Row],[Cuenta]],Table8[Nombre Cuenta ()],Table8[Nivel 1],"",0)</f>
        <v/>
      </c>
      <c r="S1874" t="str">
        <f>_xlfn.XLOOKUP(Table3[[#This Row],[Cuenta]],Table8[Nombre Cuenta ()],Table8[Nivel 2],"",0)</f>
        <v/>
      </c>
      <c r="T1874" t="str">
        <f>_xlfn.XLOOKUP(Table3[[#This Row],[Cuenta]],Table8[Nombre Cuenta ()],Table8[Nivel 3],"",0)</f>
        <v/>
      </c>
      <c r="U1874">
        <v>1872</v>
      </c>
      <c r="V1874" t="str">
        <f>_xlfn.XLOOKUP(Table3[[#This Row],[Cuenta]],Estructura_Balance[Nombre Cuenta ()],Estructura_Balance[Niveles:2],"",0)</f>
        <v/>
      </c>
      <c r="W1874" t="str">
        <f>_xlfn.XLOOKUP(Table3[[#This Row],[Cuenta]],Estructura_Balance[Nombre Cuenta ()],Estructura_Balance[Niveles:3],"",0)</f>
        <v/>
      </c>
      <c r="X1874" t="str">
        <f>_xlfn.XLOOKUP(Table3[[#This Row],[Cuenta]],Estructura_Balance[Nombre Cuenta ()],Estructura_Balance[Grupos],"Grupo 1",0)</f>
        <v>Grupo 1</v>
      </c>
      <c r="Y1874" t="str">
        <f>+Table3[[#This Row],[BS_Nivel_1]]</f>
        <v/>
      </c>
    </row>
    <row r="1875" spans="1:25" ht="15" customHeight="1">
      <c r="A1875">
        <f>+'Libro Diario'!F485</f>
        <v>58</v>
      </c>
      <c r="B1875" s="144">
        <f>VALUE(IF(+'Libro Diario'!G485="","01/01/2025",+'Libro Diario'!G485))</f>
        <v>46022</v>
      </c>
      <c r="C1875">
        <f>IF(ISNUMBER(+IF(IFERROR(VALUE(MID('Libro Diario'!C485,1,4)),0)&lt;&gt;0,'Libro Diario'!C485,0))=FALSE,'Libro Diario'!C485,0)</f>
        <v>0</v>
      </c>
      <c r="D1875" s="145">
        <f>+'Libro Diario'!B485</f>
        <v>0</v>
      </c>
      <c r="E1875" s="139" t="s">
        <v>445</v>
      </c>
      <c r="F1875" t="str">
        <f t="shared" si="87"/>
        <v>Sin Mov.</v>
      </c>
      <c r="G1875" t="str">
        <f>IF(+'Libro Diario'!H485=0,"",+'Libro Diario'!H485)</f>
        <v>Regularización de Existencias</v>
      </c>
      <c r="H1875" t="str">
        <f>IF(+'Libro Diario'!I485=0,"",+'Libro Diario'!I485)</f>
        <v/>
      </c>
      <c r="I1875" t="str">
        <f>+IF(Table3[[#This Row],[Tipo Movimiento]]="Estructura Balance y PyG","Excluir","Incluir")</f>
        <v>Incluir</v>
      </c>
      <c r="J1875" s="153">
        <f>+IF(Table3[[#This Row],[Sin cuenta]]="Con Mov.",(IF(Table3[[#This Row],[Movimiento]]="Debe",Table3[[#This Row],[Importe]],IF(Table3[[#This Row],[Movimiento]]="Haber",Table3[[#This Row],[Importe]]*-1,0))),0)</f>
        <v>0</v>
      </c>
      <c r="K1875" s="145">
        <f t="shared" si="88"/>
        <v>0</v>
      </c>
      <c r="L1875" s="145" t="str">
        <f t="shared" si="89"/>
        <v/>
      </c>
      <c r="M1875" t="str">
        <f>_xlfn.XLOOKUP(Table3[[#This Row],[Cuenta]],Estructura_Balance[Nombre Cuenta ()],Estructura_Balance[Grupo],"",0)</f>
        <v/>
      </c>
      <c r="N1875" t="str">
        <f>_xlfn.XLOOKUP(Table3[[#This Row],[Cuenta]],Estructura_Balance[Nombre Cuenta ()],Estructura_Balance[Nivel 1],"",0)</f>
        <v/>
      </c>
      <c r="O1875" t="str">
        <f>_xlfn.XLOOKUP(Table3[[#This Row],[Cuenta]],Estructura_Balance[Nombre Cuenta ()],Estructura_Balance[Nivel 2],"",0)</f>
        <v/>
      </c>
      <c r="P1875" t="str">
        <f>_xlfn.XLOOKUP(Table3[[#This Row],[Cuenta]],Estructura_Balance[Nombre Cuenta ()],Estructura_Balance[Nivel 3],"",0)</f>
        <v/>
      </c>
      <c r="Q1875" t="str">
        <f>_xlfn.XLOOKUP(Table3[[#This Row],[Cuenta]],Estructura_Balance[Nombre Cuenta ()],Estructura_Balance[Nivel 4],"",0)</f>
        <v/>
      </c>
      <c r="R1875" s="154" t="str">
        <f>_xlfn.XLOOKUP(Table3[[#This Row],[Cuenta]],Table8[Nombre Cuenta ()],Table8[Nivel 1],"",0)</f>
        <v/>
      </c>
      <c r="S1875" t="str">
        <f>_xlfn.XLOOKUP(Table3[[#This Row],[Cuenta]],Table8[Nombre Cuenta ()],Table8[Nivel 2],"",0)</f>
        <v/>
      </c>
      <c r="T1875" t="str">
        <f>_xlfn.XLOOKUP(Table3[[#This Row],[Cuenta]],Table8[Nombre Cuenta ()],Table8[Nivel 3],"",0)</f>
        <v/>
      </c>
      <c r="U1875">
        <v>676</v>
      </c>
      <c r="V1875" t="str">
        <f>_xlfn.XLOOKUP(Table3[[#This Row],[Cuenta]],Estructura_Balance[Nombre Cuenta ()],Estructura_Balance[Niveles:2],"",0)</f>
        <v/>
      </c>
      <c r="W1875" t="str">
        <f>_xlfn.XLOOKUP(Table3[[#This Row],[Cuenta]],Estructura_Balance[Nombre Cuenta ()],Estructura_Balance[Niveles:3],"",0)</f>
        <v/>
      </c>
      <c r="X1875" t="str">
        <f>_xlfn.XLOOKUP(Table3[[#This Row],[Cuenta]],Estructura_Balance[Nombre Cuenta ()],Estructura_Balance[Grupos],"Grupo 1",0)</f>
        <v>Grupo 1</v>
      </c>
      <c r="Y1875" t="str">
        <f>+Table3[[#This Row],[BS_Nivel_1]]</f>
        <v/>
      </c>
    </row>
    <row r="1876" spans="1:25" ht="15" customHeight="1">
      <c r="A1876">
        <f>+'Libro Diario'!F486</f>
        <v>58</v>
      </c>
      <c r="B1876" s="144">
        <f>VALUE(IF(+'Libro Diario'!G486="","01/01/2025",+'Libro Diario'!G486))</f>
        <v>46022</v>
      </c>
      <c r="C1876">
        <f>IF(ISNUMBER(+IF(IFERROR(VALUE(MID('Libro Diario'!C486,1,4)),0)&lt;&gt;0,'Libro Diario'!C486,0))=FALSE,'Libro Diario'!C486,0)</f>
        <v>0</v>
      </c>
      <c r="D1876" s="145">
        <f>+'Libro Diario'!B486</f>
        <v>0</v>
      </c>
      <c r="E1876" s="139" t="s">
        <v>445</v>
      </c>
      <c r="F1876" t="str">
        <f t="shared" si="87"/>
        <v>Sin Mov.</v>
      </c>
      <c r="G1876" t="str">
        <f>IF(+'Libro Diario'!H486=0,"",+'Libro Diario'!H486)</f>
        <v>Regularización de Existencias</v>
      </c>
      <c r="H1876" t="str">
        <f>IF(+'Libro Diario'!I486=0,"",+'Libro Diario'!I486)</f>
        <v/>
      </c>
      <c r="I1876" t="str">
        <f>+IF(Table3[[#This Row],[Tipo Movimiento]]="Estructura Balance y PyG","Excluir","Incluir")</f>
        <v>Incluir</v>
      </c>
      <c r="J1876" s="153">
        <f>+IF(Table3[[#This Row],[Sin cuenta]]="Con Mov.",(IF(Table3[[#This Row],[Movimiento]]="Debe",Table3[[#This Row],[Importe]],IF(Table3[[#This Row],[Movimiento]]="Haber",Table3[[#This Row],[Importe]]*-1,0))),0)</f>
        <v>0</v>
      </c>
      <c r="K1876" s="145">
        <f t="shared" si="88"/>
        <v>0</v>
      </c>
      <c r="L1876" s="145" t="str">
        <f t="shared" si="89"/>
        <v/>
      </c>
      <c r="M1876" t="str">
        <f>_xlfn.XLOOKUP(Table3[[#This Row],[Cuenta]],Estructura_Balance[Nombre Cuenta ()],Estructura_Balance[Grupo],"",0)</f>
        <v/>
      </c>
      <c r="N1876" t="str">
        <f>_xlfn.XLOOKUP(Table3[[#This Row],[Cuenta]],Estructura_Balance[Nombre Cuenta ()],Estructura_Balance[Nivel 1],"",0)</f>
        <v/>
      </c>
      <c r="O1876" t="str">
        <f>_xlfn.XLOOKUP(Table3[[#This Row],[Cuenta]],Estructura_Balance[Nombre Cuenta ()],Estructura_Balance[Nivel 2],"",0)</f>
        <v/>
      </c>
      <c r="P1876" t="str">
        <f>_xlfn.XLOOKUP(Table3[[#This Row],[Cuenta]],Estructura_Balance[Nombre Cuenta ()],Estructura_Balance[Nivel 3],"",0)</f>
        <v/>
      </c>
      <c r="Q1876" t="str">
        <f>_xlfn.XLOOKUP(Table3[[#This Row],[Cuenta]],Estructura_Balance[Nombre Cuenta ()],Estructura_Balance[Nivel 4],"",0)</f>
        <v/>
      </c>
      <c r="R1876" s="154" t="str">
        <f>_xlfn.XLOOKUP(Table3[[#This Row],[Cuenta]],Table8[Nombre Cuenta ()],Table8[Nivel 1],"",0)</f>
        <v/>
      </c>
      <c r="S1876" t="str">
        <f>_xlfn.XLOOKUP(Table3[[#This Row],[Cuenta]],Table8[Nombre Cuenta ()],Table8[Nivel 2],"",0)</f>
        <v/>
      </c>
      <c r="T1876" t="str">
        <f>_xlfn.XLOOKUP(Table3[[#This Row],[Cuenta]],Table8[Nombre Cuenta ()],Table8[Nivel 3],"",0)</f>
        <v/>
      </c>
      <c r="U1876">
        <v>677</v>
      </c>
      <c r="V1876" t="str">
        <f>_xlfn.XLOOKUP(Table3[[#This Row],[Cuenta]],Estructura_Balance[Nombre Cuenta ()],Estructura_Balance[Niveles:2],"",0)</f>
        <v/>
      </c>
      <c r="W1876" t="str">
        <f>_xlfn.XLOOKUP(Table3[[#This Row],[Cuenta]],Estructura_Balance[Nombre Cuenta ()],Estructura_Balance[Niveles:3],"",0)</f>
        <v/>
      </c>
      <c r="X1876" t="str">
        <f>_xlfn.XLOOKUP(Table3[[#This Row],[Cuenta]],Estructura_Balance[Nombre Cuenta ()],Estructura_Balance[Grupos],"Grupo 1",0)</f>
        <v>Grupo 1</v>
      </c>
      <c r="Y1876" t="str">
        <f>+Table3[[#This Row],[BS_Nivel_1]]</f>
        <v/>
      </c>
    </row>
    <row r="1877" spans="1:25" ht="15" customHeight="1">
      <c r="A1877">
        <f>+'Libro Diario'!F485</f>
        <v>58</v>
      </c>
      <c r="B1877" s="144">
        <f>VALUE(IF(+'Libro Diario'!G485="","01/01/2025",+'Libro Diario'!G485))</f>
        <v>46022</v>
      </c>
      <c r="C1877">
        <f>IF(ISNUMBER(+IF(IFERROR(VALUE(MID('Libro Diario'!D485,1,4)),0)&lt;&gt;0,'Libro Diario'!D485,0))=FALSE,'Libro Diario'!D485,0)</f>
        <v>0</v>
      </c>
      <c r="D1877" s="145">
        <f>+'Libro Diario'!E485</f>
        <v>0</v>
      </c>
      <c r="E1877" s="139" t="s">
        <v>446</v>
      </c>
      <c r="F1877" t="str">
        <f t="shared" si="87"/>
        <v>Sin Mov.</v>
      </c>
      <c r="G1877" t="str">
        <f>IF(+'Libro Diario'!H485=0,"",+'Libro Diario'!H485)</f>
        <v>Regularización de Existencias</v>
      </c>
      <c r="H1877" t="str">
        <f>IF(+'Libro Diario'!I485=0,"",+'Libro Diario'!I485)</f>
        <v/>
      </c>
      <c r="I1877" t="str">
        <f>+IF(Table3[[#This Row],[Tipo Movimiento]]="Estructura Balance y PyG","Excluir","Incluir")</f>
        <v>Incluir</v>
      </c>
      <c r="J1877" s="153">
        <f>+IF(Table3[[#This Row],[Sin cuenta]]="Con Mov.",(IF(Table3[[#This Row],[Movimiento]]="Debe",Table3[[#This Row],[Importe]],IF(Table3[[#This Row],[Movimiento]]="Haber",Table3[[#This Row],[Importe]]*-1,0))),0)</f>
        <v>0</v>
      </c>
      <c r="K1877" s="145" t="str">
        <f t="shared" si="88"/>
        <v/>
      </c>
      <c r="L1877" s="145">
        <f t="shared" si="89"/>
        <v>0</v>
      </c>
      <c r="M1877" t="str">
        <f>_xlfn.XLOOKUP(Table3[[#This Row],[Cuenta]],Estructura_Balance[Nombre Cuenta ()],Estructura_Balance[Grupo],"",0)</f>
        <v/>
      </c>
      <c r="N1877" t="str">
        <f>_xlfn.XLOOKUP(Table3[[#This Row],[Cuenta]],Estructura_Balance[Nombre Cuenta ()],Estructura_Balance[Nivel 1],"",0)</f>
        <v/>
      </c>
      <c r="O1877" t="str">
        <f>_xlfn.XLOOKUP(Table3[[#This Row],[Cuenta]],Estructura_Balance[Nombre Cuenta ()],Estructura_Balance[Nivel 2],"",0)</f>
        <v/>
      </c>
      <c r="P1877" t="str">
        <f>_xlfn.XLOOKUP(Table3[[#This Row],[Cuenta]],Estructura_Balance[Nombre Cuenta ()],Estructura_Balance[Nivel 3],"",0)</f>
        <v/>
      </c>
      <c r="Q1877" t="str">
        <f>_xlfn.XLOOKUP(Table3[[#This Row],[Cuenta]],Estructura_Balance[Nombre Cuenta ()],Estructura_Balance[Nivel 4],"",0)</f>
        <v/>
      </c>
      <c r="R1877" t="str">
        <f>_xlfn.XLOOKUP(Table3[[#This Row],[Cuenta]],Table8[Nombre Cuenta ()],Table8[Nivel 1],"",0)</f>
        <v/>
      </c>
      <c r="S1877" t="str">
        <f>_xlfn.XLOOKUP(Table3[[#This Row],[Cuenta]],Table8[Nombre Cuenta ()],Table8[Nivel 2],"",0)</f>
        <v/>
      </c>
      <c r="T1877" t="str">
        <f>_xlfn.XLOOKUP(Table3[[#This Row],[Cuenta]],Table8[Nombre Cuenta ()],Table8[Nivel 3],"",0)</f>
        <v/>
      </c>
      <c r="U1877">
        <v>1878</v>
      </c>
      <c r="V1877" t="str">
        <f>_xlfn.XLOOKUP(Table3[[#This Row],[Cuenta]],Estructura_Balance[Nombre Cuenta ()],Estructura_Balance[Niveles:2],"",0)</f>
        <v/>
      </c>
      <c r="W1877" t="str">
        <f>_xlfn.XLOOKUP(Table3[[#This Row],[Cuenta]],Estructura_Balance[Nombre Cuenta ()],Estructura_Balance[Niveles:3],"",0)</f>
        <v/>
      </c>
      <c r="X1877" t="str">
        <f>_xlfn.XLOOKUP(Table3[[#This Row],[Cuenta]],Estructura_Balance[Nombre Cuenta ()],Estructura_Balance[Grupos],"Grupo 1",0)</f>
        <v>Grupo 1</v>
      </c>
      <c r="Y1877" t="str">
        <f>+Table3[[#This Row],[BS_Nivel_1]]</f>
        <v/>
      </c>
    </row>
    <row r="1878" spans="1:25" ht="15" customHeight="1">
      <c r="A1878">
        <f>+'Libro Diario'!F486</f>
        <v>58</v>
      </c>
      <c r="B1878" s="144">
        <f>VALUE(IF(+'Libro Diario'!G486="","01/01/2025",+'Libro Diario'!G486))</f>
        <v>46022</v>
      </c>
      <c r="C1878">
        <f>IF(ISNUMBER(+IF(IFERROR(VALUE(MID('Libro Diario'!D486,1,4)),0)&lt;&gt;0,'Libro Diario'!D486,0))=FALSE,'Libro Diario'!D486,0)</f>
        <v>0</v>
      </c>
      <c r="D1878" s="145">
        <f>+'Libro Diario'!E486</f>
        <v>0</v>
      </c>
      <c r="E1878" s="139" t="s">
        <v>446</v>
      </c>
      <c r="F1878" t="str">
        <f t="shared" si="87"/>
        <v>Sin Mov.</v>
      </c>
      <c r="G1878" t="str">
        <f>IF(+'Libro Diario'!H486=0,"",+'Libro Diario'!H486)</f>
        <v>Regularización de Existencias</v>
      </c>
      <c r="H1878" t="str">
        <f>IF(+'Libro Diario'!I486=0,"",+'Libro Diario'!I486)</f>
        <v/>
      </c>
      <c r="I1878" t="str">
        <f>+IF(Table3[[#This Row],[Tipo Movimiento]]="Estructura Balance y PyG","Excluir","Incluir")</f>
        <v>Incluir</v>
      </c>
      <c r="J1878" s="153">
        <f>+IF(Table3[[#This Row],[Sin cuenta]]="Con Mov.",(IF(Table3[[#This Row],[Movimiento]]="Debe",Table3[[#This Row],[Importe]],IF(Table3[[#This Row],[Movimiento]]="Haber",Table3[[#This Row],[Importe]]*-1,0))),0)</f>
        <v>0</v>
      </c>
      <c r="K1878" s="145" t="str">
        <f t="shared" si="88"/>
        <v/>
      </c>
      <c r="L1878" s="145">
        <f t="shared" si="89"/>
        <v>0</v>
      </c>
      <c r="M1878" t="str">
        <f>_xlfn.XLOOKUP(Table3[[#This Row],[Cuenta]],Estructura_Balance[Nombre Cuenta ()],Estructura_Balance[Grupo],"",0)</f>
        <v/>
      </c>
      <c r="N1878" t="str">
        <f>_xlfn.XLOOKUP(Table3[[#This Row],[Cuenta]],Estructura_Balance[Nombre Cuenta ()],Estructura_Balance[Nivel 1],"",0)</f>
        <v/>
      </c>
      <c r="O1878" t="str">
        <f>_xlfn.XLOOKUP(Table3[[#This Row],[Cuenta]],Estructura_Balance[Nombre Cuenta ()],Estructura_Balance[Nivel 2],"",0)</f>
        <v/>
      </c>
      <c r="P1878" t="str">
        <f>_xlfn.XLOOKUP(Table3[[#This Row],[Cuenta]],Estructura_Balance[Nombre Cuenta ()],Estructura_Balance[Nivel 3],"",0)</f>
        <v/>
      </c>
      <c r="Q1878" t="str">
        <f>_xlfn.XLOOKUP(Table3[[#This Row],[Cuenta]],Estructura_Balance[Nombre Cuenta ()],Estructura_Balance[Nivel 4],"",0)</f>
        <v/>
      </c>
      <c r="R1878" t="str">
        <f>_xlfn.XLOOKUP(Table3[[#This Row],[Cuenta]],Table8[Nombre Cuenta ()],Table8[Nivel 1],"",0)</f>
        <v/>
      </c>
      <c r="S1878" t="str">
        <f>_xlfn.XLOOKUP(Table3[[#This Row],[Cuenta]],Table8[Nombre Cuenta ()],Table8[Nivel 2],"",0)</f>
        <v/>
      </c>
      <c r="T1878" t="str">
        <f>_xlfn.XLOOKUP(Table3[[#This Row],[Cuenta]],Table8[Nombre Cuenta ()],Table8[Nivel 3],"",0)</f>
        <v/>
      </c>
      <c r="U1878">
        <v>1879</v>
      </c>
      <c r="V1878" t="str">
        <f>_xlfn.XLOOKUP(Table3[[#This Row],[Cuenta]],Estructura_Balance[Nombre Cuenta ()],Estructura_Balance[Niveles:2],"",0)</f>
        <v/>
      </c>
      <c r="W1878" t="str">
        <f>_xlfn.XLOOKUP(Table3[[#This Row],[Cuenta]],Estructura_Balance[Nombre Cuenta ()],Estructura_Balance[Niveles:3],"",0)</f>
        <v/>
      </c>
      <c r="X1878" t="str">
        <f>_xlfn.XLOOKUP(Table3[[#This Row],[Cuenta]],Estructura_Balance[Nombre Cuenta ()],Estructura_Balance[Grupos],"Grupo 1",0)</f>
        <v>Grupo 1</v>
      </c>
      <c r="Y1878" t="str">
        <f>+Table3[[#This Row],[BS_Nivel_1]]</f>
        <v/>
      </c>
    </row>
    <row r="1879" spans="1:25" ht="15" customHeight="1">
      <c r="A1879">
        <f>+'Libro Diario'!F492</f>
        <v>59</v>
      </c>
      <c r="B1879" s="144">
        <f>VALUE(IF(+'Libro Diario'!G492="","01/01/2025",+'Libro Diario'!G492))</f>
        <v>46022</v>
      </c>
      <c r="C1879">
        <f>IF(ISNUMBER(+IF(IFERROR(VALUE(MID('Libro Diario'!C492,1,4)),0)&lt;&gt;0,'Libro Diario'!C492,0))=FALSE,'Libro Diario'!C492,0)</f>
        <v>0</v>
      </c>
      <c r="D1879" s="145">
        <f>+'Libro Diario'!B492</f>
        <v>0</v>
      </c>
      <c r="E1879" s="139" t="s">
        <v>445</v>
      </c>
      <c r="F1879" t="str">
        <f t="shared" si="87"/>
        <v>Sin Mov.</v>
      </c>
      <c r="G1879" t="str">
        <f>IF(+'Libro Diario'!H492=0,"",+'Libro Diario'!H492)</f>
        <v>Regularización de Existencias</v>
      </c>
      <c r="H1879" t="str">
        <f>IF(+'Libro Diario'!I492=0,"",+'Libro Diario'!I492)</f>
        <v/>
      </c>
      <c r="I1879" t="str">
        <f>+IF(Table3[[#This Row],[Tipo Movimiento]]="Estructura Balance y PyG","Excluir","Incluir")</f>
        <v>Incluir</v>
      </c>
      <c r="J1879" s="153">
        <f>+IF(Table3[[#This Row],[Sin cuenta]]="Con Mov.",(IF(Table3[[#This Row],[Movimiento]]="Debe",Table3[[#This Row],[Importe]],IF(Table3[[#This Row],[Movimiento]]="Haber",Table3[[#This Row],[Importe]]*-1,0))),0)</f>
        <v>0</v>
      </c>
      <c r="K1879" s="145">
        <f t="shared" si="88"/>
        <v>0</v>
      </c>
      <c r="L1879" s="145" t="str">
        <f t="shared" si="89"/>
        <v/>
      </c>
      <c r="M1879" t="str">
        <f>_xlfn.XLOOKUP(Table3[[#This Row],[Cuenta]],Estructura_Balance[Nombre Cuenta ()],Estructura_Balance[Grupo],"",0)</f>
        <v/>
      </c>
      <c r="N1879" t="str">
        <f>_xlfn.XLOOKUP(Table3[[#This Row],[Cuenta]],Estructura_Balance[Nombre Cuenta ()],Estructura_Balance[Nivel 1],"",0)</f>
        <v/>
      </c>
      <c r="O1879" t="str">
        <f>_xlfn.XLOOKUP(Table3[[#This Row],[Cuenta]],Estructura_Balance[Nombre Cuenta ()],Estructura_Balance[Nivel 2],"",0)</f>
        <v/>
      </c>
      <c r="P1879" t="str">
        <f>_xlfn.XLOOKUP(Table3[[#This Row],[Cuenta]],Estructura_Balance[Nombre Cuenta ()],Estructura_Balance[Nivel 3],"",0)</f>
        <v/>
      </c>
      <c r="Q1879" t="str">
        <f>_xlfn.XLOOKUP(Table3[[#This Row],[Cuenta]],Estructura_Balance[Nombre Cuenta ()],Estructura_Balance[Nivel 4],"",0)</f>
        <v/>
      </c>
      <c r="R1879" s="154" t="str">
        <f>_xlfn.XLOOKUP(Table3[[#This Row],[Cuenta]],Table8[Nombre Cuenta ()],Table8[Nivel 1],"",0)</f>
        <v/>
      </c>
      <c r="S1879" t="str">
        <f>_xlfn.XLOOKUP(Table3[[#This Row],[Cuenta]],Table8[Nombre Cuenta ()],Table8[Nivel 2],"",0)</f>
        <v/>
      </c>
      <c r="T1879" t="str">
        <f>_xlfn.XLOOKUP(Table3[[#This Row],[Cuenta]],Table8[Nombre Cuenta ()],Table8[Nivel 3],"",0)</f>
        <v/>
      </c>
      <c r="U1879">
        <v>683</v>
      </c>
      <c r="V1879" t="str">
        <f>_xlfn.XLOOKUP(Table3[[#This Row],[Cuenta]],Estructura_Balance[Nombre Cuenta ()],Estructura_Balance[Niveles:2],"",0)</f>
        <v/>
      </c>
      <c r="W1879" t="str">
        <f>_xlfn.XLOOKUP(Table3[[#This Row],[Cuenta]],Estructura_Balance[Nombre Cuenta ()],Estructura_Balance[Niveles:3],"",0)</f>
        <v/>
      </c>
      <c r="X1879" t="str">
        <f>_xlfn.XLOOKUP(Table3[[#This Row],[Cuenta]],Estructura_Balance[Nombre Cuenta ()],Estructura_Balance[Grupos],"Grupo 1",0)</f>
        <v>Grupo 1</v>
      </c>
      <c r="Y1879" t="str">
        <f>+Table3[[#This Row],[BS_Nivel_1]]</f>
        <v/>
      </c>
    </row>
    <row r="1880" spans="1:25" ht="15" customHeight="1">
      <c r="A1880">
        <f>+'Libro Diario'!F493</f>
        <v>59</v>
      </c>
      <c r="B1880" s="144">
        <f>VALUE(IF(+'Libro Diario'!G493="","01/01/2025",+'Libro Diario'!G493))</f>
        <v>46022</v>
      </c>
      <c r="C1880">
        <f>IF(ISNUMBER(+IF(IFERROR(VALUE(MID('Libro Diario'!C493,1,4)),0)&lt;&gt;0,'Libro Diario'!C493,0))=FALSE,'Libro Diario'!C493,0)</f>
        <v>0</v>
      </c>
      <c r="D1880" s="145">
        <f>+'Libro Diario'!B493</f>
        <v>0</v>
      </c>
      <c r="E1880" s="139" t="s">
        <v>445</v>
      </c>
      <c r="F1880" t="str">
        <f t="shared" si="87"/>
        <v>Sin Mov.</v>
      </c>
      <c r="G1880" t="str">
        <f>IF(+'Libro Diario'!H493=0,"",+'Libro Diario'!H493)</f>
        <v>Regularización de Existencias</v>
      </c>
      <c r="H1880" t="str">
        <f>IF(+'Libro Diario'!I493=0,"",+'Libro Diario'!I493)</f>
        <v/>
      </c>
      <c r="I1880" t="str">
        <f>+IF(Table3[[#This Row],[Tipo Movimiento]]="Estructura Balance y PyG","Excluir","Incluir")</f>
        <v>Incluir</v>
      </c>
      <c r="J1880" s="153">
        <f>+IF(Table3[[#This Row],[Sin cuenta]]="Con Mov.",(IF(Table3[[#This Row],[Movimiento]]="Debe",Table3[[#This Row],[Importe]],IF(Table3[[#This Row],[Movimiento]]="Haber",Table3[[#This Row],[Importe]]*-1,0))),0)</f>
        <v>0</v>
      </c>
      <c r="K1880" s="145">
        <f t="shared" si="88"/>
        <v>0</v>
      </c>
      <c r="L1880" s="145" t="str">
        <f t="shared" si="89"/>
        <v/>
      </c>
      <c r="M1880" t="str">
        <f>_xlfn.XLOOKUP(Table3[[#This Row],[Cuenta]],Estructura_Balance[Nombre Cuenta ()],Estructura_Balance[Grupo],"",0)</f>
        <v/>
      </c>
      <c r="N1880" t="str">
        <f>_xlfn.XLOOKUP(Table3[[#This Row],[Cuenta]],Estructura_Balance[Nombre Cuenta ()],Estructura_Balance[Nivel 1],"",0)</f>
        <v/>
      </c>
      <c r="O1880" t="str">
        <f>_xlfn.XLOOKUP(Table3[[#This Row],[Cuenta]],Estructura_Balance[Nombre Cuenta ()],Estructura_Balance[Nivel 2],"",0)</f>
        <v/>
      </c>
      <c r="P1880" t="str">
        <f>_xlfn.XLOOKUP(Table3[[#This Row],[Cuenta]],Estructura_Balance[Nombre Cuenta ()],Estructura_Balance[Nivel 3],"",0)</f>
        <v/>
      </c>
      <c r="Q1880" t="str">
        <f>_xlfn.XLOOKUP(Table3[[#This Row],[Cuenta]],Estructura_Balance[Nombre Cuenta ()],Estructura_Balance[Nivel 4],"",0)</f>
        <v/>
      </c>
      <c r="R1880" t="str">
        <f>_xlfn.XLOOKUP(Table3[[#This Row],[Cuenta]],Table8[Nombre Cuenta ()],Table8[Nivel 1],"",0)</f>
        <v/>
      </c>
      <c r="S1880" t="str">
        <f>_xlfn.XLOOKUP(Table3[[#This Row],[Cuenta]],Table8[Nombre Cuenta ()],Table8[Nivel 2],"",0)</f>
        <v/>
      </c>
      <c r="T1880" t="str">
        <f>_xlfn.XLOOKUP(Table3[[#This Row],[Cuenta]],Table8[Nombre Cuenta ()],Table8[Nivel 3],"",0)</f>
        <v/>
      </c>
      <c r="U1880">
        <v>684</v>
      </c>
      <c r="V1880" t="str">
        <f>_xlfn.XLOOKUP(Table3[[#This Row],[Cuenta]],Estructura_Balance[Nombre Cuenta ()],Estructura_Balance[Niveles:2],"",0)</f>
        <v/>
      </c>
      <c r="W1880" t="str">
        <f>_xlfn.XLOOKUP(Table3[[#This Row],[Cuenta]],Estructura_Balance[Nombre Cuenta ()],Estructura_Balance[Niveles:3],"",0)</f>
        <v/>
      </c>
      <c r="X1880" t="str">
        <f>_xlfn.XLOOKUP(Table3[[#This Row],[Cuenta]],Estructura_Balance[Nombre Cuenta ()],Estructura_Balance[Grupos],"Grupo 1",0)</f>
        <v>Grupo 1</v>
      </c>
      <c r="Y1880" t="str">
        <f>+Table3[[#This Row],[BS_Nivel_1]]</f>
        <v/>
      </c>
    </row>
    <row r="1881" spans="1:25" ht="15" customHeight="1">
      <c r="A1881">
        <f>+'Libro Diario'!F492</f>
        <v>59</v>
      </c>
      <c r="B1881" s="144">
        <f>VALUE(IF(+'Libro Diario'!G492="","01/01/2025",+'Libro Diario'!G492))</f>
        <v>46022</v>
      </c>
      <c r="C1881">
        <f>IF(ISNUMBER(+IF(IFERROR(VALUE(MID('Libro Diario'!D492,1,4)),0)&lt;&gt;0,'Libro Diario'!D492,0))=FALSE,'Libro Diario'!D492,0)</f>
        <v>0</v>
      </c>
      <c r="D1881" s="145">
        <f>+'Libro Diario'!E492</f>
        <v>0</v>
      </c>
      <c r="E1881" s="139" t="s">
        <v>446</v>
      </c>
      <c r="F1881" t="str">
        <f t="shared" si="87"/>
        <v>Sin Mov.</v>
      </c>
      <c r="G1881" t="str">
        <f>IF(+'Libro Diario'!H492=0,"",+'Libro Diario'!H492)</f>
        <v>Regularización de Existencias</v>
      </c>
      <c r="H1881" t="str">
        <f>IF(+'Libro Diario'!I492=0,"",+'Libro Diario'!I492)</f>
        <v/>
      </c>
      <c r="I1881" t="str">
        <f>+IF(Table3[[#This Row],[Tipo Movimiento]]="Estructura Balance y PyG","Excluir","Incluir")</f>
        <v>Incluir</v>
      </c>
      <c r="J1881" s="153">
        <f>+IF(Table3[[#This Row],[Sin cuenta]]="Con Mov.",(IF(Table3[[#This Row],[Movimiento]]="Debe",Table3[[#This Row],[Importe]],IF(Table3[[#This Row],[Movimiento]]="Haber",Table3[[#This Row],[Importe]]*-1,0))),0)</f>
        <v>0</v>
      </c>
      <c r="K1881" s="145" t="str">
        <f t="shared" si="88"/>
        <v/>
      </c>
      <c r="L1881" s="145">
        <f t="shared" si="89"/>
        <v>0</v>
      </c>
      <c r="M1881" t="str">
        <f>_xlfn.XLOOKUP(Table3[[#This Row],[Cuenta]],Estructura_Balance[Nombre Cuenta ()],Estructura_Balance[Grupo],"",0)</f>
        <v/>
      </c>
      <c r="N1881" t="str">
        <f>_xlfn.XLOOKUP(Table3[[#This Row],[Cuenta]],Estructura_Balance[Nombre Cuenta ()],Estructura_Balance[Nivel 1],"",0)</f>
        <v/>
      </c>
      <c r="O1881" t="str">
        <f>_xlfn.XLOOKUP(Table3[[#This Row],[Cuenta]],Estructura_Balance[Nombre Cuenta ()],Estructura_Balance[Nivel 2],"",0)</f>
        <v/>
      </c>
      <c r="P1881" t="str">
        <f>_xlfn.XLOOKUP(Table3[[#This Row],[Cuenta]],Estructura_Balance[Nombre Cuenta ()],Estructura_Balance[Nivel 3],"",0)</f>
        <v/>
      </c>
      <c r="Q1881" t="str">
        <f>_xlfn.XLOOKUP(Table3[[#This Row],[Cuenta]],Estructura_Balance[Nombre Cuenta ()],Estructura_Balance[Nivel 4],"",0)</f>
        <v/>
      </c>
      <c r="R1881" t="str">
        <f>_xlfn.XLOOKUP(Table3[[#This Row],[Cuenta]],Table8[Nombre Cuenta ()],Table8[Nivel 1],"",0)</f>
        <v/>
      </c>
      <c r="S1881" t="str">
        <f>_xlfn.XLOOKUP(Table3[[#This Row],[Cuenta]],Table8[Nombre Cuenta ()],Table8[Nivel 2],"",0)</f>
        <v/>
      </c>
      <c r="T1881" t="str">
        <f>_xlfn.XLOOKUP(Table3[[#This Row],[Cuenta]],Table8[Nombre Cuenta ()],Table8[Nivel 3],"",0)</f>
        <v/>
      </c>
      <c r="U1881">
        <v>1885</v>
      </c>
      <c r="V1881" t="str">
        <f>_xlfn.XLOOKUP(Table3[[#This Row],[Cuenta]],Estructura_Balance[Nombre Cuenta ()],Estructura_Balance[Niveles:2],"",0)</f>
        <v/>
      </c>
      <c r="W1881" t="str">
        <f>_xlfn.XLOOKUP(Table3[[#This Row],[Cuenta]],Estructura_Balance[Nombre Cuenta ()],Estructura_Balance[Niveles:3],"",0)</f>
        <v/>
      </c>
      <c r="X1881" t="str">
        <f>_xlfn.XLOOKUP(Table3[[#This Row],[Cuenta]],Estructura_Balance[Nombre Cuenta ()],Estructura_Balance[Grupos],"Grupo 1",0)</f>
        <v>Grupo 1</v>
      </c>
      <c r="Y1881" t="str">
        <f>+Table3[[#This Row],[BS_Nivel_1]]</f>
        <v/>
      </c>
    </row>
    <row r="1882" spans="1:25" ht="15" customHeight="1">
      <c r="A1882">
        <f>+'Libro Diario'!F493</f>
        <v>59</v>
      </c>
      <c r="B1882" s="144">
        <f>VALUE(IF(+'Libro Diario'!G493="","01/01/2025",+'Libro Diario'!G493))</f>
        <v>46022</v>
      </c>
      <c r="C1882">
        <f>IF(ISNUMBER(+IF(IFERROR(VALUE(MID('Libro Diario'!D493,1,4)),0)&lt;&gt;0,'Libro Diario'!D493,0))=FALSE,'Libro Diario'!D493,0)</f>
        <v>0</v>
      </c>
      <c r="D1882" s="145">
        <f>+'Libro Diario'!E493</f>
        <v>0</v>
      </c>
      <c r="E1882" s="139" t="s">
        <v>446</v>
      </c>
      <c r="F1882" t="str">
        <f t="shared" si="87"/>
        <v>Sin Mov.</v>
      </c>
      <c r="G1882" t="str">
        <f>IF(+'Libro Diario'!H493=0,"",+'Libro Diario'!H493)</f>
        <v>Regularización de Existencias</v>
      </c>
      <c r="H1882" t="str">
        <f>IF(+'Libro Diario'!I493=0,"",+'Libro Diario'!I493)</f>
        <v/>
      </c>
      <c r="I1882" t="str">
        <f>+IF(Table3[[#This Row],[Tipo Movimiento]]="Estructura Balance y PyG","Excluir","Incluir")</f>
        <v>Incluir</v>
      </c>
      <c r="J1882" s="153">
        <f>+IF(Table3[[#This Row],[Sin cuenta]]="Con Mov.",(IF(Table3[[#This Row],[Movimiento]]="Debe",Table3[[#This Row],[Importe]],IF(Table3[[#This Row],[Movimiento]]="Haber",Table3[[#This Row],[Importe]]*-1,0))),0)</f>
        <v>0</v>
      </c>
      <c r="K1882" s="145" t="str">
        <f t="shared" si="88"/>
        <v/>
      </c>
      <c r="L1882" s="145">
        <f t="shared" si="89"/>
        <v>0</v>
      </c>
      <c r="M1882" t="str">
        <f>_xlfn.XLOOKUP(Table3[[#This Row],[Cuenta]],Estructura_Balance[Nombre Cuenta ()],Estructura_Balance[Grupo],"",0)</f>
        <v/>
      </c>
      <c r="N1882" t="str">
        <f>_xlfn.XLOOKUP(Table3[[#This Row],[Cuenta]],Estructura_Balance[Nombre Cuenta ()],Estructura_Balance[Nivel 1],"",0)</f>
        <v/>
      </c>
      <c r="O1882" t="str">
        <f>_xlfn.XLOOKUP(Table3[[#This Row],[Cuenta]],Estructura_Balance[Nombre Cuenta ()],Estructura_Balance[Nivel 2],"",0)</f>
        <v/>
      </c>
      <c r="P1882" t="str">
        <f>_xlfn.XLOOKUP(Table3[[#This Row],[Cuenta]],Estructura_Balance[Nombre Cuenta ()],Estructura_Balance[Nivel 3],"",0)</f>
        <v/>
      </c>
      <c r="Q1882" t="str">
        <f>_xlfn.XLOOKUP(Table3[[#This Row],[Cuenta]],Estructura_Balance[Nombre Cuenta ()],Estructura_Balance[Nivel 4],"",0)</f>
        <v/>
      </c>
      <c r="R1882" t="str">
        <f>_xlfn.XLOOKUP(Table3[[#This Row],[Cuenta]],Table8[Nombre Cuenta ()],Table8[Nivel 1],"",0)</f>
        <v/>
      </c>
      <c r="S1882" t="str">
        <f>_xlfn.XLOOKUP(Table3[[#This Row],[Cuenta]],Table8[Nombre Cuenta ()],Table8[Nivel 2],"",0)</f>
        <v/>
      </c>
      <c r="T1882" t="str">
        <f>_xlfn.XLOOKUP(Table3[[#This Row],[Cuenta]],Table8[Nombre Cuenta ()],Table8[Nivel 3],"",0)</f>
        <v/>
      </c>
      <c r="U1882">
        <v>1886</v>
      </c>
      <c r="V1882" t="str">
        <f>_xlfn.XLOOKUP(Table3[[#This Row],[Cuenta]],Estructura_Balance[Nombre Cuenta ()],Estructura_Balance[Niveles:2],"",0)</f>
        <v/>
      </c>
      <c r="W1882" t="str">
        <f>_xlfn.XLOOKUP(Table3[[#This Row],[Cuenta]],Estructura_Balance[Nombre Cuenta ()],Estructura_Balance[Niveles:3],"",0)</f>
        <v/>
      </c>
      <c r="X1882" t="str">
        <f>_xlfn.XLOOKUP(Table3[[#This Row],[Cuenta]],Estructura_Balance[Nombre Cuenta ()],Estructura_Balance[Grupos],"Grupo 1",0)</f>
        <v>Grupo 1</v>
      </c>
      <c r="Y1882" t="str">
        <f>+Table3[[#This Row],[BS_Nivel_1]]</f>
        <v/>
      </c>
    </row>
    <row r="1883" spans="1:25" ht="15" customHeight="1">
      <c r="A1883">
        <f>+'Libro Diario'!F499</f>
        <v>60</v>
      </c>
      <c r="B1883" s="144">
        <f>VALUE(IF(+'Libro Diario'!G499="","01/01/2025",+'Libro Diario'!G499))</f>
        <v>46022</v>
      </c>
      <c r="C1883">
        <f>IF(ISNUMBER(+IF(IFERROR(VALUE(MID('Libro Diario'!C499,1,4)),0)&lt;&gt;0,'Libro Diario'!C499,0))=FALSE,'Libro Diario'!C499,0)</f>
        <v>0</v>
      </c>
      <c r="D1883" s="145">
        <f>+'Libro Diario'!B499</f>
        <v>0</v>
      </c>
      <c r="E1883" s="139" t="s">
        <v>445</v>
      </c>
      <c r="F1883" t="str">
        <f t="shared" si="87"/>
        <v>Sin Mov.</v>
      </c>
      <c r="G1883" t="str">
        <f>IF(+'Libro Diario'!H499=0,"",+'Libro Diario'!H499)</f>
        <v>Regularización de Existencias</v>
      </c>
      <c r="H1883" t="str">
        <f>IF(+'Libro Diario'!I499=0,"",+'Libro Diario'!I499)</f>
        <v/>
      </c>
      <c r="I1883" t="str">
        <f>+IF(Table3[[#This Row],[Tipo Movimiento]]="Estructura Balance y PyG","Excluir","Incluir")</f>
        <v>Incluir</v>
      </c>
      <c r="J1883" s="153">
        <f>+IF(Table3[[#This Row],[Sin cuenta]]="Con Mov.",(IF(Table3[[#This Row],[Movimiento]]="Debe",Table3[[#This Row],[Importe]],IF(Table3[[#This Row],[Movimiento]]="Haber",Table3[[#This Row],[Importe]]*-1,0))),0)</f>
        <v>0</v>
      </c>
      <c r="K1883" s="145">
        <f t="shared" si="88"/>
        <v>0</v>
      </c>
      <c r="L1883" s="145" t="str">
        <f t="shared" si="89"/>
        <v/>
      </c>
      <c r="M1883" t="str">
        <f>_xlfn.XLOOKUP(Table3[[#This Row],[Cuenta]],Estructura_Balance[Nombre Cuenta ()],Estructura_Balance[Grupo],"",0)</f>
        <v/>
      </c>
      <c r="N1883" t="str">
        <f>_xlfn.XLOOKUP(Table3[[#This Row],[Cuenta]],Estructura_Balance[Nombre Cuenta ()],Estructura_Balance[Nivel 1],"",0)</f>
        <v/>
      </c>
      <c r="O1883" t="str">
        <f>_xlfn.XLOOKUP(Table3[[#This Row],[Cuenta]],Estructura_Balance[Nombre Cuenta ()],Estructura_Balance[Nivel 2],"",0)</f>
        <v/>
      </c>
      <c r="P1883" t="str">
        <f>_xlfn.XLOOKUP(Table3[[#This Row],[Cuenta]],Estructura_Balance[Nombre Cuenta ()],Estructura_Balance[Nivel 3],"",0)</f>
        <v/>
      </c>
      <c r="Q1883" t="str">
        <f>_xlfn.XLOOKUP(Table3[[#This Row],[Cuenta]],Estructura_Balance[Nombre Cuenta ()],Estructura_Balance[Nivel 4],"",0)</f>
        <v/>
      </c>
      <c r="R1883" s="154" t="str">
        <f>_xlfn.XLOOKUP(Table3[[#This Row],[Cuenta]],Table8[Nombre Cuenta ()],Table8[Nivel 1],"",0)</f>
        <v/>
      </c>
      <c r="S1883" t="str">
        <f>_xlfn.XLOOKUP(Table3[[#This Row],[Cuenta]],Table8[Nombre Cuenta ()],Table8[Nivel 2],"",0)</f>
        <v/>
      </c>
      <c r="T1883" t="str">
        <f>_xlfn.XLOOKUP(Table3[[#This Row],[Cuenta]],Table8[Nombre Cuenta ()],Table8[Nivel 3],"",0)</f>
        <v/>
      </c>
      <c r="U1883">
        <v>690</v>
      </c>
      <c r="V1883" t="str">
        <f>_xlfn.XLOOKUP(Table3[[#This Row],[Cuenta]],Estructura_Balance[Nombre Cuenta ()],Estructura_Balance[Niveles:2],"",0)</f>
        <v/>
      </c>
      <c r="W1883" t="str">
        <f>_xlfn.XLOOKUP(Table3[[#This Row],[Cuenta]],Estructura_Balance[Nombre Cuenta ()],Estructura_Balance[Niveles:3],"",0)</f>
        <v/>
      </c>
      <c r="X1883" t="str">
        <f>_xlfn.XLOOKUP(Table3[[#This Row],[Cuenta]],Estructura_Balance[Nombre Cuenta ()],Estructura_Balance[Grupos],"Grupo 1",0)</f>
        <v>Grupo 1</v>
      </c>
      <c r="Y1883" t="str">
        <f>+Table3[[#This Row],[BS_Nivel_1]]</f>
        <v/>
      </c>
    </row>
    <row r="1884" spans="1:25" ht="15" customHeight="1">
      <c r="A1884">
        <f>+'Libro Diario'!F500</f>
        <v>60</v>
      </c>
      <c r="B1884" s="144">
        <f>VALUE(IF(+'Libro Diario'!G500="","01/01/2025",+'Libro Diario'!G500))</f>
        <v>46022</v>
      </c>
      <c r="C1884">
        <f>IF(ISNUMBER(+IF(IFERROR(VALUE(MID('Libro Diario'!C500,1,4)),0)&lt;&gt;0,'Libro Diario'!C500,0))=FALSE,'Libro Diario'!C500,0)</f>
        <v>0</v>
      </c>
      <c r="D1884" s="145">
        <f>+'Libro Diario'!B500</f>
        <v>0</v>
      </c>
      <c r="E1884" s="139" t="s">
        <v>445</v>
      </c>
      <c r="F1884" t="str">
        <f t="shared" si="87"/>
        <v>Sin Mov.</v>
      </c>
      <c r="G1884" t="str">
        <f>IF(+'Libro Diario'!H500=0,"",+'Libro Diario'!H500)</f>
        <v>Regularización de Existencias</v>
      </c>
      <c r="H1884" t="str">
        <f>IF(+'Libro Diario'!I500=0,"",+'Libro Diario'!I500)</f>
        <v/>
      </c>
      <c r="I1884" t="str">
        <f>+IF(Table3[[#This Row],[Tipo Movimiento]]="Estructura Balance y PyG","Excluir","Incluir")</f>
        <v>Incluir</v>
      </c>
      <c r="J1884" s="153">
        <f>+IF(Table3[[#This Row],[Sin cuenta]]="Con Mov.",(IF(Table3[[#This Row],[Movimiento]]="Debe",Table3[[#This Row],[Importe]],IF(Table3[[#This Row],[Movimiento]]="Haber",Table3[[#This Row],[Importe]]*-1,0))),0)</f>
        <v>0</v>
      </c>
      <c r="K1884" s="145">
        <f t="shared" si="88"/>
        <v>0</v>
      </c>
      <c r="L1884" s="145" t="str">
        <f t="shared" si="89"/>
        <v/>
      </c>
      <c r="M1884" t="str">
        <f>_xlfn.XLOOKUP(Table3[[#This Row],[Cuenta]],Estructura_Balance[Nombre Cuenta ()],Estructura_Balance[Grupo],"",0)</f>
        <v/>
      </c>
      <c r="N1884" t="str">
        <f>_xlfn.XLOOKUP(Table3[[#This Row],[Cuenta]],Estructura_Balance[Nombre Cuenta ()],Estructura_Balance[Nivel 1],"",0)</f>
        <v/>
      </c>
      <c r="O1884" t="str">
        <f>_xlfn.XLOOKUP(Table3[[#This Row],[Cuenta]],Estructura_Balance[Nombre Cuenta ()],Estructura_Balance[Nivel 2],"",0)</f>
        <v/>
      </c>
      <c r="P1884" t="str">
        <f>_xlfn.XLOOKUP(Table3[[#This Row],[Cuenta]],Estructura_Balance[Nombre Cuenta ()],Estructura_Balance[Nivel 3],"",0)</f>
        <v/>
      </c>
      <c r="Q1884" t="str">
        <f>_xlfn.XLOOKUP(Table3[[#This Row],[Cuenta]],Estructura_Balance[Nombre Cuenta ()],Estructura_Balance[Nivel 4],"",0)</f>
        <v/>
      </c>
      <c r="R1884" s="154" t="str">
        <f>_xlfn.XLOOKUP(Table3[[#This Row],[Cuenta]],Table8[Nombre Cuenta ()],Table8[Nivel 1],"",0)</f>
        <v/>
      </c>
      <c r="S1884" t="str">
        <f>_xlfn.XLOOKUP(Table3[[#This Row],[Cuenta]],Table8[Nombre Cuenta ()],Table8[Nivel 2],"",0)</f>
        <v/>
      </c>
      <c r="T1884" t="str">
        <f>_xlfn.XLOOKUP(Table3[[#This Row],[Cuenta]],Table8[Nombre Cuenta ()],Table8[Nivel 3],"",0)</f>
        <v/>
      </c>
      <c r="U1884">
        <v>691</v>
      </c>
      <c r="V1884" t="str">
        <f>_xlfn.XLOOKUP(Table3[[#This Row],[Cuenta]],Estructura_Balance[Nombre Cuenta ()],Estructura_Balance[Niveles:2],"",0)</f>
        <v/>
      </c>
      <c r="W1884" t="str">
        <f>_xlfn.XLOOKUP(Table3[[#This Row],[Cuenta]],Estructura_Balance[Nombre Cuenta ()],Estructura_Balance[Niveles:3],"",0)</f>
        <v/>
      </c>
      <c r="X1884" t="str">
        <f>_xlfn.XLOOKUP(Table3[[#This Row],[Cuenta]],Estructura_Balance[Nombre Cuenta ()],Estructura_Balance[Grupos],"Grupo 1",0)</f>
        <v>Grupo 1</v>
      </c>
      <c r="Y1884" t="str">
        <f>+Table3[[#This Row],[BS_Nivel_1]]</f>
        <v/>
      </c>
    </row>
    <row r="1885" spans="1:25" ht="15" customHeight="1">
      <c r="A1885">
        <f>+'Libro Diario'!F499</f>
        <v>60</v>
      </c>
      <c r="B1885" s="144">
        <f>VALUE(IF(+'Libro Diario'!G499="","01/01/2025",+'Libro Diario'!G499))</f>
        <v>46022</v>
      </c>
      <c r="C1885">
        <f>IF(ISNUMBER(+IF(IFERROR(VALUE(MID('Libro Diario'!D499,1,4)),0)&lt;&gt;0,'Libro Diario'!D499,0))=FALSE,'Libro Diario'!D499,0)</f>
        <v>0</v>
      </c>
      <c r="D1885" s="145">
        <f>+'Libro Diario'!E499</f>
        <v>0</v>
      </c>
      <c r="E1885" s="139" t="s">
        <v>446</v>
      </c>
      <c r="F1885" t="str">
        <f t="shared" si="87"/>
        <v>Sin Mov.</v>
      </c>
      <c r="G1885" t="str">
        <f>IF(+'Libro Diario'!H499=0,"",+'Libro Diario'!H499)</f>
        <v>Regularización de Existencias</v>
      </c>
      <c r="H1885" t="str">
        <f>IF(+'Libro Diario'!I499=0,"",+'Libro Diario'!I499)</f>
        <v/>
      </c>
      <c r="I1885" t="str">
        <f>+IF(Table3[[#This Row],[Tipo Movimiento]]="Estructura Balance y PyG","Excluir","Incluir")</f>
        <v>Incluir</v>
      </c>
      <c r="J1885" s="153">
        <f>+IF(Table3[[#This Row],[Sin cuenta]]="Con Mov.",(IF(Table3[[#This Row],[Movimiento]]="Debe",Table3[[#This Row],[Importe]],IF(Table3[[#This Row],[Movimiento]]="Haber",Table3[[#This Row],[Importe]]*-1,0))),0)</f>
        <v>0</v>
      </c>
      <c r="K1885" s="145" t="str">
        <f t="shared" si="88"/>
        <v/>
      </c>
      <c r="L1885" s="145">
        <f t="shared" si="89"/>
        <v>0</v>
      </c>
      <c r="M1885" t="str">
        <f>_xlfn.XLOOKUP(Table3[[#This Row],[Cuenta]],Estructura_Balance[Nombre Cuenta ()],Estructura_Balance[Grupo],"",0)</f>
        <v/>
      </c>
      <c r="N1885" t="str">
        <f>_xlfn.XLOOKUP(Table3[[#This Row],[Cuenta]],Estructura_Balance[Nombre Cuenta ()],Estructura_Balance[Nivel 1],"",0)</f>
        <v/>
      </c>
      <c r="O1885" t="str">
        <f>_xlfn.XLOOKUP(Table3[[#This Row],[Cuenta]],Estructura_Balance[Nombre Cuenta ()],Estructura_Balance[Nivel 2],"",0)</f>
        <v/>
      </c>
      <c r="P1885" t="str">
        <f>_xlfn.XLOOKUP(Table3[[#This Row],[Cuenta]],Estructura_Balance[Nombre Cuenta ()],Estructura_Balance[Nivel 3],"",0)</f>
        <v/>
      </c>
      <c r="Q1885" t="str">
        <f>_xlfn.XLOOKUP(Table3[[#This Row],[Cuenta]],Estructura_Balance[Nombre Cuenta ()],Estructura_Balance[Nivel 4],"",0)</f>
        <v/>
      </c>
      <c r="R1885" t="str">
        <f>_xlfn.XLOOKUP(Table3[[#This Row],[Cuenta]],Table8[Nombre Cuenta ()],Table8[Nivel 1],"",0)</f>
        <v/>
      </c>
      <c r="S1885" t="str">
        <f>_xlfn.XLOOKUP(Table3[[#This Row],[Cuenta]],Table8[Nombre Cuenta ()],Table8[Nivel 2],"",0)</f>
        <v/>
      </c>
      <c r="T1885" t="str">
        <f>_xlfn.XLOOKUP(Table3[[#This Row],[Cuenta]],Table8[Nombre Cuenta ()],Table8[Nivel 3],"",0)</f>
        <v/>
      </c>
      <c r="U1885">
        <v>1892</v>
      </c>
      <c r="V1885" t="str">
        <f>_xlfn.XLOOKUP(Table3[[#This Row],[Cuenta]],Estructura_Balance[Nombre Cuenta ()],Estructura_Balance[Niveles:2],"",0)</f>
        <v/>
      </c>
      <c r="W1885" t="str">
        <f>_xlfn.XLOOKUP(Table3[[#This Row],[Cuenta]],Estructura_Balance[Nombre Cuenta ()],Estructura_Balance[Niveles:3],"",0)</f>
        <v/>
      </c>
      <c r="X1885" t="str">
        <f>_xlfn.XLOOKUP(Table3[[#This Row],[Cuenta]],Estructura_Balance[Nombre Cuenta ()],Estructura_Balance[Grupos],"Grupo 1",0)</f>
        <v>Grupo 1</v>
      </c>
      <c r="Y1885" t="str">
        <f>+Table3[[#This Row],[BS_Nivel_1]]</f>
        <v/>
      </c>
    </row>
    <row r="1886" spans="1:25" ht="15" customHeight="1">
      <c r="A1886">
        <f>+'Libro Diario'!F500</f>
        <v>60</v>
      </c>
      <c r="B1886" s="144">
        <f>VALUE(IF(+'Libro Diario'!G500="","01/01/2025",+'Libro Diario'!G500))</f>
        <v>46022</v>
      </c>
      <c r="C1886">
        <f>IF(ISNUMBER(+IF(IFERROR(VALUE(MID('Libro Diario'!D500,1,4)),0)&lt;&gt;0,'Libro Diario'!D500,0))=FALSE,'Libro Diario'!D500,0)</f>
        <v>0</v>
      </c>
      <c r="D1886" s="145">
        <f>+'Libro Diario'!E500</f>
        <v>0</v>
      </c>
      <c r="E1886" s="139" t="s">
        <v>446</v>
      </c>
      <c r="F1886" t="str">
        <f t="shared" si="87"/>
        <v>Sin Mov.</v>
      </c>
      <c r="G1886" t="str">
        <f>IF(+'Libro Diario'!H500=0,"",+'Libro Diario'!H500)</f>
        <v>Regularización de Existencias</v>
      </c>
      <c r="H1886" t="str">
        <f>IF(+'Libro Diario'!I500=0,"",+'Libro Diario'!I500)</f>
        <v/>
      </c>
      <c r="I1886" t="str">
        <f>+IF(Table3[[#This Row],[Tipo Movimiento]]="Estructura Balance y PyG","Excluir","Incluir")</f>
        <v>Incluir</v>
      </c>
      <c r="J1886" s="153">
        <f>+IF(Table3[[#This Row],[Sin cuenta]]="Con Mov.",(IF(Table3[[#This Row],[Movimiento]]="Debe",Table3[[#This Row],[Importe]],IF(Table3[[#This Row],[Movimiento]]="Haber",Table3[[#This Row],[Importe]]*-1,0))),0)</f>
        <v>0</v>
      </c>
      <c r="K1886" s="145" t="str">
        <f t="shared" si="88"/>
        <v/>
      </c>
      <c r="L1886" s="145">
        <f t="shared" si="89"/>
        <v>0</v>
      </c>
      <c r="M1886" t="str">
        <f>_xlfn.XLOOKUP(Table3[[#This Row],[Cuenta]],Estructura_Balance[Nombre Cuenta ()],Estructura_Balance[Grupo],"",0)</f>
        <v/>
      </c>
      <c r="N1886" t="str">
        <f>_xlfn.XLOOKUP(Table3[[#This Row],[Cuenta]],Estructura_Balance[Nombre Cuenta ()],Estructura_Balance[Nivel 1],"",0)</f>
        <v/>
      </c>
      <c r="O1886" t="str">
        <f>_xlfn.XLOOKUP(Table3[[#This Row],[Cuenta]],Estructura_Balance[Nombre Cuenta ()],Estructura_Balance[Nivel 2],"",0)</f>
        <v/>
      </c>
      <c r="P1886" t="str">
        <f>_xlfn.XLOOKUP(Table3[[#This Row],[Cuenta]],Estructura_Balance[Nombre Cuenta ()],Estructura_Balance[Nivel 3],"",0)</f>
        <v/>
      </c>
      <c r="Q1886" t="str">
        <f>_xlfn.XLOOKUP(Table3[[#This Row],[Cuenta]],Estructura_Balance[Nombre Cuenta ()],Estructura_Balance[Nivel 4],"",0)</f>
        <v/>
      </c>
      <c r="R1886" t="str">
        <f>_xlfn.XLOOKUP(Table3[[#This Row],[Cuenta]],Table8[Nombre Cuenta ()],Table8[Nivel 1],"",0)</f>
        <v/>
      </c>
      <c r="S1886" t="str">
        <f>_xlfn.XLOOKUP(Table3[[#This Row],[Cuenta]],Table8[Nombre Cuenta ()],Table8[Nivel 2],"",0)</f>
        <v/>
      </c>
      <c r="T1886" t="str">
        <f>_xlfn.XLOOKUP(Table3[[#This Row],[Cuenta]],Table8[Nombre Cuenta ()],Table8[Nivel 3],"",0)</f>
        <v/>
      </c>
      <c r="U1886">
        <v>1893</v>
      </c>
      <c r="V1886" t="str">
        <f>_xlfn.XLOOKUP(Table3[[#This Row],[Cuenta]],Estructura_Balance[Nombre Cuenta ()],Estructura_Balance[Niveles:2],"",0)</f>
        <v/>
      </c>
      <c r="W1886" t="str">
        <f>_xlfn.XLOOKUP(Table3[[#This Row],[Cuenta]],Estructura_Balance[Nombre Cuenta ()],Estructura_Balance[Niveles:3],"",0)</f>
        <v/>
      </c>
      <c r="X1886" t="str">
        <f>_xlfn.XLOOKUP(Table3[[#This Row],[Cuenta]],Estructura_Balance[Nombre Cuenta ()],Estructura_Balance[Grupos],"Grupo 1",0)</f>
        <v>Grupo 1</v>
      </c>
      <c r="Y1886" t="str">
        <f>+Table3[[#This Row],[BS_Nivel_1]]</f>
        <v/>
      </c>
    </row>
    <row r="1887" spans="1:25" ht="15" customHeight="1">
      <c r="A1887">
        <f>+'Libro Diario'!F506</f>
        <v>61</v>
      </c>
      <c r="B1887" s="144">
        <f>VALUE(IF(+'Libro Diario'!G506="","01/01/2025",+'Libro Diario'!G506))</f>
        <v>46022</v>
      </c>
      <c r="C1887">
        <f>IF(ISNUMBER(+IF(IFERROR(VALUE(MID('Libro Diario'!C506,1,4)),0)&lt;&gt;0,'Libro Diario'!C506,0))=FALSE,'Libro Diario'!C506,0)</f>
        <v>0</v>
      </c>
      <c r="D1887" s="145">
        <f>+'Libro Diario'!B506</f>
        <v>0</v>
      </c>
      <c r="E1887" s="139" t="s">
        <v>445</v>
      </c>
      <c r="F1887" t="str">
        <f t="shared" si="87"/>
        <v>Sin Mov.</v>
      </c>
      <c r="G1887" t="str">
        <f>IF(+'Libro Diario'!H506=0,"",+'Libro Diario'!H506)</f>
        <v>Provisiones</v>
      </c>
      <c r="H1887" t="str">
        <f>IF(+'Libro Diario'!I506=0,"",+'Libro Diario'!I506)</f>
        <v/>
      </c>
      <c r="I1887" t="str">
        <f>+IF(Table3[[#This Row],[Tipo Movimiento]]="Estructura Balance y PyG","Excluir","Incluir")</f>
        <v>Incluir</v>
      </c>
      <c r="J1887" s="153">
        <f>+IF(Table3[[#This Row],[Sin cuenta]]="Con Mov.",(IF(Table3[[#This Row],[Movimiento]]="Debe",Table3[[#This Row],[Importe]],IF(Table3[[#This Row],[Movimiento]]="Haber",Table3[[#This Row],[Importe]]*-1,0))),0)</f>
        <v>0</v>
      </c>
      <c r="K1887" s="145">
        <f t="shared" si="88"/>
        <v>0</v>
      </c>
      <c r="L1887" s="145" t="str">
        <f t="shared" si="89"/>
        <v/>
      </c>
      <c r="M1887" t="str">
        <f>_xlfn.XLOOKUP(Table3[[#This Row],[Cuenta]],Estructura_Balance[Nombre Cuenta ()],Estructura_Balance[Grupo],"",0)</f>
        <v/>
      </c>
      <c r="N1887" t="str">
        <f>_xlfn.XLOOKUP(Table3[[#This Row],[Cuenta]],Estructura_Balance[Nombre Cuenta ()],Estructura_Balance[Nivel 1],"",0)</f>
        <v/>
      </c>
      <c r="O1887" t="str">
        <f>_xlfn.XLOOKUP(Table3[[#This Row],[Cuenta]],Estructura_Balance[Nombre Cuenta ()],Estructura_Balance[Nivel 2],"",0)</f>
        <v/>
      </c>
      <c r="P1887" t="str">
        <f>_xlfn.XLOOKUP(Table3[[#This Row],[Cuenta]],Estructura_Balance[Nombre Cuenta ()],Estructura_Balance[Nivel 3],"",0)</f>
        <v/>
      </c>
      <c r="Q1887" t="str">
        <f>_xlfn.XLOOKUP(Table3[[#This Row],[Cuenta]],Estructura_Balance[Nombre Cuenta ()],Estructura_Balance[Nivel 4],"",0)</f>
        <v/>
      </c>
      <c r="R1887" s="154" t="str">
        <f>_xlfn.XLOOKUP(Table3[[#This Row],[Cuenta]],Table8[Nombre Cuenta ()],Table8[Nivel 1],"",0)</f>
        <v/>
      </c>
      <c r="S1887" t="str">
        <f>_xlfn.XLOOKUP(Table3[[#This Row],[Cuenta]],Table8[Nombre Cuenta ()],Table8[Nivel 2],"",0)</f>
        <v/>
      </c>
      <c r="T1887" t="str">
        <f>_xlfn.XLOOKUP(Table3[[#This Row],[Cuenta]],Table8[Nombre Cuenta ()],Table8[Nivel 3],"",0)</f>
        <v/>
      </c>
      <c r="U1887">
        <v>697</v>
      </c>
      <c r="V1887" t="str">
        <f>_xlfn.XLOOKUP(Table3[[#This Row],[Cuenta]],Estructura_Balance[Nombre Cuenta ()],Estructura_Balance[Niveles:2],"",0)</f>
        <v/>
      </c>
      <c r="W1887" t="str">
        <f>_xlfn.XLOOKUP(Table3[[#This Row],[Cuenta]],Estructura_Balance[Nombre Cuenta ()],Estructura_Balance[Niveles:3],"",0)</f>
        <v/>
      </c>
      <c r="X1887" t="str">
        <f>_xlfn.XLOOKUP(Table3[[#This Row],[Cuenta]],Estructura_Balance[Nombre Cuenta ()],Estructura_Balance[Grupos],"Grupo 1",0)</f>
        <v>Grupo 1</v>
      </c>
      <c r="Y1887" t="str">
        <f>+Table3[[#This Row],[BS_Nivel_1]]</f>
        <v/>
      </c>
    </row>
    <row r="1888" spans="1:25" ht="15" customHeight="1">
      <c r="A1888">
        <f>+'Libro Diario'!F507</f>
        <v>61</v>
      </c>
      <c r="B1888" s="144">
        <f>VALUE(IF(+'Libro Diario'!G507="","01/01/2025",+'Libro Diario'!G507))</f>
        <v>46022</v>
      </c>
      <c r="C1888">
        <f>IF(ISNUMBER(+IF(IFERROR(VALUE(MID('Libro Diario'!C507,1,4)),0)&lt;&gt;0,'Libro Diario'!C507,0))=FALSE,'Libro Diario'!C507,0)</f>
        <v>0</v>
      </c>
      <c r="D1888" s="145">
        <f>+'Libro Diario'!B507</f>
        <v>0</v>
      </c>
      <c r="E1888" s="139" t="s">
        <v>445</v>
      </c>
      <c r="F1888" t="str">
        <f t="shared" si="87"/>
        <v>Sin Mov.</v>
      </c>
      <c r="G1888" t="str">
        <f>IF(+'Libro Diario'!H507=0,"",+'Libro Diario'!H507)</f>
        <v>Provisiones</v>
      </c>
      <c r="H1888" t="str">
        <f>IF(+'Libro Diario'!I507=0,"",+'Libro Diario'!I507)</f>
        <v/>
      </c>
      <c r="I1888" t="str">
        <f>+IF(Table3[[#This Row],[Tipo Movimiento]]="Estructura Balance y PyG","Excluir","Incluir")</f>
        <v>Incluir</v>
      </c>
      <c r="J1888" s="153">
        <f>+IF(Table3[[#This Row],[Sin cuenta]]="Con Mov.",(IF(Table3[[#This Row],[Movimiento]]="Debe",Table3[[#This Row],[Importe]],IF(Table3[[#This Row],[Movimiento]]="Haber",Table3[[#This Row],[Importe]]*-1,0))),0)</f>
        <v>0</v>
      </c>
      <c r="K1888" s="145">
        <f t="shared" si="88"/>
        <v>0</v>
      </c>
      <c r="L1888" s="145" t="str">
        <f t="shared" si="89"/>
        <v/>
      </c>
      <c r="M1888" t="str">
        <f>_xlfn.XLOOKUP(Table3[[#This Row],[Cuenta]],Estructura_Balance[Nombre Cuenta ()],Estructura_Balance[Grupo],"",0)</f>
        <v/>
      </c>
      <c r="N1888" t="str">
        <f>_xlfn.XLOOKUP(Table3[[#This Row],[Cuenta]],Estructura_Balance[Nombre Cuenta ()],Estructura_Balance[Nivel 1],"",0)</f>
        <v/>
      </c>
      <c r="O1888" t="str">
        <f>_xlfn.XLOOKUP(Table3[[#This Row],[Cuenta]],Estructura_Balance[Nombre Cuenta ()],Estructura_Balance[Nivel 2],"",0)</f>
        <v/>
      </c>
      <c r="P1888" t="str">
        <f>_xlfn.XLOOKUP(Table3[[#This Row],[Cuenta]],Estructura_Balance[Nombre Cuenta ()],Estructura_Balance[Nivel 3],"",0)</f>
        <v/>
      </c>
      <c r="Q1888" t="str">
        <f>_xlfn.XLOOKUP(Table3[[#This Row],[Cuenta]],Estructura_Balance[Nombre Cuenta ()],Estructura_Balance[Nivel 4],"",0)</f>
        <v/>
      </c>
      <c r="R1888" t="str">
        <f>_xlfn.XLOOKUP(Table3[[#This Row],[Cuenta]],Table8[Nombre Cuenta ()],Table8[Nivel 1],"",0)</f>
        <v/>
      </c>
      <c r="S1888" t="str">
        <f>_xlfn.XLOOKUP(Table3[[#This Row],[Cuenta]],Table8[Nombre Cuenta ()],Table8[Nivel 2],"",0)</f>
        <v/>
      </c>
      <c r="T1888" t="str">
        <f>_xlfn.XLOOKUP(Table3[[#This Row],[Cuenta]],Table8[Nombre Cuenta ()],Table8[Nivel 3],"",0)</f>
        <v/>
      </c>
      <c r="U1888">
        <v>698</v>
      </c>
      <c r="V1888" t="str">
        <f>_xlfn.XLOOKUP(Table3[[#This Row],[Cuenta]],Estructura_Balance[Nombre Cuenta ()],Estructura_Balance[Niveles:2],"",0)</f>
        <v/>
      </c>
      <c r="W1888" t="str">
        <f>_xlfn.XLOOKUP(Table3[[#This Row],[Cuenta]],Estructura_Balance[Nombre Cuenta ()],Estructura_Balance[Niveles:3],"",0)</f>
        <v/>
      </c>
      <c r="X1888" t="str">
        <f>_xlfn.XLOOKUP(Table3[[#This Row],[Cuenta]],Estructura_Balance[Nombre Cuenta ()],Estructura_Balance[Grupos],"Grupo 1",0)</f>
        <v>Grupo 1</v>
      </c>
      <c r="Y1888" t="str">
        <f>+Table3[[#This Row],[BS_Nivel_1]]</f>
        <v/>
      </c>
    </row>
    <row r="1889" spans="1:25" ht="15" customHeight="1">
      <c r="A1889">
        <f>+'Libro Diario'!F506</f>
        <v>61</v>
      </c>
      <c r="B1889" s="144">
        <f>VALUE(IF(+'Libro Diario'!G506="","01/01/2025",+'Libro Diario'!G506))</f>
        <v>46022</v>
      </c>
      <c r="C1889">
        <f>IF(ISNUMBER(+IF(IFERROR(VALUE(MID('Libro Diario'!D506,1,4)),0)&lt;&gt;0,'Libro Diario'!D506,0))=FALSE,'Libro Diario'!D506,0)</f>
        <v>0</v>
      </c>
      <c r="D1889" s="145">
        <f>+'Libro Diario'!E506</f>
        <v>0</v>
      </c>
      <c r="E1889" s="139" t="s">
        <v>446</v>
      </c>
      <c r="F1889" t="str">
        <f t="shared" si="87"/>
        <v>Sin Mov.</v>
      </c>
      <c r="G1889" t="str">
        <f>IF(+'Libro Diario'!H506=0,"",+'Libro Diario'!H506)</f>
        <v>Provisiones</v>
      </c>
      <c r="H1889" t="str">
        <f>IF(+'Libro Diario'!I506=0,"",+'Libro Diario'!I506)</f>
        <v/>
      </c>
      <c r="I1889" t="str">
        <f>+IF(Table3[[#This Row],[Tipo Movimiento]]="Estructura Balance y PyG","Excluir","Incluir")</f>
        <v>Incluir</v>
      </c>
      <c r="J1889" s="153">
        <f>+IF(Table3[[#This Row],[Sin cuenta]]="Con Mov.",(IF(Table3[[#This Row],[Movimiento]]="Debe",Table3[[#This Row],[Importe]],IF(Table3[[#This Row],[Movimiento]]="Haber",Table3[[#This Row],[Importe]]*-1,0))),0)</f>
        <v>0</v>
      </c>
      <c r="K1889" s="145" t="str">
        <f t="shared" si="88"/>
        <v/>
      </c>
      <c r="L1889" s="145">
        <f t="shared" si="89"/>
        <v>0</v>
      </c>
      <c r="M1889" t="str">
        <f>_xlfn.XLOOKUP(Table3[[#This Row],[Cuenta]],Estructura_Balance[Nombre Cuenta ()],Estructura_Balance[Grupo],"",0)</f>
        <v/>
      </c>
      <c r="N1889" t="str">
        <f>_xlfn.XLOOKUP(Table3[[#This Row],[Cuenta]],Estructura_Balance[Nombre Cuenta ()],Estructura_Balance[Nivel 1],"",0)</f>
        <v/>
      </c>
      <c r="O1889" t="str">
        <f>_xlfn.XLOOKUP(Table3[[#This Row],[Cuenta]],Estructura_Balance[Nombre Cuenta ()],Estructura_Balance[Nivel 2],"",0)</f>
        <v/>
      </c>
      <c r="P1889" t="str">
        <f>_xlfn.XLOOKUP(Table3[[#This Row],[Cuenta]],Estructura_Balance[Nombre Cuenta ()],Estructura_Balance[Nivel 3],"",0)</f>
        <v/>
      </c>
      <c r="Q1889" t="str">
        <f>_xlfn.XLOOKUP(Table3[[#This Row],[Cuenta]],Estructura_Balance[Nombre Cuenta ()],Estructura_Balance[Nivel 4],"",0)</f>
        <v/>
      </c>
      <c r="R1889" t="str">
        <f>_xlfn.XLOOKUP(Table3[[#This Row],[Cuenta]],Table8[Nombre Cuenta ()],Table8[Nivel 1],"",0)</f>
        <v/>
      </c>
      <c r="S1889" t="str">
        <f>_xlfn.XLOOKUP(Table3[[#This Row],[Cuenta]],Table8[Nombre Cuenta ()],Table8[Nivel 2],"",0)</f>
        <v/>
      </c>
      <c r="T1889" t="str">
        <f>_xlfn.XLOOKUP(Table3[[#This Row],[Cuenta]],Table8[Nombre Cuenta ()],Table8[Nivel 3],"",0)</f>
        <v/>
      </c>
      <c r="U1889">
        <v>1899</v>
      </c>
      <c r="V1889" t="str">
        <f>_xlfn.XLOOKUP(Table3[[#This Row],[Cuenta]],Estructura_Balance[Nombre Cuenta ()],Estructura_Balance[Niveles:2],"",0)</f>
        <v/>
      </c>
      <c r="W1889" t="str">
        <f>_xlfn.XLOOKUP(Table3[[#This Row],[Cuenta]],Estructura_Balance[Nombre Cuenta ()],Estructura_Balance[Niveles:3],"",0)</f>
        <v/>
      </c>
      <c r="X1889" t="str">
        <f>_xlfn.XLOOKUP(Table3[[#This Row],[Cuenta]],Estructura_Balance[Nombre Cuenta ()],Estructura_Balance[Grupos],"Grupo 1",0)</f>
        <v>Grupo 1</v>
      </c>
      <c r="Y1889" t="str">
        <f>+Table3[[#This Row],[BS_Nivel_1]]</f>
        <v/>
      </c>
    </row>
    <row r="1890" spans="1:25" ht="15" customHeight="1">
      <c r="A1890">
        <f>+'Libro Diario'!F507</f>
        <v>61</v>
      </c>
      <c r="B1890" s="144">
        <f>VALUE(IF(+'Libro Diario'!G507="","01/01/2025",+'Libro Diario'!G507))</f>
        <v>46022</v>
      </c>
      <c r="C1890">
        <f>IF(ISNUMBER(+IF(IFERROR(VALUE(MID('Libro Diario'!D507,1,4)),0)&lt;&gt;0,'Libro Diario'!D507,0))=FALSE,'Libro Diario'!D507,0)</f>
        <v>0</v>
      </c>
      <c r="D1890" s="145">
        <f>+'Libro Diario'!E507</f>
        <v>0</v>
      </c>
      <c r="E1890" s="139" t="s">
        <v>446</v>
      </c>
      <c r="F1890" t="str">
        <f t="shared" si="87"/>
        <v>Sin Mov.</v>
      </c>
      <c r="G1890" t="str">
        <f>IF(+'Libro Diario'!H507=0,"",+'Libro Diario'!H507)</f>
        <v>Provisiones</v>
      </c>
      <c r="H1890" t="str">
        <f>IF(+'Libro Diario'!I507=0,"",+'Libro Diario'!I507)</f>
        <v/>
      </c>
      <c r="I1890" t="str">
        <f>+IF(Table3[[#This Row],[Tipo Movimiento]]="Estructura Balance y PyG","Excluir","Incluir")</f>
        <v>Incluir</v>
      </c>
      <c r="J1890" s="153">
        <f>+IF(Table3[[#This Row],[Sin cuenta]]="Con Mov.",(IF(Table3[[#This Row],[Movimiento]]="Debe",Table3[[#This Row],[Importe]],IF(Table3[[#This Row],[Movimiento]]="Haber",Table3[[#This Row],[Importe]]*-1,0))),0)</f>
        <v>0</v>
      </c>
      <c r="K1890" s="145" t="str">
        <f t="shared" si="88"/>
        <v/>
      </c>
      <c r="L1890" s="145">
        <f t="shared" si="89"/>
        <v>0</v>
      </c>
      <c r="M1890" t="str">
        <f>_xlfn.XLOOKUP(Table3[[#This Row],[Cuenta]],Estructura_Balance[Nombre Cuenta ()],Estructura_Balance[Grupo],"",0)</f>
        <v/>
      </c>
      <c r="N1890" t="str">
        <f>_xlfn.XLOOKUP(Table3[[#This Row],[Cuenta]],Estructura_Balance[Nombre Cuenta ()],Estructura_Balance[Nivel 1],"",0)</f>
        <v/>
      </c>
      <c r="O1890" t="str">
        <f>_xlfn.XLOOKUP(Table3[[#This Row],[Cuenta]],Estructura_Balance[Nombre Cuenta ()],Estructura_Balance[Nivel 2],"",0)</f>
        <v/>
      </c>
      <c r="P1890" t="str">
        <f>_xlfn.XLOOKUP(Table3[[#This Row],[Cuenta]],Estructura_Balance[Nombre Cuenta ()],Estructura_Balance[Nivel 3],"",0)</f>
        <v/>
      </c>
      <c r="Q1890" t="str">
        <f>_xlfn.XLOOKUP(Table3[[#This Row],[Cuenta]],Estructura_Balance[Nombre Cuenta ()],Estructura_Balance[Nivel 4],"",0)</f>
        <v/>
      </c>
      <c r="R1890" t="str">
        <f>_xlfn.XLOOKUP(Table3[[#This Row],[Cuenta]],Table8[Nombre Cuenta ()],Table8[Nivel 1],"",0)</f>
        <v/>
      </c>
      <c r="S1890" t="str">
        <f>_xlfn.XLOOKUP(Table3[[#This Row],[Cuenta]],Table8[Nombre Cuenta ()],Table8[Nivel 2],"",0)</f>
        <v/>
      </c>
      <c r="T1890" t="str">
        <f>_xlfn.XLOOKUP(Table3[[#This Row],[Cuenta]],Table8[Nombre Cuenta ()],Table8[Nivel 3],"",0)</f>
        <v/>
      </c>
      <c r="U1890">
        <v>1900</v>
      </c>
      <c r="V1890" t="str">
        <f>_xlfn.XLOOKUP(Table3[[#This Row],[Cuenta]],Estructura_Balance[Nombre Cuenta ()],Estructura_Balance[Niveles:2],"",0)</f>
        <v/>
      </c>
      <c r="W1890" t="str">
        <f>_xlfn.XLOOKUP(Table3[[#This Row],[Cuenta]],Estructura_Balance[Nombre Cuenta ()],Estructura_Balance[Niveles:3],"",0)</f>
        <v/>
      </c>
      <c r="X1890" t="str">
        <f>_xlfn.XLOOKUP(Table3[[#This Row],[Cuenta]],Estructura_Balance[Nombre Cuenta ()],Estructura_Balance[Grupos],"Grupo 1",0)</f>
        <v>Grupo 1</v>
      </c>
      <c r="Y1890" t="str">
        <f>+Table3[[#This Row],[BS_Nivel_1]]</f>
        <v/>
      </c>
    </row>
    <row r="1891" spans="1:25" ht="15" customHeight="1">
      <c r="A1891">
        <f>+'Libro Diario'!F513</f>
        <v>62</v>
      </c>
      <c r="B1891" s="144">
        <f>VALUE(IF(+'Libro Diario'!G513="","01/01/2025",+'Libro Diario'!G513))</f>
        <v>46022</v>
      </c>
      <c r="C1891">
        <f>IF(ISNUMBER(+IF(IFERROR(VALUE(MID('Libro Diario'!C513,1,4)),0)&lt;&gt;0,'Libro Diario'!C513,0))=FALSE,'Libro Diario'!C513,0)</f>
        <v>0</v>
      </c>
      <c r="D1891" s="145">
        <f>+'Libro Diario'!B513</f>
        <v>0</v>
      </c>
      <c r="E1891" s="139" t="s">
        <v>445</v>
      </c>
      <c r="F1891" t="str">
        <f t="shared" si="87"/>
        <v>Sin Mov.</v>
      </c>
      <c r="G1891" t="str">
        <f>IF(+'Libro Diario'!H513=0,"",+'Libro Diario'!H513)</f>
        <v>Determinación de Resultado Contable</v>
      </c>
      <c r="H1891" t="str">
        <f>IF(+'Libro Diario'!I513=0,"",+'Libro Diario'!I513)</f>
        <v/>
      </c>
      <c r="I1891" t="str">
        <f>+IF(Table3[[#This Row],[Tipo Movimiento]]="Estructura Balance y PyG","Excluir","Incluir")</f>
        <v>Incluir</v>
      </c>
      <c r="J1891" s="153">
        <f>+IF(Table3[[#This Row],[Sin cuenta]]="Con Mov.",(IF(Table3[[#This Row],[Movimiento]]="Debe",Table3[[#This Row],[Importe]],IF(Table3[[#This Row],[Movimiento]]="Haber",Table3[[#This Row],[Importe]]*-1,0))),0)</f>
        <v>0</v>
      </c>
      <c r="K1891" s="145">
        <f t="shared" si="88"/>
        <v>0</v>
      </c>
      <c r="L1891" s="145" t="str">
        <f t="shared" si="89"/>
        <v/>
      </c>
      <c r="M1891" t="str">
        <f>_xlfn.XLOOKUP(Table3[[#This Row],[Cuenta]],Estructura_Balance[Nombre Cuenta ()],Estructura_Balance[Grupo],"",0)</f>
        <v/>
      </c>
      <c r="N1891" t="str">
        <f>_xlfn.XLOOKUP(Table3[[#This Row],[Cuenta]],Estructura_Balance[Nombre Cuenta ()],Estructura_Balance[Nivel 1],"",0)</f>
        <v/>
      </c>
      <c r="O1891" t="str">
        <f>_xlfn.XLOOKUP(Table3[[#This Row],[Cuenta]],Estructura_Balance[Nombre Cuenta ()],Estructura_Balance[Nivel 2],"",0)</f>
        <v/>
      </c>
      <c r="P1891" t="str">
        <f>_xlfn.XLOOKUP(Table3[[#This Row],[Cuenta]],Estructura_Balance[Nombre Cuenta ()],Estructura_Balance[Nivel 3],"",0)</f>
        <v/>
      </c>
      <c r="Q1891" t="str">
        <f>_xlfn.XLOOKUP(Table3[[#This Row],[Cuenta]],Estructura_Balance[Nombre Cuenta ()],Estructura_Balance[Nivel 4],"",0)</f>
        <v/>
      </c>
      <c r="R1891" s="154" t="str">
        <f>_xlfn.XLOOKUP(Table3[[#This Row],[Cuenta]],Table8[Nombre Cuenta ()],Table8[Nivel 1],"",0)</f>
        <v/>
      </c>
      <c r="S1891" t="str">
        <f>_xlfn.XLOOKUP(Table3[[#This Row],[Cuenta]],Table8[Nombre Cuenta ()],Table8[Nivel 2],"",0)</f>
        <v/>
      </c>
      <c r="T1891" t="str">
        <f>_xlfn.XLOOKUP(Table3[[#This Row],[Cuenta]],Table8[Nombre Cuenta ()],Table8[Nivel 3],"",0)</f>
        <v/>
      </c>
      <c r="U1891">
        <v>704</v>
      </c>
      <c r="V1891" t="str">
        <f>_xlfn.XLOOKUP(Table3[[#This Row],[Cuenta]],Estructura_Balance[Nombre Cuenta ()],Estructura_Balance[Niveles:2],"",0)</f>
        <v/>
      </c>
      <c r="W1891" t="str">
        <f>_xlfn.XLOOKUP(Table3[[#This Row],[Cuenta]],Estructura_Balance[Nombre Cuenta ()],Estructura_Balance[Niveles:3],"",0)</f>
        <v/>
      </c>
      <c r="X1891" t="str">
        <f>_xlfn.XLOOKUP(Table3[[#This Row],[Cuenta]],Estructura_Balance[Nombre Cuenta ()],Estructura_Balance[Grupos],"Grupo 1",0)</f>
        <v>Grupo 1</v>
      </c>
      <c r="Y1891" t="str">
        <f>+Table3[[#This Row],[BS_Nivel_1]]</f>
        <v/>
      </c>
    </row>
    <row r="1892" spans="1:25" ht="15" customHeight="1">
      <c r="A1892">
        <f>+'Libro Diario'!F514</f>
        <v>62</v>
      </c>
      <c r="B1892" s="144">
        <f>VALUE(IF(+'Libro Diario'!G514="","01/01/2025",+'Libro Diario'!G514))</f>
        <v>46022</v>
      </c>
      <c r="C1892">
        <f>IF(ISNUMBER(+IF(IFERROR(VALUE(MID('Libro Diario'!C514,1,4)),0)&lt;&gt;0,'Libro Diario'!C514,0))=FALSE,'Libro Diario'!C514,0)</f>
        <v>0</v>
      </c>
      <c r="D1892" s="145">
        <f>+'Libro Diario'!B514</f>
        <v>0</v>
      </c>
      <c r="E1892" s="139" t="s">
        <v>445</v>
      </c>
      <c r="F1892" t="str">
        <f t="shared" si="87"/>
        <v>Sin Mov.</v>
      </c>
      <c r="G1892" t="str">
        <f>IF(+'Libro Diario'!H514=0,"",+'Libro Diario'!H514)</f>
        <v>Determinación de Resultado Contable</v>
      </c>
      <c r="H1892" t="str">
        <f>IF(+'Libro Diario'!I514=0,"",+'Libro Diario'!I514)</f>
        <v/>
      </c>
      <c r="I1892" t="str">
        <f>+IF(Table3[[#This Row],[Tipo Movimiento]]="Estructura Balance y PyG","Excluir","Incluir")</f>
        <v>Incluir</v>
      </c>
      <c r="J1892" s="153">
        <f>+IF(Table3[[#This Row],[Sin cuenta]]="Con Mov.",(IF(Table3[[#This Row],[Movimiento]]="Debe",Table3[[#This Row],[Importe]],IF(Table3[[#This Row],[Movimiento]]="Haber",Table3[[#This Row],[Importe]]*-1,0))),0)</f>
        <v>0</v>
      </c>
      <c r="K1892" s="145">
        <f t="shared" si="88"/>
        <v>0</v>
      </c>
      <c r="L1892" s="145" t="str">
        <f t="shared" si="89"/>
        <v/>
      </c>
      <c r="M1892" t="str">
        <f>_xlfn.XLOOKUP(Table3[[#This Row],[Cuenta]],Estructura_Balance[Nombre Cuenta ()],Estructura_Balance[Grupo],"",0)</f>
        <v/>
      </c>
      <c r="N1892" t="str">
        <f>_xlfn.XLOOKUP(Table3[[#This Row],[Cuenta]],Estructura_Balance[Nombre Cuenta ()],Estructura_Balance[Nivel 1],"",0)</f>
        <v/>
      </c>
      <c r="O1892" t="str">
        <f>_xlfn.XLOOKUP(Table3[[#This Row],[Cuenta]],Estructura_Balance[Nombre Cuenta ()],Estructura_Balance[Nivel 2],"",0)</f>
        <v/>
      </c>
      <c r="P1892" t="str">
        <f>_xlfn.XLOOKUP(Table3[[#This Row],[Cuenta]],Estructura_Balance[Nombre Cuenta ()],Estructura_Balance[Nivel 3],"",0)</f>
        <v/>
      </c>
      <c r="Q1892" t="str">
        <f>_xlfn.XLOOKUP(Table3[[#This Row],[Cuenta]],Estructura_Balance[Nombre Cuenta ()],Estructura_Balance[Nivel 4],"",0)</f>
        <v/>
      </c>
      <c r="R1892" s="154" t="str">
        <f>_xlfn.XLOOKUP(Table3[[#This Row],[Cuenta]],Table8[Nombre Cuenta ()],Table8[Nivel 1],"",0)</f>
        <v/>
      </c>
      <c r="S1892" t="str">
        <f>_xlfn.XLOOKUP(Table3[[#This Row],[Cuenta]],Table8[Nombre Cuenta ()],Table8[Nivel 2],"",0)</f>
        <v/>
      </c>
      <c r="T1892" t="str">
        <f>_xlfn.XLOOKUP(Table3[[#This Row],[Cuenta]],Table8[Nombre Cuenta ()],Table8[Nivel 3],"",0)</f>
        <v/>
      </c>
      <c r="U1892">
        <v>705</v>
      </c>
      <c r="V1892" t="str">
        <f>_xlfn.XLOOKUP(Table3[[#This Row],[Cuenta]],Estructura_Balance[Nombre Cuenta ()],Estructura_Balance[Niveles:2],"",0)</f>
        <v/>
      </c>
      <c r="W1892" t="str">
        <f>_xlfn.XLOOKUP(Table3[[#This Row],[Cuenta]],Estructura_Balance[Nombre Cuenta ()],Estructura_Balance[Niveles:3],"",0)</f>
        <v/>
      </c>
      <c r="X1892" t="str">
        <f>_xlfn.XLOOKUP(Table3[[#This Row],[Cuenta]],Estructura_Balance[Nombre Cuenta ()],Estructura_Balance[Grupos],"Grupo 1",0)</f>
        <v>Grupo 1</v>
      </c>
      <c r="Y1892" t="str">
        <f>+Table3[[#This Row],[BS_Nivel_1]]</f>
        <v/>
      </c>
    </row>
    <row r="1893" spans="1:25" ht="15" customHeight="1">
      <c r="A1893">
        <f>+'Libro Diario'!F515</f>
        <v>62</v>
      </c>
      <c r="B1893" s="144">
        <f>VALUE(IF(+'Libro Diario'!G515="","01/01/2025",+'Libro Diario'!G515))</f>
        <v>46022</v>
      </c>
      <c r="C1893">
        <f>IF(ISNUMBER(+IF(IFERROR(VALUE(MID('Libro Diario'!C515,1,4)),0)&lt;&gt;0,'Libro Diario'!C515,0))=FALSE,'Libro Diario'!C515,0)</f>
        <v>0</v>
      </c>
      <c r="D1893" s="145">
        <f>+'Libro Diario'!B515</f>
        <v>0</v>
      </c>
      <c r="E1893" s="139" t="s">
        <v>445</v>
      </c>
      <c r="F1893" t="str">
        <f t="shared" si="87"/>
        <v>Sin Mov.</v>
      </c>
      <c r="G1893" t="str">
        <f>IF(+'Libro Diario'!H515=0,"",+'Libro Diario'!H515)</f>
        <v>Determinación de Resultado Contable</v>
      </c>
      <c r="H1893" t="str">
        <f>IF(+'Libro Diario'!I515=0,"",+'Libro Diario'!I515)</f>
        <v/>
      </c>
      <c r="I1893" t="str">
        <f>+IF(Table3[[#This Row],[Tipo Movimiento]]="Estructura Balance y PyG","Excluir","Incluir")</f>
        <v>Incluir</v>
      </c>
      <c r="J1893" s="153">
        <f>+IF(Table3[[#This Row],[Sin cuenta]]="Con Mov.",(IF(Table3[[#This Row],[Movimiento]]="Debe",Table3[[#This Row],[Importe]],IF(Table3[[#This Row],[Movimiento]]="Haber",Table3[[#This Row],[Importe]]*-1,0))),0)</f>
        <v>0</v>
      </c>
      <c r="K1893" s="145">
        <f t="shared" si="88"/>
        <v>0</v>
      </c>
      <c r="L1893" s="145" t="str">
        <f t="shared" si="89"/>
        <v/>
      </c>
      <c r="M1893" t="str">
        <f>_xlfn.XLOOKUP(Table3[[#This Row],[Cuenta]],Estructura_Balance[Nombre Cuenta ()],Estructura_Balance[Grupo],"",0)</f>
        <v/>
      </c>
      <c r="N1893" t="str">
        <f>_xlfn.XLOOKUP(Table3[[#This Row],[Cuenta]],Estructura_Balance[Nombre Cuenta ()],Estructura_Balance[Nivel 1],"",0)</f>
        <v/>
      </c>
      <c r="O1893" t="str">
        <f>_xlfn.XLOOKUP(Table3[[#This Row],[Cuenta]],Estructura_Balance[Nombre Cuenta ()],Estructura_Balance[Nivel 2],"",0)</f>
        <v/>
      </c>
      <c r="P1893" t="str">
        <f>_xlfn.XLOOKUP(Table3[[#This Row],[Cuenta]],Estructura_Balance[Nombre Cuenta ()],Estructura_Balance[Nivel 3],"",0)</f>
        <v/>
      </c>
      <c r="Q1893" t="str">
        <f>_xlfn.XLOOKUP(Table3[[#This Row],[Cuenta]],Estructura_Balance[Nombre Cuenta ()],Estructura_Balance[Nivel 4],"",0)</f>
        <v/>
      </c>
      <c r="R1893" s="154" t="str">
        <f>_xlfn.XLOOKUP(Table3[[#This Row],[Cuenta]],Table8[Nombre Cuenta ()],Table8[Nivel 1],"",0)</f>
        <v/>
      </c>
      <c r="S1893" t="str">
        <f>_xlfn.XLOOKUP(Table3[[#This Row],[Cuenta]],Table8[Nombre Cuenta ()],Table8[Nivel 2],"",0)</f>
        <v/>
      </c>
      <c r="T1893" t="str">
        <f>_xlfn.XLOOKUP(Table3[[#This Row],[Cuenta]],Table8[Nombre Cuenta ()],Table8[Nivel 3],"",0)</f>
        <v/>
      </c>
      <c r="U1893">
        <v>706</v>
      </c>
      <c r="V1893" t="str">
        <f>_xlfn.XLOOKUP(Table3[[#This Row],[Cuenta]],Estructura_Balance[Nombre Cuenta ()],Estructura_Balance[Niveles:2],"",0)</f>
        <v/>
      </c>
      <c r="W1893" t="str">
        <f>_xlfn.XLOOKUP(Table3[[#This Row],[Cuenta]],Estructura_Balance[Nombre Cuenta ()],Estructura_Balance[Niveles:3],"",0)</f>
        <v/>
      </c>
      <c r="X1893" t="str">
        <f>_xlfn.XLOOKUP(Table3[[#This Row],[Cuenta]],Estructura_Balance[Nombre Cuenta ()],Estructura_Balance[Grupos],"Grupo 1",0)</f>
        <v>Grupo 1</v>
      </c>
      <c r="Y1893" t="str">
        <f>+Table3[[#This Row],[BS_Nivel_1]]</f>
        <v/>
      </c>
    </row>
    <row r="1894" spans="1:25" ht="15" customHeight="1">
      <c r="A1894">
        <f>+'Libro Diario'!F516</f>
        <v>62</v>
      </c>
      <c r="B1894" s="144">
        <f>VALUE(IF(+'Libro Diario'!G516="","01/01/2025",+'Libro Diario'!G516))</f>
        <v>46022</v>
      </c>
      <c r="C1894">
        <f>IF(ISNUMBER(+IF(IFERROR(VALUE(MID('Libro Diario'!C516,1,4)),0)&lt;&gt;0,'Libro Diario'!C516,0))=FALSE,'Libro Diario'!C516,0)</f>
        <v>0</v>
      </c>
      <c r="D1894" s="145">
        <f>+'Libro Diario'!B516</f>
        <v>0</v>
      </c>
      <c r="E1894" s="139" t="s">
        <v>445</v>
      </c>
      <c r="F1894" t="str">
        <f t="shared" si="87"/>
        <v>Sin Mov.</v>
      </c>
      <c r="G1894" t="str">
        <f>IF(+'Libro Diario'!H516=0,"",+'Libro Diario'!H516)</f>
        <v>Determinación de Resultado Contable</v>
      </c>
      <c r="H1894" t="str">
        <f>IF(+'Libro Diario'!I516=0,"",+'Libro Diario'!I516)</f>
        <v/>
      </c>
      <c r="I1894" t="str">
        <f>+IF(Table3[[#This Row],[Tipo Movimiento]]="Estructura Balance y PyG","Excluir","Incluir")</f>
        <v>Incluir</v>
      </c>
      <c r="J1894" s="153">
        <f>+IF(Table3[[#This Row],[Sin cuenta]]="Con Mov.",(IF(Table3[[#This Row],[Movimiento]]="Debe",Table3[[#This Row],[Importe]],IF(Table3[[#This Row],[Movimiento]]="Haber",Table3[[#This Row],[Importe]]*-1,0))),0)</f>
        <v>0</v>
      </c>
      <c r="K1894" s="145">
        <f t="shared" si="88"/>
        <v>0</v>
      </c>
      <c r="L1894" s="145" t="str">
        <f t="shared" si="89"/>
        <v/>
      </c>
      <c r="M1894" t="str">
        <f>_xlfn.XLOOKUP(Table3[[#This Row],[Cuenta]],Estructura_Balance[Nombre Cuenta ()],Estructura_Balance[Grupo],"",0)</f>
        <v/>
      </c>
      <c r="N1894" t="str">
        <f>_xlfn.XLOOKUP(Table3[[#This Row],[Cuenta]],Estructura_Balance[Nombre Cuenta ()],Estructura_Balance[Nivel 1],"",0)</f>
        <v/>
      </c>
      <c r="O1894" t="str">
        <f>_xlfn.XLOOKUP(Table3[[#This Row],[Cuenta]],Estructura_Balance[Nombre Cuenta ()],Estructura_Balance[Nivel 2],"",0)</f>
        <v/>
      </c>
      <c r="P1894" t="str">
        <f>_xlfn.XLOOKUP(Table3[[#This Row],[Cuenta]],Estructura_Balance[Nombre Cuenta ()],Estructura_Balance[Nivel 3],"",0)</f>
        <v/>
      </c>
      <c r="Q1894" t="str">
        <f>_xlfn.XLOOKUP(Table3[[#This Row],[Cuenta]],Estructura_Balance[Nombre Cuenta ()],Estructura_Balance[Nivel 4],"",0)</f>
        <v/>
      </c>
      <c r="R1894" s="154" t="str">
        <f>_xlfn.XLOOKUP(Table3[[#This Row],[Cuenta]],Table8[Nombre Cuenta ()],Table8[Nivel 1],"",0)</f>
        <v/>
      </c>
      <c r="S1894" t="str">
        <f>_xlfn.XLOOKUP(Table3[[#This Row],[Cuenta]],Table8[Nombre Cuenta ()],Table8[Nivel 2],"",0)</f>
        <v/>
      </c>
      <c r="T1894" t="str">
        <f>_xlfn.XLOOKUP(Table3[[#This Row],[Cuenta]],Table8[Nombre Cuenta ()],Table8[Nivel 3],"",0)</f>
        <v/>
      </c>
      <c r="U1894">
        <v>707</v>
      </c>
      <c r="V1894" t="str">
        <f>_xlfn.XLOOKUP(Table3[[#This Row],[Cuenta]],Estructura_Balance[Nombre Cuenta ()],Estructura_Balance[Niveles:2],"",0)</f>
        <v/>
      </c>
      <c r="W1894" t="str">
        <f>_xlfn.XLOOKUP(Table3[[#This Row],[Cuenta]],Estructura_Balance[Nombre Cuenta ()],Estructura_Balance[Niveles:3],"",0)</f>
        <v/>
      </c>
      <c r="X1894" t="str">
        <f>_xlfn.XLOOKUP(Table3[[#This Row],[Cuenta]],Estructura_Balance[Nombre Cuenta ()],Estructura_Balance[Grupos],"Grupo 1",0)</f>
        <v>Grupo 1</v>
      </c>
      <c r="Y1894" t="str">
        <f>+Table3[[#This Row],[BS_Nivel_1]]</f>
        <v/>
      </c>
    </row>
    <row r="1895" spans="1:25" ht="15" customHeight="1">
      <c r="A1895">
        <f>+'Libro Diario'!F517</f>
        <v>62</v>
      </c>
      <c r="B1895" s="144">
        <f>VALUE(IF(+'Libro Diario'!G517="","01/01/2025",+'Libro Diario'!G517))</f>
        <v>46022</v>
      </c>
      <c r="C1895">
        <f>IF(ISNUMBER(+IF(IFERROR(VALUE(MID('Libro Diario'!C517,1,4)),0)&lt;&gt;0,'Libro Diario'!C517,0))=FALSE,'Libro Diario'!C517,0)</f>
        <v>0</v>
      </c>
      <c r="D1895" s="145">
        <f>+'Libro Diario'!B517</f>
        <v>0</v>
      </c>
      <c r="E1895" s="139" t="s">
        <v>445</v>
      </c>
      <c r="F1895" t="str">
        <f t="shared" si="87"/>
        <v>Sin Mov.</v>
      </c>
      <c r="G1895" t="str">
        <f>IF(+'Libro Diario'!H517=0,"",+'Libro Diario'!H517)</f>
        <v>Determinación de Resultado Contable</v>
      </c>
      <c r="H1895" t="str">
        <f>IF(+'Libro Diario'!I517=0,"",+'Libro Diario'!I517)</f>
        <v/>
      </c>
      <c r="I1895" t="str">
        <f>+IF(Table3[[#This Row],[Tipo Movimiento]]="Estructura Balance y PyG","Excluir","Incluir")</f>
        <v>Incluir</v>
      </c>
      <c r="J1895" s="153">
        <f>+IF(Table3[[#This Row],[Sin cuenta]]="Con Mov.",(IF(Table3[[#This Row],[Movimiento]]="Debe",Table3[[#This Row],[Importe]],IF(Table3[[#This Row],[Movimiento]]="Haber",Table3[[#This Row],[Importe]]*-1,0))),0)</f>
        <v>0</v>
      </c>
      <c r="K1895" s="145">
        <f t="shared" si="88"/>
        <v>0</v>
      </c>
      <c r="L1895" s="145" t="str">
        <f t="shared" si="89"/>
        <v/>
      </c>
      <c r="M1895" t="str">
        <f>_xlfn.XLOOKUP(Table3[[#This Row],[Cuenta]],Estructura_Balance[Nombre Cuenta ()],Estructura_Balance[Grupo],"",0)</f>
        <v/>
      </c>
      <c r="N1895" t="str">
        <f>_xlfn.XLOOKUP(Table3[[#This Row],[Cuenta]],Estructura_Balance[Nombre Cuenta ()],Estructura_Balance[Nivel 1],"",0)</f>
        <v/>
      </c>
      <c r="O1895" t="str">
        <f>_xlfn.XLOOKUP(Table3[[#This Row],[Cuenta]],Estructura_Balance[Nombre Cuenta ()],Estructura_Balance[Nivel 2],"",0)</f>
        <v/>
      </c>
      <c r="P1895" t="str">
        <f>_xlfn.XLOOKUP(Table3[[#This Row],[Cuenta]],Estructura_Balance[Nombre Cuenta ()],Estructura_Balance[Nivel 3],"",0)</f>
        <v/>
      </c>
      <c r="Q1895" t="str">
        <f>_xlfn.XLOOKUP(Table3[[#This Row],[Cuenta]],Estructura_Balance[Nombre Cuenta ()],Estructura_Balance[Nivel 4],"",0)</f>
        <v/>
      </c>
      <c r="R1895" t="str">
        <f>_xlfn.XLOOKUP(Table3[[#This Row],[Cuenta]],Table8[Nombre Cuenta ()],Table8[Nivel 1],"",0)</f>
        <v/>
      </c>
      <c r="S1895" t="str">
        <f>_xlfn.XLOOKUP(Table3[[#This Row],[Cuenta]],Table8[Nombre Cuenta ()],Table8[Nivel 2],"",0)</f>
        <v/>
      </c>
      <c r="T1895" t="str">
        <f>_xlfn.XLOOKUP(Table3[[#This Row],[Cuenta]],Table8[Nombre Cuenta ()],Table8[Nivel 3],"",0)</f>
        <v/>
      </c>
      <c r="U1895">
        <v>708</v>
      </c>
      <c r="V1895" t="str">
        <f>_xlfn.XLOOKUP(Table3[[#This Row],[Cuenta]],Estructura_Balance[Nombre Cuenta ()],Estructura_Balance[Niveles:2],"",0)</f>
        <v/>
      </c>
      <c r="W1895" t="str">
        <f>_xlfn.XLOOKUP(Table3[[#This Row],[Cuenta]],Estructura_Balance[Nombre Cuenta ()],Estructura_Balance[Niveles:3],"",0)</f>
        <v/>
      </c>
      <c r="X1895" t="str">
        <f>_xlfn.XLOOKUP(Table3[[#This Row],[Cuenta]],Estructura_Balance[Nombre Cuenta ()],Estructura_Balance[Grupos],"Grupo 1",0)</f>
        <v>Grupo 1</v>
      </c>
      <c r="Y1895" t="str">
        <f>+Table3[[#This Row],[BS_Nivel_1]]</f>
        <v/>
      </c>
    </row>
    <row r="1896" spans="1:25" ht="15" customHeight="1">
      <c r="A1896">
        <f>+'Libro Diario'!F518</f>
        <v>62</v>
      </c>
      <c r="B1896" s="144">
        <f>VALUE(IF(+'Libro Diario'!G518="","01/01/2025",+'Libro Diario'!G518))</f>
        <v>46022</v>
      </c>
      <c r="C1896">
        <f>IF(ISNUMBER(+IF(IFERROR(VALUE(MID('Libro Diario'!C518,1,4)),0)&lt;&gt;0,'Libro Diario'!C518,0))=FALSE,'Libro Diario'!C518,0)</f>
        <v>0</v>
      </c>
      <c r="D1896" s="145">
        <f>+'Libro Diario'!B518</f>
        <v>0</v>
      </c>
      <c r="E1896" s="139" t="s">
        <v>445</v>
      </c>
      <c r="F1896" t="str">
        <f t="shared" si="87"/>
        <v>Sin Mov.</v>
      </c>
      <c r="G1896" t="str">
        <f>IF(+'Libro Diario'!H518=0,"",+'Libro Diario'!H518)</f>
        <v>Determinación de Resultado Contable</v>
      </c>
      <c r="H1896" t="str">
        <f>IF(+'Libro Diario'!I518=0,"",+'Libro Diario'!I518)</f>
        <v/>
      </c>
      <c r="I1896" t="str">
        <f>+IF(Table3[[#This Row],[Tipo Movimiento]]="Estructura Balance y PyG","Excluir","Incluir")</f>
        <v>Incluir</v>
      </c>
      <c r="J1896" s="153">
        <f>+IF(Table3[[#This Row],[Sin cuenta]]="Con Mov.",(IF(Table3[[#This Row],[Movimiento]]="Debe",Table3[[#This Row],[Importe]],IF(Table3[[#This Row],[Movimiento]]="Haber",Table3[[#This Row],[Importe]]*-1,0))),0)</f>
        <v>0</v>
      </c>
      <c r="K1896" s="145">
        <f t="shared" si="88"/>
        <v>0</v>
      </c>
      <c r="L1896" s="145" t="str">
        <f t="shared" si="89"/>
        <v/>
      </c>
      <c r="M1896" t="str">
        <f>_xlfn.XLOOKUP(Table3[[#This Row],[Cuenta]],Estructura_Balance[Nombre Cuenta ()],Estructura_Balance[Grupo],"",0)</f>
        <v/>
      </c>
      <c r="N1896" t="str">
        <f>_xlfn.XLOOKUP(Table3[[#This Row],[Cuenta]],Estructura_Balance[Nombre Cuenta ()],Estructura_Balance[Nivel 1],"",0)</f>
        <v/>
      </c>
      <c r="O1896" t="str">
        <f>_xlfn.XLOOKUP(Table3[[#This Row],[Cuenta]],Estructura_Balance[Nombre Cuenta ()],Estructura_Balance[Nivel 2],"",0)</f>
        <v/>
      </c>
      <c r="P1896" t="str">
        <f>_xlfn.XLOOKUP(Table3[[#This Row],[Cuenta]],Estructura_Balance[Nombre Cuenta ()],Estructura_Balance[Nivel 3],"",0)</f>
        <v/>
      </c>
      <c r="Q1896" t="str">
        <f>_xlfn.XLOOKUP(Table3[[#This Row],[Cuenta]],Estructura_Balance[Nombre Cuenta ()],Estructura_Balance[Nivel 4],"",0)</f>
        <v/>
      </c>
      <c r="R1896" s="154" t="str">
        <f>_xlfn.XLOOKUP(Table3[[#This Row],[Cuenta]],Table8[Nombre Cuenta ()],Table8[Nivel 1],"",0)</f>
        <v/>
      </c>
      <c r="S1896" t="str">
        <f>_xlfn.XLOOKUP(Table3[[#This Row],[Cuenta]],Table8[Nombre Cuenta ()],Table8[Nivel 2],"",0)</f>
        <v/>
      </c>
      <c r="T1896" t="str">
        <f>_xlfn.XLOOKUP(Table3[[#This Row],[Cuenta]],Table8[Nombre Cuenta ()],Table8[Nivel 3],"",0)</f>
        <v/>
      </c>
      <c r="U1896">
        <v>709</v>
      </c>
      <c r="V1896" t="str">
        <f>_xlfn.XLOOKUP(Table3[[#This Row],[Cuenta]],Estructura_Balance[Nombre Cuenta ()],Estructura_Balance[Niveles:2],"",0)</f>
        <v/>
      </c>
      <c r="W1896" t="str">
        <f>_xlfn.XLOOKUP(Table3[[#This Row],[Cuenta]],Estructura_Balance[Nombre Cuenta ()],Estructura_Balance[Niveles:3],"",0)</f>
        <v/>
      </c>
      <c r="X1896" t="str">
        <f>_xlfn.XLOOKUP(Table3[[#This Row],[Cuenta]],Estructura_Balance[Nombre Cuenta ()],Estructura_Balance[Grupos],"Grupo 1",0)</f>
        <v>Grupo 1</v>
      </c>
      <c r="Y1896" t="str">
        <f>+Table3[[#This Row],[BS_Nivel_1]]</f>
        <v/>
      </c>
    </row>
    <row r="1897" spans="1:25" ht="15" customHeight="1">
      <c r="A1897">
        <f>+'Libro Diario'!F519</f>
        <v>62</v>
      </c>
      <c r="B1897" s="144">
        <f>VALUE(IF(+'Libro Diario'!G519="","01/01/2025",+'Libro Diario'!G519))</f>
        <v>46022</v>
      </c>
      <c r="C1897">
        <f>IF(ISNUMBER(+IF(IFERROR(VALUE(MID('Libro Diario'!C519,1,4)),0)&lt;&gt;0,'Libro Diario'!C519,0))=FALSE,'Libro Diario'!C519,0)</f>
        <v>0</v>
      </c>
      <c r="D1897" s="145">
        <f>+'Libro Diario'!B519</f>
        <v>0</v>
      </c>
      <c r="E1897" s="139" t="s">
        <v>445</v>
      </c>
      <c r="F1897" t="str">
        <f t="shared" si="87"/>
        <v>Sin Mov.</v>
      </c>
      <c r="G1897" t="str">
        <f>IF(+'Libro Diario'!H519=0,"",+'Libro Diario'!H519)</f>
        <v>Determinación de Resultado Contable</v>
      </c>
      <c r="H1897" t="str">
        <f>IF(+'Libro Diario'!I519=0,"",+'Libro Diario'!I519)</f>
        <v/>
      </c>
      <c r="I1897" t="str">
        <f>+IF(Table3[[#This Row],[Tipo Movimiento]]="Estructura Balance y PyG","Excluir","Incluir")</f>
        <v>Incluir</v>
      </c>
      <c r="J1897" s="153">
        <f>+IF(Table3[[#This Row],[Sin cuenta]]="Con Mov.",(IF(Table3[[#This Row],[Movimiento]]="Debe",Table3[[#This Row],[Importe]],IF(Table3[[#This Row],[Movimiento]]="Haber",Table3[[#This Row],[Importe]]*-1,0))),0)</f>
        <v>0</v>
      </c>
      <c r="K1897" s="145">
        <f t="shared" si="88"/>
        <v>0</v>
      </c>
      <c r="L1897" s="145" t="str">
        <f t="shared" si="89"/>
        <v/>
      </c>
      <c r="M1897" t="str">
        <f>_xlfn.XLOOKUP(Table3[[#This Row],[Cuenta]],Estructura_Balance[Nombre Cuenta ()],Estructura_Balance[Grupo],"",0)</f>
        <v/>
      </c>
      <c r="N1897" t="str">
        <f>_xlfn.XLOOKUP(Table3[[#This Row],[Cuenta]],Estructura_Balance[Nombre Cuenta ()],Estructura_Balance[Nivel 1],"",0)</f>
        <v/>
      </c>
      <c r="O1897" t="str">
        <f>_xlfn.XLOOKUP(Table3[[#This Row],[Cuenta]],Estructura_Balance[Nombre Cuenta ()],Estructura_Balance[Nivel 2],"",0)</f>
        <v/>
      </c>
      <c r="P1897" t="str">
        <f>_xlfn.XLOOKUP(Table3[[#This Row],[Cuenta]],Estructura_Balance[Nombre Cuenta ()],Estructura_Balance[Nivel 3],"",0)</f>
        <v/>
      </c>
      <c r="Q1897" t="str">
        <f>_xlfn.XLOOKUP(Table3[[#This Row],[Cuenta]],Estructura_Balance[Nombre Cuenta ()],Estructura_Balance[Nivel 4],"",0)</f>
        <v/>
      </c>
      <c r="R1897" t="str">
        <f>_xlfn.XLOOKUP(Table3[[#This Row],[Cuenta]],Table8[Nombre Cuenta ()],Table8[Nivel 1],"",0)</f>
        <v/>
      </c>
      <c r="S1897" t="str">
        <f>_xlfn.XLOOKUP(Table3[[#This Row],[Cuenta]],Table8[Nombre Cuenta ()],Table8[Nivel 2],"",0)</f>
        <v/>
      </c>
      <c r="T1897" t="str">
        <f>_xlfn.XLOOKUP(Table3[[#This Row],[Cuenta]],Table8[Nombre Cuenta ()],Table8[Nivel 3],"",0)</f>
        <v/>
      </c>
      <c r="U1897">
        <v>710</v>
      </c>
      <c r="V1897" t="str">
        <f>_xlfn.XLOOKUP(Table3[[#This Row],[Cuenta]],Estructura_Balance[Nombre Cuenta ()],Estructura_Balance[Niveles:2],"",0)</f>
        <v/>
      </c>
      <c r="W1897" t="str">
        <f>_xlfn.XLOOKUP(Table3[[#This Row],[Cuenta]],Estructura_Balance[Nombre Cuenta ()],Estructura_Balance[Niveles:3],"",0)</f>
        <v/>
      </c>
      <c r="X1897" t="str">
        <f>_xlfn.XLOOKUP(Table3[[#This Row],[Cuenta]],Estructura_Balance[Nombre Cuenta ()],Estructura_Balance[Grupos],"Grupo 1",0)</f>
        <v>Grupo 1</v>
      </c>
      <c r="Y1897" t="str">
        <f>+Table3[[#This Row],[BS_Nivel_1]]</f>
        <v/>
      </c>
    </row>
    <row r="1898" spans="1:25" ht="15" customHeight="1">
      <c r="A1898">
        <f>+'Libro Diario'!F520</f>
        <v>62</v>
      </c>
      <c r="B1898" s="144">
        <f>VALUE(IF(+'Libro Diario'!G520="","01/01/2025",+'Libro Diario'!G520))</f>
        <v>46022</v>
      </c>
      <c r="C1898">
        <f>IF(ISNUMBER(+IF(IFERROR(VALUE(MID('Libro Diario'!C520,1,4)),0)&lt;&gt;0,'Libro Diario'!C520,0))=FALSE,'Libro Diario'!C520,0)</f>
        <v>0</v>
      </c>
      <c r="D1898" s="145">
        <f>+'Libro Diario'!B520</f>
        <v>0</v>
      </c>
      <c r="E1898" s="139" t="s">
        <v>445</v>
      </c>
      <c r="F1898" t="str">
        <f t="shared" si="87"/>
        <v>Sin Mov.</v>
      </c>
      <c r="G1898" t="str">
        <f>IF(+'Libro Diario'!H520=0,"",+'Libro Diario'!H520)</f>
        <v>Determinación de Resultado Contable</v>
      </c>
      <c r="H1898" t="str">
        <f>IF(+'Libro Diario'!I520=0,"",+'Libro Diario'!I520)</f>
        <v/>
      </c>
      <c r="I1898" t="str">
        <f>+IF(Table3[[#This Row],[Tipo Movimiento]]="Estructura Balance y PyG","Excluir","Incluir")</f>
        <v>Incluir</v>
      </c>
      <c r="J1898" s="153">
        <f>+IF(Table3[[#This Row],[Sin cuenta]]="Con Mov.",(IF(Table3[[#This Row],[Movimiento]]="Debe",Table3[[#This Row],[Importe]],IF(Table3[[#This Row],[Movimiento]]="Haber",Table3[[#This Row],[Importe]]*-1,0))),0)</f>
        <v>0</v>
      </c>
      <c r="K1898" s="145">
        <f t="shared" si="88"/>
        <v>0</v>
      </c>
      <c r="L1898" s="145" t="str">
        <f t="shared" si="89"/>
        <v/>
      </c>
      <c r="M1898" t="str">
        <f>_xlfn.XLOOKUP(Table3[[#This Row],[Cuenta]],Estructura_Balance[Nombre Cuenta ()],Estructura_Balance[Grupo],"",0)</f>
        <v/>
      </c>
      <c r="N1898" t="str">
        <f>_xlfn.XLOOKUP(Table3[[#This Row],[Cuenta]],Estructura_Balance[Nombre Cuenta ()],Estructura_Balance[Nivel 1],"",0)</f>
        <v/>
      </c>
      <c r="O1898" t="str">
        <f>_xlfn.XLOOKUP(Table3[[#This Row],[Cuenta]],Estructura_Balance[Nombre Cuenta ()],Estructura_Balance[Nivel 2],"",0)</f>
        <v/>
      </c>
      <c r="P1898" t="str">
        <f>_xlfn.XLOOKUP(Table3[[#This Row],[Cuenta]],Estructura_Balance[Nombre Cuenta ()],Estructura_Balance[Nivel 3],"",0)</f>
        <v/>
      </c>
      <c r="Q1898" t="str">
        <f>_xlfn.XLOOKUP(Table3[[#This Row],[Cuenta]],Estructura_Balance[Nombre Cuenta ()],Estructura_Balance[Nivel 4],"",0)</f>
        <v/>
      </c>
      <c r="R1898" s="154" t="str">
        <f>_xlfn.XLOOKUP(Table3[[#This Row],[Cuenta]],Table8[Nombre Cuenta ()],Table8[Nivel 1],"",0)</f>
        <v/>
      </c>
      <c r="S1898" t="str">
        <f>_xlfn.XLOOKUP(Table3[[#This Row],[Cuenta]],Table8[Nombre Cuenta ()],Table8[Nivel 2],"",0)</f>
        <v/>
      </c>
      <c r="T1898" t="str">
        <f>_xlfn.XLOOKUP(Table3[[#This Row],[Cuenta]],Table8[Nombre Cuenta ()],Table8[Nivel 3],"",0)</f>
        <v/>
      </c>
      <c r="U1898">
        <v>711</v>
      </c>
      <c r="V1898" t="str">
        <f>_xlfn.XLOOKUP(Table3[[#This Row],[Cuenta]],Estructura_Balance[Nombre Cuenta ()],Estructura_Balance[Niveles:2],"",0)</f>
        <v/>
      </c>
      <c r="W1898" t="str">
        <f>_xlfn.XLOOKUP(Table3[[#This Row],[Cuenta]],Estructura_Balance[Nombre Cuenta ()],Estructura_Balance[Niveles:3],"",0)</f>
        <v/>
      </c>
      <c r="X1898" t="str">
        <f>_xlfn.XLOOKUP(Table3[[#This Row],[Cuenta]],Estructura_Balance[Nombre Cuenta ()],Estructura_Balance[Grupos],"Grupo 1",0)</f>
        <v>Grupo 1</v>
      </c>
      <c r="Y1898" t="str">
        <f>+Table3[[#This Row],[BS_Nivel_1]]</f>
        <v/>
      </c>
    </row>
    <row r="1899" spans="1:25" ht="15" customHeight="1">
      <c r="A1899">
        <f>+'Libro Diario'!F521</f>
        <v>62</v>
      </c>
      <c r="B1899" s="144">
        <f>VALUE(IF(+'Libro Diario'!G521="","01/01/2025",+'Libro Diario'!G521))</f>
        <v>46022</v>
      </c>
      <c r="C1899">
        <f>IF(ISNUMBER(+IF(IFERROR(VALUE(MID('Libro Diario'!C521,1,4)),0)&lt;&gt;0,'Libro Diario'!C521,0))=FALSE,'Libro Diario'!C521,0)</f>
        <v>0</v>
      </c>
      <c r="D1899" s="145">
        <f>+'Libro Diario'!B521</f>
        <v>0</v>
      </c>
      <c r="E1899" s="139" t="s">
        <v>445</v>
      </c>
      <c r="F1899" t="str">
        <f t="shared" si="87"/>
        <v>Sin Mov.</v>
      </c>
      <c r="G1899" t="str">
        <f>IF(+'Libro Diario'!H521=0,"",+'Libro Diario'!H521)</f>
        <v>Determinación de Resultado Contable</v>
      </c>
      <c r="H1899" t="str">
        <f>IF(+'Libro Diario'!I521=0,"",+'Libro Diario'!I521)</f>
        <v/>
      </c>
      <c r="I1899" t="str">
        <f>+IF(Table3[[#This Row],[Tipo Movimiento]]="Estructura Balance y PyG","Excluir","Incluir")</f>
        <v>Incluir</v>
      </c>
      <c r="J1899" s="153">
        <f>+IF(Table3[[#This Row],[Sin cuenta]]="Con Mov.",(IF(Table3[[#This Row],[Movimiento]]="Debe",Table3[[#This Row],[Importe]],IF(Table3[[#This Row],[Movimiento]]="Haber",Table3[[#This Row],[Importe]]*-1,0))),0)</f>
        <v>0</v>
      </c>
      <c r="K1899" s="145">
        <f t="shared" si="88"/>
        <v>0</v>
      </c>
      <c r="L1899" s="145" t="str">
        <f t="shared" si="89"/>
        <v/>
      </c>
      <c r="M1899" t="str">
        <f>_xlfn.XLOOKUP(Table3[[#This Row],[Cuenta]],Estructura_Balance[Nombre Cuenta ()],Estructura_Balance[Grupo],"",0)</f>
        <v/>
      </c>
      <c r="N1899" t="str">
        <f>_xlfn.XLOOKUP(Table3[[#This Row],[Cuenta]],Estructura_Balance[Nombre Cuenta ()],Estructura_Balance[Nivel 1],"",0)</f>
        <v/>
      </c>
      <c r="O1899" t="str">
        <f>_xlfn.XLOOKUP(Table3[[#This Row],[Cuenta]],Estructura_Balance[Nombre Cuenta ()],Estructura_Balance[Nivel 2],"",0)</f>
        <v/>
      </c>
      <c r="P1899" t="str">
        <f>_xlfn.XLOOKUP(Table3[[#This Row],[Cuenta]],Estructura_Balance[Nombre Cuenta ()],Estructura_Balance[Nivel 3],"",0)</f>
        <v/>
      </c>
      <c r="Q1899" t="str">
        <f>_xlfn.XLOOKUP(Table3[[#This Row],[Cuenta]],Estructura_Balance[Nombre Cuenta ()],Estructura_Balance[Nivel 4],"",0)</f>
        <v/>
      </c>
      <c r="R1899" s="154" t="str">
        <f>_xlfn.XLOOKUP(Table3[[#This Row],[Cuenta]],Table8[Nombre Cuenta ()],Table8[Nivel 1],"",0)</f>
        <v/>
      </c>
      <c r="S1899" t="str">
        <f>_xlfn.XLOOKUP(Table3[[#This Row],[Cuenta]],Table8[Nombre Cuenta ()],Table8[Nivel 2],"",0)</f>
        <v/>
      </c>
      <c r="T1899" t="str">
        <f>_xlfn.XLOOKUP(Table3[[#This Row],[Cuenta]],Table8[Nombre Cuenta ()],Table8[Nivel 3],"",0)</f>
        <v/>
      </c>
      <c r="U1899">
        <v>712</v>
      </c>
      <c r="V1899" t="str">
        <f>_xlfn.XLOOKUP(Table3[[#This Row],[Cuenta]],Estructura_Balance[Nombre Cuenta ()],Estructura_Balance[Niveles:2],"",0)</f>
        <v/>
      </c>
      <c r="W1899" t="str">
        <f>_xlfn.XLOOKUP(Table3[[#This Row],[Cuenta]],Estructura_Balance[Nombre Cuenta ()],Estructura_Balance[Niveles:3],"",0)</f>
        <v/>
      </c>
      <c r="X1899" t="str">
        <f>_xlfn.XLOOKUP(Table3[[#This Row],[Cuenta]],Estructura_Balance[Nombre Cuenta ()],Estructura_Balance[Grupos],"Grupo 1",0)</f>
        <v>Grupo 1</v>
      </c>
      <c r="Y1899" t="str">
        <f>+Table3[[#This Row],[BS_Nivel_1]]</f>
        <v/>
      </c>
    </row>
    <row r="1900" spans="1:25" ht="15" customHeight="1">
      <c r="A1900">
        <f>+'Libro Diario'!F522</f>
        <v>62</v>
      </c>
      <c r="B1900" s="144">
        <f>VALUE(IF(+'Libro Diario'!G522="","01/01/2025",+'Libro Diario'!G522))</f>
        <v>46022</v>
      </c>
      <c r="C1900">
        <f>IF(ISNUMBER(+IF(IFERROR(VALUE(MID('Libro Diario'!C522,1,4)),0)&lt;&gt;0,'Libro Diario'!C522,0))=FALSE,'Libro Diario'!C522,0)</f>
        <v>0</v>
      </c>
      <c r="D1900" s="145">
        <f>+'Libro Diario'!B522</f>
        <v>0</v>
      </c>
      <c r="E1900" s="139" t="s">
        <v>445</v>
      </c>
      <c r="F1900" t="str">
        <f t="shared" si="87"/>
        <v>Sin Mov.</v>
      </c>
      <c r="G1900" t="str">
        <f>IF(+'Libro Diario'!H522=0,"",+'Libro Diario'!H522)</f>
        <v>Determinación de Resultado Contable</v>
      </c>
      <c r="H1900" t="str">
        <f>IF(+'Libro Diario'!I522=0,"",+'Libro Diario'!I522)</f>
        <v/>
      </c>
      <c r="I1900" t="str">
        <f>+IF(Table3[[#This Row],[Tipo Movimiento]]="Estructura Balance y PyG","Excluir","Incluir")</f>
        <v>Incluir</v>
      </c>
      <c r="J1900" s="153">
        <f>+IF(Table3[[#This Row],[Sin cuenta]]="Con Mov.",(IF(Table3[[#This Row],[Movimiento]]="Debe",Table3[[#This Row],[Importe]],IF(Table3[[#This Row],[Movimiento]]="Haber",Table3[[#This Row],[Importe]]*-1,0))),0)</f>
        <v>0</v>
      </c>
      <c r="K1900" s="145">
        <f t="shared" si="88"/>
        <v>0</v>
      </c>
      <c r="L1900" s="145" t="str">
        <f t="shared" si="89"/>
        <v/>
      </c>
      <c r="M1900" t="str">
        <f>_xlfn.XLOOKUP(Table3[[#This Row],[Cuenta]],Estructura_Balance[Nombre Cuenta ()],Estructura_Balance[Grupo],"",0)</f>
        <v/>
      </c>
      <c r="N1900" t="str">
        <f>_xlfn.XLOOKUP(Table3[[#This Row],[Cuenta]],Estructura_Balance[Nombre Cuenta ()],Estructura_Balance[Nivel 1],"",0)</f>
        <v/>
      </c>
      <c r="O1900" t="str">
        <f>_xlfn.XLOOKUP(Table3[[#This Row],[Cuenta]],Estructura_Balance[Nombre Cuenta ()],Estructura_Balance[Nivel 2],"",0)</f>
        <v/>
      </c>
      <c r="P1900" t="str">
        <f>_xlfn.XLOOKUP(Table3[[#This Row],[Cuenta]],Estructura_Balance[Nombre Cuenta ()],Estructura_Balance[Nivel 3],"",0)</f>
        <v/>
      </c>
      <c r="Q1900" t="str">
        <f>_xlfn.XLOOKUP(Table3[[#This Row],[Cuenta]],Estructura_Balance[Nombre Cuenta ()],Estructura_Balance[Nivel 4],"",0)</f>
        <v/>
      </c>
      <c r="R1900" s="154" t="str">
        <f>_xlfn.XLOOKUP(Table3[[#This Row],[Cuenta]],Table8[Nombre Cuenta ()],Table8[Nivel 1],"",0)</f>
        <v/>
      </c>
      <c r="S1900" t="str">
        <f>_xlfn.XLOOKUP(Table3[[#This Row],[Cuenta]],Table8[Nombre Cuenta ()],Table8[Nivel 2],"",0)</f>
        <v/>
      </c>
      <c r="T1900" t="str">
        <f>_xlfn.XLOOKUP(Table3[[#This Row],[Cuenta]],Table8[Nombre Cuenta ()],Table8[Nivel 3],"",0)</f>
        <v/>
      </c>
      <c r="U1900">
        <v>713</v>
      </c>
      <c r="V1900" t="str">
        <f>_xlfn.XLOOKUP(Table3[[#This Row],[Cuenta]],Estructura_Balance[Nombre Cuenta ()],Estructura_Balance[Niveles:2],"",0)</f>
        <v/>
      </c>
      <c r="W1900" t="str">
        <f>_xlfn.XLOOKUP(Table3[[#This Row],[Cuenta]],Estructura_Balance[Nombre Cuenta ()],Estructura_Balance[Niveles:3],"",0)</f>
        <v/>
      </c>
      <c r="X1900" t="str">
        <f>_xlfn.XLOOKUP(Table3[[#This Row],[Cuenta]],Estructura_Balance[Nombre Cuenta ()],Estructura_Balance[Grupos],"Grupo 1",0)</f>
        <v>Grupo 1</v>
      </c>
      <c r="Y1900" t="str">
        <f>+Table3[[#This Row],[BS_Nivel_1]]</f>
        <v/>
      </c>
    </row>
    <row r="1901" spans="1:25" ht="15" customHeight="1">
      <c r="A1901">
        <f>+'Libro Diario'!F523</f>
        <v>62</v>
      </c>
      <c r="B1901" s="144">
        <f>VALUE(IF(+'Libro Diario'!G523="","01/01/2025",+'Libro Diario'!G523))</f>
        <v>46022</v>
      </c>
      <c r="C1901">
        <f>IF(ISNUMBER(+IF(IFERROR(VALUE(MID('Libro Diario'!C523,1,4)),0)&lt;&gt;0,'Libro Diario'!C523,0))=FALSE,'Libro Diario'!C523,0)</f>
        <v>0</v>
      </c>
      <c r="D1901" s="145">
        <f>+'Libro Diario'!B523</f>
        <v>0</v>
      </c>
      <c r="E1901" s="139" t="s">
        <v>445</v>
      </c>
      <c r="F1901" t="str">
        <f t="shared" si="87"/>
        <v>Sin Mov.</v>
      </c>
      <c r="G1901" t="str">
        <f>IF(+'Libro Diario'!H523=0,"",+'Libro Diario'!H523)</f>
        <v>Determinación de Resultado Contable</v>
      </c>
      <c r="H1901" t="str">
        <f>IF(+'Libro Diario'!I523=0,"",+'Libro Diario'!I523)</f>
        <v/>
      </c>
      <c r="I1901" t="str">
        <f>+IF(Table3[[#This Row],[Tipo Movimiento]]="Estructura Balance y PyG","Excluir","Incluir")</f>
        <v>Incluir</v>
      </c>
      <c r="J1901" s="153">
        <f>+IF(Table3[[#This Row],[Sin cuenta]]="Con Mov.",(IF(Table3[[#This Row],[Movimiento]]="Debe",Table3[[#This Row],[Importe]],IF(Table3[[#This Row],[Movimiento]]="Haber",Table3[[#This Row],[Importe]]*-1,0))),0)</f>
        <v>0</v>
      </c>
      <c r="K1901" s="145">
        <f t="shared" si="88"/>
        <v>0</v>
      </c>
      <c r="L1901" s="145" t="str">
        <f t="shared" si="89"/>
        <v/>
      </c>
      <c r="M1901" t="str">
        <f>_xlfn.XLOOKUP(Table3[[#This Row],[Cuenta]],Estructura_Balance[Nombre Cuenta ()],Estructura_Balance[Grupo],"",0)</f>
        <v/>
      </c>
      <c r="N1901" t="str">
        <f>_xlfn.XLOOKUP(Table3[[#This Row],[Cuenta]],Estructura_Balance[Nombre Cuenta ()],Estructura_Balance[Nivel 1],"",0)</f>
        <v/>
      </c>
      <c r="O1901" t="str">
        <f>_xlfn.XLOOKUP(Table3[[#This Row],[Cuenta]],Estructura_Balance[Nombre Cuenta ()],Estructura_Balance[Nivel 2],"",0)</f>
        <v/>
      </c>
      <c r="P1901" t="str">
        <f>_xlfn.XLOOKUP(Table3[[#This Row],[Cuenta]],Estructura_Balance[Nombre Cuenta ()],Estructura_Balance[Nivel 3],"",0)</f>
        <v/>
      </c>
      <c r="Q1901" t="str">
        <f>_xlfn.XLOOKUP(Table3[[#This Row],[Cuenta]],Estructura_Balance[Nombre Cuenta ()],Estructura_Balance[Nivel 4],"",0)</f>
        <v/>
      </c>
      <c r="R1901" t="str">
        <f>_xlfn.XLOOKUP(Table3[[#This Row],[Cuenta]],Table8[Nombre Cuenta ()],Table8[Nivel 1],"",0)</f>
        <v/>
      </c>
      <c r="S1901" t="str">
        <f>_xlfn.XLOOKUP(Table3[[#This Row],[Cuenta]],Table8[Nombre Cuenta ()],Table8[Nivel 2],"",0)</f>
        <v/>
      </c>
      <c r="T1901" t="str">
        <f>_xlfn.XLOOKUP(Table3[[#This Row],[Cuenta]],Table8[Nombre Cuenta ()],Table8[Nivel 3],"",0)</f>
        <v/>
      </c>
      <c r="U1901">
        <v>714</v>
      </c>
      <c r="V1901" t="str">
        <f>_xlfn.XLOOKUP(Table3[[#This Row],[Cuenta]],Estructura_Balance[Nombre Cuenta ()],Estructura_Balance[Niveles:2],"",0)</f>
        <v/>
      </c>
      <c r="W1901" t="str">
        <f>_xlfn.XLOOKUP(Table3[[#This Row],[Cuenta]],Estructura_Balance[Nombre Cuenta ()],Estructura_Balance[Niveles:3],"",0)</f>
        <v/>
      </c>
      <c r="X1901" t="str">
        <f>_xlfn.XLOOKUP(Table3[[#This Row],[Cuenta]],Estructura_Balance[Nombre Cuenta ()],Estructura_Balance[Grupos],"Grupo 1",0)</f>
        <v>Grupo 1</v>
      </c>
      <c r="Y1901" t="str">
        <f>+Table3[[#This Row],[BS_Nivel_1]]</f>
        <v/>
      </c>
    </row>
    <row r="1902" spans="1:25" ht="15" customHeight="1">
      <c r="A1902">
        <f>+'Libro Diario'!F524</f>
        <v>62</v>
      </c>
      <c r="B1902" s="144">
        <f>VALUE(IF(+'Libro Diario'!G524="","01/01/2025",+'Libro Diario'!G524))</f>
        <v>46022</v>
      </c>
      <c r="C1902">
        <f>IF(ISNUMBER(+IF(IFERROR(VALUE(MID('Libro Diario'!C524,1,4)),0)&lt;&gt;0,'Libro Diario'!C524,0))=FALSE,'Libro Diario'!C524,0)</f>
        <v>0</v>
      </c>
      <c r="D1902" s="145">
        <f>+'Libro Diario'!B524</f>
        <v>0</v>
      </c>
      <c r="E1902" s="139" t="s">
        <v>445</v>
      </c>
      <c r="F1902" t="str">
        <f t="shared" si="87"/>
        <v>Sin Mov.</v>
      </c>
      <c r="G1902" t="str">
        <f>IF(+'Libro Diario'!H524=0,"",+'Libro Diario'!H524)</f>
        <v>Determinación de Resultado Contable</v>
      </c>
      <c r="H1902" t="str">
        <f>IF(+'Libro Diario'!I524=0,"",+'Libro Diario'!I524)</f>
        <v/>
      </c>
      <c r="I1902" t="str">
        <f>+IF(Table3[[#This Row],[Tipo Movimiento]]="Estructura Balance y PyG","Excluir","Incluir")</f>
        <v>Incluir</v>
      </c>
      <c r="J1902" s="153">
        <f>+IF(Table3[[#This Row],[Sin cuenta]]="Con Mov.",(IF(Table3[[#This Row],[Movimiento]]="Debe",Table3[[#This Row],[Importe]],IF(Table3[[#This Row],[Movimiento]]="Haber",Table3[[#This Row],[Importe]]*-1,0))),0)</f>
        <v>0</v>
      </c>
      <c r="K1902" s="145">
        <f t="shared" si="88"/>
        <v>0</v>
      </c>
      <c r="L1902" s="145" t="str">
        <f t="shared" si="89"/>
        <v/>
      </c>
      <c r="M1902" t="str">
        <f>_xlfn.XLOOKUP(Table3[[#This Row],[Cuenta]],Estructura_Balance[Nombre Cuenta ()],Estructura_Balance[Grupo],"",0)</f>
        <v/>
      </c>
      <c r="N1902" t="str">
        <f>_xlfn.XLOOKUP(Table3[[#This Row],[Cuenta]],Estructura_Balance[Nombre Cuenta ()],Estructura_Balance[Nivel 1],"",0)</f>
        <v/>
      </c>
      <c r="O1902" t="str">
        <f>_xlfn.XLOOKUP(Table3[[#This Row],[Cuenta]],Estructura_Balance[Nombre Cuenta ()],Estructura_Balance[Nivel 2],"",0)</f>
        <v/>
      </c>
      <c r="P1902" t="str">
        <f>_xlfn.XLOOKUP(Table3[[#This Row],[Cuenta]],Estructura_Balance[Nombre Cuenta ()],Estructura_Balance[Nivel 3],"",0)</f>
        <v/>
      </c>
      <c r="Q1902" t="str">
        <f>_xlfn.XLOOKUP(Table3[[#This Row],[Cuenta]],Estructura_Balance[Nombre Cuenta ()],Estructura_Balance[Nivel 4],"",0)</f>
        <v/>
      </c>
      <c r="R1902" s="154" t="str">
        <f>_xlfn.XLOOKUP(Table3[[#This Row],[Cuenta]],Table8[Nombre Cuenta ()],Table8[Nivel 1],"",0)</f>
        <v/>
      </c>
      <c r="S1902" t="str">
        <f>_xlfn.XLOOKUP(Table3[[#This Row],[Cuenta]],Table8[Nombre Cuenta ()],Table8[Nivel 2],"",0)</f>
        <v/>
      </c>
      <c r="T1902" t="str">
        <f>_xlfn.XLOOKUP(Table3[[#This Row],[Cuenta]],Table8[Nombre Cuenta ()],Table8[Nivel 3],"",0)</f>
        <v/>
      </c>
      <c r="U1902">
        <v>715</v>
      </c>
      <c r="V1902" t="str">
        <f>_xlfn.XLOOKUP(Table3[[#This Row],[Cuenta]],Estructura_Balance[Nombre Cuenta ()],Estructura_Balance[Niveles:2],"",0)</f>
        <v/>
      </c>
      <c r="W1902" t="str">
        <f>_xlfn.XLOOKUP(Table3[[#This Row],[Cuenta]],Estructura_Balance[Nombre Cuenta ()],Estructura_Balance[Niveles:3],"",0)</f>
        <v/>
      </c>
      <c r="X1902" t="str">
        <f>_xlfn.XLOOKUP(Table3[[#This Row],[Cuenta]],Estructura_Balance[Nombre Cuenta ()],Estructura_Balance[Grupos],"Grupo 1",0)</f>
        <v>Grupo 1</v>
      </c>
      <c r="Y1902" t="str">
        <f>+Table3[[#This Row],[BS_Nivel_1]]</f>
        <v/>
      </c>
    </row>
    <row r="1903" spans="1:25" ht="15" customHeight="1">
      <c r="A1903">
        <f>+'Libro Diario'!F525</f>
        <v>62</v>
      </c>
      <c r="B1903" s="144">
        <f>VALUE(IF(+'Libro Diario'!G525="","01/01/2025",+'Libro Diario'!G525))</f>
        <v>46022</v>
      </c>
      <c r="C1903">
        <f>IF(ISNUMBER(+IF(IFERROR(VALUE(MID('Libro Diario'!C525,1,4)),0)&lt;&gt;0,'Libro Diario'!C525,0))=FALSE,'Libro Diario'!C525,0)</f>
        <v>0</v>
      </c>
      <c r="D1903" s="145">
        <f>+'Libro Diario'!B525</f>
        <v>0</v>
      </c>
      <c r="E1903" s="139" t="s">
        <v>445</v>
      </c>
      <c r="F1903" t="str">
        <f t="shared" si="87"/>
        <v>Sin Mov.</v>
      </c>
      <c r="G1903" t="str">
        <f>IF(+'Libro Diario'!H525=0,"",+'Libro Diario'!H525)</f>
        <v>Determinación de Resultado Contable</v>
      </c>
      <c r="H1903" t="str">
        <f>IF(+'Libro Diario'!I525=0,"",+'Libro Diario'!I525)</f>
        <v/>
      </c>
      <c r="I1903" t="str">
        <f>+IF(Table3[[#This Row],[Tipo Movimiento]]="Estructura Balance y PyG","Excluir","Incluir")</f>
        <v>Incluir</v>
      </c>
      <c r="J1903" s="153">
        <f>+IF(Table3[[#This Row],[Sin cuenta]]="Con Mov.",(IF(Table3[[#This Row],[Movimiento]]="Debe",Table3[[#This Row],[Importe]],IF(Table3[[#This Row],[Movimiento]]="Haber",Table3[[#This Row],[Importe]]*-1,0))),0)</f>
        <v>0</v>
      </c>
      <c r="K1903" s="145">
        <f t="shared" si="88"/>
        <v>0</v>
      </c>
      <c r="L1903" s="145" t="str">
        <f t="shared" si="89"/>
        <v/>
      </c>
      <c r="M1903" t="str">
        <f>_xlfn.XLOOKUP(Table3[[#This Row],[Cuenta]],Estructura_Balance[Nombre Cuenta ()],Estructura_Balance[Grupo],"",0)</f>
        <v/>
      </c>
      <c r="N1903" t="str">
        <f>_xlfn.XLOOKUP(Table3[[#This Row],[Cuenta]],Estructura_Balance[Nombre Cuenta ()],Estructura_Balance[Nivel 1],"",0)</f>
        <v/>
      </c>
      <c r="O1903" t="str">
        <f>_xlfn.XLOOKUP(Table3[[#This Row],[Cuenta]],Estructura_Balance[Nombre Cuenta ()],Estructura_Balance[Nivel 2],"",0)</f>
        <v/>
      </c>
      <c r="P1903" t="str">
        <f>_xlfn.XLOOKUP(Table3[[#This Row],[Cuenta]],Estructura_Balance[Nombre Cuenta ()],Estructura_Balance[Nivel 3],"",0)</f>
        <v/>
      </c>
      <c r="Q1903" t="str">
        <f>_xlfn.XLOOKUP(Table3[[#This Row],[Cuenta]],Estructura_Balance[Nombre Cuenta ()],Estructura_Balance[Nivel 4],"",0)</f>
        <v/>
      </c>
      <c r="R1903" s="154" t="str">
        <f>_xlfn.XLOOKUP(Table3[[#This Row],[Cuenta]],Table8[Nombre Cuenta ()],Table8[Nivel 1],"",0)</f>
        <v/>
      </c>
      <c r="S1903" t="str">
        <f>_xlfn.XLOOKUP(Table3[[#This Row],[Cuenta]],Table8[Nombre Cuenta ()],Table8[Nivel 2],"",0)</f>
        <v/>
      </c>
      <c r="T1903" t="str">
        <f>_xlfn.XLOOKUP(Table3[[#This Row],[Cuenta]],Table8[Nombre Cuenta ()],Table8[Nivel 3],"",0)</f>
        <v/>
      </c>
      <c r="U1903">
        <v>716</v>
      </c>
      <c r="V1903" t="str">
        <f>_xlfn.XLOOKUP(Table3[[#This Row],[Cuenta]],Estructura_Balance[Nombre Cuenta ()],Estructura_Balance[Niveles:2],"",0)</f>
        <v/>
      </c>
      <c r="W1903" t="str">
        <f>_xlfn.XLOOKUP(Table3[[#This Row],[Cuenta]],Estructura_Balance[Nombre Cuenta ()],Estructura_Balance[Niveles:3],"",0)</f>
        <v/>
      </c>
      <c r="X1903" t="str">
        <f>_xlfn.XLOOKUP(Table3[[#This Row],[Cuenta]],Estructura_Balance[Nombre Cuenta ()],Estructura_Balance[Grupos],"Grupo 1",0)</f>
        <v>Grupo 1</v>
      </c>
      <c r="Y1903" t="str">
        <f>+Table3[[#This Row],[BS_Nivel_1]]</f>
        <v/>
      </c>
    </row>
    <row r="1904" spans="1:25" ht="15" customHeight="1">
      <c r="A1904">
        <f>+'Libro Diario'!F526</f>
        <v>62</v>
      </c>
      <c r="B1904" s="144">
        <f>VALUE(IF(+'Libro Diario'!G526="","01/01/2025",+'Libro Diario'!G526))</f>
        <v>46022</v>
      </c>
      <c r="C1904">
        <f>IF(ISNUMBER(+IF(IFERROR(VALUE(MID('Libro Diario'!C526,1,4)),0)&lt;&gt;0,'Libro Diario'!C526,0))=FALSE,'Libro Diario'!C526,0)</f>
        <v>0</v>
      </c>
      <c r="D1904" s="145">
        <f>+'Libro Diario'!B526</f>
        <v>0</v>
      </c>
      <c r="E1904" s="139" t="s">
        <v>445</v>
      </c>
      <c r="F1904" t="str">
        <f t="shared" si="87"/>
        <v>Sin Mov.</v>
      </c>
      <c r="G1904" t="str">
        <f>IF(+'Libro Diario'!H526=0,"",+'Libro Diario'!H526)</f>
        <v>Determinación de Resultado Contable</v>
      </c>
      <c r="H1904" t="str">
        <f>IF(+'Libro Diario'!I526=0,"",+'Libro Diario'!I526)</f>
        <v/>
      </c>
      <c r="I1904" t="str">
        <f>+IF(Table3[[#This Row],[Tipo Movimiento]]="Estructura Balance y PyG","Excluir","Incluir")</f>
        <v>Incluir</v>
      </c>
      <c r="J1904" s="153">
        <f>+IF(Table3[[#This Row],[Sin cuenta]]="Con Mov.",(IF(Table3[[#This Row],[Movimiento]]="Debe",Table3[[#This Row],[Importe]],IF(Table3[[#This Row],[Movimiento]]="Haber",Table3[[#This Row],[Importe]]*-1,0))),0)</f>
        <v>0</v>
      </c>
      <c r="K1904" s="145">
        <f t="shared" si="88"/>
        <v>0</v>
      </c>
      <c r="L1904" s="145" t="str">
        <f t="shared" si="89"/>
        <v/>
      </c>
      <c r="M1904" t="str">
        <f>_xlfn.XLOOKUP(Table3[[#This Row],[Cuenta]],Estructura_Balance[Nombre Cuenta ()],Estructura_Balance[Grupo],"",0)</f>
        <v/>
      </c>
      <c r="N1904" t="str">
        <f>_xlfn.XLOOKUP(Table3[[#This Row],[Cuenta]],Estructura_Balance[Nombre Cuenta ()],Estructura_Balance[Nivel 1],"",0)</f>
        <v/>
      </c>
      <c r="O1904" t="str">
        <f>_xlfn.XLOOKUP(Table3[[#This Row],[Cuenta]],Estructura_Balance[Nombre Cuenta ()],Estructura_Balance[Nivel 2],"",0)</f>
        <v/>
      </c>
      <c r="P1904" t="str">
        <f>_xlfn.XLOOKUP(Table3[[#This Row],[Cuenta]],Estructura_Balance[Nombre Cuenta ()],Estructura_Balance[Nivel 3],"",0)</f>
        <v/>
      </c>
      <c r="Q1904" t="str">
        <f>_xlfn.XLOOKUP(Table3[[#This Row],[Cuenta]],Estructura_Balance[Nombre Cuenta ()],Estructura_Balance[Nivel 4],"",0)</f>
        <v/>
      </c>
      <c r="R1904" s="154" t="str">
        <f>_xlfn.XLOOKUP(Table3[[#This Row],[Cuenta]],Table8[Nombre Cuenta ()],Table8[Nivel 1],"",0)</f>
        <v/>
      </c>
      <c r="S1904" t="str">
        <f>_xlfn.XLOOKUP(Table3[[#This Row],[Cuenta]],Table8[Nombre Cuenta ()],Table8[Nivel 2],"",0)</f>
        <v/>
      </c>
      <c r="T1904" t="str">
        <f>_xlfn.XLOOKUP(Table3[[#This Row],[Cuenta]],Table8[Nombre Cuenta ()],Table8[Nivel 3],"",0)</f>
        <v/>
      </c>
      <c r="U1904">
        <v>717</v>
      </c>
      <c r="V1904" t="str">
        <f>_xlfn.XLOOKUP(Table3[[#This Row],[Cuenta]],Estructura_Balance[Nombre Cuenta ()],Estructura_Balance[Niveles:2],"",0)</f>
        <v/>
      </c>
      <c r="W1904" t="str">
        <f>_xlfn.XLOOKUP(Table3[[#This Row],[Cuenta]],Estructura_Balance[Nombre Cuenta ()],Estructura_Balance[Niveles:3],"",0)</f>
        <v/>
      </c>
      <c r="X1904" t="str">
        <f>_xlfn.XLOOKUP(Table3[[#This Row],[Cuenta]],Estructura_Balance[Nombre Cuenta ()],Estructura_Balance[Grupos],"Grupo 1",0)</f>
        <v>Grupo 1</v>
      </c>
      <c r="Y1904" t="str">
        <f>+Table3[[#This Row],[BS_Nivel_1]]</f>
        <v/>
      </c>
    </row>
    <row r="1905" spans="1:25" ht="15" customHeight="1">
      <c r="A1905">
        <f>+'Libro Diario'!F527</f>
        <v>62</v>
      </c>
      <c r="B1905" s="144">
        <f>VALUE(IF(+'Libro Diario'!G527="","01/01/2025",+'Libro Diario'!G527))</f>
        <v>46022</v>
      </c>
      <c r="C1905">
        <f>IF(ISNUMBER(+IF(IFERROR(VALUE(MID('Libro Diario'!C527,1,4)),0)&lt;&gt;0,'Libro Diario'!C527,0))=FALSE,'Libro Diario'!C527,0)</f>
        <v>0</v>
      </c>
      <c r="D1905" s="145">
        <f>+'Libro Diario'!B527</f>
        <v>0</v>
      </c>
      <c r="E1905" s="139" t="s">
        <v>445</v>
      </c>
      <c r="F1905" t="str">
        <f t="shared" si="87"/>
        <v>Sin Mov.</v>
      </c>
      <c r="G1905" t="str">
        <f>IF(+'Libro Diario'!H527=0,"",+'Libro Diario'!H527)</f>
        <v>Determinación de Resultado Contable</v>
      </c>
      <c r="H1905" t="str">
        <f>IF(+'Libro Diario'!I527=0,"",+'Libro Diario'!I527)</f>
        <v/>
      </c>
      <c r="I1905" t="str">
        <f>+IF(Table3[[#This Row],[Tipo Movimiento]]="Estructura Balance y PyG","Excluir","Incluir")</f>
        <v>Incluir</v>
      </c>
      <c r="J1905" s="153">
        <f>+IF(Table3[[#This Row],[Sin cuenta]]="Con Mov.",(IF(Table3[[#This Row],[Movimiento]]="Debe",Table3[[#This Row],[Importe]],IF(Table3[[#This Row],[Movimiento]]="Haber",Table3[[#This Row],[Importe]]*-1,0))),0)</f>
        <v>0</v>
      </c>
      <c r="K1905" s="145">
        <f t="shared" si="88"/>
        <v>0</v>
      </c>
      <c r="L1905" s="145" t="str">
        <f t="shared" si="89"/>
        <v/>
      </c>
      <c r="M1905" t="str">
        <f>_xlfn.XLOOKUP(Table3[[#This Row],[Cuenta]],Estructura_Balance[Nombre Cuenta ()],Estructura_Balance[Grupo],"",0)</f>
        <v/>
      </c>
      <c r="N1905" t="str">
        <f>_xlfn.XLOOKUP(Table3[[#This Row],[Cuenta]],Estructura_Balance[Nombre Cuenta ()],Estructura_Balance[Nivel 1],"",0)</f>
        <v/>
      </c>
      <c r="O1905" t="str">
        <f>_xlfn.XLOOKUP(Table3[[#This Row],[Cuenta]],Estructura_Balance[Nombre Cuenta ()],Estructura_Balance[Nivel 2],"",0)</f>
        <v/>
      </c>
      <c r="P1905" t="str">
        <f>_xlfn.XLOOKUP(Table3[[#This Row],[Cuenta]],Estructura_Balance[Nombre Cuenta ()],Estructura_Balance[Nivel 3],"",0)</f>
        <v/>
      </c>
      <c r="Q1905" t="str">
        <f>_xlfn.XLOOKUP(Table3[[#This Row],[Cuenta]],Estructura_Balance[Nombre Cuenta ()],Estructura_Balance[Nivel 4],"",0)</f>
        <v/>
      </c>
      <c r="R1905" s="154" t="str">
        <f>_xlfn.XLOOKUP(Table3[[#This Row],[Cuenta]],Table8[Nombre Cuenta ()],Table8[Nivel 1],"",0)</f>
        <v/>
      </c>
      <c r="S1905" t="str">
        <f>_xlfn.XLOOKUP(Table3[[#This Row],[Cuenta]],Table8[Nombre Cuenta ()],Table8[Nivel 2],"",0)</f>
        <v/>
      </c>
      <c r="T1905" t="str">
        <f>_xlfn.XLOOKUP(Table3[[#This Row],[Cuenta]],Table8[Nombre Cuenta ()],Table8[Nivel 3],"",0)</f>
        <v/>
      </c>
      <c r="U1905">
        <v>718</v>
      </c>
      <c r="V1905" t="str">
        <f>_xlfn.XLOOKUP(Table3[[#This Row],[Cuenta]],Estructura_Balance[Nombre Cuenta ()],Estructura_Balance[Niveles:2],"",0)</f>
        <v/>
      </c>
      <c r="W1905" t="str">
        <f>_xlfn.XLOOKUP(Table3[[#This Row],[Cuenta]],Estructura_Balance[Nombre Cuenta ()],Estructura_Balance[Niveles:3],"",0)</f>
        <v/>
      </c>
      <c r="X1905" t="str">
        <f>_xlfn.XLOOKUP(Table3[[#This Row],[Cuenta]],Estructura_Balance[Nombre Cuenta ()],Estructura_Balance[Grupos],"Grupo 1",0)</f>
        <v>Grupo 1</v>
      </c>
      <c r="Y1905" t="str">
        <f>+Table3[[#This Row],[BS_Nivel_1]]</f>
        <v/>
      </c>
    </row>
    <row r="1906" spans="1:25" ht="15" customHeight="1">
      <c r="A1906">
        <f>+'Libro Diario'!F528</f>
        <v>62</v>
      </c>
      <c r="B1906" s="144">
        <f>VALUE(IF(+'Libro Diario'!G528="","01/01/2025",+'Libro Diario'!G528))</f>
        <v>46022</v>
      </c>
      <c r="C1906">
        <f>IF(ISNUMBER(+IF(IFERROR(VALUE(MID('Libro Diario'!C528,1,4)),0)&lt;&gt;0,'Libro Diario'!C528,0))=FALSE,'Libro Diario'!C528,0)</f>
        <v>0</v>
      </c>
      <c r="D1906" s="145">
        <f>+'Libro Diario'!B528</f>
        <v>0</v>
      </c>
      <c r="E1906" s="139" t="s">
        <v>445</v>
      </c>
      <c r="F1906" t="str">
        <f t="shared" si="87"/>
        <v>Sin Mov.</v>
      </c>
      <c r="G1906" t="str">
        <f>IF(+'Libro Diario'!H528=0,"",+'Libro Diario'!H528)</f>
        <v>Determinación de Resultado Contable</v>
      </c>
      <c r="H1906" t="str">
        <f>IF(+'Libro Diario'!I528=0,"",+'Libro Diario'!I528)</f>
        <v/>
      </c>
      <c r="I1906" t="str">
        <f>+IF(Table3[[#This Row],[Tipo Movimiento]]="Estructura Balance y PyG","Excluir","Incluir")</f>
        <v>Incluir</v>
      </c>
      <c r="J1906" s="153">
        <f>+IF(Table3[[#This Row],[Sin cuenta]]="Con Mov.",(IF(Table3[[#This Row],[Movimiento]]="Debe",Table3[[#This Row],[Importe]],IF(Table3[[#This Row],[Movimiento]]="Haber",Table3[[#This Row],[Importe]]*-1,0))),0)</f>
        <v>0</v>
      </c>
      <c r="K1906" s="145">
        <f t="shared" si="88"/>
        <v>0</v>
      </c>
      <c r="L1906" s="145" t="str">
        <f t="shared" si="89"/>
        <v/>
      </c>
      <c r="M1906" t="str">
        <f>_xlfn.XLOOKUP(Table3[[#This Row],[Cuenta]],Estructura_Balance[Nombre Cuenta ()],Estructura_Balance[Grupo],"",0)</f>
        <v/>
      </c>
      <c r="N1906" t="str">
        <f>_xlfn.XLOOKUP(Table3[[#This Row],[Cuenta]],Estructura_Balance[Nombre Cuenta ()],Estructura_Balance[Nivel 1],"",0)</f>
        <v/>
      </c>
      <c r="O1906" t="str">
        <f>_xlfn.XLOOKUP(Table3[[#This Row],[Cuenta]],Estructura_Balance[Nombre Cuenta ()],Estructura_Balance[Nivel 2],"",0)</f>
        <v/>
      </c>
      <c r="P1906" t="str">
        <f>_xlfn.XLOOKUP(Table3[[#This Row],[Cuenta]],Estructura_Balance[Nombre Cuenta ()],Estructura_Balance[Nivel 3],"",0)</f>
        <v/>
      </c>
      <c r="Q1906" t="str">
        <f>_xlfn.XLOOKUP(Table3[[#This Row],[Cuenta]],Estructura_Balance[Nombre Cuenta ()],Estructura_Balance[Nivel 4],"",0)</f>
        <v/>
      </c>
      <c r="R1906" s="154" t="str">
        <f>_xlfn.XLOOKUP(Table3[[#This Row],[Cuenta]],Table8[Nombre Cuenta ()],Table8[Nivel 1],"",0)</f>
        <v/>
      </c>
      <c r="S1906" t="str">
        <f>_xlfn.XLOOKUP(Table3[[#This Row],[Cuenta]],Table8[Nombre Cuenta ()],Table8[Nivel 2],"",0)</f>
        <v/>
      </c>
      <c r="T1906" t="str">
        <f>_xlfn.XLOOKUP(Table3[[#This Row],[Cuenta]],Table8[Nombre Cuenta ()],Table8[Nivel 3],"",0)</f>
        <v/>
      </c>
      <c r="U1906">
        <v>719</v>
      </c>
      <c r="V1906" t="str">
        <f>_xlfn.XLOOKUP(Table3[[#This Row],[Cuenta]],Estructura_Balance[Nombre Cuenta ()],Estructura_Balance[Niveles:2],"",0)</f>
        <v/>
      </c>
      <c r="W1906" t="str">
        <f>_xlfn.XLOOKUP(Table3[[#This Row],[Cuenta]],Estructura_Balance[Nombre Cuenta ()],Estructura_Balance[Niveles:3],"",0)</f>
        <v/>
      </c>
      <c r="X1906" t="str">
        <f>_xlfn.XLOOKUP(Table3[[#This Row],[Cuenta]],Estructura_Balance[Nombre Cuenta ()],Estructura_Balance[Grupos],"Grupo 1",0)</f>
        <v>Grupo 1</v>
      </c>
      <c r="Y1906" t="str">
        <f>+Table3[[#This Row],[BS_Nivel_1]]</f>
        <v/>
      </c>
    </row>
    <row r="1907" spans="1:25" ht="15" customHeight="1">
      <c r="A1907">
        <f>+'Libro Diario'!F513</f>
        <v>62</v>
      </c>
      <c r="B1907" s="144">
        <f>VALUE(IF(+'Libro Diario'!G513="","01/01/2025",+'Libro Diario'!G513))</f>
        <v>46022</v>
      </c>
      <c r="C1907">
        <f>IF(ISNUMBER(+IF(IFERROR(VALUE(MID('Libro Diario'!D513,1,4)),0)&lt;&gt;0,'Libro Diario'!D513,0))=FALSE,'Libro Diario'!D513,0)</f>
        <v>0</v>
      </c>
      <c r="D1907" s="145">
        <f>+'Libro Diario'!E513</f>
        <v>0</v>
      </c>
      <c r="E1907" s="139" t="s">
        <v>446</v>
      </c>
      <c r="F1907" t="str">
        <f t="shared" si="87"/>
        <v>Sin Mov.</v>
      </c>
      <c r="G1907" t="str">
        <f>IF(+'Libro Diario'!H513=0,"",+'Libro Diario'!H513)</f>
        <v>Determinación de Resultado Contable</v>
      </c>
      <c r="H1907" t="str">
        <f>IF(+'Libro Diario'!I513=0,"",+'Libro Diario'!I513)</f>
        <v/>
      </c>
      <c r="I1907" t="str">
        <f>+IF(Table3[[#This Row],[Tipo Movimiento]]="Estructura Balance y PyG","Excluir","Incluir")</f>
        <v>Incluir</v>
      </c>
      <c r="J1907" s="153">
        <f>+IF(Table3[[#This Row],[Sin cuenta]]="Con Mov.",(IF(Table3[[#This Row],[Movimiento]]="Debe",Table3[[#This Row],[Importe]],IF(Table3[[#This Row],[Movimiento]]="Haber",Table3[[#This Row],[Importe]]*-1,0))),0)</f>
        <v>0</v>
      </c>
      <c r="K1907" s="145" t="str">
        <f t="shared" si="88"/>
        <v/>
      </c>
      <c r="L1907" s="145">
        <f t="shared" si="89"/>
        <v>0</v>
      </c>
      <c r="M1907" t="str">
        <f>_xlfn.XLOOKUP(Table3[[#This Row],[Cuenta]],Estructura_Balance[Nombre Cuenta ()],Estructura_Balance[Grupo],"",0)</f>
        <v/>
      </c>
      <c r="N1907" t="str">
        <f>_xlfn.XLOOKUP(Table3[[#This Row],[Cuenta]],Estructura_Balance[Nombre Cuenta ()],Estructura_Balance[Nivel 1],"",0)</f>
        <v/>
      </c>
      <c r="O1907" t="str">
        <f>_xlfn.XLOOKUP(Table3[[#This Row],[Cuenta]],Estructura_Balance[Nombre Cuenta ()],Estructura_Balance[Nivel 2],"",0)</f>
        <v/>
      </c>
      <c r="P1907" t="str">
        <f>_xlfn.XLOOKUP(Table3[[#This Row],[Cuenta]],Estructura_Balance[Nombre Cuenta ()],Estructura_Balance[Nivel 3],"",0)</f>
        <v/>
      </c>
      <c r="Q1907" t="str">
        <f>_xlfn.XLOOKUP(Table3[[#This Row],[Cuenta]],Estructura_Balance[Nombre Cuenta ()],Estructura_Balance[Nivel 4],"",0)</f>
        <v/>
      </c>
      <c r="R1907" t="str">
        <f>_xlfn.XLOOKUP(Table3[[#This Row],[Cuenta]],Table8[Nombre Cuenta ()],Table8[Nivel 1],"",0)</f>
        <v/>
      </c>
      <c r="S1907" t="str">
        <f>_xlfn.XLOOKUP(Table3[[#This Row],[Cuenta]],Table8[Nombre Cuenta ()],Table8[Nivel 2],"",0)</f>
        <v/>
      </c>
      <c r="T1907" t="str">
        <f>_xlfn.XLOOKUP(Table3[[#This Row],[Cuenta]],Table8[Nombre Cuenta ()],Table8[Nivel 3],"",0)</f>
        <v/>
      </c>
      <c r="U1907">
        <v>1906</v>
      </c>
      <c r="V1907" t="str">
        <f>_xlfn.XLOOKUP(Table3[[#This Row],[Cuenta]],Estructura_Balance[Nombre Cuenta ()],Estructura_Balance[Niveles:2],"",0)</f>
        <v/>
      </c>
      <c r="W1907" t="str">
        <f>_xlfn.XLOOKUP(Table3[[#This Row],[Cuenta]],Estructura_Balance[Nombre Cuenta ()],Estructura_Balance[Niveles:3],"",0)</f>
        <v/>
      </c>
      <c r="X1907" t="str">
        <f>_xlfn.XLOOKUP(Table3[[#This Row],[Cuenta]],Estructura_Balance[Nombre Cuenta ()],Estructura_Balance[Grupos],"Grupo 1",0)</f>
        <v>Grupo 1</v>
      </c>
      <c r="Y1907" t="str">
        <f>+Table3[[#This Row],[BS_Nivel_1]]</f>
        <v/>
      </c>
    </row>
    <row r="1908" spans="1:25" ht="15" customHeight="1">
      <c r="A1908">
        <f>+'Libro Diario'!F514</f>
        <v>62</v>
      </c>
      <c r="B1908" s="144">
        <f>VALUE(IF(+'Libro Diario'!G514="","01/01/2025",+'Libro Diario'!G514))</f>
        <v>46022</v>
      </c>
      <c r="C1908">
        <f>IF(ISNUMBER(+IF(IFERROR(VALUE(MID('Libro Diario'!D514,1,4)),0)&lt;&gt;0,'Libro Diario'!D514,0))=FALSE,'Libro Diario'!D514,0)</f>
        <v>0</v>
      </c>
      <c r="D1908" s="145">
        <f>+'Libro Diario'!E514</f>
        <v>0</v>
      </c>
      <c r="E1908" s="139" t="s">
        <v>446</v>
      </c>
      <c r="F1908" t="str">
        <f t="shared" si="87"/>
        <v>Sin Mov.</v>
      </c>
      <c r="G1908" t="str">
        <f>IF(+'Libro Diario'!H514=0,"",+'Libro Diario'!H514)</f>
        <v>Determinación de Resultado Contable</v>
      </c>
      <c r="H1908" t="str">
        <f>IF(+'Libro Diario'!I514=0,"",+'Libro Diario'!I514)</f>
        <v/>
      </c>
      <c r="I1908" t="str">
        <f>+IF(Table3[[#This Row],[Tipo Movimiento]]="Estructura Balance y PyG","Excluir","Incluir")</f>
        <v>Incluir</v>
      </c>
      <c r="J1908" s="153">
        <f>+IF(Table3[[#This Row],[Sin cuenta]]="Con Mov.",(IF(Table3[[#This Row],[Movimiento]]="Debe",Table3[[#This Row],[Importe]],IF(Table3[[#This Row],[Movimiento]]="Haber",Table3[[#This Row],[Importe]]*-1,0))),0)</f>
        <v>0</v>
      </c>
      <c r="K1908" s="145" t="str">
        <f t="shared" si="88"/>
        <v/>
      </c>
      <c r="L1908" s="145">
        <f t="shared" si="89"/>
        <v>0</v>
      </c>
      <c r="M1908" t="str">
        <f>_xlfn.XLOOKUP(Table3[[#This Row],[Cuenta]],Estructura_Balance[Nombre Cuenta ()],Estructura_Balance[Grupo],"",0)</f>
        <v/>
      </c>
      <c r="N1908" t="str">
        <f>_xlfn.XLOOKUP(Table3[[#This Row],[Cuenta]],Estructura_Balance[Nombre Cuenta ()],Estructura_Balance[Nivel 1],"",0)</f>
        <v/>
      </c>
      <c r="O1908" t="str">
        <f>_xlfn.XLOOKUP(Table3[[#This Row],[Cuenta]],Estructura_Balance[Nombre Cuenta ()],Estructura_Balance[Nivel 2],"",0)</f>
        <v/>
      </c>
      <c r="P1908" t="str">
        <f>_xlfn.XLOOKUP(Table3[[#This Row],[Cuenta]],Estructura_Balance[Nombre Cuenta ()],Estructura_Balance[Nivel 3],"",0)</f>
        <v/>
      </c>
      <c r="Q1908" t="str">
        <f>_xlfn.XLOOKUP(Table3[[#This Row],[Cuenta]],Estructura_Balance[Nombre Cuenta ()],Estructura_Balance[Nivel 4],"",0)</f>
        <v/>
      </c>
      <c r="R1908" t="str">
        <f>_xlfn.XLOOKUP(Table3[[#This Row],[Cuenta]],Table8[Nombre Cuenta ()],Table8[Nivel 1],"",0)</f>
        <v/>
      </c>
      <c r="S1908" t="str">
        <f>_xlfn.XLOOKUP(Table3[[#This Row],[Cuenta]],Table8[Nombre Cuenta ()],Table8[Nivel 2],"",0)</f>
        <v/>
      </c>
      <c r="T1908" t="str">
        <f>_xlfn.XLOOKUP(Table3[[#This Row],[Cuenta]],Table8[Nombre Cuenta ()],Table8[Nivel 3],"",0)</f>
        <v/>
      </c>
      <c r="U1908">
        <v>1907</v>
      </c>
      <c r="V1908" t="str">
        <f>_xlfn.XLOOKUP(Table3[[#This Row],[Cuenta]],Estructura_Balance[Nombre Cuenta ()],Estructura_Balance[Niveles:2],"",0)</f>
        <v/>
      </c>
      <c r="W1908" t="str">
        <f>_xlfn.XLOOKUP(Table3[[#This Row],[Cuenta]],Estructura_Balance[Nombre Cuenta ()],Estructura_Balance[Niveles:3],"",0)</f>
        <v/>
      </c>
      <c r="X1908" t="str">
        <f>_xlfn.XLOOKUP(Table3[[#This Row],[Cuenta]],Estructura_Balance[Nombre Cuenta ()],Estructura_Balance[Grupos],"Grupo 1",0)</f>
        <v>Grupo 1</v>
      </c>
      <c r="Y1908" t="str">
        <f>+Table3[[#This Row],[BS_Nivel_1]]</f>
        <v/>
      </c>
    </row>
    <row r="1909" spans="1:25" ht="15" customHeight="1">
      <c r="A1909">
        <f>+'Libro Diario'!F515</f>
        <v>62</v>
      </c>
      <c r="B1909" s="144">
        <f>VALUE(IF(+'Libro Diario'!G515="","01/01/2025",+'Libro Diario'!G515))</f>
        <v>46022</v>
      </c>
      <c r="C1909">
        <f>IF(ISNUMBER(+IF(IFERROR(VALUE(MID('Libro Diario'!D515,1,4)),0)&lt;&gt;0,'Libro Diario'!D515,0))=FALSE,'Libro Diario'!D515,0)</f>
        <v>0</v>
      </c>
      <c r="D1909" s="145">
        <f>+'Libro Diario'!E515</f>
        <v>0</v>
      </c>
      <c r="E1909" s="139" t="s">
        <v>446</v>
      </c>
      <c r="F1909" t="str">
        <f t="shared" si="87"/>
        <v>Sin Mov.</v>
      </c>
      <c r="G1909" t="str">
        <f>IF(+'Libro Diario'!H515=0,"",+'Libro Diario'!H515)</f>
        <v>Determinación de Resultado Contable</v>
      </c>
      <c r="H1909" t="str">
        <f>IF(+'Libro Diario'!I515=0,"",+'Libro Diario'!I515)</f>
        <v/>
      </c>
      <c r="I1909" t="str">
        <f>+IF(Table3[[#This Row],[Tipo Movimiento]]="Estructura Balance y PyG","Excluir","Incluir")</f>
        <v>Incluir</v>
      </c>
      <c r="J1909" s="153">
        <f>+IF(Table3[[#This Row],[Sin cuenta]]="Con Mov.",(IF(Table3[[#This Row],[Movimiento]]="Debe",Table3[[#This Row],[Importe]],IF(Table3[[#This Row],[Movimiento]]="Haber",Table3[[#This Row],[Importe]]*-1,0))),0)</f>
        <v>0</v>
      </c>
      <c r="K1909" s="145" t="str">
        <f t="shared" si="88"/>
        <v/>
      </c>
      <c r="L1909" s="145">
        <f t="shared" si="89"/>
        <v>0</v>
      </c>
      <c r="M1909" t="str">
        <f>_xlfn.XLOOKUP(Table3[[#This Row],[Cuenta]],Estructura_Balance[Nombre Cuenta ()],Estructura_Balance[Grupo],"",0)</f>
        <v/>
      </c>
      <c r="N1909" t="str">
        <f>_xlfn.XLOOKUP(Table3[[#This Row],[Cuenta]],Estructura_Balance[Nombre Cuenta ()],Estructura_Balance[Nivel 1],"",0)</f>
        <v/>
      </c>
      <c r="O1909" t="str">
        <f>_xlfn.XLOOKUP(Table3[[#This Row],[Cuenta]],Estructura_Balance[Nombre Cuenta ()],Estructura_Balance[Nivel 2],"",0)</f>
        <v/>
      </c>
      <c r="P1909" t="str">
        <f>_xlfn.XLOOKUP(Table3[[#This Row],[Cuenta]],Estructura_Balance[Nombre Cuenta ()],Estructura_Balance[Nivel 3],"",0)</f>
        <v/>
      </c>
      <c r="Q1909" t="str">
        <f>_xlfn.XLOOKUP(Table3[[#This Row],[Cuenta]],Estructura_Balance[Nombre Cuenta ()],Estructura_Balance[Nivel 4],"",0)</f>
        <v/>
      </c>
      <c r="R1909" t="str">
        <f>_xlfn.XLOOKUP(Table3[[#This Row],[Cuenta]],Table8[Nombre Cuenta ()],Table8[Nivel 1],"",0)</f>
        <v/>
      </c>
      <c r="S1909" t="str">
        <f>_xlfn.XLOOKUP(Table3[[#This Row],[Cuenta]],Table8[Nombre Cuenta ()],Table8[Nivel 2],"",0)</f>
        <v/>
      </c>
      <c r="T1909" t="str">
        <f>_xlfn.XLOOKUP(Table3[[#This Row],[Cuenta]],Table8[Nombre Cuenta ()],Table8[Nivel 3],"",0)</f>
        <v/>
      </c>
      <c r="U1909">
        <v>1908</v>
      </c>
      <c r="V1909" t="str">
        <f>_xlfn.XLOOKUP(Table3[[#This Row],[Cuenta]],Estructura_Balance[Nombre Cuenta ()],Estructura_Balance[Niveles:2],"",0)</f>
        <v/>
      </c>
      <c r="W1909" t="str">
        <f>_xlfn.XLOOKUP(Table3[[#This Row],[Cuenta]],Estructura_Balance[Nombre Cuenta ()],Estructura_Balance[Niveles:3],"",0)</f>
        <v/>
      </c>
      <c r="X1909" t="str">
        <f>_xlfn.XLOOKUP(Table3[[#This Row],[Cuenta]],Estructura_Balance[Nombre Cuenta ()],Estructura_Balance[Grupos],"Grupo 1",0)</f>
        <v>Grupo 1</v>
      </c>
      <c r="Y1909" t="str">
        <f>+Table3[[#This Row],[BS_Nivel_1]]</f>
        <v/>
      </c>
    </row>
    <row r="1910" spans="1:25" ht="15" customHeight="1">
      <c r="A1910">
        <f>+'Libro Diario'!F516</f>
        <v>62</v>
      </c>
      <c r="B1910" s="144">
        <f>VALUE(IF(+'Libro Diario'!G516="","01/01/2025",+'Libro Diario'!G516))</f>
        <v>46022</v>
      </c>
      <c r="C1910">
        <f>IF(ISNUMBER(+IF(IFERROR(VALUE(MID('Libro Diario'!D516,1,4)),0)&lt;&gt;0,'Libro Diario'!D516,0))=FALSE,'Libro Diario'!D516,0)</f>
        <v>0</v>
      </c>
      <c r="D1910" s="145">
        <f>+'Libro Diario'!E516</f>
        <v>0</v>
      </c>
      <c r="E1910" s="139" t="s">
        <v>446</v>
      </c>
      <c r="F1910" t="str">
        <f t="shared" si="87"/>
        <v>Sin Mov.</v>
      </c>
      <c r="G1910" t="str">
        <f>IF(+'Libro Diario'!H516=0,"",+'Libro Diario'!H516)</f>
        <v>Determinación de Resultado Contable</v>
      </c>
      <c r="H1910" t="str">
        <f>IF(+'Libro Diario'!I516=0,"",+'Libro Diario'!I516)</f>
        <v/>
      </c>
      <c r="I1910" t="str">
        <f>+IF(Table3[[#This Row],[Tipo Movimiento]]="Estructura Balance y PyG","Excluir","Incluir")</f>
        <v>Incluir</v>
      </c>
      <c r="J1910" s="153">
        <f>+IF(Table3[[#This Row],[Sin cuenta]]="Con Mov.",(IF(Table3[[#This Row],[Movimiento]]="Debe",Table3[[#This Row],[Importe]],IF(Table3[[#This Row],[Movimiento]]="Haber",Table3[[#This Row],[Importe]]*-1,0))),0)</f>
        <v>0</v>
      </c>
      <c r="K1910" s="145" t="str">
        <f t="shared" si="88"/>
        <v/>
      </c>
      <c r="L1910" s="145">
        <f t="shared" si="89"/>
        <v>0</v>
      </c>
      <c r="M1910" t="str">
        <f>_xlfn.XLOOKUP(Table3[[#This Row],[Cuenta]],Estructura_Balance[Nombre Cuenta ()],Estructura_Balance[Grupo],"",0)</f>
        <v/>
      </c>
      <c r="N1910" t="str">
        <f>_xlfn.XLOOKUP(Table3[[#This Row],[Cuenta]],Estructura_Balance[Nombre Cuenta ()],Estructura_Balance[Nivel 1],"",0)</f>
        <v/>
      </c>
      <c r="O1910" t="str">
        <f>_xlfn.XLOOKUP(Table3[[#This Row],[Cuenta]],Estructura_Balance[Nombre Cuenta ()],Estructura_Balance[Nivel 2],"",0)</f>
        <v/>
      </c>
      <c r="P1910" t="str">
        <f>_xlfn.XLOOKUP(Table3[[#This Row],[Cuenta]],Estructura_Balance[Nombre Cuenta ()],Estructura_Balance[Nivel 3],"",0)</f>
        <v/>
      </c>
      <c r="Q1910" t="str">
        <f>_xlfn.XLOOKUP(Table3[[#This Row],[Cuenta]],Estructura_Balance[Nombre Cuenta ()],Estructura_Balance[Nivel 4],"",0)</f>
        <v/>
      </c>
      <c r="R1910" t="str">
        <f>_xlfn.XLOOKUP(Table3[[#This Row],[Cuenta]],Table8[Nombre Cuenta ()],Table8[Nivel 1],"",0)</f>
        <v/>
      </c>
      <c r="S1910" t="str">
        <f>_xlfn.XLOOKUP(Table3[[#This Row],[Cuenta]],Table8[Nombre Cuenta ()],Table8[Nivel 2],"",0)</f>
        <v/>
      </c>
      <c r="T1910" t="str">
        <f>_xlfn.XLOOKUP(Table3[[#This Row],[Cuenta]],Table8[Nombre Cuenta ()],Table8[Nivel 3],"",0)</f>
        <v/>
      </c>
      <c r="U1910">
        <v>1909</v>
      </c>
      <c r="V1910" t="str">
        <f>_xlfn.XLOOKUP(Table3[[#This Row],[Cuenta]],Estructura_Balance[Nombre Cuenta ()],Estructura_Balance[Niveles:2],"",0)</f>
        <v/>
      </c>
      <c r="W1910" t="str">
        <f>_xlfn.XLOOKUP(Table3[[#This Row],[Cuenta]],Estructura_Balance[Nombre Cuenta ()],Estructura_Balance[Niveles:3],"",0)</f>
        <v/>
      </c>
      <c r="X1910" t="str">
        <f>_xlfn.XLOOKUP(Table3[[#This Row],[Cuenta]],Estructura_Balance[Nombre Cuenta ()],Estructura_Balance[Grupos],"Grupo 1",0)</f>
        <v>Grupo 1</v>
      </c>
      <c r="Y1910" t="str">
        <f>+Table3[[#This Row],[BS_Nivel_1]]</f>
        <v/>
      </c>
    </row>
    <row r="1911" spans="1:25" ht="15" customHeight="1">
      <c r="A1911">
        <f>+'Libro Diario'!F517</f>
        <v>62</v>
      </c>
      <c r="B1911" s="144">
        <f>VALUE(IF(+'Libro Diario'!G517="","01/01/2025",+'Libro Diario'!G517))</f>
        <v>46022</v>
      </c>
      <c r="C1911">
        <f>IF(ISNUMBER(+IF(IFERROR(VALUE(MID('Libro Diario'!D517,1,4)),0)&lt;&gt;0,'Libro Diario'!D517,0))=FALSE,'Libro Diario'!D517,0)</f>
        <v>0</v>
      </c>
      <c r="D1911" s="145">
        <f>+'Libro Diario'!E517</f>
        <v>0</v>
      </c>
      <c r="E1911" s="139" t="s">
        <v>446</v>
      </c>
      <c r="F1911" t="str">
        <f t="shared" si="87"/>
        <v>Sin Mov.</v>
      </c>
      <c r="G1911" t="str">
        <f>IF(+'Libro Diario'!H517=0,"",+'Libro Diario'!H517)</f>
        <v>Determinación de Resultado Contable</v>
      </c>
      <c r="H1911" t="str">
        <f>IF(+'Libro Diario'!I517=0,"",+'Libro Diario'!I517)</f>
        <v/>
      </c>
      <c r="I1911" t="str">
        <f>+IF(Table3[[#This Row],[Tipo Movimiento]]="Estructura Balance y PyG","Excluir","Incluir")</f>
        <v>Incluir</v>
      </c>
      <c r="J1911" s="153">
        <f>+IF(Table3[[#This Row],[Sin cuenta]]="Con Mov.",(IF(Table3[[#This Row],[Movimiento]]="Debe",Table3[[#This Row],[Importe]],IF(Table3[[#This Row],[Movimiento]]="Haber",Table3[[#This Row],[Importe]]*-1,0))),0)</f>
        <v>0</v>
      </c>
      <c r="K1911" s="145" t="str">
        <f t="shared" si="88"/>
        <v/>
      </c>
      <c r="L1911" s="145">
        <f t="shared" si="89"/>
        <v>0</v>
      </c>
      <c r="M1911" t="str">
        <f>_xlfn.XLOOKUP(Table3[[#This Row],[Cuenta]],Estructura_Balance[Nombre Cuenta ()],Estructura_Balance[Grupo],"",0)</f>
        <v/>
      </c>
      <c r="N1911" t="str">
        <f>_xlfn.XLOOKUP(Table3[[#This Row],[Cuenta]],Estructura_Balance[Nombre Cuenta ()],Estructura_Balance[Nivel 1],"",0)</f>
        <v/>
      </c>
      <c r="O1911" t="str">
        <f>_xlfn.XLOOKUP(Table3[[#This Row],[Cuenta]],Estructura_Balance[Nombre Cuenta ()],Estructura_Balance[Nivel 2],"",0)</f>
        <v/>
      </c>
      <c r="P1911" t="str">
        <f>_xlfn.XLOOKUP(Table3[[#This Row],[Cuenta]],Estructura_Balance[Nombre Cuenta ()],Estructura_Balance[Nivel 3],"",0)</f>
        <v/>
      </c>
      <c r="Q1911" t="str">
        <f>_xlfn.XLOOKUP(Table3[[#This Row],[Cuenta]],Estructura_Balance[Nombre Cuenta ()],Estructura_Balance[Nivel 4],"",0)</f>
        <v/>
      </c>
      <c r="R1911" t="str">
        <f>_xlfn.XLOOKUP(Table3[[#This Row],[Cuenta]],Table8[Nombre Cuenta ()],Table8[Nivel 1],"",0)</f>
        <v/>
      </c>
      <c r="S1911" t="str">
        <f>_xlfn.XLOOKUP(Table3[[#This Row],[Cuenta]],Table8[Nombre Cuenta ()],Table8[Nivel 2],"",0)</f>
        <v/>
      </c>
      <c r="T1911" t="str">
        <f>_xlfn.XLOOKUP(Table3[[#This Row],[Cuenta]],Table8[Nombre Cuenta ()],Table8[Nivel 3],"",0)</f>
        <v/>
      </c>
      <c r="U1911">
        <v>1910</v>
      </c>
      <c r="V1911" t="str">
        <f>_xlfn.XLOOKUP(Table3[[#This Row],[Cuenta]],Estructura_Balance[Nombre Cuenta ()],Estructura_Balance[Niveles:2],"",0)</f>
        <v/>
      </c>
      <c r="W1911" t="str">
        <f>_xlfn.XLOOKUP(Table3[[#This Row],[Cuenta]],Estructura_Balance[Nombre Cuenta ()],Estructura_Balance[Niveles:3],"",0)</f>
        <v/>
      </c>
      <c r="X1911" t="str">
        <f>_xlfn.XLOOKUP(Table3[[#This Row],[Cuenta]],Estructura_Balance[Nombre Cuenta ()],Estructura_Balance[Grupos],"Grupo 1",0)</f>
        <v>Grupo 1</v>
      </c>
      <c r="Y1911" t="str">
        <f>+Table3[[#This Row],[BS_Nivel_1]]</f>
        <v/>
      </c>
    </row>
    <row r="1912" spans="1:25" ht="15" customHeight="1">
      <c r="A1912">
        <f>+'Libro Diario'!F518</f>
        <v>62</v>
      </c>
      <c r="B1912" s="144">
        <f>VALUE(IF(+'Libro Diario'!G518="","01/01/2025",+'Libro Diario'!G518))</f>
        <v>46022</v>
      </c>
      <c r="C1912">
        <f>IF(ISNUMBER(+IF(IFERROR(VALUE(MID('Libro Diario'!D518,1,4)),0)&lt;&gt;0,'Libro Diario'!D518,0))=FALSE,'Libro Diario'!D518,0)</f>
        <v>0</v>
      </c>
      <c r="D1912" s="145">
        <f>+'Libro Diario'!E518</f>
        <v>0</v>
      </c>
      <c r="E1912" s="139" t="s">
        <v>446</v>
      </c>
      <c r="F1912" t="str">
        <f t="shared" si="87"/>
        <v>Sin Mov.</v>
      </c>
      <c r="G1912" t="str">
        <f>IF(+'Libro Diario'!H518=0,"",+'Libro Diario'!H518)</f>
        <v>Determinación de Resultado Contable</v>
      </c>
      <c r="H1912" t="str">
        <f>IF(+'Libro Diario'!I518=0,"",+'Libro Diario'!I518)</f>
        <v/>
      </c>
      <c r="I1912" t="str">
        <f>+IF(Table3[[#This Row],[Tipo Movimiento]]="Estructura Balance y PyG","Excluir","Incluir")</f>
        <v>Incluir</v>
      </c>
      <c r="J1912" s="153">
        <f>+IF(Table3[[#This Row],[Sin cuenta]]="Con Mov.",(IF(Table3[[#This Row],[Movimiento]]="Debe",Table3[[#This Row],[Importe]],IF(Table3[[#This Row],[Movimiento]]="Haber",Table3[[#This Row],[Importe]]*-1,0))),0)</f>
        <v>0</v>
      </c>
      <c r="K1912" s="145" t="str">
        <f t="shared" si="88"/>
        <v/>
      </c>
      <c r="L1912" s="145">
        <f t="shared" si="89"/>
        <v>0</v>
      </c>
      <c r="M1912" t="str">
        <f>_xlfn.XLOOKUP(Table3[[#This Row],[Cuenta]],Estructura_Balance[Nombre Cuenta ()],Estructura_Balance[Grupo],"",0)</f>
        <v/>
      </c>
      <c r="N1912" t="str">
        <f>_xlfn.XLOOKUP(Table3[[#This Row],[Cuenta]],Estructura_Balance[Nombre Cuenta ()],Estructura_Balance[Nivel 1],"",0)</f>
        <v/>
      </c>
      <c r="O1912" t="str">
        <f>_xlfn.XLOOKUP(Table3[[#This Row],[Cuenta]],Estructura_Balance[Nombre Cuenta ()],Estructura_Balance[Nivel 2],"",0)</f>
        <v/>
      </c>
      <c r="P1912" t="str">
        <f>_xlfn.XLOOKUP(Table3[[#This Row],[Cuenta]],Estructura_Balance[Nombre Cuenta ()],Estructura_Balance[Nivel 3],"",0)</f>
        <v/>
      </c>
      <c r="Q1912" t="str">
        <f>_xlfn.XLOOKUP(Table3[[#This Row],[Cuenta]],Estructura_Balance[Nombre Cuenta ()],Estructura_Balance[Nivel 4],"",0)</f>
        <v/>
      </c>
      <c r="R1912" t="str">
        <f>_xlfn.XLOOKUP(Table3[[#This Row],[Cuenta]],Table8[Nombre Cuenta ()],Table8[Nivel 1],"",0)</f>
        <v/>
      </c>
      <c r="S1912" t="str">
        <f>_xlfn.XLOOKUP(Table3[[#This Row],[Cuenta]],Table8[Nombre Cuenta ()],Table8[Nivel 2],"",0)</f>
        <v/>
      </c>
      <c r="T1912" t="str">
        <f>_xlfn.XLOOKUP(Table3[[#This Row],[Cuenta]],Table8[Nombre Cuenta ()],Table8[Nivel 3],"",0)</f>
        <v/>
      </c>
      <c r="U1912">
        <v>1911</v>
      </c>
      <c r="V1912" t="str">
        <f>_xlfn.XLOOKUP(Table3[[#This Row],[Cuenta]],Estructura_Balance[Nombre Cuenta ()],Estructura_Balance[Niveles:2],"",0)</f>
        <v/>
      </c>
      <c r="W1912" t="str">
        <f>_xlfn.XLOOKUP(Table3[[#This Row],[Cuenta]],Estructura_Balance[Nombre Cuenta ()],Estructura_Balance[Niveles:3],"",0)</f>
        <v/>
      </c>
      <c r="X1912" t="str">
        <f>_xlfn.XLOOKUP(Table3[[#This Row],[Cuenta]],Estructura_Balance[Nombre Cuenta ()],Estructura_Balance[Grupos],"Grupo 1",0)</f>
        <v>Grupo 1</v>
      </c>
      <c r="Y1912" t="str">
        <f>+Table3[[#This Row],[BS_Nivel_1]]</f>
        <v/>
      </c>
    </row>
    <row r="1913" spans="1:25" ht="15" customHeight="1">
      <c r="A1913">
        <f>+'Libro Diario'!F519</f>
        <v>62</v>
      </c>
      <c r="B1913" s="144">
        <f>VALUE(IF(+'Libro Diario'!G519="","01/01/2025",+'Libro Diario'!G519))</f>
        <v>46022</v>
      </c>
      <c r="C1913">
        <f>IF(ISNUMBER(+IF(IFERROR(VALUE(MID('Libro Diario'!D519,1,4)),0)&lt;&gt;0,'Libro Diario'!D519,0))=FALSE,'Libro Diario'!D519,0)</f>
        <v>0</v>
      </c>
      <c r="D1913" s="145">
        <f>+'Libro Diario'!E519</f>
        <v>0</v>
      </c>
      <c r="E1913" s="139" t="s">
        <v>446</v>
      </c>
      <c r="F1913" t="str">
        <f t="shared" si="87"/>
        <v>Sin Mov.</v>
      </c>
      <c r="G1913" t="str">
        <f>IF(+'Libro Diario'!H519=0,"",+'Libro Diario'!H519)</f>
        <v>Determinación de Resultado Contable</v>
      </c>
      <c r="H1913" t="str">
        <f>IF(+'Libro Diario'!I519=0,"",+'Libro Diario'!I519)</f>
        <v/>
      </c>
      <c r="I1913" t="str">
        <f>+IF(Table3[[#This Row],[Tipo Movimiento]]="Estructura Balance y PyG","Excluir","Incluir")</f>
        <v>Incluir</v>
      </c>
      <c r="J1913" s="153">
        <f>+IF(Table3[[#This Row],[Sin cuenta]]="Con Mov.",(IF(Table3[[#This Row],[Movimiento]]="Debe",Table3[[#This Row],[Importe]],IF(Table3[[#This Row],[Movimiento]]="Haber",Table3[[#This Row],[Importe]]*-1,0))),0)</f>
        <v>0</v>
      </c>
      <c r="K1913" s="145" t="str">
        <f t="shared" si="88"/>
        <v/>
      </c>
      <c r="L1913" s="145">
        <f t="shared" si="89"/>
        <v>0</v>
      </c>
      <c r="M1913" t="str">
        <f>_xlfn.XLOOKUP(Table3[[#This Row],[Cuenta]],Estructura_Balance[Nombre Cuenta ()],Estructura_Balance[Grupo],"",0)</f>
        <v/>
      </c>
      <c r="N1913" t="str">
        <f>_xlfn.XLOOKUP(Table3[[#This Row],[Cuenta]],Estructura_Balance[Nombre Cuenta ()],Estructura_Balance[Nivel 1],"",0)</f>
        <v/>
      </c>
      <c r="O1913" t="str">
        <f>_xlfn.XLOOKUP(Table3[[#This Row],[Cuenta]],Estructura_Balance[Nombre Cuenta ()],Estructura_Balance[Nivel 2],"",0)</f>
        <v/>
      </c>
      <c r="P1913" t="str">
        <f>_xlfn.XLOOKUP(Table3[[#This Row],[Cuenta]],Estructura_Balance[Nombre Cuenta ()],Estructura_Balance[Nivel 3],"",0)</f>
        <v/>
      </c>
      <c r="Q1913" t="str">
        <f>_xlfn.XLOOKUP(Table3[[#This Row],[Cuenta]],Estructura_Balance[Nombre Cuenta ()],Estructura_Balance[Nivel 4],"",0)</f>
        <v/>
      </c>
      <c r="R1913" t="str">
        <f>_xlfn.XLOOKUP(Table3[[#This Row],[Cuenta]],Table8[Nombre Cuenta ()],Table8[Nivel 1],"",0)</f>
        <v/>
      </c>
      <c r="S1913" t="str">
        <f>_xlfn.XLOOKUP(Table3[[#This Row],[Cuenta]],Table8[Nombre Cuenta ()],Table8[Nivel 2],"",0)</f>
        <v/>
      </c>
      <c r="T1913" t="str">
        <f>_xlfn.XLOOKUP(Table3[[#This Row],[Cuenta]],Table8[Nombre Cuenta ()],Table8[Nivel 3],"",0)</f>
        <v/>
      </c>
      <c r="U1913">
        <v>1912</v>
      </c>
      <c r="V1913" t="str">
        <f>_xlfn.XLOOKUP(Table3[[#This Row],[Cuenta]],Estructura_Balance[Nombre Cuenta ()],Estructura_Balance[Niveles:2],"",0)</f>
        <v/>
      </c>
      <c r="W1913" t="str">
        <f>_xlfn.XLOOKUP(Table3[[#This Row],[Cuenta]],Estructura_Balance[Nombre Cuenta ()],Estructura_Balance[Niveles:3],"",0)</f>
        <v/>
      </c>
      <c r="X1913" t="str">
        <f>_xlfn.XLOOKUP(Table3[[#This Row],[Cuenta]],Estructura_Balance[Nombre Cuenta ()],Estructura_Balance[Grupos],"Grupo 1",0)</f>
        <v>Grupo 1</v>
      </c>
      <c r="Y1913" t="str">
        <f>+Table3[[#This Row],[BS_Nivel_1]]</f>
        <v/>
      </c>
    </row>
    <row r="1914" spans="1:25" ht="15" customHeight="1">
      <c r="A1914">
        <f>+'Libro Diario'!F520</f>
        <v>62</v>
      </c>
      <c r="B1914" s="144">
        <f>VALUE(IF(+'Libro Diario'!G520="","01/01/2025",+'Libro Diario'!G520))</f>
        <v>46022</v>
      </c>
      <c r="C1914">
        <f>IF(ISNUMBER(+IF(IFERROR(VALUE(MID('Libro Diario'!D520,1,4)),0)&lt;&gt;0,'Libro Diario'!D520,0))=FALSE,'Libro Diario'!D520,0)</f>
        <v>0</v>
      </c>
      <c r="D1914" s="145">
        <f>+'Libro Diario'!E520</f>
        <v>0</v>
      </c>
      <c r="E1914" s="139" t="s">
        <v>446</v>
      </c>
      <c r="F1914" t="str">
        <f t="shared" si="87"/>
        <v>Sin Mov.</v>
      </c>
      <c r="G1914" t="str">
        <f>IF(+'Libro Diario'!H520=0,"",+'Libro Diario'!H520)</f>
        <v>Determinación de Resultado Contable</v>
      </c>
      <c r="H1914" t="str">
        <f>IF(+'Libro Diario'!I520=0,"",+'Libro Diario'!I520)</f>
        <v/>
      </c>
      <c r="I1914" t="str">
        <f>+IF(Table3[[#This Row],[Tipo Movimiento]]="Estructura Balance y PyG","Excluir","Incluir")</f>
        <v>Incluir</v>
      </c>
      <c r="J1914" s="153">
        <f>+IF(Table3[[#This Row],[Sin cuenta]]="Con Mov.",(IF(Table3[[#This Row],[Movimiento]]="Debe",Table3[[#This Row],[Importe]],IF(Table3[[#This Row],[Movimiento]]="Haber",Table3[[#This Row],[Importe]]*-1,0))),0)</f>
        <v>0</v>
      </c>
      <c r="K1914" s="145" t="str">
        <f t="shared" si="88"/>
        <v/>
      </c>
      <c r="L1914" s="145">
        <f t="shared" si="89"/>
        <v>0</v>
      </c>
      <c r="M1914" t="str">
        <f>_xlfn.XLOOKUP(Table3[[#This Row],[Cuenta]],Estructura_Balance[Nombre Cuenta ()],Estructura_Balance[Grupo],"",0)</f>
        <v/>
      </c>
      <c r="N1914" t="str">
        <f>_xlfn.XLOOKUP(Table3[[#This Row],[Cuenta]],Estructura_Balance[Nombre Cuenta ()],Estructura_Balance[Nivel 1],"",0)</f>
        <v/>
      </c>
      <c r="O1914" t="str">
        <f>_xlfn.XLOOKUP(Table3[[#This Row],[Cuenta]],Estructura_Balance[Nombre Cuenta ()],Estructura_Balance[Nivel 2],"",0)</f>
        <v/>
      </c>
      <c r="P1914" t="str">
        <f>_xlfn.XLOOKUP(Table3[[#This Row],[Cuenta]],Estructura_Balance[Nombre Cuenta ()],Estructura_Balance[Nivel 3],"",0)</f>
        <v/>
      </c>
      <c r="Q1914" t="str">
        <f>_xlfn.XLOOKUP(Table3[[#This Row],[Cuenta]],Estructura_Balance[Nombre Cuenta ()],Estructura_Balance[Nivel 4],"",0)</f>
        <v/>
      </c>
      <c r="R1914" t="str">
        <f>_xlfn.XLOOKUP(Table3[[#This Row],[Cuenta]],Table8[Nombre Cuenta ()],Table8[Nivel 1],"",0)</f>
        <v/>
      </c>
      <c r="S1914" t="str">
        <f>_xlfn.XLOOKUP(Table3[[#This Row],[Cuenta]],Table8[Nombre Cuenta ()],Table8[Nivel 2],"",0)</f>
        <v/>
      </c>
      <c r="T1914" t="str">
        <f>_xlfn.XLOOKUP(Table3[[#This Row],[Cuenta]],Table8[Nombre Cuenta ()],Table8[Nivel 3],"",0)</f>
        <v/>
      </c>
      <c r="U1914">
        <v>1913</v>
      </c>
      <c r="V1914" t="str">
        <f>_xlfn.XLOOKUP(Table3[[#This Row],[Cuenta]],Estructura_Balance[Nombre Cuenta ()],Estructura_Balance[Niveles:2],"",0)</f>
        <v/>
      </c>
      <c r="W1914" t="str">
        <f>_xlfn.XLOOKUP(Table3[[#This Row],[Cuenta]],Estructura_Balance[Nombre Cuenta ()],Estructura_Balance[Niveles:3],"",0)</f>
        <v/>
      </c>
      <c r="X1914" t="str">
        <f>_xlfn.XLOOKUP(Table3[[#This Row],[Cuenta]],Estructura_Balance[Nombre Cuenta ()],Estructura_Balance[Grupos],"Grupo 1",0)</f>
        <v>Grupo 1</v>
      </c>
      <c r="Y1914" t="str">
        <f>+Table3[[#This Row],[BS_Nivel_1]]</f>
        <v/>
      </c>
    </row>
    <row r="1915" spans="1:25" ht="15" customHeight="1">
      <c r="A1915">
        <f>+'Libro Diario'!F521</f>
        <v>62</v>
      </c>
      <c r="B1915" s="144">
        <f>VALUE(IF(+'Libro Diario'!G521="","01/01/2025",+'Libro Diario'!G521))</f>
        <v>46022</v>
      </c>
      <c r="C1915">
        <f>IF(ISNUMBER(+IF(IFERROR(VALUE(MID('Libro Diario'!D521,1,4)),0)&lt;&gt;0,'Libro Diario'!D521,0))=FALSE,'Libro Diario'!D521,0)</f>
        <v>0</v>
      </c>
      <c r="D1915" s="145">
        <f>+'Libro Diario'!E521</f>
        <v>0</v>
      </c>
      <c r="E1915" s="139" t="s">
        <v>446</v>
      </c>
      <c r="F1915" t="str">
        <f t="shared" si="87"/>
        <v>Sin Mov.</v>
      </c>
      <c r="G1915" t="str">
        <f>IF(+'Libro Diario'!H521=0,"",+'Libro Diario'!H521)</f>
        <v>Determinación de Resultado Contable</v>
      </c>
      <c r="H1915" t="str">
        <f>IF(+'Libro Diario'!I521=0,"",+'Libro Diario'!I521)</f>
        <v/>
      </c>
      <c r="I1915" t="str">
        <f>+IF(Table3[[#This Row],[Tipo Movimiento]]="Estructura Balance y PyG","Excluir","Incluir")</f>
        <v>Incluir</v>
      </c>
      <c r="J1915" s="153">
        <f>+IF(Table3[[#This Row],[Sin cuenta]]="Con Mov.",(IF(Table3[[#This Row],[Movimiento]]="Debe",Table3[[#This Row],[Importe]],IF(Table3[[#This Row],[Movimiento]]="Haber",Table3[[#This Row],[Importe]]*-1,0))),0)</f>
        <v>0</v>
      </c>
      <c r="K1915" s="145" t="str">
        <f t="shared" si="88"/>
        <v/>
      </c>
      <c r="L1915" s="145">
        <f t="shared" si="89"/>
        <v>0</v>
      </c>
      <c r="M1915" t="str">
        <f>_xlfn.XLOOKUP(Table3[[#This Row],[Cuenta]],Estructura_Balance[Nombre Cuenta ()],Estructura_Balance[Grupo],"",0)</f>
        <v/>
      </c>
      <c r="N1915" t="str">
        <f>_xlfn.XLOOKUP(Table3[[#This Row],[Cuenta]],Estructura_Balance[Nombre Cuenta ()],Estructura_Balance[Nivel 1],"",0)</f>
        <v/>
      </c>
      <c r="O1915" t="str">
        <f>_xlfn.XLOOKUP(Table3[[#This Row],[Cuenta]],Estructura_Balance[Nombre Cuenta ()],Estructura_Balance[Nivel 2],"",0)</f>
        <v/>
      </c>
      <c r="P1915" t="str">
        <f>_xlfn.XLOOKUP(Table3[[#This Row],[Cuenta]],Estructura_Balance[Nombre Cuenta ()],Estructura_Balance[Nivel 3],"",0)</f>
        <v/>
      </c>
      <c r="Q1915" t="str">
        <f>_xlfn.XLOOKUP(Table3[[#This Row],[Cuenta]],Estructura_Balance[Nombre Cuenta ()],Estructura_Balance[Nivel 4],"",0)</f>
        <v/>
      </c>
      <c r="R1915" t="str">
        <f>_xlfn.XLOOKUP(Table3[[#This Row],[Cuenta]],Table8[Nombre Cuenta ()],Table8[Nivel 1],"",0)</f>
        <v/>
      </c>
      <c r="S1915" t="str">
        <f>_xlfn.XLOOKUP(Table3[[#This Row],[Cuenta]],Table8[Nombre Cuenta ()],Table8[Nivel 2],"",0)</f>
        <v/>
      </c>
      <c r="T1915" t="str">
        <f>_xlfn.XLOOKUP(Table3[[#This Row],[Cuenta]],Table8[Nombre Cuenta ()],Table8[Nivel 3],"",0)</f>
        <v/>
      </c>
      <c r="U1915">
        <v>1914</v>
      </c>
      <c r="V1915" t="str">
        <f>_xlfn.XLOOKUP(Table3[[#This Row],[Cuenta]],Estructura_Balance[Nombre Cuenta ()],Estructura_Balance[Niveles:2],"",0)</f>
        <v/>
      </c>
      <c r="W1915" t="str">
        <f>_xlfn.XLOOKUP(Table3[[#This Row],[Cuenta]],Estructura_Balance[Nombre Cuenta ()],Estructura_Balance[Niveles:3],"",0)</f>
        <v/>
      </c>
      <c r="X1915" t="str">
        <f>_xlfn.XLOOKUP(Table3[[#This Row],[Cuenta]],Estructura_Balance[Nombre Cuenta ()],Estructura_Balance[Grupos],"Grupo 1",0)</f>
        <v>Grupo 1</v>
      </c>
      <c r="Y1915" t="str">
        <f>+Table3[[#This Row],[BS_Nivel_1]]</f>
        <v/>
      </c>
    </row>
    <row r="1916" spans="1:25" ht="15" customHeight="1">
      <c r="A1916">
        <f>+'Libro Diario'!F522</f>
        <v>62</v>
      </c>
      <c r="B1916" s="144">
        <f>VALUE(IF(+'Libro Diario'!G522="","01/01/2025",+'Libro Diario'!G522))</f>
        <v>46022</v>
      </c>
      <c r="C1916">
        <f>IF(ISNUMBER(+IF(IFERROR(VALUE(MID('Libro Diario'!D522,1,4)),0)&lt;&gt;0,'Libro Diario'!D522,0))=FALSE,'Libro Diario'!D522,0)</f>
        <v>0</v>
      </c>
      <c r="D1916" s="145">
        <f>+'Libro Diario'!E522</f>
        <v>0</v>
      </c>
      <c r="E1916" s="139" t="s">
        <v>446</v>
      </c>
      <c r="F1916" t="str">
        <f t="shared" si="87"/>
        <v>Sin Mov.</v>
      </c>
      <c r="G1916" t="str">
        <f>IF(+'Libro Diario'!H522=0,"",+'Libro Diario'!H522)</f>
        <v>Determinación de Resultado Contable</v>
      </c>
      <c r="H1916" t="str">
        <f>IF(+'Libro Diario'!I522=0,"",+'Libro Diario'!I522)</f>
        <v/>
      </c>
      <c r="I1916" t="str">
        <f>+IF(Table3[[#This Row],[Tipo Movimiento]]="Estructura Balance y PyG","Excluir","Incluir")</f>
        <v>Incluir</v>
      </c>
      <c r="J1916" s="153">
        <f>+IF(Table3[[#This Row],[Sin cuenta]]="Con Mov.",(IF(Table3[[#This Row],[Movimiento]]="Debe",Table3[[#This Row],[Importe]],IF(Table3[[#This Row],[Movimiento]]="Haber",Table3[[#This Row],[Importe]]*-1,0))),0)</f>
        <v>0</v>
      </c>
      <c r="K1916" s="145" t="str">
        <f t="shared" si="88"/>
        <v/>
      </c>
      <c r="L1916" s="145">
        <f t="shared" si="89"/>
        <v>0</v>
      </c>
      <c r="M1916" t="str">
        <f>_xlfn.XLOOKUP(Table3[[#This Row],[Cuenta]],Estructura_Balance[Nombre Cuenta ()],Estructura_Balance[Grupo],"",0)</f>
        <v/>
      </c>
      <c r="N1916" t="str">
        <f>_xlfn.XLOOKUP(Table3[[#This Row],[Cuenta]],Estructura_Balance[Nombre Cuenta ()],Estructura_Balance[Nivel 1],"",0)</f>
        <v/>
      </c>
      <c r="O1916" t="str">
        <f>_xlfn.XLOOKUP(Table3[[#This Row],[Cuenta]],Estructura_Balance[Nombre Cuenta ()],Estructura_Balance[Nivel 2],"",0)</f>
        <v/>
      </c>
      <c r="P1916" t="str">
        <f>_xlfn.XLOOKUP(Table3[[#This Row],[Cuenta]],Estructura_Balance[Nombre Cuenta ()],Estructura_Balance[Nivel 3],"",0)</f>
        <v/>
      </c>
      <c r="Q1916" t="str">
        <f>_xlfn.XLOOKUP(Table3[[#This Row],[Cuenta]],Estructura_Balance[Nombre Cuenta ()],Estructura_Balance[Nivel 4],"",0)</f>
        <v/>
      </c>
      <c r="R1916" t="str">
        <f>_xlfn.XLOOKUP(Table3[[#This Row],[Cuenta]],Table8[Nombre Cuenta ()],Table8[Nivel 1],"",0)</f>
        <v/>
      </c>
      <c r="S1916" t="str">
        <f>_xlfn.XLOOKUP(Table3[[#This Row],[Cuenta]],Table8[Nombre Cuenta ()],Table8[Nivel 2],"",0)</f>
        <v/>
      </c>
      <c r="T1916" t="str">
        <f>_xlfn.XLOOKUP(Table3[[#This Row],[Cuenta]],Table8[Nombre Cuenta ()],Table8[Nivel 3],"",0)</f>
        <v/>
      </c>
      <c r="U1916">
        <v>1915</v>
      </c>
      <c r="V1916" t="str">
        <f>_xlfn.XLOOKUP(Table3[[#This Row],[Cuenta]],Estructura_Balance[Nombre Cuenta ()],Estructura_Balance[Niveles:2],"",0)</f>
        <v/>
      </c>
      <c r="W1916" t="str">
        <f>_xlfn.XLOOKUP(Table3[[#This Row],[Cuenta]],Estructura_Balance[Nombre Cuenta ()],Estructura_Balance[Niveles:3],"",0)</f>
        <v/>
      </c>
      <c r="X1916" t="str">
        <f>_xlfn.XLOOKUP(Table3[[#This Row],[Cuenta]],Estructura_Balance[Nombre Cuenta ()],Estructura_Balance[Grupos],"Grupo 1",0)</f>
        <v>Grupo 1</v>
      </c>
      <c r="Y1916" t="str">
        <f>+Table3[[#This Row],[BS_Nivel_1]]</f>
        <v/>
      </c>
    </row>
    <row r="1917" spans="1:25" ht="15" customHeight="1">
      <c r="A1917">
        <f>+'Libro Diario'!F523</f>
        <v>62</v>
      </c>
      <c r="B1917" s="144">
        <f>VALUE(IF(+'Libro Diario'!G523="","01/01/2025",+'Libro Diario'!G523))</f>
        <v>46022</v>
      </c>
      <c r="C1917">
        <f>IF(ISNUMBER(+IF(IFERROR(VALUE(MID('Libro Diario'!D523,1,4)),0)&lt;&gt;0,'Libro Diario'!D523,0))=FALSE,'Libro Diario'!D523,0)</f>
        <v>0</v>
      </c>
      <c r="D1917" s="145">
        <f>+'Libro Diario'!E523</f>
        <v>0</v>
      </c>
      <c r="E1917" s="139" t="s">
        <v>446</v>
      </c>
      <c r="F1917" t="str">
        <f t="shared" si="87"/>
        <v>Sin Mov.</v>
      </c>
      <c r="G1917" t="str">
        <f>IF(+'Libro Diario'!H523=0,"",+'Libro Diario'!H523)</f>
        <v>Determinación de Resultado Contable</v>
      </c>
      <c r="H1917" t="str">
        <f>IF(+'Libro Diario'!I523=0,"",+'Libro Diario'!I523)</f>
        <v/>
      </c>
      <c r="I1917" t="str">
        <f>+IF(Table3[[#This Row],[Tipo Movimiento]]="Estructura Balance y PyG","Excluir","Incluir")</f>
        <v>Incluir</v>
      </c>
      <c r="J1917" s="153">
        <f>+IF(Table3[[#This Row],[Sin cuenta]]="Con Mov.",(IF(Table3[[#This Row],[Movimiento]]="Debe",Table3[[#This Row],[Importe]],IF(Table3[[#This Row],[Movimiento]]="Haber",Table3[[#This Row],[Importe]]*-1,0))),0)</f>
        <v>0</v>
      </c>
      <c r="K1917" s="145" t="str">
        <f t="shared" si="88"/>
        <v/>
      </c>
      <c r="L1917" s="145">
        <f t="shared" si="89"/>
        <v>0</v>
      </c>
      <c r="M1917" t="str">
        <f>_xlfn.XLOOKUP(Table3[[#This Row],[Cuenta]],Estructura_Balance[Nombre Cuenta ()],Estructura_Balance[Grupo],"",0)</f>
        <v/>
      </c>
      <c r="N1917" t="str">
        <f>_xlfn.XLOOKUP(Table3[[#This Row],[Cuenta]],Estructura_Balance[Nombre Cuenta ()],Estructura_Balance[Nivel 1],"",0)</f>
        <v/>
      </c>
      <c r="O1917" t="str">
        <f>_xlfn.XLOOKUP(Table3[[#This Row],[Cuenta]],Estructura_Balance[Nombre Cuenta ()],Estructura_Balance[Nivel 2],"",0)</f>
        <v/>
      </c>
      <c r="P1917" t="str">
        <f>_xlfn.XLOOKUP(Table3[[#This Row],[Cuenta]],Estructura_Balance[Nombre Cuenta ()],Estructura_Balance[Nivel 3],"",0)</f>
        <v/>
      </c>
      <c r="Q1917" t="str">
        <f>_xlfn.XLOOKUP(Table3[[#This Row],[Cuenta]],Estructura_Balance[Nombre Cuenta ()],Estructura_Balance[Nivel 4],"",0)</f>
        <v/>
      </c>
      <c r="R1917" t="str">
        <f>_xlfn.XLOOKUP(Table3[[#This Row],[Cuenta]],Table8[Nombre Cuenta ()],Table8[Nivel 1],"",0)</f>
        <v/>
      </c>
      <c r="S1917" t="str">
        <f>_xlfn.XLOOKUP(Table3[[#This Row],[Cuenta]],Table8[Nombre Cuenta ()],Table8[Nivel 2],"",0)</f>
        <v/>
      </c>
      <c r="T1917" t="str">
        <f>_xlfn.XLOOKUP(Table3[[#This Row],[Cuenta]],Table8[Nombre Cuenta ()],Table8[Nivel 3],"",0)</f>
        <v/>
      </c>
      <c r="U1917">
        <v>1916</v>
      </c>
      <c r="V1917" t="str">
        <f>_xlfn.XLOOKUP(Table3[[#This Row],[Cuenta]],Estructura_Balance[Nombre Cuenta ()],Estructura_Balance[Niveles:2],"",0)</f>
        <v/>
      </c>
      <c r="W1917" t="str">
        <f>_xlfn.XLOOKUP(Table3[[#This Row],[Cuenta]],Estructura_Balance[Nombre Cuenta ()],Estructura_Balance[Niveles:3],"",0)</f>
        <v/>
      </c>
      <c r="X1917" t="str">
        <f>_xlfn.XLOOKUP(Table3[[#This Row],[Cuenta]],Estructura_Balance[Nombre Cuenta ()],Estructura_Balance[Grupos],"Grupo 1",0)</f>
        <v>Grupo 1</v>
      </c>
      <c r="Y1917" t="str">
        <f>+Table3[[#This Row],[BS_Nivel_1]]</f>
        <v/>
      </c>
    </row>
    <row r="1918" spans="1:25" ht="15" customHeight="1">
      <c r="A1918">
        <f>+'Libro Diario'!F524</f>
        <v>62</v>
      </c>
      <c r="B1918" s="144">
        <f>VALUE(IF(+'Libro Diario'!G524="","01/01/2025",+'Libro Diario'!G524))</f>
        <v>46022</v>
      </c>
      <c r="C1918">
        <f>IF(ISNUMBER(+IF(IFERROR(VALUE(MID('Libro Diario'!D524,1,4)),0)&lt;&gt;0,'Libro Diario'!D524,0))=FALSE,'Libro Diario'!D524,0)</f>
        <v>0</v>
      </c>
      <c r="D1918" s="145">
        <f>+'Libro Diario'!E524</f>
        <v>0</v>
      </c>
      <c r="E1918" s="139" t="s">
        <v>446</v>
      </c>
      <c r="F1918" t="str">
        <f t="shared" si="87"/>
        <v>Sin Mov.</v>
      </c>
      <c r="G1918" t="str">
        <f>IF(+'Libro Diario'!H524=0,"",+'Libro Diario'!H524)</f>
        <v>Determinación de Resultado Contable</v>
      </c>
      <c r="H1918" t="str">
        <f>IF(+'Libro Diario'!I524=0,"",+'Libro Diario'!I524)</f>
        <v/>
      </c>
      <c r="I1918" t="str">
        <f>+IF(Table3[[#This Row],[Tipo Movimiento]]="Estructura Balance y PyG","Excluir","Incluir")</f>
        <v>Incluir</v>
      </c>
      <c r="J1918" s="153">
        <f>+IF(Table3[[#This Row],[Sin cuenta]]="Con Mov.",(IF(Table3[[#This Row],[Movimiento]]="Debe",Table3[[#This Row],[Importe]],IF(Table3[[#This Row],[Movimiento]]="Haber",Table3[[#This Row],[Importe]]*-1,0))),0)</f>
        <v>0</v>
      </c>
      <c r="K1918" s="145" t="str">
        <f t="shared" si="88"/>
        <v/>
      </c>
      <c r="L1918" s="145">
        <f t="shared" si="89"/>
        <v>0</v>
      </c>
      <c r="M1918" t="str">
        <f>_xlfn.XLOOKUP(Table3[[#This Row],[Cuenta]],Estructura_Balance[Nombre Cuenta ()],Estructura_Balance[Grupo],"",0)</f>
        <v/>
      </c>
      <c r="N1918" t="str">
        <f>_xlfn.XLOOKUP(Table3[[#This Row],[Cuenta]],Estructura_Balance[Nombre Cuenta ()],Estructura_Balance[Nivel 1],"",0)</f>
        <v/>
      </c>
      <c r="O1918" t="str">
        <f>_xlfn.XLOOKUP(Table3[[#This Row],[Cuenta]],Estructura_Balance[Nombre Cuenta ()],Estructura_Balance[Nivel 2],"",0)</f>
        <v/>
      </c>
      <c r="P1918" t="str">
        <f>_xlfn.XLOOKUP(Table3[[#This Row],[Cuenta]],Estructura_Balance[Nombre Cuenta ()],Estructura_Balance[Nivel 3],"",0)</f>
        <v/>
      </c>
      <c r="Q1918" t="str">
        <f>_xlfn.XLOOKUP(Table3[[#This Row],[Cuenta]],Estructura_Balance[Nombre Cuenta ()],Estructura_Balance[Nivel 4],"",0)</f>
        <v/>
      </c>
      <c r="R1918" t="str">
        <f>_xlfn.XLOOKUP(Table3[[#This Row],[Cuenta]],Table8[Nombre Cuenta ()],Table8[Nivel 1],"",0)</f>
        <v/>
      </c>
      <c r="S1918" t="str">
        <f>_xlfn.XLOOKUP(Table3[[#This Row],[Cuenta]],Table8[Nombre Cuenta ()],Table8[Nivel 2],"",0)</f>
        <v/>
      </c>
      <c r="T1918" t="str">
        <f>_xlfn.XLOOKUP(Table3[[#This Row],[Cuenta]],Table8[Nombre Cuenta ()],Table8[Nivel 3],"",0)</f>
        <v/>
      </c>
      <c r="U1918">
        <v>1917</v>
      </c>
      <c r="V1918" t="str">
        <f>_xlfn.XLOOKUP(Table3[[#This Row],[Cuenta]],Estructura_Balance[Nombre Cuenta ()],Estructura_Balance[Niveles:2],"",0)</f>
        <v/>
      </c>
      <c r="W1918" t="str">
        <f>_xlfn.XLOOKUP(Table3[[#This Row],[Cuenta]],Estructura_Balance[Nombre Cuenta ()],Estructura_Balance[Niveles:3],"",0)</f>
        <v/>
      </c>
      <c r="X1918" t="str">
        <f>_xlfn.XLOOKUP(Table3[[#This Row],[Cuenta]],Estructura_Balance[Nombre Cuenta ()],Estructura_Balance[Grupos],"Grupo 1",0)</f>
        <v>Grupo 1</v>
      </c>
      <c r="Y1918" t="str">
        <f>+Table3[[#This Row],[BS_Nivel_1]]</f>
        <v/>
      </c>
    </row>
    <row r="1919" spans="1:25" ht="15" customHeight="1">
      <c r="A1919">
        <f>+'Libro Diario'!F525</f>
        <v>62</v>
      </c>
      <c r="B1919" s="144">
        <f>VALUE(IF(+'Libro Diario'!G525="","01/01/2025",+'Libro Diario'!G525))</f>
        <v>46022</v>
      </c>
      <c r="C1919">
        <f>IF(ISNUMBER(+IF(IFERROR(VALUE(MID('Libro Diario'!D525,1,4)),0)&lt;&gt;0,'Libro Diario'!D525,0))=FALSE,'Libro Diario'!D525,0)</f>
        <v>0</v>
      </c>
      <c r="D1919" s="145">
        <f>+'Libro Diario'!E525</f>
        <v>0</v>
      </c>
      <c r="E1919" s="139" t="s">
        <v>446</v>
      </c>
      <c r="F1919" t="str">
        <f t="shared" si="87"/>
        <v>Sin Mov.</v>
      </c>
      <c r="G1919" t="str">
        <f>IF(+'Libro Diario'!H525=0,"",+'Libro Diario'!H525)</f>
        <v>Determinación de Resultado Contable</v>
      </c>
      <c r="H1919" t="str">
        <f>IF(+'Libro Diario'!I525=0,"",+'Libro Diario'!I525)</f>
        <v/>
      </c>
      <c r="I1919" t="str">
        <f>+IF(Table3[[#This Row],[Tipo Movimiento]]="Estructura Balance y PyG","Excluir","Incluir")</f>
        <v>Incluir</v>
      </c>
      <c r="J1919" s="153">
        <f>+IF(Table3[[#This Row],[Sin cuenta]]="Con Mov.",(IF(Table3[[#This Row],[Movimiento]]="Debe",Table3[[#This Row],[Importe]],IF(Table3[[#This Row],[Movimiento]]="Haber",Table3[[#This Row],[Importe]]*-1,0))),0)</f>
        <v>0</v>
      </c>
      <c r="K1919" s="145" t="str">
        <f t="shared" si="88"/>
        <v/>
      </c>
      <c r="L1919" s="145">
        <f t="shared" si="89"/>
        <v>0</v>
      </c>
      <c r="M1919" t="str">
        <f>_xlfn.XLOOKUP(Table3[[#This Row],[Cuenta]],Estructura_Balance[Nombre Cuenta ()],Estructura_Balance[Grupo],"",0)</f>
        <v/>
      </c>
      <c r="N1919" t="str">
        <f>_xlfn.XLOOKUP(Table3[[#This Row],[Cuenta]],Estructura_Balance[Nombre Cuenta ()],Estructura_Balance[Nivel 1],"",0)</f>
        <v/>
      </c>
      <c r="O1919" t="str">
        <f>_xlfn.XLOOKUP(Table3[[#This Row],[Cuenta]],Estructura_Balance[Nombre Cuenta ()],Estructura_Balance[Nivel 2],"",0)</f>
        <v/>
      </c>
      <c r="P1919" t="str">
        <f>_xlfn.XLOOKUP(Table3[[#This Row],[Cuenta]],Estructura_Balance[Nombre Cuenta ()],Estructura_Balance[Nivel 3],"",0)</f>
        <v/>
      </c>
      <c r="Q1919" t="str">
        <f>_xlfn.XLOOKUP(Table3[[#This Row],[Cuenta]],Estructura_Balance[Nombre Cuenta ()],Estructura_Balance[Nivel 4],"",0)</f>
        <v/>
      </c>
      <c r="R1919" t="str">
        <f>_xlfn.XLOOKUP(Table3[[#This Row],[Cuenta]],Table8[Nombre Cuenta ()],Table8[Nivel 1],"",0)</f>
        <v/>
      </c>
      <c r="S1919" t="str">
        <f>_xlfn.XLOOKUP(Table3[[#This Row],[Cuenta]],Table8[Nombre Cuenta ()],Table8[Nivel 2],"",0)</f>
        <v/>
      </c>
      <c r="T1919" t="str">
        <f>_xlfn.XLOOKUP(Table3[[#This Row],[Cuenta]],Table8[Nombre Cuenta ()],Table8[Nivel 3],"",0)</f>
        <v/>
      </c>
      <c r="U1919">
        <v>1918</v>
      </c>
      <c r="V1919" t="str">
        <f>_xlfn.XLOOKUP(Table3[[#This Row],[Cuenta]],Estructura_Balance[Nombre Cuenta ()],Estructura_Balance[Niveles:2],"",0)</f>
        <v/>
      </c>
      <c r="W1919" t="str">
        <f>_xlfn.XLOOKUP(Table3[[#This Row],[Cuenta]],Estructura_Balance[Nombre Cuenta ()],Estructura_Balance[Niveles:3],"",0)</f>
        <v/>
      </c>
      <c r="X1919" t="str">
        <f>_xlfn.XLOOKUP(Table3[[#This Row],[Cuenta]],Estructura_Balance[Nombre Cuenta ()],Estructura_Balance[Grupos],"Grupo 1",0)</f>
        <v>Grupo 1</v>
      </c>
      <c r="Y1919" t="str">
        <f>+Table3[[#This Row],[BS_Nivel_1]]</f>
        <v/>
      </c>
    </row>
    <row r="1920" spans="1:25" ht="15" customHeight="1">
      <c r="A1920">
        <f>+'Libro Diario'!F526</f>
        <v>62</v>
      </c>
      <c r="B1920" s="144">
        <f>VALUE(IF(+'Libro Diario'!G526="","01/01/2025",+'Libro Diario'!G526))</f>
        <v>46022</v>
      </c>
      <c r="C1920">
        <f>IF(ISNUMBER(+IF(IFERROR(VALUE(MID('Libro Diario'!D526,1,4)),0)&lt;&gt;0,'Libro Diario'!D526,0))=FALSE,'Libro Diario'!D526,0)</f>
        <v>0</v>
      </c>
      <c r="D1920" s="145">
        <f>+'Libro Diario'!E526</f>
        <v>0</v>
      </c>
      <c r="E1920" s="139" t="s">
        <v>446</v>
      </c>
      <c r="F1920" t="str">
        <f t="shared" si="87"/>
        <v>Sin Mov.</v>
      </c>
      <c r="G1920" t="str">
        <f>IF(+'Libro Diario'!H526=0,"",+'Libro Diario'!H526)</f>
        <v>Determinación de Resultado Contable</v>
      </c>
      <c r="H1920" t="str">
        <f>IF(+'Libro Diario'!I526=0,"",+'Libro Diario'!I526)</f>
        <v/>
      </c>
      <c r="I1920" t="str">
        <f>+IF(Table3[[#This Row],[Tipo Movimiento]]="Estructura Balance y PyG","Excluir","Incluir")</f>
        <v>Incluir</v>
      </c>
      <c r="J1920" s="153">
        <f>+IF(Table3[[#This Row],[Sin cuenta]]="Con Mov.",(IF(Table3[[#This Row],[Movimiento]]="Debe",Table3[[#This Row],[Importe]],IF(Table3[[#This Row],[Movimiento]]="Haber",Table3[[#This Row],[Importe]]*-1,0))),0)</f>
        <v>0</v>
      </c>
      <c r="K1920" s="145" t="str">
        <f t="shared" si="88"/>
        <v/>
      </c>
      <c r="L1920" s="145">
        <f t="shared" si="89"/>
        <v>0</v>
      </c>
      <c r="M1920" t="str">
        <f>_xlfn.XLOOKUP(Table3[[#This Row],[Cuenta]],Estructura_Balance[Nombre Cuenta ()],Estructura_Balance[Grupo],"",0)</f>
        <v/>
      </c>
      <c r="N1920" t="str">
        <f>_xlfn.XLOOKUP(Table3[[#This Row],[Cuenta]],Estructura_Balance[Nombre Cuenta ()],Estructura_Balance[Nivel 1],"",0)</f>
        <v/>
      </c>
      <c r="O1920" t="str">
        <f>_xlfn.XLOOKUP(Table3[[#This Row],[Cuenta]],Estructura_Balance[Nombre Cuenta ()],Estructura_Balance[Nivel 2],"",0)</f>
        <v/>
      </c>
      <c r="P1920" t="str">
        <f>_xlfn.XLOOKUP(Table3[[#This Row],[Cuenta]],Estructura_Balance[Nombre Cuenta ()],Estructura_Balance[Nivel 3],"",0)</f>
        <v/>
      </c>
      <c r="Q1920" t="str">
        <f>_xlfn.XLOOKUP(Table3[[#This Row],[Cuenta]],Estructura_Balance[Nombre Cuenta ()],Estructura_Balance[Nivel 4],"",0)</f>
        <v/>
      </c>
      <c r="R1920" t="str">
        <f>_xlfn.XLOOKUP(Table3[[#This Row],[Cuenta]],Table8[Nombre Cuenta ()],Table8[Nivel 1],"",0)</f>
        <v/>
      </c>
      <c r="S1920" t="str">
        <f>_xlfn.XLOOKUP(Table3[[#This Row],[Cuenta]],Table8[Nombre Cuenta ()],Table8[Nivel 2],"",0)</f>
        <v/>
      </c>
      <c r="T1920" t="str">
        <f>_xlfn.XLOOKUP(Table3[[#This Row],[Cuenta]],Table8[Nombre Cuenta ()],Table8[Nivel 3],"",0)</f>
        <v/>
      </c>
      <c r="U1920">
        <v>1919</v>
      </c>
      <c r="V1920" t="str">
        <f>_xlfn.XLOOKUP(Table3[[#This Row],[Cuenta]],Estructura_Balance[Nombre Cuenta ()],Estructura_Balance[Niveles:2],"",0)</f>
        <v/>
      </c>
      <c r="W1920" t="str">
        <f>_xlfn.XLOOKUP(Table3[[#This Row],[Cuenta]],Estructura_Balance[Nombre Cuenta ()],Estructura_Balance[Niveles:3],"",0)</f>
        <v/>
      </c>
      <c r="X1920" t="str">
        <f>_xlfn.XLOOKUP(Table3[[#This Row],[Cuenta]],Estructura_Balance[Nombre Cuenta ()],Estructura_Balance[Grupos],"Grupo 1",0)</f>
        <v>Grupo 1</v>
      </c>
      <c r="Y1920" t="str">
        <f>+Table3[[#This Row],[BS_Nivel_1]]</f>
        <v/>
      </c>
    </row>
    <row r="1921" spans="1:25" ht="15" customHeight="1">
      <c r="A1921">
        <f>+'Libro Diario'!F527</f>
        <v>62</v>
      </c>
      <c r="B1921" s="144">
        <f>VALUE(IF(+'Libro Diario'!G527="","01/01/2025",+'Libro Diario'!G527))</f>
        <v>46022</v>
      </c>
      <c r="C1921">
        <f>IF(ISNUMBER(+IF(IFERROR(VALUE(MID('Libro Diario'!D527,1,4)),0)&lt;&gt;0,'Libro Diario'!D527,0))=FALSE,'Libro Diario'!D527,0)</f>
        <v>0</v>
      </c>
      <c r="D1921" s="145">
        <f>+'Libro Diario'!E527</f>
        <v>0</v>
      </c>
      <c r="E1921" s="139" t="s">
        <v>446</v>
      </c>
      <c r="F1921" t="str">
        <f t="shared" si="87"/>
        <v>Sin Mov.</v>
      </c>
      <c r="G1921" t="str">
        <f>IF(+'Libro Diario'!H527=0,"",+'Libro Diario'!H527)</f>
        <v>Determinación de Resultado Contable</v>
      </c>
      <c r="H1921" t="str">
        <f>IF(+'Libro Diario'!I527=0,"",+'Libro Diario'!I527)</f>
        <v/>
      </c>
      <c r="I1921" t="str">
        <f>+IF(Table3[[#This Row],[Tipo Movimiento]]="Estructura Balance y PyG","Excluir","Incluir")</f>
        <v>Incluir</v>
      </c>
      <c r="J1921" s="153">
        <f>+IF(Table3[[#This Row],[Sin cuenta]]="Con Mov.",(IF(Table3[[#This Row],[Movimiento]]="Debe",Table3[[#This Row],[Importe]],IF(Table3[[#This Row],[Movimiento]]="Haber",Table3[[#This Row],[Importe]]*-1,0))),0)</f>
        <v>0</v>
      </c>
      <c r="K1921" s="145" t="str">
        <f t="shared" si="88"/>
        <v/>
      </c>
      <c r="L1921" s="145">
        <f t="shared" si="89"/>
        <v>0</v>
      </c>
      <c r="M1921" t="str">
        <f>_xlfn.XLOOKUP(Table3[[#This Row],[Cuenta]],Estructura_Balance[Nombre Cuenta ()],Estructura_Balance[Grupo],"",0)</f>
        <v/>
      </c>
      <c r="N1921" t="str">
        <f>_xlfn.XLOOKUP(Table3[[#This Row],[Cuenta]],Estructura_Balance[Nombre Cuenta ()],Estructura_Balance[Nivel 1],"",0)</f>
        <v/>
      </c>
      <c r="O1921" t="str">
        <f>_xlfn.XLOOKUP(Table3[[#This Row],[Cuenta]],Estructura_Balance[Nombre Cuenta ()],Estructura_Balance[Nivel 2],"",0)</f>
        <v/>
      </c>
      <c r="P1921" t="str">
        <f>_xlfn.XLOOKUP(Table3[[#This Row],[Cuenta]],Estructura_Balance[Nombre Cuenta ()],Estructura_Balance[Nivel 3],"",0)</f>
        <v/>
      </c>
      <c r="Q1921" t="str">
        <f>_xlfn.XLOOKUP(Table3[[#This Row],[Cuenta]],Estructura_Balance[Nombre Cuenta ()],Estructura_Balance[Nivel 4],"",0)</f>
        <v/>
      </c>
      <c r="R1921" t="str">
        <f>_xlfn.XLOOKUP(Table3[[#This Row],[Cuenta]],Table8[Nombre Cuenta ()],Table8[Nivel 1],"",0)</f>
        <v/>
      </c>
      <c r="S1921" t="str">
        <f>_xlfn.XLOOKUP(Table3[[#This Row],[Cuenta]],Table8[Nombre Cuenta ()],Table8[Nivel 2],"",0)</f>
        <v/>
      </c>
      <c r="T1921" t="str">
        <f>_xlfn.XLOOKUP(Table3[[#This Row],[Cuenta]],Table8[Nombre Cuenta ()],Table8[Nivel 3],"",0)</f>
        <v/>
      </c>
      <c r="U1921">
        <v>1920</v>
      </c>
      <c r="V1921" t="str">
        <f>_xlfn.XLOOKUP(Table3[[#This Row],[Cuenta]],Estructura_Balance[Nombre Cuenta ()],Estructura_Balance[Niveles:2],"",0)</f>
        <v/>
      </c>
      <c r="W1921" t="str">
        <f>_xlfn.XLOOKUP(Table3[[#This Row],[Cuenta]],Estructura_Balance[Nombre Cuenta ()],Estructura_Balance[Niveles:3],"",0)</f>
        <v/>
      </c>
      <c r="X1921" t="str">
        <f>_xlfn.XLOOKUP(Table3[[#This Row],[Cuenta]],Estructura_Balance[Nombre Cuenta ()],Estructura_Balance[Grupos],"Grupo 1",0)</f>
        <v>Grupo 1</v>
      </c>
      <c r="Y1921" t="str">
        <f>+Table3[[#This Row],[BS_Nivel_1]]</f>
        <v/>
      </c>
    </row>
    <row r="1922" spans="1:25" ht="15" customHeight="1">
      <c r="A1922">
        <f>+'Libro Diario'!F528</f>
        <v>62</v>
      </c>
      <c r="B1922" s="144">
        <f>VALUE(IF(+'Libro Diario'!G528="","01/01/2025",+'Libro Diario'!G528))</f>
        <v>46022</v>
      </c>
      <c r="C1922">
        <f>IF(ISNUMBER(+IF(IFERROR(VALUE(MID('Libro Diario'!D528,1,4)),0)&lt;&gt;0,'Libro Diario'!D528,0))=FALSE,'Libro Diario'!D528,0)</f>
        <v>0</v>
      </c>
      <c r="D1922" s="145">
        <f>+'Libro Diario'!E528</f>
        <v>0</v>
      </c>
      <c r="E1922" s="139" t="s">
        <v>446</v>
      </c>
      <c r="F1922" t="str">
        <f t="shared" si="87"/>
        <v>Sin Mov.</v>
      </c>
      <c r="G1922" t="str">
        <f>IF(+'Libro Diario'!H528=0,"",+'Libro Diario'!H528)</f>
        <v>Determinación de Resultado Contable</v>
      </c>
      <c r="H1922" t="str">
        <f>IF(+'Libro Diario'!I528=0,"",+'Libro Diario'!I528)</f>
        <v/>
      </c>
      <c r="I1922" t="str">
        <f>+IF(Table3[[#This Row],[Tipo Movimiento]]="Estructura Balance y PyG","Excluir","Incluir")</f>
        <v>Incluir</v>
      </c>
      <c r="J1922" s="153">
        <f>+IF(Table3[[#This Row],[Sin cuenta]]="Con Mov.",(IF(Table3[[#This Row],[Movimiento]]="Debe",Table3[[#This Row],[Importe]],IF(Table3[[#This Row],[Movimiento]]="Haber",Table3[[#This Row],[Importe]]*-1,0))),0)</f>
        <v>0</v>
      </c>
      <c r="K1922" s="145" t="str">
        <f t="shared" si="88"/>
        <v/>
      </c>
      <c r="L1922" s="145">
        <f t="shared" si="89"/>
        <v>0</v>
      </c>
      <c r="M1922" t="str">
        <f>_xlfn.XLOOKUP(Table3[[#This Row],[Cuenta]],Estructura_Balance[Nombre Cuenta ()],Estructura_Balance[Grupo],"",0)</f>
        <v/>
      </c>
      <c r="N1922" t="str">
        <f>_xlfn.XLOOKUP(Table3[[#This Row],[Cuenta]],Estructura_Balance[Nombre Cuenta ()],Estructura_Balance[Nivel 1],"",0)</f>
        <v/>
      </c>
      <c r="O1922" t="str">
        <f>_xlfn.XLOOKUP(Table3[[#This Row],[Cuenta]],Estructura_Balance[Nombre Cuenta ()],Estructura_Balance[Nivel 2],"",0)</f>
        <v/>
      </c>
      <c r="P1922" t="str">
        <f>_xlfn.XLOOKUP(Table3[[#This Row],[Cuenta]],Estructura_Balance[Nombre Cuenta ()],Estructura_Balance[Nivel 3],"",0)</f>
        <v/>
      </c>
      <c r="Q1922" t="str">
        <f>_xlfn.XLOOKUP(Table3[[#This Row],[Cuenta]],Estructura_Balance[Nombre Cuenta ()],Estructura_Balance[Nivel 4],"",0)</f>
        <v/>
      </c>
      <c r="R1922" t="str">
        <f>_xlfn.XLOOKUP(Table3[[#This Row],[Cuenta]],Table8[Nombre Cuenta ()],Table8[Nivel 1],"",0)</f>
        <v/>
      </c>
      <c r="S1922" t="str">
        <f>_xlfn.XLOOKUP(Table3[[#This Row],[Cuenta]],Table8[Nombre Cuenta ()],Table8[Nivel 2],"",0)</f>
        <v/>
      </c>
      <c r="T1922" t="str">
        <f>_xlfn.XLOOKUP(Table3[[#This Row],[Cuenta]],Table8[Nombre Cuenta ()],Table8[Nivel 3],"",0)</f>
        <v/>
      </c>
      <c r="U1922">
        <v>1921</v>
      </c>
      <c r="V1922" t="str">
        <f>_xlfn.XLOOKUP(Table3[[#This Row],[Cuenta]],Estructura_Balance[Nombre Cuenta ()],Estructura_Balance[Niveles:2],"",0)</f>
        <v/>
      </c>
      <c r="W1922" t="str">
        <f>_xlfn.XLOOKUP(Table3[[#This Row],[Cuenta]],Estructura_Balance[Nombre Cuenta ()],Estructura_Balance[Niveles:3],"",0)</f>
        <v/>
      </c>
      <c r="X1922" t="str">
        <f>_xlfn.XLOOKUP(Table3[[#This Row],[Cuenta]],Estructura_Balance[Nombre Cuenta ()],Estructura_Balance[Grupos],"Grupo 1",0)</f>
        <v>Grupo 1</v>
      </c>
      <c r="Y1922" t="str">
        <f>+Table3[[#This Row],[BS_Nivel_1]]</f>
        <v/>
      </c>
    </row>
    <row r="1923" spans="1:25" ht="15" customHeight="1">
      <c r="A1923">
        <f>+'Libro Diario'!F534</f>
        <v>63</v>
      </c>
      <c r="B1923" s="144">
        <f>VALUE(IF(+'Libro Diario'!G534="","01/01/2025",+'Libro Diario'!G534))</f>
        <v>46022</v>
      </c>
      <c r="C1923">
        <f>IF(ISNUMBER(+IF(IFERROR(VALUE(MID('Libro Diario'!C534,1,4)),0)&lt;&gt;0,'Libro Diario'!C534,0))=FALSE,'Libro Diario'!C534,0)</f>
        <v>0</v>
      </c>
      <c r="D1923" s="145">
        <f>+'Libro Diario'!B534</f>
        <v>0</v>
      </c>
      <c r="E1923" s="139" t="s">
        <v>445</v>
      </c>
      <c r="F1923" t="str">
        <f t="shared" ref="F1923:F1986" si="90">+IF(C1923=0,"Sin Mov.","Con Mov.")</f>
        <v>Sin Mov.</v>
      </c>
      <c r="G1923" t="str">
        <f>IF(+'Libro Diario'!H534=0,"",+'Libro Diario'!H534)</f>
        <v>Determinación de Resultado Contable</v>
      </c>
      <c r="H1923" t="str">
        <f>IF(+'Libro Diario'!I534=0,"",+'Libro Diario'!I534)</f>
        <v/>
      </c>
      <c r="I1923" t="str">
        <f>+IF(Table3[[#This Row],[Tipo Movimiento]]="Estructura Balance y PyG","Excluir","Incluir")</f>
        <v>Incluir</v>
      </c>
      <c r="J1923" s="153">
        <f>+IF(Table3[[#This Row],[Sin cuenta]]="Con Mov.",(IF(Table3[[#This Row],[Movimiento]]="Debe",Table3[[#This Row],[Importe]],IF(Table3[[#This Row],[Movimiento]]="Haber",Table3[[#This Row],[Importe]]*-1,0))),0)</f>
        <v>0</v>
      </c>
      <c r="K1923" s="145">
        <f t="shared" ref="K1923:K1986" si="91">+IF(E1923="Debe",D1923,"")</f>
        <v>0</v>
      </c>
      <c r="L1923" s="145" t="str">
        <f t="shared" ref="L1923:L1986" si="92">+IF(E1923="Haber",D1923,"")</f>
        <v/>
      </c>
      <c r="M1923" t="str">
        <f>_xlfn.XLOOKUP(Table3[[#This Row],[Cuenta]],Estructura_Balance[Nombre Cuenta ()],Estructura_Balance[Grupo],"",0)</f>
        <v/>
      </c>
      <c r="N1923" t="str">
        <f>_xlfn.XLOOKUP(Table3[[#This Row],[Cuenta]],Estructura_Balance[Nombre Cuenta ()],Estructura_Balance[Nivel 1],"",0)</f>
        <v/>
      </c>
      <c r="O1923" t="str">
        <f>_xlfn.XLOOKUP(Table3[[#This Row],[Cuenta]],Estructura_Balance[Nombre Cuenta ()],Estructura_Balance[Nivel 2],"",0)</f>
        <v/>
      </c>
      <c r="P1923" t="str">
        <f>_xlfn.XLOOKUP(Table3[[#This Row],[Cuenta]],Estructura_Balance[Nombre Cuenta ()],Estructura_Balance[Nivel 3],"",0)</f>
        <v/>
      </c>
      <c r="Q1923" t="str">
        <f>_xlfn.XLOOKUP(Table3[[#This Row],[Cuenta]],Estructura_Balance[Nombre Cuenta ()],Estructura_Balance[Nivel 4],"",0)</f>
        <v/>
      </c>
      <c r="R1923" s="154" t="str">
        <f>_xlfn.XLOOKUP(Table3[[#This Row],[Cuenta]],Table8[Nombre Cuenta ()],Table8[Nivel 1],"",0)</f>
        <v/>
      </c>
      <c r="S1923" t="str">
        <f>_xlfn.XLOOKUP(Table3[[#This Row],[Cuenta]],Table8[Nombre Cuenta ()],Table8[Nivel 2],"",0)</f>
        <v/>
      </c>
      <c r="T1923" t="str">
        <f>_xlfn.XLOOKUP(Table3[[#This Row],[Cuenta]],Table8[Nombre Cuenta ()],Table8[Nivel 3],"",0)</f>
        <v/>
      </c>
      <c r="U1923">
        <v>725</v>
      </c>
      <c r="V1923" t="str">
        <f>_xlfn.XLOOKUP(Table3[[#This Row],[Cuenta]],Estructura_Balance[Nombre Cuenta ()],Estructura_Balance[Niveles:2],"",0)</f>
        <v/>
      </c>
      <c r="W1923" t="str">
        <f>_xlfn.XLOOKUP(Table3[[#This Row],[Cuenta]],Estructura_Balance[Nombre Cuenta ()],Estructura_Balance[Niveles:3],"",0)</f>
        <v/>
      </c>
      <c r="X1923" t="str">
        <f>_xlfn.XLOOKUP(Table3[[#This Row],[Cuenta]],Estructura_Balance[Nombre Cuenta ()],Estructura_Balance[Grupos],"Grupo 1",0)</f>
        <v>Grupo 1</v>
      </c>
      <c r="Y1923" t="str">
        <f>+Table3[[#This Row],[BS_Nivel_1]]</f>
        <v/>
      </c>
    </row>
    <row r="1924" spans="1:25" ht="15" customHeight="1">
      <c r="A1924">
        <f>+'Libro Diario'!F535</f>
        <v>63</v>
      </c>
      <c r="B1924" s="144">
        <f>VALUE(IF(+'Libro Diario'!G535="","01/01/2025",+'Libro Diario'!G535))</f>
        <v>46022</v>
      </c>
      <c r="C1924">
        <f>IF(ISNUMBER(+IF(IFERROR(VALUE(MID('Libro Diario'!C535,1,4)),0)&lt;&gt;0,'Libro Diario'!C535,0))=FALSE,'Libro Diario'!C535,0)</f>
        <v>0</v>
      </c>
      <c r="D1924" s="145">
        <f>+'Libro Diario'!B535</f>
        <v>0</v>
      </c>
      <c r="E1924" s="139" t="s">
        <v>445</v>
      </c>
      <c r="F1924" t="str">
        <f t="shared" si="90"/>
        <v>Sin Mov.</v>
      </c>
      <c r="G1924" t="str">
        <f>IF(+'Libro Diario'!H535=0,"",+'Libro Diario'!H535)</f>
        <v>Determinación de Resultado Contable</v>
      </c>
      <c r="H1924" t="str">
        <f>IF(+'Libro Diario'!I535=0,"",+'Libro Diario'!I535)</f>
        <v/>
      </c>
      <c r="I1924" t="str">
        <f>+IF(Table3[[#This Row],[Tipo Movimiento]]="Estructura Balance y PyG","Excluir","Incluir")</f>
        <v>Incluir</v>
      </c>
      <c r="J1924" s="153">
        <f>+IF(Table3[[#This Row],[Sin cuenta]]="Con Mov.",(IF(Table3[[#This Row],[Movimiento]]="Debe",Table3[[#This Row],[Importe]],IF(Table3[[#This Row],[Movimiento]]="Haber",Table3[[#This Row],[Importe]]*-1,0))),0)</f>
        <v>0</v>
      </c>
      <c r="K1924" s="145">
        <f t="shared" si="91"/>
        <v>0</v>
      </c>
      <c r="L1924" s="145" t="str">
        <f t="shared" si="92"/>
        <v/>
      </c>
      <c r="M1924" t="str">
        <f>_xlfn.XLOOKUP(Table3[[#This Row],[Cuenta]],Estructura_Balance[Nombre Cuenta ()],Estructura_Balance[Grupo],"",0)</f>
        <v/>
      </c>
      <c r="N1924" t="str">
        <f>_xlfn.XLOOKUP(Table3[[#This Row],[Cuenta]],Estructura_Balance[Nombre Cuenta ()],Estructura_Balance[Nivel 1],"",0)</f>
        <v/>
      </c>
      <c r="O1924" t="str">
        <f>_xlfn.XLOOKUP(Table3[[#This Row],[Cuenta]],Estructura_Balance[Nombre Cuenta ()],Estructura_Balance[Nivel 2],"",0)</f>
        <v/>
      </c>
      <c r="P1924" t="str">
        <f>_xlfn.XLOOKUP(Table3[[#This Row],[Cuenta]],Estructura_Balance[Nombre Cuenta ()],Estructura_Balance[Nivel 3],"",0)</f>
        <v/>
      </c>
      <c r="Q1924" t="str">
        <f>_xlfn.XLOOKUP(Table3[[#This Row],[Cuenta]],Estructura_Balance[Nombre Cuenta ()],Estructura_Balance[Nivel 4],"",0)</f>
        <v/>
      </c>
      <c r="R1924" t="str">
        <f>_xlfn.XLOOKUP(Table3[[#This Row],[Cuenta]],Table8[Nombre Cuenta ()],Table8[Nivel 1],"",0)</f>
        <v/>
      </c>
      <c r="S1924" t="str">
        <f>_xlfn.XLOOKUP(Table3[[#This Row],[Cuenta]],Table8[Nombre Cuenta ()],Table8[Nivel 2],"",0)</f>
        <v/>
      </c>
      <c r="T1924" t="str">
        <f>_xlfn.XLOOKUP(Table3[[#This Row],[Cuenta]],Table8[Nombre Cuenta ()],Table8[Nivel 3],"",0)</f>
        <v/>
      </c>
      <c r="U1924">
        <v>726</v>
      </c>
      <c r="V1924" t="str">
        <f>_xlfn.XLOOKUP(Table3[[#This Row],[Cuenta]],Estructura_Balance[Nombre Cuenta ()],Estructura_Balance[Niveles:2],"",0)</f>
        <v/>
      </c>
      <c r="W1924" t="str">
        <f>_xlfn.XLOOKUP(Table3[[#This Row],[Cuenta]],Estructura_Balance[Nombre Cuenta ()],Estructura_Balance[Niveles:3],"",0)</f>
        <v/>
      </c>
      <c r="X1924" t="str">
        <f>_xlfn.XLOOKUP(Table3[[#This Row],[Cuenta]],Estructura_Balance[Nombre Cuenta ()],Estructura_Balance[Grupos],"Grupo 1",0)</f>
        <v>Grupo 1</v>
      </c>
      <c r="Y1924" t="str">
        <f>+Table3[[#This Row],[BS_Nivel_1]]</f>
        <v/>
      </c>
    </row>
    <row r="1925" spans="1:25" ht="15" customHeight="1">
      <c r="A1925">
        <f>+'Libro Diario'!F536</f>
        <v>63</v>
      </c>
      <c r="B1925" s="144">
        <f>VALUE(IF(+'Libro Diario'!G536="","01/01/2025",+'Libro Diario'!G536))</f>
        <v>46022</v>
      </c>
      <c r="C1925">
        <f>IF(ISNUMBER(+IF(IFERROR(VALUE(MID('Libro Diario'!C536,1,4)),0)&lt;&gt;0,'Libro Diario'!C536,0))=FALSE,'Libro Diario'!C536,0)</f>
        <v>0</v>
      </c>
      <c r="D1925" s="145">
        <f>+'Libro Diario'!B536</f>
        <v>0</v>
      </c>
      <c r="E1925" s="139" t="s">
        <v>445</v>
      </c>
      <c r="F1925" t="str">
        <f t="shared" si="90"/>
        <v>Sin Mov.</v>
      </c>
      <c r="G1925" t="str">
        <f>IF(+'Libro Diario'!H536=0,"",+'Libro Diario'!H536)</f>
        <v>Determinación de Resultado Contable</v>
      </c>
      <c r="H1925" t="str">
        <f>IF(+'Libro Diario'!I536=0,"",+'Libro Diario'!I536)</f>
        <v/>
      </c>
      <c r="I1925" t="str">
        <f>+IF(Table3[[#This Row],[Tipo Movimiento]]="Estructura Balance y PyG","Excluir","Incluir")</f>
        <v>Incluir</v>
      </c>
      <c r="J1925" s="153">
        <f>+IF(Table3[[#This Row],[Sin cuenta]]="Con Mov.",(IF(Table3[[#This Row],[Movimiento]]="Debe",Table3[[#This Row],[Importe]],IF(Table3[[#This Row],[Movimiento]]="Haber",Table3[[#This Row],[Importe]]*-1,0))),0)</f>
        <v>0</v>
      </c>
      <c r="K1925" s="145">
        <f t="shared" si="91"/>
        <v>0</v>
      </c>
      <c r="L1925" s="145" t="str">
        <f t="shared" si="92"/>
        <v/>
      </c>
      <c r="M1925" t="str">
        <f>_xlfn.XLOOKUP(Table3[[#This Row],[Cuenta]],Estructura_Balance[Nombre Cuenta ()],Estructura_Balance[Grupo],"",0)</f>
        <v/>
      </c>
      <c r="N1925" t="str">
        <f>_xlfn.XLOOKUP(Table3[[#This Row],[Cuenta]],Estructura_Balance[Nombre Cuenta ()],Estructura_Balance[Nivel 1],"",0)</f>
        <v/>
      </c>
      <c r="O1925" t="str">
        <f>_xlfn.XLOOKUP(Table3[[#This Row],[Cuenta]],Estructura_Balance[Nombre Cuenta ()],Estructura_Balance[Nivel 2],"",0)</f>
        <v/>
      </c>
      <c r="P1925" t="str">
        <f>_xlfn.XLOOKUP(Table3[[#This Row],[Cuenta]],Estructura_Balance[Nombre Cuenta ()],Estructura_Balance[Nivel 3],"",0)</f>
        <v/>
      </c>
      <c r="Q1925" t="str">
        <f>_xlfn.XLOOKUP(Table3[[#This Row],[Cuenta]],Estructura_Balance[Nombre Cuenta ()],Estructura_Balance[Nivel 4],"",0)</f>
        <v/>
      </c>
      <c r="R1925" s="154" t="str">
        <f>_xlfn.XLOOKUP(Table3[[#This Row],[Cuenta]],Table8[Nombre Cuenta ()],Table8[Nivel 1],"",0)</f>
        <v/>
      </c>
      <c r="S1925" t="str">
        <f>_xlfn.XLOOKUP(Table3[[#This Row],[Cuenta]],Table8[Nombre Cuenta ()],Table8[Nivel 2],"",0)</f>
        <v/>
      </c>
      <c r="T1925" t="str">
        <f>_xlfn.XLOOKUP(Table3[[#This Row],[Cuenta]],Table8[Nombre Cuenta ()],Table8[Nivel 3],"",0)</f>
        <v/>
      </c>
      <c r="U1925">
        <v>727</v>
      </c>
      <c r="V1925" t="str">
        <f>_xlfn.XLOOKUP(Table3[[#This Row],[Cuenta]],Estructura_Balance[Nombre Cuenta ()],Estructura_Balance[Niveles:2],"",0)</f>
        <v/>
      </c>
      <c r="W1925" t="str">
        <f>_xlfn.XLOOKUP(Table3[[#This Row],[Cuenta]],Estructura_Balance[Nombre Cuenta ()],Estructura_Balance[Niveles:3],"",0)</f>
        <v/>
      </c>
      <c r="X1925" t="str">
        <f>_xlfn.XLOOKUP(Table3[[#This Row],[Cuenta]],Estructura_Balance[Nombre Cuenta ()],Estructura_Balance[Grupos],"Grupo 1",0)</f>
        <v>Grupo 1</v>
      </c>
      <c r="Y1925" t="str">
        <f>+Table3[[#This Row],[BS_Nivel_1]]</f>
        <v/>
      </c>
    </row>
    <row r="1926" spans="1:25" ht="15" customHeight="1">
      <c r="A1926">
        <f>+'Libro Diario'!F537</f>
        <v>63</v>
      </c>
      <c r="B1926" s="144">
        <f>VALUE(IF(+'Libro Diario'!G537="","01/01/2025",+'Libro Diario'!G537))</f>
        <v>46022</v>
      </c>
      <c r="C1926">
        <f>IF(ISNUMBER(+IF(IFERROR(VALUE(MID('Libro Diario'!C537,1,4)),0)&lt;&gt;0,'Libro Diario'!C537,0))=FALSE,'Libro Diario'!C537,0)</f>
        <v>0</v>
      </c>
      <c r="D1926" s="145">
        <f>+'Libro Diario'!B537</f>
        <v>0</v>
      </c>
      <c r="E1926" s="139" t="s">
        <v>445</v>
      </c>
      <c r="F1926" t="str">
        <f t="shared" si="90"/>
        <v>Sin Mov.</v>
      </c>
      <c r="G1926" t="str">
        <f>IF(+'Libro Diario'!H537=0,"",+'Libro Diario'!H537)</f>
        <v>Determinación de Resultado Contable</v>
      </c>
      <c r="H1926" t="str">
        <f>IF(+'Libro Diario'!I537=0,"",+'Libro Diario'!I537)</f>
        <v/>
      </c>
      <c r="I1926" t="str">
        <f>+IF(Table3[[#This Row],[Tipo Movimiento]]="Estructura Balance y PyG","Excluir","Incluir")</f>
        <v>Incluir</v>
      </c>
      <c r="J1926" s="153">
        <f>+IF(Table3[[#This Row],[Sin cuenta]]="Con Mov.",(IF(Table3[[#This Row],[Movimiento]]="Debe",Table3[[#This Row],[Importe]],IF(Table3[[#This Row],[Movimiento]]="Haber",Table3[[#This Row],[Importe]]*-1,0))),0)</f>
        <v>0</v>
      </c>
      <c r="K1926" s="145">
        <f t="shared" si="91"/>
        <v>0</v>
      </c>
      <c r="L1926" s="145" t="str">
        <f t="shared" si="92"/>
        <v/>
      </c>
      <c r="M1926" t="str">
        <f>_xlfn.XLOOKUP(Table3[[#This Row],[Cuenta]],Estructura_Balance[Nombre Cuenta ()],Estructura_Balance[Grupo],"",0)</f>
        <v/>
      </c>
      <c r="N1926" t="str">
        <f>_xlfn.XLOOKUP(Table3[[#This Row],[Cuenta]],Estructura_Balance[Nombre Cuenta ()],Estructura_Balance[Nivel 1],"",0)</f>
        <v/>
      </c>
      <c r="O1926" t="str">
        <f>_xlfn.XLOOKUP(Table3[[#This Row],[Cuenta]],Estructura_Balance[Nombre Cuenta ()],Estructura_Balance[Nivel 2],"",0)</f>
        <v/>
      </c>
      <c r="P1926" t="str">
        <f>_xlfn.XLOOKUP(Table3[[#This Row],[Cuenta]],Estructura_Balance[Nombre Cuenta ()],Estructura_Balance[Nivel 3],"",0)</f>
        <v/>
      </c>
      <c r="Q1926" t="str">
        <f>_xlfn.XLOOKUP(Table3[[#This Row],[Cuenta]],Estructura_Balance[Nombre Cuenta ()],Estructura_Balance[Nivel 4],"",0)</f>
        <v/>
      </c>
      <c r="R1926" t="str">
        <f>_xlfn.XLOOKUP(Table3[[#This Row],[Cuenta]],Table8[Nombre Cuenta ()],Table8[Nivel 1],"",0)</f>
        <v/>
      </c>
      <c r="S1926" t="str">
        <f>_xlfn.XLOOKUP(Table3[[#This Row],[Cuenta]],Table8[Nombre Cuenta ()],Table8[Nivel 2],"",0)</f>
        <v/>
      </c>
      <c r="T1926" t="str">
        <f>_xlfn.XLOOKUP(Table3[[#This Row],[Cuenta]],Table8[Nombre Cuenta ()],Table8[Nivel 3],"",0)</f>
        <v/>
      </c>
      <c r="U1926">
        <v>728</v>
      </c>
      <c r="V1926" t="str">
        <f>_xlfn.XLOOKUP(Table3[[#This Row],[Cuenta]],Estructura_Balance[Nombre Cuenta ()],Estructura_Balance[Niveles:2],"",0)</f>
        <v/>
      </c>
      <c r="W1926" t="str">
        <f>_xlfn.XLOOKUP(Table3[[#This Row],[Cuenta]],Estructura_Balance[Nombre Cuenta ()],Estructura_Balance[Niveles:3],"",0)</f>
        <v/>
      </c>
      <c r="X1926" t="str">
        <f>_xlfn.XLOOKUP(Table3[[#This Row],[Cuenta]],Estructura_Balance[Nombre Cuenta ()],Estructura_Balance[Grupos],"Grupo 1",0)</f>
        <v>Grupo 1</v>
      </c>
      <c r="Y1926" t="str">
        <f>+Table3[[#This Row],[BS_Nivel_1]]</f>
        <v/>
      </c>
    </row>
    <row r="1927" spans="1:25" ht="15" customHeight="1">
      <c r="A1927">
        <f>+'Libro Diario'!F538</f>
        <v>63</v>
      </c>
      <c r="B1927" s="144">
        <f>VALUE(IF(+'Libro Diario'!G538="","01/01/2025",+'Libro Diario'!G538))</f>
        <v>46022</v>
      </c>
      <c r="C1927">
        <f>IF(ISNUMBER(+IF(IFERROR(VALUE(MID('Libro Diario'!C538,1,4)),0)&lt;&gt;0,'Libro Diario'!C538,0))=FALSE,'Libro Diario'!C538,0)</f>
        <v>0</v>
      </c>
      <c r="D1927" s="145">
        <f>+'Libro Diario'!B538</f>
        <v>0</v>
      </c>
      <c r="E1927" s="139" t="s">
        <v>445</v>
      </c>
      <c r="F1927" t="str">
        <f t="shared" si="90"/>
        <v>Sin Mov.</v>
      </c>
      <c r="G1927" t="str">
        <f>IF(+'Libro Diario'!H538=0,"",+'Libro Diario'!H538)</f>
        <v>Determinación de Resultado Contable</v>
      </c>
      <c r="H1927" t="str">
        <f>IF(+'Libro Diario'!I538=0,"",+'Libro Diario'!I538)</f>
        <v/>
      </c>
      <c r="I1927" t="str">
        <f>+IF(Table3[[#This Row],[Tipo Movimiento]]="Estructura Balance y PyG","Excluir","Incluir")</f>
        <v>Incluir</v>
      </c>
      <c r="J1927" s="153">
        <f>+IF(Table3[[#This Row],[Sin cuenta]]="Con Mov.",(IF(Table3[[#This Row],[Movimiento]]="Debe",Table3[[#This Row],[Importe]],IF(Table3[[#This Row],[Movimiento]]="Haber",Table3[[#This Row],[Importe]]*-1,0))),0)</f>
        <v>0</v>
      </c>
      <c r="K1927" s="145">
        <f t="shared" si="91"/>
        <v>0</v>
      </c>
      <c r="L1927" s="145" t="str">
        <f t="shared" si="92"/>
        <v/>
      </c>
      <c r="M1927" t="str">
        <f>_xlfn.XLOOKUP(Table3[[#This Row],[Cuenta]],Estructura_Balance[Nombre Cuenta ()],Estructura_Balance[Grupo],"",0)</f>
        <v/>
      </c>
      <c r="N1927" t="str">
        <f>_xlfn.XLOOKUP(Table3[[#This Row],[Cuenta]],Estructura_Balance[Nombre Cuenta ()],Estructura_Balance[Nivel 1],"",0)</f>
        <v/>
      </c>
      <c r="O1927" t="str">
        <f>_xlfn.XLOOKUP(Table3[[#This Row],[Cuenta]],Estructura_Balance[Nombre Cuenta ()],Estructura_Balance[Nivel 2],"",0)</f>
        <v/>
      </c>
      <c r="P1927" t="str">
        <f>_xlfn.XLOOKUP(Table3[[#This Row],[Cuenta]],Estructura_Balance[Nombre Cuenta ()],Estructura_Balance[Nivel 3],"",0)</f>
        <v/>
      </c>
      <c r="Q1927" t="str">
        <f>_xlfn.XLOOKUP(Table3[[#This Row],[Cuenta]],Estructura_Balance[Nombre Cuenta ()],Estructura_Balance[Nivel 4],"",0)</f>
        <v/>
      </c>
      <c r="R1927" s="154" t="str">
        <f>_xlfn.XLOOKUP(Table3[[#This Row],[Cuenta]],Table8[Nombre Cuenta ()],Table8[Nivel 1],"",0)</f>
        <v/>
      </c>
      <c r="S1927" t="str">
        <f>_xlfn.XLOOKUP(Table3[[#This Row],[Cuenta]],Table8[Nombre Cuenta ()],Table8[Nivel 2],"",0)</f>
        <v/>
      </c>
      <c r="T1927" t="str">
        <f>_xlfn.XLOOKUP(Table3[[#This Row],[Cuenta]],Table8[Nombre Cuenta ()],Table8[Nivel 3],"",0)</f>
        <v/>
      </c>
      <c r="U1927">
        <v>729</v>
      </c>
      <c r="V1927" t="str">
        <f>_xlfn.XLOOKUP(Table3[[#This Row],[Cuenta]],Estructura_Balance[Nombre Cuenta ()],Estructura_Balance[Niveles:2],"",0)</f>
        <v/>
      </c>
      <c r="W1927" t="str">
        <f>_xlfn.XLOOKUP(Table3[[#This Row],[Cuenta]],Estructura_Balance[Nombre Cuenta ()],Estructura_Balance[Niveles:3],"",0)</f>
        <v/>
      </c>
      <c r="X1927" t="str">
        <f>_xlfn.XLOOKUP(Table3[[#This Row],[Cuenta]],Estructura_Balance[Nombre Cuenta ()],Estructura_Balance[Grupos],"Grupo 1",0)</f>
        <v>Grupo 1</v>
      </c>
      <c r="Y1927" t="str">
        <f>+Table3[[#This Row],[BS_Nivel_1]]</f>
        <v/>
      </c>
    </row>
    <row r="1928" spans="1:25" ht="15" customHeight="1">
      <c r="A1928">
        <f>+'Libro Diario'!F539</f>
        <v>63</v>
      </c>
      <c r="B1928" s="144">
        <f>VALUE(IF(+'Libro Diario'!G539="","01/01/2025",+'Libro Diario'!G539))</f>
        <v>46022</v>
      </c>
      <c r="C1928">
        <f>IF(ISNUMBER(+IF(IFERROR(VALUE(MID('Libro Diario'!C539,1,4)),0)&lt;&gt;0,'Libro Diario'!C539,0))=FALSE,'Libro Diario'!C539,0)</f>
        <v>0</v>
      </c>
      <c r="D1928" s="145">
        <f>+'Libro Diario'!B539</f>
        <v>0</v>
      </c>
      <c r="E1928" s="139" t="s">
        <v>445</v>
      </c>
      <c r="F1928" t="str">
        <f t="shared" si="90"/>
        <v>Sin Mov.</v>
      </c>
      <c r="G1928" t="str">
        <f>IF(+'Libro Diario'!H539=0,"",+'Libro Diario'!H539)</f>
        <v>Determinación de Resultado Contable</v>
      </c>
      <c r="H1928" t="str">
        <f>IF(+'Libro Diario'!I539=0,"",+'Libro Diario'!I539)</f>
        <v/>
      </c>
      <c r="I1928" t="str">
        <f>+IF(Table3[[#This Row],[Tipo Movimiento]]="Estructura Balance y PyG","Excluir","Incluir")</f>
        <v>Incluir</v>
      </c>
      <c r="J1928" s="153">
        <f>+IF(Table3[[#This Row],[Sin cuenta]]="Con Mov.",(IF(Table3[[#This Row],[Movimiento]]="Debe",Table3[[#This Row],[Importe]],IF(Table3[[#This Row],[Movimiento]]="Haber",Table3[[#This Row],[Importe]]*-1,0))),0)</f>
        <v>0</v>
      </c>
      <c r="K1928" s="145">
        <f t="shared" si="91"/>
        <v>0</v>
      </c>
      <c r="L1928" s="145" t="str">
        <f t="shared" si="92"/>
        <v/>
      </c>
      <c r="M1928" t="str">
        <f>_xlfn.XLOOKUP(Table3[[#This Row],[Cuenta]],Estructura_Balance[Nombre Cuenta ()],Estructura_Balance[Grupo],"",0)</f>
        <v/>
      </c>
      <c r="N1928" t="str">
        <f>_xlfn.XLOOKUP(Table3[[#This Row],[Cuenta]],Estructura_Balance[Nombre Cuenta ()],Estructura_Balance[Nivel 1],"",0)</f>
        <v/>
      </c>
      <c r="O1928" t="str">
        <f>_xlfn.XLOOKUP(Table3[[#This Row],[Cuenta]],Estructura_Balance[Nombre Cuenta ()],Estructura_Balance[Nivel 2],"",0)</f>
        <v/>
      </c>
      <c r="P1928" t="str">
        <f>_xlfn.XLOOKUP(Table3[[#This Row],[Cuenta]],Estructura_Balance[Nombre Cuenta ()],Estructura_Balance[Nivel 3],"",0)</f>
        <v/>
      </c>
      <c r="Q1928" t="str">
        <f>_xlfn.XLOOKUP(Table3[[#This Row],[Cuenta]],Estructura_Balance[Nombre Cuenta ()],Estructura_Balance[Nivel 4],"",0)</f>
        <v/>
      </c>
      <c r="R1928" t="str">
        <f>_xlfn.XLOOKUP(Table3[[#This Row],[Cuenta]],Table8[Nombre Cuenta ()],Table8[Nivel 1],"",0)</f>
        <v/>
      </c>
      <c r="S1928" t="str">
        <f>_xlfn.XLOOKUP(Table3[[#This Row],[Cuenta]],Table8[Nombre Cuenta ()],Table8[Nivel 2],"",0)</f>
        <v/>
      </c>
      <c r="T1928" t="str">
        <f>_xlfn.XLOOKUP(Table3[[#This Row],[Cuenta]],Table8[Nombre Cuenta ()],Table8[Nivel 3],"",0)</f>
        <v/>
      </c>
      <c r="U1928">
        <v>730</v>
      </c>
      <c r="V1928" t="str">
        <f>_xlfn.XLOOKUP(Table3[[#This Row],[Cuenta]],Estructura_Balance[Nombre Cuenta ()],Estructura_Balance[Niveles:2],"",0)</f>
        <v/>
      </c>
      <c r="W1928" t="str">
        <f>_xlfn.XLOOKUP(Table3[[#This Row],[Cuenta]],Estructura_Balance[Nombre Cuenta ()],Estructura_Balance[Niveles:3],"",0)</f>
        <v/>
      </c>
      <c r="X1928" t="str">
        <f>_xlfn.XLOOKUP(Table3[[#This Row],[Cuenta]],Estructura_Balance[Nombre Cuenta ()],Estructura_Balance[Grupos],"Grupo 1",0)</f>
        <v>Grupo 1</v>
      </c>
      <c r="Y1928" t="str">
        <f>+Table3[[#This Row],[BS_Nivel_1]]</f>
        <v/>
      </c>
    </row>
    <row r="1929" spans="1:25" ht="15" customHeight="1">
      <c r="A1929">
        <f>+'Libro Diario'!F540</f>
        <v>63</v>
      </c>
      <c r="B1929" s="144">
        <f>VALUE(IF(+'Libro Diario'!G540="","01/01/2025",+'Libro Diario'!G540))</f>
        <v>46022</v>
      </c>
      <c r="C1929">
        <f>IF(ISNUMBER(+IF(IFERROR(VALUE(MID('Libro Diario'!C540,1,4)),0)&lt;&gt;0,'Libro Diario'!C540,0))=FALSE,'Libro Diario'!C540,0)</f>
        <v>0</v>
      </c>
      <c r="D1929" s="145">
        <f>+'Libro Diario'!B540</f>
        <v>0</v>
      </c>
      <c r="E1929" s="139" t="s">
        <v>445</v>
      </c>
      <c r="F1929" t="str">
        <f t="shared" si="90"/>
        <v>Sin Mov.</v>
      </c>
      <c r="G1929" t="str">
        <f>IF(+'Libro Diario'!H540=0,"",+'Libro Diario'!H540)</f>
        <v>Determinación de Resultado Contable</v>
      </c>
      <c r="H1929" t="str">
        <f>IF(+'Libro Diario'!I540=0,"",+'Libro Diario'!I540)</f>
        <v/>
      </c>
      <c r="I1929" t="str">
        <f>+IF(Table3[[#This Row],[Tipo Movimiento]]="Estructura Balance y PyG","Excluir","Incluir")</f>
        <v>Incluir</v>
      </c>
      <c r="J1929" s="153">
        <f>+IF(Table3[[#This Row],[Sin cuenta]]="Con Mov.",(IF(Table3[[#This Row],[Movimiento]]="Debe",Table3[[#This Row],[Importe]],IF(Table3[[#This Row],[Movimiento]]="Haber",Table3[[#This Row],[Importe]]*-1,0))),0)</f>
        <v>0</v>
      </c>
      <c r="K1929" s="145">
        <f t="shared" si="91"/>
        <v>0</v>
      </c>
      <c r="L1929" s="145" t="str">
        <f t="shared" si="92"/>
        <v/>
      </c>
      <c r="M1929" t="str">
        <f>_xlfn.XLOOKUP(Table3[[#This Row],[Cuenta]],Estructura_Balance[Nombre Cuenta ()],Estructura_Balance[Grupo],"",0)</f>
        <v/>
      </c>
      <c r="N1929" t="str">
        <f>_xlfn.XLOOKUP(Table3[[#This Row],[Cuenta]],Estructura_Balance[Nombre Cuenta ()],Estructura_Balance[Nivel 1],"",0)</f>
        <v/>
      </c>
      <c r="O1929" t="str">
        <f>_xlfn.XLOOKUP(Table3[[#This Row],[Cuenta]],Estructura_Balance[Nombre Cuenta ()],Estructura_Balance[Nivel 2],"",0)</f>
        <v/>
      </c>
      <c r="P1929" t="str">
        <f>_xlfn.XLOOKUP(Table3[[#This Row],[Cuenta]],Estructura_Balance[Nombre Cuenta ()],Estructura_Balance[Nivel 3],"",0)</f>
        <v/>
      </c>
      <c r="Q1929" t="str">
        <f>_xlfn.XLOOKUP(Table3[[#This Row],[Cuenta]],Estructura_Balance[Nombre Cuenta ()],Estructura_Balance[Nivel 4],"",0)</f>
        <v/>
      </c>
      <c r="R1929" s="154" t="str">
        <f>_xlfn.XLOOKUP(Table3[[#This Row],[Cuenta]],Table8[Nombre Cuenta ()],Table8[Nivel 1],"",0)</f>
        <v/>
      </c>
      <c r="S1929" t="str">
        <f>_xlfn.XLOOKUP(Table3[[#This Row],[Cuenta]],Table8[Nombre Cuenta ()],Table8[Nivel 2],"",0)</f>
        <v/>
      </c>
      <c r="T1929" t="str">
        <f>_xlfn.XLOOKUP(Table3[[#This Row],[Cuenta]],Table8[Nombre Cuenta ()],Table8[Nivel 3],"",0)</f>
        <v/>
      </c>
      <c r="U1929">
        <v>731</v>
      </c>
      <c r="V1929" t="str">
        <f>_xlfn.XLOOKUP(Table3[[#This Row],[Cuenta]],Estructura_Balance[Nombre Cuenta ()],Estructura_Balance[Niveles:2],"",0)</f>
        <v/>
      </c>
      <c r="W1929" t="str">
        <f>_xlfn.XLOOKUP(Table3[[#This Row],[Cuenta]],Estructura_Balance[Nombre Cuenta ()],Estructura_Balance[Niveles:3],"",0)</f>
        <v/>
      </c>
      <c r="X1929" t="str">
        <f>_xlfn.XLOOKUP(Table3[[#This Row],[Cuenta]],Estructura_Balance[Nombre Cuenta ()],Estructura_Balance[Grupos],"Grupo 1",0)</f>
        <v>Grupo 1</v>
      </c>
      <c r="Y1929" t="str">
        <f>+Table3[[#This Row],[BS_Nivel_1]]</f>
        <v/>
      </c>
    </row>
    <row r="1930" spans="1:25" ht="15" customHeight="1">
      <c r="A1930">
        <f>+'Libro Diario'!F541</f>
        <v>63</v>
      </c>
      <c r="B1930" s="144">
        <f>VALUE(IF(+'Libro Diario'!G541="","01/01/2025",+'Libro Diario'!G541))</f>
        <v>46022</v>
      </c>
      <c r="C1930">
        <f>IF(ISNUMBER(+IF(IFERROR(VALUE(MID('Libro Diario'!C541,1,4)),0)&lt;&gt;0,'Libro Diario'!C541,0))=FALSE,'Libro Diario'!C541,0)</f>
        <v>0</v>
      </c>
      <c r="D1930" s="145">
        <f>+'Libro Diario'!B541</f>
        <v>0</v>
      </c>
      <c r="E1930" s="139" t="s">
        <v>445</v>
      </c>
      <c r="F1930" t="str">
        <f t="shared" si="90"/>
        <v>Sin Mov.</v>
      </c>
      <c r="G1930" t="str">
        <f>IF(+'Libro Diario'!H541=0,"",+'Libro Diario'!H541)</f>
        <v>Determinación de Resultado Contable</v>
      </c>
      <c r="H1930" t="str">
        <f>IF(+'Libro Diario'!I541=0,"",+'Libro Diario'!I541)</f>
        <v/>
      </c>
      <c r="I1930" t="str">
        <f>+IF(Table3[[#This Row],[Tipo Movimiento]]="Estructura Balance y PyG","Excluir","Incluir")</f>
        <v>Incluir</v>
      </c>
      <c r="J1930" s="153">
        <f>+IF(Table3[[#This Row],[Sin cuenta]]="Con Mov.",(IF(Table3[[#This Row],[Movimiento]]="Debe",Table3[[#This Row],[Importe]],IF(Table3[[#This Row],[Movimiento]]="Haber",Table3[[#This Row],[Importe]]*-1,0))),0)</f>
        <v>0</v>
      </c>
      <c r="K1930" s="145">
        <f t="shared" si="91"/>
        <v>0</v>
      </c>
      <c r="L1930" s="145" t="str">
        <f t="shared" si="92"/>
        <v/>
      </c>
      <c r="M1930" t="str">
        <f>_xlfn.XLOOKUP(Table3[[#This Row],[Cuenta]],Estructura_Balance[Nombre Cuenta ()],Estructura_Balance[Grupo],"",0)</f>
        <v/>
      </c>
      <c r="N1930" t="str">
        <f>_xlfn.XLOOKUP(Table3[[#This Row],[Cuenta]],Estructura_Balance[Nombre Cuenta ()],Estructura_Balance[Nivel 1],"",0)</f>
        <v/>
      </c>
      <c r="O1930" t="str">
        <f>_xlfn.XLOOKUP(Table3[[#This Row],[Cuenta]],Estructura_Balance[Nombre Cuenta ()],Estructura_Balance[Nivel 2],"",0)</f>
        <v/>
      </c>
      <c r="P1930" t="str">
        <f>_xlfn.XLOOKUP(Table3[[#This Row],[Cuenta]],Estructura_Balance[Nombre Cuenta ()],Estructura_Balance[Nivel 3],"",0)</f>
        <v/>
      </c>
      <c r="Q1930" t="str">
        <f>_xlfn.XLOOKUP(Table3[[#This Row],[Cuenta]],Estructura_Balance[Nombre Cuenta ()],Estructura_Balance[Nivel 4],"",0)</f>
        <v/>
      </c>
      <c r="R1930" t="str">
        <f>_xlfn.XLOOKUP(Table3[[#This Row],[Cuenta]],Table8[Nombre Cuenta ()],Table8[Nivel 1],"",0)</f>
        <v/>
      </c>
      <c r="S1930" t="str">
        <f>_xlfn.XLOOKUP(Table3[[#This Row],[Cuenta]],Table8[Nombre Cuenta ()],Table8[Nivel 2],"",0)</f>
        <v/>
      </c>
      <c r="T1930" t="str">
        <f>_xlfn.XLOOKUP(Table3[[#This Row],[Cuenta]],Table8[Nombre Cuenta ()],Table8[Nivel 3],"",0)</f>
        <v/>
      </c>
      <c r="U1930">
        <v>732</v>
      </c>
      <c r="V1930" t="str">
        <f>_xlfn.XLOOKUP(Table3[[#This Row],[Cuenta]],Estructura_Balance[Nombre Cuenta ()],Estructura_Balance[Niveles:2],"",0)</f>
        <v/>
      </c>
      <c r="W1930" t="str">
        <f>_xlfn.XLOOKUP(Table3[[#This Row],[Cuenta]],Estructura_Balance[Nombre Cuenta ()],Estructura_Balance[Niveles:3],"",0)</f>
        <v/>
      </c>
      <c r="X1930" t="str">
        <f>_xlfn.XLOOKUP(Table3[[#This Row],[Cuenta]],Estructura_Balance[Nombre Cuenta ()],Estructura_Balance[Grupos],"Grupo 1",0)</f>
        <v>Grupo 1</v>
      </c>
      <c r="Y1930" t="str">
        <f>+Table3[[#This Row],[BS_Nivel_1]]</f>
        <v/>
      </c>
    </row>
    <row r="1931" spans="1:25" ht="15" customHeight="1">
      <c r="A1931">
        <f>+'Libro Diario'!F542</f>
        <v>63</v>
      </c>
      <c r="B1931" s="144">
        <f>VALUE(IF(+'Libro Diario'!G542="","01/01/2025",+'Libro Diario'!G542))</f>
        <v>46022</v>
      </c>
      <c r="C1931">
        <f>IF(ISNUMBER(+IF(IFERROR(VALUE(MID('Libro Diario'!C542,1,4)),0)&lt;&gt;0,'Libro Diario'!C542,0))=FALSE,'Libro Diario'!C542,0)</f>
        <v>0</v>
      </c>
      <c r="D1931" s="145">
        <f>+'Libro Diario'!B542</f>
        <v>0</v>
      </c>
      <c r="E1931" s="139" t="s">
        <v>445</v>
      </c>
      <c r="F1931" t="str">
        <f t="shared" si="90"/>
        <v>Sin Mov.</v>
      </c>
      <c r="G1931" t="str">
        <f>IF(+'Libro Diario'!H542=0,"",+'Libro Diario'!H542)</f>
        <v>Determinación de Resultado Contable</v>
      </c>
      <c r="H1931" t="str">
        <f>IF(+'Libro Diario'!I542=0,"",+'Libro Diario'!I542)</f>
        <v/>
      </c>
      <c r="I1931" t="str">
        <f>+IF(Table3[[#This Row],[Tipo Movimiento]]="Estructura Balance y PyG","Excluir","Incluir")</f>
        <v>Incluir</v>
      </c>
      <c r="J1931" s="153">
        <f>+IF(Table3[[#This Row],[Sin cuenta]]="Con Mov.",(IF(Table3[[#This Row],[Movimiento]]="Debe",Table3[[#This Row],[Importe]],IF(Table3[[#This Row],[Movimiento]]="Haber",Table3[[#This Row],[Importe]]*-1,0))),0)</f>
        <v>0</v>
      </c>
      <c r="K1931" s="145">
        <f t="shared" si="91"/>
        <v>0</v>
      </c>
      <c r="L1931" s="145" t="str">
        <f t="shared" si="92"/>
        <v/>
      </c>
      <c r="M1931" t="str">
        <f>_xlfn.XLOOKUP(Table3[[#This Row],[Cuenta]],Estructura_Balance[Nombre Cuenta ()],Estructura_Balance[Grupo],"",0)</f>
        <v/>
      </c>
      <c r="N1931" t="str">
        <f>_xlfn.XLOOKUP(Table3[[#This Row],[Cuenta]],Estructura_Balance[Nombre Cuenta ()],Estructura_Balance[Nivel 1],"",0)</f>
        <v/>
      </c>
      <c r="O1931" t="str">
        <f>_xlfn.XLOOKUP(Table3[[#This Row],[Cuenta]],Estructura_Balance[Nombre Cuenta ()],Estructura_Balance[Nivel 2],"",0)</f>
        <v/>
      </c>
      <c r="P1931" t="str">
        <f>_xlfn.XLOOKUP(Table3[[#This Row],[Cuenta]],Estructura_Balance[Nombre Cuenta ()],Estructura_Balance[Nivel 3],"",0)</f>
        <v/>
      </c>
      <c r="Q1931" t="str">
        <f>_xlfn.XLOOKUP(Table3[[#This Row],[Cuenta]],Estructura_Balance[Nombre Cuenta ()],Estructura_Balance[Nivel 4],"",0)</f>
        <v/>
      </c>
      <c r="R1931" s="154" t="str">
        <f>_xlfn.XLOOKUP(Table3[[#This Row],[Cuenta]],Table8[Nombre Cuenta ()],Table8[Nivel 1],"",0)</f>
        <v/>
      </c>
      <c r="S1931" t="str">
        <f>_xlfn.XLOOKUP(Table3[[#This Row],[Cuenta]],Table8[Nombre Cuenta ()],Table8[Nivel 2],"",0)</f>
        <v/>
      </c>
      <c r="T1931" t="str">
        <f>_xlfn.XLOOKUP(Table3[[#This Row],[Cuenta]],Table8[Nombre Cuenta ()],Table8[Nivel 3],"",0)</f>
        <v/>
      </c>
      <c r="U1931">
        <v>733</v>
      </c>
      <c r="V1931" t="str">
        <f>_xlfn.XLOOKUP(Table3[[#This Row],[Cuenta]],Estructura_Balance[Nombre Cuenta ()],Estructura_Balance[Niveles:2],"",0)</f>
        <v/>
      </c>
      <c r="W1931" t="str">
        <f>_xlfn.XLOOKUP(Table3[[#This Row],[Cuenta]],Estructura_Balance[Nombre Cuenta ()],Estructura_Balance[Niveles:3],"",0)</f>
        <v/>
      </c>
      <c r="X1931" t="str">
        <f>_xlfn.XLOOKUP(Table3[[#This Row],[Cuenta]],Estructura_Balance[Nombre Cuenta ()],Estructura_Balance[Grupos],"Grupo 1",0)</f>
        <v>Grupo 1</v>
      </c>
      <c r="Y1931" t="str">
        <f>+Table3[[#This Row],[BS_Nivel_1]]</f>
        <v/>
      </c>
    </row>
    <row r="1932" spans="1:25" ht="15" customHeight="1">
      <c r="A1932">
        <f>+'Libro Diario'!F543</f>
        <v>63</v>
      </c>
      <c r="B1932" s="144">
        <f>VALUE(IF(+'Libro Diario'!G543="","01/01/2025",+'Libro Diario'!G543))</f>
        <v>46022</v>
      </c>
      <c r="C1932">
        <f>IF(ISNUMBER(+IF(IFERROR(VALUE(MID('Libro Diario'!C543,1,4)),0)&lt;&gt;0,'Libro Diario'!C543,0))=FALSE,'Libro Diario'!C543,0)</f>
        <v>0</v>
      </c>
      <c r="D1932" s="145">
        <f>+'Libro Diario'!B543</f>
        <v>0</v>
      </c>
      <c r="E1932" s="139" t="s">
        <v>445</v>
      </c>
      <c r="F1932" t="str">
        <f t="shared" si="90"/>
        <v>Sin Mov.</v>
      </c>
      <c r="G1932" t="str">
        <f>IF(+'Libro Diario'!H543=0,"",+'Libro Diario'!H543)</f>
        <v>Determinación de Resultado Contable</v>
      </c>
      <c r="H1932" t="str">
        <f>IF(+'Libro Diario'!I543=0,"",+'Libro Diario'!I543)</f>
        <v/>
      </c>
      <c r="I1932" t="str">
        <f>+IF(Table3[[#This Row],[Tipo Movimiento]]="Estructura Balance y PyG","Excluir","Incluir")</f>
        <v>Incluir</v>
      </c>
      <c r="J1932" s="153">
        <f>+IF(Table3[[#This Row],[Sin cuenta]]="Con Mov.",(IF(Table3[[#This Row],[Movimiento]]="Debe",Table3[[#This Row],[Importe]],IF(Table3[[#This Row],[Movimiento]]="Haber",Table3[[#This Row],[Importe]]*-1,0))),0)</f>
        <v>0</v>
      </c>
      <c r="K1932" s="145">
        <f t="shared" si="91"/>
        <v>0</v>
      </c>
      <c r="L1932" s="145" t="str">
        <f t="shared" si="92"/>
        <v/>
      </c>
      <c r="M1932" t="str">
        <f>_xlfn.XLOOKUP(Table3[[#This Row],[Cuenta]],Estructura_Balance[Nombre Cuenta ()],Estructura_Balance[Grupo],"",0)</f>
        <v/>
      </c>
      <c r="N1932" t="str">
        <f>_xlfn.XLOOKUP(Table3[[#This Row],[Cuenta]],Estructura_Balance[Nombre Cuenta ()],Estructura_Balance[Nivel 1],"",0)</f>
        <v/>
      </c>
      <c r="O1932" t="str">
        <f>_xlfn.XLOOKUP(Table3[[#This Row],[Cuenta]],Estructura_Balance[Nombre Cuenta ()],Estructura_Balance[Nivel 2],"",0)</f>
        <v/>
      </c>
      <c r="P1932" t="str">
        <f>_xlfn.XLOOKUP(Table3[[#This Row],[Cuenta]],Estructura_Balance[Nombre Cuenta ()],Estructura_Balance[Nivel 3],"",0)</f>
        <v/>
      </c>
      <c r="Q1932" t="str">
        <f>_xlfn.XLOOKUP(Table3[[#This Row],[Cuenta]],Estructura_Balance[Nombre Cuenta ()],Estructura_Balance[Nivel 4],"",0)</f>
        <v/>
      </c>
      <c r="R1932" t="str">
        <f>_xlfn.XLOOKUP(Table3[[#This Row],[Cuenta]],Table8[Nombre Cuenta ()],Table8[Nivel 1],"",0)</f>
        <v/>
      </c>
      <c r="S1932" t="str">
        <f>_xlfn.XLOOKUP(Table3[[#This Row],[Cuenta]],Table8[Nombre Cuenta ()],Table8[Nivel 2],"",0)</f>
        <v/>
      </c>
      <c r="T1932" t="str">
        <f>_xlfn.XLOOKUP(Table3[[#This Row],[Cuenta]],Table8[Nombre Cuenta ()],Table8[Nivel 3],"",0)</f>
        <v/>
      </c>
      <c r="U1932">
        <v>734</v>
      </c>
      <c r="V1932" t="str">
        <f>_xlfn.XLOOKUP(Table3[[#This Row],[Cuenta]],Estructura_Balance[Nombre Cuenta ()],Estructura_Balance[Niveles:2],"",0)</f>
        <v/>
      </c>
      <c r="W1932" t="str">
        <f>_xlfn.XLOOKUP(Table3[[#This Row],[Cuenta]],Estructura_Balance[Nombre Cuenta ()],Estructura_Balance[Niveles:3],"",0)</f>
        <v/>
      </c>
      <c r="X1932" t="str">
        <f>_xlfn.XLOOKUP(Table3[[#This Row],[Cuenta]],Estructura_Balance[Nombre Cuenta ()],Estructura_Balance[Grupos],"Grupo 1",0)</f>
        <v>Grupo 1</v>
      </c>
      <c r="Y1932" t="str">
        <f>+Table3[[#This Row],[BS_Nivel_1]]</f>
        <v/>
      </c>
    </row>
    <row r="1933" spans="1:25" ht="15" customHeight="1">
      <c r="A1933">
        <f>+'Libro Diario'!F544</f>
        <v>63</v>
      </c>
      <c r="B1933" s="144">
        <f>VALUE(IF(+'Libro Diario'!G544="","01/01/2025",+'Libro Diario'!G544))</f>
        <v>46022</v>
      </c>
      <c r="C1933">
        <f>IF(ISNUMBER(+IF(IFERROR(VALUE(MID('Libro Diario'!C544,1,4)),0)&lt;&gt;0,'Libro Diario'!C544,0))=FALSE,'Libro Diario'!C544,0)</f>
        <v>0</v>
      </c>
      <c r="D1933" s="145">
        <f>+'Libro Diario'!B544</f>
        <v>0</v>
      </c>
      <c r="E1933" s="139" t="s">
        <v>445</v>
      </c>
      <c r="F1933" t="str">
        <f t="shared" si="90"/>
        <v>Sin Mov.</v>
      </c>
      <c r="G1933" t="str">
        <f>IF(+'Libro Diario'!H544=0,"",+'Libro Diario'!H544)</f>
        <v>Determinación de Resultado Contable</v>
      </c>
      <c r="H1933" t="str">
        <f>IF(+'Libro Diario'!I544=0,"",+'Libro Diario'!I544)</f>
        <v/>
      </c>
      <c r="I1933" t="str">
        <f>+IF(Table3[[#This Row],[Tipo Movimiento]]="Estructura Balance y PyG","Excluir","Incluir")</f>
        <v>Incluir</v>
      </c>
      <c r="J1933" s="153">
        <f>+IF(Table3[[#This Row],[Sin cuenta]]="Con Mov.",(IF(Table3[[#This Row],[Movimiento]]="Debe",Table3[[#This Row],[Importe]],IF(Table3[[#This Row],[Movimiento]]="Haber",Table3[[#This Row],[Importe]]*-1,0))),0)</f>
        <v>0</v>
      </c>
      <c r="K1933" s="145">
        <f t="shared" si="91"/>
        <v>0</v>
      </c>
      <c r="L1933" s="145" t="str">
        <f t="shared" si="92"/>
        <v/>
      </c>
      <c r="M1933" t="str">
        <f>_xlfn.XLOOKUP(Table3[[#This Row],[Cuenta]],Estructura_Balance[Nombre Cuenta ()],Estructura_Balance[Grupo],"",0)</f>
        <v/>
      </c>
      <c r="N1933" t="str">
        <f>_xlfn.XLOOKUP(Table3[[#This Row],[Cuenta]],Estructura_Balance[Nombre Cuenta ()],Estructura_Balance[Nivel 1],"",0)</f>
        <v/>
      </c>
      <c r="O1933" t="str">
        <f>_xlfn.XLOOKUP(Table3[[#This Row],[Cuenta]],Estructura_Balance[Nombre Cuenta ()],Estructura_Balance[Nivel 2],"",0)</f>
        <v/>
      </c>
      <c r="P1933" t="str">
        <f>_xlfn.XLOOKUP(Table3[[#This Row],[Cuenta]],Estructura_Balance[Nombre Cuenta ()],Estructura_Balance[Nivel 3],"",0)</f>
        <v/>
      </c>
      <c r="Q1933" t="str">
        <f>_xlfn.XLOOKUP(Table3[[#This Row],[Cuenta]],Estructura_Balance[Nombre Cuenta ()],Estructura_Balance[Nivel 4],"",0)</f>
        <v/>
      </c>
      <c r="R1933" s="154" t="str">
        <f>_xlfn.XLOOKUP(Table3[[#This Row],[Cuenta]],Table8[Nombre Cuenta ()],Table8[Nivel 1],"",0)</f>
        <v/>
      </c>
      <c r="S1933" t="str">
        <f>_xlfn.XLOOKUP(Table3[[#This Row],[Cuenta]],Table8[Nombre Cuenta ()],Table8[Nivel 2],"",0)</f>
        <v/>
      </c>
      <c r="T1933" t="str">
        <f>_xlfn.XLOOKUP(Table3[[#This Row],[Cuenta]],Table8[Nombre Cuenta ()],Table8[Nivel 3],"",0)</f>
        <v/>
      </c>
      <c r="U1933">
        <v>735</v>
      </c>
      <c r="V1933" t="str">
        <f>_xlfn.XLOOKUP(Table3[[#This Row],[Cuenta]],Estructura_Balance[Nombre Cuenta ()],Estructura_Balance[Niveles:2],"",0)</f>
        <v/>
      </c>
      <c r="W1933" t="str">
        <f>_xlfn.XLOOKUP(Table3[[#This Row],[Cuenta]],Estructura_Balance[Nombre Cuenta ()],Estructura_Balance[Niveles:3],"",0)</f>
        <v/>
      </c>
      <c r="X1933" t="str">
        <f>_xlfn.XLOOKUP(Table3[[#This Row],[Cuenta]],Estructura_Balance[Nombre Cuenta ()],Estructura_Balance[Grupos],"Grupo 1",0)</f>
        <v>Grupo 1</v>
      </c>
      <c r="Y1933" t="str">
        <f>+Table3[[#This Row],[BS_Nivel_1]]</f>
        <v/>
      </c>
    </row>
    <row r="1934" spans="1:25" ht="15" customHeight="1">
      <c r="A1934">
        <f>+'Libro Diario'!F545</f>
        <v>63</v>
      </c>
      <c r="B1934" s="144">
        <f>VALUE(IF(+'Libro Diario'!G545="","01/01/2025",+'Libro Diario'!G545))</f>
        <v>46022</v>
      </c>
      <c r="C1934">
        <f>IF(ISNUMBER(+IF(IFERROR(VALUE(MID('Libro Diario'!C545,1,4)),0)&lt;&gt;0,'Libro Diario'!C545,0))=FALSE,'Libro Diario'!C545,0)</f>
        <v>0</v>
      </c>
      <c r="D1934" s="145">
        <f>+'Libro Diario'!B545</f>
        <v>0</v>
      </c>
      <c r="E1934" s="139" t="s">
        <v>445</v>
      </c>
      <c r="F1934" t="str">
        <f t="shared" si="90"/>
        <v>Sin Mov.</v>
      </c>
      <c r="G1934" t="str">
        <f>IF(+'Libro Diario'!H545=0,"",+'Libro Diario'!H545)</f>
        <v>Determinación de Resultado Contable</v>
      </c>
      <c r="H1934" t="str">
        <f>IF(+'Libro Diario'!I545=0,"",+'Libro Diario'!I545)</f>
        <v/>
      </c>
      <c r="I1934" t="str">
        <f>+IF(Table3[[#This Row],[Tipo Movimiento]]="Estructura Balance y PyG","Excluir","Incluir")</f>
        <v>Incluir</v>
      </c>
      <c r="J1934" s="153">
        <f>+IF(Table3[[#This Row],[Sin cuenta]]="Con Mov.",(IF(Table3[[#This Row],[Movimiento]]="Debe",Table3[[#This Row],[Importe]],IF(Table3[[#This Row],[Movimiento]]="Haber",Table3[[#This Row],[Importe]]*-1,0))),0)</f>
        <v>0</v>
      </c>
      <c r="K1934" s="145">
        <f t="shared" si="91"/>
        <v>0</v>
      </c>
      <c r="L1934" s="145" t="str">
        <f t="shared" si="92"/>
        <v/>
      </c>
      <c r="M1934" t="str">
        <f>_xlfn.XLOOKUP(Table3[[#This Row],[Cuenta]],Estructura_Balance[Nombre Cuenta ()],Estructura_Balance[Grupo],"",0)</f>
        <v/>
      </c>
      <c r="N1934" t="str">
        <f>_xlfn.XLOOKUP(Table3[[#This Row],[Cuenta]],Estructura_Balance[Nombre Cuenta ()],Estructura_Balance[Nivel 1],"",0)</f>
        <v/>
      </c>
      <c r="O1934" t="str">
        <f>_xlfn.XLOOKUP(Table3[[#This Row],[Cuenta]],Estructura_Balance[Nombre Cuenta ()],Estructura_Balance[Nivel 2],"",0)</f>
        <v/>
      </c>
      <c r="P1934" t="str">
        <f>_xlfn.XLOOKUP(Table3[[#This Row],[Cuenta]],Estructura_Balance[Nombre Cuenta ()],Estructura_Balance[Nivel 3],"",0)</f>
        <v/>
      </c>
      <c r="Q1934" t="str">
        <f>_xlfn.XLOOKUP(Table3[[#This Row],[Cuenta]],Estructura_Balance[Nombre Cuenta ()],Estructura_Balance[Nivel 4],"",0)</f>
        <v/>
      </c>
      <c r="R1934" t="str">
        <f>_xlfn.XLOOKUP(Table3[[#This Row],[Cuenta]],Table8[Nombre Cuenta ()],Table8[Nivel 1],"",0)</f>
        <v/>
      </c>
      <c r="S1934" t="str">
        <f>_xlfn.XLOOKUP(Table3[[#This Row],[Cuenta]],Table8[Nombre Cuenta ()],Table8[Nivel 2],"",0)</f>
        <v/>
      </c>
      <c r="T1934" t="str">
        <f>_xlfn.XLOOKUP(Table3[[#This Row],[Cuenta]],Table8[Nombre Cuenta ()],Table8[Nivel 3],"",0)</f>
        <v/>
      </c>
      <c r="U1934">
        <v>736</v>
      </c>
      <c r="V1934" t="str">
        <f>_xlfn.XLOOKUP(Table3[[#This Row],[Cuenta]],Estructura_Balance[Nombre Cuenta ()],Estructura_Balance[Niveles:2],"",0)</f>
        <v/>
      </c>
      <c r="W1934" t="str">
        <f>_xlfn.XLOOKUP(Table3[[#This Row],[Cuenta]],Estructura_Balance[Nombre Cuenta ()],Estructura_Balance[Niveles:3],"",0)</f>
        <v/>
      </c>
      <c r="X1934" t="str">
        <f>_xlfn.XLOOKUP(Table3[[#This Row],[Cuenta]],Estructura_Balance[Nombre Cuenta ()],Estructura_Balance[Grupos],"Grupo 1",0)</f>
        <v>Grupo 1</v>
      </c>
      <c r="Y1934" t="str">
        <f>+Table3[[#This Row],[BS_Nivel_1]]</f>
        <v/>
      </c>
    </row>
    <row r="1935" spans="1:25" ht="15" customHeight="1">
      <c r="A1935">
        <f>+'Libro Diario'!F534</f>
        <v>63</v>
      </c>
      <c r="B1935" s="144">
        <f>VALUE(IF(+'Libro Diario'!G534="","01/01/2025",+'Libro Diario'!G534))</f>
        <v>46022</v>
      </c>
      <c r="C1935">
        <f>IF(ISNUMBER(+IF(IFERROR(VALUE(MID('Libro Diario'!D534,1,4)),0)&lt;&gt;0,'Libro Diario'!D534,0))=FALSE,'Libro Diario'!D534,0)</f>
        <v>0</v>
      </c>
      <c r="D1935" s="145">
        <f>+'Libro Diario'!E534</f>
        <v>0</v>
      </c>
      <c r="E1935" s="139" t="s">
        <v>446</v>
      </c>
      <c r="F1935" t="str">
        <f t="shared" si="90"/>
        <v>Sin Mov.</v>
      </c>
      <c r="G1935" t="str">
        <f>IF(+'Libro Diario'!H534=0,"",+'Libro Diario'!H534)</f>
        <v>Determinación de Resultado Contable</v>
      </c>
      <c r="H1935" t="str">
        <f>IF(+'Libro Diario'!I534=0,"",+'Libro Diario'!I534)</f>
        <v/>
      </c>
      <c r="I1935" t="str">
        <f>+IF(Table3[[#This Row],[Tipo Movimiento]]="Estructura Balance y PyG","Excluir","Incluir")</f>
        <v>Incluir</v>
      </c>
      <c r="J1935" s="153">
        <f>+IF(Table3[[#This Row],[Sin cuenta]]="Con Mov.",(IF(Table3[[#This Row],[Movimiento]]="Debe",Table3[[#This Row],[Importe]],IF(Table3[[#This Row],[Movimiento]]="Haber",Table3[[#This Row],[Importe]]*-1,0))),0)</f>
        <v>0</v>
      </c>
      <c r="K1935" s="145" t="str">
        <f t="shared" si="91"/>
        <v/>
      </c>
      <c r="L1935" s="145">
        <f t="shared" si="92"/>
        <v>0</v>
      </c>
      <c r="M1935" t="str">
        <f>_xlfn.XLOOKUP(Table3[[#This Row],[Cuenta]],Estructura_Balance[Nombre Cuenta ()],Estructura_Balance[Grupo],"",0)</f>
        <v/>
      </c>
      <c r="N1935" t="str">
        <f>_xlfn.XLOOKUP(Table3[[#This Row],[Cuenta]],Estructura_Balance[Nombre Cuenta ()],Estructura_Balance[Nivel 1],"",0)</f>
        <v/>
      </c>
      <c r="O1935" t="str">
        <f>_xlfn.XLOOKUP(Table3[[#This Row],[Cuenta]],Estructura_Balance[Nombre Cuenta ()],Estructura_Balance[Nivel 2],"",0)</f>
        <v/>
      </c>
      <c r="P1935" t="str">
        <f>_xlfn.XLOOKUP(Table3[[#This Row],[Cuenta]],Estructura_Balance[Nombre Cuenta ()],Estructura_Balance[Nivel 3],"",0)</f>
        <v/>
      </c>
      <c r="Q1935" t="str">
        <f>_xlfn.XLOOKUP(Table3[[#This Row],[Cuenta]],Estructura_Balance[Nombre Cuenta ()],Estructura_Balance[Nivel 4],"",0)</f>
        <v/>
      </c>
      <c r="R1935" t="str">
        <f>_xlfn.XLOOKUP(Table3[[#This Row],[Cuenta]],Table8[Nombre Cuenta ()],Table8[Nivel 1],"",0)</f>
        <v/>
      </c>
      <c r="S1935" t="str">
        <f>_xlfn.XLOOKUP(Table3[[#This Row],[Cuenta]],Table8[Nombre Cuenta ()],Table8[Nivel 2],"",0)</f>
        <v/>
      </c>
      <c r="T1935" t="str">
        <f>_xlfn.XLOOKUP(Table3[[#This Row],[Cuenta]],Table8[Nombre Cuenta ()],Table8[Nivel 3],"",0)</f>
        <v/>
      </c>
      <c r="U1935">
        <v>1927</v>
      </c>
      <c r="V1935" t="str">
        <f>_xlfn.XLOOKUP(Table3[[#This Row],[Cuenta]],Estructura_Balance[Nombre Cuenta ()],Estructura_Balance[Niveles:2],"",0)</f>
        <v/>
      </c>
      <c r="W1935" t="str">
        <f>_xlfn.XLOOKUP(Table3[[#This Row],[Cuenta]],Estructura_Balance[Nombre Cuenta ()],Estructura_Balance[Niveles:3],"",0)</f>
        <v/>
      </c>
      <c r="X1935" t="str">
        <f>_xlfn.XLOOKUP(Table3[[#This Row],[Cuenta]],Estructura_Balance[Nombre Cuenta ()],Estructura_Balance[Grupos],"Grupo 1",0)</f>
        <v>Grupo 1</v>
      </c>
      <c r="Y1935" t="str">
        <f>+Table3[[#This Row],[BS_Nivel_1]]</f>
        <v/>
      </c>
    </row>
    <row r="1936" spans="1:25" ht="15" customHeight="1">
      <c r="A1936">
        <f>+'Libro Diario'!F535</f>
        <v>63</v>
      </c>
      <c r="B1936" s="144">
        <f>VALUE(IF(+'Libro Diario'!G535="","01/01/2025",+'Libro Diario'!G535))</f>
        <v>46022</v>
      </c>
      <c r="C1936">
        <f>IF(ISNUMBER(+IF(IFERROR(VALUE(MID('Libro Diario'!D535,1,4)),0)&lt;&gt;0,'Libro Diario'!D535,0))=FALSE,'Libro Diario'!D535,0)</f>
        <v>0</v>
      </c>
      <c r="D1936" s="145">
        <f>+'Libro Diario'!E535</f>
        <v>0</v>
      </c>
      <c r="E1936" s="139" t="s">
        <v>446</v>
      </c>
      <c r="F1936" t="str">
        <f t="shared" si="90"/>
        <v>Sin Mov.</v>
      </c>
      <c r="G1936" t="str">
        <f>IF(+'Libro Diario'!H535=0,"",+'Libro Diario'!H535)</f>
        <v>Determinación de Resultado Contable</v>
      </c>
      <c r="H1936" t="str">
        <f>IF(+'Libro Diario'!I535=0,"",+'Libro Diario'!I535)</f>
        <v/>
      </c>
      <c r="I1936" t="str">
        <f>+IF(Table3[[#This Row],[Tipo Movimiento]]="Estructura Balance y PyG","Excluir","Incluir")</f>
        <v>Incluir</v>
      </c>
      <c r="J1936" s="153">
        <f>+IF(Table3[[#This Row],[Sin cuenta]]="Con Mov.",(IF(Table3[[#This Row],[Movimiento]]="Debe",Table3[[#This Row],[Importe]],IF(Table3[[#This Row],[Movimiento]]="Haber",Table3[[#This Row],[Importe]]*-1,0))),0)</f>
        <v>0</v>
      </c>
      <c r="K1936" s="145" t="str">
        <f t="shared" si="91"/>
        <v/>
      </c>
      <c r="L1936" s="145">
        <f t="shared" si="92"/>
        <v>0</v>
      </c>
      <c r="M1936" t="str">
        <f>_xlfn.XLOOKUP(Table3[[#This Row],[Cuenta]],Estructura_Balance[Nombre Cuenta ()],Estructura_Balance[Grupo],"",0)</f>
        <v/>
      </c>
      <c r="N1936" t="str">
        <f>_xlfn.XLOOKUP(Table3[[#This Row],[Cuenta]],Estructura_Balance[Nombre Cuenta ()],Estructura_Balance[Nivel 1],"",0)</f>
        <v/>
      </c>
      <c r="O1936" t="str">
        <f>_xlfn.XLOOKUP(Table3[[#This Row],[Cuenta]],Estructura_Balance[Nombre Cuenta ()],Estructura_Balance[Nivel 2],"",0)</f>
        <v/>
      </c>
      <c r="P1936" t="str">
        <f>_xlfn.XLOOKUP(Table3[[#This Row],[Cuenta]],Estructura_Balance[Nombre Cuenta ()],Estructura_Balance[Nivel 3],"",0)</f>
        <v/>
      </c>
      <c r="Q1936" t="str">
        <f>_xlfn.XLOOKUP(Table3[[#This Row],[Cuenta]],Estructura_Balance[Nombre Cuenta ()],Estructura_Balance[Nivel 4],"",0)</f>
        <v/>
      </c>
      <c r="R1936" t="str">
        <f>_xlfn.XLOOKUP(Table3[[#This Row],[Cuenta]],Table8[Nombre Cuenta ()],Table8[Nivel 1],"",0)</f>
        <v/>
      </c>
      <c r="S1936" t="str">
        <f>_xlfn.XLOOKUP(Table3[[#This Row],[Cuenta]],Table8[Nombre Cuenta ()],Table8[Nivel 2],"",0)</f>
        <v/>
      </c>
      <c r="T1936" t="str">
        <f>_xlfn.XLOOKUP(Table3[[#This Row],[Cuenta]],Table8[Nombre Cuenta ()],Table8[Nivel 3],"",0)</f>
        <v/>
      </c>
      <c r="U1936">
        <v>1928</v>
      </c>
      <c r="V1936" t="str">
        <f>_xlfn.XLOOKUP(Table3[[#This Row],[Cuenta]],Estructura_Balance[Nombre Cuenta ()],Estructura_Balance[Niveles:2],"",0)</f>
        <v/>
      </c>
      <c r="W1936" t="str">
        <f>_xlfn.XLOOKUP(Table3[[#This Row],[Cuenta]],Estructura_Balance[Nombre Cuenta ()],Estructura_Balance[Niveles:3],"",0)</f>
        <v/>
      </c>
      <c r="X1936" t="str">
        <f>_xlfn.XLOOKUP(Table3[[#This Row],[Cuenta]],Estructura_Balance[Nombre Cuenta ()],Estructura_Balance[Grupos],"Grupo 1",0)</f>
        <v>Grupo 1</v>
      </c>
      <c r="Y1936" t="str">
        <f>+Table3[[#This Row],[BS_Nivel_1]]</f>
        <v/>
      </c>
    </row>
    <row r="1937" spans="1:25" ht="15" customHeight="1">
      <c r="A1937">
        <f>+'Libro Diario'!F536</f>
        <v>63</v>
      </c>
      <c r="B1937" s="144">
        <f>VALUE(IF(+'Libro Diario'!G536="","01/01/2025",+'Libro Diario'!G536))</f>
        <v>46022</v>
      </c>
      <c r="C1937">
        <f>IF(ISNUMBER(+IF(IFERROR(VALUE(MID('Libro Diario'!D536,1,4)),0)&lt;&gt;0,'Libro Diario'!D536,0))=FALSE,'Libro Diario'!D536,0)</f>
        <v>0</v>
      </c>
      <c r="D1937" s="145">
        <f>+'Libro Diario'!E536</f>
        <v>0</v>
      </c>
      <c r="E1937" s="139" t="s">
        <v>446</v>
      </c>
      <c r="F1937" t="str">
        <f t="shared" si="90"/>
        <v>Sin Mov.</v>
      </c>
      <c r="G1937" t="str">
        <f>IF(+'Libro Diario'!H536=0,"",+'Libro Diario'!H536)</f>
        <v>Determinación de Resultado Contable</v>
      </c>
      <c r="H1937" t="str">
        <f>IF(+'Libro Diario'!I536=0,"",+'Libro Diario'!I536)</f>
        <v/>
      </c>
      <c r="I1937" t="str">
        <f>+IF(Table3[[#This Row],[Tipo Movimiento]]="Estructura Balance y PyG","Excluir","Incluir")</f>
        <v>Incluir</v>
      </c>
      <c r="J1937" s="153">
        <f>+IF(Table3[[#This Row],[Sin cuenta]]="Con Mov.",(IF(Table3[[#This Row],[Movimiento]]="Debe",Table3[[#This Row],[Importe]],IF(Table3[[#This Row],[Movimiento]]="Haber",Table3[[#This Row],[Importe]]*-1,0))),0)</f>
        <v>0</v>
      </c>
      <c r="K1937" s="145" t="str">
        <f t="shared" si="91"/>
        <v/>
      </c>
      <c r="L1937" s="145">
        <f t="shared" si="92"/>
        <v>0</v>
      </c>
      <c r="M1937" t="str">
        <f>_xlfn.XLOOKUP(Table3[[#This Row],[Cuenta]],Estructura_Balance[Nombre Cuenta ()],Estructura_Balance[Grupo],"",0)</f>
        <v/>
      </c>
      <c r="N1937" t="str">
        <f>_xlfn.XLOOKUP(Table3[[#This Row],[Cuenta]],Estructura_Balance[Nombre Cuenta ()],Estructura_Balance[Nivel 1],"",0)</f>
        <v/>
      </c>
      <c r="O1937" t="str">
        <f>_xlfn.XLOOKUP(Table3[[#This Row],[Cuenta]],Estructura_Balance[Nombre Cuenta ()],Estructura_Balance[Nivel 2],"",0)</f>
        <v/>
      </c>
      <c r="P1937" t="str">
        <f>_xlfn.XLOOKUP(Table3[[#This Row],[Cuenta]],Estructura_Balance[Nombre Cuenta ()],Estructura_Balance[Nivel 3],"",0)</f>
        <v/>
      </c>
      <c r="Q1937" t="str">
        <f>_xlfn.XLOOKUP(Table3[[#This Row],[Cuenta]],Estructura_Balance[Nombre Cuenta ()],Estructura_Balance[Nivel 4],"",0)</f>
        <v/>
      </c>
      <c r="R1937" t="str">
        <f>_xlfn.XLOOKUP(Table3[[#This Row],[Cuenta]],Table8[Nombre Cuenta ()],Table8[Nivel 1],"",0)</f>
        <v/>
      </c>
      <c r="S1937" t="str">
        <f>_xlfn.XLOOKUP(Table3[[#This Row],[Cuenta]],Table8[Nombre Cuenta ()],Table8[Nivel 2],"",0)</f>
        <v/>
      </c>
      <c r="T1937" t="str">
        <f>_xlfn.XLOOKUP(Table3[[#This Row],[Cuenta]],Table8[Nombre Cuenta ()],Table8[Nivel 3],"",0)</f>
        <v/>
      </c>
      <c r="U1937">
        <v>1929</v>
      </c>
      <c r="V1937" t="str">
        <f>_xlfn.XLOOKUP(Table3[[#This Row],[Cuenta]],Estructura_Balance[Nombre Cuenta ()],Estructura_Balance[Niveles:2],"",0)</f>
        <v/>
      </c>
      <c r="W1937" t="str">
        <f>_xlfn.XLOOKUP(Table3[[#This Row],[Cuenta]],Estructura_Balance[Nombre Cuenta ()],Estructura_Balance[Niveles:3],"",0)</f>
        <v/>
      </c>
      <c r="X1937" t="str">
        <f>_xlfn.XLOOKUP(Table3[[#This Row],[Cuenta]],Estructura_Balance[Nombre Cuenta ()],Estructura_Balance[Grupos],"Grupo 1",0)</f>
        <v>Grupo 1</v>
      </c>
      <c r="Y1937" t="str">
        <f>+Table3[[#This Row],[BS_Nivel_1]]</f>
        <v/>
      </c>
    </row>
    <row r="1938" spans="1:25" ht="15" customHeight="1">
      <c r="A1938">
        <f>+'Libro Diario'!F537</f>
        <v>63</v>
      </c>
      <c r="B1938" s="144">
        <f>VALUE(IF(+'Libro Diario'!G537="","01/01/2025",+'Libro Diario'!G537))</f>
        <v>46022</v>
      </c>
      <c r="C1938">
        <f>IF(ISNUMBER(+IF(IFERROR(VALUE(MID('Libro Diario'!D537,1,4)),0)&lt;&gt;0,'Libro Diario'!D537,0))=FALSE,'Libro Diario'!D537,0)</f>
        <v>0</v>
      </c>
      <c r="D1938" s="145">
        <f>+'Libro Diario'!E537</f>
        <v>0</v>
      </c>
      <c r="E1938" s="139" t="s">
        <v>446</v>
      </c>
      <c r="F1938" t="str">
        <f t="shared" si="90"/>
        <v>Sin Mov.</v>
      </c>
      <c r="G1938" t="str">
        <f>IF(+'Libro Diario'!H537=0,"",+'Libro Diario'!H537)</f>
        <v>Determinación de Resultado Contable</v>
      </c>
      <c r="H1938" t="str">
        <f>IF(+'Libro Diario'!I537=0,"",+'Libro Diario'!I537)</f>
        <v/>
      </c>
      <c r="I1938" t="str">
        <f>+IF(Table3[[#This Row],[Tipo Movimiento]]="Estructura Balance y PyG","Excluir","Incluir")</f>
        <v>Incluir</v>
      </c>
      <c r="J1938" s="153">
        <f>+IF(Table3[[#This Row],[Sin cuenta]]="Con Mov.",(IF(Table3[[#This Row],[Movimiento]]="Debe",Table3[[#This Row],[Importe]],IF(Table3[[#This Row],[Movimiento]]="Haber",Table3[[#This Row],[Importe]]*-1,0))),0)</f>
        <v>0</v>
      </c>
      <c r="K1938" s="145" t="str">
        <f t="shared" si="91"/>
        <v/>
      </c>
      <c r="L1938" s="145">
        <f t="shared" si="92"/>
        <v>0</v>
      </c>
      <c r="M1938" t="str">
        <f>_xlfn.XLOOKUP(Table3[[#This Row],[Cuenta]],Estructura_Balance[Nombre Cuenta ()],Estructura_Balance[Grupo],"",0)</f>
        <v/>
      </c>
      <c r="N1938" t="str">
        <f>_xlfn.XLOOKUP(Table3[[#This Row],[Cuenta]],Estructura_Balance[Nombre Cuenta ()],Estructura_Balance[Nivel 1],"",0)</f>
        <v/>
      </c>
      <c r="O1938" t="str">
        <f>_xlfn.XLOOKUP(Table3[[#This Row],[Cuenta]],Estructura_Balance[Nombre Cuenta ()],Estructura_Balance[Nivel 2],"",0)</f>
        <v/>
      </c>
      <c r="P1938" t="str">
        <f>_xlfn.XLOOKUP(Table3[[#This Row],[Cuenta]],Estructura_Balance[Nombre Cuenta ()],Estructura_Balance[Nivel 3],"",0)</f>
        <v/>
      </c>
      <c r="Q1938" t="str">
        <f>_xlfn.XLOOKUP(Table3[[#This Row],[Cuenta]],Estructura_Balance[Nombre Cuenta ()],Estructura_Balance[Nivel 4],"",0)</f>
        <v/>
      </c>
      <c r="R1938" t="str">
        <f>_xlfn.XLOOKUP(Table3[[#This Row],[Cuenta]],Table8[Nombre Cuenta ()],Table8[Nivel 1],"",0)</f>
        <v/>
      </c>
      <c r="S1938" t="str">
        <f>_xlfn.XLOOKUP(Table3[[#This Row],[Cuenta]],Table8[Nombre Cuenta ()],Table8[Nivel 2],"",0)</f>
        <v/>
      </c>
      <c r="T1938" t="str">
        <f>_xlfn.XLOOKUP(Table3[[#This Row],[Cuenta]],Table8[Nombre Cuenta ()],Table8[Nivel 3],"",0)</f>
        <v/>
      </c>
      <c r="U1938">
        <v>1930</v>
      </c>
      <c r="V1938" t="str">
        <f>_xlfn.XLOOKUP(Table3[[#This Row],[Cuenta]],Estructura_Balance[Nombre Cuenta ()],Estructura_Balance[Niveles:2],"",0)</f>
        <v/>
      </c>
      <c r="W1938" t="str">
        <f>_xlfn.XLOOKUP(Table3[[#This Row],[Cuenta]],Estructura_Balance[Nombre Cuenta ()],Estructura_Balance[Niveles:3],"",0)</f>
        <v/>
      </c>
      <c r="X1938" t="str">
        <f>_xlfn.XLOOKUP(Table3[[#This Row],[Cuenta]],Estructura_Balance[Nombre Cuenta ()],Estructura_Balance[Grupos],"Grupo 1",0)</f>
        <v>Grupo 1</v>
      </c>
      <c r="Y1938" t="str">
        <f>+Table3[[#This Row],[BS_Nivel_1]]</f>
        <v/>
      </c>
    </row>
    <row r="1939" spans="1:25" ht="15" customHeight="1">
      <c r="A1939">
        <f>+'Libro Diario'!F538</f>
        <v>63</v>
      </c>
      <c r="B1939" s="144">
        <f>VALUE(IF(+'Libro Diario'!G538="","01/01/2025",+'Libro Diario'!G538))</f>
        <v>46022</v>
      </c>
      <c r="C1939">
        <f>IF(ISNUMBER(+IF(IFERROR(VALUE(MID('Libro Diario'!D538,1,4)),0)&lt;&gt;0,'Libro Diario'!D538,0))=FALSE,'Libro Diario'!D538,0)</f>
        <v>0</v>
      </c>
      <c r="D1939" s="145">
        <f>+'Libro Diario'!E538</f>
        <v>0</v>
      </c>
      <c r="E1939" s="139" t="s">
        <v>446</v>
      </c>
      <c r="F1939" t="str">
        <f t="shared" si="90"/>
        <v>Sin Mov.</v>
      </c>
      <c r="G1939" t="str">
        <f>IF(+'Libro Diario'!H538=0,"",+'Libro Diario'!H538)</f>
        <v>Determinación de Resultado Contable</v>
      </c>
      <c r="H1939" t="str">
        <f>IF(+'Libro Diario'!I538=0,"",+'Libro Diario'!I538)</f>
        <v/>
      </c>
      <c r="I1939" t="str">
        <f>+IF(Table3[[#This Row],[Tipo Movimiento]]="Estructura Balance y PyG","Excluir","Incluir")</f>
        <v>Incluir</v>
      </c>
      <c r="J1939" s="153">
        <f>+IF(Table3[[#This Row],[Sin cuenta]]="Con Mov.",(IF(Table3[[#This Row],[Movimiento]]="Debe",Table3[[#This Row],[Importe]],IF(Table3[[#This Row],[Movimiento]]="Haber",Table3[[#This Row],[Importe]]*-1,0))),0)</f>
        <v>0</v>
      </c>
      <c r="K1939" s="145" t="str">
        <f t="shared" si="91"/>
        <v/>
      </c>
      <c r="L1939" s="145">
        <f t="shared" si="92"/>
        <v>0</v>
      </c>
      <c r="M1939" t="str">
        <f>_xlfn.XLOOKUP(Table3[[#This Row],[Cuenta]],Estructura_Balance[Nombre Cuenta ()],Estructura_Balance[Grupo],"",0)</f>
        <v/>
      </c>
      <c r="N1939" t="str">
        <f>_xlfn.XLOOKUP(Table3[[#This Row],[Cuenta]],Estructura_Balance[Nombre Cuenta ()],Estructura_Balance[Nivel 1],"",0)</f>
        <v/>
      </c>
      <c r="O1939" t="str">
        <f>_xlfn.XLOOKUP(Table3[[#This Row],[Cuenta]],Estructura_Balance[Nombre Cuenta ()],Estructura_Balance[Nivel 2],"",0)</f>
        <v/>
      </c>
      <c r="P1939" t="str">
        <f>_xlfn.XLOOKUP(Table3[[#This Row],[Cuenta]],Estructura_Balance[Nombre Cuenta ()],Estructura_Balance[Nivel 3],"",0)</f>
        <v/>
      </c>
      <c r="Q1939" t="str">
        <f>_xlfn.XLOOKUP(Table3[[#This Row],[Cuenta]],Estructura_Balance[Nombre Cuenta ()],Estructura_Balance[Nivel 4],"",0)</f>
        <v/>
      </c>
      <c r="R1939" t="str">
        <f>_xlfn.XLOOKUP(Table3[[#This Row],[Cuenta]],Table8[Nombre Cuenta ()],Table8[Nivel 1],"",0)</f>
        <v/>
      </c>
      <c r="S1939" t="str">
        <f>_xlfn.XLOOKUP(Table3[[#This Row],[Cuenta]],Table8[Nombre Cuenta ()],Table8[Nivel 2],"",0)</f>
        <v/>
      </c>
      <c r="T1939" t="str">
        <f>_xlfn.XLOOKUP(Table3[[#This Row],[Cuenta]],Table8[Nombre Cuenta ()],Table8[Nivel 3],"",0)</f>
        <v/>
      </c>
      <c r="U1939">
        <v>1931</v>
      </c>
      <c r="V1939" t="str">
        <f>_xlfn.XLOOKUP(Table3[[#This Row],[Cuenta]],Estructura_Balance[Nombre Cuenta ()],Estructura_Balance[Niveles:2],"",0)</f>
        <v/>
      </c>
      <c r="W1939" t="str">
        <f>_xlfn.XLOOKUP(Table3[[#This Row],[Cuenta]],Estructura_Balance[Nombre Cuenta ()],Estructura_Balance[Niveles:3],"",0)</f>
        <v/>
      </c>
      <c r="X1939" t="str">
        <f>_xlfn.XLOOKUP(Table3[[#This Row],[Cuenta]],Estructura_Balance[Nombre Cuenta ()],Estructura_Balance[Grupos],"Grupo 1",0)</f>
        <v>Grupo 1</v>
      </c>
      <c r="Y1939" t="str">
        <f>+Table3[[#This Row],[BS_Nivel_1]]</f>
        <v/>
      </c>
    </row>
    <row r="1940" spans="1:25" ht="15" customHeight="1">
      <c r="A1940">
        <f>+'Libro Diario'!F539</f>
        <v>63</v>
      </c>
      <c r="B1940" s="144">
        <f>VALUE(IF(+'Libro Diario'!G539="","01/01/2025",+'Libro Diario'!G539))</f>
        <v>46022</v>
      </c>
      <c r="C1940">
        <f>IF(ISNUMBER(+IF(IFERROR(VALUE(MID('Libro Diario'!D539,1,4)),0)&lt;&gt;0,'Libro Diario'!D539,0))=FALSE,'Libro Diario'!D539,0)</f>
        <v>0</v>
      </c>
      <c r="D1940" s="145">
        <f>+'Libro Diario'!E539</f>
        <v>0</v>
      </c>
      <c r="E1940" s="139" t="s">
        <v>446</v>
      </c>
      <c r="F1940" t="str">
        <f t="shared" si="90"/>
        <v>Sin Mov.</v>
      </c>
      <c r="G1940" t="str">
        <f>IF(+'Libro Diario'!H539=0,"",+'Libro Diario'!H539)</f>
        <v>Determinación de Resultado Contable</v>
      </c>
      <c r="H1940" t="str">
        <f>IF(+'Libro Diario'!I539=0,"",+'Libro Diario'!I539)</f>
        <v/>
      </c>
      <c r="I1940" t="str">
        <f>+IF(Table3[[#This Row],[Tipo Movimiento]]="Estructura Balance y PyG","Excluir","Incluir")</f>
        <v>Incluir</v>
      </c>
      <c r="J1940" s="153">
        <f>+IF(Table3[[#This Row],[Sin cuenta]]="Con Mov.",(IF(Table3[[#This Row],[Movimiento]]="Debe",Table3[[#This Row],[Importe]],IF(Table3[[#This Row],[Movimiento]]="Haber",Table3[[#This Row],[Importe]]*-1,0))),0)</f>
        <v>0</v>
      </c>
      <c r="K1940" s="145" t="str">
        <f t="shared" si="91"/>
        <v/>
      </c>
      <c r="L1940" s="145">
        <f t="shared" si="92"/>
        <v>0</v>
      </c>
      <c r="M1940" t="str">
        <f>_xlfn.XLOOKUP(Table3[[#This Row],[Cuenta]],Estructura_Balance[Nombre Cuenta ()],Estructura_Balance[Grupo],"",0)</f>
        <v/>
      </c>
      <c r="N1940" t="str">
        <f>_xlfn.XLOOKUP(Table3[[#This Row],[Cuenta]],Estructura_Balance[Nombre Cuenta ()],Estructura_Balance[Nivel 1],"",0)</f>
        <v/>
      </c>
      <c r="O1940" t="str">
        <f>_xlfn.XLOOKUP(Table3[[#This Row],[Cuenta]],Estructura_Balance[Nombre Cuenta ()],Estructura_Balance[Nivel 2],"",0)</f>
        <v/>
      </c>
      <c r="P1940" t="str">
        <f>_xlfn.XLOOKUP(Table3[[#This Row],[Cuenta]],Estructura_Balance[Nombre Cuenta ()],Estructura_Balance[Nivel 3],"",0)</f>
        <v/>
      </c>
      <c r="Q1940" t="str">
        <f>_xlfn.XLOOKUP(Table3[[#This Row],[Cuenta]],Estructura_Balance[Nombre Cuenta ()],Estructura_Balance[Nivel 4],"",0)</f>
        <v/>
      </c>
      <c r="R1940" t="str">
        <f>_xlfn.XLOOKUP(Table3[[#This Row],[Cuenta]],Table8[Nombre Cuenta ()],Table8[Nivel 1],"",0)</f>
        <v/>
      </c>
      <c r="S1940" t="str">
        <f>_xlfn.XLOOKUP(Table3[[#This Row],[Cuenta]],Table8[Nombre Cuenta ()],Table8[Nivel 2],"",0)</f>
        <v/>
      </c>
      <c r="T1940" t="str">
        <f>_xlfn.XLOOKUP(Table3[[#This Row],[Cuenta]],Table8[Nombre Cuenta ()],Table8[Nivel 3],"",0)</f>
        <v/>
      </c>
      <c r="U1940">
        <v>1932</v>
      </c>
      <c r="V1940" t="str">
        <f>_xlfn.XLOOKUP(Table3[[#This Row],[Cuenta]],Estructura_Balance[Nombre Cuenta ()],Estructura_Balance[Niveles:2],"",0)</f>
        <v/>
      </c>
      <c r="W1940" t="str">
        <f>_xlfn.XLOOKUP(Table3[[#This Row],[Cuenta]],Estructura_Balance[Nombre Cuenta ()],Estructura_Balance[Niveles:3],"",0)</f>
        <v/>
      </c>
      <c r="X1940" t="str">
        <f>_xlfn.XLOOKUP(Table3[[#This Row],[Cuenta]],Estructura_Balance[Nombre Cuenta ()],Estructura_Balance[Grupos],"Grupo 1",0)</f>
        <v>Grupo 1</v>
      </c>
      <c r="Y1940" t="str">
        <f>+Table3[[#This Row],[BS_Nivel_1]]</f>
        <v/>
      </c>
    </row>
    <row r="1941" spans="1:25" ht="15" customHeight="1">
      <c r="A1941">
        <f>+'Libro Diario'!F540</f>
        <v>63</v>
      </c>
      <c r="B1941" s="144">
        <f>VALUE(IF(+'Libro Diario'!G540="","01/01/2025",+'Libro Diario'!G540))</f>
        <v>46022</v>
      </c>
      <c r="C1941">
        <f>IF(ISNUMBER(+IF(IFERROR(VALUE(MID('Libro Diario'!D540,1,4)),0)&lt;&gt;0,'Libro Diario'!D540,0))=FALSE,'Libro Diario'!D540,0)</f>
        <v>0</v>
      </c>
      <c r="D1941" s="145">
        <f>+'Libro Diario'!E540</f>
        <v>0</v>
      </c>
      <c r="E1941" s="139" t="s">
        <v>446</v>
      </c>
      <c r="F1941" t="str">
        <f t="shared" si="90"/>
        <v>Sin Mov.</v>
      </c>
      <c r="G1941" t="str">
        <f>IF(+'Libro Diario'!H540=0,"",+'Libro Diario'!H540)</f>
        <v>Determinación de Resultado Contable</v>
      </c>
      <c r="H1941" t="str">
        <f>IF(+'Libro Diario'!I540=0,"",+'Libro Diario'!I540)</f>
        <v/>
      </c>
      <c r="I1941" t="str">
        <f>+IF(Table3[[#This Row],[Tipo Movimiento]]="Estructura Balance y PyG","Excluir","Incluir")</f>
        <v>Incluir</v>
      </c>
      <c r="J1941" s="153">
        <f>+IF(Table3[[#This Row],[Sin cuenta]]="Con Mov.",(IF(Table3[[#This Row],[Movimiento]]="Debe",Table3[[#This Row],[Importe]],IF(Table3[[#This Row],[Movimiento]]="Haber",Table3[[#This Row],[Importe]]*-1,0))),0)</f>
        <v>0</v>
      </c>
      <c r="K1941" s="145" t="str">
        <f t="shared" si="91"/>
        <v/>
      </c>
      <c r="L1941" s="145">
        <f t="shared" si="92"/>
        <v>0</v>
      </c>
      <c r="M1941" t="str">
        <f>_xlfn.XLOOKUP(Table3[[#This Row],[Cuenta]],Estructura_Balance[Nombre Cuenta ()],Estructura_Balance[Grupo],"",0)</f>
        <v/>
      </c>
      <c r="N1941" t="str">
        <f>_xlfn.XLOOKUP(Table3[[#This Row],[Cuenta]],Estructura_Balance[Nombre Cuenta ()],Estructura_Balance[Nivel 1],"",0)</f>
        <v/>
      </c>
      <c r="O1941" t="str">
        <f>_xlfn.XLOOKUP(Table3[[#This Row],[Cuenta]],Estructura_Balance[Nombre Cuenta ()],Estructura_Balance[Nivel 2],"",0)</f>
        <v/>
      </c>
      <c r="P1941" t="str">
        <f>_xlfn.XLOOKUP(Table3[[#This Row],[Cuenta]],Estructura_Balance[Nombre Cuenta ()],Estructura_Balance[Nivel 3],"",0)</f>
        <v/>
      </c>
      <c r="Q1941" t="str">
        <f>_xlfn.XLOOKUP(Table3[[#This Row],[Cuenta]],Estructura_Balance[Nombre Cuenta ()],Estructura_Balance[Nivel 4],"",0)</f>
        <v/>
      </c>
      <c r="R1941" t="str">
        <f>_xlfn.XLOOKUP(Table3[[#This Row],[Cuenta]],Table8[Nombre Cuenta ()],Table8[Nivel 1],"",0)</f>
        <v/>
      </c>
      <c r="S1941" t="str">
        <f>_xlfn.XLOOKUP(Table3[[#This Row],[Cuenta]],Table8[Nombre Cuenta ()],Table8[Nivel 2],"",0)</f>
        <v/>
      </c>
      <c r="T1941" t="str">
        <f>_xlfn.XLOOKUP(Table3[[#This Row],[Cuenta]],Table8[Nombre Cuenta ()],Table8[Nivel 3],"",0)</f>
        <v/>
      </c>
      <c r="U1941">
        <v>1933</v>
      </c>
      <c r="V1941" t="str">
        <f>_xlfn.XLOOKUP(Table3[[#This Row],[Cuenta]],Estructura_Balance[Nombre Cuenta ()],Estructura_Balance[Niveles:2],"",0)</f>
        <v/>
      </c>
      <c r="W1941" t="str">
        <f>_xlfn.XLOOKUP(Table3[[#This Row],[Cuenta]],Estructura_Balance[Nombre Cuenta ()],Estructura_Balance[Niveles:3],"",0)</f>
        <v/>
      </c>
      <c r="X1941" t="str">
        <f>_xlfn.XLOOKUP(Table3[[#This Row],[Cuenta]],Estructura_Balance[Nombre Cuenta ()],Estructura_Balance[Grupos],"Grupo 1",0)</f>
        <v>Grupo 1</v>
      </c>
      <c r="Y1941" t="str">
        <f>+Table3[[#This Row],[BS_Nivel_1]]</f>
        <v/>
      </c>
    </row>
    <row r="1942" spans="1:25" ht="15" customHeight="1">
      <c r="A1942">
        <f>+'Libro Diario'!F541</f>
        <v>63</v>
      </c>
      <c r="B1942" s="144">
        <f>VALUE(IF(+'Libro Diario'!G541="","01/01/2025",+'Libro Diario'!G541))</f>
        <v>46022</v>
      </c>
      <c r="C1942">
        <f>IF(ISNUMBER(+IF(IFERROR(VALUE(MID('Libro Diario'!D541,1,4)),0)&lt;&gt;0,'Libro Diario'!D541,0))=FALSE,'Libro Diario'!D541,0)</f>
        <v>0</v>
      </c>
      <c r="D1942" s="145">
        <f>+'Libro Diario'!E541</f>
        <v>0</v>
      </c>
      <c r="E1942" s="139" t="s">
        <v>446</v>
      </c>
      <c r="F1942" t="str">
        <f t="shared" si="90"/>
        <v>Sin Mov.</v>
      </c>
      <c r="G1942" t="str">
        <f>IF(+'Libro Diario'!H541=0,"",+'Libro Diario'!H541)</f>
        <v>Determinación de Resultado Contable</v>
      </c>
      <c r="H1942" t="str">
        <f>IF(+'Libro Diario'!I541=0,"",+'Libro Diario'!I541)</f>
        <v/>
      </c>
      <c r="I1942" t="str">
        <f>+IF(Table3[[#This Row],[Tipo Movimiento]]="Estructura Balance y PyG","Excluir","Incluir")</f>
        <v>Incluir</v>
      </c>
      <c r="J1942" s="153">
        <f>+IF(Table3[[#This Row],[Sin cuenta]]="Con Mov.",(IF(Table3[[#This Row],[Movimiento]]="Debe",Table3[[#This Row],[Importe]],IF(Table3[[#This Row],[Movimiento]]="Haber",Table3[[#This Row],[Importe]]*-1,0))),0)</f>
        <v>0</v>
      </c>
      <c r="K1942" s="145" t="str">
        <f t="shared" si="91"/>
        <v/>
      </c>
      <c r="L1942" s="145">
        <f t="shared" si="92"/>
        <v>0</v>
      </c>
      <c r="M1942" t="str">
        <f>_xlfn.XLOOKUP(Table3[[#This Row],[Cuenta]],Estructura_Balance[Nombre Cuenta ()],Estructura_Balance[Grupo],"",0)</f>
        <v/>
      </c>
      <c r="N1942" t="str">
        <f>_xlfn.XLOOKUP(Table3[[#This Row],[Cuenta]],Estructura_Balance[Nombre Cuenta ()],Estructura_Balance[Nivel 1],"",0)</f>
        <v/>
      </c>
      <c r="O1942" t="str">
        <f>_xlfn.XLOOKUP(Table3[[#This Row],[Cuenta]],Estructura_Balance[Nombre Cuenta ()],Estructura_Balance[Nivel 2],"",0)</f>
        <v/>
      </c>
      <c r="P1942" t="str">
        <f>_xlfn.XLOOKUP(Table3[[#This Row],[Cuenta]],Estructura_Balance[Nombre Cuenta ()],Estructura_Balance[Nivel 3],"",0)</f>
        <v/>
      </c>
      <c r="Q1942" t="str">
        <f>_xlfn.XLOOKUP(Table3[[#This Row],[Cuenta]],Estructura_Balance[Nombre Cuenta ()],Estructura_Balance[Nivel 4],"",0)</f>
        <v/>
      </c>
      <c r="R1942" t="str">
        <f>_xlfn.XLOOKUP(Table3[[#This Row],[Cuenta]],Table8[Nombre Cuenta ()],Table8[Nivel 1],"",0)</f>
        <v/>
      </c>
      <c r="S1942" t="str">
        <f>_xlfn.XLOOKUP(Table3[[#This Row],[Cuenta]],Table8[Nombre Cuenta ()],Table8[Nivel 2],"",0)</f>
        <v/>
      </c>
      <c r="T1942" t="str">
        <f>_xlfn.XLOOKUP(Table3[[#This Row],[Cuenta]],Table8[Nombre Cuenta ()],Table8[Nivel 3],"",0)</f>
        <v/>
      </c>
      <c r="U1942">
        <v>1934</v>
      </c>
      <c r="V1942" t="str">
        <f>_xlfn.XLOOKUP(Table3[[#This Row],[Cuenta]],Estructura_Balance[Nombre Cuenta ()],Estructura_Balance[Niveles:2],"",0)</f>
        <v/>
      </c>
      <c r="W1942" t="str">
        <f>_xlfn.XLOOKUP(Table3[[#This Row],[Cuenta]],Estructura_Balance[Nombre Cuenta ()],Estructura_Balance[Niveles:3],"",0)</f>
        <v/>
      </c>
      <c r="X1942" t="str">
        <f>_xlfn.XLOOKUP(Table3[[#This Row],[Cuenta]],Estructura_Balance[Nombre Cuenta ()],Estructura_Balance[Grupos],"Grupo 1",0)</f>
        <v>Grupo 1</v>
      </c>
      <c r="Y1942" t="str">
        <f>+Table3[[#This Row],[BS_Nivel_1]]</f>
        <v/>
      </c>
    </row>
    <row r="1943" spans="1:25" ht="15" customHeight="1">
      <c r="A1943">
        <f>+'Libro Diario'!F542</f>
        <v>63</v>
      </c>
      <c r="B1943" s="144">
        <f>VALUE(IF(+'Libro Diario'!G542="","01/01/2025",+'Libro Diario'!G542))</f>
        <v>46022</v>
      </c>
      <c r="C1943">
        <f>IF(ISNUMBER(+IF(IFERROR(VALUE(MID('Libro Diario'!D542,1,4)),0)&lt;&gt;0,'Libro Diario'!D542,0))=FALSE,'Libro Diario'!D542,0)</f>
        <v>0</v>
      </c>
      <c r="D1943" s="145">
        <f>+'Libro Diario'!E542</f>
        <v>0</v>
      </c>
      <c r="E1943" s="139" t="s">
        <v>446</v>
      </c>
      <c r="F1943" t="str">
        <f t="shared" si="90"/>
        <v>Sin Mov.</v>
      </c>
      <c r="G1943" t="str">
        <f>IF(+'Libro Diario'!H542=0,"",+'Libro Diario'!H542)</f>
        <v>Determinación de Resultado Contable</v>
      </c>
      <c r="H1943" t="str">
        <f>IF(+'Libro Diario'!I542=0,"",+'Libro Diario'!I542)</f>
        <v/>
      </c>
      <c r="I1943" t="str">
        <f>+IF(Table3[[#This Row],[Tipo Movimiento]]="Estructura Balance y PyG","Excluir","Incluir")</f>
        <v>Incluir</v>
      </c>
      <c r="J1943" s="153">
        <f>+IF(Table3[[#This Row],[Sin cuenta]]="Con Mov.",(IF(Table3[[#This Row],[Movimiento]]="Debe",Table3[[#This Row],[Importe]],IF(Table3[[#This Row],[Movimiento]]="Haber",Table3[[#This Row],[Importe]]*-1,0))),0)</f>
        <v>0</v>
      </c>
      <c r="K1943" s="145" t="str">
        <f t="shared" si="91"/>
        <v/>
      </c>
      <c r="L1943" s="145">
        <f t="shared" si="92"/>
        <v>0</v>
      </c>
      <c r="M1943" t="str">
        <f>_xlfn.XLOOKUP(Table3[[#This Row],[Cuenta]],Estructura_Balance[Nombre Cuenta ()],Estructura_Balance[Grupo],"",0)</f>
        <v/>
      </c>
      <c r="N1943" t="str">
        <f>_xlfn.XLOOKUP(Table3[[#This Row],[Cuenta]],Estructura_Balance[Nombre Cuenta ()],Estructura_Balance[Nivel 1],"",0)</f>
        <v/>
      </c>
      <c r="O1943" t="str">
        <f>_xlfn.XLOOKUP(Table3[[#This Row],[Cuenta]],Estructura_Balance[Nombre Cuenta ()],Estructura_Balance[Nivel 2],"",0)</f>
        <v/>
      </c>
      <c r="P1943" t="str">
        <f>_xlfn.XLOOKUP(Table3[[#This Row],[Cuenta]],Estructura_Balance[Nombre Cuenta ()],Estructura_Balance[Nivel 3],"",0)</f>
        <v/>
      </c>
      <c r="Q1943" t="str">
        <f>_xlfn.XLOOKUP(Table3[[#This Row],[Cuenta]],Estructura_Balance[Nombre Cuenta ()],Estructura_Balance[Nivel 4],"",0)</f>
        <v/>
      </c>
      <c r="R1943" t="str">
        <f>_xlfn.XLOOKUP(Table3[[#This Row],[Cuenta]],Table8[Nombre Cuenta ()],Table8[Nivel 1],"",0)</f>
        <v/>
      </c>
      <c r="S1943" t="str">
        <f>_xlfn.XLOOKUP(Table3[[#This Row],[Cuenta]],Table8[Nombre Cuenta ()],Table8[Nivel 2],"",0)</f>
        <v/>
      </c>
      <c r="T1943" t="str">
        <f>_xlfn.XLOOKUP(Table3[[#This Row],[Cuenta]],Table8[Nombre Cuenta ()],Table8[Nivel 3],"",0)</f>
        <v/>
      </c>
      <c r="U1943">
        <v>1935</v>
      </c>
      <c r="V1943" t="str">
        <f>_xlfn.XLOOKUP(Table3[[#This Row],[Cuenta]],Estructura_Balance[Nombre Cuenta ()],Estructura_Balance[Niveles:2],"",0)</f>
        <v/>
      </c>
      <c r="W1943" t="str">
        <f>_xlfn.XLOOKUP(Table3[[#This Row],[Cuenta]],Estructura_Balance[Nombre Cuenta ()],Estructura_Balance[Niveles:3],"",0)</f>
        <v/>
      </c>
      <c r="X1943" t="str">
        <f>_xlfn.XLOOKUP(Table3[[#This Row],[Cuenta]],Estructura_Balance[Nombre Cuenta ()],Estructura_Balance[Grupos],"Grupo 1",0)</f>
        <v>Grupo 1</v>
      </c>
      <c r="Y1943" t="str">
        <f>+Table3[[#This Row],[BS_Nivel_1]]</f>
        <v/>
      </c>
    </row>
    <row r="1944" spans="1:25" ht="15" customHeight="1">
      <c r="A1944">
        <f>+'Libro Diario'!F543</f>
        <v>63</v>
      </c>
      <c r="B1944" s="144">
        <f>VALUE(IF(+'Libro Diario'!G543="","01/01/2025",+'Libro Diario'!G543))</f>
        <v>46022</v>
      </c>
      <c r="C1944">
        <f>IF(ISNUMBER(+IF(IFERROR(VALUE(MID('Libro Diario'!D543,1,4)),0)&lt;&gt;0,'Libro Diario'!D543,0))=FALSE,'Libro Diario'!D543,0)</f>
        <v>0</v>
      </c>
      <c r="D1944" s="145">
        <f>+'Libro Diario'!E543</f>
        <v>0</v>
      </c>
      <c r="E1944" s="139" t="s">
        <v>446</v>
      </c>
      <c r="F1944" t="str">
        <f t="shared" si="90"/>
        <v>Sin Mov.</v>
      </c>
      <c r="G1944" t="str">
        <f>IF(+'Libro Diario'!H543=0,"",+'Libro Diario'!H543)</f>
        <v>Determinación de Resultado Contable</v>
      </c>
      <c r="H1944" t="str">
        <f>IF(+'Libro Diario'!I543=0,"",+'Libro Diario'!I543)</f>
        <v/>
      </c>
      <c r="I1944" t="str">
        <f>+IF(Table3[[#This Row],[Tipo Movimiento]]="Estructura Balance y PyG","Excluir","Incluir")</f>
        <v>Incluir</v>
      </c>
      <c r="J1944" s="153">
        <f>+IF(Table3[[#This Row],[Sin cuenta]]="Con Mov.",(IF(Table3[[#This Row],[Movimiento]]="Debe",Table3[[#This Row],[Importe]],IF(Table3[[#This Row],[Movimiento]]="Haber",Table3[[#This Row],[Importe]]*-1,0))),0)</f>
        <v>0</v>
      </c>
      <c r="K1944" s="145" t="str">
        <f t="shared" si="91"/>
        <v/>
      </c>
      <c r="L1944" s="145">
        <f t="shared" si="92"/>
        <v>0</v>
      </c>
      <c r="M1944" t="str">
        <f>_xlfn.XLOOKUP(Table3[[#This Row],[Cuenta]],Estructura_Balance[Nombre Cuenta ()],Estructura_Balance[Grupo],"",0)</f>
        <v/>
      </c>
      <c r="N1944" t="str">
        <f>_xlfn.XLOOKUP(Table3[[#This Row],[Cuenta]],Estructura_Balance[Nombre Cuenta ()],Estructura_Balance[Nivel 1],"",0)</f>
        <v/>
      </c>
      <c r="O1944" t="str">
        <f>_xlfn.XLOOKUP(Table3[[#This Row],[Cuenta]],Estructura_Balance[Nombre Cuenta ()],Estructura_Balance[Nivel 2],"",0)</f>
        <v/>
      </c>
      <c r="P1944" t="str">
        <f>_xlfn.XLOOKUP(Table3[[#This Row],[Cuenta]],Estructura_Balance[Nombre Cuenta ()],Estructura_Balance[Nivel 3],"",0)</f>
        <v/>
      </c>
      <c r="Q1944" t="str">
        <f>_xlfn.XLOOKUP(Table3[[#This Row],[Cuenta]],Estructura_Balance[Nombre Cuenta ()],Estructura_Balance[Nivel 4],"",0)</f>
        <v/>
      </c>
      <c r="R1944" t="str">
        <f>_xlfn.XLOOKUP(Table3[[#This Row],[Cuenta]],Table8[Nombre Cuenta ()],Table8[Nivel 1],"",0)</f>
        <v/>
      </c>
      <c r="S1944" t="str">
        <f>_xlfn.XLOOKUP(Table3[[#This Row],[Cuenta]],Table8[Nombre Cuenta ()],Table8[Nivel 2],"",0)</f>
        <v/>
      </c>
      <c r="T1944" t="str">
        <f>_xlfn.XLOOKUP(Table3[[#This Row],[Cuenta]],Table8[Nombre Cuenta ()],Table8[Nivel 3],"",0)</f>
        <v/>
      </c>
      <c r="U1944">
        <v>1936</v>
      </c>
      <c r="V1944" t="str">
        <f>_xlfn.XLOOKUP(Table3[[#This Row],[Cuenta]],Estructura_Balance[Nombre Cuenta ()],Estructura_Balance[Niveles:2],"",0)</f>
        <v/>
      </c>
      <c r="W1944" t="str">
        <f>_xlfn.XLOOKUP(Table3[[#This Row],[Cuenta]],Estructura_Balance[Nombre Cuenta ()],Estructura_Balance[Niveles:3],"",0)</f>
        <v/>
      </c>
      <c r="X1944" t="str">
        <f>_xlfn.XLOOKUP(Table3[[#This Row],[Cuenta]],Estructura_Balance[Nombre Cuenta ()],Estructura_Balance[Grupos],"Grupo 1",0)</f>
        <v>Grupo 1</v>
      </c>
      <c r="Y1944" t="str">
        <f>+Table3[[#This Row],[BS_Nivel_1]]</f>
        <v/>
      </c>
    </row>
    <row r="1945" spans="1:25" ht="15" customHeight="1">
      <c r="A1945">
        <f>+'Libro Diario'!F544</f>
        <v>63</v>
      </c>
      <c r="B1945" s="144">
        <f>VALUE(IF(+'Libro Diario'!G544="","01/01/2025",+'Libro Diario'!G544))</f>
        <v>46022</v>
      </c>
      <c r="C1945">
        <f>IF(ISNUMBER(+IF(IFERROR(VALUE(MID('Libro Diario'!D544,1,4)),0)&lt;&gt;0,'Libro Diario'!D544,0))=FALSE,'Libro Diario'!D544,0)</f>
        <v>0</v>
      </c>
      <c r="D1945" s="145">
        <f>+'Libro Diario'!E544</f>
        <v>0</v>
      </c>
      <c r="E1945" s="139" t="s">
        <v>446</v>
      </c>
      <c r="F1945" t="str">
        <f t="shared" si="90"/>
        <v>Sin Mov.</v>
      </c>
      <c r="G1945" t="str">
        <f>IF(+'Libro Diario'!H544=0,"",+'Libro Diario'!H544)</f>
        <v>Determinación de Resultado Contable</v>
      </c>
      <c r="H1945" t="str">
        <f>IF(+'Libro Diario'!I544=0,"",+'Libro Diario'!I544)</f>
        <v/>
      </c>
      <c r="I1945" t="str">
        <f>+IF(Table3[[#This Row],[Tipo Movimiento]]="Estructura Balance y PyG","Excluir","Incluir")</f>
        <v>Incluir</v>
      </c>
      <c r="J1945" s="153">
        <f>+IF(Table3[[#This Row],[Sin cuenta]]="Con Mov.",(IF(Table3[[#This Row],[Movimiento]]="Debe",Table3[[#This Row],[Importe]],IF(Table3[[#This Row],[Movimiento]]="Haber",Table3[[#This Row],[Importe]]*-1,0))),0)</f>
        <v>0</v>
      </c>
      <c r="K1945" s="145" t="str">
        <f t="shared" si="91"/>
        <v/>
      </c>
      <c r="L1945" s="145">
        <f t="shared" si="92"/>
        <v>0</v>
      </c>
      <c r="M1945" t="str">
        <f>_xlfn.XLOOKUP(Table3[[#This Row],[Cuenta]],Estructura_Balance[Nombre Cuenta ()],Estructura_Balance[Grupo],"",0)</f>
        <v/>
      </c>
      <c r="N1945" t="str">
        <f>_xlfn.XLOOKUP(Table3[[#This Row],[Cuenta]],Estructura_Balance[Nombre Cuenta ()],Estructura_Balance[Nivel 1],"",0)</f>
        <v/>
      </c>
      <c r="O1945" t="str">
        <f>_xlfn.XLOOKUP(Table3[[#This Row],[Cuenta]],Estructura_Balance[Nombre Cuenta ()],Estructura_Balance[Nivel 2],"",0)</f>
        <v/>
      </c>
      <c r="P1945" t="str">
        <f>_xlfn.XLOOKUP(Table3[[#This Row],[Cuenta]],Estructura_Balance[Nombre Cuenta ()],Estructura_Balance[Nivel 3],"",0)</f>
        <v/>
      </c>
      <c r="Q1945" t="str">
        <f>_xlfn.XLOOKUP(Table3[[#This Row],[Cuenta]],Estructura_Balance[Nombre Cuenta ()],Estructura_Balance[Nivel 4],"",0)</f>
        <v/>
      </c>
      <c r="R1945" t="str">
        <f>_xlfn.XLOOKUP(Table3[[#This Row],[Cuenta]],Table8[Nombre Cuenta ()],Table8[Nivel 1],"",0)</f>
        <v/>
      </c>
      <c r="S1945" t="str">
        <f>_xlfn.XLOOKUP(Table3[[#This Row],[Cuenta]],Table8[Nombre Cuenta ()],Table8[Nivel 2],"",0)</f>
        <v/>
      </c>
      <c r="T1945" t="str">
        <f>_xlfn.XLOOKUP(Table3[[#This Row],[Cuenta]],Table8[Nombre Cuenta ()],Table8[Nivel 3],"",0)</f>
        <v/>
      </c>
      <c r="U1945">
        <v>1937</v>
      </c>
      <c r="V1945" t="str">
        <f>_xlfn.XLOOKUP(Table3[[#This Row],[Cuenta]],Estructura_Balance[Nombre Cuenta ()],Estructura_Balance[Niveles:2],"",0)</f>
        <v/>
      </c>
      <c r="W1945" t="str">
        <f>_xlfn.XLOOKUP(Table3[[#This Row],[Cuenta]],Estructura_Balance[Nombre Cuenta ()],Estructura_Balance[Niveles:3],"",0)</f>
        <v/>
      </c>
      <c r="X1945" t="str">
        <f>_xlfn.XLOOKUP(Table3[[#This Row],[Cuenta]],Estructura_Balance[Nombre Cuenta ()],Estructura_Balance[Grupos],"Grupo 1",0)</f>
        <v>Grupo 1</v>
      </c>
      <c r="Y1945" t="str">
        <f>+Table3[[#This Row],[BS_Nivel_1]]</f>
        <v/>
      </c>
    </row>
    <row r="1946" spans="1:25" ht="15" customHeight="1">
      <c r="A1946">
        <f>+'Libro Diario'!F545</f>
        <v>63</v>
      </c>
      <c r="B1946" s="144">
        <f>VALUE(IF(+'Libro Diario'!G545="","01/01/2025",+'Libro Diario'!G545))</f>
        <v>46022</v>
      </c>
      <c r="C1946">
        <f>IF(ISNUMBER(+IF(IFERROR(VALUE(MID('Libro Diario'!D545,1,4)),0)&lt;&gt;0,'Libro Diario'!D545,0))=FALSE,'Libro Diario'!D545,0)</f>
        <v>0</v>
      </c>
      <c r="D1946" s="145">
        <f>+'Libro Diario'!E545</f>
        <v>0</v>
      </c>
      <c r="E1946" s="139" t="s">
        <v>446</v>
      </c>
      <c r="F1946" t="str">
        <f t="shared" si="90"/>
        <v>Sin Mov.</v>
      </c>
      <c r="G1946" t="str">
        <f>IF(+'Libro Diario'!H545=0,"",+'Libro Diario'!H545)</f>
        <v>Determinación de Resultado Contable</v>
      </c>
      <c r="H1946" t="str">
        <f>IF(+'Libro Diario'!I545=0,"",+'Libro Diario'!I545)</f>
        <v/>
      </c>
      <c r="I1946" t="str">
        <f>+IF(Table3[[#This Row],[Tipo Movimiento]]="Estructura Balance y PyG","Excluir","Incluir")</f>
        <v>Incluir</v>
      </c>
      <c r="J1946" s="153">
        <f>+IF(Table3[[#This Row],[Sin cuenta]]="Con Mov.",(IF(Table3[[#This Row],[Movimiento]]="Debe",Table3[[#This Row],[Importe]],IF(Table3[[#This Row],[Movimiento]]="Haber",Table3[[#This Row],[Importe]]*-1,0))),0)</f>
        <v>0</v>
      </c>
      <c r="K1946" s="145" t="str">
        <f t="shared" si="91"/>
        <v/>
      </c>
      <c r="L1946" s="145">
        <f t="shared" si="92"/>
        <v>0</v>
      </c>
      <c r="M1946" t="str">
        <f>_xlfn.XLOOKUP(Table3[[#This Row],[Cuenta]],Estructura_Balance[Nombre Cuenta ()],Estructura_Balance[Grupo],"",0)</f>
        <v/>
      </c>
      <c r="N1946" t="str">
        <f>_xlfn.XLOOKUP(Table3[[#This Row],[Cuenta]],Estructura_Balance[Nombre Cuenta ()],Estructura_Balance[Nivel 1],"",0)</f>
        <v/>
      </c>
      <c r="O1946" t="str">
        <f>_xlfn.XLOOKUP(Table3[[#This Row],[Cuenta]],Estructura_Balance[Nombre Cuenta ()],Estructura_Balance[Nivel 2],"",0)</f>
        <v/>
      </c>
      <c r="P1946" t="str">
        <f>_xlfn.XLOOKUP(Table3[[#This Row],[Cuenta]],Estructura_Balance[Nombre Cuenta ()],Estructura_Balance[Nivel 3],"",0)</f>
        <v/>
      </c>
      <c r="Q1946" t="str">
        <f>_xlfn.XLOOKUP(Table3[[#This Row],[Cuenta]],Estructura_Balance[Nombre Cuenta ()],Estructura_Balance[Nivel 4],"",0)</f>
        <v/>
      </c>
      <c r="R1946" t="str">
        <f>_xlfn.XLOOKUP(Table3[[#This Row],[Cuenta]],Table8[Nombre Cuenta ()],Table8[Nivel 1],"",0)</f>
        <v/>
      </c>
      <c r="S1946" t="str">
        <f>_xlfn.XLOOKUP(Table3[[#This Row],[Cuenta]],Table8[Nombre Cuenta ()],Table8[Nivel 2],"",0)</f>
        <v/>
      </c>
      <c r="T1946" t="str">
        <f>_xlfn.XLOOKUP(Table3[[#This Row],[Cuenta]],Table8[Nombre Cuenta ()],Table8[Nivel 3],"",0)</f>
        <v/>
      </c>
      <c r="U1946">
        <v>1938</v>
      </c>
      <c r="V1946" t="str">
        <f>_xlfn.XLOOKUP(Table3[[#This Row],[Cuenta]],Estructura_Balance[Nombre Cuenta ()],Estructura_Balance[Niveles:2],"",0)</f>
        <v/>
      </c>
      <c r="W1946" t="str">
        <f>_xlfn.XLOOKUP(Table3[[#This Row],[Cuenta]],Estructura_Balance[Nombre Cuenta ()],Estructura_Balance[Niveles:3],"",0)</f>
        <v/>
      </c>
      <c r="X1946" t="str">
        <f>_xlfn.XLOOKUP(Table3[[#This Row],[Cuenta]],Estructura_Balance[Nombre Cuenta ()],Estructura_Balance[Grupos],"Grupo 1",0)</f>
        <v>Grupo 1</v>
      </c>
      <c r="Y1946" t="str">
        <f>+Table3[[#This Row],[BS_Nivel_1]]</f>
        <v/>
      </c>
    </row>
    <row r="1947" spans="1:25" ht="15" customHeight="1">
      <c r="A1947">
        <f>+'Libro Diario'!F551</f>
        <v>64</v>
      </c>
      <c r="B1947" s="144">
        <f>VALUE(IF(+'Libro Diario'!G551="","01/01/2025",+'Libro Diario'!G551))</f>
        <v>46022</v>
      </c>
      <c r="C1947">
        <f>IF(ISNUMBER(+IF(IFERROR(VALUE(MID('Libro Diario'!C551,1,4)),0)&lt;&gt;0,'Libro Diario'!C551,0))=FALSE,'Libro Diario'!C551,0)</f>
        <v>0</v>
      </c>
      <c r="D1947" s="145">
        <f>+'Libro Diario'!B551</f>
        <v>0</v>
      </c>
      <c r="E1947" s="139" t="s">
        <v>445</v>
      </c>
      <c r="F1947" t="str">
        <f t="shared" si="90"/>
        <v>Sin Mov.</v>
      </c>
      <c r="G1947" t="str">
        <f>IF(+'Libro Diario'!H551=0,"",+'Libro Diario'!H551)</f>
        <v>Impuesto de Sociedades</v>
      </c>
      <c r="H1947" t="str">
        <f>IF(+'Libro Diario'!I551=0,"",+'Libro Diario'!I551)</f>
        <v/>
      </c>
      <c r="I1947" t="str">
        <f>+IF(Table3[[#This Row],[Tipo Movimiento]]="Estructura Balance y PyG","Excluir","Incluir")</f>
        <v>Incluir</v>
      </c>
      <c r="J1947" s="153">
        <f>+IF(Table3[[#This Row],[Sin cuenta]]="Con Mov.",(IF(Table3[[#This Row],[Movimiento]]="Debe",Table3[[#This Row],[Importe]],IF(Table3[[#This Row],[Movimiento]]="Haber",Table3[[#This Row],[Importe]]*-1,0))),0)</f>
        <v>0</v>
      </c>
      <c r="K1947" s="145">
        <f t="shared" si="91"/>
        <v>0</v>
      </c>
      <c r="L1947" s="145" t="str">
        <f t="shared" si="92"/>
        <v/>
      </c>
      <c r="M1947" t="str">
        <f>_xlfn.XLOOKUP(Table3[[#This Row],[Cuenta]],Estructura_Balance[Nombre Cuenta ()],Estructura_Balance[Grupo],"",0)</f>
        <v/>
      </c>
      <c r="N1947" t="str">
        <f>_xlfn.XLOOKUP(Table3[[#This Row],[Cuenta]],Estructura_Balance[Nombre Cuenta ()],Estructura_Balance[Nivel 1],"",0)</f>
        <v/>
      </c>
      <c r="O1947" t="str">
        <f>_xlfn.XLOOKUP(Table3[[#This Row],[Cuenta]],Estructura_Balance[Nombre Cuenta ()],Estructura_Balance[Nivel 2],"",0)</f>
        <v/>
      </c>
      <c r="P1947" t="str">
        <f>_xlfn.XLOOKUP(Table3[[#This Row],[Cuenta]],Estructura_Balance[Nombre Cuenta ()],Estructura_Balance[Nivel 3],"",0)</f>
        <v/>
      </c>
      <c r="Q1947" t="str">
        <f>_xlfn.XLOOKUP(Table3[[#This Row],[Cuenta]],Estructura_Balance[Nombre Cuenta ()],Estructura_Balance[Nivel 4],"",0)</f>
        <v/>
      </c>
      <c r="R1947" s="154" t="str">
        <f>_xlfn.XLOOKUP(Table3[[#This Row],[Cuenta]],Table8[Nombre Cuenta ()],Table8[Nivel 1],"",0)</f>
        <v/>
      </c>
      <c r="S1947" t="str">
        <f>_xlfn.XLOOKUP(Table3[[#This Row],[Cuenta]],Table8[Nombre Cuenta ()],Table8[Nivel 2],"",0)</f>
        <v/>
      </c>
      <c r="T1947" t="str">
        <f>_xlfn.XLOOKUP(Table3[[#This Row],[Cuenta]],Table8[Nombre Cuenta ()],Table8[Nivel 3],"",0)</f>
        <v/>
      </c>
      <c r="U1947">
        <v>742</v>
      </c>
      <c r="V1947" t="str">
        <f>_xlfn.XLOOKUP(Table3[[#This Row],[Cuenta]],Estructura_Balance[Nombre Cuenta ()],Estructura_Balance[Niveles:2],"",0)</f>
        <v/>
      </c>
      <c r="W1947" t="str">
        <f>_xlfn.XLOOKUP(Table3[[#This Row],[Cuenta]],Estructura_Balance[Nombre Cuenta ()],Estructura_Balance[Niveles:3],"",0)</f>
        <v/>
      </c>
      <c r="X1947" t="str">
        <f>_xlfn.XLOOKUP(Table3[[#This Row],[Cuenta]],Estructura_Balance[Nombre Cuenta ()],Estructura_Balance[Grupos],"Grupo 1",0)</f>
        <v>Grupo 1</v>
      </c>
      <c r="Y1947" t="str">
        <f>+Table3[[#This Row],[BS_Nivel_1]]</f>
        <v/>
      </c>
    </row>
    <row r="1948" spans="1:25" ht="15" customHeight="1">
      <c r="A1948">
        <f>+'Libro Diario'!F552</f>
        <v>64</v>
      </c>
      <c r="B1948" s="144">
        <f>VALUE(IF(+'Libro Diario'!G552="","01/01/2025",+'Libro Diario'!G552))</f>
        <v>46022</v>
      </c>
      <c r="C1948">
        <f>IF(ISNUMBER(+IF(IFERROR(VALUE(MID('Libro Diario'!C552,1,4)),0)&lt;&gt;0,'Libro Diario'!C552,0))=FALSE,'Libro Diario'!C552,0)</f>
        <v>0</v>
      </c>
      <c r="D1948" s="145">
        <f>+'Libro Diario'!B552</f>
        <v>0</v>
      </c>
      <c r="E1948" s="139" t="s">
        <v>445</v>
      </c>
      <c r="F1948" t="str">
        <f t="shared" si="90"/>
        <v>Sin Mov.</v>
      </c>
      <c r="G1948" t="str">
        <f>IF(+'Libro Diario'!H552=0,"",+'Libro Diario'!H552)</f>
        <v>Impuesto de Sociedades</v>
      </c>
      <c r="H1948" t="str">
        <f>IF(+'Libro Diario'!I552=0,"",+'Libro Diario'!I552)</f>
        <v/>
      </c>
      <c r="I1948" t="str">
        <f>+IF(Table3[[#This Row],[Tipo Movimiento]]="Estructura Balance y PyG","Excluir","Incluir")</f>
        <v>Incluir</v>
      </c>
      <c r="J1948" s="153">
        <f>+IF(Table3[[#This Row],[Sin cuenta]]="Con Mov.",(IF(Table3[[#This Row],[Movimiento]]="Debe",Table3[[#This Row],[Importe]],IF(Table3[[#This Row],[Movimiento]]="Haber",Table3[[#This Row],[Importe]]*-1,0))),0)</f>
        <v>0</v>
      </c>
      <c r="K1948" s="145">
        <f t="shared" si="91"/>
        <v>0</v>
      </c>
      <c r="L1948" s="145" t="str">
        <f t="shared" si="92"/>
        <v/>
      </c>
      <c r="M1948" t="str">
        <f>_xlfn.XLOOKUP(Table3[[#This Row],[Cuenta]],Estructura_Balance[Nombre Cuenta ()],Estructura_Balance[Grupo],"",0)</f>
        <v/>
      </c>
      <c r="N1948" t="str">
        <f>_xlfn.XLOOKUP(Table3[[#This Row],[Cuenta]],Estructura_Balance[Nombre Cuenta ()],Estructura_Balance[Nivel 1],"",0)</f>
        <v/>
      </c>
      <c r="O1948" t="str">
        <f>_xlfn.XLOOKUP(Table3[[#This Row],[Cuenta]],Estructura_Balance[Nombre Cuenta ()],Estructura_Balance[Nivel 2],"",0)</f>
        <v/>
      </c>
      <c r="P1948" t="str">
        <f>_xlfn.XLOOKUP(Table3[[#This Row],[Cuenta]],Estructura_Balance[Nombre Cuenta ()],Estructura_Balance[Nivel 3],"",0)</f>
        <v/>
      </c>
      <c r="Q1948" t="str">
        <f>_xlfn.XLOOKUP(Table3[[#This Row],[Cuenta]],Estructura_Balance[Nombre Cuenta ()],Estructura_Balance[Nivel 4],"",0)</f>
        <v/>
      </c>
      <c r="R1948" s="154" t="str">
        <f>_xlfn.XLOOKUP(Table3[[#This Row],[Cuenta]],Table8[Nombre Cuenta ()],Table8[Nivel 1],"",0)</f>
        <v/>
      </c>
      <c r="S1948" t="str">
        <f>_xlfn.XLOOKUP(Table3[[#This Row],[Cuenta]],Table8[Nombre Cuenta ()],Table8[Nivel 2],"",0)</f>
        <v/>
      </c>
      <c r="T1948" t="str">
        <f>_xlfn.XLOOKUP(Table3[[#This Row],[Cuenta]],Table8[Nombre Cuenta ()],Table8[Nivel 3],"",0)</f>
        <v/>
      </c>
      <c r="U1948">
        <v>743</v>
      </c>
      <c r="V1948" t="str">
        <f>_xlfn.XLOOKUP(Table3[[#This Row],[Cuenta]],Estructura_Balance[Nombre Cuenta ()],Estructura_Balance[Niveles:2],"",0)</f>
        <v/>
      </c>
      <c r="W1948" t="str">
        <f>_xlfn.XLOOKUP(Table3[[#This Row],[Cuenta]],Estructura_Balance[Nombre Cuenta ()],Estructura_Balance[Niveles:3],"",0)</f>
        <v/>
      </c>
      <c r="X1948" t="str">
        <f>_xlfn.XLOOKUP(Table3[[#This Row],[Cuenta]],Estructura_Balance[Nombre Cuenta ()],Estructura_Balance[Grupos],"Grupo 1",0)</f>
        <v>Grupo 1</v>
      </c>
      <c r="Y1948" t="str">
        <f>+Table3[[#This Row],[BS_Nivel_1]]</f>
        <v/>
      </c>
    </row>
    <row r="1949" spans="1:25" ht="15" customHeight="1">
      <c r="A1949">
        <f>+'Libro Diario'!F551</f>
        <v>64</v>
      </c>
      <c r="B1949" s="144">
        <f>VALUE(IF(+'Libro Diario'!G551="","01/01/2025",+'Libro Diario'!G551))</f>
        <v>46022</v>
      </c>
      <c r="C1949">
        <f>IF(ISNUMBER(+IF(IFERROR(VALUE(MID('Libro Diario'!D551,1,4)),0)&lt;&gt;0,'Libro Diario'!D551,0))=FALSE,'Libro Diario'!D551,0)</f>
        <v>0</v>
      </c>
      <c r="D1949" s="145">
        <f>+'Libro Diario'!E551</f>
        <v>0</v>
      </c>
      <c r="E1949" s="139" t="s">
        <v>446</v>
      </c>
      <c r="F1949" t="str">
        <f t="shared" si="90"/>
        <v>Sin Mov.</v>
      </c>
      <c r="G1949" t="str">
        <f>IF(+'Libro Diario'!H551=0,"",+'Libro Diario'!H551)</f>
        <v>Impuesto de Sociedades</v>
      </c>
      <c r="H1949" t="str">
        <f>IF(+'Libro Diario'!I551=0,"",+'Libro Diario'!I551)</f>
        <v/>
      </c>
      <c r="I1949" t="str">
        <f>+IF(Table3[[#This Row],[Tipo Movimiento]]="Estructura Balance y PyG","Excluir","Incluir")</f>
        <v>Incluir</v>
      </c>
      <c r="J1949" s="153">
        <f>+IF(Table3[[#This Row],[Sin cuenta]]="Con Mov.",(IF(Table3[[#This Row],[Movimiento]]="Debe",Table3[[#This Row],[Importe]],IF(Table3[[#This Row],[Movimiento]]="Haber",Table3[[#This Row],[Importe]]*-1,0))),0)</f>
        <v>0</v>
      </c>
      <c r="K1949" s="145" t="str">
        <f t="shared" si="91"/>
        <v/>
      </c>
      <c r="L1949" s="145">
        <f t="shared" si="92"/>
        <v>0</v>
      </c>
      <c r="M1949" t="str">
        <f>_xlfn.XLOOKUP(Table3[[#This Row],[Cuenta]],Estructura_Balance[Nombre Cuenta ()],Estructura_Balance[Grupo],"",0)</f>
        <v/>
      </c>
      <c r="N1949" t="str">
        <f>_xlfn.XLOOKUP(Table3[[#This Row],[Cuenta]],Estructura_Balance[Nombre Cuenta ()],Estructura_Balance[Nivel 1],"",0)</f>
        <v/>
      </c>
      <c r="O1949" t="str">
        <f>_xlfn.XLOOKUP(Table3[[#This Row],[Cuenta]],Estructura_Balance[Nombre Cuenta ()],Estructura_Balance[Nivel 2],"",0)</f>
        <v/>
      </c>
      <c r="P1949" t="str">
        <f>_xlfn.XLOOKUP(Table3[[#This Row],[Cuenta]],Estructura_Balance[Nombre Cuenta ()],Estructura_Balance[Nivel 3],"",0)</f>
        <v/>
      </c>
      <c r="Q1949" t="str">
        <f>_xlfn.XLOOKUP(Table3[[#This Row],[Cuenta]],Estructura_Balance[Nombre Cuenta ()],Estructura_Balance[Nivel 4],"",0)</f>
        <v/>
      </c>
      <c r="R1949" t="str">
        <f>_xlfn.XLOOKUP(Table3[[#This Row],[Cuenta]],Table8[Nombre Cuenta ()],Table8[Nivel 1],"",0)</f>
        <v/>
      </c>
      <c r="S1949" t="str">
        <f>_xlfn.XLOOKUP(Table3[[#This Row],[Cuenta]],Table8[Nombre Cuenta ()],Table8[Nivel 2],"",0)</f>
        <v/>
      </c>
      <c r="T1949" t="str">
        <f>_xlfn.XLOOKUP(Table3[[#This Row],[Cuenta]],Table8[Nombre Cuenta ()],Table8[Nivel 3],"",0)</f>
        <v/>
      </c>
      <c r="U1949">
        <v>1944</v>
      </c>
      <c r="V1949" t="str">
        <f>_xlfn.XLOOKUP(Table3[[#This Row],[Cuenta]],Estructura_Balance[Nombre Cuenta ()],Estructura_Balance[Niveles:2],"",0)</f>
        <v/>
      </c>
      <c r="W1949" t="str">
        <f>_xlfn.XLOOKUP(Table3[[#This Row],[Cuenta]],Estructura_Balance[Nombre Cuenta ()],Estructura_Balance[Niveles:3],"",0)</f>
        <v/>
      </c>
      <c r="X1949" t="str">
        <f>_xlfn.XLOOKUP(Table3[[#This Row],[Cuenta]],Estructura_Balance[Nombre Cuenta ()],Estructura_Balance[Grupos],"Grupo 1",0)</f>
        <v>Grupo 1</v>
      </c>
      <c r="Y1949" t="str">
        <f>+Table3[[#This Row],[BS_Nivel_1]]</f>
        <v/>
      </c>
    </row>
    <row r="1950" spans="1:25" ht="15" customHeight="1">
      <c r="A1950">
        <f>+'Libro Diario'!F552</f>
        <v>64</v>
      </c>
      <c r="B1950" s="144">
        <f>VALUE(IF(+'Libro Diario'!G552="","01/01/2025",+'Libro Diario'!G552))</f>
        <v>46022</v>
      </c>
      <c r="C1950">
        <f>IF(ISNUMBER(+IF(IFERROR(VALUE(MID('Libro Diario'!D552,1,4)),0)&lt;&gt;0,'Libro Diario'!D552,0))=FALSE,'Libro Diario'!D552,0)</f>
        <v>0</v>
      </c>
      <c r="D1950" s="145">
        <f>+'Libro Diario'!E552</f>
        <v>0</v>
      </c>
      <c r="E1950" s="139" t="s">
        <v>446</v>
      </c>
      <c r="F1950" t="str">
        <f t="shared" si="90"/>
        <v>Sin Mov.</v>
      </c>
      <c r="G1950" t="str">
        <f>IF(+'Libro Diario'!H552=0,"",+'Libro Diario'!H552)</f>
        <v>Impuesto de Sociedades</v>
      </c>
      <c r="H1950" t="str">
        <f>IF(+'Libro Diario'!I552=0,"",+'Libro Diario'!I552)</f>
        <v/>
      </c>
      <c r="I1950" t="str">
        <f>+IF(Table3[[#This Row],[Tipo Movimiento]]="Estructura Balance y PyG","Excluir","Incluir")</f>
        <v>Incluir</v>
      </c>
      <c r="J1950" s="153">
        <f>+IF(Table3[[#This Row],[Sin cuenta]]="Con Mov.",(IF(Table3[[#This Row],[Movimiento]]="Debe",Table3[[#This Row],[Importe]],IF(Table3[[#This Row],[Movimiento]]="Haber",Table3[[#This Row],[Importe]]*-1,0))),0)</f>
        <v>0</v>
      </c>
      <c r="K1950" s="145" t="str">
        <f t="shared" si="91"/>
        <v/>
      </c>
      <c r="L1950" s="145">
        <f t="shared" si="92"/>
        <v>0</v>
      </c>
      <c r="M1950" t="str">
        <f>_xlfn.XLOOKUP(Table3[[#This Row],[Cuenta]],Estructura_Balance[Nombre Cuenta ()],Estructura_Balance[Grupo],"",0)</f>
        <v/>
      </c>
      <c r="N1950" t="str">
        <f>_xlfn.XLOOKUP(Table3[[#This Row],[Cuenta]],Estructura_Balance[Nombre Cuenta ()],Estructura_Balance[Nivel 1],"",0)</f>
        <v/>
      </c>
      <c r="O1950" t="str">
        <f>_xlfn.XLOOKUP(Table3[[#This Row],[Cuenta]],Estructura_Balance[Nombre Cuenta ()],Estructura_Balance[Nivel 2],"",0)</f>
        <v/>
      </c>
      <c r="P1950" t="str">
        <f>_xlfn.XLOOKUP(Table3[[#This Row],[Cuenta]],Estructura_Balance[Nombre Cuenta ()],Estructura_Balance[Nivel 3],"",0)</f>
        <v/>
      </c>
      <c r="Q1950" t="str">
        <f>_xlfn.XLOOKUP(Table3[[#This Row],[Cuenta]],Estructura_Balance[Nombre Cuenta ()],Estructura_Balance[Nivel 4],"",0)</f>
        <v/>
      </c>
      <c r="R1950" t="str">
        <f>_xlfn.XLOOKUP(Table3[[#This Row],[Cuenta]],Table8[Nombre Cuenta ()],Table8[Nivel 1],"",0)</f>
        <v/>
      </c>
      <c r="S1950" t="str">
        <f>_xlfn.XLOOKUP(Table3[[#This Row],[Cuenta]],Table8[Nombre Cuenta ()],Table8[Nivel 2],"",0)</f>
        <v/>
      </c>
      <c r="T1950" t="str">
        <f>_xlfn.XLOOKUP(Table3[[#This Row],[Cuenta]],Table8[Nombre Cuenta ()],Table8[Nivel 3],"",0)</f>
        <v/>
      </c>
      <c r="U1950">
        <v>1945</v>
      </c>
      <c r="V1950" t="str">
        <f>_xlfn.XLOOKUP(Table3[[#This Row],[Cuenta]],Estructura_Balance[Nombre Cuenta ()],Estructura_Balance[Niveles:2],"",0)</f>
        <v/>
      </c>
      <c r="W1950" t="str">
        <f>_xlfn.XLOOKUP(Table3[[#This Row],[Cuenta]],Estructura_Balance[Nombre Cuenta ()],Estructura_Balance[Niveles:3],"",0)</f>
        <v/>
      </c>
      <c r="X1950" t="str">
        <f>_xlfn.XLOOKUP(Table3[[#This Row],[Cuenta]],Estructura_Balance[Nombre Cuenta ()],Estructura_Balance[Grupos],"Grupo 1",0)</f>
        <v>Grupo 1</v>
      </c>
      <c r="Y1950" t="str">
        <f>+Table3[[#This Row],[BS_Nivel_1]]</f>
        <v/>
      </c>
    </row>
    <row r="1951" spans="1:25" ht="15" customHeight="1">
      <c r="A1951">
        <f>+'Libro Diario'!F558</f>
        <v>65</v>
      </c>
      <c r="B1951" s="144">
        <f>VALUE(IF(+'Libro Diario'!G558="","01/01/2025",+'Libro Diario'!G558))</f>
        <v>46022</v>
      </c>
      <c r="C1951">
        <f>IF(ISNUMBER(+IF(IFERROR(VALUE(MID('Libro Diario'!C558,1,4)),0)&lt;&gt;0,'Libro Diario'!C558,0))=FALSE,'Libro Diario'!C558,0)</f>
        <v>0</v>
      </c>
      <c r="D1951" s="145">
        <f>+'Libro Diario'!B558</f>
        <v>0</v>
      </c>
      <c r="E1951" s="139" t="s">
        <v>445</v>
      </c>
      <c r="F1951" t="str">
        <f t="shared" si="90"/>
        <v>Sin Mov.</v>
      </c>
      <c r="G1951" t="str">
        <f>IF(+'Libro Diario'!H558=0,"",+'Libro Diario'!H558)</f>
        <v>Determinación de Resultado Contable</v>
      </c>
      <c r="H1951" t="str">
        <f>IF(+'Libro Diario'!I558=0,"",+'Libro Diario'!I558)</f>
        <v/>
      </c>
      <c r="I1951" t="str">
        <f>+IF(Table3[[#This Row],[Tipo Movimiento]]="Estructura Balance y PyG","Excluir","Incluir")</f>
        <v>Incluir</v>
      </c>
      <c r="J1951" s="153">
        <f>+IF(Table3[[#This Row],[Sin cuenta]]="Con Mov.",(IF(Table3[[#This Row],[Movimiento]]="Debe",Table3[[#This Row],[Importe]],IF(Table3[[#This Row],[Movimiento]]="Haber",Table3[[#This Row],[Importe]]*-1,0))),0)</f>
        <v>0</v>
      </c>
      <c r="K1951" s="145">
        <f t="shared" si="91"/>
        <v>0</v>
      </c>
      <c r="L1951" s="145" t="str">
        <f t="shared" si="92"/>
        <v/>
      </c>
      <c r="M1951" t="str">
        <f>_xlfn.XLOOKUP(Table3[[#This Row],[Cuenta]],Estructura_Balance[Nombre Cuenta ()],Estructura_Balance[Grupo],"",0)</f>
        <v/>
      </c>
      <c r="N1951" t="str">
        <f>_xlfn.XLOOKUP(Table3[[#This Row],[Cuenta]],Estructura_Balance[Nombre Cuenta ()],Estructura_Balance[Nivel 1],"",0)</f>
        <v/>
      </c>
      <c r="O1951" t="str">
        <f>_xlfn.XLOOKUP(Table3[[#This Row],[Cuenta]],Estructura_Balance[Nombre Cuenta ()],Estructura_Balance[Nivel 2],"",0)</f>
        <v/>
      </c>
      <c r="P1951" t="str">
        <f>_xlfn.XLOOKUP(Table3[[#This Row],[Cuenta]],Estructura_Balance[Nombre Cuenta ()],Estructura_Balance[Nivel 3],"",0)</f>
        <v/>
      </c>
      <c r="Q1951" t="str">
        <f>_xlfn.XLOOKUP(Table3[[#This Row],[Cuenta]],Estructura_Balance[Nombre Cuenta ()],Estructura_Balance[Nivel 4],"",0)</f>
        <v/>
      </c>
      <c r="R1951" s="154" t="str">
        <f>_xlfn.XLOOKUP(Table3[[#This Row],[Cuenta]],Table8[Nombre Cuenta ()],Table8[Nivel 1],"",0)</f>
        <v/>
      </c>
      <c r="S1951" t="str">
        <f>_xlfn.XLOOKUP(Table3[[#This Row],[Cuenta]],Table8[Nombre Cuenta ()],Table8[Nivel 2],"",0)</f>
        <v/>
      </c>
      <c r="T1951" t="str">
        <f>_xlfn.XLOOKUP(Table3[[#This Row],[Cuenta]],Table8[Nombre Cuenta ()],Table8[Nivel 3],"",0)</f>
        <v/>
      </c>
      <c r="U1951">
        <v>749</v>
      </c>
      <c r="V1951" t="str">
        <f>_xlfn.XLOOKUP(Table3[[#This Row],[Cuenta]],Estructura_Balance[Nombre Cuenta ()],Estructura_Balance[Niveles:2],"",0)</f>
        <v/>
      </c>
      <c r="W1951" t="str">
        <f>_xlfn.XLOOKUP(Table3[[#This Row],[Cuenta]],Estructura_Balance[Nombre Cuenta ()],Estructura_Balance[Niveles:3],"",0)</f>
        <v/>
      </c>
      <c r="X1951" t="str">
        <f>_xlfn.XLOOKUP(Table3[[#This Row],[Cuenta]],Estructura_Balance[Nombre Cuenta ()],Estructura_Balance[Grupos],"Grupo 1",0)</f>
        <v>Grupo 1</v>
      </c>
      <c r="Y1951" t="str">
        <f>+Table3[[#This Row],[BS_Nivel_1]]</f>
        <v/>
      </c>
    </row>
    <row r="1952" spans="1:25" ht="15" customHeight="1">
      <c r="A1952" t="e">
        <f>+'Libro Diario'!#REF!</f>
        <v>#REF!</v>
      </c>
      <c r="B1952" s="144" t="e">
        <f>VALUE(IF(+'Libro Diario'!#REF!="","01/01/2025",+'Libro Diario'!#REF!))</f>
        <v>#REF!</v>
      </c>
      <c r="C1952">
        <f>IF(ISNUMBER(+IF(IFERROR(VALUE(MID('Libro Diario'!#REF!,1,4)),0)&lt;&gt;0,'Libro Diario'!#REF!,0))=FALSE,'Libro Diario'!#REF!,0)</f>
        <v>0</v>
      </c>
      <c r="D1952" s="145" t="e">
        <f>+'Libro Diario'!#REF!</f>
        <v>#REF!</v>
      </c>
      <c r="E1952" s="139" t="s">
        <v>445</v>
      </c>
      <c r="F1952" t="str">
        <f t="shared" si="90"/>
        <v>Sin Mov.</v>
      </c>
      <c r="G1952" t="e">
        <f>IF(+'Libro Diario'!#REF!=0,"",+'Libro Diario'!#REF!)</f>
        <v>#REF!</v>
      </c>
      <c r="H1952" t="e">
        <f>IF(+'Libro Diario'!#REF!=0,"",+'Libro Diario'!#REF!)</f>
        <v>#REF!</v>
      </c>
      <c r="I1952" t="e">
        <f>+IF(Table3[[#This Row],[Tipo Movimiento]]="Estructura Balance y PyG","Excluir","Incluir")</f>
        <v>#REF!</v>
      </c>
      <c r="J1952" s="153">
        <f>+IF(Table3[[#This Row],[Sin cuenta]]="Con Mov.",(IF(Table3[[#This Row],[Movimiento]]="Debe",Table3[[#This Row],[Importe]],IF(Table3[[#This Row],[Movimiento]]="Haber",Table3[[#This Row],[Importe]]*-1,0))),0)</f>
        <v>0</v>
      </c>
      <c r="K1952" s="145" t="e">
        <f t="shared" si="91"/>
        <v>#REF!</v>
      </c>
      <c r="L1952" s="145" t="str">
        <f t="shared" si="92"/>
        <v/>
      </c>
      <c r="M1952" t="str">
        <f>_xlfn.XLOOKUP(Table3[[#This Row],[Cuenta]],Estructura_Balance[Nombre Cuenta ()],Estructura_Balance[Grupo],"",0)</f>
        <v/>
      </c>
      <c r="N1952" t="str">
        <f>_xlfn.XLOOKUP(Table3[[#This Row],[Cuenta]],Estructura_Balance[Nombre Cuenta ()],Estructura_Balance[Nivel 1],"",0)</f>
        <v/>
      </c>
      <c r="O1952" t="str">
        <f>_xlfn.XLOOKUP(Table3[[#This Row],[Cuenta]],Estructura_Balance[Nombre Cuenta ()],Estructura_Balance[Nivel 2],"",0)</f>
        <v/>
      </c>
      <c r="P1952" t="str">
        <f>_xlfn.XLOOKUP(Table3[[#This Row],[Cuenta]],Estructura_Balance[Nombre Cuenta ()],Estructura_Balance[Nivel 3],"",0)</f>
        <v/>
      </c>
      <c r="Q1952" t="str">
        <f>_xlfn.XLOOKUP(Table3[[#This Row],[Cuenta]],Estructura_Balance[Nombre Cuenta ()],Estructura_Balance[Nivel 4],"",0)</f>
        <v/>
      </c>
      <c r="R1952" t="str">
        <f>_xlfn.XLOOKUP(Table3[[#This Row],[Cuenta]],Table8[Nombre Cuenta ()],Table8[Nivel 1],"",0)</f>
        <v/>
      </c>
      <c r="S1952" t="str">
        <f>_xlfn.XLOOKUP(Table3[[#This Row],[Cuenta]],Table8[Nombre Cuenta ()],Table8[Nivel 2],"",0)</f>
        <v/>
      </c>
      <c r="T1952" t="str">
        <f>_xlfn.XLOOKUP(Table3[[#This Row],[Cuenta]],Table8[Nombre Cuenta ()],Table8[Nivel 3],"",0)</f>
        <v/>
      </c>
      <c r="U1952">
        <v>750</v>
      </c>
      <c r="V1952" t="str">
        <f>_xlfn.XLOOKUP(Table3[[#This Row],[Cuenta]],Estructura_Balance[Nombre Cuenta ()],Estructura_Balance[Niveles:2],"",0)</f>
        <v/>
      </c>
      <c r="W1952" t="str">
        <f>_xlfn.XLOOKUP(Table3[[#This Row],[Cuenta]],Estructura_Balance[Nombre Cuenta ()],Estructura_Balance[Niveles:3],"",0)</f>
        <v/>
      </c>
      <c r="X1952" t="str">
        <f>_xlfn.XLOOKUP(Table3[[#This Row],[Cuenta]],Estructura_Balance[Nombre Cuenta ()],Estructura_Balance[Grupos],"Grupo 1",0)</f>
        <v>Grupo 1</v>
      </c>
      <c r="Y1952" t="str">
        <f>+Table3[[#This Row],[BS_Nivel_1]]</f>
        <v/>
      </c>
    </row>
    <row r="1953" spans="1:25" ht="15" customHeight="1">
      <c r="A1953">
        <f>+'Libro Diario'!F558</f>
        <v>65</v>
      </c>
      <c r="B1953" s="144">
        <f>VALUE(IF(+'Libro Diario'!G558="","01/01/2025",+'Libro Diario'!G558))</f>
        <v>46022</v>
      </c>
      <c r="C1953">
        <f>IF(ISNUMBER(+IF(IFERROR(VALUE(MID('Libro Diario'!D558,1,4)),0)&lt;&gt;0,'Libro Diario'!D558,0))=FALSE,'Libro Diario'!D558,0)</f>
        <v>0</v>
      </c>
      <c r="D1953" s="145">
        <f>+'Libro Diario'!E558</f>
        <v>0</v>
      </c>
      <c r="E1953" s="139" t="s">
        <v>446</v>
      </c>
      <c r="F1953" t="str">
        <f t="shared" si="90"/>
        <v>Sin Mov.</v>
      </c>
      <c r="G1953" t="str">
        <f>IF(+'Libro Diario'!H558=0,"",+'Libro Diario'!H558)</f>
        <v>Determinación de Resultado Contable</v>
      </c>
      <c r="H1953" t="str">
        <f>IF(+'Libro Diario'!I558=0,"",+'Libro Diario'!I558)</f>
        <v/>
      </c>
      <c r="I1953" t="str">
        <f>+IF(Table3[[#This Row],[Tipo Movimiento]]="Estructura Balance y PyG","Excluir","Incluir")</f>
        <v>Incluir</v>
      </c>
      <c r="J1953" s="153">
        <f>+IF(Table3[[#This Row],[Sin cuenta]]="Con Mov.",(IF(Table3[[#This Row],[Movimiento]]="Debe",Table3[[#This Row],[Importe]],IF(Table3[[#This Row],[Movimiento]]="Haber",Table3[[#This Row],[Importe]]*-1,0))),0)</f>
        <v>0</v>
      </c>
      <c r="K1953" s="145" t="str">
        <f t="shared" si="91"/>
        <v/>
      </c>
      <c r="L1953" s="145">
        <f t="shared" si="92"/>
        <v>0</v>
      </c>
      <c r="M1953" t="str">
        <f>_xlfn.XLOOKUP(Table3[[#This Row],[Cuenta]],Estructura_Balance[Nombre Cuenta ()],Estructura_Balance[Grupo],"",0)</f>
        <v/>
      </c>
      <c r="N1953" t="str">
        <f>_xlfn.XLOOKUP(Table3[[#This Row],[Cuenta]],Estructura_Balance[Nombre Cuenta ()],Estructura_Balance[Nivel 1],"",0)</f>
        <v/>
      </c>
      <c r="O1953" t="str">
        <f>_xlfn.XLOOKUP(Table3[[#This Row],[Cuenta]],Estructura_Balance[Nombre Cuenta ()],Estructura_Balance[Nivel 2],"",0)</f>
        <v/>
      </c>
      <c r="P1953" t="str">
        <f>_xlfn.XLOOKUP(Table3[[#This Row],[Cuenta]],Estructura_Balance[Nombre Cuenta ()],Estructura_Balance[Nivel 3],"",0)</f>
        <v/>
      </c>
      <c r="Q1953" t="str">
        <f>_xlfn.XLOOKUP(Table3[[#This Row],[Cuenta]],Estructura_Balance[Nombre Cuenta ()],Estructura_Balance[Nivel 4],"",0)</f>
        <v/>
      </c>
      <c r="R1953" t="str">
        <f>_xlfn.XLOOKUP(Table3[[#This Row],[Cuenta]],Table8[Nombre Cuenta ()],Table8[Nivel 1],"",0)</f>
        <v/>
      </c>
      <c r="S1953" t="str">
        <f>_xlfn.XLOOKUP(Table3[[#This Row],[Cuenta]],Table8[Nombre Cuenta ()],Table8[Nivel 2],"",0)</f>
        <v/>
      </c>
      <c r="T1953" t="str">
        <f>_xlfn.XLOOKUP(Table3[[#This Row],[Cuenta]],Table8[Nombre Cuenta ()],Table8[Nivel 3],"",0)</f>
        <v/>
      </c>
      <c r="U1953">
        <v>1951</v>
      </c>
      <c r="V1953" t="str">
        <f>_xlfn.XLOOKUP(Table3[[#This Row],[Cuenta]],Estructura_Balance[Nombre Cuenta ()],Estructura_Balance[Niveles:2],"",0)</f>
        <v/>
      </c>
      <c r="W1953" t="str">
        <f>_xlfn.XLOOKUP(Table3[[#This Row],[Cuenta]],Estructura_Balance[Nombre Cuenta ()],Estructura_Balance[Niveles:3],"",0)</f>
        <v/>
      </c>
      <c r="X1953" t="str">
        <f>_xlfn.XLOOKUP(Table3[[#This Row],[Cuenta]],Estructura_Balance[Nombre Cuenta ()],Estructura_Balance[Grupos],"Grupo 1",0)</f>
        <v>Grupo 1</v>
      </c>
      <c r="Y1953" t="str">
        <f>+Table3[[#This Row],[BS_Nivel_1]]</f>
        <v/>
      </c>
    </row>
    <row r="1954" spans="1:25" ht="15" customHeight="1">
      <c r="A1954" t="e">
        <f>+'Libro Diario'!#REF!</f>
        <v>#REF!</v>
      </c>
      <c r="B1954" s="144" t="e">
        <f>VALUE(IF(+'Libro Diario'!#REF!="","01/01/2025",+'Libro Diario'!#REF!))</f>
        <v>#REF!</v>
      </c>
      <c r="C1954">
        <f>IF(ISNUMBER(+IF(IFERROR(VALUE(MID('Libro Diario'!#REF!,1,4)),0)&lt;&gt;0,'Libro Diario'!#REF!,0))=FALSE,'Libro Diario'!#REF!,0)</f>
        <v>0</v>
      </c>
      <c r="D1954" s="145" t="e">
        <f>+'Libro Diario'!#REF!</f>
        <v>#REF!</v>
      </c>
      <c r="E1954" s="139" t="s">
        <v>446</v>
      </c>
      <c r="F1954" t="str">
        <f t="shared" si="90"/>
        <v>Sin Mov.</v>
      </c>
      <c r="G1954" t="e">
        <f>IF(+'Libro Diario'!#REF!=0,"",+'Libro Diario'!#REF!)</f>
        <v>#REF!</v>
      </c>
      <c r="H1954" t="e">
        <f>IF(+'Libro Diario'!#REF!=0,"",+'Libro Diario'!#REF!)</f>
        <v>#REF!</v>
      </c>
      <c r="I1954" t="e">
        <f>+IF(Table3[[#This Row],[Tipo Movimiento]]="Estructura Balance y PyG","Excluir","Incluir")</f>
        <v>#REF!</v>
      </c>
      <c r="J1954" s="153">
        <f>+IF(Table3[[#This Row],[Sin cuenta]]="Con Mov.",(IF(Table3[[#This Row],[Movimiento]]="Debe",Table3[[#This Row],[Importe]],IF(Table3[[#This Row],[Movimiento]]="Haber",Table3[[#This Row],[Importe]]*-1,0))),0)</f>
        <v>0</v>
      </c>
      <c r="K1954" s="145" t="str">
        <f t="shared" si="91"/>
        <v/>
      </c>
      <c r="L1954" s="145" t="e">
        <f t="shared" si="92"/>
        <v>#REF!</v>
      </c>
      <c r="M1954" t="str">
        <f>_xlfn.XLOOKUP(Table3[[#This Row],[Cuenta]],Estructura_Balance[Nombre Cuenta ()],Estructura_Balance[Grupo],"",0)</f>
        <v/>
      </c>
      <c r="N1954" t="str">
        <f>_xlfn.XLOOKUP(Table3[[#This Row],[Cuenta]],Estructura_Balance[Nombre Cuenta ()],Estructura_Balance[Nivel 1],"",0)</f>
        <v/>
      </c>
      <c r="O1954" t="str">
        <f>_xlfn.XLOOKUP(Table3[[#This Row],[Cuenta]],Estructura_Balance[Nombre Cuenta ()],Estructura_Balance[Nivel 2],"",0)</f>
        <v/>
      </c>
      <c r="P1954" t="str">
        <f>_xlfn.XLOOKUP(Table3[[#This Row],[Cuenta]],Estructura_Balance[Nombre Cuenta ()],Estructura_Balance[Nivel 3],"",0)</f>
        <v/>
      </c>
      <c r="Q1954" t="str">
        <f>_xlfn.XLOOKUP(Table3[[#This Row],[Cuenta]],Estructura_Balance[Nombre Cuenta ()],Estructura_Balance[Nivel 4],"",0)</f>
        <v/>
      </c>
      <c r="R1954" t="str">
        <f>_xlfn.XLOOKUP(Table3[[#This Row],[Cuenta]],Table8[Nombre Cuenta ()],Table8[Nivel 1],"",0)</f>
        <v/>
      </c>
      <c r="S1954" t="str">
        <f>_xlfn.XLOOKUP(Table3[[#This Row],[Cuenta]],Table8[Nombre Cuenta ()],Table8[Nivel 2],"",0)</f>
        <v/>
      </c>
      <c r="T1954" t="str">
        <f>_xlfn.XLOOKUP(Table3[[#This Row],[Cuenta]],Table8[Nombre Cuenta ()],Table8[Nivel 3],"",0)</f>
        <v/>
      </c>
      <c r="U1954">
        <v>1952</v>
      </c>
      <c r="V1954" t="str">
        <f>_xlfn.XLOOKUP(Table3[[#This Row],[Cuenta]],Estructura_Balance[Nombre Cuenta ()],Estructura_Balance[Niveles:2],"",0)</f>
        <v/>
      </c>
      <c r="W1954" t="str">
        <f>_xlfn.XLOOKUP(Table3[[#This Row],[Cuenta]],Estructura_Balance[Nombre Cuenta ()],Estructura_Balance[Niveles:3],"",0)</f>
        <v/>
      </c>
      <c r="X1954" t="str">
        <f>_xlfn.XLOOKUP(Table3[[#This Row],[Cuenta]],Estructura_Balance[Nombre Cuenta ()],Estructura_Balance[Grupos],"Grupo 1",0)</f>
        <v>Grupo 1</v>
      </c>
      <c r="Y1954" t="str">
        <f>+Table3[[#This Row],[BS_Nivel_1]]</f>
        <v/>
      </c>
    </row>
    <row r="1955" spans="1:25" ht="15" customHeight="1">
      <c r="A1955">
        <f>+'Libro Diario'!F564</f>
        <v>66</v>
      </c>
      <c r="B1955" s="144">
        <f>VALUE(IF(+'Libro Diario'!G564="","01/01/2025",+'Libro Diario'!G564))</f>
        <v>46022</v>
      </c>
      <c r="C1955">
        <f>IF(ISNUMBER(+IF(IFERROR(VALUE(MID('Libro Diario'!C564,1,4)),0)&lt;&gt;0,'Libro Diario'!C564,0))=FALSE,'Libro Diario'!C564,0)</f>
        <v>0</v>
      </c>
      <c r="D1955" s="145">
        <f>+'Libro Diario'!B564</f>
        <v>0</v>
      </c>
      <c r="E1955" s="139" t="s">
        <v>445</v>
      </c>
      <c r="F1955" t="str">
        <f t="shared" si="90"/>
        <v>Sin Mov.</v>
      </c>
      <c r="G1955" t="str">
        <f>IF(+'Libro Diario'!H564=0,"",+'Libro Diario'!H564)</f>
        <v>Asiento de Cierre</v>
      </c>
      <c r="H1955" t="str">
        <f>IF(+'Libro Diario'!I564=0,"",+'Libro Diario'!I564)</f>
        <v>Cierre de cuentas</v>
      </c>
      <c r="I1955" t="str">
        <f>+IF(Table3[[#This Row],[Tipo Movimiento]]="Estructura Balance y PyG","Excluir","Incluir")</f>
        <v>Incluir</v>
      </c>
      <c r="J1955" s="153">
        <f>+IF(Table3[[#This Row],[Sin cuenta]]="Con Mov.",(IF(Table3[[#This Row],[Movimiento]]="Debe",Table3[[#This Row],[Importe]],IF(Table3[[#This Row],[Movimiento]]="Haber",Table3[[#This Row],[Importe]]*-1,0))),0)</f>
        <v>0</v>
      </c>
      <c r="K1955" s="145">
        <f t="shared" si="91"/>
        <v>0</v>
      </c>
      <c r="L1955" s="145" t="str">
        <f t="shared" si="92"/>
        <v/>
      </c>
      <c r="M1955" t="str">
        <f>_xlfn.XLOOKUP(Table3[[#This Row],[Cuenta]],Estructura_Balance[Nombre Cuenta ()],Estructura_Balance[Grupo],"",0)</f>
        <v/>
      </c>
      <c r="N1955" t="str">
        <f>_xlfn.XLOOKUP(Table3[[#This Row],[Cuenta]],Estructura_Balance[Nombre Cuenta ()],Estructura_Balance[Nivel 1],"",0)</f>
        <v/>
      </c>
      <c r="O1955" t="str">
        <f>_xlfn.XLOOKUP(Table3[[#This Row],[Cuenta]],Estructura_Balance[Nombre Cuenta ()],Estructura_Balance[Nivel 2],"",0)</f>
        <v/>
      </c>
      <c r="P1955" t="str">
        <f>_xlfn.XLOOKUP(Table3[[#This Row],[Cuenta]],Estructura_Balance[Nombre Cuenta ()],Estructura_Balance[Nivel 3],"",0)</f>
        <v/>
      </c>
      <c r="Q1955" t="str">
        <f>_xlfn.XLOOKUP(Table3[[#This Row],[Cuenta]],Estructura_Balance[Nombre Cuenta ()],Estructura_Balance[Nivel 4],"",0)</f>
        <v/>
      </c>
      <c r="R1955" t="str">
        <f>_xlfn.XLOOKUP(Table3[[#This Row],[Cuenta]],Table8[Nombre Cuenta ()],Table8[Nivel 1],"",0)</f>
        <v/>
      </c>
      <c r="S1955" t="str">
        <f>_xlfn.XLOOKUP(Table3[[#This Row],[Cuenta]],Table8[Nombre Cuenta ()],Table8[Nivel 2],"",0)</f>
        <v/>
      </c>
      <c r="T1955" t="str">
        <f>_xlfn.XLOOKUP(Table3[[#This Row],[Cuenta]],Table8[Nombre Cuenta ()],Table8[Nivel 3],"",0)</f>
        <v/>
      </c>
      <c r="U1955">
        <v>756</v>
      </c>
      <c r="V1955" t="str">
        <f>_xlfn.XLOOKUP(Table3[[#This Row],[Cuenta]],Estructura_Balance[Nombre Cuenta ()],Estructura_Balance[Niveles:2],"",0)</f>
        <v/>
      </c>
      <c r="W1955" t="str">
        <f>_xlfn.XLOOKUP(Table3[[#This Row],[Cuenta]],Estructura_Balance[Nombre Cuenta ()],Estructura_Balance[Niveles:3],"",0)</f>
        <v/>
      </c>
      <c r="X1955" t="str">
        <f>_xlfn.XLOOKUP(Table3[[#This Row],[Cuenta]],Estructura_Balance[Nombre Cuenta ()],Estructura_Balance[Grupos],"Grupo 1",0)</f>
        <v>Grupo 1</v>
      </c>
      <c r="Y1955" t="str">
        <f>+Table3[[#This Row],[BS_Nivel_1]]</f>
        <v/>
      </c>
    </row>
    <row r="1956" spans="1:25" ht="15" customHeight="1">
      <c r="A1956">
        <f>+'Libro Diario'!F565</f>
        <v>66</v>
      </c>
      <c r="B1956" s="144">
        <f>VALUE(IF(+'Libro Diario'!G565="","01/01/2025",+'Libro Diario'!G565))</f>
        <v>46022</v>
      </c>
      <c r="C1956">
        <f>IF(ISNUMBER(+IF(IFERROR(VALUE(MID('Libro Diario'!C565,1,4)),0)&lt;&gt;0,'Libro Diario'!C565,0))=FALSE,'Libro Diario'!C565,0)</f>
        <v>0</v>
      </c>
      <c r="D1956" s="145">
        <f>+'Libro Diario'!B565</f>
        <v>0</v>
      </c>
      <c r="E1956" s="139" t="s">
        <v>445</v>
      </c>
      <c r="F1956" t="str">
        <f t="shared" si="90"/>
        <v>Sin Mov.</v>
      </c>
      <c r="G1956" t="str">
        <f>IF(+'Libro Diario'!H565=0,"",+'Libro Diario'!H565)</f>
        <v>Asiento de Cierre</v>
      </c>
      <c r="H1956" t="str">
        <f>IF(+'Libro Diario'!I565=0,"",+'Libro Diario'!I565)</f>
        <v>Cierre de cuentas</v>
      </c>
      <c r="I1956" t="str">
        <f>+IF(Table3[[#This Row],[Tipo Movimiento]]="Estructura Balance y PyG","Excluir","Incluir")</f>
        <v>Incluir</v>
      </c>
      <c r="J1956" s="153">
        <f>+IF(Table3[[#This Row],[Sin cuenta]]="Con Mov.",(IF(Table3[[#This Row],[Movimiento]]="Debe",Table3[[#This Row],[Importe]],IF(Table3[[#This Row],[Movimiento]]="Haber",Table3[[#This Row],[Importe]]*-1,0))),0)</f>
        <v>0</v>
      </c>
      <c r="K1956" s="145">
        <f t="shared" si="91"/>
        <v>0</v>
      </c>
      <c r="L1956" s="145" t="str">
        <f t="shared" si="92"/>
        <v/>
      </c>
      <c r="M1956" t="str">
        <f>_xlfn.XLOOKUP(Table3[[#This Row],[Cuenta]],Estructura_Balance[Nombre Cuenta ()],Estructura_Balance[Grupo],"",0)</f>
        <v/>
      </c>
      <c r="N1956" t="str">
        <f>_xlfn.XLOOKUP(Table3[[#This Row],[Cuenta]],Estructura_Balance[Nombre Cuenta ()],Estructura_Balance[Nivel 1],"",0)</f>
        <v/>
      </c>
      <c r="O1956" t="str">
        <f>_xlfn.XLOOKUP(Table3[[#This Row],[Cuenta]],Estructura_Balance[Nombre Cuenta ()],Estructura_Balance[Nivel 2],"",0)</f>
        <v/>
      </c>
      <c r="P1956" t="str">
        <f>_xlfn.XLOOKUP(Table3[[#This Row],[Cuenta]],Estructura_Balance[Nombre Cuenta ()],Estructura_Balance[Nivel 3],"",0)</f>
        <v/>
      </c>
      <c r="Q1956" t="str">
        <f>_xlfn.XLOOKUP(Table3[[#This Row],[Cuenta]],Estructura_Balance[Nombre Cuenta ()],Estructura_Balance[Nivel 4],"",0)</f>
        <v/>
      </c>
      <c r="R1956" s="154" t="str">
        <f>_xlfn.XLOOKUP(Table3[[#This Row],[Cuenta]],Table8[Nombre Cuenta ()],Table8[Nivel 1],"",0)</f>
        <v/>
      </c>
      <c r="S1956" t="str">
        <f>_xlfn.XLOOKUP(Table3[[#This Row],[Cuenta]],Table8[Nombre Cuenta ()],Table8[Nivel 2],"",0)</f>
        <v/>
      </c>
      <c r="T1956" t="str">
        <f>_xlfn.XLOOKUP(Table3[[#This Row],[Cuenta]],Table8[Nombre Cuenta ()],Table8[Nivel 3],"",0)</f>
        <v/>
      </c>
      <c r="U1956">
        <v>757</v>
      </c>
      <c r="V1956" t="str">
        <f>_xlfn.XLOOKUP(Table3[[#This Row],[Cuenta]],Estructura_Balance[Nombre Cuenta ()],Estructura_Balance[Niveles:2],"",0)</f>
        <v/>
      </c>
      <c r="W1956" t="str">
        <f>_xlfn.XLOOKUP(Table3[[#This Row],[Cuenta]],Estructura_Balance[Nombre Cuenta ()],Estructura_Balance[Niveles:3],"",0)</f>
        <v/>
      </c>
      <c r="X1956" t="str">
        <f>_xlfn.XLOOKUP(Table3[[#This Row],[Cuenta]],Estructura_Balance[Nombre Cuenta ()],Estructura_Balance[Grupos],"Grupo 1",0)</f>
        <v>Grupo 1</v>
      </c>
      <c r="Y1956" t="str">
        <f>+Table3[[#This Row],[BS_Nivel_1]]</f>
        <v/>
      </c>
    </row>
    <row r="1957" spans="1:25" ht="15" customHeight="1">
      <c r="A1957">
        <f>+'Libro Diario'!F566</f>
        <v>66</v>
      </c>
      <c r="B1957" s="144">
        <f>VALUE(IF(+'Libro Diario'!G566="","01/01/2025",+'Libro Diario'!G566))</f>
        <v>46022</v>
      </c>
      <c r="C1957">
        <f>IF(ISNUMBER(+IF(IFERROR(VALUE(MID('Libro Diario'!C566,1,4)),0)&lt;&gt;0,'Libro Diario'!C566,0))=FALSE,'Libro Diario'!C566,0)</f>
        <v>0</v>
      </c>
      <c r="D1957" s="145">
        <f>+'Libro Diario'!B566</f>
        <v>0</v>
      </c>
      <c r="E1957" s="139" t="s">
        <v>445</v>
      </c>
      <c r="F1957" t="str">
        <f t="shared" si="90"/>
        <v>Sin Mov.</v>
      </c>
      <c r="G1957" t="str">
        <f>IF(+'Libro Diario'!H566=0,"",+'Libro Diario'!H566)</f>
        <v>Asiento de Cierre</v>
      </c>
      <c r="H1957" t="str">
        <f>IF(+'Libro Diario'!I566=0,"",+'Libro Diario'!I566)</f>
        <v>Cierre de cuentas</v>
      </c>
      <c r="I1957" t="str">
        <f>+IF(Table3[[#This Row],[Tipo Movimiento]]="Estructura Balance y PyG","Excluir","Incluir")</f>
        <v>Incluir</v>
      </c>
      <c r="J1957" s="153">
        <f>+IF(Table3[[#This Row],[Sin cuenta]]="Con Mov.",(IF(Table3[[#This Row],[Movimiento]]="Debe",Table3[[#This Row],[Importe]],IF(Table3[[#This Row],[Movimiento]]="Haber",Table3[[#This Row],[Importe]]*-1,0))),0)</f>
        <v>0</v>
      </c>
      <c r="K1957" s="145">
        <f t="shared" si="91"/>
        <v>0</v>
      </c>
      <c r="L1957" s="145" t="str">
        <f t="shared" si="92"/>
        <v/>
      </c>
      <c r="M1957" t="str">
        <f>_xlfn.XLOOKUP(Table3[[#This Row],[Cuenta]],Estructura_Balance[Nombre Cuenta ()],Estructura_Balance[Grupo],"",0)</f>
        <v/>
      </c>
      <c r="N1957" t="str">
        <f>_xlfn.XLOOKUP(Table3[[#This Row],[Cuenta]],Estructura_Balance[Nombre Cuenta ()],Estructura_Balance[Nivel 1],"",0)</f>
        <v/>
      </c>
      <c r="O1957" t="str">
        <f>_xlfn.XLOOKUP(Table3[[#This Row],[Cuenta]],Estructura_Balance[Nombre Cuenta ()],Estructura_Balance[Nivel 2],"",0)</f>
        <v/>
      </c>
      <c r="P1957" t="str">
        <f>_xlfn.XLOOKUP(Table3[[#This Row],[Cuenta]],Estructura_Balance[Nombre Cuenta ()],Estructura_Balance[Nivel 3],"",0)</f>
        <v/>
      </c>
      <c r="Q1957" t="str">
        <f>_xlfn.XLOOKUP(Table3[[#This Row],[Cuenta]],Estructura_Balance[Nombre Cuenta ()],Estructura_Balance[Nivel 4],"",0)</f>
        <v/>
      </c>
      <c r="R1957" t="str">
        <f>_xlfn.XLOOKUP(Table3[[#This Row],[Cuenta]],Table8[Nombre Cuenta ()],Table8[Nivel 1],"",0)</f>
        <v/>
      </c>
      <c r="S1957" t="str">
        <f>_xlfn.XLOOKUP(Table3[[#This Row],[Cuenta]],Table8[Nombre Cuenta ()],Table8[Nivel 2],"",0)</f>
        <v/>
      </c>
      <c r="T1957" t="str">
        <f>_xlfn.XLOOKUP(Table3[[#This Row],[Cuenta]],Table8[Nombre Cuenta ()],Table8[Nivel 3],"",0)</f>
        <v/>
      </c>
      <c r="U1957">
        <v>758</v>
      </c>
      <c r="V1957" t="str">
        <f>_xlfn.XLOOKUP(Table3[[#This Row],[Cuenta]],Estructura_Balance[Nombre Cuenta ()],Estructura_Balance[Niveles:2],"",0)</f>
        <v/>
      </c>
      <c r="W1957" t="str">
        <f>_xlfn.XLOOKUP(Table3[[#This Row],[Cuenta]],Estructura_Balance[Nombre Cuenta ()],Estructura_Balance[Niveles:3],"",0)</f>
        <v/>
      </c>
      <c r="X1957" t="str">
        <f>_xlfn.XLOOKUP(Table3[[#This Row],[Cuenta]],Estructura_Balance[Nombre Cuenta ()],Estructura_Balance[Grupos],"Grupo 1",0)</f>
        <v>Grupo 1</v>
      </c>
      <c r="Y1957" t="str">
        <f>+Table3[[#This Row],[BS_Nivel_1]]</f>
        <v/>
      </c>
    </row>
    <row r="1958" spans="1:25" ht="15" customHeight="1">
      <c r="A1958">
        <f>+'Libro Diario'!F567</f>
        <v>66</v>
      </c>
      <c r="B1958" s="144">
        <f>VALUE(IF(+'Libro Diario'!G567="","01/01/2025",+'Libro Diario'!G567))</f>
        <v>46022</v>
      </c>
      <c r="C1958">
        <f>IF(ISNUMBER(+IF(IFERROR(VALUE(MID('Libro Diario'!C567,1,4)),0)&lt;&gt;0,'Libro Diario'!C567,0))=FALSE,'Libro Diario'!C567,0)</f>
        <v>0</v>
      </c>
      <c r="D1958" s="145">
        <f>+'Libro Diario'!B567</f>
        <v>0</v>
      </c>
      <c r="E1958" s="139" t="s">
        <v>445</v>
      </c>
      <c r="F1958" t="str">
        <f t="shared" si="90"/>
        <v>Sin Mov.</v>
      </c>
      <c r="G1958" t="str">
        <f>IF(+'Libro Diario'!H567=0,"",+'Libro Diario'!H567)</f>
        <v>Asiento de Cierre</v>
      </c>
      <c r="H1958" t="str">
        <f>IF(+'Libro Diario'!I567=0,"",+'Libro Diario'!I567)</f>
        <v>Cierre de cuentas</v>
      </c>
      <c r="I1958" t="str">
        <f>+IF(Table3[[#This Row],[Tipo Movimiento]]="Estructura Balance y PyG","Excluir","Incluir")</f>
        <v>Incluir</v>
      </c>
      <c r="J1958" s="153">
        <f>+IF(Table3[[#This Row],[Sin cuenta]]="Con Mov.",(IF(Table3[[#This Row],[Movimiento]]="Debe",Table3[[#This Row],[Importe]],IF(Table3[[#This Row],[Movimiento]]="Haber",Table3[[#This Row],[Importe]]*-1,0))),0)</f>
        <v>0</v>
      </c>
      <c r="K1958" s="145">
        <f t="shared" si="91"/>
        <v>0</v>
      </c>
      <c r="L1958" s="145" t="str">
        <f t="shared" si="92"/>
        <v/>
      </c>
      <c r="M1958" t="str">
        <f>_xlfn.XLOOKUP(Table3[[#This Row],[Cuenta]],Estructura_Balance[Nombre Cuenta ()],Estructura_Balance[Grupo],"",0)</f>
        <v/>
      </c>
      <c r="N1958" t="str">
        <f>_xlfn.XLOOKUP(Table3[[#This Row],[Cuenta]],Estructura_Balance[Nombre Cuenta ()],Estructura_Balance[Nivel 1],"",0)</f>
        <v/>
      </c>
      <c r="O1958" t="str">
        <f>_xlfn.XLOOKUP(Table3[[#This Row],[Cuenta]],Estructura_Balance[Nombre Cuenta ()],Estructura_Balance[Nivel 2],"",0)</f>
        <v/>
      </c>
      <c r="P1958" t="str">
        <f>_xlfn.XLOOKUP(Table3[[#This Row],[Cuenta]],Estructura_Balance[Nombre Cuenta ()],Estructura_Balance[Nivel 3],"",0)</f>
        <v/>
      </c>
      <c r="Q1958" t="str">
        <f>_xlfn.XLOOKUP(Table3[[#This Row],[Cuenta]],Estructura_Balance[Nombre Cuenta ()],Estructura_Balance[Nivel 4],"",0)</f>
        <v/>
      </c>
      <c r="R1958" s="154" t="str">
        <f>_xlfn.XLOOKUP(Table3[[#This Row],[Cuenta]],Table8[Nombre Cuenta ()],Table8[Nivel 1],"",0)</f>
        <v/>
      </c>
      <c r="S1958" t="str">
        <f>_xlfn.XLOOKUP(Table3[[#This Row],[Cuenta]],Table8[Nombre Cuenta ()],Table8[Nivel 2],"",0)</f>
        <v/>
      </c>
      <c r="T1958" t="str">
        <f>_xlfn.XLOOKUP(Table3[[#This Row],[Cuenta]],Table8[Nombre Cuenta ()],Table8[Nivel 3],"",0)</f>
        <v/>
      </c>
      <c r="U1958">
        <v>759</v>
      </c>
      <c r="V1958" t="str">
        <f>_xlfn.XLOOKUP(Table3[[#This Row],[Cuenta]],Estructura_Balance[Nombre Cuenta ()],Estructura_Balance[Niveles:2],"",0)</f>
        <v/>
      </c>
      <c r="W1958" t="str">
        <f>_xlfn.XLOOKUP(Table3[[#This Row],[Cuenta]],Estructura_Balance[Nombre Cuenta ()],Estructura_Balance[Niveles:3],"",0)</f>
        <v/>
      </c>
      <c r="X1958" t="str">
        <f>_xlfn.XLOOKUP(Table3[[#This Row],[Cuenta]],Estructura_Balance[Nombre Cuenta ()],Estructura_Balance[Grupos],"Grupo 1",0)</f>
        <v>Grupo 1</v>
      </c>
      <c r="Y1958" t="str">
        <f>+Table3[[#This Row],[BS_Nivel_1]]</f>
        <v/>
      </c>
    </row>
    <row r="1959" spans="1:25" ht="15" customHeight="1">
      <c r="A1959">
        <f>+'Libro Diario'!F568</f>
        <v>66</v>
      </c>
      <c r="B1959" s="144">
        <f>VALUE(IF(+'Libro Diario'!G568="","01/01/2025",+'Libro Diario'!G568))</f>
        <v>46022</v>
      </c>
      <c r="C1959">
        <f>IF(ISNUMBER(+IF(IFERROR(VALUE(MID('Libro Diario'!C568,1,4)),0)&lt;&gt;0,'Libro Diario'!C568,0))=FALSE,'Libro Diario'!C568,0)</f>
        <v>0</v>
      </c>
      <c r="D1959" s="145">
        <f>+'Libro Diario'!B568</f>
        <v>0</v>
      </c>
      <c r="E1959" s="139" t="s">
        <v>445</v>
      </c>
      <c r="F1959" t="str">
        <f t="shared" si="90"/>
        <v>Sin Mov.</v>
      </c>
      <c r="G1959" t="str">
        <f>IF(+'Libro Diario'!H568=0,"",+'Libro Diario'!H568)</f>
        <v>Asiento de Cierre</v>
      </c>
      <c r="H1959" t="str">
        <f>IF(+'Libro Diario'!I568=0,"",+'Libro Diario'!I568)</f>
        <v>Cierre de cuentas</v>
      </c>
      <c r="I1959" t="str">
        <f>+IF(Table3[[#This Row],[Tipo Movimiento]]="Estructura Balance y PyG","Excluir","Incluir")</f>
        <v>Incluir</v>
      </c>
      <c r="J1959" s="153">
        <f>+IF(Table3[[#This Row],[Sin cuenta]]="Con Mov.",(IF(Table3[[#This Row],[Movimiento]]="Debe",Table3[[#This Row],[Importe]],IF(Table3[[#This Row],[Movimiento]]="Haber",Table3[[#This Row],[Importe]]*-1,0))),0)</f>
        <v>0</v>
      </c>
      <c r="K1959" s="145">
        <f t="shared" si="91"/>
        <v>0</v>
      </c>
      <c r="L1959" s="145" t="str">
        <f t="shared" si="92"/>
        <v/>
      </c>
      <c r="M1959" t="str">
        <f>_xlfn.XLOOKUP(Table3[[#This Row],[Cuenta]],Estructura_Balance[Nombre Cuenta ()],Estructura_Balance[Grupo],"",0)</f>
        <v/>
      </c>
      <c r="N1959" t="str">
        <f>_xlfn.XLOOKUP(Table3[[#This Row],[Cuenta]],Estructura_Balance[Nombre Cuenta ()],Estructura_Balance[Nivel 1],"",0)</f>
        <v/>
      </c>
      <c r="O1959" t="str">
        <f>_xlfn.XLOOKUP(Table3[[#This Row],[Cuenta]],Estructura_Balance[Nombre Cuenta ()],Estructura_Balance[Nivel 2],"",0)</f>
        <v/>
      </c>
      <c r="P1959" t="str">
        <f>_xlfn.XLOOKUP(Table3[[#This Row],[Cuenta]],Estructura_Balance[Nombre Cuenta ()],Estructura_Balance[Nivel 3],"",0)</f>
        <v/>
      </c>
      <c r="Q1959" t="str">
        <f>_xlfn.XLOOKUP(Table3[[#This Row],[Cuenta]],Estructura_Balance[Nombre Cuenta ()],Estructura_Balance[Nivel 4],"",0)</f>
        <v/>
      </c>
      <c r="R1959" s="154" t="str">
        <f>_xlfn.XLOOKUP(Table3[[#This Row],[Cuenta]],Table8[Nombre Cuenta ()],Table8[Nivel 1],"",0)</f>
        <v/>
      </c>
      <c r="S1959" t="str">
        <f>_xlfn.XLOOKUP(Table3[[#This Row],[Cuenta]],Table8[Nombre Cuenta ()],Table8[Nivel 2],"",0)</f>
        <v/>
      </c>
      <c r="T1959" t="str">
        <f>_xlfn.XLOOKUP(Table3[[#This Row],[Cuenta]],Table8[Nombre Cuenta ()],Table8[Nivel 3],"",0)</f>
        <v/>
      </c>
      <c r="U1959">
        <v>760</v>
      </c>
      <c r="V1959" t="str">
        <f>_xlfn.XLOOKUP(Table3[[#This Row],[Cuenta]],Estructura_Balance[Nombre Cuenta ()],Estructura_Balance[Niveles:2],"",0)</f>
        <v/>
      </c>
      <c r="W1959" t="str">
        <f>_xlfn.XLOOKUP(Table3[[#This Row],[Cuenta]],Estructura_Balance[Nombre Cuenta ()],Estructura_Balance[Niveles:3],"",0)</f>
        <v/>
      </c>
      <c r="X1959" t="str">
        <f>_xlfn.XLOOKUP(Table3[[#This Row],[Cuenta]],Estructura_Balance[Nombre Cuenta ()],Estructura_Balance[Grupos],"Grupo 1",0)</f>
        <v>Grupo 1</v>
      </c>
      <c r="Y1959" t="str">
        <f>+Table3[[#This Row],[BS_Nivel_1]]</f>
        <v/>
      </c>
    </row>
    <row r="1960" spans="1:25" ht="15" customHeight="1">
      <c r="A1960">
        <f>+'Libro Diario'!F569</f>
        <v>66</v>
      </c>
      <c r="B1960" s="144">
        <f>VALUE(IF(+'Libro Diario'!G569="","01/01/2025",+'Libro Diario'!G569))</f>
        <v>46022</v>
      </c>
      <c r="C1960">
        <f>IF(ISNUMBER(+IF(IFERROR(VALUE(MID('Libro Diario'!C569,1,4)),0)&lt;&gt;0,'Libro Diario'!C569,0))=FALSE,'Libro Diario'!C569,0)</f>
        <v>0</v>
      </c>
      <c r="D1960" s="145">
        <f>+'Libro Diario'!B569</f>
        <v>0</v>
      </c>
      <c r="E1960" s="139" t="s">
        <v>445</v>
      </c>
      <c r="F1960" t="str">
        <f t="shared" si="90"/>
        <v>Sin Mov.</v>
      </c>
      <c r="G1960" t="str">
        <f>IF(+'Libro Diario'!H569=0,"",+'Libro Diario'!H569)</f>
        <v>Asiento de Cierre</v>
      </c>
      <c r="H1960" t="str">
        <f>IF(+'Libro Diario'!I569=0,"",+'Libro Diario'!I569)</f>
        <v>Cierre de cuentas</v>
      </c>
      <c r="I1960" t="str">
        <f>+IF(Table3[[#This Row],[Tipo Movimiento]]="Estructura Balance y PyG","Excluir","Incluir")</f>
        <v>Incluir</v>
      </c>
      <c r="J1960" s="153">
        <f>+IF(Table3[[#This Row],[Sin cuenta]]="Con Mov.",(IF(Table3[[#This Row],[Movimiento]]="Debe",Table3[[#This Row],[Importe]],IF(Table3[[#This Row],[Movimiento]]="Haber",Table3[[#This Row],[Importe]]*-1,0))),0)</f>
        <v>0</v>
      </c>
      <c r="K1960" s="145">
        <f t="shared" si="91"/>
        <v>0</v>
      </c>
      <c r="L1960" s="145" t="str">
        <f t="shared" si="92"/>
        <v/>
      </c>
      <c r="M1960" t="str">
        <f>_xlfn.XLOOKUP(Table3[[#This Row],[Cuenta]],Estructura_Balance[Nombre Cuenta ()],Estructura_Balance[Grupo],"",0)</f>
        <v/>
      </c>
      <c r="N1960" t="str">
        <f>_xlfn.XLOOKUP(Table3[[#This Row],[Cuenta]],Estructura_Balance[Nombre Cuenta ()],Estructura_Balance[Nivel 1],"",0)</f>
        <v/>
      </c>
      <c r="O1960" t="str">
        <f>_xlfn.XLOOKUP(Table3[[#This Row],[Cuenta]],Estructura_Balance[Nombre Cuenta ()],Estructura_Balance[Nivel 2],"",0)</f>
        <v/>
      </c>
      <c r="P1960" t="str">
        <f>_xlfn.XLOOKUP(Table3[[#This Row],[Cuenta]],Estructura_Balance[Nombre Cuenta ()],Estructura_Balance[Nivel 3],"",0)</f>
        <v/>
      </c>
      <c r="Q1960" t="str">
        <f>_xlfn.XLOOKUP(Table3[[#This Row],[Cuenta]],Estructura_Balance[Nombre Cuenta ()],Estructura_Balance[Nivel 4],"",0)</f>
        <v/>
      </c>
      <c r="R1960" s="154" t="str">
        <f>_xlfn.XLOOKUP(Table3[[#This Row],[Cuenta]],Table8[Nombre Cuenta ()],Table8[Nivel 1],"",0)</f>
        <v/>
      </c>
      <c r="S1960" t="str">
        <f>_xlfn.XLOOKUP(Table3[[#This Row],[Cuenta]],Table8[Nombre Cuenta ()],Table8[Nivel 2],"",0)</f>
        <v/>
      </c>
      <c r="T1960" t="str">
        <f>_xlfn.XLOOKUP(Table3[[#This Row],[Cuenta]],Table8[Nombre Cuenta ()],Table8[Nivel 3],"",0)</f>
        <v/>
      </c>
      <c r="U1960">
        <v>761</v>
      </c>
      <c r="V1960" t="str">
        <f>_xlfn.XLOOKUP(Table3[[#This Row],[Cuenta]],Estructura_Balance[Nombre Cuenta ()],Estructura_Balance[Niveles:2],"",0)</f>
        <v/>
      </c>
      <c r="W1960" t="str">
        <f>_xlfn.XLOOKUP(Table3[[#This Row],[Cuenta]],Estructura_Balance[Nombre Cuenta ()],Estructura_Balance[Niveles:3],"",0)</f>
        <v/>
      </c>
      <c r="X1960" t="str">
        <f>_xlfn.XLOOKUP(Table3[[#This Row],[Cuenta]],Estructura_Balance[Nombre Cuenta ()],Estructura_Balance[Grupos],"Grupo 1",0)</f>
        <v>Grupo 1</v>
      </c>
      <c r="Y1960" t="str">
        <f>+Table3[[#This Row],[BS_Nivel_1]]</f>
        <v/>
      </c>
    </row>
    <row r="1961" spans="1:25" ht="15" customHeight="1">
      <c r="A1961">
        <f>+'Libro Diario'!F570</f>
        <v>66</v>
      </c>
      <c r="B1961" s="144">
        <f>VALUE(IF(+'Libro Diario'!G570="","01/01/2025",+'Libro Diario'!G570))</f>
        <v>46022</v>
      </c>
      <c r="C1961">
        <f>IF(ISNUMBER(+IF(IFERROR(VALUE(MID('Libro Diario'!C570,1,4)),0)&lt;&gt;0,'Libro Diario'!C570,0))=FALSE,'Libro Diario'!C570,0)</f>
        <v>0</v>
      </c>
      <c r="D1961" s="145">
        <f>+'Libro Diario'!B570</f>
        <v>0</v>
      </c>
      <c r="E1961" s="139" t="s">
        <v>445</v>
      </c>
      <c r="F1961" t="str">
        <f t="shared" si="90"/>
        <v>Sin Mov.</v>
      </c>
      <c r="G1961" t="str">
        <f>IF(+'Libro Diario'!H570=0,"",+'Libro Diario'!H570)</f>
        <v>Asiento de Cierre</v>
      </c>
      <c r="H1961" t="str">
        <f>IF(+'Libro Diario'!I570=0,"",+'Libro Diario'!I570)</f>
        <v>Cierre de cuentas</v>
      </c>
      <c r="I1961" t="str">
        <f>+IF(Table3[[#This Row],[Tipo Movimiento]]="Estructura Balance y PyG","Excluir","Incluir")</f>
        <v>Incluir</v>
      </c>
      <c r="J1961" s="153">
        <f>+IF(Table3[[#This Row],[Sin cuenta]]="Con Mov.",(IF(Table3[[#This Row],[Movimiento]]="Debe",Table3[[#This Row],[Importe]],IF(Table3[[#This Row],[Movimiento]]="Haber",Table3[[#This Row],[Importe]]*-1,0))),0)</f>
        <v>0</v>
      </c>
      <c r="K1961" s="145">
        <f t="shared" si="91"/>
        <v>0</v>
      </c>
      <c r="L1961" s="145" t="str">
        <f t="shared" si="92"/>
        <v/>
      </c>
      <c r="M1961" t="str">
        <f>_xlfn.XLOOKUP(Table3[[#This Row],[Cuenta]],Estructura_Balance[Nombre Cuenta ()],Estructura_Balance[Grupo],"",0)</f>
        <v/>
      </c>
      <c r="N1961" t="str">
        <f>_xlfn.XLOOKUP(Table3[[#This Row],[Cuenta]],Estructura_Balance[Nombre Cuenta ()],Estructura_Balance[Nivel 1],"",0)</f>
        <v/>
      </c>
      <c r="O1961" t="str">
        <f>_xlfn.XLOOKUP(Table3[[#This Row],[Cuenta]],Estructura_Balance[Nombre Cuenta ()],Estructura_Balance[Nivel 2],"",0)</f>
        <v/>
      </c>
      <c r="P1961" t="str">
        <f>_xlfn.XLOOKUP(Table3[[#This Row],[Cuenta]],Estructura_Balance[Nombre Cuenta ()],Estructura_Balance[Nivel 3],"",0)</f>
        <v/>
      </c>
      <c r="Q1961" t="str">
        <f>_xlfn.XLOOKUP(Table3[[#This Row],[Cuenta]],Estructura_Balance[Nombre Cuenta ()],Estructura_Balance[Nivel 4],"",0)</f>
        <v/>
      </c>
      <c r="R1961" t="str">
        <f>_xlfn.XLOOKUP(Table3[[#This Row],[Cuenta]],Table8[Nombre Cuenta ()],Table8[Nivel 1],"",0)</f>
        <v/>
      </c>
      <c r="S1961" t="str">
        <f>_xlfn.XLOOKUP(Table3[[#This Row],[Cuenta]],Table8[Nombre Cuenta ()],Table8[Nivel 2],"",0)</f>
        <v/>
      </c>
      <c r="T1961" t="str">
        <f>_xlfn.XLOOKUP(Table3[[#This Row],[Cuenta]],Table8[Nombre Cuenta ()],Table8[Nivel 3],"",0)</f>
        <v/>
      </c>
      <c r="U1961">
        <v>762</v>
      </c>
      <c r="V1961" t="str">
        <f>_xlfn.XLOOKUP(Table3[[#This Row],[Cuenta]],Estructura_Balance[Nombre Cuenta ()],Estructura_Balance[Niveles:2],"",0)</f>
        <v/>
      </c>
      <c r="W1961" t="str">
        <f>_xlfn.XLOOKUP(Table3[[#This Row],[Cuenta]],Estructura_Balance[Nombre Cuenta ()],Estructura_Balance[Niveles:3],"",0)</f>
        <v/>
      </c>
      <c r="X1961" t="str">
        <f>_xlfn.XLOOKUP(Table3[[#This Row],[Cuenta]],Estructura_Balance[Nombre Cuenta ()],Estructura_Balance[Grupos],"Grupo 1",0)</f>
        <v>Grupo 1</v>
      </c>
      <c r="Y1961" t="str">
        <f>+Table3[[#This Row],[BS_Nivel_1]]</f>
        <v/>
      </c>
    </row>
    <row r="1962" spans="1:25" ht="15" customHeight="1">
      <c r="A1962">
        <f>+'Libro Diario'!F571</f>
        <v>66</v>
      </c>
      <c r="B1962" s="144">
        <f>VALUE(IF(+'Libro Diario'!G571="","01/01/2025",+'Libro Diario'!G571))</f>
        <v>46022</v>
      </c>
      <c r="C1962">
        <f>IF(ISNUMBER(+IF(IFERROR(VALUE(MID('Libro Diario'!C571,1,4)),0)&lt;&gt;0,'Libro Diario'!C571,0))=FALSE,'Libro Diario'!C571,0)</f>
        <v>0</v>
      </c>
      <c r="D1962" s="145">
        <f>+'Libro Diario'!B571</f>
        <v>0</v>
      </c>
      <c r="E1962" s="139" t="s">
        <v>445</v>
      </c>
      <c r="F1962" t="str">
        <f t="shared" si="90"/>
        <v>Sin Mov.</v>
      </c>
      <c r="G1962" t="str">
        <f>IF(+'Libro Diario'!H571=0,"",+'Libro Diario'!H571)</f>
        <v>Asiento de Cierre</v>
      </c>
      <c r="H1962" t="str">
        <f>IF(+'Libro Diario'!I571=0,"",+'Libro Diario'!I571)</f>
        <v>Cierre de cuentas</v>
      </c>
      <c r="I1962" t="str">
        <f>+IF(Table3[[#This Row],[Tipo Movimiento]]="Estructura Balance y PyG","Excluir","Incluir")</f>
        <v>Incluir</v>
      </c>
      <c r="J1962" s="153">
        <f>+IF(Table3[[#This Row],[Sin cuenta]]="Con Mov.",(IF(Table3[[#This Row],[Movimiento]]="Debe",Table3[[#This Row],[Importe]],IF(Table3[[#This Row],[Movimiento]]="Haber",Table3[[#This Row],[Importe]]*-1,0))),0)</f>
        <v>0</v>
      </c>
      <c r="K1962" s="145">
        <f t="shared" si="91"/>
        <v>0</v>
      </c>
      <c r="L1962" s="145" t="str">
        <f t="shared" si="92"/>
        <v/>
      </c>
      <c r="M1962" t="str">
        <f>_xlfn.XLOOKUP(Table3[[#This Row],[Cuenta]],Estructura_Balance[Nombre Cuenta ()],Estructura_Balance[Grupo],"",0)</f>
        <v/>
      </c>
      <c r="N1962" t="str">
        <f>_xlfn.XLOOKUP(Table3[[#This Row],[Cuenta]],Estructura_Balance[Nombre Cuenta ()],Estructura_Balance[Nivel 1],"",0)</f>
        <v/>
      </c>
      <c r="O1962" t="str">
        <f>_xlfn.XLOOKUP(Table3[[#This Row],[Cuenta]],Estructura_Balance[Nombre Cuenta ()],Estructura_Balance[Nivel 2],"",0)</f>
        <v/>
      </c>
      <c r="P1962" t="str">
        <f>_xlfn.XLOOKUP(Table3[[#This Row],[Cuenta]],Estructura_Balance[Nombre Cuenta ()],Estructura_Balance[Nivel 3],"",0)</f>
        <v/>
      </c>
      <c r="Q1962" t="str">
        <f>_xlfn.XLOOKUP(Table3[[#This Row],[Cuenta]],Estructura_Balance[Nombre Cuenta ()],Estructura_Balance[Nivel 4],"",0)</f>
        <v/>
      </c>
      <c r="R1962" s="154" t="str">
        <f>_xlfn.XLOOKUP(Table3[[#This Row],[Cuenta]],Table8[Nombre Cuenta ()],Table8[Nivel 1],"",0)</f>
        <v/>
      </c>
      <c r="S1962" t="str">
        <f>_xlfn.XLOOKUP(Table3[[#This Row],[Cuenta]],Table8[Nombre Cuenta ()],Table8[Nivel 2],"",0)</f>
        <v/>
      </c>
      <c r="T1962" t="str">
        <f>_xlfn.XLOOKUP(Table3[[#This Row],[Cuenta]],Table8[Nombre Cuenta ()],Table8[Nivel 3],"",0)</f>
        <v/>
      </c>
      <c r="U1962">
        <v>763</v>
      </c>
      <c r="V1962" t="str">
        <f>_xlfn.XLOOKUP(Table3[[#This Row],[Cuenta]],Estructura_Balance[Nombre Cuenta ()],Estructura_Balance[Niveles:2],"",0)</f>
        <v/>
      </c>
      <c r="W1962" t="str">
        <f>_xlfn.XLOOKUP(Table3[[#This Row],[Cuenta]],Estructura_Balance[Nombre Cuenta ()],Estructura_Balance[Niveles:3],"",0)</f>
        <v/>
      </c>
      <c r="X1962" t="str">
        <f>_xlfn.XLOOKUP(Table3[[#This Row],[Cuenta]],Estructura_Balance[Nombre Cuenta ()],Estructura_Balance[Grupos],"Grupo 1",0)</f>
        <v>Grupo 1</v>
      </c>
      <c r="Y1962" t="str">
        <f>+Table3[[#This Row],[BS_Nivel_1]]</f>
        <v/>
      </c>
    </row>
    <row r="1963" spans="1:25" ht="15" customHeight="1">
      <c r="A1963">
        <f>+'Libro Diario'!F572</f>
        <v>66</v>
      </c>
      <c r="B1963" s="144">
        <f>VALUE(IF(+'Libro Diario'!G572="","01/01/2025",+'Libro Diario'!G572))</f>
        <v>46022</v>
      </c>
      <c r="C1963">
        <f>IF(ISNUMBER(+IF(IFERROR(VALUE(MID('Libro Diario'!C572,1,4)),0)&lt;&gt;0,'Libro Diario'!C572,0))=FALSE,'Libro Diario'!C572,0)</f>
        <v>0</v>
      </c>
      <c r="D1963" s="145">
        <f>+'Libro Diario'!B572</f>
        <v>0</v>
      </c>
      <c r="E1963" s="139" t="s">
        <v>445</v>
      </c>
      <c r="F1963" t="str">
        <f t="shared" si="90"/>
        <v>Sin Mov.</v>
      </c>
      <c r="G1963" t="str">
        <f>IF(+'Libro Diario'!H572=0,"",+'Libro Diario'!H572)</f>
        <v>Asiento de Cierre</v>
      </c>
      <c r="H1963" t="str">
        <f>IF(+'Libro Diario'!I572=0,"",+'Libro Diario'!I572)</f>
        <v>Cierre de cuentas</v>
      </c>
      <c r="I1963" t="str">
        <f>+IF(Table3[[#This Row],[Tipo Movimiento]]="Estructura Balance y PyG","Excluir","Incluir")</f>
        <v>Incluir</v>
      </c>
      <c r="J1963" s="153">
        <f>+IF(Table3[[#This Row],[Sin cuenta]]="Con Mov.",(IF(Table3[[#This Row],[Movimiento]]="Debe",Table3[[#This Row],[Importe]],IF(Table3[[#This Row],[Movimiento]]="Haber",Table3[[#This Row],[Importe]]*-1,0))),0)</f>
        <v>0</v>
      </c>
      <c r="K1963" s="145">
        <f t="shared" si="91"/>
        <v>0</v>
      </c>
      <c r="L1963" s="145" t="str">
        <f t="shared" si="92"/>
        <v/>
      </c>
      <c r="M1963" t="str">
        <f>_xlfn.XLOOKUP(Table3[[#This Row],[Cuenta]],Estructura_Balance[Nombre Cuenta ()],Estructura_Balance[Grupo],"",0)</f>
        <v/>
      </c>
      <c r="N1963" t="str">
        <f>_xlfn.XLOOKUP(Table3[[#This Row],[Cuenta]],Estructura_Balance[Nombre Cuenta ()],Estructura_Balance[Nivel 1],"",0)</f>
        <v/>
      </c>
      <c r="O1963" t="str">
        <f>_xlfn.XLOOKUP(Table3[[#This Row],[Cuenta]],Estructura_Balance[Nombre Cuenta ()],Estructura_Balance[Nivel 2],"",0)</f>
        <v/>
      </c>
      <c r="P1963" t="str">
        <f>_xlfn.XLOOKUP(Table3[[#This Row],[Cuenta]],Estructura_Balance[Nombre Cuenta ()],Estructura_Balance[Nivel 3],"",0)</f>
        <v/>
      </c>
      <c r="Q1963" t="str">
        <f>_xlfn.XLOOKUP(Table3[[#This Row],[Cuenta]],Estructura_Balance[Nombre Cuenta ()],Estructura_Balance[Nivel 4],"",0)</f>
        <v/>
      </c>
      <c r="R1963" t="str">
        <f>_xlfn.XLOOKUP(Table3[[#This Row],[Cuenta]],Table8[Nombre Cuenta ()],Table8[Nivel 1],"",0)</f>
        <v/>
      </c>
      <c r="S1963" t="str">
        <f>_xlfn.XLOOKUP(Table3[[#This Row],[Cuenta]],Table8[Nombre Cuenta ()],Table8[Nivel 2],"",0)</f>
        <v/>
      </c>
      <c r="T1963" t="str">
        <f>_xlfn.XLOOKUP(Table3[[#This Row],[Cuenta]],Table8[Nombre Cuenta ()],Table8[Nivel 3],"",0)</f>
        <v/>
      </c>
      <c r="U1963">
        <v>764</v>
      </c>
      <c r="V1963" t="str">
        <f>_xlfn.XLOOKUP(Table3[[#This Row],[Cuenta]],Estructura_Balance[Nombre Cuenta ()],Estructura_Balance[Niveles:2],"",0)</f>
        <v/>
      </c>
      <c r="W1963" t="str">
        <f>_xlfn.XLOOKUP(Table3[[#This Row],[Cuenta]],Estructura_Balance[Nombre Cuenta ()],Estructura_Balance[Niveles:3],"",0)</f>
        <v/>
      </c>
      <c r="X1963" t="str">
        <f>_xlfn.XLOOKUP(Table3[[#This Row],[Cuenta]],Estructura_Balance[Nombre Cuenta ()],Estructura_Balance[Grupos],"Grupo 1",0)</f>
        <v>Grupo 1</v>
      </c>
      <c r="Y1963" t="str">
        <f>+Table3[[#This Row],[BS_Nivel_1]]</f>
        <v/>
      </c>
    </row>
    <row r="1964" spans="1:25" ht="15" customHeight="1">
      <c r="A1964">
        <f>+'Libro Diario'!F573</f>
        <v>66</v>
      </c>
      <c r="B1964" s="144">
        <f>VALUE(IF(+'Libro Diario'!G573="","01/01/2025",+'Libro Diario'!G573))</f>
        <v>46022</v>
      </c>
      <c r="C1964">
        <f>IF(ISNUMBER(+IF(IFERROR(VALUE(MID('Libro Diario'!C573,1,4)),0)&lt;&gt;0,'Libro Diario'!C573,0))=FALSE,'Libro Diario'!C573,0)</f>
        <v>0</v>
      </c>
      <c r="D1964" s="145">
        <f>+'Libro Diario'!B573</f>
        <v>0</v>
      </c>
      <c r="E1964" s="139" t="s">
        <v>445</v>
      </c>
      <c r="F1964" t="str">
        <f t="shared" si="90"/>
        <v>Sin Mov.</v>
      </c>
      <c r="G1964" t="str">
        <f>IF(+'Libro Diario'!H573=0,"",+'Libro Diario'!H573)</f>
        <v>Asiento de Cierre</v>
      </c>
      <c r="H1964" t="str">
        <f>IF(+'Libro Diario'!I573=0,"",+'Libro Diario'!I573)</f>
        <v>Cierre de cuentas</v>
      </c>
      <c r="I1964" t="str">
        <f>+IF(Table3[[#This Row],[Tipo Movimiento]]="Estructura Balance y PyG","Excluir","Incluir")</f>
        <v>Incluir</v>
      </c>
      <c r="J1964" s="153">
        <f>+IF(Table3[[#This Row],[Sin cuenta]]="Con Mov.",(IF(Table3[[#This Row],[Movimiento]]="Debe",Table3[[#This Row],[Importe]],IF(Table3[[#This Row],[Movimiento]]="Haber",Table3[[#This Row],[Importe]]*-1,0))),0)</f>
        <v>0</v>
      </c>
      <c r="K1964" s="145">
        <f t="shared" si="91"/>
        <v>0</v>
      </c>
      <c r="L1964" s="145" t="str">
        <f t="shared" si="92"/>
        <v/>
      </c>
      <c r="M1964" t="str">
        <f>_xlfn.XLOOKUP(Table3[[#This Row],[Cuenta]],Estructura_Balance[Nombre Cuenta ()],Estructura_Balance[Grupo],"",0)</f>
        <v/>
      </c>
      <c r="N1964" t="str">
        <f>_xlfn.XLOOKUP(Table3[[#This Row],[Cuenta]],Estructura_Balance[Nombre Cuenta ()],Estructura_Balance[Nivel 1],"",0)</f>
        <v/>
      </c>
      <c r="O1964" t="str">
        <f>_xlfn.XLOOKUP(Table3[[#This Row],[Cuenta]],Estructura_Balance[Nombre Cuenta ()],Estructura_Balance[Nivel 2],"",0)</f>
        <v/>
      </c>
      <c r="P1964" t="str">
        <f>_xlfn.XLOOKUP(Table3[[#This Row],[Cuenta]],Estructura_Balance[Nombre Cuenta ()],Estructura_Balance[Nivel 3],"",0)</f>
        <v/>
      </c>
      <c r="Q1964" t="str">
        <f>_xlfn.XLOOKUP(Table3[[#This Row],[Cuenta]],Estructura_Balance[Nombre Cuenta ()],Estructura_Balance[Nivel 4],"",0)</f>
        <v/>
      </c>
      <c r="R1964" s="154" t="str">
        <f>_xlfn.XLOOKUP(Table3[[#This Row],[Cuenta]],Table8[Nombre Cuenta ()],Table8[Nivel 1],"",0)</f>
        <v/>
      </c>
      <c r="S1964" t="str">
        <f>_xlfn.XLOOKUP(Table3[[#This Row],[Cuenta]],Table8[Nombre Cuenta ()],Table8[Nivel 2],"",0)</f>
        <v/>
      </c>
      <c r="T1964" t="str">
        <f>_xlfn.XLOOKUP(Table3[[#This Row],[Cuenta]],Table8[Nombre Cuenta ()],Table8[Nivel 3],"",0)</f>
        <v/>
      </c>
      <c r="U1964">
        <v>765</v>
      </c>
      <c r="V1964" t="str">
        <f>_xlfn.XLOOKUP(Table3[[#This Row],[Cuenta]],Estructura_Balance[Nombre Cuenta ()],Estructura_Balance[Niveles:2],"",0)</f>
        <v/>
      </c>
      <c r="W1964" t="str">
        <f>_xlfn.XLOOKUP(Table3[[#This Row],[Cuenta]],Estructura_Balance[Nombre Cuenta ()],Estructura_Balance[Niveles:3],"",0)</f>
        <v/>
      </c>
      <c r="X1964" t="str">
        <f>_xlfn.XLOOKUP(Table3[[#This Row],[Cuenta]],Estructura_Balance[Nombre Cuenta ()],Estructura_Balance[Grupos],"Grupo 1",0)</f>
        <v>Grupo 1</v>
      </c>
      <c r="Y1964" t="str">
        <f>+Table3[[#This Row],[BS_Nivel_1]]</f>
        <v/>
      </c>
    </row>
    <row r="1965" spans="1:25" ht="15" customHeight="1">
      <c r="A1965">
        <f>+'Libro Diario'!F574</f>
        <v>66</v>
      </c>
      <c r="B1965" s="144">
        <f>VALUE(IF(+'Libro Diario'!G574="","01/01/2025",+'Libro Diario'!G574))</f>
        <v>46022</v>
      </c>
      <c r="C1965">
        <f>IF(ISNUMBER(+IF(IFERROR(VALUE(MID('Libro Diario'!C574,1,4)),0)&lt;&gt;0,'Libro Diario'!C574,0))=FALSE,'Libro Diario'!C574,0)</f>
        <v>0</v>
      </c>
      <c r="D1965" s="145">
        <f>+'Libro Diario'!B574</f>
        <v>0</v>
      </c>
      <c r="E1965" s="139" t="s">
        <v>445</v>
      </c>
      <c r="F1965" t="str">
        <f t="shared" si="90"/>
        <v>Sin Mov.</v>
      </c>
      <c r="G1965" t="str">
        <f>IF(+'Libro Diario'!H574=0,"",+'Libro Diario'!H574)</f>
        <v>Asiento de Cierre</v>
      </c>
      <c r="H1965" t="str">
        <f>IF(+'Libro Diario'!I574=0,"",+'Libro Diario'!I574)</f>
        <v>Cierre de cuentas</v>
      </c>
      <c r="I1965" t="str">
        <f>+IF(Table3[[#This Row],[Tipo Movimiento]]="Estructura Balance y PyG","Excluir","Incluir")</f>
        <v>Incluir</v>
      </c>
      <c r="J1965" s="153">
        <f>+IF(Table3[[#This Row],[Sin cuenta]]="Con Mov.",(IF(Table3[[#This Row],[Movimiento]]="Debe",Table3[[#This Row],[Importe]],IF(Table3[[#This Row],[Movimiento]]="Haber",Table3[[#This Row],[Importe]]*-1,0))),0)</f>
        <v>0</v>
      </c>
      <c r="K1965" s="145">
        <f t="shared" si="91"/>
        <v>0</v>
      </c>
      <c r="L1965" s="145" t="str">
        <f t="shared" si="92"/>
        <v/>
      </c>
      <c r="M1965" t="str">
        <f>_xlfn.XLOOKUP(Table3[[#This Row],[Cuenta]],Estructura_Balance[Nombre Cuenta ()],Estructura_Balance[Grupo],"",0)</f>
        <v/>
      </c>
      <c r="N1965" t="str">
        <f>_xlfn.XLOOKUP(Table3[[#This Row],[Cuenta]],Estructura_Balance[Nombre Cuenta ()],Estructura_Balance[Nivel 1],"",0)</f>
        <v/>
      </c>
      <c r="O1965" t="str">
        <f>_xlfn.XLOOKUP(Table3[[#This Row],[Cuenta]],Estructura_Balance[Nombre Cuenta ()],Estructura_Balance[Nivel 2],"",0)</f>
        <v/>
      </c>
      <c r="P1965" t="str">
        <f>_xlfn.XLOOKUP(Table3[[#This Row],[Cuenta]],Estructura_Balance[Nombre Cuenta ()],Estructura_Balance[Nivel 3],"",0)</f>
        <v/>
      </c>
      <c r="Q1965" t="str">
        <f>_xlfn.XLOOKUP(Table3[[#This Row],[Cuenta]],Estructura_Balance[Nombre Cuenta ()],Estructura_Balance[Nivel 4],"",0)</f>
        <v/>
      </c>
      <c r="R1965" t="str">
        <f>_xlfn.XLOOKUP(Table3[[#This Row],[Cuenta]],Table8[Nombre Cuenta ()],Table8[Nivel 1],"",0)</f>
        <v/>
      </c>
      <c r="S1965" t="str">
        <f>_xlfn.XLOOKUP(Table3[[#This Row],[Cuenta]],Table8[Nombre Cuenta ()],Table8[Nivel 2],"",0)</f>
        <v/>
      </c>
      <c r="T1965" t="str">
        <f>_xlfn.XLOOKUP(Table3[[#This Row],[Cuenta]],Table8[Nombre Cuenta ()],Table8[Nivel 3],"",0)</f>
        <v/>
      </c>
      <c r="U1965">
        <v>766</v>
      </c>
      <c r="V1965" t="str">
        <f>_xlfn.XLOOKUP(Table3[[#This Row],[Cuenta]],Estructura_Balance[Nombre Cuenta ()],Estructura_Balance[Niveles:2],"",0)</f>
        <v/>
      </c>
      <c r="W1965" t="str">
        <f>_xlfn.XLOOKUP(Table3[[#This Row],[Cuenta]],Estructura_Balance[Nombre Cuenta ()],Estructura_Balance[Niveles:3],"",0)</f>
        <v/>
      </c>
      <c r="X1965" t="str">
        <f>_xlfn.XLOOKUP(Table3[[#This Row],[Cuenta]],Estructura_Balance[Nombre Cuenta ()],Estructura_Balance[Grupos],"Grupo 1",0)</f>
        <v>Grupo 1</v>
      </c>
      <c r="Y1965" t="str">
        <f>+Table3[[#This Row],[BS_Nivel_1]]</f>
        <v/>
      </c>
    </row>
    <row r="1966" spans="1:25" ht="15" customHeight="1">
      <c r="A1966">
        <f>+'Libro Diario'!F575</f>
        <v>66</v>
      </c>
      <c r="B1966" s="144">
        <f>VALUE(IF(+'Libro Diario'!G575="","01/01/2025",+'Libro Diario'!G575))</f>
        <v>46022</v>
      </c>
      <c r="C1966">
        <f>IF(ISNUMBER(+IF(IFERROR(VALUE(MID('Libro Diario'!C575,1,4)),0)&lt;&gt;0,'Libro Diario'!C575,0))=FALSE,'Libro Diario'!C575,0)</f>
        <v>0</v>
      </c>
      <c r="D1966" s="145">
        <f>+'Libro Diario'!B575</f>
        <v>0</v>
      </c>
      <c r="E1966" s="139" t="s">
        <v>445</v>
      </c>
      <c r="F1966" t="str">
        <f t="shared" si="90"/>
        <v>Sin Mov.</v>
      </c>
      <c r="G1966" t="str">
        <f>IF(+'Libro Diario'!H575=0,"",+'Libro Diario'!H575)</f>
        <v>Asiento de Cierre</v>
      </c>
      <c r="H1966" t="str">
        <f>IF(+'Libro Diario'!I575=0,"",+'Libro Diario'!I575)</f>
        <v>Cierre de cuentas</v>
      </c>
      <c r="I1966" t="str">
        <f>+IF(Table3[[#This Row],[Tipo Movimiento]]="Estructura Balance y PyG","Excluir","Incluir")</f>
        <v>Incluir</v>
      </c>
      <c r="J1966" s="153">
        <f>+IF(Table3[[#This Row],[Sin cuenta]]="Con Mov.",(IF(Table3[[#This Row],[Movimiento]]="Debe",Table3[[#This Row],[Importe]],IF(Table3[[#This Row],[Movimiento]]="Haber",Table3[[#This Row],[Importe]]*-1,0))),0)</f>
        <v>0</v>
      </c>
      <c r="K1966" s="145">
        <f t="shared" si="91"/>
        <v>0</v>
      </c>
      <c r="L1966" s="145" t="str">
        <f t="shared" si="92"/>
        <v/>
      </c>
      <c r="M1966" t="str">
        <f>_xlfn.XLOOKUP(Table3[[#This Row],[Cuenta]],Estructura_Balance[Nombre Cuenta ()],Estructura_Balance[Grupo],"",0)</f>
        <v/>
      </c>
      <c r="N1966" t="str">
        <f>_xlfn.XLOOKUP(Table3[[#This Row],[Cuenta]],Estructura_Balance[Nombre Cuenta ()],Estructura_Balance[Nivel 1],"",0)</f>
        <v/>
      </c>
      <c r="O1966" t="str">
        <f>_xlfn.XLOOKUP(Table3[[#This Row],[Cuenta]],Estructura_Balance[Nombre Cuenta ()],Estructura_Balance[Nivel 2],"",0)</f>
        <v/>
      </c>
      <c r="P1966" t="str">
        <f>_xlfn.XLOOKUP(Table3[[#This Row],[Cuenta]],Estructura_Balance[Nombre Cuenta ()],Estructura_Balance[Nivel 3],"",0)</f>
        <v/>
      </c>
      <c r="Q1966" t="str">
        <f>_xlfn.XLOOKUP(Table3[[#This Row],[Cuenta]],Estructura_Balance[Nombre Cuenta ()],Estructura_Balance[Nivel 4],"",0)</f>
        <v/>
      </c>
      <c r="R1966" s="154" t="str">
        <f>_xlfn.XLOOKUP(Table3[[#This Row],[Cuenta]],Table8[Nombre Cuenta ()],Table8[Nivel 1],"",0)</f>
        <v/>
      </c>
      <c r="S1966" t="str">
        <f>_xlfn.XLOOKUP(Table3[[#This Row],[Cuenta]],Table8[Nombre Cuenta ()],Table8[Nivel 2],"",0)</f>
        <v/>
      </c>
      <c r="T1966" t="str">
        <f>_xlfn.XLOOKUP(Table3[[#This Row],[Cuenta]],Table8[Nombre Cuenta ()],Table8[Nivel 3],"",0)</f>
        <v/>
      </c>
      <c r="U1966">
        <v>767</v>
      </c>
      <c r="V1966" t="str">
        <f>_xlfn.XLOOKUP(Table3[[#This Row],[Cuenta]],Estructura_Balance[Nombre Cuenta ()],Estructura_Balance[Niveles:2],"",0)</f>
        <v/>
      </c>
      <c r="W1966" t="str">
        <f>_xlfn.XLOOKUP(Table3[[#This Row],[Cuenta]],Estructura_Balance[Nombre Cuenta ()],Estructura_Balance[Niveles:3],"",0)</f>
        <v/>
      </c>
      <c r="X1966" t="str">
        <f>_xlfn.XLOOKUP(Table3[[#This Row],[Cuenta]],Estructura_Balance[Nombre Cuenta ()],Estructura_Balance[Grupos],"Grupo 1",0)</f>
        <v>Grupo 1</v>
      </c>
      <c r="Y1966" t="str">
        <f>+Table3[[#This Row],[BS_Nivel_1]]</f>
        <v/>
      </c>
    </row>
    <row r="1967" spans="1:25" ht="15" customHeight="1">
      <c r="A1967">
        <f>+'Libro Diario'!F576</f>
        <v>66</v>
      </c>
      <c r="B1967" s="144">
        <f>VALUE(IF(+'Libro Diario'!G576="","01/01/2025",+'Libro Diario'!G576))</f>
        <v>46022</v>
      </c>
      <c r="C1967">
        <f>IF(ISNUMBER(+IF(IFERROR(VALUE(MID('Libro Diario'!C576,1,4)),0)&lt;&gt;0,'Libro Diario'!C576,0))=FALSE,'Libro Diario'!C576,0)</f>
        <v>0</v>
      </c>
      <c r="D1967" s="145">
        <f>+'Libro Diario'!B576</f>
        <v>0</v>
      </c>
      <c r="E1967" s="139" t="s">
        <v>445</v>
      </c>
      <c r="F1967" t="str">
        <f t="shared" si="90"/>
        <v>Sin Mov.</v>
      </c>
      <c r="G1967" t="str">
        <f>IF(+'Libro Diario'!H576=0,"",+'Libro Diario'!H576)</f>
        <v>Asiento de Cierre</v>
      </c>
      <c r="H1967" t="str">
        <f>IF(+'Libro Diario'!I576=0,"",+'Libro Diario'!I576)</f>
        <v>Cierre de cuentas</v>
      </c>
      <c r="I1967" t="str">
        <f>+IF(Table3[[#This Row],[Tipo Movimiento]]="Estructura Balance y PyG","Excluir","Incluir")</f>
        <v>Incluir</v>
      </c>
      <c r="J1967" s="153">
        <f>+IF(Table3[[#This Row],[Sin cuenta]]="Con Mov.",(IF(Table3[[#This Row],[Movimiento]]="Debe",Table3[[#This Row],[Importe]],IF(Table3[[#This Row],[Movimiento]]="Haber",Table3[[#This Row],[Importe]]*-1,0))),0)</f>
        <v>0</v>
      </c>
      <c r="K1967" s="145">
        <f t="shared" si="91"/>
        <v>0</v>
      </c>
      <c r="L1967" s="145" t="str">
        <f t="shared" si="92"/>
        <v/>
      </c>
      <c r="M1967" t="str">
        <f>_xlfn.XLOOKUP(Table3[[#This Row],[Cuenta]],Estructura_Balance[Nombre Cuenta ()],Estructura_Balance[Grupo],"",0)</f>
        <v/>
      </c>
      <c r="N1967" t="str">
        <f>_xlfn.XLOOKUP(Table3[[#This Row],[Cuenta]],Estructura_Balance[Nombre Cuenta ()],Estructura_Balance[Nivel 1],"",0)</f>
        <v/>
      </c>
      <c r="O1967" t="str">
        <f>_xlfn.XLOOKUP(Table3[[#This Row],[Cuenta]],Estructura_Balance[Nombre Cuenta ()],Estructura_Balance[Nivel 2],"",0)</f>
        <v/>
      </c>
      <c r="P1967" t="str">
        <f>_xlfn.XLOOKUP(Table3[[#This Row],[Cuenta]],Estructura_Balance[Nombre Cuenta ()],Estructura_Balance[Nivel 3],"",0)</f>
        <v/>
      </c>
      <c r="Q1967" t="str">
        <f>_xlfn.XLOOKUP(Table3[[#This Row],[Cuenta]],Estructura_Balance[Nombre Cuenta ()],Estructura_Balance[Nivel 4],"",0)</f>
        <v/>
      </c>
      <c r="R1967" t="str">
        <f>_xlfn.XLOOKUP(Table3[[#This Row],[Cuenta]],Table8[Nombre Cuenta ()],Table8[Nivel 1],"",0)</f>
        <v/>
      </c>
      <c r="S1967" t="str">
        <f>_xlfn.XLOOKUP(Table3[[#This Row],[Cuenta]],Table8[Nombre Cuenta ()],Table8[Nivel 2],"",0)</f>
        <v/>
      </c>
      <c r="T1967" t="str">
        <f>_xlfn.XLOOKUP(Table3[[#This Row],[Cuenta]],Table8[Nombre Cuenta ()],Table8[Nivel 3],"",0)</f>
        <v/>
      </c>
      <c r="U1967">
        <v>768</v>
      </c>
      <c r="V1967" t="str">
        <f>_xlfn.XLOOKUP(Table3[[#This Row],[Cuenta]],Estructura_Balance[Nombre Cuenta ()],Estructura_Balance[Niveles:2],"",0)</f>
        <v/>
      </c>
      <c r="W1967" t="str">
        <f>_xlfn.XLOOKUP(Table3[[#This Row],[Cuenta]],Estructura_Balance[Nombre Cuenta ()],Estructura_Balance[Niveles:3],"",0)</f>
        <v/>
      </c>
      <c r="X1967" t="str">
        <f>_xlfn.XLOOKUP(Table3[[#This Row],[Cuenta]],Estructura_Balance[Nombre Cuenta ()],Estructura_Balance[Grupos],"Grupo 1",0)</f>
        <v>Grupo 1</v>
      </c>
      <c r="Y1967" t="str">
        <f>+Table3[[#This Row],[BS_Nivel_1]]</f>
        <v/>
      </c>
    </row>
    <row r="1968" spans="1:25" ht="15" customHeight="1">
      <c r="A1968">
        <f>+'Libro Diario'!F577</f>
        <v>66</v>
      </c>
      <c r="B1968" s="144">
        <f>VALUE(IF(+'Libro Diario'!G577="","01/01/2025",+'Libro Diario'!G577))</f>
        <v>46022</v>
      </c>
      <c r="C1968">
        <f>IF(ISNUMBER(+IF(IFERROR(VALUE(MID('Libro Diario'!C577,1,4)),0)&lt;&gt;0,'Libro Diario'!C577,0))=FALSE,'Libro Diario'!C577,0)</f>
        <v>0</v>
      </c>
      <c r="D1968" s="145">
        <f>+'Libro Diario'!B577</f>
        <v>0</v>
      </c>
      <c r="E1968" s="139" t="s">
        <v>445</v>
      </c>
      <c r="F1968" t="str">
        <f t="shared" si="90"/>
        <v>Sin Mov.</v>
      </c>
      <c r="G1968" t="str">
        <f>IF(+'Libro Diario'!H577=0,"",+'Libro Diario'!H577)</f>
        <v>Asiento de Cierre</v>
      </c>
      <c r="H1968" t="str">
        <f>IF(+'Libro Diario'!I577=0,"",+'Libro Diario'!I577)</f>
        <v>Cierre de cuentas</v>
      </c>
      <c r="I1968" t="str">
        <f>+IF(Table3[[#This Row],[Tipo Movimiento]]="Estructura Balance y PyG","Excluir","Incluir")</f>
        <v>Incluir</v>
      </c>
      <c r="J1968" s="153">
        <f>+IF(Table3[[#This Row],[Sin cuenta]]="Con Mov.",(IF(Table3[[#This Row],[Movimiento]]="Debe",Table3[[#This Row],[Importe]],IF(Table3[[#This Row],[Movimiento]]="Haber",Table3[[#This Row],[Importe]]*-1,0))),0)</f>
        <v>0</v>
      </c>
      <c r="K1968" s="145">
        <f t="shared" si="91"/>
        <v>0</v>
      </c>
      <c r="L1968" s="145" t="str">
        <f t="shared" si="92"/>
        <v/>
      </c>
      <c r="M1968" t="str">
        <f>_xlfn.XLOOKUP(Table3[[#This Row],[Cuenta]],Estructura_Balance[Nombre Cuenta ()],Estructura_Balance[Grupo],"",0)</f>
        <v/>
      </c>
      <c r="N1968" t="str">
        <f>_xlfn.XLOOKUP(Table3[[#This Row],[Cuenta]],Estructura_Balance[Nombre Cuenta ()],Estructura_Balance[Nivel 1],"",0)</f>
        <v/>
      </c>
      <c r="O1968" t="str">
        <f>_xlfn.XLOOKUP(Table3[[#This Row],[Cuenta]],Estructura_Balance[Nombre Cuenta ()],Estructura_Balance[Nivel 2],"",0)</f>
        <v/>
      </c>
      <c r="P1968" t="str">
        <f>_xlfn.XLOOKUP(Table3[[#This Row],[Cuenta]],Estructura_Balance[Nombre Cuenta ()],Estructura_Balance[Nivel 3],"",0)</f>
        <v/>
      </c>
      <c r="Q1968" t="str">
        <f>_xlfn.XLOOKUP(Table3[[#This Row],[Cuenta]],Estructura_Balance[Nombre Cuenta ()],Estructura_Balance[Nivel 4],"",0)</f>
        <v/>
      </c>
      <c r="R1968" s="154" t="str">
        <f>_xlfn.XLOOKUP(Table3[[#This Row],[Cuenta]],Table8[Nombre Cuenta ()],Table8[Nivel 1],"",0)</f>
        <v/>
      </c>
      <c r="S1968" t="str">
        <f>_xlfn.XLOOKUP(Table3[[#This Row],[Cuenta]],Table8[Nombre Cuenta ()],Table8[Nivel 2],"",0)</f>
        <v/>
      </c>
      <c r="T1968" t="str">
        <f>_xlfn.XLOOKUP(Table3[[#This Row],[Cuenta]],Table8[Nombre Cuenta ()],Table8[Nivel 3],"",0)</f>
        <v/>
      </c>
      <c r="U1968">
        <v>769</v>
      </c>
      <c r="V1968" t="str">
        <f>_xlfn.XLOOKUP(Table3[[#This Row],[Cuenta]],Estructura_Balance[Nombre Cuenta ()],Estructura_Balance[Niveles:2],"",0)</f>
        <v/>
      </c>
      <c r="W1968" t="str">
        <f>_xlfn.XLOOKUP(Table3[[#This Row],[Cuenta]],Estructura_Balance[Nombre Cuenta ()],Estructura_Balance[Niveles:3],"",0)</f>
        <v/>
      </c>
      <c r="X1968" t="str">
        <f>_xlfn.XLOOKUP(Table3[[#This Row],[Cuenta]],Estructura_Balance[Nombre Cuenta ()],Estructura_Balance[Grupos],"Grupo 1",0)</f>
        <v>Grupo 1</v>
      </c>
      <c r="Y1968" t="str">
        <f>+Table3[[#This Row],[BS_Nivel_1]]</f>
        <v/>
      </c>
    </row>
    <row r="1969" spans="1:25" ht="15" customHeight="1">
      <c r="A1969">
        <f>+'Libro Diario'!F578</f>
        <v>66</v>
      </c>
      <c r="B1969" s="144">
        <f>VALUE(IF(+'Libro Diario'!G578="","01/01/2025",+'Libro Diario'!G578))</f>
        <v>46022</v>
      </c>
      <c r="C1969">
        <f>IF(ISNUMBER(+IF(IFERROR(VALUE(MID('Libro Diario'!C578,1,4)),0)&lt;&gt;0,'Libro Diario'!C578,0))=FALSE,'Libro Diario'!C578,0)</f>
        <v>0</v>
      </c>
      <c r="D1969" s="145">
        <f>+'Libro Diario'!B578</f>
        <v>0</v>
      </c>
      <c r="E1969" s="139" t="s">
        <v>445</v>
      </c>
      <c r="F1969" t="str">
        <f t="shared" si="90"/>
        <v>Sin Mov.</v>
      </c>
      <c r="G1969" t="str">
        <f>IF(+'Libro Diario'!H578=0,"",+'Libro Diario'!H578)</f>
        <v>Asiento de Cierre</v>
      </c>
      <c r="H1969" t="str">
        <f>IF(+'Libro Diario'!I578=0,"",+'Libro Diario'!I578)</f>
        <v>Cierre de cuentas</v>
      </c>
      <c r="I1969" t="str">
        <f>+IF(Table3[[#This Row],[Tipo Movimiento]]="Estructura Balance y PyG","Excluir","Incluir")</f>
        <v>Incluir</v>
      </c>
      <c r="J1969" s="153">
        <f>+IF(Table3[[#This Row],[Sin cuenta]]="Con Mov.",(IF(Table3[[#This Row],[Movimiento]]="Debe",Table3[[#This Row],[Importe]],IF(Table3[[#This Row],[Movimiento]]="Haber",Table3[[#This Row],[Importe]]*-1,0))),0)</f>
        <v>0</v>
      </c>
      <c r="K1969" s="145">
        <f t="shared" si="91"/>
        <v>0</v>
      </c>
      <c r="L1969" s="145" t="str">
        <f t="shared" si="92"/>
        <v/>
      </c>
      <c r="M1969" t="str">
        <f>_xlfn.XLOOKUP(Table3[[#This Row],[Cuenta]],Estructura_Balance[Nombre Cuenta ()],Estructura_Balance[Grupo],"",0)</f>
        <v/>
      </c>
      <c r="N1969" t="str">
        <f>_xlfn.XLOOKUP(Table3[[#This Row],[Cuenta]],Estructura_Balance[Nombre Cuenta ()],Estructura_Balance[Nivel 1],"",0)</f>
        <v/>
      </c>
      <c r="O1969" t="str">
        <f>_xlfn.XLOOKUP(Table3[[#This Row],[Cuenta]],Estructura_Balance[Nombre Cuenta ()],Estructura_Balance[Nivel 2],"",0)</f>
        <v/>
      </c>
      <c r="P1969" t="str">
        <f>_xlfn.XLOOKUP(Table3[[#This Row],[Cuenta]],Estructura_Balance[Nombre Cuenta ()],Estructura_Balance[Nivel 3],"",0)</f>
        <v/>
      </c>
      <c r="Q1969" t="str">
        <f>_xlfn.XLOOKUP(Table3[[#This Row],[Cuenta]],Estructura_Balance[Nombre Cuenta ()],Estructura_Balance[Nivel 4],"",0)</f>
        <v/>
      </c>
      <c r="R1969" t="str">
        <f>_xlfn.XLOOKUP(Table3[[#This Row],[Cuenta]],Table8[Nombre Cuenta ()],Table8[Nivel 1],"",0)</f>
        <v/>
      </c>
      <c r="S1969" t="str">
        <f>_xlfn.XLOOKUP(Table3[[#This Row],[Cuenta]],Table8[Nombre Cuenta ()],Table8[Nivel 2],"",0)</f>
        <v/>
      </c>
      <c r="T1969" t="str">
        <f>_xlfn.XLOOKUP(Table3[[#This Row],[Cuenta]],Table8[Nombre Cuenta ()],Table8[Nivel 3],"",0)</f>
        <v/>
      </c>
      <c r="U1969">
        <v>770</v>
      </c>
      <c r="V1969" t="str">
        <f>_xlfn.XLOOKUP(Table3[[#This Row],[Cuenta]],Estructura_Balance[Nombre Cuenta ()],Estructura_Balance[Niveles:2],"",0)</f>
        <v/>
      </c>
      <c r="W1969" t="str">
        <f>_xlfn.XLOOKUP(Table3[[#This Row],[Cuenta]],Estructura_Balance[Nombre Cuenta ()],Estructura_Balance[Niveles:3],"",0)</f>
        <v/>
      </c>
      <c r="X1969" t="str">
        <f>_xlfn.XLOOKUP(Table3[[#This Row],[Cuenta]],Estructura_Balance[Nombre Cuenta ()],Estructura_Balance[Grupos],"Grupo 1",0)</f>
        <v>Grupo 1</v>
      </c>
      <c r="Y1969" t="str">
        <f>+Table3[[#This Row],[BS_Nivel_1]]</f>
        <v/>
      </c>
    </row>
    <row r="1970" spans="1:25" ht="15" customHeight="1">
      <c r="A1970">
        <f>+'Libro Diario'!F579</f>
        <v>66</v>
      </c>
      <c r="B1970" s="144">
        <f>VALUE(IF(+'Libro Diario'!G579="","01/01/2025",+'Libro Diario'!G579))</f>
        <v>46022</v>
      </c>
      <c r="C1970">
        <f>IF(ISNUMBER(+IF(IFERROR(VALUE(MID('Libro Diario'!C579,1,4)),0)&lt;&gt;0,'Libro Diario'!C579,0))=FALSE,'Libro Diario'!C579,0)</f>
        <v>0</v>
      </c>
      <c r="D1970" s="145">
        <f>+'Libro Diario'!B579</f>
        <v>0</v>
      </c>
      <c r="E1970" s="139" t="s">
        <v>445</v>
      </c>
      <c r="F1970" t="str">
        <f t="shared" si="90"/>
        <v>Sin Mov.</v>
      </c>
      <c r="G1970" t="str">
        <f>IF(+'Libro Diario'!H579=0,"",+'Libro Diario'!H579)</f>
        <v>Asiento de Cierre</v>
      </c>
      <c r="H1970" t="str">
        <f>IF(+'Libro Diario'!I579=0,"",+'Libro Diario'!I579)</f>
        <v>Cierre de cuentas</v>
      </c>
      <c r="I1970" t="str">
        <f>+IF(Table3[[#This Row],[Tipo Movimiento]]="Estructura Balance y PyG","Excluir","Incluir")</f>
        <v>Incluir</v>
      </c>
      <c r="J1970" s="153">
        <f>+IF(Table3[[#This Row],[Sin cuenta]]="Con Mov.",(IF(Table3[[#This Row],[Movimiento]]="Debe",Table3[[#This Row],[Importe]],IF(Table3[[#This Row],[Movimiento]]="Haber",Table3[[#This Row],[Importe]]*-1,0))),0)</f>
        <v>0</v>
      </c>
      <c r="K1970" s="145">
        <f t="shared" si="91"/>
        <v>0</v>
      </c>
      <c r="L1970" s="145" t="str">
        <f t="shared" si="92"/>
        <v/>
      </c>
      <c r="M1970" t="str">
        <f>_xlfn.XLOOKUP(Table3[[#This Row],[Cuenta]],Estructura_Balance[Nombre Cuenta ()],Estructura_Balance[Grupo],"",0)</f>
        <v/>
      </c>
      <c r="N1970" t="str">
        <f>_xlfn.XLOOKUP(Table3[[#This Row],[Cuenta]],Estructura_Balance[Nombre Cuenta ()],Estructura_Balance[Nivel 1],"",0)</f>
        <v/>
      </c>
      <c r="O1970" t="str">
        <f>_xlfn.XLOOKUP(Table3[[#This Row],[Cuenta]],Estructura_Balance[Nombre Cuenta ()],Estructura_Balance[Nivel 2],"",0)</f>
        <v/>
      </c>
      <c r="P1970" t="str">
        <f>_xlfn.XLOOKUP(Table3[[#This Row],[Cuenta]],Estructura_Balance[Nombre Cuenta ()],Estructura_Balance[Nivel 3],"",0)</f>
        <v/>
      </c>
      <c r="Q1970" t="str">
        <f>_xlfn.XLOOKUP(Table3[[#This Row],[Cuenta]],Estructura_Balance[Nombre Cuenta ()],Estructura_Balance[Nivel 4],"",0)</f>
        <v/>
      </c>
      <c r="R1970" s="154" t="str">
        <f>_xlfn.XLOOKUP(Table3[[#This Row],[Cuenta]],Table8[Nombre Cuenta ()],Table8[Nivel 1],"",0)</f>
        <v/>
      </c>
      <c r="S1970" t="str">
        <f>_xlfn.XLOOKUP(Table3[[#This Row],[Cuenta]],Table8[Nombre Cuenta ()],Table8[Nivel 2],"",0)</f>
        <v/>
      </c>
      <c r="T1970" t="str">
        <f>_xlfn.XLOOKUP(Table3[[#This Row],[Cuenta]],Table8[Nombre Cuenta ()],Table8[Nivel 3],"",0)</f>
        <v/>
      </c>
      <c r="U1970">
        <v>771</v>
      </c>
      <c r="V1970" t="str">
        <f>_xlfn.XLOOKUP(Table3[[#This Row],[Cuenta]],Estructura_Balance[Nombre Cuenta ()],Estructura_Balance[Niveles:2],"",0)</f>
        <v/>
      </c>
      <c r="W1970" t="str">
        <f>_xlfn.XLOOKUP(Table3[[#This Row],[Cuenta]],Estructura_Balance[Nombre Cuenta ()],Estructura_Balance[Niveles:3],"",0)</f>
        <v/>
      </c>
      <c r="X1970" t="str">
        <f>_xlfn.XLOOKUP(Table3[[#This Row],[Cuenta]],Estructura_Balance[Nombre Cuenta ()],Estructura_Balance[Grupos],"Grupo 1",0)</f>
        <v>Grupo 1</v>
      </c>
      <c r="Y1970" t="str">
        <f>+Table3[[#This Row],[BS_Nivel_1]]</f>
        <v/>
      </c>
    </row>
    <row r="1971" spans="1:25" ht="15" customHeight="1">
      <c r="A1971">
        <f>+'Libro Diario'!F580</f>
        <v>66</v>
      </c>
      <c r="B1971" s="144">
        <f>VALUE(IF(+'Libro Diario'!G580="","01/01/2025",+'Libro Diario'!G580))</f>
        <v>46022</v>
      </c>
      <c r="C1971">
        <f>IF(ISNUMBER(+IF(IFERROR(VALUE(MID('Libro Diario'!C580,1,4)),0)&lt;&gt;0,'Libro Diario'!C580,0))=FALSE,'Libro Diario'!C580,0)</f>
        <v>0</v>
      </c>
      <c r="D1971" s="145">
        <f>+'Libro Diario'!B580</f>
        <v>0</v>
      </c>
      <c r="E1971" s="139" t="s">
        <v>445</v>
      </c>
      <c r="F1971" t="str">
        <f t="shared" si="90"/>
        <v>Sin Mov.</v>
      </c>
      <c r="G1971" t="str">
        <f>IF(+'Libro Diario'!H580=0,"",+'Libro Diario'!H580)</f>
        <v>Asiento de Cierre</v>
      </c>
      <c r="H1971" t="str">
        <f>IF(+'Libro Diario'!I580=0,"",+'Libro Diario'!I580)</f>
        <v>Cierre de cuentas</v>
      </c>
      <c r="I1971" t="str">
        <f>+IF(Table3[[#This Row],[Tipo Movimiento]]="Estructura Balance y PyG","Excluir","Incluir")</f>
        <v>Incluir</v>
      </c>
      <c r="J1971" s="153">
        <f>+IF(Table3[[#This Row],[Sin cuenta]]="Con Mov.",(IF(Table3[[#This Row],[Movimiento]]="Debe",Table3[[#This Row],[Importe]],IF(Table3[[#This Row],[Movimiento]]="Haber",Table3[[#This Row],[Importe]]*-1,0))),0)</f>
        <v>0</v>
      </c>
      <c r="K1971" s="145">
        <f t="shared" si="91"/>
        <v>0</v>
      </c>
      <c r="L1971" s="145" t="str">
        <f t="shared" si="92"/>
        <v/>
      </c>
      <c r="M1971" t="str">
        <f>_xlfn.XLOOKUP(Table3[[#This Row],[Cuenta]],Estructura_Balance[Nombre Cuenta ()],Estructura_Balance[Grupo],"",0)</f>
        <v/>
      </c>
      <c r="N1971" t="str">
        <f>_xlfn.XLOOKUP(Table3[[#This Row],[Cuenta]],Estructura_Balance[Nombre Cuenta ()],Estructura_Balance[Nivel 1],"",0)</f>
        <v/>
      </c>
      <c r="O1971" t="str">
        <f>_xlfn.XLOOKUP(Table3[[#This Row],[Cuenta]],Estructura_Balance[Nombre Cuenta ()],Estructura_Balance[Nivel 2],"",0)</f>
        <v/>
      </c>
      <c r="P1971" t="str">
        <f>_xlfn.XLOOKUP(Table3[[#This Row],[Cuenta]],Estructura_Balance[Nombre Cuenta ()],Estructura_Balance[Nivel 3],"",0)</f>
        <v/>
      </c>
      <c r="Q1971" t="str">
        <f>_xlfn.XLOOKUP(Table3[[#This Row],[Cuenta]],Estructura_Balance[Nombre Cuenta ()],Estructura_Balance[Nivel 4],"",0)</f>
        <v/>
      </c>
      <c r="R1971" t="str">
        <f>_xlfn.XLOOKUP(Table3[[#This Row],[Cuenta]],Table8[Nombre Cuenta ()],Table8[Nivel 1],"",0)</f>
        <v/>
      </c>
      <c r="S1971" t="str">
        <f>_xlfn.XLOOKUP(Table3[[#This Row],[Cuenta]],Table8[Nombre Cuenta ()],Table8[Nivel 2],"",0)</f>
        <v/>
      </c>
      <c r="T1971" t="str">
        <f>_xlfn.XLOOKUP(Table3[[#This Row],[Cuenta]],Table8[Nombre Cuenta ()],Table8[Nivel 3],"",0)</f>
        <v/>
      </c>
      <c r="U1971">
        <v>772</v>
      </c>
      <c r="V1971" t="str">
        <f>_xlfn.XLOOKUP(Table3[[#This Row],[Cuenta]],Estructura_Balance[Nombre Cuenta ()],Estructura_Balance[Niveles:2],"",0)</f>
        <v/>
      </c>
      <c r="W1971" t="str">
        <f>_xlfn.XLOOKUP(Table3[[#This Row],[Cuenta]],Estructura_Balance[Nombre Cuenta ()],Estructura_Balance[Niveles:3],"",0)</f>
        <v/>
      </c>
      <c r="X1971" t="str">
        <f>_xlfn.XLOOKUP(Table3[[#This Row],[Cuenta]],Estructura_Balance[Nombre Cuenta ()],Estructura_Balance[Grupos],"Grupo 1",0)</f>
        <v>Grupo 1</v>
      </c>
      <c r="Y1971" t="str">
        <f>+Table3[[#This Row],[BS_Nivel_1]]</f>
        <v/>
      </c>
    </row>
    <row r="1972" spans="1:25" ht="15" customHeight="1">
      <c r="A1972">
        <f>+'Libro Diario'!F581</f>
        <v>66</v>
      </c>
      <c r="B1972" s="144">
        <f>VALUE(IF(+'Libro Diario'!G581="","01/01/2025",+'Libro Diario'!G581))</f>
        <v>46022</v>
      </c>
      <c r="C1972">
        <f>IF(ISNUMBER(+IF(IFERROR(VALUE(MID('Libro Diario'!C581,1,4)),0)&lt;&gt;0,'Libro Diario'!C581,0))=FALSE,'Libro Diario'!C581,0)</f>
        <v>0</v>
      </c>
      <c r="D1972" s="145">
        <f>+'Libro Diario'!B581</f>
        <v>0</v>
      </c>
      <c r="E1972" s="139" t="s">
        <v>445</v>
      </c>
      <c r="F1972" t="str">
        <f t="shared" si="90"/>
        <v>Sin Mov.</v>
      </c>
      <c r="G1972" t="str">
        <f>IF(+'Libro Diario'!H581=0,"",+'Libro Diario'!H581)</f>
        <v>Asiento de Cierre</v>
      </c>
      <c r="H1972" t="str">
        <f>IF(+'Libro Diario'!I581=0,"",+'Libro Diario'!I581)</f>
        <v>Cierre de cuentas</v>
      </c>
      <c r="I1972" t="str">
        <f>+IF(Table3[[#This Row],[Tipo Movimiento]]="Estructura Balance y PyG","Excluir","Incluir")</f>
        <v>Incluir</v>
      </c>
      <c r="J1972" s="153">
        <f>+IF(Table3[[#This Row],[Sin cuenta]]="Con Mov.",(IF(Table3[[#This Row],[Movimiento]]="Debe",Table3[[#This Row],[Importe]],IF(Table3[[#This Row],[Movimiento]]="Haber",Table3[[#This Row],[Importe]]*-1,0))),0)</f>
        <v>0</v>
      </c>
      <c r="K1972" s="145">
        <f t="shared" si="91"/>
        <v>0</v>
      </c>
      <c r="L1972" s="145" t="str">
        <f t="shared" si="92"/>
        <v/>
      </c>
      <c r="M1972" t="str">
        <f>_xlfn.XLOOKUP(Table3[[#This Row],[Cuenta]],Estructura_Balance[Nombre Cuenta ()],Estructura_Balance[Grupo],"",0)</f>
        <v/>
      </c>
      <c r="N1972" t="str">
        <f>_xlfn.XLOOKUP(Table3[[#This Row],[Cuenta]],Estructura_Balance[Nombre Cuenta ()],Estructura_Balance[Nivel 1],"",0)</f>
        <v/>
      </c>
      <c r="O1972" t="str">
        <f>_xlfn.XLOOKUP(Table3[[#This Row],[Cuenta]],Estructura_Balance[Nombre Cuenta ()],Estructura_Balance[Nivel 2],"",0)</f>
        <v/>
      </c>
      <c r="P1972" t="str">
        <f>_xlfn.XLOOKUP(Table3[[#This Row],[Cuenta]],Estructura_Balance[Nombre Cuenta ()],Estructura_Balance[Nivel 3],"",0)</f>
        <v/>
      </c>
      <c r="Q1972" t="str">
        <f>_xlfn.XLOOKUP(Table3[[#This Row],[Cuenta]],Estructura_Balance[Nombre Cuenta ()],Estructura_Balance[Nivel 4],"",0)</f>
        <v/>
      </c>
      <c r="R1972" s="154" t="str">
        <f>_xlfn.XLOOKUP(Table3[[#This Row],[Cuenta]],Table8[Nombre Cuenta ()],Table8[Nivel 1],"",0)</f>
        <v/>
      </c>
      <c r="S1972" t="str">
        <f>_xlfn.XLOOKUP(Table3[[#This Row],[Cuenta]],Table8[Nombre Cuenta ()],Table8[Nivel 2],"",0)</f>
        <v/>
      </c>
      <c r="T1972" t="str">
        <f>_xlfn.XLOOKUP(Table3[[#This Row],[Cuenta]],Table8[Nombre Cuenta ()],Table8[Nivel 3],"",0)</f>
        <v/>
      </c>
      <c r="U1972">
        <v>773</v>
      </c>
      <c r="V1972" t="str">
        <f>_xlfn.XLOOKUP(Table3[[#This Row],[Cuenta]],Estructura_Balance[Nombre Cuenta ()],Estructura_Balance[Niveles:2],"",0)</f>
        <v/>
      </c>
      <c r="W1972" t="str">
        <f>_xlfn.XLOOKUP(Table3[[#This Row],[Cuenta]],Estructura_Balance[Nombre Cuenta ()],Estructura_Balance[Niveles:3],"",0)</f>
        <v/>
      </c>
      <c r="X1972" t="str">
        <f>_xlfn.XLOOKUP(Table3[[#This Row],[Cuenta]],Estructura_Balance[Nombre Cuenta ()],Estructura_Balance[Grupos],"Grupo 1",0)</f>
        <v>Grupo 1</v>
      </c>
      <c r="Y1972" t="str">
        <f>+Table3[[#This Row],[BS_Nivel_1]]</f>
        <v/>
      </c>
    </row>
    <row r="1973" spans="1:25" ht="15" customHeight="1">
      <c r="A1973">
        <f>+'Libro Diario'!F582</f>
        <v>66</v>
      </c>
      <c r="B1973" s="144">
        <f>VALUE(IF(+'Libro Diario'!G582="","01/01/2025",+'Libro Diario'!G582))</f>
        <v>46022</v>
      </c>
      <c r="C1973">
        <f>IF(ISNUMBER(+IF(IFERROR(VALUE(MID('Libro Diario'!C582,1,4)),0)&lt;&gt;0,'Libro Diario'!C582,0))=FALSE,'Libro Diario'!C582,0)</f>
        <v>0</v>
      </c>
      <c r="D1973" s="145">
        <f>+'Libro Diario'!B582</f>
        <v>0</v>
      </c>
      <c r="E1973" s="139" t="s">
        <v>445</v>
      </c>
      <c r="F1973" t="str">
        <f t="shared" si="90"/>
        <v>Sin Mov.</v>
      </c>
      <c r="G1973" t="str">
        <f>IF(+'Libro Diario'!H582=0,"",+'Libro Diario'!H582)</f>
        <v>Asiento de Cierre</v>
      </c>
      <c r="H1973" t="str">
        <f>IF(+'Libro Diario'!I582=0,"",+'Libro Diario'!I582)</f>
        <v>Cierre de cuentas</v>
      </c>
      <c r="I1973" t="str">
        <f>+IF(Table3[[#This Row],[Tipo Movimiento]]="Estructura Balance y PyG","Excluir","Incluir")</f>
        <v>Incluir</v>
      </c>
      <c r="J1973" s="153">
        <f>+IF(Table3[[#This Row],[Sin cuenta]]="Con Mov.",(IF(Table3[[#This Row],[Movimiento]]="Debe",Table3[[#This Row],[Importe]],IF(Table3[[#This Row],[Movimiento]]="Haber",Table3[[#This Row],[Importe]]*-1,0))),0)</f>
        <v>0</v>
      </c>
      <c r="K1973" s="145">
        <f t="shared" si="91"/>
        <v>0</v>
      </c>
      <c r="L1973" s="145" t="str">
        <f t="shared" si="92"/>
        <v/>
      </c>
      <c r="M1973" t="str">
        <f>_xlfn.XLOOKUP(Table3[[#This Row],[Cuenta]],Estructura_Balance[Nombre Cuenta ()],Estructura_Balance[Grupo],"",0)</f>
        <v/>
      </c>
      <c r="N1973" t="str">
        <f>_xlfn.XLOOKUP(Table3[[#This Row],[Cuenta]],Estructura_Balance[Nombre Cuenta ()],Estructura_Balance[Nivel 1],"",0)</f>
        <v/>
      </c>
      <c r="O1973" t="str">
        <f>_xlfn.XLOOKUP(Table3[[#This Row],[Cuenta]],Estructura_Balance[Nombre Cuenta ()],Estructura_Balance[Nivel 2],"",0)</f>
        <v/>
      </c>
      <c r="P1973" t="str">
        <f>_xlfn.XLOOKUP(Table3[[#This Row],[Cuenta]],Estructura_Balance[Nombre Cuenta ()],Estructura_Balance[Nivel 3],"",0)</f>
        <v/>
      </c>
      <c r="Q1973" t="str">
        <f>_xlfn.XLOOKUP(Table3[[#This Row],[Cuenta]],Estructura_Balance[Nombre Cuenta ()],Estructura_Balance[Nivel 4],"",0)</f>
        <v/>
      </c>
      <c r="R1973" t="str">
        <f>_xlfn.XLOOKUP(Table3[[#This Row],[Cuenta]],Table8[Nombre Cuenta ()],Table8[Nivel 1],"",0)</f>
        <v/>
      </c>
      <c r="S1973" t="str">
        <f>_xlfn.XLOOKUP(Table3[[#This Row],[Cuenta]],Table8[Nombre Cuenta ()],Table8[Nivel 2],"",0)</f>
        <v/>
      </c>
      <c r="T1973" t="str">
        <f>_xlfn.XLOOKUP(Table3[[#This Row],[Cuenta]],Table8[Nombre Cuenta ()],Table8[Nivel 3],"",0)</f>
        <v/>
      </c>
      <c r="U1973">
        <v>774</v>
      </c>
      <c r="V1973" t="str">
        <f>_xlfn.XLOOKUP(Table3[[#This Row],[Cuenta]],Estructura_Balance[Nombre Cuenta ()],Estructura_Balance[Niveles:2],"",0)</f>
        <v/>
      </c>
      <c r="W1973" t="str">
        <f>_xlfn.XLOOKUP(Table3[[#This Row],[Cuenta]],Estructura_Balance[Nombre Cuenta ()],Estructura_Balance[Niveles:3],"",0)</f>
        <v/>
      </c>
      <c r="X1973" t="str">
        <f>_xlfn.XLOOKUP(Table3[[#This Row],[Cuenta]],Estructura_Balance[Nombre Cuenta ()],Estructura_Balance[Grupos],"Grupo 1",0)</f>
        <v>Grupo 1</v>
      </c>
      <c r="Y1973" t="str">
        <f>+Table3[[#This Row],[BS_Nivel_1]]</f>
        <v/>
      </c>
    </row>
    <row r="1974" spans="1:25" ht="15" customHeight="1">
      <c r="A1974">
        <f>+'Libro Diario'!F583</f>
        <v>66</v>
      </c>
      <c r="B1974" s="144">
        <f>VALUE(IF(+'Libro Diario'!G583="","01/01/2025",+'Libro Diario'!G583))</f>
        <v>46022</v>
      </c>
      <c r="C1974">
        <f>IF(ISNUMBER(+IF(IFERROR(VALUE(MID('Libro Diario'!C583,1,4)),0)&lt;&gt;0,'Libro Diario'!C583,0))=FALSE,'Libro Diario'!C583,0)</f>
        <v>0</v>
      </c>
      <c r="D1974" s="145">
        <f>+'Libro Diario'!B583</f>
        <v>0</v>
      </c>
      <c r="E1974" s="139" t="s">
        <v>445</v>
      </c>
      <c r="F1974" t="str">
        <f t="shared" si="90"/>
        <v>Sin Mov.</v>
      </c>
      <c r="G1974" t="str">
        <f>IF(+'Libro Diario'!H583=0,"",+'Libro Diario'!H583)</f>
        <v>Asiento de Cierre</v>
      </c>
      <c r="H1974" t="str">
        <f>IF(+'Libro Diario'!I583=0,"",+'Libro Diario'!I583)</f>
        <v>Cierre de cuentas</v>
      </c>
      <c r="I1974" t="str">
        <f>+IF(Table3[[#This Row],[Tipo Movimiento]]="Estructura Balance y PyG","Excluir","Incluir")</f>
        <v>Incluir</v>
      </c>
      <c r="J1974" s="153">
        <f>+IF(Table3[[#This Row],[Sin cuenta]]="Con Mov.",(IF(Table3[[#This Row],[Movimiento]]="Debe",Table3[[#This Row],[Importe]],IF(Table3[[#This Row],[Movimiento]]="Haber",Table3[[#This Row],[Importe]]*-1,0))),0)</f>
        <v>0</v>
      </c>
      <c r="K1974" s="145">
        <f t="shared" si="91"/>
        <v>0</v>
      </c>
      <c r="L1974" s="145" t="str">
        <f t="shared" si="92"/>
        <v/>
      </c>
      <c r="M1974" t="str">
        <f>_xlfn.XLOOKUP(Table3[[#This Row],[Cuenta]],Estructura_Balance[Nombre Cuenta ()],Estructura_Balance[Grupo],"",0)</f>
        <v/>
      </c>
      <c r="N1974" t="str">
        <f>_xlfn.XLOOKUP(Table3[[#This Row],[Cuenta]],Estructura_Balance[Nombre Cuenta ()],Estructura_Balance[Nivel 1],"",0)</f>
        <v/>
      </c>
      <c r="O1974" t="str">
        <f>_xlfn.XLOOKUP(Table3[[#This Row],[Cuenta]],Estructura_Balance[Nombre Cuenta ()],Estructura_Balance[Nivel 2],"",0)</f>
        <v/>
      </c>
      <c r="P1974" t="str">
        <f>_xlfn.XLOOKUP(Table3[[#This Row],[Cuenta]],Estructura_Balance[Nombre Cuenta ()],Estructura_Balance[Nivel 3],"",0)</f>
        <v/>
      </c>
      <c r="Q1974" t="str">
        <f>_xlfn.XLOOKUP(Table3[[#This Row],[Cuenta]],Estructura_Balance[Nombre Cuenta ()],Estructura_Balance[Nivel 4],"",0)</f>
        <v/>
      </c>
      <c r="R1974" s="154" t="str">
        <f>_xlfn.XLOOKUP(Table3[[#This Row],[Cuenta]],Table8[Nombre Cuenta ()],Table8[Nivel 1],"",0)</f>
        <v/>
      </c>
      <c r="S1974" t="str">
        <f>_xlfn.XLOOKUP(Table3[[#This Row],[Cuenta]],Table8[Nombre Cuenta ()],Table8[Nivel 2],"",0)</f>
        <v/>
      </c>
      <c r="T1974" t="str">
        <f>_xlfn.XLOOKUP(Table3[[#This Row],[Cuenta]],Table8[Nombre Cuenta ()],Table8[Nivel 3],"",0)</f>
        <v/>
      </c>
      <c r="U1974">
        <v>775</v>
      </c>
      <c r="V1974" t="str">
        <f>_xlfn.XLOOKUP(Table3[[#This Row],[Cuenta]],Estructura_Balance[Nombre Cuenta ()],Estructura_Balance[Niveles:2],"",0)</f>
        <v/>
      </c>
      <c r="W1974" t="str">
        <f>_xlfn.XLOOKUP(Table3[[#This Row],[Cuenta]],Estructura_Balance[Nombre Cuenta ()],Estructura_Balance[Niveles:3],"",0)</f>
        <v/>
      </c>
      <c r="X1974" t="str">
        <f>_xlfn.XLOOKUP(Table3[[#This Row],[Cuenta]],Estructura_Balance[Nombre Cuenta ()],Estructura_Balance[Grupos],"Grupo 1",0)</f>
        <v>Grupo 1</v>
      </c>
      <c r="Y1974" t="str">
        <f>+Table3[[#This Row],[BS_Nivel_1]]</f>
        <v/>
      </c>
    </row>
    <row r="1975" spans="1:25" ht="15" customHeight="1">
      <c r="A1975">
        <f>+'Libro Diario'!F584</f>
        <v>66</v>
      </c>
      <c r="B1975" s="144">
        <f>VALUE(IF(+'Libro Diario'!G584="","01/01/2025",+'Libro Diario'!G584))</f>
        <v>46022</v>
      </c>
      <c r="C1975">
        <f>IF(ISNUMBER(+IF(IFERROR(VALUE(MID('Libro Diario'!C584,1,4)),0)&lt;&gt;0,'Libro Diario'!C584,0))=FALSE,'Libro Diario'!C584,0)</f>
        <v>0</v>
      </c>
      <c r="D1975" s="145">
        <f>+'Libro Diario'!B584</f>
        <v>0</v>
      </c>
      <c r="E1975" s="139" t="s">
        <v>445</v>
      </c>
      <c r="F1975" t="str">
        <f t="shared" si="90"/>
        <v>Sin Mov.</v>
      </c>
      <c r="G1975" t="str">
        <f>IF(+'Libro Diario'!H584=0,"",+'Libro Diario'!H584)</f>
        <v>Asiento de Cierre</v>
      </c>
      <c r="H1975" t="str">
        <f>IF(+'Libro Diario'!I584=0,"",+'Libro Diario'!I584)</f>
        <v>Cierre de cuentas</v>
      </c>
      <c r="I1975" t="str">
        <f>+IF(Table3[[#This Row],[Tipo Movimiento]]="Estructura Balance y PyG","Excluir","Incluir")</f>
        <v>Incluir</v>
      </c>
      <c r="J1975" s="153">
        <f>+IF(Table3[[#This Row],[Sin cuenta]]="Con Mov.",(IF(Table3[[#This Row],[Movimiento]]="Debe",Table3[[#This Row],[Importe]],IF(Table3[[#This Row],[Movimiento]]="Haber",Table3[[#This Row],[Importe]]*-1,0))),0)</f>
        <v>0</v>
      </c>
      <c r="K1975" s="145">
        <f t="shared" si="91"/>
        <v>0</v>
      </c>
      <c r="L1975" s="145" t="str">
        <f t="shared" si="92"/>
        <v/>
      </c>
      <c r="M1975" t="str">
        <f>_xlfn.XLOOKUP(Table3[[#This Row],[Cuenta]],Estructura_Balance[Nombre Cuenta ()],Estructura_Balance[Grupo],"",0)</f>
        <v/>
      </c>
      <c r="N1975" t="str">
        <f>_xlfn.XLOOKUP(Table3[[#This Row],[Cuenta]],Estructura_Balance[Nombre Cuenta ()],Estructura_Balance[Nivel 1],"",0)</f>
        <v/>
      </c>
      <c r="O1975" t="str">
        <f>_xlfn.XLOOKUP(Table3[[#This Row],[Cuenta]],Estructura_Balance[Nombre Cuenta ()],Estructura_Balance[Nivel 2],"",0)</f>
        <v/>
      </c>
      <c r="P1975" t="str">
        <f>_xlfn.XLOOKUP(Table3[[#This Row],[Cuenta]],Estructura_Balance[Nombre Cuenta ()],Estructura_Balance[Nivel 3],"",0)</f>
        <v/>
      </c>
      <c r="Q1975" t="str">
        <f>_xlfn.XLOOKUP(Table3[[#This Row],[Cuenta]],Estructura_Balance[Nombre Cuenta ()],Estructura_Balance[Nivel 4],"",0)</f>
        <v/>
      </c>
      <c r="R1975" t="str">
        <f>_xlfn.XLOOKUP(Table3[[#This Row],[Cuenta]],Table8[Nombre Cuenta ()],Table8[Nivel 1],"",0)</f>
        <v/>
      </c>
      <c r="S1975" t="str">
        <f>_xlfn.XLOOKUP(Table3[[#This Row],[Cuenta]],Table8[Nombre Cuenta ()],Table8[Nivel 2],"",0)</f>
        <v/>
      </c>
      <c r="T1975" t="str">
        <f>_xlfn.XLOOKUP(Table3[[#This Row],[Cuenta]],Table8[Nombre Cuenta ()],Table8[Nivel 3],"",0)</f>
        <v/>
      </c>
      <c r="U1975">
        <v>776</v>
      </c>
      <c r="V1975" t="str">
        <f>_xlfn.XLOOKUP(Table3[[#This Row],[Cuenta]],Estructura_Balance[Nombre Cuenta ()],Estructura_Balance[Niveles:2],"",0)</f>
        <v/>
      </c>
      <c r="W1975" t="str">
        <f>_xlfn.XLOOKUP(Table3[[#This Row],[Cuenta]],Estructura_Balance[Nombre Cuenta ()],Estructura_Balance[Niveles:3],"",0)</f>
        <v/>
      </c>
      <c r="X1975" t="str">
        <f>_xlfn.XLOOKUP(Table3[[#This Row],[Cuenta]],Estructura_Balance[Nombre Cuenta ()],Estructura_Balance[Grupos],"Grupo 1",0)</f>
        <v>Grupo 1</v>
      </c>
      <c r="Y1975" t="str">
        <f>+Table3[[#This Row],[BS_Nivel_1]]</f>
        <v/>
      </c>
    </row>
    <row r="1976" spans="1:25" ht="15" customHeight="1">
      <c r="A1976">
        <f>+'Libro Diario'!F585</f>
        <v>66</v>
      </c>
      <c r="B1976" s="144">
        <f>VALUE(IF(+'Libro Diario'!G585="","01/01/2025",+'Libro Diario'!G585))</f>
        <v>46022</v>
      </c>
      <c r="C1976">
        <f>IF(ISNUMBER(+IF(IFERROR(VALUE(MID('Libro Diario'!C585,1,4)),0)&lt;&gt;0,'Libro Diario'!C585,0))=FALSE,'Libro Diario'!C585,0)</f>
        <v>0</v>
      </c>
      <c r="D1976" s="145">
        <f>+'Libro Diario'!B585</f>
        <v>0</v>
      </c>
      <c r="E1976" s="139" t="s">
        <v>445</v>
      </c>
      <c r="F1976" t="str">
        <f t="shared" si="90"/>
        <v>Sin Mov.</v>
      </c>
      <c r="G1976" t="str">
        <f>IF(+'Libro Diario'!H585=0,"",+'Libro Diario'!H585)</f>
        <v>Asiento de Cierre</v>
      </c>
      <c r="H1976" t="str">
        <f>IF(+'Libro Diario'!I585=0,"",+'Libro Diario'!I585)</f>
        <v>Cierre de cuentas</v>
      </c>
      <c r="I1976" t="str">
        <f>+IF(Table3[[#This Row],[Tipo Movimiento]]="Estructura Balance y PyG","Excluir","Incluir")</f>
        <v>Incluir</v>
      </c>
      <c r="J1976" s="153">
        <f>+IF(Table3[[#This Row],[Sin cuenta]]="Con Mov.",(IF(Table3[[#This Row],[Movimiento]]="Debe",Table3[[#This Row],[Importe]],IF(Table3[[#This Row],[Movimiento]]="Haber",Table3[[#This Row],[Importe]]*-1,0))),0)</f>
        <v>0</v>
      </c>
      <c r="K1976" s="145">
        <f t="shared" si="91"/>
        <v>0</v>
      </c>
      <c r="L1976" s="145" t="str">
        <f t="shared" si="92"/>
        <v/>
      </c>
      <c r="M1976" t="str">
        <f>_xlfn.XLOOKUP(Table3[[#This Row],[Cuenta]],Estructura_Balance[Nombre Cuenta ()],Estructura_Balance[Grupo],"",0)</f>
        <v/>
      </c>
      <c r="N1976" t="str">
        <f>_xlfn.XLOOKUP(Table3[[#This Row],[Cuenta]],Estructura_Balance[Nombre Cuenta ()],Estructura_Balance[Nivel 1],"",0)</f>
        <v/>
      </c>
      <c r="O1976" t="str">
        <f>_xlfn.XLOOKUP(Table3[[#This Row],[Cuenta]],Estructura_Balance[Nombre Cuenta ()],Estructura_Balance[Nivel 2],"",0)</f>
        <v/>
      </c>
      <c r="P1976" t="str">
        <f>_xlfn.XLOOKUP(Table3[[#This Row],[Cuenta]],Estructura_Balance[Nombre Cuenta ()],Estructura_Balance[Nivel 3],"",0)</f>
        <v/>
      </c>
      <c r="Q1976" t="str">
        <f>_xlfn.XLOOKUP(Table3[[#This Row],[Cuenta]],Estructura_Balance[Nombre Cuenta ()],Estructura_Balance[Nivel 4],"",0)</f>
        <v/>
      </c>
      <c r="R1976" s="154" t="str">
        <f>_xlfn.XLOOKUP(Table3[[#This Row],[Cuenta]],Table8[Nombre Cuenta ()],Table8[Nivel 1],"",0)</f>
        <v/>
      </c>
      <c r="S1976" t="str">
        <f>_xlfn.XLOOKUP(Table3[[#This Row],[Cuenta]],Table8[Nombre Cuenta ()],Table8[Nivel 2],"",0)</f>
        <v/>
      </c>
      <c r="T1976" t="str">
        <f>_xlfn.XLOOKUP(Table3[[#This Row],[Cuenta]],Table8[Nombre Cuenta ()],Table8[Nivel 3],"",0)</f>
        <v/>
      </c>
      <c r="U1976">
        <v>777</v>
      </c>
      <c r="V1976" t="str">
        <f>_xlfn.XLOOKUP(Table3[[#This Row],[Cuenta]],Estructura_Balance[Nombre Cuenta ()],Estructura_Balance[Niveles:2],"",0)</f>
        <v/>
      </c>
      <c r="W1976" t="str">
        <f>_xlfn.XLOOKUP(Table3[[#This Row],[Cuenta]],Estructura_Balance[Nombre Cuenta ()],Estructura_Balance[Niveles:3],"",0)</f>
        <v/>
      </c>
      <c r="X1976" t="str">
        <f>_xlfn.XLOOKUP(Table3[[#This Row],[Cuenta]],Estructura_Balance[Nombre Cuenta ()],Estructura_Balance[Grupos],"Grupo 1",0)</f>
        <v>Grupo 1</v>
      </c>
      <c r="Y1976" t="str">
        <f>+Table3[[#This Row],[BS_Nivel_1]]</f>
        <v/>
      </c>
    </row>
    <row r="1977" spans="1:25" ht="15" customHeight="1">
      <c r="A1977">
        <f>+'Libro Diario'!F586</f>
        <v>66</v>
      </c>
      <c r="B1977" s="144">
        <f>VALUE(IF(+'Libro Diario'!G586="","01/01/2025",+'Libro Diario'!G586))</f>
        <v>46022</v>
      </c>
      <c r="C1977">
        <f>IF(ISNUMBER(+IF(IFERROR(VALUE(MID('Libro Diario'!C586,1,4)),0)&lt;&gt;0,'Libro Diario'!C586,0))=FALSE,'Libro Diario'!C586,0)</f>
        <v>0</v>
      </c>
      <c r="D1977" s="145">
        <f>+'Libro Diario'!B586</f>
        <v>0</v>
      </c>
      <c r="E1977" s="139" t="s">
        <v>445</v>
      </c>
      <c r="F1977" t="str">
        <f t="shared" si="90"/>
        <v>Sin Mov.</v>
      </c>
      <c r="G1977" t="str">
        <f>IF(+'Libro Diario'!H586=0,"",+'Libro Diario'!H586)</f>
        <v>Asiento de Cierre</v>
      </c>
      <c r="H1977" t="str">
        <f>IF(+'Libro Diario'!I586=0,"",+'Libro Diario'!I586)</f>
        <v>Cierre de cuentas</v>
      </c>
      <c r="I1977" t="str">
        <f>+IF(Table3[[#This Row],[Tipo Movimiento]]="Estructura Balance y PyG","Excluir","Incluir")</f>
        <v>Incluir</v>
      </c>
      <c r="J1977" s="153">
        <f>+IF(Table3[[#This Row],[Sin cuenta]]="Con Mov.",(IF(Table3[[#This Row],[Movimiento]]="Debe",Table3[[#This Row],[Importe]],IF(Table3[[#This Row],[Movimiento]]="Haber",Table3[[#This Row],[Importe]]*-1,0))),0)</f>
        <v>0</v>
      </c>
      <c r="K1977" s="145">
        <f t="shared" si="91"/>
        <v>0</v>
      </c>
      <c r="L1977" s="145" t="str">
        <f t="shared" si="92"/>
        <v/>
      </c>
      <c r="M1977" t="str">
        <f>_xlfn.XLOOKUP(Table3[[#This Row],[Cuenta]],Estructura_Balance[Nombre Cuenta ()],Estructura_Balance[Grupo],"",0)</f>
        <v/>
      </c>
      <c r="N1977" t="str">
        <f>_xlfn.XLOOKUP(Table3[[#This Row],[Cuenta]],Estructura_Balance[Nombre Cuenta ()],Estructura_Balance[Nivel 1],"",0)</f>
        <v/>
      </c>
      <c r="O1977" t="str">
        <f>_xlfn.XLOOKUP(Table3[[#This Row],[Cuenta]],Estructura_Balance[Nombre Cuenta ()],Estructura_Balance[Nivel 2],"",0)</f>
        <v/>
      </c>
      <c r="P1977" t="str">
        <f>_xlfn.XLOOKUP(Table3[[#This Row],[Cuenta]],Estructura_Balance[Nombre Cuenta ()],Estructura_Balance[Nivel 3],"",0)</f>
        <v/>
      </c>
      <c r="Q1977" t="str">
        <f>_xlfn.XLOOKUP(Table3[[#This Row],[Cuenta]],Estructura_Balance[Nombre Cuenta ()],Estructura_Balance[Nivel 4],"",0)</f>
        <v/>
      </c>
      <c r="R1977" s="154" t="str">
        <f>_xlfn.XLOOKUP(Table3[[#This Row],[Cuenta]],Table8[Nombre Cuenta ()],Table8[Nivel 1],"",0)</f>
        <v/>
      </c>
      <c r="S1977" t="str">
        <f>_xlfn.XLOOKUP(Table3[[#This Row],[Cuenta]],Table8[Nombre Cuenta ()],Table8[Nivel 2],"",0)</f>
        <v/>
      </c>
      <c r="T1977" t="str">
        <f>_xlfn.XLOOKUP(Table3[[#This Row],[Cuenta]],Table8[Nombre Cuenta ()],Table8[Nivel 3],"",0)</f>
        <v/>
      </c>
      <c r="U1977">
        <v>778</v>
      </c>
      <c r="V1977" t="str">
        <f>_xlfn.XLOOKUP(Table3[[#This Row],[Cuenta]],Estructura_Balance[Nombre Cuenta ()],Estructura_Balance[Niveles:2],"",0)</f>
        <v/>
      </c>
      <c r="W1977" t="str">
        <f>_xlfn.XLOOKUP(Table3[[#This Row],[Cuenta]],Estructura_Balance[Nombre Cuenta ()],Estructura_Balance[Niveles:3],"",0)</f>
        <v/>
      </c>
      <c r="X1977" t="str">
        <f>_xlfn.XLOOKUP(Table3[[#This Row],[Cuenta]],Estructura_Balance[Nombre Cuenta ()],Estructura_Balance[Grupos],"Grupo 1",0)</f>
        <v>Grupo 1</v>
      </c>
      <c r="Y1977" t="str">
        <f>+Table3[[#This Row],[BS_Nivel_1]]</f>
        <v/>
      </c>
    </row>
    <row r="1978" spans="1:25" ht="15" customHeight="1">
      <c r="A1978">
        <f>+'Libro Diario'!F564</f>
        <v>66</v>
      </c>
      <c r="B1978" s="144">
        <f>VALUE(IF(+'Libro Diario'!G564="","01/01/2025",+'Libro Diario'!G564))</f>
        <v>46022</v>
      </c>
      <c r="C1978">
        <f>IF(ISNUMBER(+IF(IFERROR(VALUE(MID('Libro Diario'!D564,1,4)),0)&lt;&gt;0,'Libro Diario'!D564,0))=FALSE,'Libro Diario'!D564,0)</f>
        <v>0</v>
      </c>
      <c r="D1978" s="145">
        <f>+'Libro Diario'!E564</f>
        <v>0</v>
      </c>
      <c r="E1978" s="139" t="s">
        <v>446</v>
      </c>
      <c r="F1978" t="str">
        <f t="shared" si="90"/>
        <v>Sin Mov.</v>
      </c>
      <c r="G1978" t="str">
        <f>IF(+'Libro Diario'!H564=0,"",+'Libro Diario'!H564)</f>
        <v>Asiento de Cierre</v>
      </c>
      <c r="H1978" t="str">
        <f>IF(+'Libro Diario'!I564=0,"",+'Libro Diario'!I564)</f>
        <v>Cierre de cuentas</v>
      </c>
      <c r="I1978" t="str">
        <f>+IF(Table3[[#This Row],[Tipo Movimiento]]="Estructura Balance y PyG","Excluir","Incluir")</f>
        <v>Incluir</v>
      </c>
      <c r="J1978" s="153">
        <f>+IF(Table3[[#This Row],[Sin cuenta]]="Con Mov.",(IF(Table3[[#This Row],[Movimiento]]="Debe",Table3[[#This Row],[Importe]],IF(Table3[[#This Row],[Movimiento]]="Haber",Table3[[#This Row],[Importe]]*-1,0))),0)</f>
        <v>0</v>
      </c>
      <c r="K1978" s="145" t="str">
        <f t="shared" si="91"/>
        <v/>
      </c>
      <c r="L1978" s="145">
        <f t="shared" si="92"/>
        <v>0</v>
      </c>
      <c r="M1978" t="str">
        <f>_xlfn.XLOOKUP(Table3[[#This Row],[Cuenta]],Estructura_Balance[Nombre Cuenta ()],Estructura_Balance[Grupo],"",0)</f>
        <v/>
      </c>
      <c r="N1978" t="str">
        <f>_xlfn.XLOOKUP(Table3[[#This Row],[Cuenta]],Estructura_Balance[Nombre Cuenta ()],Estructura_Balance[Nivel 1],"",0)</f>
        <v/>
      </c>
      <c r="O1978" t="str">
        <f>_xlfn.XLOOKUP(Table3[[#This Row],[Cuenta]],Estructura_Balance[Nombre Cuenta ()],Estructura_Balance[Nivel 2],"",0)</f>
        <v/>
      </c>
      <c r="P1978" t="str">
        <f>_xlfn.XLOOKUP(Table3[[#This Row],[Cuenta]],Estructura_Balance[Nombre Cuenta ()],Estructura_Balance[Nivel 3],"",0)</f>
        <v/>
      </c>
      <c r="Q1978" t="str">
        <f>_xlfn.XLOOKUP(Table3[[#This Row],[Cuenta]],Estructura_Balance[Nombre Cuenta ()],Estructura_Balance[Nivel 4],"",0)</f>
        <v/>
      </c>
      <c r="R1978" t="str">
        <f>_xlfn.XLOOKUP(Table3[[#This Row],[Cuenta]],Table8[Nombre Cuenta ()],Table8[Nivel 1],"",0)</f>
        <v/>
      </c>
      <c r="S1978" t="str">
        <f>_xlfn.XLOOKUP(Table3[[#This Row],[Cuenta]],Table8[Nombre Cuenta ()],Table8[Nivel 2],"",0)</f>
        <v/>
      </c>
      <c r="T1978" t="str">
        <f>_xlfn.XLOOKUP(Table3[[#This Row],[Cuenta]],Table8[Nombre Cuenta ()],Table8[Nivel 3],"",0)</f>
        <v/>
      </c>
      <c r="U1978">
        <v>1958</v>
      </c>
      <c r="V1978" t="str">
        <f>_xlfn.XLOOKUP(Table3[[#This Row],[Cuenta]],Estructura_Balance[Nombre Cuenta ()],Estructura_Balance[Niveles:2],"",0)</f>
        <v/>
      </c>
      <c r="W1978" t="str">
        <f>_xlfn.XLOOKUP(Table3[[#This Row],[Cuenta]],Estructura_Balance[Nombre Cuenta ()],Estructura_Balance[Niveles:3],"",0)</f>
        <v/>
      </c>
      <c r="X1978" t="str">
        <f>_xlfn.XLOOKUP(Table3[[#This Row],[Cuenta]],Estructura_Balance[Nombre Cuenta ()],Estructura_Balance[Grupos],"Grupo 1",0)</f>
        <v>Grupo 1</v>
      </c>
      <c r="Y1978" t="str">
        <f>+Table3[[#This Row],[BS_Nivel_1]]</f>
        <v/>
      </c>
    </row>
    <row r="1979" spans="1:25" ht="15" customHeight="1">
      <c r="A1979">
        <f>+'Libro Diario'!F565</f>
        <v>66</v>
      </c>
      <c r="B1979" s="144">
        <f>VALUE(IF(+'Libro Diario'!G565="","01/01/2025",+'Libro Diario'!G565))</f>
        <v>46022</v>
      </c>
      <c r="C1979">
        <f>IF(ISNUMBER(+IF(IFERROR(VALUE(MID('Libro Diario'!D565,1,4)),0)&lt;&gt;0,'Libro Diario'!D565,0))=FALSE,'Libro Diario'!D565,0)</f>
        <v>0</v>
      </c>
      <c r="D1979" s="145">
        <f>+'Libro Diario'!E565</f>
        <v>0</v>
      </c>
      <c r="E1979" s="139" t="s">
        <v>446</v>
      </c>
      <c r="F1979" t="str">
        <f t="shared" si="90"/>
        <v>Sin Mov.</v>
      </c>
      <c r="G1979" t="str">
        <f>IF(+'Libro Diario'!H565=0,"",+'Libro Diario'!H565)</f>
        <v>Asiento de Cierre</v>
      </c>
      <c r="H1979" t="str">
        <f>IF(+'Libro Diario'!I565=0,"",+'Libro Diario'!I565)</f>
        <v>Cierre de cuentas</v>
      </c>
      <c r="I1979" t="str">
        <f>+IF(Table3[[#This Row],[Tipo Movimiento]]="Estructura Balance y PyG","Excluir","Incluir")</f>
        <v>Incluir</v>
      </c>
      <c r="J1979" s="153">
        <f>+IF(Table3[[#This Row],[Sin cuenta]]="Con Mov.",(IF(Table3[[#This Row],[Movimiento]]="Debe",Table3[[#This Row],[Importe]],IF(Table3[[#This Row],[Movimiento]]="Haber",Table3[[#This Row],[Importe]]*-1,0))),0)</f>
        <v>0</v>
      </c>
      <c r="K1979" s="145" t="str">
        <f t="shared" si="91"/>
        <v/>
      </c>
      <c r="L1979" s="145">
        <f t="shared" si="92"/>
        <v>0</v>
      </c>
      <c r="M1979" t="str">
        <f>_xlfn.XLOOKUP(Table3[[#This Row],[Cuenta]],Estructura_Balance[Nombre Cuenta ()],Estructura_Balance[Grupo],"",0)</f>
        <v/>
      </c>
      <c r="N1979" t="str">
        <f>_xlfn.XLOOKUP(Table3[[#This Row],[Cuenta]],Estructura_Balance[Nombre Cuenta ()],Estructura_Balance[Nivel 1],"",0)</f>
        <v/>
      </c>
      <c r="O1979" t="str">
        <f>_xlfn.XLOOKUP(Table3[[#This Row],[Cuenta]],Estructura_Balance[Nombre Cuenta ()],Estructura_Balance[Nivel 2],"",0)</f>
        <v/>
      </c>
      <c r="P1979" t="str">
        <f>_xlfn.XLOOKUP(Table3[[#This Row],[Cuenta]],Estructura_Balance[Nombre Cuenta ()],Estructura_Balance[Nivel 3],"",0)</f>
        <v/>
      </c>
      <c r="Q1979" t="str">
        <f>_xlfn.XLOOKUP(Table3[[#This Row],[Cuenta]],Estructura_Balance[Nombre Cuenta ()],Estructura_Balance[Nivel 4],"",0)</f>
        <v/>
      </c>
      <c r="R1979" t="str">
        <f>_xlfn.XLOOKUP(Table3[[#This Row],[Cuenta]],Table8[Nombre Cuenta ()],Table8[Nivel 1],"",0)</f>
        <v/>
      </c>
      <c r="S1979" t="str">
        <f>_xlfn.XLOOKUP(Table3[[#This Row],[Cuenta]],Table8[Nombre Cuenta ()],Table8[Nivel 2],"",0)</f>
        <v/>
      </c>
      <c r="T1979" t="str">
        <f>_xlfn.XLOOKUP(Table3[[#This Row],[Cuenta]],Table8[Nombre Cuenta ()],Table8[Nivel 3],"",0)</f>
        <v/>
      </c>
      <c r="U1979">
        <v>1959</v>
      </c>
      <c r="V1979" t="str">
        <f>_xlfn.XLOOKUP(Table3[[#This Row],[Cuenta]],Estructura_Balance[Nombre Cuenta ()],Estructura_Balance[Niveles:2],"",0)</f>
        <v/>
      </c>
      <c r="W1979" t="str">
        <f>_xlfn.XLOOKUP(Table3[[#This Row],[Cuenta]],Estructura_Balance[Nombre Cuenta ()],Estructura_Balance[Niveles:3],"",0)</f>
        <v/>
      </c>
      <c r="X1979" t="str">
        <f>_xlfn.XLOOKUP(Table3[[#This Row],[Cuenta]],Estructura_Balance[Nombre Cuenta ()],Estructura_Balance[Grupos],"Grupo 1",0)</f>
        <v>Grupo 1</v>
      </c>
      <c r="Y1979" t="str">
        <f>+Table3[[#This Row],[BS_Nivel_1]]</f>
        <v/>
      </c>
    </row>
    <row r="1980" spans="1:25" ht="15" customHeight="1">
      <c r="A1980">
        <f>+'Libro Diario'!F566</f>
        <v>66</v>
      </c>
      <c r="B1980" s="144">
        <f>VALUE(IF(+'Libro Diario'!G566="","01/01/2025",+'Libro Diario'!G566))</f>
        <v>46022</v>
      </c>
      <c r="C1980">
        <f>IF(ISNUMBER(+IF(IFERROR(VALUE(MID('Libro Diario'!D566,1,4)),0)&lt;&gt;0,'Libro Diario'!D566,0))=FALSE,'Libro Diario'!D566,0)</f>
        <v>0</v>
      </c>
      <c r="D1980" s="145">
        <f>+'Libro Diario'!E566</f>
        <v>0</v>
      </c>
      <c r="E1980" s="139" t="s">
        <v>446</v>
      </c>
      <c r="F1980" t="str">
        <f t="shared" si="90"/>
        <v>Sin Mov.</v>
      </c>
      <c r="G1980" t="str">
        <f>IF(+'Libro Diario'!H566=0,"",+'Libro Diario'!H566)</f>
        <v>Asiento de Cierre</v>
      </c>
      <c r="H1980" t="str">
        <f>IF(+'Libro Diario'!I566=0,"",+'Libro Diario'!I566)</f>
        <v>Cierre de cuentas</v>
      </c>
      <c r="I1980" t="str">
        <f>+IF(Table3[[#This Row],[Tipo Movimiento]]="Estructura Balance y PyG","Excluir","Incluir")</f>
        <v>Incluir</v>
      </c>
      <c r="J1980" s="153">
        <f>+IF(Table3[[#This Row],[Sin cuenta]]="Con Mov.",(IF(Table3[[#This Row],[Movimiento]]="Debe",Table3[[#This Row],[Importe]],IF(Table3[[#This Row],[Movimiento]]="Haber",Table3[[#This Row],[Importe]]*-1,0))),0)</f>
        <v>0</v>
      </c>
      <c r="K1980" s="145" t="str">
        <f t="shared" si="91"/>
        <v/>
      </c>
      <c r="L1980" s="145">
        <f t="shared" si="92"/>
        <v>0</v>
      </c>
      <c r="M1980" t="str">
        <f>_xlfn.XLOOKUP(Table3[[#This Row],[Cuenta]],Estructura_Balance[Nombre Cuenta ()],Estructura_Balance[Grupo],"",0)</f>
        <v/>
      </c>
      <c r="N1980" t="str">
        <f>_xlfn.XLOOKUP(Table3[[#This Row],[Cuenta]],Estructura_Balance[Nombre Cuenta ()],Estructura_Balance[Nivel 1],"",0)</f>
        <v/>
      </c>
      <c r="O1980" t="str">
        <f>_xlfn.XLOOKUP(Table3[[#This Row],[Cuenta]],Estructura_Balance[Nombre Cuenta ()],Estructura_Balance[Nivel 2],"",0)</f>
        <v/>
      </c>
      <c r="P1980" t="str">
        <f>_xlfn.XLOOKUP(Table3[[#This Row],[Cuenta]],Estructura_Balance[Nombre Cuenta ()],Estructura_Balance[Nivel 3],"",0)</f>
        <v/>
      </c>
      <c r="Q1980" t="str">
        <f>_xlfn.XLOOKUP(Table3[[#This Row],[Cuenta]],Estructura_Balance[Nombre Cuenta ()],Estructura_Balance[Nivel 4],"",0)</f>
        <v/>
      </c>
      <c r="R1980" t="str">
        <f>_xlfn.XLOOKUP(Table3[[#This Row],[Cuenta]],Table8[Nombre Cuenta ()],Table8[Nivel 1],"",0)</f>
        <v/>
      </c>
      <c r="S1980" t="str">
        <f>_xlfn.XLOOKUP(Table3[[#This Row],[Cuenta]],Table8[Nombre Cuenta ()],Table8[Nivel 2],"",0)</f>
        <v/>
      </c>
      <c r="T1980" t="str">
        <f>_xlfn.XLOOKUP(Table3[[#This Row],[Cuenta]],Table8[Nombre Cuenta ()],Table8[Nivel 3],"",0)</f>
        <v/>
      </c>
      <c r="U1980">
        <v>1960</v>
      </c>
      <c r="V1980" t="str">
        <f>_xlfn.XLOOKUP(Table3[[#This Row],[Cuenta]],Estructura_Balance[Nombre Cuenta ()],Estructura_Balance[Niveles:2],"",0)</f>
        <v/>
      </c>
      <c r="W1980" t="str">
        <f>_xlfn.XLOOKUP(Table3[[#This Row],[Cuenta]],Estructura_Balance[Nombre Cuenta ()],Estructura_Balance[Niveles:3],"",0)</f>
        <v/>
      </c>
      <c r="X1980" t="str">
        <f>_xlfn.XLOOKUP(Table3[[#This Row],[Cuenta]],Estructura_Balance[Nombre Cuenta ()],Estructura_Balance[Grupos],"Grupo 1",0)</f>
        <v>Grupo 1</v>
      </c>
      <c r="Y1980" t="str">
        <f>+Table3[[#This Row],[BS_Nivel_1]]</f>
        <v/>
      </c>
    </row>
    <row r="1981" spans="1:25" ht="15" customHeight="1">
      <c r="A1981">
        <f>+'Libro Diario'!F567</f>
        <v>66</v>
      </c>
      <c r="B1981" s="144">
        <f>VALUE(IF(+'Libro Diario'!G567="","01/01/2025",+'Libro Diario'!G567))</f>
        <v>46022</v>
      </c>
      <c r="C1981">
        <f>IF(ISNUMBER(+IF(IFERROR(VALUE(MID('Libro Diario'!D567,1,4)),0)&lt;&gt;0,'Libro Diario'!D567,0))=FALSE,'Libro Diario'!D567,0)</f>
        <v>0</v>
      </c>
      <c r="D1981" s="145">
        <f>+'Libro Diario'!E567</f>
        <v>0</v>
      </c>
      <c r="E1981" s="139" t="s">
        <v>446</v>
      </c>
      <c r="F1981" t="str">
        <f t="shared" si="90"/>
        <v>Sin Mov.</v>
      </c>
      <c r="G1981" t="str">
        <f>IF(+'Libro Diario'!H567=0,"",+'Libro Diario'!H567)</f>
        <v>Asiento de Cierre</v>
      </c>
      <c r="H1981" t="str">
        <f>IF(+'Libro Diario'!I567=0,"",+'Libro Diario'!I567)</f>
        <v>Cierre de cuentas</v>
      </c>
      <c r="I1981" t="str">
        <f>+IF(Table3[[#This Row],[Tipo Movimiento]]="Estructura Balance y PyG","Excluir","Incluir")</f>
        <v>Incluir</v>
      </c>
      <c r="J1981" s="153">
        <f>+IF(Table3[[#This Row],[Sin cuenta]]="Con Mov.",(IF(Table3[[#This Row],[Movimiento]]="Debe",Table3[[#This Row],[Importe]],IF(Table3[[#This Row],[Movimiento]]="Haber",Table3[[#This Row],[Importe]]*-1,0))),0)</f>
        <v>0</v>
      </c>
      <c r="K1981" s="145" t="str">
        <f t="shared" si="91"/>
        <v/>
      </c>
      <c r="L1981" s="145">
        <f t="shared" si="92"/>
        <v>0</v>
      </c>
      <c r="M1981" t="str">
        <f>_xlfn.XLOOKUP(Table3[[#This Row],[Cuenta]],Estructura_Balance[Nombre Cuenta ()],Estructura_Balance[Grupo],"",0)</f>
        <v/>
      </c>
      <c r="N1981" t="str">
        <f>_xlfn.XLOOKUP(Table3[[#This Row],[Cuenta]],Estructura_Balance[Nombre Cuenta ()],Estructura_Balance[Nivel 1],"",0)</f>
        <v/>
      </c>
      <c r="O1981" t="str">
        <f>_xlfn.XLOOKUP(Table3[[#This Row],[Cuenta]],Estructura_Balance[Nombre Cuenta ()],Estructura_Balance[Nivel 2],"",0)</f>
        <v/>
      </c>
      <c r="P1981" t="str">
        <f>_xlfn.XLOOKUP(Table3[[#This Row],[Cuenta]],Estructura_Balance[Nombre Cuenta ()],Estructura_Balance[Nivel 3],"",0)</f>
        <v/>
      </c>
      <c r="Q1981" t="str">
        <f>_xlfn.XLOOKUP(Table3[[#This Row],[Cuenta]],Estructura_Balance[Nombre Cuenta ()],Estructura_Balance[Nivel 4],"",0)</f>
        <v/>
      </c>
      <c r="R1981" t="str">
        <f>_xlfn.XLOOKUP(Table3[[#This Row],[Cuenta]],Table8[Nombre Cuenta ()],Table8[Nivel 1],"",0)</f>
        <v/>
      </c>
      <c r="S1981" t="str">
        <f>_xlfn.XLOOKUP(Table3[[#This Row],[Cuenta]],Table8[Nombre Cuenta ()],Table8[Nivel 2],"",0)</f>
        <v/>
      </c>
      <c r="T1981" t="str">
        <f>_xlfn.XLOOKUP(Table3[[#This Row],[Cuenta]],Table8[Nombre Cuenta ()],Table8[Nivel 3],"",0)</f>
        <v/>
      </c>
      <c r="U1981">
        <v>1961</v>
      </c>
      <c r="V1981" t="str">
        <f>_xlfn.XLOOKUP(Table3[[#This Row],[Cuenta]],Estructura_Balance[Nombre Cuenta ()],Estructura_Balance[Niveles:2],"",0)</f>
        <v/>
      </c>
      <c r="W1981" t="str">
        <f>_xlfn.XLOOKUP(Table3[[#This Row],[Cuenta]],Estructura_Balance[Nombre Cuenta ()],Estructura_Balance[Niveles:3],"",0)</f>
        <v/>
      </c>
      <c r="X1981" t="str">
        <f>_xlfn.XLOOKUP(Table3[[#This Row],[Cuenta]],Estructura_Balance[Nombre Cuenta ()],Estructura_Balance[Grupos],"Grupo 1",0)</f>
        <v>Grupo 1</v>
      </c>
      <c r="Y1981" t="str">
        <f>+Table3[[#This Row],[BS_Nivel_1]]</f>
        <v/>
      </c>
    </row>
    <row r="1982" spans="1:25" ht="15" customHeight="1">
      <c r="A1982">
        <f>+'Libro Diario'!F568</f>
        <v>66</v>
      </c>
      <c r="B1982" s="144">
        <f>VALUE(IF(+'Libro Diario'!G568="","01/01/2025",+'Libro Diario'!G568))</f>
        <v>46022</v>
      </c>
      <c r="C1982">
        <f>IF(ISNUMBER(+IF(IFERROR(VALUE(MID('Libro Diario'!D568,1,4)),0)&lt;&gt;0,'Libro Diario'!D568,0))=FALSE,'Libro Diario'!D568,0)</f>
        <v>0</v>
      </c>
      <c r="D1982" s="145">
        <f>+'Libro Diario'!E568</f>
        <v>0</v>
      </c>
      <c r="E1982" s="139" t="s">
        <v>446</v>
      </c>
      <c r="F1982" t="str">
        <f t="shared" si="90"/>
        <v>Sin Mov.</v>
      </c>
      <c r="G1982" t="str">
        <f>IF(+'Libro Diario'!H568=0,"",+'Libro Diario'!H568)</f>
        <v>Asiento de Cierre</v>
      </c>
      <c r="H1982" t="str">
        <f>IF(+'Libro Diario'!I568=0,"",+'Libro Diario'!I568)</f>
        <v>Cierre de cuentas</v>
      </c>
      <c r="I1982" t="str">
        <f>+IF(Table3[[#This Row],[Tipo Movimiento]]="Estructura Balance y PyG","Excluir","Incluir")</f>
        <v>Incluir</v>
      </c>
      <c r="J1982" s="153">
        <f>+IF(Table3[[#This Row],[Sin cuenta]]="Con Mov.",(IF(Table3[[#This Row],[Movimiento]]="Debe",Table3[[#This Row],[Importe]],IF(Table3[[#This Row],[Movimiento]]="Haber",Table3[[#This Row],[Importe]]*-1,0))),0)</f>
        <v>0</v>
      </c>
      <c r="K1982" s="145" t="str">
        <f t="shared" si="91"/>
        <v/>
      </c>
      <c r="L1982" s="145">
        <f t="shared" si="92"/>
        <v>0</v>
      </c>
      <c r="M1982" t="str">
        <f>_xlfn.XLOOKUP(Table3[[#This Row],[Cuenta]],Estructura_Balance[Nombre Cuenta ()],Estructura_Balance[Grupo],"",0)</f>
        <v/>
      </c>
      <c r="N1982" t="str">
        <f>_xlfn.XLOOKUP(Table3[[#This Row],[Cuenta]],Estructura_Balance[Nombre Cuenta ()],Estructura_Balance[Nivel 1],"",0)</f>
        <v/>
      </c>
      <c r="O1982" t="str">
        <f>_xlfn.XLOOKUP(Table3[[#This Row],[Cuenta]],Estructura_Balance[Nombre Cuenta ()],Estructura_Balance[Nivel 2],"",0)</f>
        <v/>
      </c>
      <c r="P1982" t="str">
        <f>_xlfn.XLOOKUP(Table3[[#This Row],[Cuenta]],Estructura_Balance[Nombre Cuenta ()],Estructura_Balance[Nivel 3],"",0)</f>
        <v/>
      </c>
      <c r="Q1982" t="str">
        <f>_xlfn.XLOOKUP(Table3[[#This Row],[Cuenta]],Estructura_Balance[Nombre Cuenta ()],Estructura_Balance[Nivel 4],"",0)</f>
        <v/>
      </c>
      <c r="R1982" t="str">
        <f>_xlfn.XLOOKUP(Table3[[#This Row],[Cuenta]],Table8[Nombre Cuenta ()],Table8[Nivel 1],"",0)</f>
        <v/>
      </c>
      <c r="S1982" t="str">
        <f>_xlfn.XLOOKUP(Table3[[#This Row],[Cuenta]],Table8[Nombre Cuenta ()],Table8[Nivel 2],"",0)</f>
        <v/>
      </c>
      <c r="T1982" t="str">
        <f>_xlfn.XLOOKUP(Table3[[#This Row],[Cuenta]],Table8[Nombre Cuenta ()],Table8[Nivel 3],"",0)</f>
        <v/>
      </c>
      <c r="U1982">
        <v>1962</v>
      </c>
      <c r="V1982" t="str">
        <f>_xlfn.XLOOKUP(Table3[[#This Row],[Cuenta]],Estructura_Balance[Nombre Cuenta ()],Estructura_Balance[Niveles:2],"",0)</f>
        <v/>
      </c>
      <c r="W1982" t="str">
        <f>_xlfn.XLOOKUP(Table3[[#This Row],[Cuenta]],Estructura_Balance[Nombre Cuenta ()],Estructura_Balance[Niveles:3],"",0)</f>
        <v/>
      </c>
      <c r="X1982" t="str">
        <f>_xlfn.XLOOKUP(Table3[[#This Row],[Cuenta]],Estructura_Balance[Nombre Cuenta ()],Estructura_Balance[Grupos],"Grupo 1",0)</f>
        <v>Grupo 1</v>
      </c>
      <c r="Y1982" t="str">
        <f>+Table3[[#This Row],[BS_Nivel_1]]</f>
        <v/>
      </c>
    </row>
    <row r="1983" spans="1:25" ht="15" customHeight="1">
      <c r="A1983">
        <f>+'Libro Diario'!F569</f>
        <v>66</v>
      </c>
      <c r="B1983" s="144">
        <f>VALUE(IF(+'Libro Diario'!G569="","01/01/2025",+'Libro Diario'!G569))</f>
        <v>46022</v>
      </c>
      <c r="C1983">
        <f>IF(ISNUMBER(+IF(IFERROR(VALUE(MID('Libro Diario'!D569,1,4)),0)&lt;&gt;0,'Libro Diario'!D569,0))=FALSE,'Libro Diario'!D569,0)</f>
        <v>0</v>
      </c>
      <c r="D1983" s="145">
        <f>+'Libro Diario'!E569</f>
        <v>0</v>
      </c>
      <c r="E1983" s="139" t="s">
        <v>446</v>
      </c>
      <c r="F1983" t="str">
        <f t="shared" si="90"/>
        <v>Sin Mov.</v>
      </c>
      <c r="G1983" t="str">
        <f>IF(+'Libro Diario'!H569=0,"",+'Libro Diario'!H569)</f>
        <v>Asiento de Cierre</v>
      </c>
      <c r="H1983" t="str">
        <f>IF(+'Libro Diario'!I569=0,"",+'Libro Diario'!I569)</f>
        <v>Cierre de cuentas</v>
      </c>
      <c r="I1983" t="str">
        <f>+IF(Table3[[#This Row],[Tipo Movimiento]]="Estructura Balance y PyG","Excluir","Incluir")</f>
        <v>Incluir</v>
      </c>
      <c r="J1983" s="153">
        <f>+IF(Table3[[#This Row],[Sin cuenta]]="Con Mov.",(IF(Table3[[#This Row],[Movimiento]]="Debe",Table3[[#This Row],[Importe]],IF(Table3[[#This Row],[Movimiento]]="Haber",Table3[[#This Row],[Importe]]*-1,0))),0)</f>
        <v>0</v>
      </c>
      <c r="K1983" s="145" t="str">
        <f t="shared" si="91"/>
        <v/>
      </c>
      <c r="L1983" s="145">
        <f t="shared" si="92"/>
        <v>0</v>
      </c>
      <c r="M1983" t="str">
        <f>_xlfn.XLOOKUP(Table3[[#This Row],[Cuenta]],Estructura_Balance[Nombre Cuenta ()],Estructura_Balance[Grupo],"",0)</f>
        <v/>
      </c>
      <c r="N1983" t="str">
        <f>_xlfn.XLOOKUP(Table3[[#This Row],[Cuenta]],Estructura_Balance[Nombre Cuenta ()],Estructura_Balance[Nivel 1],"",0)</f>
        <v/>
      </c>
      <c r="O1983" t="str">
        <f>_xlfn.XLOOKUP(Table3[[#This Row],[Cuenta]],Estructura_Balance[Nombre Cuenta ()],Estructura_Balance[Nivel 2],"",0)</f>
        <v/>
      </c>
      <c r="P1983" t="str">
        <f>_xlfn.XLOOKUP(Table3[[#This Row],[Cuenta]],Estructura_Balance[Nombre Cuenta ()],Estructura_Balance[Nivel 3],"",0)</f>
        <v/>
      </c>
      <c r="Q1983" t="str">
        <f>_xlfn.XLOOKUP(Table3[[#This Row],[Cuenta]],Estructura_Balance[Nombre Cuenta ()],Estructura_Balance[Nivel 4],"",0)</f>
        <v/>
      </c>
      <c r="R1983" t="str">
        <f>_xlfn.XLOOKUP(Table3[[#This Row],[Cuenta]],Table8[Nombre Cuenta ()],Table8[Nivel 1],"",0)</f>
        <v/>
      </c>
      <c r="S1983" t="str">
        <f>_xlfn.XLOOKUP(Table3[[#This Row],[Cuenta]],Table8[Nombre Cuenta ()],Table8[Nivel 2],"",0)</f>
        <v/>
      </c>
      <c r="T1983" t="str">
        <f>_xlfn.XLOOKUP(Table3[[#This Row],[Cuenta]],Table8[Nombre Cuenta ()],Table8[Nivel 3],"",0)</f>
        <v/>
      </c>
      <c r="U1983">
        <v>1963</v>
      </c>
      <c r="V1983" t="str">
        <f>_xlfn.XLOOKUP(Table3[[#This Row],[Cuenta]],Estructura_Balance[Nombre Cuenta ()],Estructura_Balance[Niveles:2],"",0)</f>
        <v/>
      </c>
      <c r="W1983" t="str">
        <f>_xlfn.XLOOKUP(Table3[[#This Row],[Cuenta]],Estructura_Balance[Nombre Cuenta ()],Estructura_Balance[Niveles:3],"",0)</f>
        <v/>
      </c>
      <c r="X1983" t="str">
        <f>_xlfn.XLOOKUP(Table3[[#This Row],[Cuenta]],Estructura_Balance[Nombre Cuenta ()],Estructura_Balance[Grupos],"Grupo 1",0)</f>
        <v>Grupo 1</v>
      </c>
      <c r="Y1983" t="str">
        <f>+Table3[[#This Row],[BS_Nivel_1]]</f>
        <v/>
      </c>
    </row>
    <row r="1984" spans="1:25" ht="15" customHeight="1">
      <c r="A1984">
        <f>+'Libro Diario'!F570</f>
        <v>66</v>
      </c>
      <c r="B1984" s="144">
        <f>VALUE(IF(+'Libro Diario'!G570="","01/01/2025",+'Libro Diario'!G570))</f>
        <v>46022</v>
      </c>
      <c r="C1984">
        <f>IF(ISNUMBER(+IF(IFERROR(VALUE(MID('Libro Diario'!D570,1,4)),0)&lt;&gt;0,'Libro Diario'!D570,0))=FALSE,'Libro Diario'!D570,0)</f>
        <v>0</v>
      </c>
      <c r="D1984" s="145">
        <f>+'Libro Diario'!E570</f>
        <v>0</v>
      </c>
      <c r="E1984" s="139" t="s">
        <v>446</v>
      </c>
      <c r="F1984" t="str">
        <f t="shared" si="90"/>
        <v>Sin Mov.</v>
      </c>
      <c r="G1984" t="str">
        <f>IF(+'Libro Diario'!H570=0,"",+'Libro Diario'!H570)</f>
        <v>Asiento de Cierre</v>
      </c>
      <c r="H1984" t="str">
        <f>IF(+'Libro Diario'!I570=0,"",+'Libro Diario'!I570)</f>
        <v>Cierre de cuentas</v>
      </c>
      <c r="I1984" t="str">
        <f>+IF(Table3[[#This Row],[Tipo Movimiento]]="Estructura Balance y PyG","Excluir","Incluir")</f>
        <v>Incluir</v>
      </c>
      <c r="J1984" s="153">
        <f>+IF(Table3[[#This Row],[Sin cuenta]]="Con Mov.",(IF(Table3[[#This Row],[Movimiento]]="Debe",Table3[[#This Row],[Importe]],IF(Table3[[#This Row],[Movimiento]]="Haber",Table3[[#This Row],[Importe]]*-1,0))),0)</f>
        <v>0</v>
      </c>
      <c r="K1984" s="145" t="str">
        <f t="shared" si="91"/>
        <v/>
      </c>
      <c r="L1984" s="145">
        <f t="shared" si="92"/>
        <v>0</v>
      </c>
      <c r="M1984" t="str">
        <f>_xlfn.XLOOKUP(Table3[[#This Row],[Cuenta]],Estructura_Balance[Nombre Cuenta ()],Estructura_Balance[Grupo],"",0)</f>
        <v/>
      </c>
      <c r="N1984" t="str">
        <f>_xlfn.XLOOKUP(Table3[[#This Row],[Cuenta]],Estructura_Balance[Nombre Cuenta ()],Estructura_Balance[Nivel 1],"",0)</f>
        <v/>
      </c>
      <c r="O1984" t="str">
        <f>_xlfn.XLOOKUP(Table3[[#This Row],[Cuenta]],Estructura_Balance[Nombre Cuenta ()],Estructura_Balance[Nivel 2],"",0)</f>
        <v/>
      </c>
      <c r="P1984" t="str">
        <f>_xlfn.XLOOKUP(Table3[[#This Row],[Cuenta]],Estructura_Balance[Nombre Cuenta ()],Estructura_Balance[Nivel 3],"",0)</f>
        <v/>
      </c>
      <c r="Q1984" t="str">
        <f>_xlfn.XLOOKUP(Table3[[#This Row],[Cuenta]],Estructura_Balance[Nombre Cuenta ()],Estructura_Balance[Nivel 4],"",0)</f>
        <v/>
      </c>
      <c r="R1984" t="str">
        <f>_xlfn.XLOOKUP(Table3[[#This Row],[Cuenta]],Table8[Nombre Cuenta ()],Table8[Nivel 1],"",0)</f>
        <v/>
      </c>
      <c r="S1984" t="str">
        <f>_xlfn.XLOOKUP(Table3[[#This Row],[Cuenta]],Table8[Nombre Cuenta ()],Table8[Nivel 2],"",0)</f>
        <v/>
      </c>
      <c r="T1984" t="str">
        <f>_xlfn.XLOOKUP(Table3[[#This Row],[Cuenta]],Table8[Nombre Cuenta ()],Table8[Nivel 3],"",0)</f>
        <v/>
      </c>
      <c r="U1984">
        <v>1964</v>
      </c>
      <c r="V1984" t="str">
        <f>_xlfn.XLOOKUP(Table3[[#This Row],[Cuenta]],Estructura_Balance[Nombre Cuenta ()],Estructura_Balance[Niveles:2],"",0)</f>
        <v/>
      </c>
      <c r="W1984" t="str">
        <f>_xlfn.XLOOKUP(Table3[[#This Row],[Cuenta]],Estructura_Balance[Nombre Cuenta ()],Estructura_Balance[Niveles:3],"",0)</f>
        <v/>
      </c>
      <c r="X1984" t="str">
        <f>_xlfn.XLOOKUP(Table3[[#This Row],[Cuenta]],Estructura_Balance[Nombre Cuenta ()],Estructura_Balance[Grupos],"Grupo 1",0)</f>
        <v>Grupo 1</v>
      </c>
      <c r="Y1984" t="str">
        <f>+Table3[[#This Row],[BS_Nivel_1]]</f>
        <v/>
      </c>
    </row>
    <row r="1985" spans="1:25" ht="15" customHeight="1">
      <c r="A1985">
        <f>+'Libro Diario'!F571</f>
        <v>66</v>
      </c>
      <c r="B1985" s="144">
        <f>VALUE(IF(+'Libro Diario'!G571="","01/01/2025",+'Libro Diario'!G571))</f>
        <v>46022</v>
      </c>
      <c r="C1985">
        <f>IF(ISNUMBER(+IF(IFERROR(VALUE(MID('Libro Diario'!D571,1,4)),0)&lt;&gt;0,'Libro Diario'!D571,0))=FALSE,'Libro Diario'!D571,0)</f>
        <v>0</v>
      </c>
      <c r="D1985" s="145">
        <f>+'Libro Diario'!E571</f>
        <v>0</v>
      </c>
      <c r="E1985" s="139" t="s">
        <v>446</v>
      </c>
      <c r="F1985" t="str">
        <f t="shared" si="90"/>
        <v>Sin Mov.</v>
      </c>
      <c r="G1985" t="str">
        <f>IF(+'Libro Diario'!H571=0,"",+'Libro Diario'!H571)</f>
        <v>Asiento de Cierre</v>
      </c>
      <c r="H1985" t="str">
        <f>IF(+'Libro Diario'!I571=0,"",+'Libro Diario'!I571)</f>
        <v>Cierre de cuentas</v>
      </c>
      <c r="I1985" t="str">
        <f>+IF(Table3[[#This Row],[Tipo Movimiento]]="Estructura Balance y PyG","Excluir","Incluir")</f>
        <v>Incluir</v>
      </c>
      <c r="J1985" s="153">
        <f>+IF(Table3[[#This Row],[Sin cuenta]]="Con Mov.",(IF(Table3[[#This Row],[Movimiento]]="Debe",Table3[[#This Row],[Importe]],IF(Table3[[#This Row],[Movimiento]]="Haber",Table3[[#This Row],[Importe]]*-1,0))),0)</f>
        <v>0</v>
      </c>
      <c r="K1985" s="145" t="str">
        <f t="shared" si="91"/>
        <v/>
      </c>
      <c r="L1985" s="145">
        <f t="shared" si="92"/>
        <v>0</v>
      </c>
      <c r="M1985" t="str">
        <f>_xlfn.XLOOKUP(Table3[[#This Row],[Cuenta]],Estructura_Balance[Nombre Cuenta ()],Estructura_Balance[Grupo],"",0)</f>
        <v/>
      </c>
      <c r="N1985" t="str">
        <f>_xlfn.XLOOKUP(Table3[[#This Row],[Cuenta]],Estructura_Balance[Nombre Cuenta ()],Estructura_Balance[Nivel 1],"",0)</f>
        <v/>
      </c>
      <c r="O1985" t="str">
        <f>_xlfn.XLOOKUP(Table3[[#This Row],[Cuenta]],Estructura_Balance[Nombre Cuenta ()],Estructura_Balance[Nivel 2],"",0)</f>
        <v/>
      </c>
      <c r="P1985" t="str">
        <f>_xlfn.XLOOKUP(Table3[[#This Row],[Cuenta]],Estructura_Balance[Nombre Cuenta ()],Estructura_Balance[Nivel 3],"",0)</f>
        <v/>
      </c>
      <c r="Q1985" t="str">
        <f>_xlfn.XLOOKUP(Table3[[#This Row],[Cuenta]],Estructura_Balance[Nombre Cuenta ()],Estructura_Balance[Nivel 4],"",0)</f>
        <v/>
      </c>
      <c r="R1985" t="str">
        <f>_xlfn.XLOOKUP(Table3[[#This Row],[Cuenta]],Table8[Nombre Cuenta ()],Table8[Nivel 1],"",0)</f>
        <v/>
      </c>
      <c r="S1985" t="str">
        <f>_xlfn.XLOOKUP(Table3[[#This Row],[Cuenta]],Table8[Nombre Cuenta ()],Table8[Nivel 2],"",0)</f>
        <v/>
      </c>
      <c r="T1985" t="str">
        <f>_xlfn.XLOOKUP(Table3[[#This Row],[Cuenta]],Table8[Nombre Cuenta ()],Table8[Nivel 3],"",0)</f>
        <v/>
      </c>
      <c r="U1985">
        <v>1965</v>
      </c>
      <c r="V1985" t="str">
        <f>_xlfn.XLOOKUP(Table3[[#This Row],[Cuenta]],Estructura_Balance[Nombre Cuenta ()],Estructura_Balance[Niveles:2],"",0)</f>
        <v/>
      </c>
      <c r="W1985" t="str">
        <f>_xlfn.XLOOKUP(Table3[[#This Row],[Cuenta]],Estructura_Balance[Nombre Cuenta ()],Estructura_Balance[Niveles:3],"",0)</f>
        <v/>
      </c>
      <c r="X1985" t="str">
        <f>_xlfn.XLOOKUP(Table3[[#This Row],[Cuenta]],Estructura_Balance[Nombre Cuenta ()],Estructura_Balance[Grupos],"Grupo 1",0)</f>
        <v>Grupo 1</v>
      </c>
      <c r="Y1985" t="str">
        <f>+Table3[[#This Row],[BS_Nivel_1]]</f>
        <v/>
      </c>
    </row>
    <row r="1986" spans="1:25" ht="15" customHeight="1">
      <c r="A1986">
        <f>+'Libro Diario'!F572</f>
        <v>66</v>
      </c>
      <c r="B1986" s="144">
        <f>VALUE(IF(+'Libro Diario'!G572="","01/01/2025",+'Libro Diario'!G572))</f>
        <v>46022</v>
      </c>
      <c r="C1986">
        <f>IF(ISNUMBER(+IF(IFERROR(VALUE(MID('Libro Diario'!D572,1,4)),0)&lt;&gt;0,'Libro Diario'!D572,0))=FALSE,'Libro Diario'!D572,0)</f>
        <v>0</v>
      </c>
      <c r="D1986" s="145">
        <f>+'Libro Diario'!E572</f>
        <v>0</v>
      </c>
      <c r="E1986" s="139" t="s">
        <v>446</v>
      </c>
      <c r="F1986" t="str">
        <f t="shared" si="90"/>
        <v>Sin Mov.</v>
      </c>
      <c r="G1986" t="str">
        <f>IF(+'Libro Diario'!H572=0,"",+'Libro Diario'!H572)</f>
        <v>Asiento de Cierre</v>
      </c>
      <c r="H1986" t="str">
        <f>IF(+'Libro Diario'!I572=0,"",+'Libro Diario'!I572)</f>
        <v>Cierre de cuentas</v>
      </c>
      <c r="I1986" t="str">
        <f>+IF(Table3[[#This Row],[Tipo Movimiento]]="Estructura Balance y PyG","Excluir","Incluir")</f>
        <v>Incluir</v>
      </c>
      <c r="J1986" s="153">
        <f>+IF(Table3[[#This Row],[Sin cuenta]]="Con Mov.",(IF(Table3[[#This Row],[Movimiento]]="Debe",Table3[[#This Row],[Importe]],IF(Table3[[#This Row],[Movimiento]]="Haber",Table3[[#This Row],[Importe]]*-1,0))),0)</f>
        <v>0</v>
      </c>
      <c r="K1986" s="145" t="str">
        <f t="shared" si="91"/>
        <v/>
      </c>
      <c r="L1986" s="145">
        <f t="shared" si="92"/>
        <v>0</v>
      </c>
      <c r="M1986" t="str">
        <f>_xlfn.XLOOKUP(Table3[[#This Row],[Cuenta]],Estructura_Balance[Nombre Cuenta ()],Estructura_Balance[Grupo],"",0)</f>
        <v/>
      </c>
      <c r="N1986" t="str">
        <f>_xlfn.XLOOKUP(Table3[[#This Row],[Cuenta]],Estructura_Balance[Nombre Cuenta ()],Estructura_Balance[Nivel 1],"",0)</f>
        <v/>
      </c>
      <c r="O1986" t="str">
        <f>_xlfn.XLOOKUP(Table3[[#This Row],[Cuenta]],Estructura_Balance[Nombre Cuenta ()],Estructura_Balance[Nivel 2],"",0)</f>
        <v/>
      </c>
      <c r="P1986" t="str">
        <f>_xlfn.XLOOKUP(Table3[[#This Row],[Cuenta]],Estructura_Balance[Nombre Cuenta ()],Estructura_Balance[Nivel 3],"",0)</f>
        <v/>
      </c>
      <c r="Q1986" t="str">
        <f>_xlfn.XLOOKUP(Table3[[#This Row],[Cuenta]],Estructura_Balance[Nombre Cuenta ()],Estructura_Balance[Nivel 4],"",0)</f>
        <v/>
      </c>
      <c r="R1986" t="str">
        <f>_xlfn.XLOOKUP(Table3[[#This Row],[Cuenta]],Table8[Nombre Cuenta ()],Table8[Nivel 1],"",0)</f>
        <v/>
      </c>
      <c r="S1986" t="str">
        <f>_xlfn.XLOOKUP(Table3[[#This Row],[Cuenta]],Table8[Nombre Cuenta ()],Table8[Nivel 2],"",0)</f>
        <v/>
      </c>
      <c r="T1986" t="str">
        <f>_xlfn.XLOOKUP(Table3[[#This Row],[Cuenta]],Table8[Nombre Cuenta ()],Table8[Nivel 3],"",0)</f>
        <v/>
      </c>
      <c r="U1986">
        <v>1966</v>
      </c>
      <c r="V1986" t="str">
        <f>_xlfn.XLOOKUP(Table3[[#This Row],[Cuenta]],Estructura_Balance[Nombre Cuenta ()],Estructura_Balance[Niveles:2],"",0)</f>
        <v/>
      </c>
      <c r="W1986" t="str">
        <f>_xlfn.XLOOKUP(Table3[[#This Row],[Cuenta]],Estructura_Balance[Nombre Cuenta ()],Estructura_Balance[Niveles:3],"",0)</f>
        <v/>
      </c>
      <c r="X1986" t="str">
        <f>_xlfn.XLOOKUP(Table3[[#This Row],[Cuenta]],Estructura_Balance[Nombre Cuenta ()],Estructura_Balance[Grupos],"Grupo 1",0)</f>
        <v>Grupo 1</v>
      </c>
      <c r="Y1986" t="str">
        <f>+Table3[[#This Row],[BS_Nivel_1]]</f>
        <v/>
      </c>
    </row>
    <row r="1987" spans="1:25" ht="15" customHeight="1">
      <c r="A1987">
        <f>+'Libro Diario'!F573</f>
        <v>66</v>
      </c>
      <c r="B1987" s="144">
        <f>VALUE(IF(+'Libro Diario'!G573="","01/01/2025",+'Libro Diario'!G573))</f>
        <v>46022</v>
      </c>
      <c r="C1987">
        <f>IF(ISNUMBER(+IF(IFERROR(VALUE(MID('Libro Diario'!D573,1,4)),0)&lt;&gt;0,'Libro Diario'!D573,0))=FALSE,'Libro Diario'!D573,0)</f>
        <v>0</v>
      </c>
      <c r="D1987" s="145">
        <f>+'Libro Diario'!E573</f>
        <v>0</v>
      </c>
      <c r="E1987" s="139" t="s">
        <v>446</v>
      </c>
      <c r="F1987" t="str">
        <f t="shared" ref="F1987:F2000" si="93">+IF(C1987=0,"Sin Mov.","Con Mov.")</f>
        <v>Sin Mov.</v>
      </c>
      <c r="G1987" t="str">
        <f>IF(+'Libro Diario'!H573=0,"",+'Libro Diario'!H573)</f>
        <v>Asiento de Cierre</v>
      </c>
      <c r="H1987" t="str">
        <f>IF(+'Libro Diario'!I573=0,"",+'Libro Diario'!I573)</f>
        <v>Cierre de cuentas</v>
      </c>
      <c r="I1987" t="str">
        <f>+IF(Table3[[#This Row],[Tipo Movimiento]]="Estructura Balance y PyG","Excluir","Incluir")</f>
        <v>Incluir</v>
      </c>
      <c r="J1987" s="153">
        <f>+IF(Table3[[#This Row],[Sin cuenta]]="Con Mov.",(IF(Table3[[#This Row],[Movimiento]]="Debe",Table3[[#This Row],[Importe]],IF(Table3[[#This Row],[Movimiento]]="Haber",Table3[[#This Row],[Importe]]*-1,0))),0)</f>
        <v>0</v>
      </c>
      <c r="K1987" s="145" t="str">
        <f t="shared" ref="K1987:K2000" si="94">+IF(E1987="Debe",D1987,"")</f>
        <v/>
      </c>
      <c r="L1987" s="145">
        <f t="shared" ref="L1987:L2000" si="95">+IF(E1987="Haber",D1987,"")</f>
        <v>0</v>
      </c>
      <c r="M1987" t="str">
        <f>_xlfn.XLOOKUP(Table3[[#This Row],[Cuenta]],Estructura_Balance[Nombre Cuenta ()],Estructura_Balance[Grupo],"",0)</f>
        <v/>
      </c>
      <c r="N1987" t="str">
        <f>_xlfn.XLOOKUP(Table3[[#This Row],[Cuenta]],Estructura_Balance[Nombre Cuenta ()],Estructura_Balance[Nivel 1],"",0)</f>
        <v/>
      </c>
      <c r="O1987" t="str">
        <f>_xlfn.XLOOKUP(Table3[[#This Row],[Cuenta]],Estructura_Balance[Nombre Cuenta ()],Estructura_Balance[Nivel 2],"",0)</f>
        <v/>
      </c>
      <c r="P1987" t="str">
        <f>_xlfn.XLOOKUP(Table3[[#This Row],[Cuenta]],Estructura_Balance[Nombre Cuenta ()],Estructura_Balance[Nivel 3],"",0)</f>
        <v/>
      </c>
      <c r="Q1987" t="str">
        <f>_xlfn.XLOOKUP(Table3[[#This Row],[Cuenta]],Estructura_Balance[Nombre Cuenta ()],Estructura_Balance[Nivel 4],"",0)</f>
        <v/>
      </c>
      <c r="R1987" t="str">
        <f>_xlfn.XLOOKUP(Table3[[#This Row],[Cuenta]],Table8[Nombre Cuenta ()],Table8[Nivel 1],"",0)</f>
        <v/>
      </c>
      <c r="S1987" t="str">
        <f>_xlfn.XLOOKUP(Table3[[#This Row],[Cuenta]],Table8[Nombre Cuenta ()],Table8[Nivel 2],"",0)</f>
        <v/>
      </c>
      <c r="T1987" t="str">
        <f>_xlfn.XLOOKUP(Table3[[#This Row],[Cuenta]],Table8[Nombre Cuenta ()],Table8[Nivel 3],"",0)</f>
        <v/>
      </c>
      <c r="U1987">
        <v>1967</v>
      </c>
      <c r="V1987" t="str">
        <f>_xlfn.XLOOKUP(Table3[[#This Row],[Cuenta]],Estructura_Balance[Nombre Cuenta ()],Estructura_Balance[Niveles:2],"",0)</f>
        <v/>
      </c>
      <c r="W1987" t="str">
        <f>_xlfn.XLOOKUP(Table3[[#This Row],[Cuenta]],Estructura_Balance[Nombre Cuenta ()],Estructura_Balance[Niveles:3],"",0)</f>
        <v/>
      </c>
      <c r="X1987" t="str">
        <f>_xlfn.XLOOKUP(Table3[[#This Row],[Cuenta]],Estructura_Balance[Nombre Cuenta ()],Estructura_Balance[Grupos],"Grupo 1",0)</f>
        <v>Grupo 1</v>
      </c>
      <c r="Y1987" t="str">
        <f>+Table3[[#This Row],[BS_Nivel_1]]</f>
        <v/>
      </c>
    </row>
    <row r="1988" spans="1:25" ht="15" customHeight="1">
      <c r="A1988">
        <f>+'Libro Diario'!F574</f>
        <v>66</v>
      </c>
      <c r="B1988" s="144">
        <f>VALUE(IF(+'Libro Diario'!G574="","01/01/2025",+'Libro Diario'!G574))</f>
        <v>46022</v>
      </c>
      <c r="C1988">
        <f>IF(ISNUMBER(+IF(IFERROR(VALUE(MID('Libro Diario'!D574,1,4)),0)&lt;&gt;0,'Libro Diario'!D574,0))=FALSE,'Libro Diario'!D574,0)</f>
        <v>0</v>
      </c>
      <c r="D1988" s="145">
        <f>+'Libro Diario'!E574</f>
        <v>0</v>
      </c>
      <c r="E1988" s="139" t="s">
        <v>446</v>
      </c>
      <c r="F1988" t="str">
        <f t="shared" si="93"/>
        <v>Sin Mov.</v>
      </c>
      <c r="G1988" t="str">
        <f>IF(+'Libro Diario'!H574=0,"",+'Libro Diario'!H574)</f>
        <v>Asiento de Cierre</v>
      </c>
      <c r="H1988" t="str">
        <f>IF(+'Libro Diario'!I574=0,"",+'Libro Diario'!I574)</f>
        <v>Cierre de cuentas</v>
      </c>
      <c r="I1988" t="str">
        <f>+IF(Table3[[#This Row],[Tipo Movimiento]]="Estructura Balance y PyG","Excluir","Incluir")</f>
        <v>Incluir</v>
      </c>
      <c r="J1988" s="153">
        <f>+IF(Table3[[#This Row],[Sin cuenta]]="Con Mov.",(IF(Table3[[#This Row],[Movimiento]]="Debe",Table3[[#This Row],[Importe]],IF(Table3[[#This Row],[Movimiento]]="Haber",Table3[[#This Row],[Importe]]*-1,0))),0)</f>
        <v>0</v>
      </c>
      <c r="K1988" s="145" t="str">
        <f t="shared" si="94"/>
        <v/>
      </c>
      <c r="L1988" s="145">
        <f t="shared" si="95"/>
        <v>0</v>
      </c>
      <c r="M1988" t="str">
        <f>_xlfn.XLOOKUP(Table3[[#This Row],[Cuenta]],Estructura_Balance[Nombre Cuenta ()],Estructura_Balance[Grupo],"",0)</f>
        <v/>
      </c>
      <c r="N1988" t="str">
        <f>_xlfn.XLOOKUP(Table3[[#This Row],[Cuenta]],Estructura_Balance[Nombre Cuenta ()],Estructura_Balance[Nivel 1],"",0)</f>
        <v/>
      </c>
      <c r="O1988" t="str">
        <f>_xlfn.XLOOKUP(Table3[[#This Row],[Cuenta]],Estructura_Balance[Nombre Cuenta ()],Estructura_Balance[Nivel 2],"",0)</f>
        <v/>
      </c>
      <c r="P1988" t="str">
        <f>_xlfn.XLOOKUP(Table3[[#This Row],[Cuenta]],Estructura_Balance[Nombre Cuenta ()],Estructura_Balance[Nivel 3],"",0)</f>
        <v/>
      </c>
      <c r="Q1988" t="str">
        <f>_xlfn.XLOOKUP(Table3[[#This Row],[Cuenta]],Estructura_Balance[Nombre Cuenta ()],Estructura_Balance[Nivel 4],"",0)</f>
        <v/>
      </c>
      <c r="R1988" t="str">
        <f>_xlfn.XLOOKUP(Table3[[#This Row],[Cuenta]],Table8[Nombre Cuenta ()],Table8[Nivel 1],"",0)</f>
        <v/>
      </c>
      <c r="S1988" t="str">
        <f>_xlfn.XLOOKUP(Table3[[#This Row],[Cuenta]],Table8[Nombre Cuenta ()],Table8[Nivel 2],"",0)</f>
        <v/>
      </c>
      <c r="T1988" t="str">
        <f>_xlfn.XLOOKUP(Table3[[#This Row],[Cuenta]],Table8[Nombre Cuenta ()],Table8[Nivel 3],"",0)</f>
        <v/>
      </c>
      <c r="U1988">
        <v>1968</v>
      </c>
      <c r="V1988" t="str">
        <f>_xlfn.XLOOKUP(Table3[[#This Row],[Cuenta]],Estructura_Balance[Nombre Cuenta ()],Estructura_Balance[Niveles:2],"",0)</f>
        <v/>
      </c>
      <c r="W1988" t="str">
        <f>_xlfn.XLOOKUP(Table3[[#This Row],[Cuenta]],Estructura_Balance[Nombre Cuenta ()],Estructura_Balance[Niveles:3],"",0)</f>
        <v/>
      </c>
      <c r="X1988" t="str">
        <f>_xlfn.XLOOKUP(Table3[[#This Row],[Cuenta]],Estructura_Balance[Nombre Cuenta ()],Estructura_Balance[Grupos],"Grupo 1",0)</f>
        <v>Grupo 1</v>
      </c>
      <c r="Y1988" t="str">
        <f>+Table3[[#This Row],[BS_Nivel_1]]</f>
        <v/>
      </c>
    </row>
    <row r="1989" spans="1:25" ht="15" customHeight="1">
      <c r="A1989">
        <f>+'Libro Diario'!F575</f>
        <v>66</v>
      </c>
      <c r="B1989" s="144">
        <f>VALUE(IF(+'Libro Diario'!G575="","01/01/2025",+'Libro Diario'!G575))</f>
        <v>46022</v>
      </c>
      <c r="C1989">
        <f>IF(ISNUMBER(+IF(IFERROR(VALUE(MID('Libro Diario'!D575,1,4)),0)&lt;&gt;0,'Libro Diario'!D575,0))=FALSE,'Libro Diario'!D575,0)</f>
        <v>0</v>
      </c>
      <c r="D1989" s="145">
        <f>+'Libro Diario'!E575</f>
        <v>0</v>
      </c>
      <c r="E1989" s="139" t="s">
        <v>446</v>
      </c>
      <c r="F1989" t="str">
        <f t="shared" si="93"/>
        <v>Sin Mov.</v>
      </c>
      <c r="G1989" t="str">
        <f>IF(+'Libro Diario'!H575=0,"",+'Libro Diario'!H575)</f>
        <v>Asiento de Cierre</v>
      </c>
      <c r="H1989" t="str">
        <f>IF(+'Libro Diario'!I575=0,"",+'Libro Diario'!I575)</f>
        <v>Cierre de cuentas</v>
      </c>
      <c r="I1989" t="str">
        <f>+IF(Table3[[#This Row],[Tipo Movimiento]]="Estructura Balance y PyG","Excluir","Incluir")</f>
        <v>Incluir</v>
      </c>
      <c r="J1989" s="153">
        <f>+IF(Table3[[#This Row],[Sin cuenta]]="Con Mov.",(IF(Table3[[#This Row],[Movimiento]]="Debe",Table3[[#This Row],[Importe]],IF(Table3[[#This Row],[Movimiento]]="Haber",Table3[[#This Row],[Importe]]*-1,0))),0)</f>
        <v>0</v>
      </c>
      <c r="K1989" s="145" t="str">
        <f t="shared" si="94"/>
        <v/>
      </c>
      <c r="L1989" s="145">
        <f t="shared" si="95"/>
        <v>0</v>
      </c>
      <c r="M1989" t="str">
        <f>_xlfn.XLOOKUP(Table3[[#This Row],[Cuenta]],Estructura_Balance[Nombre Cuenta ()],Estructura_Balance[Grupo],"",0)</f>
        <v/>
      </c>
      <c r="N1989" t="str">
        <f>_xlfn.XLOOKUP(Table3[[#This Row],[Cuenta]],Estructura_Balance[Nombre Cuenta ()],Estructura_Balance[Nivel 1],"",0)</f>
        <v/>
      </c>
      <c r="O1989" t="str">
        <f>_xlfn.XLOOKUP(Table3[[#This Row],[Cuenta]],Estructura_Balance[Nombre Cuenta ()],Estructura_Balance[Nivel 2],"",0)</f>
        <v/>
      </c>
      <c r="P1989" t="str">
        <f>_xlfn.XLOOKUP(Table3[[#This Row],[Cuenta]],Estructura_Balance[Nombre Cuenta ()],Estructura_Balance[Nivel 3],"",0)</f>
        <v/>
      </c>
      <c r="Q1989" t="str">
        <f>_xlfn.XLOOKUP(Table3[[#This Row],[Cuenta]],Estructura_Balance[Nombre Cuenta ()],Estructura_Balance[Nivel 4],"",0)</f>
        <v/>
      </c>
      <c r="R1989" t="str">
        <f>_xlfn.XLOOKUP(Table3[[#This Row],[Cuenta]],Table8[Nombre Cuenta ()],Table8[Nivel 1],"",0)</f>
        <v/>
      </c>
      <c r="S1989" t="str">
        <f>_xlfn.XLOOKUP(Table3[[#This Row],[Cuenta]],Table8[Nombre Cuenta ()],Table8[Nivel 2],"",0)</f>
        <v/>
      </c>
      <c r="T1989" t="str">
        <f>_xlfn.XLOOKUP(Table3[[#This Row],[Cuenta]],Table8[Nombre Cuenta ()],Table8[Nivel 3],"",0)</f>
        <v/>
      </c>
      <c r="U1989">
        <v>1969</v>
      </c>
      <c r="V1989" t="str">
        <f>_xlfn.XLOOKUP(Table3[[#This Row],[Cuenta]],Estructura_Balance[Nombre Cuenta ()],Estructura_Balance[Niveles:2],"",0)</f>
        <v/>
      </c>
      <c r="W1989" t="str">
        <f>_xlfn.XLOOKUP(Table3[[#This Row],[Cuenta]],Estructura_Balance[Nombre Cuenta ()],Estructura_Balance[Niveles:3],"",0)</f>
        <v/>
      </c>
      <c r="X1989" t="str">
        <f>_xlfn.XLOOKUP(Table3[[#This Row],[Cuenta]],Estructura_Balance[Nombre Cuenta ()],Estructura_Balance[Grupos],"Grupo 1",0)</f>
        <v>Grupo 1</v>
      </c>
      <c r="Y1989" t="str">
        <f>+Table3[[#This Row],[BS_Nivel_1]]</f>
        <v/>
      </c>
    </row>
    <row r="1990" spans="1:25" ht="15" customHeight="1">
      <c r="A1990">
        <f>+'Libro Diario'!F576</f>
        <v>66</v>
      </c>
      <c r="B1990" s="144">
        <f>VALUE(IF(+'Libro Diario'!G576="","01/01/2025",+'Libro Diario'!G576))</f>
        <v>46022</v>
      </c>
      <c r="C1990">
        <f>IF(ISNUMBER(+IF(IFERROR(VALUE(MID('Libro Diario'!D576,1,4)),0)&lt;&gt;0,'Libro Diario'!D576,0))=FALSE,'Libro Diario'!D576,0)</f>
        <v>0</v>
      </c>
      <c r="D1990" s="145">
        <f>+'Libro Diario'!E576</f>
        <v>0</v>
      </c>
      <c r="E1990" s="139" t="s">
        <v>446</v>
      </c>
      <c r="F1990" t="str">
        <f t="shared" si="93"/>
        <v>Sin Mov.</v>
      </c>
      <c r="G1990" t="str">
        <f>IF(+'Libro Diario'!H576=0,"",+'Libro Diario'!H576)</f>
        <v>Asiento de Cierre</v>
      </c>
      <c r="H1990" t="str">
        <f>IF(+'Libro Diario'!I576=0,"",+'Libro Diario'!I576)</f>
        <v>Cierre de cuentas</v>
      </c>
      <c r="I1990" t="str">
        <f>+IF(Table3[[#This Row],[Tipo Movimiento]]="Estructura Balance y PyG","Excluir","Incluir")</f>
        <v>Incluir</v>
      </c>
      <c r="J1990" s="153">
        <f>+IF(Table3[[#This Row],[Sin cuenta]]="Con Mov.",(IF(Table3[[#This Row],[Movimiento]]="Debe",Table3[[#This Row],[Importe]],IF(Table3[[#This Row],[Movimiento]]="Haber",Table3[[#This Row],[Importe]]*-1,0))),0)</f>
        <v>0</v>
      </c>
      <c r="K1990" s="145" t="str">
        <f t="shared" si="94"/>
        <v/>
      </c>
      <c r="L1990" s="145">
        <f t="shared" si="95"/>
        <v>0</v>
      </c>
      <c r="M1990" t="str">
        <f>_xlfn.XLOOKUP(Table3[[#This Row],[Cuenta]],Estructura_Balance[Nombre Cuenta ()],Estructura_Balance[Grupo],"",0)</f>
        <v/>
      </c>
      <c r="N1990" t="str">
        <f>_xlfn.XLOOKUP(Table3[[#This Row],[Cuenta]],Estructura_Balance[Nombre Cuenta ()],Estructura_Balance[Nivel 1],"",0)</f>
        <v/>
      </c>
      <c r="O1990" t="str">
        <f>_xlfn.XLOOKUP(Table3[[#This Row],[Cuenta]],Estructura_Balance[Nombre Cuenta ()],Estructura_Balance[Nivel 2],"",0)</f>
        <v/>
      </c>
      <c r="P1990" t="str">
        <f>_xlfn.XLOOKUP(Table3[[#This Row],[Cuenta]],Estructura_Balance[Nombre Cuenta ()],Estructura_Balance[Nivel 3],"",0)</f>
        <v/>
      </c>
      <c r="Q1990" t="str">
        <f>_xlfn.XLOOKUP(Table3[[#This Row],[Cuenta]],Estructura_Balance[Nombre Cuenta ()],Estructura_Balance[Nivel 4],"",0)</f>
        <v/>
      </c>
      <c r="R1990" t="str">
        <f>_xlfn.XLOOKUP(Table3[[#This Row],[Cuenta]],Table8[Nombre Cuenta ()],Table8[Nivel 1],"",0)</f>
        <v/>
      </c>
      <c r="S1990" t="str">
        <f>_xlfn.XLOOKUP(Table3[[#This Row],[Cuenta]],Table8[Nombre Cuenta ()],Table8[Nivel 2],"",0)</f>
        <v/>
      </c>
      <c r="T1990" t="str">
        <f>_xlfn.XLOOKUP(Table3[[#This Row],[Cuenta]],Table8[Nombre Cuenta ()],Table8[Nivel 3],"",0)</f>
        <v/>
      </c>
      <c r="U1990">
        <v>1970</v>
      </c>
      <c r="V1990" t="str">
        <f>_xlfn.XLOOKUP(Table3[[#This Row],[Cuenta]],Estructura_Balance[Nombre Cuenta ()],Estructura_Balance[Niveles:2],"",0)</f>
        <v/>
      </c>
      <c r="W1990" t="str">
        <f>_xlfn.XLOOKUP(Table3[[#This Row],[Cuenta]],Estructura_Balance[Nombre Cuenta ()],Estructura_Balance[Niveles:3],"",0)</f>
        <v/>
      </c>
      <c r="X1990" t="str">
        <f>_xlfn.XLOOKUP(Table3[[#This Row],[Cuenta]],Estructura_Balance[Nombre Cuenta ()],Estructura_Balance[Grupos],"Grupo 1",0)</f>
        <v>Grupo 1</v>
      </c>
      <c r="Y1990" t="str">
        <f>+Table3[[#This Row],[BS_Nivel_1]]</f>
        <v/>
      </c>
    </row>
    <row r="1991" spans="1:25" ht="15" customHeight="1">
      <c r="A1991">
        <f>+'Libro Diario'!F577</f>
        <v>66</v>
      </c>
      <c r="B1991" s="144">
        <f>VALUE(IF(+'Libro Diario'!G577="","01/01/2025",+'Libro Diario'!G577))</f>
        <v>46022</v>
      </c>
      <c r="C1991">
        <f>IF(ISNUMBER(+IF(IFERROR(VALUE(MID('Libro Diario'!D577,1,4)),0)&lt;&gt;0,'Libro Diario'!D577,0))=FALSE,'Libro Diario'!D577,0)</f>
        <v>0</v>
      </c>
      <c r="D1991" s="145">
        <f>+'Libro Diario'!E577</f>
        <v>0</v>
      </c>
      <c r="E1991" s="139" t="s">
        <v>446</v>
      </c>
      <c r="F1991" t="str">
        <f t="shared" si="93"/>
        <v>Sin Mov.</v>
      </c>
      <c r="G1991" t="str">
        <f>IF(+'Libro Diario'!H577=0,"",+'Libro Diario'!H577)</f>
        <v>Asiento de Cierre</v>
      </c>
      <c r="H1991" t="str">
        <f>IF(+'Libro Diario'!I577=0,"",+'Libro Diario'!I577)</f>
        <v>Cierre de cuentas</v>
      </c>
      <c r="I1991" t="str">
        <f>+IF(Table3[[#This Row],[Tipo Movimiento]]="Estructura Balance y PyG","Excluir","Incluir")</f>
        <v>Incluir</v>
      </c>
      <c r="J1991" s="153">
        <f>+IF(Table3[[#This Row],[Sin cuenta]]="Con Mov.",(IF(Table3[[#This Row],[Movimiento]]="Debe",Table3[[#This Row],[Importe]],IF(Table3[[#This Row],[Movimiento]]="Haber",Table3[[#This Row],[Importe]]*-1,0))),0)</f>
        <v>0</v>
      </c>
      <c r="K1991" s="145" t="str">
        <f t="shared" si="94"/>
        <v/>
      </c>
      <c r="L1991" s="145">
        <f t="shared" si="95"/>
        <v>0</v>
      </c>
      <c r="M1991" t="str">
        <f>_xlfn.XLOOKUP(Table3[[#This Row],[Cuenta]],Estructura_Balance[Nombre Cuenta ()],Estructura_Balance[Grupo],"",0)</f>
        <v/>
      </c>
      <c r="N1991" t="str">
        <f>_xlfn.XLOOKUP(Table3[[#This Row],[Cuenta]],Estructura_Balance[Nombre Cuenta ()],Estructura_Balance[Nivel 1],"",0)</f>
        <v/>
      </c>
      <c r="O1991" t="str">
        <f>_xlfn.XLOOKUP(Table3[[#This Row],[Cuenta]],Estructura_Balance[Nombre Cuenta ()],Estructura_Balance[Nivel 2],"",0)</f>
        <v/>
      </c>
      <c r="P1991" t="str">
        <f>_xlfn.XLOOKUP(Table3[[#This Row],[Cuenta]],Estructura_Balance[Nombre Cuenta ()],Estructura_Balance[Nivel 3],"",0)</f>
        <v/>
      </c>
      <c r="Q1991" t="str">
        <f>_xlfn.XLOOKUP(Table3[[#This Row],[Cuenta]],Estructura_Balance[Nombre Cuenta ()],Estructura_Balance[Nivel 4],"",0)</f>
        <v/>
      </c>
      <c r="R1991" t="str">
        <f>_xlfn.XLOOKUP(Table3[[#This Row],[Cuenta]],Table8[Nombre Cuenta ()],Table8[Nivel 1],"",0)</f>
        <v/>
      </c>
      <c r="S1991" t="str">
        <f>_xlfn.XLOOKUP(Table3[[#This Row],[Cuenta]],Table8[Nombre Cuenta ()],Table8[Nivel 2],"",0)</f>
        <v/>
      </c>
      <c r="T1991" t="str">
        <f>_xlfn.XLOOKUP(Table3[[#This Row],[Cuenta]],Table8[Nombre Cuenta ()],Table8[Nivel 3],"",0)</f>
        <v/>
      </c>
      <c r="U1991">
        <v>1971</v>
      </c>
      <c r="V1991" t="str">
        <f>_xlfn.XLOOKUP(Table3[[#This Row],[Cuenta]],Estructura_Balance[Nombre Cuenta ()],Estructura_Balance[Niveles:2],"",0)</f>
        <v/>
      </c>
      <c r="W1991" t="str">
        <f>_xlfn.XLOOKUP(Table3[[#This Row],[Cuenta]],Estructura_Balance[Nombre Cuenta ()],Estructura_Balance[Niveles:3],"",0)</f>
        <v/>
      </c>
      <c r="X1991" t="str">
        <f>_xlfn.XLOOKUP(Table3[[#This Row],[Cuenta]],Estructura_Balance[Nombre Cuenta ()],Estructura_Balance[Grupos],"Grupo 1",0)</f>
        <v>Grupo 1</v>
      </c>
      <c r="Y1991" t="str">
        <f>+Table3[[#This Row],[BS_Nivel_1]]</f>
        <v/>
      </c>
    </row>
    <row r="1992" spans="1:25" ht="15" customHeight="1">
      <c r="A1992">
        <f>+'Libro Diario'!F578</f>
        <v>66</v>
      </c>
      <c r="B1992" s="144">
        <f>VALUE(IF(+'Libro Diario'!G578="","01/01/2025",+'Libro Diario'!G578))</f>
        <v>46022</v>
      </c>
      <c r="C1992">
        <f>IF(ISNUMBER(+IF(IFERROR(VALUE(MID('Libro Diario'!D578,1,4)),0)&lt;&gt;0,'Libro Diario'!D578,0))=FALSE,'Libro Diario'!D578,0)</f>
        <v>0</v>
      </c>
      <c r="D1992" s="145">
        <f>+'Libro Diario'!E578</f>
        <v>0</v>
      </c>
      <c r="E1992" s="139" t="s">
        <v>446</v>
      </c>
      <c r="F1992" t="str">
        <f t="shared" si="93"/>
        <v>Sin Mov.</v>
      </c>
      <c r="G1992" t="str">
        <f>IF(+'Libro Diario'!H578=0,"",+'Libro Diario'!H578)</f>
        <v>Asiento de Cierre</v>
      </c>
      <c r="H1992" t="str">
        <f>IF(+'Libro Diario'!I578=0,"",+'Libro Diario'!I578)</f>
        <v>Cierre de cuentas</v>
      </c>
      <c r="I1992" t="str">
        <f>+IF(Table3[[#This Row],[Tipo Movimiento]]="Estructura Balance y PyG","Excluir","Incluir")</f>
        <v>Incluir</v>
      </c>
      <c r="J1992" s="153">
        <f>+IF(Table3[[#This Row],[Sin cuenta]]="Con Mov.",(IF(Table3[[#This Row],[Movimiento]]="Debe",Table3[[#This Row],[Importe]],IF(Table3[[#This Row],[Movimiento]]="Haber",Table3[[#This Row],[Importe]]*-1,0))),0)</f>
        <v>0</v>
      </c>
      <c r="K1992" s="145" t="str">
        <f t="shared" si="94"/>
        <v/>
      </c>
      <c r="L1992" s="145">
        <f t="shared" si="95"/>
        <v>0</v>
      </c>
      <c r="M1992" t="str">
        <f>_xlfn.XLOOKUP(Table3[[#This Row],[Cuenta]],Estructura_Balance[Nombre Cuenta ()],Estructura_Balance[Grupo],"",0)</f>
        <v/>
      </c>
      <c r="N1992" t="str">
        <f>_xlfn.XLOOKUP(Table3[[#This Row],[Cuenta]],Estructura_Balance[Nombre Cuenta ()],Estructura_Balance[Nivel 1],"",0)</f>
        <v/>
      </c>
      <c r="O1992" t="str">
        <f>_xlfn.XLOOKUP(Table3[[#This Row],[Cuenta]],Estructura_Balance[Nombre Cuenta ()],Estructura_Balance[Nivel 2],"",0)</f>
        <v/>
      </c>
      <c r="P1992" t="str">
        <f>_xlfn.XLOOKUP(Table3[[#This Row],[Cuenta]],Estructura_Balance[Nombre Cuenta ()],Estructura_Balance[Nivel 3],"",0)</f>
        <v/>
      </c>
      <c r="Q1992" t="str">
        <f>_xlfn.XLOOKUP(Table3[[#This Row],[Cuenta]],Estructura_Balance[Nombre Cuenta ()],Estructura_Balance[Nivel 4],"",0)</f>
        <v/>
      </c>
      <c r="R1992" t="str">
        <f>_xlfn.XLOOKUP(Table3[[#This Row],[Cuenta]],Table8[Nombre Cuenta ()],Table8[Nivel 1],"",0)</f>
        <v/>
      </c>
      <c r="S1992" t="str">
        <f>_xlfn.XLOOKUP(Table3[[#This Row],[Cuenta]],Table8[Nombre Cuenta ()],Table8[Nivel 2],"",0)</f>
        <v/>
      </c>
      <c r="T1992" t="str">
        <f>_xlfn.XLOOKUP(Table3[[#This Row],[Cuenta]],Table8[Nombre Cuenta ()],Table8[Nivel 3],"",0)</f>
        <v/>
      </c>
      <c r="U1992">
        <v>1972</v>
      </c>
      <c r="V1992" t="str">
        <f>_xlfn.XLOOKUP(Table3[[#This Row],[Cuenta]],Estructura_Balance[Nombre Cuenta ()],Estructura_Balance[Niveles:2],"",0)</f>
        <v/>
      </c>
      <c r="W1992" t="str">
        <f>_xlfn.XLOOKUP(Table3[[#This Row],[Cuenta]],Estructura_Balance[Nombre Cuenta ()],Estructura_Balance[Niveles:3],"",0)</f>
        <v/>
      </c>
      <c r="X1992" t="str">
        <f>_xlfn.XLOOKUP(Table3[[#This Row],[Cuenta]],Estructura_Balance[Nombre Cuenta ()],Estructura_Balance[Grupos],"Grupo 1",0)</f>
        <v>Grupo 1</v>
      </c>
      <c r="Y1992" t="str">
        <f>+Table3[[#This Row],[BS_Nivel_1]]</f>
        <v/>
      </c>
    </row>
    <row r="1993" spans="1:25" ht="15" customHeight="1">
      <c r="A1993">
        <f>+'Libro Diario'!F579</f>
        <v>66</v>
      </c>
      <c r="B1993" s="144">
        <f>VALUE(IF(+'Libro Diario'!G579="","01/01/2025",+'Libro Diario'!G579))</f>
        <v>46022</v>
      </c>
      <c r="C1993">
        <f>IF(ISNUMBER(+IF(IFERROR(VALUE(MID('Libro Diario'!D579,1,4)),0)&lt;&gt;0,'Libro Diario'!D579,0))=FALSE,'Libro Diario'!D579,0)</f>
        <v>0</v>
      </c>
      <c r="D1993" s="145">
        <f>+'Libro Diario'!E579</f>
        <v>0</v>
      </c>
      <c r="E1993" s="139" t="s">
        <v>446</v>
      </c>
      <c r="F1993" t="str">
        <f t="shared" si="93"/>
        <v>Sin Mov.</v>
      </c>
      <c r="G1993" t="str">
        <f>IF(+'Libro Diario'!H579=0,"",+'Libro Diario'!H579)</f>
        <v>Asiento de Cierre</v>
      </c>
      <c r="H1993" t="str">
        <f>IF(+'Libro Diario'!I579=0,"",+'Libro Diario'!I579)</f>
        <v>Cierre de cuentas</v>
      </c>
      <c r="I1993" t="str">
        <f>+IF(Table3[[#This Row],[Tipo Movimiento]]="Estructura Balance y PyG","Excluir","Incluir")</f>
        <v>Incluir</v>
      </c>
      <c r="J1993" s="153">
        <f>+IF(Table3[[#This Row],[Sin cuenta]]="Con Mov.",(IF(Table3[[#This Row],[Movimiento]]="Debe",Table3[[#This Row],[Importe]],IF(Table3[[#This Row],[Movimiento]]="Haber",Table3[[#This Row],[Importe]]*-1,0))),0)</f>
        <v>0</v>
      </c>
      <c r="K1993" s="145" t="str">
        <f t="shared" si="94"/>
        <v/>
      </c>
      <c r="L1993" s="145">
        <f t="shared" si="95"/>
        <v>0</v>
      </c>
      <c r="M1993" t="str">
        <f>_xlfn.XLOOKUP(Table3[[#This Row],[Cuenta]],Estructura_Balance[Nombre Cuenta ()],Estructura_Balance[Grupo],"",0)</f>
        <v/>
      </c>
      <c r="N1993" t="str">
        <f>_xlfn.XLOOKUP(Table3[[#This Row],[Cuenta]],Estructura_Balance[Nombre Cuenta ()],Estructura_Balance[Nivel 1],"",0)</f>
        <v/>
      </c>
      <c r="O1993" t="str">
        <f>_xlfn.XLOOKUP(Table3[[#This Row],[Cuenta]],Estructura_Balance[Nombre Cuenta ()],Estructura_Balance[Nivel 2],"",0)</f>
        <v/>
      </c>
      <c r="P1993" t="str">
        <f>_xlfn.XLOOKUP(Table3[[#This Row],[Cuenta]],Estructura_Balance[Nombre Cuenta ()],Estructura_Balance[Nivel 3],"",0)</f>
        <v/>
      </c>
      <c r="Q1993" t="str">
        <f>_xlfn.XLOOKUP(Table3[[#This Row],[Cuenta]],Estructura_Balance[Nombre Cuenta ()],Estructura_Balance[Nivel 4],"",0)</f>
        <v/>
      </c>
      <c r="R1993" t="str">
        <f>_xlfn.XLOOKUP(Table3[[#This Row],[Cuenta]],Table8[Nombre Cuenta ()],Table8[Nivel 1],"",0)</f>
        <v/>
      </c>
      <c r="S1993" t="str">
        <f>_xlfn.XLOOKUP(Table3[[#This Row],[Cuenta]],Table8[Nombre Cuenta ()],Table8[Nivel 2],"",0)</f>
        <v/>
      </c>
      <c r="T1993" t="str">
        <f>_xlfn.XLOOKUP(Table3[[#This Row],[Cuenta]],Table8[Nombre Cuenta ()],Table8[Nivel 3],"",0)</f>
        <v/>
      </c>
      <c r="U1993">
        <v>1973</v>
      </c>
      <c r="V1993" t="str">
        <f>_xlfn.XLOOKUP(Table3[[#This Row],[Cuenta]],Estructura_Balance[Nombre Cuenta ()],Estructura_Balance[Niveles:2],"",0)</f>
        <v/>
      </c>
      <c r="W1993" t="str">
        <f>_xlfn.XLOOKUP(Table3[[#This Row],[Cuenta]],Estructura_Balance[Nombre Cuenta ()],Estructura_Balance[Niveles:3],"",0)</f>
        <v/>
      </c>
      <c r="X1993" t="str">
        <f>_xlfn.XLOOKUP(Table3[[#This Row],[Cuenta]],Estructura_Balance[Nombre Cuenta ()],Estructura_Balance[Grupos],"Grupo 1",0)</f>
        <v>Grupo 1</v>
      </c>
      <c r="Y1993" t="str">
        <f>+Table3[[#This Row],[BS_Nivel_1]]</f>
        <v/>
      </c>
    </row>
    <row r="1994" spans="1:25" ht="15" customHeight="1">
      <c r="A1994">
        <f>+'Libro Diario'!F580</f>
        <v>66</v>
      </c>
      <c r="B1994" s="144">
        <f>VALUE(IF(+'Libro Diario'!G580="","01/01/2025",+'Libro Diario'!G580))</f>
        <v>46022</v>
      </c>
      <c r="C1994">
        <f>IF(ISNUMBER(+IF(IFERROR(VALUE(MID('Libro Diario'!D580,1,4)),0)&lt;&gt;0,'Libro Diario'!D580,0))=FALSE,'Libro Diario'!D580,0)</f>
        <v>0</v>
      </c>
      <c r="D1994" s="145">
        <f>+'Libro Diario'!E580</f>
        <v>0</v>
      </c>
      <c r="E1994" s="139" t="s">
        <v>446</v>
      </c>
      <c r="F1994" t="str">
        <f t="shared" si="93"/>
        <v>Sin Mov.</v>
      </c>
      <c r="G1994" t="str">
        <f>IF(+'Libro Diario'!H580=0,"",+'Libro Diario'!H580)</f>
        <v>Asiento de Cierre</v>
      </c>
      <c r="H1994" t="str">
        <f>IF(+'Libro Diario'!I580=0,"",+'Libro Diario'!I580)</f>
        <v>Cierre de cuentas</v>
      </c>
      <c r="I1994" t="str">
        <f>+IF(Table3[[#This Row],[Tipo Movimiento]]="Estructura Balance y PyG","Excluir","Incluir")</f>
        <v>Incluir</v>
      </c>
      <c r="J1994" s="153">
        <f>+IF(Table3[[#This Row],[Sin cuenta]]="Con Mov.",(IF(Table3[[#This Row],[Movimiento]]="Debe",Table3[[#This Row],[Importe]],IF(Table3[[#This Row],[Movimiento]]="Haber",Table3[[#This Row],[Importe]]*-1,0))),0)</f>
        <v>0</v>
      </c>
      <c r="K1994" s="145" t="str">
        <f t="shared" si="94"/>
        <v/>
      </c>
      <c r="L1994" s="145">
        <f t="shared" si="95"/>
        <v>0</v>
      </c>
      <c r="M1994" t="str">
        <f>_xlfn.XLOOKUP(Table3[[#This Row],[Cuenta]],Estructura_Balance[Nombre Cuenta ()],Estructura_Balance[Grupo],"",0)</f>
        <v/>
      </c>
      <c r="N1994" t="str">
        <f>_xlfn.XLOOKUP(Table3[[#This Row],[Cuenta]],Estructura_Balance[Nombre Cuenta ()],Estructura_Balance[Nivel 1],"",0)</f>
        <v/>
      </c>
      <c r="O1994" t="str">
        <f>_xlfn.XLOOKUP(Table3[[#This Row],[Cuenta]],Estructura_Balance[Nombre Cuenta ()],Estructura_Balance[Nivel 2],"",0)</f>
        <v/>
      </c>
      <c r="P1994" t="str">
        <f>_xlfn.XLOOKUP(Table3[[#This Row],[Cuenta]],Estructura_Balance[Nombre Cuenta ()],Estructura_Balance[Nivel 3],"",0)</f>
        <v/>
      </c>
      <c r="Q1994" t="str">
        <f>_xlfn.XLOOKUP(Table3[[#This Row],[Cuenta]],Estructura_Balance[Nombre Cuenta ()],Estructura_Balance[Nivel 4],"",0)</f>
        <v/>
      </c>
      <c r="R1994" t="str">
        <f>_xlfn.XLOOKUP(Table3[[#This Row],[Cuenta]],Table8[Nombre Cuenta ()],Table8[Nivel 1],"",0)</f>
        <v/>
      </c>
      <c r="S1994" t="str">
        <f>_xlfn.XLOOKUP(Table3[[#This Row],[Cuenta]],Table8[Nombre Cuenta ()],Table8[Nivel 2],"",0)</f>
        <v/>
      </c>
      <c r="T1994" t="str">
        <f>_xlfn.XLOOKUP(Table3[[#This Row],[Cuenta]],Table8[Nombre Cuenta ()],Table8[Nivel 3],"",0)</f>
        <v/>
      </c>
      <c r="U1994">
        <v>1974</v>
      </c>
      <c r="V1994" t="str">
        <f>_xlfn.XLOOKUP(Table3[[#This Row],[Cuenta]],Estructura_Balance[Nombre Cuenta ()],Estructura_Balance[Niveles:2],"",0)</f>
        <v/>
      </c>
      <c r="W1994" t="str">
        <f>_xlfn.XLOOKUP(Table3[[#This Row],[Cuenta]],Estructura_Balance[Nombre Cuenta ()],Estructura_Balance[Niveles:3],"",0)</f>
        <v/>
      </c>
      <c r="X1994" t="str">
        <f>_xlfn.XLOOKUP(Table3[[#This Row],[Cuenta]],Estructura_Balance[Nombre Cuenta ()],Estructura_Balance[Grupos],"Grupo 1",0)</f>
        <v>Grupo 1</v>
      </c>
      <c r="Y1994" t="str">
        <f>+Table3[[#This Row],[BS_Nivel_1]]</f>
        <v/>
      </c>
    </row>
    <row r="1995" spans="1:25" ht="15" customHeight="1">
      <c r="A1995">
        <f>+'Libro Diario'!F581</f>
        <v>66</v>
      </c>
      <c r="B1995" s="144">
        <f>VALUE(IF(+'Libro Diario'!G581="","01/01/2025",+'Libro Diario'!G581))</f>
        <v>46022</v>
      </c>
      <c r="C1995">
        <f>IF(ISNUMBER(+IF(IFERROR(VALUE(MID('Libro Diario'!D581,1,4)),0)&lt;&gt;0,'Libro Diario'!D581,0))=FALSE,'Libro Diario'!D581,0)</f>
        <v>0</v>
      </c>
      <c r="D1995" s="145">
        <f>+'Libro Diario'!E581</f>
        <v>0</v>
      </c>
      <c r="E1995" s="139" t="s">
        <v>446</v>
      </c>
      <c r="F1995" t="str">
        <f t="shared" si="93"/>
        <v>Sin Mov.</v>
      </c>
      <c r="G1995" t="str">
        <f>IF(+'Libro Diario'!H581=0,"",+'Libro Diario'!H581)</f>
        <v>Asiento de Cierre</v>
      </c>
      <c r="H1995" t="str">
        <f>IF(+'Libro Diario'!I581=0,"",+'Libro Diario'!I581)</f>
        <v>Cierre de cuentas</v>
      </c>
      <c r="I1995" t="str">
        <f>+IF(Table3[[#This Row],[Tipo Movimiento]]="Estructura Balance y PyG","Excluir","Incluir")</f>
        <v>Incluir</v>
      </c>
      <c r="J1995" s="153">
        <f>+IF(Table3[[#This Row],[Sin cuenta]]="Con Mov.",(IF(Table3[[#This Row],[Movimiento]]="Debe",Table3[[#This Row],[Importe]],IF(Table3[[#This Row],[Movimiento]]="Haber",Table3[[#This Row],[Importe]]*-1,0))),0)</f>
        <v>0</v>
      </c>
      <c r="K1995" s="145" t="str">
        <f t="shared" si="94"/>
        <v/>
      </c>
      <c r="L1995" s="145">
        <f t="shared" si="95"/>
        <v>0</v>
      </c>
      <c r="M1995" t="str">
        <f>_xlfn.XLOOKUP(Table3[[#This Row],[Cuenta]],Estructura_Balance[Nombre Cuenta ()],Estructura_Balance[Grupo],"",0)</f>
        <v/>
      </c>
      <c r="N1995" t="str">
        <f>_xlfn.XLOOKUP(Table3[[#This Row],[Cuenta]],Estructura_Balance[Nombre Cuenta ()],Estructura_Balance[Nivel 1],"",0)</f>
        <v/>
      </c>
      <c r="O1995" t="str">
        <f>_xlfn.XLOOKUP(Table3[[#This Row],[Cuenta]],Estructura_Balance[Nombre Cuenta ()],Estructura_Balance[Nivel 2],"",0)</f>
        <v/>
      </c>
      <c r="P1995" t="str">
        <f>_xlfn.XLOOKUP(Table3[[#This Row],[Cuenta]],Estructura_Balance[Nombre Cuenta ()],Estructura_Balance[Nivel 3],"",0)</f>
        <v/>
      </c>
      <c r="Q1995" t="str">
        <f>_xlfn.XLOOKUP(Table3[[#This Row],[Cuenta]],Estructura_Balance[Nombre Cuenta ()],Estructura_Balance[Nivel 4],"",0)</f>
        <v/>
      </c>
      <c r="R1995" t="str">
        <f>_xlfn.XLOOKUP(Table3[[#This Row],[Cuenta]],Table8[Nombre Cuenta ()],Table8[Nivel 1],"",0)</f>
        <v/>
      </c>
      <c r="S1995" t="str">
        <f>_xlfn.XLOOKUP(Table3[[#This Row],[Cuenta]],Table8[Nombre Cuenta ()],Table8[Nivel 2],"",0)</f>
        <v/>
      </c>
      <c r="T1995" t="str">
        <f>_xlfn.XLOOKUP(Table3[[#This Row],[Cuenta]],Table8[Nombre Cuenta ()],Table8[Nivel 3],"",0)</f>
        <v/>
      </c>
      <c r="U1995">
        <v>1975</v>
      </c>
      <c r="V1995" t="str">
        <f>_xlfn.XLOOKUP(Table3[[#This Row],[Cuenta]],Estructura_Balance[Nombre Cuenta ()],Estructura_Balance[Niveles:2],"",0)</f>
        <v/>
      </c>
      <c r="W1995" t="str">
        <f>_xlfn.XLOOKUP(Table3[[#This Row],[Cuenta]],Estructura_Balance[Nombre Cuenta ()],Estructura_Balance[Niveles:3],"",0)</f>
        <v/>
      </c>
      <c r="X1995" t="str">
        <f>_xlfn.XLOOKUP(Table3[[#This Row],[Cuenta]],Estructura_Balance[Nombre Cuenta ()],Estructura_Balance[Grupos],"Grupo 1",0)</f>
        <v>Grupo 1</v>
      </c>
      <c r="Y1995" t="str">
        <f>+Table3[[#This Row],[BS_Nivel_1]]</f>
        <v/>
      </c>
    </row>
    <row r="1996" spans="1:25" ht="15" customHeight="1">
      <c r="A1996">
        <f>+'Libro Diario'!F582</f>
        <v>66</v>
      </c>
      <c r="B1996" s="144">
        <f>VALUE(IF(+'Libro Diario'!G582="","01/01/2025",+'Libro Diario'!G582))</f>
        <v>46022</v>
      </c>
      <c r="C1996">
        <f>IF(ISNUMBER(+IF(IFERROR(VALUE(MID('Libro Diario'!D582,1,4)),0)&lt;&gt;0,'Libro Diario'!D582,0))=FALSE,'Libro Diario'!D582,0)</f>
        <v>0</v>
      </c>
      <c r="D1996" s="145">
        <f>+'Libro Diario'!E582</f>
        <v>0</v>
      </c>
      <c r="E1996" s="139" t="s">
        <v>446</v>
      </c>
      <c r="F1996" t="str">
        <f t="shared" si="93"/>
        <v>Sin Mov.</v>
      </c>
      <c r="G1996" t="str">
        <f>IF(+'Libro Diario'!H582=0,"",+'Libro Diario'!H582)</f>
        <v>Asiento de Cierre</v>
      </c>
      <c r="H1996" t="str">
        <f>IF(+'Libro Diario'!I582=0,"",+'Libro Diario'!I582)</f>
        <v>Cierre de cuentas</v>
      </c>
      <c r="I1996" t="str">
        <f>+IF(Table3[[#This Row],[Tipo Movimiento]]="Estructura Balance y PyG","Excluir","Incluir")</f>
        <v>Incluir</v>
      </c>
      <c r="J1996" s="153">
        <f>+IF(Table3[[#This Row],[Sin cuenta]]="Con Mov.",(IF(Table3[[#This Row],[Movimiento]]="Debe",Table3[[#This Row],[Importe]],IF(Table3[[#This Row],[Movimiento]]="Haber",Table3[[#This Row],[Importe]]*-1,0))),0)</f>
        <v>0</v>
      </c>
      <c r="K1996" s="145" t="str">
        <f t="shared" si="94"/>
        <v/>
      </c>
      <c r="L1996" s="145">
        <f t="shared" si="95"/>
        <v>0</v>
      </c>
      <c r="M1996" t="str">
        <f>_xlfn.XLOOKUP(Table3[[#This Row],[Cuenta]],Estructura_Balance[Nombre Cuenta ()],Estructura_Balance[Grupo],"",0)</f>
        <v/>
      </c>
      <c r="N1996" t="str">
        <f>_xlfn.XLOOKUP(Table3[[#This Row],[Cuenta]],Estructura_Balance[Nombre Cuenta ()],Estructura_Balance[Nivel 1],"",0)</f>
        <v/>
      </c>
      <c r="O1996" t="str">
        <f>_xlfn.XLOOKUP(Table3[[#This Row],[Cuenta]],Estructura_Balance[Nombre Cuenta ()],Estructura_Balance[Nivel 2],"",0)</f>
        <v/>
      </c>
      <c r="P1996" t="str">
        <f>_xlfn.XLOOKUP(Table3[[#This Row],[Cuenta]],Estructura_Balance[Nombre Cuenta ()],Estructura_Balance[Nivel 3],"",0)</f>
        <v/>
      </c>
      <c r="Q1996" t="str">
        <f>_xlfn.XLOOKUP(Table3[[#This Row],[Cuenta]],Estructura_Balance[Nombre Cuenta ()],Estructura_Balance[Nivel 4],"",0)</f>
        <v/>
      </c>
      <c r="R1996" t="str">
        <f>_xlfn.XLOOKUP(Table3[[#This Row],[Cuenta]],Table8[Nombre Cuenta ()],Table8[Nivel 1],"",0)</f>
        <v/>
      </c>
      <c r="S1996" t="str">
        <f>_xlfn.XLOOKUP(Table3[[#This Row],[Cuenta]],Table8[Nombre Cuenta ()],Table8[Nivel 2],"",0)</f>
        <v/>
      </c>
      <c r="T1996" t="str">
        <f>_xlfn.XLOOKUP(Table3[[#This Row],[Cuenta]],Table8[Nombre Cuenta ()],Table8[Nivel 3],"",0)</f>
        <v/>
      </c>
      <c r="U1996">
        <v>1976</v>
      </c>
      <c r="V1996" t="str">
        <f>_xlfn.XLOOKUP(Table3[[#This Row],[Cuenta]],Estructura_Balance[Nombre Cuenta ()],Estructura_Balance[Niveles:2],"",0)</f>
        <v/>
      </c>
      <c r="W1996" t="str">
        <f>_xlfn.XLOOKUP(Table3[[#This Row],[Cuenta]],Estructura_Balance[Nombre Cuenta ()],Estructura_Balance[Niveles:3],"",0)</f>
        <v/>
      </c>
      <c r="X1996" t="str">
        <f>_xlfn.XLOOKUP(Table3[[#This Row],[Cuenta]],Estructura_Balance[Nombre Cuenta ()],Estructura_Balance[Grupos],"Grupo 1",0)</f>
        <v>Grupo 1</v>
      </c>
      <c r="Y1996" t="str">
        <f>+Table3[[#This Row],[BS_Nivel_1]]</f>
        <v/>
      </c>
    </row>
    <row r="1997" spans="1:25" ht="15" customHeight="1">
      <c r="A1997">
        <f>+'Libro Diario'!F583</f>
        <v>66</v>
      </c>
      <c r="B1997" s="144">
        <f>VALUE(IF(+'Libro Diario'!G583="","01/01/2025",+'Libro Diario'!G583))</f>
        <v>46022</v>
      </c>
      <c r="C1997">
        <f>IF(ISNUMBER(+IF(IFERROR(VALUE(MID('Libro Diario'!D583,1,4)),0)&lt;&gt;0,'Libro Diario'!D583,0))=FALSE,'Libro Diario'!D583,0)</f>
        <v>0</v>
      </c>
      <c r="D1997" s="145">
        <f>+'Libro Diario'!E583</f>
        <v>0</v>
      </c>
      <c r="E1997" s="139" t="s">
        <v>446</v>
      </c>
      <c r="F1997" t="str">
        <f t="shared" si="93"/>
        <v>Sin Mov.</v>
      </c>
      <c r="G1997" t="str">
        <f>IF(+'Libro Diario'!H583=0,"",+'Libro Diario'!H583)</f>
        <v>Asiento de Cierre</v>
      </c>
      <c r="H1997" t="str">
        <f>IF(+'Libro Diario'!I583=0,"",+'Libro Diario'!I583)</f>
        <v>Cierre de cuentas</v>
      </c>
      <c r="I1997" t="str">
        <f>+IF(Table3[[#This Row],[Tipo Movimiento]]="Estructura Balance y PyG","Excluir","Incluir")</f>
        <v>Incluir</v>
      </c>
      <c r="J1997" s="153">
        <f>+IF(Table3[[#This Row],[Sin cuenta]]="Con Mov.",(IF(Table3[[#This Row],[Movimiento]]="Debe",Table3[[#This Row],[Importe]],IF(Table3[[#This Row],[Movimiento]]="Haber",Table3[[#This Row],[Importe]]*-1,0))),0)</f>
        <v>0</v>
      </c>
      <c r="K1997" s="145" t="str">
        <f t="shared" si="94"/>
        <v/>
      </c>
      <c r="L1997" s="145">
        <f t="shared" si="95"/>
        <v>0</v>
      </c>
      <c r="M1997" t="str">
        <f>_xlfn.XLOOKUP(Table3[[#This Row],[Cuenta]],Estructura_Balance[Nombre Cuenta ()],Estructura_Balance[Grupo],"",0)</f>
        <v/>
      </c>
      <c r="N1997" t="str">
        <f>_xlfn.XLOOKUP(Table3[[#This Row],[Cuenta]],Estructura_Balance[Nombre Cuenta ()],Estructura_Balance[Nivel 1],"",0)</f>
        <v/>
      </c>
      <c r="O1997" t="str">
        <f>_xlfn.XLOOKUP(Table3[[#This Row],[Cuenta]],Estructura_Balance[Nombre Cuenta ()],Estructura_Balance[Nivel 2],"",0)</f>
        <v/>
      </c>
      <c r="P1997" t="str">
        <f>_xlfn.XLOOKUP(Table3[[#This Row],[Cuenta]],Estructura_Balance[Nombre Cuenta ()],Estructura_Balance[Nivel 3],"",0)</f>
        <v/>
      </c>
      <c r="Q1997" t="str">
        <f>_xlfn.XLOOKUP(Table3[[#This Row],[Cuenta]],Estructura_Balance[Nombre Cuenta ()],Estructura_Balance[Nivel 4],"",0)</f>
        <v/>
      </c>
      <c r="R1997" t="str">
        <f>_xlfn.XLOOKUP(Table3[[#This Row],[Cuenta]],Table8[Nombre Cuenta ()],Table8[Nivel 1],"",0)</f>
        <v/>
      </c>
      <c r="S1997" t="str">
        <f>_xlfn.XLOOKUP(Table3[[#This Row],[Cuenta]],Table8[Nombre Cuenta ()],Table8[Nivel 2],"",0)</f>
        <v/>
      </c>
      <c r="T1997" t="str">
        <f>_xlfn.XLOOKUP(Table3[[#This Row],[Cuenta]],Table8[Nombre Cuenta ()],Table8[Nivel 3],"",0)</f>
        <v/>
      </c>
      <c r="U1997">
        <v>1977</v>
      </c>
      <c r="V1997" t="str">
        <f>_xlfn.XLOOKUP(Table3[[#This Row],[Cuenta]],Estructura_Balance[Nombre Cuenta ()],Estructura_Balance[Niveles:2],"",0)</f>
        <v/>
      </c>
      <c r="W1997" t="str">
        <f>_xlfn.XLOOKUP(Table3[[#This Row],[Cuenta]],Estructura_Balance[Nombre Cuenta ()],Estructura_Balance[Niveles:3],"",0)</f>
        <v/>
      </c>
      <c r="X1997" t="str">
        <f>_xlfn.XLOOKUP(Table3[[#This Row],[Cuenta]],Estructura_Balance[Nombre Cuenta ()],Estructura_Balance[Grupos],"Grupo 1",0)</f>
        <v>Grupo 1</v>
      </c>
      <c r="Y1997" t="str">
        <f>+Table3[[#This Row],[BS_Nivel_1]]</f>
        <v/>
      </c>
    </row>
    <row r="1998" spans="1:25" ht="15" customHeight="1">
      <c r="A1998">
        <f>+'Libro Diario'!F584</f>
        <v>66</v>
      </c>
      <c r="B1998" s="144">
        <f>VALUE(IF(+'Libro Diario'!G584="","01/01/2025",+'Libro Diario'!G584))</f>
        <v>46022</v>
      </c>
      <c r="C1998">
        <f>IF(ISNUMBER(+IF(IFERROR(VALUE(MID('Libro Diario'!D584,1,4)),0)&lt;&gt;0,'Libro Diario'!D584,0))=FALSE,'Libro Diario'!D584,0)</f>
        <v>0</v>
      </c>
      <c r="D1998" s="145">
        <f>+'Libro Diario'!E584</f>
        <v>0</v>
      </c>
      <c r="E1998" s="139" t="s">
        <v>446</v>
      </c>
      <c r="F1998" t="str">
        <f t="shared" si="93"/>
        <v>Sin Mov.</v>
      </c>
      <c r="G1998" t="str">
        <f>IF(+'Libro Diario'!H584=0,"",+'Libro Diario'!H584)</f>
        <v>Asiento de Cierre</v>
      </c>
      <c r="H1998" t="str">
        <f>IF(+'Libro Diario'!I584=0,"",+'Libro Diario'!I584)</f>
        <v>Cierre de cuentas</v>
      </c>
      <c r="I1998" t="str">
        <f>+IF(Table3[[#This Row],[Tipo Movimiento]]="Estructura Balance y PyG","Excluir","Incluir")</f>
        <v>Incluir</v>
      </c>
      <c r="J1998" s="153">
        <f>+IF(Table3[[#This Row],[Sin cuenta]]="Con Mov.",(IF(Table3[[#This Row],[Movimiento]]="Debe",Table3[[#This Row],[Importe]],IF(Table3[[#This Row],[Movimiento]]="Haber",Table3[[#This Row],[Importe]]*-1,0))),0)</f>
        <v>0</v>
      </c>
      <c r="K1998" s="145" t="str">
        <f t="shared" si="94"/>
        <v/>
      </c>
      <c r="L1998" s="145">
        <f t="shared" si="95"/>
        <v>0</v>
      </c>
      <c r="M1998" t="str">
        <f>_xlfn.XLOOKUP(Table3[[#This Row],[Cuenta]],Estructura_Balance[Nombre Cuenta ()],Estructura_Balance[Grupo],"",0)</f>
        <v/>
      </c>
      <c r="N1998" t="str">
        <f>_xlfn.XLOOKUP(Table3[[#This Row],[Cuenta]],Estructura_Balance[Nombre Cuenta ()],Estructura_Balance[Nivel 1],"",0)</f>
        <v/>
      </c>
      <c r="O1998" t="str">
        <f>_xlfn.XLOOKUP(Table3[[#This Row],[Cuenta]],Estructura_Balance[Nombre Cuenta ()],Estructura_Balance[Nivel 2],"",0)</f>
        <v/>
      </c>
      <c r="P1998" t="str">
        <f>_xlfn.XLOOKUP(Table3[[#This Row],[Cuenta]],Estructura_Balance[Nombre Cuenta ()],Estructura_Balance[Nivel 3],"",0)</f>
        <v/>
      </c>
      <c r="Q1998" t="str">
        <f>_xlfn.XLOOKUP(Table3[[#This Row],[Cuenta]],Estructura_Balance[Nombre Cuenta ()],Estructura_Balance[Nivel 4],"",0)</f>
        <v/>
      </c>
      <c r="R1998" t="str">
        <f>_xlfn.XLOOKUP(Table3[[#This Row],[Cuenta]],Table8[Nombre Cuenta ()],Table8[Nivel 1],"",0)</f>
        <v/>
      </c>
      <c r="S1998" t="str">
        <f>_xlfn.XLOOKUP(Table3[[#This Row],[Cuenta]],Table8[Nombre Cuenta ()],Table8[Nivel 2],"",0)</f>
        <v/>
      </c>
      <c r="T1998" t="str">
        <f>_xlfn.XLOOKUP(Table3[[#This Row],[Cuenta]],Table8[Nombre Cuenta ()],Table8[Nivel 3],"",0)</f>
        <v/>
      </c>
      <c r="U1998">
        <v>1978</v>
      </c>
      <c r="V1998" t="str">
        <f>_xlfn.XLOOKUP(Table3[[#This Row],[Cuenta]],Estructura_Balance[Nombre Cuenta ()],Estructura_Balance[Niveles:2],"",0)</f>
        <v/>
      </c>
      <c r="W1998" t="str">
        <f>_xlfn.XLOOKUP(Table3[[#This Row],[Cuenta]],Estructura_Balance[Nombre Cuenta ()],Estructura_Balance[Niveles:3],"",0)</f>
        <v/>
      </c>
      <c r="X1998" t="str">
        <f>_xlfn.XLOOKUP(Table3[[#This Row],[Cuenta]],Estructura_Balance[Nombre Cuenta ()],Estructura_Balance[Grupos],"Grupo 1",0)</f>
        <v>Grupo 1</v>
      </c>
      <c r="Y1998" t="str">
        <f>+Table3[[#This Row],[BS_Nivel_1]]</f>
        <v/>
      </c>
    </row>
    <row r="1999" spans="1:25" ht="15" customHeight="1">
      <c r="A1999">
        <f>+'Libro Diario'!F585</f>
        <v>66</v>
      </c>
      <c r="B1999" s="144">
        <f>VALUE(IF(+'Libro Diario'!G585="","01/01/2025",+'Libro Diario'!G585))</f>
        <v>46022</v>
      </c>
      <c r="C1999">
        <f>IF(ISNUMBER(+IF(IFERROR(VALUE(MID('Libro Diario'!D585,1,4)),0)&lt;&gt;0,'Libro Diario'!D585,0))=FALSE,'Libro Diario'!D585,0)</f>
        <v>0</v>
      </c>
      <c r="D1999" s="145">
        <f>+'Libro Diario'!E585</f>
        <v>0</v>
      </c>
      <c r="E1999" s="139" t="s">
        <v>446</v>
      </c>
      <c r="F1999" t="str">
        <f t="shared" si="93"/>
        <v>Sin Mov.</v>
      </c>
      <c r="G1999" t="str">
        <f>IF(+'Libro Diario'!H585=0,"",+'Libro Diario'!H585)</f>
        <v>Asiento de Cierre</v>
      </c>
      <c r="H1999" t="str">
        <f>IF(+'Libro Diario'!I585=0,"",+'Libro Diario'!I585)</f>
        <v>Cierre de cuentas</v>
      </c>
      <c r="I1999" t="str">
        <f>+IF(Table3[[#This Row],[Tipo Movimiento]]="Estructura Balance y PyG","Excluir","Incluir")</f>
        <v>Incluir</v>
      </c>
      <c r="J1999" s="153">
        <f>+IF(Table3[[#This Row],[Sin cuenta]]="Con Mov.",(IF(Table3[[#This Row],[Movimiento]]="Debe",Table3[[#This Row],[Importe]],IF(Table3[[#This Row],[Movimiento]]="Haber",Table3[[#This Row],[Importe]]*-1,0))),0)</f>
        <v>0</v>
      </c>
      <c r="K1999" s="145" t="str">
        <f t="shared" si="94"/>
        <v/>
      </c>
      <c r="L1999" s="145">
        <f t="shared" si="95"/>
        <v>0</v>
      </c>
      <c r="M1999" t="str">
        <f>_xlfn.XLOOKUP(Table3[[#This Row],[Cuenta]],Estructura_Balance[Nombre Cuenta ()],Estructura_Balance[Grupo],"",0)</f>
        <v/>
      </c>
      <c r="N1999" t="str">
        <f>_xlfn.XLOOKUP(Table3[[#This Row],[Cuenta]],Estructura_Balance[Nombre Cuenta ()],Estructura_Balance[Nivel 1],"",0)</f>
        <v/>
      </c>
      <c r="O1999" t="str">
        <f>_xlfn.XLOOKUP(Table3[[#This Row],[Cuenta]],Estructura_Balance[Nombre Cuenta ()],Estructura_Balance[Nivel 2],"",0)</f>
        <v/>
      </c>
      <c r="P1999" t="str">
        <f>_xlfn.XLOOKUP(Table3[[#This Row],[Cuenta]],Estructura_Balance[Nombre Cuenta ()],Estructura_Balance[Nivel 3],"",0)</f>
        <v/>
      </c>
      <c r="Q1999" t="str">
        <f>_xlfn.XLOOKUP(Table3[[#This Row],[Cuenta]],Estructura_Balance[Nombre Cuenta ()],Estructura_Balance[Nivel 4],"",0)</f>
        <v/>
      </c>
      <c r="R1999" t="str">
        <f>_xlfn.XLOOKUP(Table3[[#This Row],[Cuenta]],Table8[Nombre Cuenta ()],Table8[Nivel 1],"",0)</f>
        <v/>
      </c>
      <c r="S1999" t="str">
        <f>_xlfn.XLOOKUP(Table3[[#This Row],[Cuenta]],Table8[Nombre Cuenta ()],Table8[Nivel 2],"",0)</f>
        <v/>
      </c>
      <c r="T1999" t="str">
        <f>_xlfn.XLOOKUP(Table3[[#This Row],[Cuenta]],Table8[Nombre Cuenta ()],Table8[Nivel 3],"",0)</f>
        <v/>
      </c>
      <c r="U1999">
        <v>1979</v>
      </c>
      <c r="V1999" t="str">
        <f>_xlfn.XLOOKUP(Table3[[#This Row],[Cuenta]],Estructura_Balance[Nombre Cuenta ()],Estructura_Balance[Niveles:2],"",0)</f>
        <v/>
      </c>
      <c r="W1999" t="str">
        <f>_xlfn.XLOOKUP(Table3[[#This Row],[Cuenta]],Estructura_Balance[Nombre Cuenta ()],Estructura_Balance[Niveles:3],"",0)</f>
        <v/>
      </c>
      <c r="X1999" t="str">
        <f>_xlfn.XLOOKUP(Table3[[#This Row],[Cuenta]],Estructura_Balance[Nombre Cuenta ()],Estructura_Balance[Grupos],"Grupo 1",0)</f>
        <v>Grupo 1</v>
      </c>
      <c r="Y1999" t="str">
        <f>+Table3[[#This Row],[BS_Nivel_1]]</f>
        <v/>
      </c>
    </row>
    <row r="2000" spans="1:25" ht="15" customHeight="1">
      <c r="A2000">
        <f>+'Libro Diario'!F586</f>
        <v>66</v>
      </c>
      <c r="B2000" s="144">
        <f>VALUE(IF(+'Libro Diario'!G586="","01/01/2025",+'Libro Diario'!G586))</f>
        <v>46022</v>
      </c>
      <c r="C2000">
        <f>IF(ISNUMBER(+IF(IFERROR(VALUE(MID('Libro Diario'!D586,1,4)),0)&lt;&gt;0,'Libro Diario'!D586,0))=FALSE,'Libro Diario'!D586,0)</f>
        <v>0</v>
      </c>
      <c r="D2000" s="145">
        <f>+'Libro Diario'!E586</f>
        <v>0</v>
      </c>
      <c r="E2000" s="139" t="s">
        <v>446</v>
      </c>
      <c r="F2000" t="str">
        <f t="shared" si="93"/>
        <v>Sin Mov.</v>
      </c>
      <c r="G2000" t="str">
        <f>IF(+'Libro Diario'!H586=0,"",+'Libro Diario'!H586)</f>
        <v>Asiento de Cierre</v>
      </c>
      <c r="H2000" t="str">
        <f>IF(+'Libro Diario'!I586=0,"",+'Libro Diario'!I586)</f>
        <v>Cierre de cuentas</v>
      </c>
      <c r="I2000" t="str">
        <f>+IF(Table3[[#This Row],[Tipo Movimiento]]="Estructura Balance y PyG","Excluir","Incluir")</f>
        <v>Incluir</v>
      </c>
      <c r="J2000" s="153">
        <f>+IF(Table3[[#This Row],[Sin cuenta]]="Con Mov.",(IF(Table3[[#This Row],[Movimiento]]="Debe",Table3[[#This Row],[Importe]],IF(Table3[[#This Row],[Movimiento]]="Haber",Table3[[#This Row],[Importe]]*-1,0))),0)</f>
        <v>0</v>
      </c>
      <c r="K2000" s="145" t="str">
        <f t="shared" si="94"/>
        <v/>
      </c>
      <c r="L2000" s="145">
        <f t="shared" si="95"/>
        <v>0</v>
      </c>
      <c r="M2000" t="str">
        <f>_xlfn.XLOOKUP(Table3[[#This Row],[Cuenta]],Estructura_Balance[Nombre Cuenta ()],Estructura_Balance[Grupo],"",0)</f>
        <v/>
      </c>
      <c r="N2000" t="str">
        <f>_xlfn.XLOOKUP(Table3[[#This Row],[Cuenta]],Estructura_Balance[Nombre Cuenta ()],Estructura_Balance[Nivel 1],"",0)</f>
        <v/>
      </c>
      <c r="O2000" t="str">
        <f>_xlfn.XLOOKUP(Table3[[#This Row],[Cuenta]],Estructura_Balance[Nombre Cuenta ()],Estructura_Balance[Nivel 2],"",0)</f>
        <v/>
      </c>
      <c r="P2000" t="str">
        <f>_xlfn.XLOOKUP(Table3[[#This Row],[Cuenta]],Estructura_Balance[Nombre Cuenta ()],Estructura_Balance[Nivel 3],"",0)</f>
        <v/>
      </c>
      <c r="Q2000" t="str">
        <f>_xlfn.XLOOKUP(Table3[[#This Row],[Cuenta]],Estructura_Balance[Nombre Cuenta ()],Estructura_Balance[Nivel 4],"",0)</f>
        <v/>
      </c>
      <c r="R2000" t="str">
        <f>_xlfn.XLOOKUP(Table3[[#This Row],[Cuenta]],Table8[Nombre Cuenta ()],Table8[Nivel 1],"",0)</f>
        <v/>
      </c>
      <c r="S2000" t="str">
        <f>_xlfn.XLOOKUP(Table3[[#This Row],[Cuenta]],Table8[Nombre Cuenta ()],Table8[Nivel 2],"",0)</f>
        <v/>
      </c>
      <c r="T2000" t="str">
        <f>_xlfn.XLOOKUP(Table3[[#This Row],[Cuenta]],Table8[Nombre Cuenta ()],Table8[Nivel 3],"",0)</f>
        <v/>
      </c>
      <c r="U2000">
        <v>1980</v>
      </c>
      <c r="V2000" t="str">
        <f>_xlfn.XLOOKUP(Table3[[#This Row],[Cuenta]],Estructura_Balance[Nombre Cuenta ()],Estructura_Balance[Niveles:2],"",0)</f>
        <v/>
      </c>
      <c r="W2000" t="str">
        <f>_xlfn.XLOOKUP(Table3[[#This Row],[Cuenta]],Estructura_Balance[Nombre Cuenta ()],Estructura_Balance[Niveles:3],"",0)</f>
        <v/>
      </c>
      <c r="X2000" t="str">
        <f>_xlfn.XLOOKUP(Table3[[#This Row],[Cuenta]],Estructura_Balance[Nombre Cuenta ()],Estructura_Balance[Grupos],"Grupo 1",0)</f>
        <v>Grupo 1</v>
      </c>
      <c r="Y2000" t="str">
        <f>+Table3[[#This Row],[BS_Nivel_1]]</f>
        <v/>
      </c>
    </row>
  </sheetData>
  <pageMargins left="0.7" right="0.7" top="0.75" bottom="0.75" header="0.3" footer="0.3"/>
  <pageSetup orientation="portrait" r:id="rId1"/>
  <tableParts count="1">
    <tablePart r:id="rId2"/>
  </tablePart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2"/>
  <dimension ref="A1:U591"/>
  <sheetViews>
    <sheetView topLeftCell="K1" workbookViewId="0">
      <pane ySplit="1" topLeftCell="A371" activePane="bottomLeft" state="frozen"/>
      <selection pane="bottomLeft" activeCell="J377" sqref="J377"/>
      <selection activeCell="I234" sqref="I234"/>
    </sheetView>
  </sheetViews>
  <sheetFormatPr defaultColWidth="14.42578125" defaultRowHeight="15" customHeight="1"/>
  <cols>
    <col min="1" max="1" width="11.28515625" bestFit="1" customWidth="1"/>
    <col min="2" max="2" width="34.28515625" customWidth="1"/>
    <col min="3" max="3" width="56.140625" customWidth="1"/>
    <col min="4" max="4" width="54.28515625" customWidth="1"/>
    <col min="5" max="6" width="13.7109375" customWidth="1"/>
    <col min="7" max="7" width="12.42578125" customWidth="1"/>
    <col min="8" max="9" width="11.28515625" customWidth="1"/>
    <col min="10" max="10" width="58.7109375" customWidth="1"/>
    <col min="11" max="11" width="110.85546875" customWidth="1"/>
    <col min="12" max="12" width="10.7109375" customWidth="1"/>
    <col min="13" max="13" width="33" customWidth="1"/>
    <col min="14" max="21" width="10.7109375" customWidth="1"/>
  </cols>
  <sheetData>
    <row r="1" spans="1:21" ht="14.25" customHeight="1">
      <c r="A1" s="290" t="s">
        <v>1000</v>
      </c>
      <c r="B1" s="290" t="s">
        <v>1001</v>
      </c>
      <c r="C1" s="290" t="s">
        <v>1002</v>
      </c>
      <c r="D1" s="290" t="s">
        <v>1003</v>
      </c>
      <c r="E1" s="290" t="s">
        <v>1004</v>
      </c>
      <c r="F1" s="290" t="s">
        <v>997</v>
      </c>
      <c r="G1" s="290" t="s">
        <v>998</v>
      </c>
      <c r="H1" s="290" t="s">
        <v>999</v>
      </c>
      <c r="I1" s="290" t="s">
        <v>1005</v>
      </c>
      <c r="J1" s="290" t="s">
        <v>1006</v>
      </c>
      <c r="K1" s="232" t="s">
        <v>1007</v>
      </c>
      <c r="L1" s="232" t="s">
        <v>1008</v>
      </c>
      <c r="M1" s="232" t="s">
        <v>1</v>
      </c>
      <c r="N1" s="150"/>
      <c r="O1" s="150"/>
      <c r="P1" s="150"/>
      <c r="Q1" s="150"/>
      <c r="R1" s="150"/>
      <c r="S1" s="150"/>
      <c r="T1" s="150"/>
      <c r="U1" s="150"/>
    </row>
    <row r="2" spans="1:21" ht="14.25" customHeight="1">
      <c r="A2" s="52" t="s">
        <v>770</v>
      </c>
      <c r="B2" s="52" t="s">
        <v>776</v>
      </c>
      <c r="C2" s="52" t="s">
        <v>778</v>
      </c>
      <c r="D2" s="52" t="s">
        <v>1009</v>
      </c>
      <c r="E2" s="52">
        <v>1000</v>
      </c>
      <c r="F2" s="52" t="str">
        <f>+MID(Estructura_Balance[[#This Row],[CPGC]],1,2)</f>
        <v>10</v>
      </c>
      <c r="G2" s="52" t="str">
        <f>+MID(Estructura_Balance[[#This Row],[CPGC]],1,3)</f>
        <v>100</v>
      </c>
      <c r="H2" s="52" t="str">
        <f>+MID(Estructura_Balance[[#This Row],[Grupo]],1,7)</f>
        <v>Grupo 1</v>
      </c>
      <c r="I2" s="52"/>
      <c r="J2" s="52" t="s">
        <v>1010</v>
      </c>
      <c r="K2" s="233" t="str">
        <f>+CONCATENATE(MID(Estructura_Balance[[#This Row],[Nombre Cuenta]],1,3)," - ", ,MID(Estructura_Balance[[#This Row],[Nombre Cuenta]],6,144))</f>
        <v>100 -  Capital social</v>
      </c>
      <c r="L2" s="52" t="e">
        <f>+LEN([1]!Estructura_Balance[[#This Row],[Nombre Cuenta]])</f>
        <v>#REF!</v>
      </c>
      <c r="M2" s="52" t="s">
        <v>1011</v>
      </c>
      <c r="N2" s="150"/>
      <c r="O2" s="150"/>
      <c r="P2" s="150"/>
      <c r="Q2" s="150"/>
      <c r="R2" s="150"/>
      <c r="S2" s="150"/>
      <c r="T2" s="150"/>
      <c r="U2" s="150"/>
    </row>
    <row r="3" spans="1:21" ht="14.25" customHeight="1">
      <c r="A3" s="52" t="s">
        <v>770</v>
      </c>
      <c r="B3" s="52" t="s">
        <v>776</v>
      </c>
      <c r="C3" s="52" t="s">
        <v>778</v>
      </c>
      <c r="D3" s="52" t="s">
        <v>1012</v>
      </c>
      <c r="E3" s="52">
        <v>1010</v>
      </c>
      <c r="F3" s="52" t="str">
        <f>+MID(Estructura_Balance[[#This Row],[CPGC]],1,2)</f>
        <v>10</v>
      </c>
      <c r="G3" s="52" t="str">
        <f>+MID(Estructura_Balance[[#This Row],[CPGC]],1,3)</f>
        <v>101</v>
      </c>
      <c r="H3" s="52" t="str">
        <f>+MID(Estructura_Balance[[#This Row],[Grupo]],1,7)</f>
        <v>Grupo 1</v>
      </c>
      <c r="I3" s="52"/>
      <c r="J3" s="52" t="s">
        <v>1013</v>
      </c>
      <c r="K3" s="233" t="str">
        <f>+CONCATENATE(MID(Estructura_Balance[[#This Row],[Nombre Cuenta]],1,3)," - ", ,MID(Estructura_Balance[[#This Row],[Nombre Cuenta]],6,144))</f>
        <v>101 -  Fondo Social</v>
      </c>
      <c r="L3" s="52" t="e">
        <f>+LEN([1]!Estructura_Balance[[#This Row],[Nombre Cuenta]])</f>
        <v>#REF!</v>
      </c>
      <c r="M3" s="52" t="s">
        <v>1011</v>
      </c>
      <c r="N3" s="150"/>
      <c r="O3" s="150"/>
      <c r="P3" s="150"/>
      <c r="Q3" s="150"/>
      <c r="R3" s="150"/>
      <c r="S3" s="150"/>
      <c r="T3" s="150"/>
      <c r="U3" s="150"/>
    </row>
    <row r="4" spans="1:21" ht="14.25" customHeight="1">
      <c r="A4" s="52" t="s">
        <v>770</v>
      </c>
      <c r="B4" s="52" t="s">
        <v>776</v>
      </c>
      <c r="C4" s="52" t="s">
        <v>778</v>
      </c>
      <c r="D4" s="52" t="s">
        <v>1014</v>
      </c>
      <c r="E4" s="52">
        <v>1020</v>
      </c>
      <c r="F4" s="52" t="str">
        <f>+MID(Estructura_Balance[[#This Row],[CPGC]],1,2)</f>
        <v>10</v>
      </c>
      <c r="G4" s="52" t="str">
        <f>+MID(Estructura_Balance[[#This Row],[CPGC]],1,3)</f>
        <v>102</v>
      </c>
      <c r="H4" s="52" t="str">
        <f>+MID(Estructura_Balance[[#This Row],[Grupo]],1,7)</f>
        <v>Grupo 1</v>
      </c>
      <c r="I4" s="52"/>
      <c r="J4" s="52" t="s">
        <v>1015</v>
      </c>
      <c r="K4" s="233" t="str">
        <f>+CONCATENATE(MID(Estructura_Balance[[#This Row],[Nombre Cuenta]],1,3)," - ", ,MID(Estructura_Balance[[#This Row],[Nombre Cuenta]],6,144))</f>
        <v>102 -  Capital</v>
      </c>
      <c r="L4" s="52" t="e">
        <f>+LEN([1]!Estructura_Balance[[#This Row],[Nombre Cuenta]])</f>
        <v>#REF!</v>
      </c>
      <c r="M4" s="52" t="s">
        <v>1011</v>
      </c>
      <c r="N4" s="150"/>
      <c r="O4" s="150"/>
      <c r="P4" s="150"/>
      <c r="Q4" s="150"/>
      <c r="R4" s="150"/>
      <c r="S4" s="150"/>
      <c r="T4" s="150"/>
      <c r="U4" s="150"/>
    </row>
    <row r="5" spans="1:21" ht="14.25" customHeight="1">
      <c r="A5" s="52" t="s">
        <v>770</v>
      </c>
      <c r="B5" s="52" t="s">
        <v>804</v>
      </c>
      <c r="C5" s="52" t="s">
        <v>807</v>
      </c>
      <c r="D5" s="52" t="s">
        <v>1016</v>
      </c>
      <c r="E5" s="52">
        <v>1034</v>
      </c>
      <c r="F5" s="52">
        <v>10</v>
      </c>
      <c r="G5" s="52" t="str">
        <f>+MID(Estructura_Balance[[#This Row],[CPGC]],1,3)</f>
        <v>103</v>
      </c>
      <c r="H5" s="52" t="s">
        <v>1017</v>
      </c>
      <c r="I5" s="52"/>
      <c r="J5" s="52" t="s">
        <v>1018</v>
      </c>
      <c r="K5" s="233" t="str">
        <f>+CONCATENATE(MID(Estructura_Balance[[#This Row],[Nombre Cuenta]],1,4)," - ", ,MID(Estructura_Balance[[#This Row],[Nombre Cuenta]],6,144))</f>
        <v>103  - Socios por desembolsos no exigidos</v>
      </c>
      <c r="L5" s="52" t="e">
        <f>+LEN([1]!Estructura_Balance[[#This Row],[Nombre Cuenta]])</f>
        <v>#REF!</v>
      </c>
      <c r="M5" s="52" t="s">
        <v>1011</v>
      </c>
      <c r="N5" s="150"/>
      <c r="O5" s="150"/>
      <c r="P5" s="150"/>
      <c r="Q5" s="150"/>
      <c r="R5" s="150"/>
      <c r="S5" s="150"/>
      <c r="T5" s="150"/>
      <c r="U5" s="150"/>
    </row>
    <row r="6" spans="1:21" ht="14.25" customHeight="1">
      <c r="A6" s="52" t="s">
        <v>770</v>
      </c>
      <c r="B6" s="52" t="s">
        <v>804</v>
      </c>
      <c r="C6" s="52" t="s">
        <v>807</v>
      </c>
      <c r="D6" s="52" t="s">
        <v>1016</v>
      </c>
      <c r="E6" s="52">
        <v>1034</v>
      </c>
      <c r="F6" s="52">
        <v>10</v>
      </c>
      <c r="G6" s="52" t="str">
        <f>+MID(Estructura_Balance[[#This Row],[CPGC]],1,3)</f>
        <v>103</v>
      </c>
      <c r="H6" s="52" t="s">
        <v>1017</v>
      </c>
      <c r="I6" s="52"/>
      <c r="J6" s="52" t="s">
        <v>1019</v>
      </c>
      <c r="K6" s="233" t="str">
        <f>+CONCATENATE(MID(Estructura_Balance[[#This Row],[Nombre Cuenta]],1,4)," - ", ,MID(Estructura_Balance[[#This Row],[Nombre Cuenta]],6,144))</f>
        <v>104  - Socios por aportaciones no dinerarias pendientes</v>
      </c>
      <c r="L6" s="52" t="e">
        <f>+LEN([1]!Estructura_Balance[[#This Row],[Nombre Cuenta]])</f>
        <v>#REF!</v>
      </c>
      <c r="M6" s="52" t="s">
        <v>1011</v>
      </c>
      <c r="N6" s="150"/>
      <c r="O6" s="150"/>
      <c r="P6" s="150"/>
      <c r="Q6" s="150"/>
      <c r="R6" s="150"/>
      <c r="S6" s="150"/>
      <c r="T6" s="150"/>
      <c r="U6" s="150"/>
    </row>
    <row r="7" spans="1:21" ht="14.25" customHeight="1">
      <c r="A7" s="52" t="s">
        <v>770</v>
      </c>
      <c r="B7" s="52" t="s">
        <v>776</v>
      </c>
      <c r="C7" s="52" t="s">
        <v>784</v>
      </c>
      <c r="D7" s="52" t="s">
        <v>1020</v>
      </c>
      <c r="E7" s="52">
        <v>1080</v>
      </c>
      <c r="F7" s="52">
        <v>10</v>
      </c>
      <c r="G7" s="52" t="str">
        <f>+MID(Estructura_Balance[[#This Row],[CPGC]],1,3)</f>
        <v>108</v>
      </c>
      <c r="H7" s="52" t="s">
        <v>1017</v>
      </c>
      <c r="I7" s="52"/>
      <c r="J7" s="52" t="s">
        <v>1021</v>
      </c>
      <c r="K7" s="233" t="str">
        <f>+CONCATENATE(MID(Estructura_Balance[[#This Row],[Nombre Cuenta]],1,3)," - ", ,MID(Estructura_Balance[[#This Row],[Nombre Cuenta]],6,144))</f>
        <v>108 -  Acciones o participaciones propias en situaciones especiales</v>
      </c>
      <c r="L7" s="52" t="e">
        <f>+LEN([1]!Estructura_Balance[[#This Row],[Nombre Cuenta]])</f>
        <v>#REF!</v>
      </c>
      <c r="M7" s="52" t="s">
        <v>1011</v>
      </c>
      <c r="N7" s="150"/>
      <c r="O7" s="150"/>
      <c r="P7" s="150"/>
      <c r="Q7" s="150"/>
      <c r="R7" s="150"/>
      <c r="S7" s="150"/>
      <c r="T7" s="150"/>
      <c r="U7" s="150"/>
    </row>
    <row r="8" spans="1:21" ht="14.25" customHeight="1">
      <c r="A8" s="52" t="s">
        <v>770</v>
      </c>
      <c r="B8" s="52" t="s">
        <v>776</v>
      </c>
      <c r="C8" s="52" t="s">
        <v>784</v>
      </c>
      <c r="D8" s="52" t="s">
        <v>1020</v>
      </c>
      <c r="E8" s="52">
        <v>1090</v>
      </c>
      <c r="F8" s="52">
        <v>10</v>
      </c>
      <c r="G8" s="52" t="str">
        <f>+MID(Estructura_Balance[[#This Row],[CPGC]],1,3)</f>
        <v>109</v>
      </c>
      <c r="H8" s="52" t="s">
        <v>1017</v>
      </c>
      <c r="I8" s="52"/>
      <c r="J8" s="52" t="s">
        <v>1022</v>
      </c>
      <c r="K8" s="233" t="str">
        <f>+CONCATENATE(MID(Estructura_Balance[[#This Row],[Nombre Cuenta]],1,3)," - ", ,MID(Estructura_Balance[[#This Row],[Nombre Cuenta]],6,144))</f>
        <v>108 -  Acciones o participaciones propias para reducción de capital</v>
      </c>
      <c r="L8" s="52" t="e">
        <f>+LEN([1]!Estructura_Balance[[#This Row],[Nombre Cuenta]])</f>
        <v>#REF!</v>
      </c>
      <c r="M8" s="52" t="s">
        <v>1011</v>
      </c>
      <c r="N8" s="150"/>
      <c r="O8" s="150"/>
      <c r="P8" s="150"/>
      <c r="Q8" s="150"/>
      <c r="R8" s="150"/>
      <c r="S8" s="150"/>
      <c r="T8" s="150"/>
      <c r="U8" s="150"/>
    </row>
    <row r="9" spans="1:21" ht="14.25" customHeight="1">
      <c r="A9" s="52" t="s">
        <v>770</v>
      </c>
      <c r="B9" s="52" t="s">
        <v>776</v>
      </c>
      <c r="C9" s="52" t="s">
        <v>780</v>
      </c>
      <c r="D9" s="52" t="s">
        <v>1023</v>
      </c>
      <c r="E9" s="52">
        <v>1100</v>
      </c>
      <c r="F9" s="52">
        <v>11</v>
      </c>
      <c r="G9" s="52" t="str">
        <f>+MID(Estructura_Balance[[#This Row],[CPGC]],1,3)</f>
        <v>110</v>
      </c>
      <c r="H9" s="52" t="s">
        <v>1017</v>
      </c>
      <c r="I9" s="52"/>
      <c r="J9" s="52" t="s">
        <v>1024</v>
      </c>
      <c r="K9" s="233" t="str">
        <f>+CONCATENATE(MID(Estructura_Balance[[#This Row],[Nombre Cuenta]],1,3)," - ", ,MID(Estructura_Balance[[#This Row],[Nombre Cuenta]],6,144))</f>
        <v>110 -  Prima de emisión o asunción</v>
      </c>
      <c r="L9" s="52" t="e">
        <f>+LEN([1]!Estructura_Balance[[#This Row],[Nombre Cuenta]])</f>
        <v>#REF!</v>
      </c>
      <c r="M9" s="52" t="s">
        <v>1011</v>
      </c>
      <c r="N9" s="150"/>
      <c r="O9" s="150"/>
      <c r="P9" s="150"/>
      <c r="Q9" s="150"/>
      <c r="R9" s="150"/>
      <c r="S9" s="150"/>
      <c r="T9" s="150"/>
      <c r="U9" s="150"/>
    </row>
    <row r="10" spans="1:21" ht="14.25" customHeight="1">
      <c r="A10" s="52" t="s">
        <v>770</v>
      </c>
      <c r="B10" s="52" t="s">
        <v>776</v>
      </c>
      <c r="C10" s="52" t="s">
        <v>794</v>
      </c>
      <c r="D10" s="52" t="s">
        <v>1025</v>
      </c>
      <c r="E10" s="52">
        <v>1110</v>
      </c>
      <c r="F10" s="52">
        <v>11</v>
      </c>
      <c r="G10" s="52" t="str">
        <f>+MID(Estructura_Balance[[#This Row],[CPGC]],1,3)</f>
        <v>111</v>
      </c>
      <c r="H10" s="52" t="s">
        <v>1017</v>
      </c>
      <c r="I10" s="52"/>
      <c r="J10" s="52" t="s">
        <v>1026</v>
      </c>
      <c r="K10" s="233" t="str">
        <f>+CONCATENATE(MID(Estructura_Balance[[#This Row],[Nombre Cuenta]],1,3)," - ", ,MID(Estructura_Balance[[#This Row],[Nombre Cuenta]],6,144))</f>
        <v>111 -  Otros instrumentos de patrimonio neto</v>
      </c>
      <c r="L10" s="52" t="e">
        <f>+LEN([1]!Estructura_Balance[[#This Row],[Nombre Cuenta]])</f>
        <v>#REF!</v>
      </c>
      <c r="M10" s="52" t="s">
        <v>1011</v>
      </c>
      <c r="N10" s="150"/>
      <c r="O10" s="150"/>
      <c r="P10" s="150"/>
      <c r="Q10" s="150"/>
      <c r="R10" s="150"/>
      <c r="S10" s="150"/>
      <c r="T10" s="150"/>
      <c r="U10" s="150"/>
    </row>
    <row r="11" spans="1:21" ht="14.25" customHeight="1">
      <c r="A11" s="52" t="s">
        <v>770</v>
      </c>
      <c r="B11" s="52" t="s">
        <v>776</v>
      </c>
      <c r="C11" s="52" t="s">
        <v>782</v>
      </c>
      <c r="D11" s="52" t="s">
        <v>1027</v>
      </c>
      <c r="E11" s="52">
        <v>1120</v>
      </c>
      <c r="F11" s="52" t="str">
        <f>+MID(Estructura_Balance[[#This Row],[CPGC]],1,2)</f>
        <v>11</v>
      </c>
      <c r="G11" s="52" t="str">
        <f>+MID(Estructura_Balance[[#This Row],[CPGC]],1,3)</f>
        <v>112</v>
      </c>
      <c r="H11" s="52" t="str">
        <f>+MID(Estructura_Balance[[#This Row],[Grupo]],1,7)</f>
        <v>Grupo 1</v>
      </c>
      <c r="I11" s="52"/>
      <c r="J11" s="52" t="s">
        <v>1028</v>
      </c>
      <c r="K11" s="233" t="str">
        <f>+CONCATENATE(MID(Estructura_Balance[[#This Row],[Nombre Cuenta]],1,3)," - ", ,MID(Estructura_Balance[[#This Row],[Nombre Cuenta]],6,144))</f>
        <v>112 -  Reserva legal</v>
      </c>
      <c r="L11" s="52" t="e">
        <f>+LEN([1]!Estructura_Balance[[#This Row],[Nombre Cuenta]])</f>
        <v>#REF!</v>
      </c>
      <c r="M11" s="52" t="s">
        <v>1011</v>
      </c>
      <c r="N11" s="150"/>
      <c r="O11" s="150"/>
      <c r="P11" s="150"/>
      <c r="Q11" s="150"/>
      <c r="R11" s="150"/>
      <c r="S11" s="150"/>
      <c r="T11" s="150"/>
      <c r="U11" s="150"/>
    </row>
    <row r="12" spans="1:21" ht="14.25" customHeight="1">
      <c r="A12" s="52" t="s">
        <v>770</v>
      </c>
      <c r="B12" s="52" t="s">
        <v>776</v>
      </c>
      <c r="C12" s="52" t="s">
        <v>782</v>
      </c>
      <c r="D12" s="52" t="s">
        <v>1027</v>
      </c>
      <c r="E12" s="52">
        <v>1130</v>
      </c>
      <c r="F12" s="52" t="str">
        <f>+MID(Estructura_Balance[[#This Row],[CPGC]],1,2)</f>
        <v>11</v>
      </c>
      <c r="G12" s="52" t="str">
        <f>+MID(Estructura_Balance[[#This Row],[CPGC]],1,3)</f>
        <v>113</v>
      </c>
      <c r="H12" s="52" t="str">
        <f>+MID(Estructura_Balance[[#This Row],[Grupo]],1,7)</f>
        <v>Grupo 1</v>
      </c>
      <c r="I12" s="52"/>
      <c r="J12" s="52" t="s">
        <v>1029</v>
      </c>
      <c r="K12" s="233" t="str">
        <f>+CONCATENATE(MID(Estructura_Balance[[#This Row],[Nombre Cuenta]],1,3)," - ", ,MID(Estructura_Balance[[#This Row],[Nombre Cuenta]],6,144))</f>
        <v>113 -  Reservas voluntarias</v>
      </c>
      <c r="L12" s="52" t="e">
        <f>+LEN([1]!Estructura_Balance[[#This Row],[Nombre Cuenta]])</f>
        <v>#REF!</v>
      </c>
      <c r="M12" s="52" t="s">
        <v>1011</v>
      </c>
      <c r="N12" s="150"/>
      <c r="O12" s="150"/>
      <c r="P12" s="150"/>
      <c r="Q12" s="150"/>
      <c r="R12" s="150"/>
      <c r="S12" s="150"/>
      <c r="T12" s="150"/>
      <c r="U12" s="150"/>
    </row>
    <row r="13" spans="1:21" ht="14.25" customHeight="1">
      <c r="A13" s="52" t="s">
        <v>770</v>
      </c>
      <c r="B13" s="52" t="s">
        <v>776</v>
      </c>
      <c r="C13" s="52" t="s">
        <v>782</v>
      </c>
      <c r="D13" s="52" t="s">
        <v>1027</v>
      </c>
      <c r="E13" s="52">
        <v>1140</v>
      </c>
      <c r="F13" s="52" t="str">
        <f>+MID(Estructura_Balance[[#This Row],[CPGC]],1,2)</f>
        <v>11</v>
      </c>
      <c r="G13" s="52" t="str">
        <f>+MID(Estructura_Balance[[#This Row],[CPGC]],1,3)</f>
        <v>114</v>
      </c>
      <c r="H13" s="52" t="str">
        <f>+MID(Estructura_Balance[[#This Row],[Grupo]],1,7)</f>
        <v>Grupo 1</v>
      </c>
      <c r="I13" s="52"/>
      <c r="J13" s="52" t="s">
        <v>1030</v>
      </c>
      <c r="K13" s="233" t="str">
        <f>+CONCATENATE(MID(Estructura_Balance[[#This Row],[Nombre Cuenta]],1,3)," - ", ,MID(Estructura_Balance[[#This Row],[Nombre Cuenta]],6,144))</f>
        <v>114 -  Reservas especiales</v>
      </c>
      <c r="L13" s="52" t="e">
        <f>+LEN([1]!Estructura_Balance[[#This Row],[Nombre Cuenta]])</f>
        <v>#REF!</v>
      </c>
      <c r="M13" s="52" t="s">
        <v>1011</v>
      </c>
      <c r="N13" s="150"/>
      <c r="O13" s="150"/>
      <c r="P13" s="150"/>
      <c r="Q13" s="150"/>
      <c r="R13" s="150"/>
      <c r="S13" s="150"/>
      <c r="T13" s="150"/>
      <c r="U13" s="150"/>
    </row>
    <row r="14" spans="1:21" ht="14.25" customHeight="1">
      <c r="A14" s="52" t="s">
        <v>770</v>
      </c>
      <c r="B14" s="52" t="s">
        <v>776</v>
      </c>
      <c r="C14" s="52" t="s">
        <v>782</v>
      </c>
      <c r="D14" s="52" t="s">
        <v>1027</v>
      </c>
      <c r="E14" s="52">
        <v>1150</v>
      </c>
      <c r="F14" s="52" t="str">
        <f>+MID(Estructura_Balance[[#This Row],[CPGC]],1,2)</f>
        <v>11</v>
      </c>
      <c r="G14" s="52" t="str">
        <f>+MID(Estructura_Balance[[#This Row],[CPGC]],1,3)</f>
        <v>115</v>
      </c>
      <c r="H14" s="52" t="str">
        <f>+MID(Estructura_Balance[[#This Row],[Grupo]],1,7)</f>
        <v>Grupo 1</v>
      </c>
      <c r="I14" s="52"/>
      <c r="J14" s="52" t="s">
        <v>1031</v>
      </c>
      <c r="K14" s="233" t="str">
        <f>+CONCATENATE(MID(Estructura_Balance[[#This Row],[Nombre Cuenta]],1,3)," - ", ,MID(Estructura_Balance[[#This Row],[Nombre Cuenta]],6,144))</f>
        <v>115 -  Reservas por pérdidas y ganancias actuariales y otros ajustes</v>
      </c>
      <c r="L14" s="52" t="e">
        <f>+LEN([1]!Estructura_Balance[[#This Row],[Nombre Cuenta]])</f>
        <v>#REF!</v>
      </c>
      <c r="M14" s="52" t="s">
        <v>1011</v>
      </c>
      <c r="N14" s="150"/>
      <c r="O14" s="150"/>
      <c r="P14" s="150"/>
      <c r="Q14" s="150"/>
      <c r="R14" s="150"/>
      <c r="S14" s="150"/>
      <c r="T14" s="150"/>
      <c r="U14" s="150"/>
    </row>
    <row r="15" spans="1:21" ht="14.25" customHeight="1">
      <c r="A15" s="52" t="s">
        <v>770</v>
      </c>
      <c r="B15" s="52" t="s">
        <v>776</v>
      </c>
      <c r="C15" s="52" t="s">
        <v>788</v>
      </c>
      <c r="D15" s="52" t="s">
        <v>1032</v>
      </c>
      <c r="E15" s="52">
        <v>1180</v>
      </c>
      <c r="F15" s="52">
        <v>11</v>
      </c>
      <c r="G15" s="52" t="str">
        <f>+MID(Estructura_Balance[[#This Row],[CPGC]],1,3)</f>
        <v>118</v>
      </c>
      <c r="H15" s="52" t="s">
        <v>1017</v>
      </c>
      <c r="I15" s="52"/>
      <c r="J15" s="52" t="s">
        <v>1033</v>
      </c>
      <c r="K15" s="233" t="str">
        <f>+CONCATENATE(MID(Estructura_Balance[[#This Row],[Nombre Cuenta]],1,3)," - ", ,MID(Estructura_Balance[[#This Row],[Nombre Cuenta]],6,144))</f>
        <v>118 -  Aportaciones de socios o propietarios</v>
      </c>
      <c r="L15" s="52" t="e">
        <f>+LEN([1]!Estructura_Balance[[#This Row],[Nombre Cuenta]])</f>
        <v>#REF!</v>
      </c>
      <c r="M15" s="52" t="s">
        <v>1011</v>
      </c>
      <c r="N15" s="150"/>
      <c r="O15" s="150"/>
      <c r="P15" s="150"/>
      <c r="Q15" s="150"/>
      <c r="R15" s="150"/>
      <c r="S15" s="150"/>
      <c r="T15" s="150"/>
      <c r="U15" s="150"/>
    </row>
    <row r="16" spans="1:21" ht="14.25" customHeight="1">
      <c r="A16" s="52" t="s">
        <v>770</v>
      </c>
      <c r="B16" s="52" t="s">
        <v>776</v>
      </c>
      <c r="C16" s="52" t="s">
        <v>788</v>
      </c>
      <c r="D16" s="52" t="s">
        <v>1032</v>
      </c>
      <c r="E16" s="52">
        <v>1190</v>
      </c>
      <c r="F16" s="52">
        <v>11</v>
      </c>
      <c r="G16" s="52" t="str">
        <f>+MID(Estructura_Balance[[#This Row],[CPGC]],1,3)</f>
        <v>119</v>
      </c>
      <c r="H16" s="52" t="s">
        <v>1017</v>
      </c>
      <c r="I16" s="52"/>
      <c r="J16" s="52" t="s">
        <v>1034</v>
      </c>
      <c r="K16" s="233" t="str">
        <f>+CONCATENATE(MID(Estructura_Balance[[#This Row],[Nombre Cuenta]],1,3)," - ", ,MID(Estructura_Balance[[#This Row],[Nombre Cuenta]],6,144))</f>
        <v>119 -   Diferencias por ajuste del capital a euros</v>
      </c>
      <c r="L16" s="52" t="e">
        <f>+LEN([1]!Estructura_Balance[[#This Row],[Nombre Cuenta]])</f>
        <v>#REF!</v>
      </c>
      <c r="M16" s="52" t="s">
        <v>1011</v>
      </c>
      <c r="N16" s="150"/>
      <c r="O16" s="150"/>
      <c r="P16" s="150"/>
      <c r="Q16" s="150"/>
      <c r="R16" s="150"/>
      <c r="S16" s="150"/>
      <c r="T16" s="150"/>
      <c r="U16" s="150"/>
    </row>
    <row r="17" spans="1:21" ht="14.25" customHeight="1">
      <c r="A17" s="52" t="s">
        <v>770</v>
      </c>
      <c r="B17" s="52" t="s">
        <v>776</v>
      </c>
      <c r="C17" s="52" t="s">
        <v>786</v>
      </c>
      <c r="D17" s="52" t="s">
        <v>1035</v>
      </c>
      <c r="E17" s="52">
        <v>1200</v>
      </c>
      <c r="F17" s="52" t="str">
        <f>+MID(Estructura_Balance[[#This Row],[CPGC]],1,2)</f>
        <v>12</v>
      </c>
      <c r="G17" s="52" t="str">
        <f>+MID(Estructura_Balance[[#This Row],[CPGC]],1,3)</f>
        <v>120</v>
      </c>
      <c r="H17" s="52" t="str">
        <f>+MID(Estructura_Balance[[#This Row],[Grupo]],1,7)</f>
        <v>Grupo 1</v>
      </c>
      <c r="I17" s="52"/>
      <c r="J17" s="52" t="s">
        <v>1036</v>
      </c>
      <c r="K17" s="233" t="str">
        <f>+CONCATENATE(MID(Estructura_Balance[[#This Row],[Nombre Cuenta]],1,3)," - ", ,MID(Estructura_Balance[[#This Row],[Nombre Cuenta]],6,144))</f>
        <v>120 -  Remanente</v>
      </c>
      <c r="L17" s="52" t="e">
        <f>+LEN([1]!Estructura_Balance[[#This Row],[Nombre Cuenta]])</f>
        <v>#REF!</v>
      </c>
      <c r="M17" s="52" t="s">
        <v>1011</v>
      </c>
      <c r="N17" s="150"/>
      <c r="O17" s="150"/>
      <c r="P17" s="150"/>
      <c r="Q17" s="150"/>
      <c r="R17" s="150"/>
      <c r="S17" s="150"/>
      <c r="T17" s="150"/>
      <c r="U17" s="150"/>
    </row>
    <row r="18" spans="1:21" ht="14.25" customHeight="1">
      <c r="A18" s="52" t="s">
        <v>770</v>
      </c>
      <c r="B18" s="52" t="s">
        <v>776</v>
      </c>
      <c r="C18" s="52" t="s">
        <v>786</v>
      </c>
      <c r="D18" s="52" t="s">
        <v>1035</v>
      </c>
      <c r="E18" s="52">
        <v>1210</v>
      </c>
      <c r="F18" s="52" t="str">
        <f>+MID(Estructura_Balance[[#This Row],[CPGC]],1,2)</f>
        <v>12</v>
      </c>
      <c r="G18" s="52" t="str">
        <f>+MID(Estructura_Balance[[#This Row],[CPGC]],1,3)</f>
        <v>121</v>
      </c>
      <c r="H18" s="52" t="str">
        <f>+MID(Estructura_Balance[[#This Row],[Grupo]],1,7)</f>
        <v>Grupo 1</v>
      </c>
      <c r="I18" s="52"/>
      <c r="J18" s="52" t="s">
        <v>1037</v>
      </c>
      <c r="K18" s="233" t="str">
        <f>+CONCATENATE(MID(Estructura_Balance[[#This Row],[Nombre Cuenta]],1,3)," - ", ,MID(Estructura_Balance[[#This Row],[Nombre Cuenta]],6,144))</f>
        <v>121 -  Resultados negativos de ejercicios anteriores</v>
      </c>
      <c r="L18" s="52" t="e">
        <f>+LEN([1]!Estructura_Balance[[#This Row],[Nombre Cuenta]])</f>
        <v>#REF!</v>
      </c>
      <c r="M18" s="52" t="s">
        <v>1011</v>
      </c>
      <c r="N18" s="150"/>
      <c r="O18" s="150"/>
      <c r="P18" s="150"/>
      <c r="Q18" s="150"/>
      <c r="R18" s="150"/>
      <c r="S18" s="150"/>
      <c r="T18" s="150"/>
      <c r="U18" s="150"/>
    </row>
    <row r="19" spans="1:21" ht="14.25" customHeight="1">
      <c r="A19" s="52" t="s">
        <v>770</v>
      </c>
      <c r="B19" s="52" t="s">
        <v>776</v>
      </c>
      <c r="C19" s="52" t="s">
        <v>790</v>
      </c>
      <c r="D19" s="52" t="s">
        <v>1038</v>
      </c>
      <c r="E19" s="52">
        <v>1290</v>
      </c>
      <c r="F19" s="52" t="str">
        <f>+MID(Estructura_Balance[[#This Row],[CPGC]],1,2)</f>
        <v>12</v>
      </c>
      <c r="G19" s="52" t="str">
        <f>+MID(Estructura_Balance[[#This Row],[CPGC]],1,3)</f>
        <v>129</v>
      </c>
      <c r="H19" s="52" t="str">
        <f>+MID(Estructura_Balance[[#This Row],[Grupo]],1,7)</f>
        <v>Grupo 1</v>
      </c>
      <c r="I19" s="52"/>
      <c r="J19" s="52" t="s">
        <v>1039</v>
      </c>
      <c r="K19" s="233" t="str">
        <f>+CONCATENATE(MID(Estructura_Balance[[#This Row],[Nombre Cuenta]],1,3)," - ", ,MID(Estructura_Balance[[#This Row],[Nombre Cuenta]],6,144))</f>
        <v>129 -  Resultado del ejercicio</v>
      </c>
      <c r="L19" s="52" t="e">
        <f>+LEN([1]!Estructura_Balance[[#This Row],[Nombre Cuenta]])</f>
        <v>#REF!</v>
      </c>
      <c r="M19" s="52" t="s">
        <v>1011</v>
      </c>
      <c r="N19" s="150"/>
      <c r="O19" s="150"/>
      <c r="P19" s="150"/>
      <c r="Q19" s="150"/>
      <c r="R19" s="150"/>
      <c r="S19" s="150"/>
      <c r="T19" s="150"/>
      <c r="U19" s="150"/>
    </row>
    <row r="20" spans="1:21" ht="14.25" customHeight="1">
      <c r="A20" s="52" t="s">
        <v>770</v>
      </c>
      <c r="B20" s="52" t="s">
        <v>776</v>
      </c>
      <c r="C20" s="52" t="s">
        <v>849</v>
      </c>
      <c r="D20" s="150" t="s">
        <v>1040</v>
      </c>
      <c r="E20" s="52">
        <v>1300</v>
      </c>
      <c r="F20" s="52" t="str">
        <f>+MID(Estructura_Balance[[#This Row],[CPGC]],1,2)</f>
        <v>13</v>
      </c>
      <c r="G20" s="52" t="str">
        <f>+MID(Estructura_Balance[[#This Row],[CPGC]],1,3)</f>
        <v>130</v>
      </c>
      <c r="H20" s="52" t="str">
        <f>+MID(Estructura_Balance[[#This Row],[Grupo]],1,7)</f>
        <v>Grupo 1</v>
      </c>
      <c r="I20" s="52"/>
      <c r="J20" s="52" t="s">
        <v>1041</v>
      </c>
      <c r="K20" s="233" t="str">
        <f>+CONCATENATE(MID(Estructura_Balance[[#This Row],[Nombre Cuenta]],1,3)," - ", ,MID(Estructura_Balance[[#This Row],[Nombre Cuenta]],6,144))</f>
        <v>130 -  Subvenciones oficiales de capital</v>
      </c>
      <c r="L20" s="52" t="e">
        <f>+LEN([1]!Estructura_Balance[[#This Row],[Nombre Cuenta]])</f>
        <v>#REF!</v>
      </c>
      <c r="M20" s="52" t="s">
        <v>1011</v>
      </c>
      <c r="N20" s="150"/>
      <c r="O20" s="150"/>
      <c r="P20" s="150"/>
      <c r="Q20" s="150"/>
      <c r="R20" s="150"/>
      <c r="S20" s="150"/>
      <c r="T20" s="150"/>
      <c r="U20" s="150"/>
    </row>
    <row r="21" spans="1:21" ht="14.25" customHeight="1">
      <c r="A21" s="52" t="s">
        <v>770</v>
      </c>
      <c r="B21" s="52" t="s">
        <v>776</v>
      </c>
      <c r="C21" s="52" t="s">
        <v>849</v>
      </c>
      <c r="D21" s="150" t="s">
        <v>1040</v>
      </c>
      <c r="E21" s="52">
        <v>1310</v>
      </c>
      <c r="F21" s="52" t="str">
        <f>+MID(Estructura_Balance[[#This Row],[CPGC]],1,2)</f>
        <v>13</v>
      </c>
      <c r="G21" s="52" t="str">
        <f>+MID(Estructura_Balance[[#This Row],[CPGC]],1,3)</f>
        <v>131</v>
      </c>
      <c r="H21" s="52" t="str">
        <f>+MID(Estructura_Balance[[#This Row],[Grupo]],1,7)</f>
        <v>Grupo 1</v>
      </c>
      <c r="I21" s="52"/>
      <c r="J21" s="52" t="s">
        <v>1042</v>
      </c>
      <c r="K21" s="233" t="str">
        <f>+CONCATENATE(MID(Estructura_Balance[[#This Row],[Nombre Cuenta]],1,3)," - ", ,MID(Estructura_Balance[[#This Row],[Nombre Cuenta]],6,144))</f>
        <v>131 -  Donaciones y legados de capital</v>
      </c>
      <c r="L21" s="52" t="e">
        <f>+LEN([1]!Estructura_Balance[[#This Row],[Nombre Cuenta]])</f>
        <v>#REF!</v>
      </c>
      <c r="M21" s="52" t="s">
        <v>1011</v>
      </c>
      <c r="N21" s="150"/>
      <c r="O21" s="150"/>
      <c r="P21" s="150"/>
      <c r="Q21" s="150"/>
      <c r="R21" s="150"/>
      <c r="S21" s="150"/>
      <c r="T21" s="150"/>
      <c r="U21" s="150"/>
    </row>
    <row r="22" spans="1:21" ht="14.25" customHeight="1">
      <c r="A22" s="52" t="s">
        <v>770</v>
      </c>
      <c r="B22" s="52" t="s">
        <v>776</v>
      </c>
      <c r="C22" s="52" t="s">
        <v>849</v>
      </c>
      <c r="D22" s="150" t="s">
        <v>1040</v>
      </c>
      <c r="E22" s="52">
        <v>1320</v>
      </c>
      <c r="F22" s="52" t="str">
        <f>+MID(Estructura_Balance[[#This Row],[CPGC]],1,2)</f>
        <v>13</v>
      </c>
      <c r="G22" s="52" t="str">
        <f>+MID(Estructura_Balance[[#This Row],[CPGC]],1,3)</f>
        <v>132</v>
      </c>
      <c r="H22" s="52" t="str">
        <f>+MID(Estructura_Balance[[#This Row],[Grupo]],1,7)</f>
        <v>Grupo 1</v>
      </c>
      <c r="I22" s="52"/>
      <c r="J22" s="52" t="s">
        <v>1043</v>
      </c>
      <c r="K22" s="233" t="str">
        <f>+CONCATENATE(MID(Estructura_Balance[[#This Row],[Nombre Cuenta]],1,3)," - ", ,MID(Estructura_Balance[[#This Row],[Nombre Cuenta]],6,144))</f>
        <v>132 -  Otras subvenciones, donaciones y legados</v>
      </c>
      <c r="L22" s="52" t="e">
        <f>+LEN([1]!Estructura_Balance[[#This Row],[Nombre Cuenta]])</f>
        <v>#REF!</v>
      </c>
      <c r="M22" s="52" t="s">
        <v>1011</v>
      </c>
      <c r="N22" s="150"/>
      <c r="O22" s="150"/>
      <c r="P22" s="150"/>
      <c r="Q22" s="150"/>
      <c r="R22" s="150"/>
      <c r="S22" s="150"/>
      <c r="T22" s="150"/>
      <c r="U22" s="150"/>
    </row>
    <row r="23" spans="1:21" ht="14.25" customHeight="1">
      <c r="A23" s="52" t="s">
        <v>770</v>
      </c>
      <c r="B23" s="52" t="s">
        <v>776</v>
      </c>
      <c r="C23" s="52" t="s">
        <v>849</v>
      </c>
      <c r="D23" s="150" t="s">
        <v>1044</v>
      </c>
      <c r="E23" s="52">
        <v>1330</v>
      </c>
      <c r="F23" s="52" t="str">
        <f>+MID(Estructura_Balance[[#This Row],[CPGC]],1,2)</f>
        <v>13</v>
      </c>
      <c r="G23" s="52" t="str">
        <f>+MID(Estructura_Balance[[#This Row],[CPGC]],1,3)</f>
        <v>133</v>
      </c>
      <c r="H23" s="52" t="str">
        <f>+MID(Estructura_Balance[[#This Row],[Grupo]],1,7)</f>
        <v>Grupo 1</v>
      </c>
      <c r="I23" s="52"/>
      <c r="J23" s="52" t="s">
        <v>1045</v>
      </c>
      <c r="K23" s="233" t="str">
        <f>+CONCATENATE(MID(Estructura_Balance[[#This Row],[Nombre Cuenta]],1,3)," - ", ,MID(Estructura_Balance[[#This Row],[Nombre Cuenta]],6,144))</f>
        <v>133 -  Ajustes por valoración en activos financieros disponibles para la venta</v>
      </c>
      <c r="L23" s="52" t="e">
        <f>+LEN([1]!Estructura_Balance[[#This Row],[Nombre Cuenta]])</f>
        <v>#REF!</v>
      </c>
      <c r="M23" s="52" t="s">
        <v>1011</v>
      </c>
      <c r="N23" s="150"/>
      <c r="O23" s="150"/>
      <c r="P23" s="150"/>
      <c r="Q23" s="150"/>
      <c r="R23" s="150"/>
      <c r="S23" s="150"/>
      <c r="T23" s="150"/>
      <c r="U23" s="150"/>
    </row>
    <row r="24" spans="1:21" ht="14.25" customHeight="1">
      <c r="A24" s="52" t="s">
        <v>770</v>
      </c>
      <c r="B24" s="52" t="s">
        <v>776</v>
      </c>
      <c r="C24" s="52" t="s">
        <v>849</v>
      </c>
      <c r="D24" s="150" t="s">
        <v>1044</v>
      </c>
      <c r="E24" s="52">
        <v>1340</v>
      </c>
      <c r="F24" s="52" t="str">
        <f>+MID(Estructura_Balance[[#This Row],[CPGC]],1,2)</f>
        <v>13</v>
      </c>
      <c r="G24" s="52" t="str">
        <f>+MID(Estructura_Balance[[#This Row],[CPGC]],1,3)</f>
        <v>134</v>
      </c>
      <c r="H24" s="52" t="str">
        <f>+MID(Estructura_Balance[[#This Row],[Grupo]],1,7)</f>
        <v>Grupo 1</v>
      </c>
      <c r="I24" s="52"/>
      <c r="J24" s="52" t="s">
        <v>1046</v>
      </c>
      <c r="K24" s="233" t="str">
        <f>+CONCATENATE(MID(Estructura_Balance[[#This Row],[Nombre Cuenta]],1,3)," - ", ,MID(Estructura_Balance[[#This Row],[Nombre Cuenta]],6,144))</f>
        <v>134 -  Operaciones de cobertura</v>
      </c>
      <c r="L24" s="52" t="e">
        <f>+LEN([1]!Estructura_Balance[[#This Row],[Nombre Cuenta]])</f>
        <v>#REF!</v>
      </c>
      <c r="M24" s="52" t="s">
        <v>1011</v>
      </c>
      <c r="N24" s="150"/>
      <c r="O24" s="150"/>
      <c r="P24" s="150"/>
      <c r="Q24" s="150"/>
      <c r="R24" s="150"/>
      <c r="S24" s="150"/>
      <c r="T24" s="150"/>
      <c r="U24" s="150"/>
    </row>
    <row r="25" spans="1:21" ht="14.25" customHeight="1">
      <c r="A25" s="52" t="s">
        <v>770</v>
      </c>
      <c r="B25" s="52" t="s">
        <v>776</v>
      </c>
      <c r="C25" s="52" t="s">
        <v>849</v>
      </c>
      <c r="D25" s="150" t="s">
        <v>1044</v>
      </c>
      <c r="E25" s="52">
        <v>1350</v>
      </c>
      <c r="F25" s="52" t="str">
        <f>+MID(Estructura_Balance[[#This Row],[CPGC]],1,2)</f>
        <v>13</v>
      </c>
      <c r="G25" s="52" t="str">
        <f>+MID(Estructura_Balance[[#This Row],[CPGC]],1,3)</f>
        <v>135</v>
      </c>
      <c r="H25" s="52" t="str">
        <f>+MID(Estructura_Balance[[#This Row],[Grupo]],1,7)</f>
        <v>Grupo 1</v>
      </c>
      <c r="I25" s="52"/>
      <c r="J25" s="52" t="s">
        <v>1047</v>
      </c>
      <c r="K25" s="233" t="str">
        <f>+CONCATENATE(MID(Estructura_Balance[[#This Row],[Nombre Cuenta]],1,3)," - ", ,MID(Estructura_Balance[[#This Row],[Nombre Cuenta]],6,144))</f>
        <v>135 -  Diferencias de conversión</v>
      </c>
      <c r="L25" s="52" t="e">
        <f>+LEN([1]!Estructura_Balance[[#This Row],[Nombre Cuenta]])</f>
        <v>#REF!</v>
      </c>
      <c r="M25" s="52" t="s">
        <v>1011</v>
      </c>
      <c r="N25" s="150"/>
      <c r="O25" s="150"/>
      <c r="P25" s="150"/>
      <c r="Q25" s="150"/>
      <c r="R25" s="150"/>
      <c r="S25" s="150"/>
      <c r="T25" s="150"/>
      <c r="U25" s="150"/>
    </row>
    <row r="26" spans="1:21" ht="14.25" customHeight="1">
      <c r="A26" s="52" t="s">
        <v>770</v>
      </c>
      <c r="B26" s="52" t="s">
        <v>776</v>
      </c>
      <c r="C26" s="52" t="s">
        <v>849</v>
      </c>
      <c r="D26" s="150" t="s">
        <v>1044</v>
      </c>
      <c r="E26" s="52">
        <v>1360</v>
      </c>
      <c r="F26" s="52" t="str">
        <f>+MID(Estructura_Balance[[#This Row],[CPGC]],1,2)</f>
        <v>13</v>
      </c>
      <c r="G26" s="52" t="str">
        <f>+MID(Estructura_Balance[[#This Row],[CPGC]],1,3)</f>
        <v>136</v>
      </c>
      <c r="H26" s="52" t="str">
        <f>+MID(Estructura_Balance[[#This Row],[Grupo]],1,7)</f>
        <v>Grupo 1</v>
      </c>
      <c r="I26" s="52"/>
      <c r="J26" s="52" t="s">
        <v>1048</v>
      </c>
      <c r="K26" s="233" t="str">
        <f>+CONCATENATE(MID(Estructura_Balance[[#This Row],[Nombre Cuenta]],1,3)," - ", ,MID(Estructura_Balance[[#This Row],[Nombre Cuenta]],6,144))</f>
        <v>136 -  Ajustes por valoración en activos no corrientes y grupos enajenables de elementos, mantenidos para la venta</v>
      </c>
      <c r="L26" s="52" t="e">
        <f>+LEN([1]!Estructura_Balance[[#This Row],[Nombre Cuenta]])</f>
        <v>#REF!</v>
      </c>
      <c r="M26" s="52" t="s">
        <v>1011</v>
      </c>
      <c r="N26" s="150"/>
      <c r="O26" s="150"/>
      <c r="P26" s="150"/>
      <c r="Q26" s="150"/>
      <c r="R26" s="150"/>
      <c r="S26" s="150"/>
      <c r="T26" s="150"/>
      <c r="U26" s="150"/>
    </row>
    <row r="27" spans="1:21" ht="13.5" customHeight="1">
      <c r="A27" s="52" t="s">
        <v>770</v>
      </c>
      <c r="B27" s="52" t="s">
        <v>776</v>
      </c>
      <c r="C27" s="52" t="s">
        <v>849</v>
      </c>
      <c r="D27" s="150" t="s">
        <v>1044</v>
      </c>
      <c r="E27" s="52">
        <v>1370</v>
      </c>
      <c r="F27" s="52" t="str">
        <f>+MID(Estructura_Balance[[#This Row],[CPGC]],1,2)</f>
        <v>13</v>
      </c>
      <c r="G27" s="52" t="str">
        <f>+MID(Estructura_Balance[[#This Row],[CPGC]],1,3)</f>
        <v>137</v>
      </c>
      <c r="H27" s="52" t="str">
        <f>+MID(Estructura_Balance[[#This Row],[Grupo]],1,7)</f>
        <v>Grupo 1</v>
      </c>
      <c r="I27" s="52"/>
      <c r="J27" s="52" t="s">
        <v>1049</v>
      </c>
      <c r="K27" s="233" t="str">
        <f>+CONCATENATE(MID(Estructura_Balance[[#This Row],[Nombre Cuenta]],1,3)," - ", ,MID(Estructura_Balance[[#This Row],[Nombre Cuenta]],6,144))</f>
        <v>137 -  Ingresos fiscales a distribuir en varios ejercicios</v>
      </c>
      <c r="L27" s="52" t="e">
        <f>+LEN([1]!Estructura_Balance[[#This Row],[Nombre Cuenta]])</f>
        <v>#REF!</v>
      </c>
      <c r="M27" s="52" t="s">
        <v>1011</v>
      </c>
      <c r="N27" s="150"/>
      <c r="O27" s="150"/>
      <c r="P27" s="150"/>
      <c r="Q27" s="150"/>
      <c r="R27" s="150"/>
      <c r="S27" s="150"/>
      <c r="T27" s="150"/>
      <c r="U27" s="150"/>
    </row>
    <row r="28" spans="1:21" ht="13.5" customHeight="1">
      <c r="A28" s="52" t="s">
        <v>770</v>
      </c>
      <c r="B28" s="150" t="s">
        <v>796</v>
      </c>
      <c r="C28" s="150" t="s">
        <v>798</v>
      </c>
      <c r="D28" s="150" t="s">
        <v>1050</v>
      </c>
      <c r="E28" s="150">
        <v>1400</v>
      </c>
      <c r="F28" s="150" t="e">
        <f>+MID([1]!Estructura_Balance[[#This Row],[CPGC]],1,2)</f>
        <v>#REF!</v>
      </c>
      <c r="G28" s="150" t="e">
        <f>+MID([1]!Estructura_Balance[[#This Row],[CPGC]],1,3)</f>
        <v>#REF!</v>
      </c>
      <c r="H28" s="150" t="e">
        <f>+MID([1]!Estructura_Balance[[#This Row],[Grupo]],1,7)</f>
        <v>#REF!</v>
      </c>
      <c r="I28" s="150"/>
      <c r="J28" s="150" t="s">
        <v>1051</v>
      </c>
      <c r="K28" s="233" t="str">
        <f>+CONCATENATE(MID(Estructura_Balance[[#This Row],[Nombre Cuenta]],1,3)," - ", ,MID(Estructura_Balance[[#This Row],[Nombre Cuenta]],6,144))</f>
        <v>140 -  Provisión por retribuciones a largo plazo al personal</v>
      </c>
      <c r="L28" s="150" t="e">
        <f>+LEN([1]!Estructura_Balance[[#This Row],[Nombre Cuenta]])</f>
        <v>#REF!</v>
      </c>
      <c r="M28" s="150" t="s">
        <v>1011</v>
      </c>
      <c r="N28" s="150"/>
      <c r="O28" s="150"/>
      <c r="P28" s="150"/>
      <c r="Q28" s="150"/>
      <c r="R28" s="150"/>
      <c r="S28" s="150"/>
      <c r="T28" s="150"/>
      <c r="U28" s="150"/>
    </row>
    <row r="29" spans="1:21" ht="13.5" customHeight="1">
      <c r="A29" s="52" t="s">
        <v>770</v>
      </c>
      <c r="B29" s="150" t="s">
        <v>796</v>
      </c>
      <c r="C29" s="150" t="s">
        <v>798</v>
      </c>
      <c r="D29" s="150" t="s">
        <v>1050</v>
      </c>
      <c r="E29" s="150">
        <v>1410</v>
      </c>
      <c r="F29" s="150" t="e">
        <f>+MID([1]!Estructura_Balance[[#This Row],[CPGC]],1,2)</f>
        <v>#REF!</v>
      </c>
      <c r="G29" s="150" t="e">
        <f>+MID([1]!Estructura_Balance[[#This Row],[CPGC]],1,3)</f>
        <v>#REF!</v>
      </c>
      <c r="H29" s="150" t="e">
        <f>+MID([1]!Estructura_Balance[[#This Row],[Grupo]],1,7)</f>
        <v>#REF!</v>
      </c>
      <c r="I29" s="150"/>
      <c r="J29" s="150" t="s">
        <v>1052</v>
      </c>
      <c r="K29" s="233" t="str">
        <f>+CONCATENATE(MID(Estructura_Balance[[#This Row],[Nombre Cuenta]],1,3)," - ", ,MID(Estructura_Balance[[#This Row],[Nombre Cuenta]],6,144))</f>
        <v>141 -  Provisión para impuestos</v>
      </c>
      <c r="L29" s="150" t="e">
        <f>+LEN([1]!Estructura_Balance[[#This Row],[Nombre Cuenta]])</f>
        <v>#REF!</v>
      </c>
      <c r="M29" s="150" t="s">
        <v>1011</v>
      </c>
      <c r="N29" s="150"/>
      <c r="O29" s="150"/>
      <c r="P29" s="150"/>
      <c r="Q29" s="150"/>
      <c r="R29" s="150"/>
      <c r="S29" s="150"/>
      <c r="T29" s="150"/>
      <c r="U29" s="150"/>
    </row>
    <row r="30" spans="1:21" ht="13.5" customHeight="1">
      <c r="A30" s="52" t="s">
        <v>770</v>
      </c>
      <c r="B30" s="150" t="s">
        <v>796</v>
      </c>
      <c r="C30" s="150" t="s">
        <v>798</v>
      </c>
      <c r="D30" s="150" t="s">
        <v>1050</v>
      </c>
      <c r="E30" s="150">
        <v>1420</v>
      </c>
      <c r="F30" s="150" t="e">
        <f>+MID([1]!Estructura_Balance[[#This Row],[CPGC]],1,2)</f>
        <v>#REF!</v>
      </c>
      <c r="G30" s="150" t="e">
        <f>+MID([1]!Estructura_Balance[[#This Row],[CPGC]],1,3)</f>
        <v>#REF!</v>
      </c>
      <c r="H30" s="150" t="e">
        <f>+MID([1]!Estructura_Balance[[#This Row],[Grupo]],1,7)</f>
        <v>#REF!</v>
      </c>
      <c r="I30" s="150"/>
      <c r="J30" s="150" t="s">
        <v>1053</v>
      </c>
      <c r="K30" s="233" t="str">
        <f>+CONCATENATE(MID(Estructura_Balance[[#This Row],[Nombre Cuenta]],1,3)," - ", ,MID(Estructura_Balance[[#This Row],[Nombre Cuenta]],6,144))</f>
        <v>142 -  Provisión para otras responsabilidades</v>
      </c>
      <c r="L30" s="150" t="e">
        <f>+LEN([1]!Estructura_Balance[[#This Row],[Nombre Cuenta]])</f>
        <v>#REF!</v>
      </c>
      <c r="M30" s="150" t="s">
        <v>1011</v>
      </c>
      <c r="N30" s="150"/>
      <c r="O30" s="150"/>
      <c r="P30" s="150"/>
      <c r="Q30" s="150"/>
      <c r="R30" s="150"/>
      <c r="S30" s="150"/>
      <c r="T30" s="150"/>
      <c r="U30" s="150"/>
    </row>
    <row r="31" spans="1:21" ht="13.5" customHeight="1">
      <c r="A31" s="52" t="s">
        <v>770</v>
      </c>
      <c r="B31" s="150" t="s">
        <v>796</v>
      </c>
      <c r="C31" s="150" t="s">
        <v>798</v>
      </c>
      <c r="D31" s="150" t="s">
        <v>1050</v>
      </c>
      <c r="E31" s="150">
        <v>1430</v>
      </c>
      <c r="F31" s="150" t="e">
        <f>+MID([1]!Estructura_Balance[[#This Row],[CPGC]],1,2)</f>
        <v>#REF!</v>
      </c>
      <c r="G31" s="150" t="e">
        <f>+MID([1]!Estructura_Balance[[#This Row],[CPGC]],1,3)</f>
        <v>#REF!</v>
      </c>
      <c r="H31" s="150" t="e">
        <f>+MID([1]!Estructura_Balance[[#This Row],[Grupo]],1,7)</f>
        <v>#REF!</v>
      </c>
      <c r="I31" s="150"/>
      <c r="J31" s="150" t="s">
        <v>1054</v>
      </c>
      <c r="K31" s="233" t="str">
        <f>+CONCATENATE(MID(Estructura_Balance[[#This Row],[Nombre Cuenta]],1,3)," - ", ,MID(Estructura_Balance[[#This Row],[Nombre Cuenta]],6,144))</f>
        <v>143 -  Provisión por desmantelamiento, retiro o rehabilitación del inmovilizado</v>
      </c>
      <c r="L31" s="150" t="e">
        <f>+LEN([1]!Estructura_Balance[[#This Row],[Nombre Cuenta]])</f>
        <v>#REF!</v>
      </c>
      <c r="M31" s="150" t="s">
        <v>1011</v>
      </c>
      <c r="N31" s="150"/>
      <c r="O31" s="150"/>
      <c r="P31" s="150"/>
      <c r="Q31" s="150"/>
      <c r="R31" s="150"/>
      <c r="S31" s="150"/>
      <c r="T31" s="150"/>
      <c r="U31" s="150"/>
    </row>
    <row r="32" spans="1:21" ht="13.5" customHeight="1">
      <c r="A32" s="52" t="s">
        <v>770</v>
      </c>
      <c r="B32" s="150" t="s">
        <v>796</v>
      </c>
      <c r="C32" s="150" t="s">
        <v>798</v>
      </c>
      <c r="D32" s="150" t="s">
        <v>1050</v>
      </c>
      <c r="E32" s="150">
        <v>1450</v>
      </c>
      <c r="F32" s="150" t="e">
        <f>+MID([1]!Estructura_Balance[[#This Row],[CPGC]],1,2)</f>
        <v>#REF!</v>
      </c>
      <c r="G32" s="150" t="e">
        <f>+MID([1]!Estructura_Balance[[#This Row],[CPGC]],1,3)</f>
        <v>#REF!</v>
      </c>
      <c r="H32" s="150" t="e">
        <f>+MID([1]!Estructura_Balance[[#This Row],[Grupo]],1,7)</f>
        <v>#REF!</v>
      </c>
      <c r="I32" s="150"/>
      <c r="J32" s="150" t="s">
        <v>1055</v>
      </c>
      <c r="K32" s="233" t="str">
        <f>+CONCATENATE(MID(Estructura_Balance[[#This Row],[Nombre Cuenta]],1,3)," - ", ,MID(Estructura_Balance[[#This Row],[Nombre Cuenta]],6,144))</f>
        <v>145 -  Provisión para actuaciones medioambientales</v>
      </c>
      <c r="L32" s="150" t="e">
        <f>+LEN([1]!Estructura_Balance[[#This Row],[Nombre Cuenta]])</f>
        <v>#REF!</v>
      </c>
      <c r="M32" s="150" t="s">
        <v>1011</v>
      </c>
      <c r="N32" s="150"/>
      <c r="O32" s="150"/>
      <c r="P32" s="150"/>
      <c r="Q32" s="150"/>
      <c r="R32" s="150"/>
      <c r="S32" s="150"/>
      <c r="T32" s="150"/>
      <c r="U32" s="150"/>
    </row>
    <row r="33" spans="1:21" ht="13.5" customHeight="1">
      <c r="A33" s="52" t="s">
        <v>770</v>
      </c>
      <c r="B33" s="150" t="s">
        <v>796</v>
      </c>
      <c r="C33" s="150" t="s">
        <v>798</v>
      </c>
      <c r="D33" s="150" t="s">
        <v>1050</v>
      </c>
      <c r="E33" s="150">
        <v>1460</v>
      </c>
      <c r="F33" s="150" t="e">
        <f>+MID([1]!Estructura_Balance[[#This Row],[CPGC]],1,2)</f>
        <v>#REF!</v>
      </c>
      <c r="G33" s="150" t="e">
        <f>+MID([1]!Estructura_Balance[[#This Row],[CPGC]],1,3)</f>
        <v>#REF!</v>
      </c>
      <c r="H33" s="150" t="e">
        <f>+MID([1]!Estructura_Balance[[#This Row],[Grupo]],1,7)</f>
        <v>#REF!</v>
      </c>
      <c r="I33" s="150"/>
      <c r="J33" s="150" t="s">
        <v>1056</v>
      </c>
      <c r="K33" s="233" t="str">
        <f>+CONCATENATE(MID(Estructura_Balance[[#This Row],[Nombre Cuenta]],1,3)," - ", ,MID(Estructura_Balance[[#This Row],[Nombre Cuenta]],6,144))</f>
        <v>146 -  Provisión para reestructuraciones</v>
      </c>
      <c r="L33" s="150" t="e">
        <f>+LEN([1]!Estructura_Balance[[#This Row],[Nombre Cuenta]])</f>
        <v>#REF!</v>
      </c>
      <c r="M33" s="150" t="s">
        <v>1011</v>
      </c>
      <c r="N33" s="150"/>
      <c r="O33" s="150"/>
      <c r="P33" s="150"/>
      <c r="Q33" s="150"/>
      <c r="R33" s="150"/>
      <c r="S33" s="150"/>
      <c r="T33" s="150"/>
      <c r="U33" s="150"/>
    </row>
    <row r="34" spans="1:21" ht="13.5" customHeight="1">
      <c r="A34" s="52" t="s">
        <v>770</v>
      </c>
      <c r="B34" s="150" t="s">
        <v>796</v>
      </c>
      <c r="C34" s="150" t="s">
        <v>798</v>
      </c>
      <c r="D34" s="150" t="s">
        <v>1050</v>
      </c>
      <c r="E34" s="150">
        <v>1470</v>
      </c>
      <c r="F34" s="150" t="e">
        <f>+MID([1]!Estructura_Balance[[#This Row],[CPGC]],1,2)</f>
        <v>#REF!</v>
      </c>
      <c r="G34" s="150" t="e">
        <f>+MID([1]!Estructura_Balance[[#This Row],[CPGC]],1,3)</f>
        <v>#REF!</v>
      </c>
      <c r="H34" s="150" t="e">
        <f>+MID([1]!Estructura_Balance[[#This Row],[Grupo]],1,7)</f>
        <v>#REF!</v>
      </c>
      <c r="I34" s="150"/>
      <c r="J34" s="150" t="s">
        <v>1057</v>
      </c>
      <c r="K34" s="233" t="str">
        <f>+CONCATENATE(MID(Estructura_Balance[[#This Row],[Nombre Cuenta]],1,3)," - ", ,MID(Estructura_Balance[[#This Row],[Nombre Cuenta]],6,144))</f>
        <v>147 -  Provisión por transacciones con pagos basados en instrumentos de patrimonio</v>
      </c>
      <c r="L34" s="150" t="e">
        <f>+LEN([1]!Estructura_Balance[[#This Row],[Nombre Cuenta]])</f>
        <v>#REF!</v>
      </c>
      <c r="M34" s="150" t="s">
        <v>1011</v>
      </c>
      <c r="N34" s="150"/>
      <c r="O34" s="150"/>
      <c r="P34" s="150"/>
      <c r="Q34" s="150"/>
      <c r="R34" s="150"/>
      <c r="S34" s="150"/>
      <c r="T34" s="150"/>
      <c r="U34" s="150"/>
    </row>
    <row r="35" spans="1:21" ht="14.25" customHeight="1">
      <c r="A35" s="52" t="s">
        <v>770</v>
      </c>
      <c r="B35" s="52" t="s">
        <v>796</v>
      </c>
      <c r="C35" s="52" t="s">
        <v>800</v>
      </c>
      <c r="D35" s="52" t="s">
        <v>1058</v>
      </c>
      <c r="E35" s="52">
        <v>1500</v>
      </c>
      <c r="F35" s="52">
        <v>15</v>
      </c>
      <c r="G35" s="52">
        <v>150</v>
      </c>
      <c r="H35" s="52" t="s">
        <v>1017</v>
      </c>
      <c r="I35" s="52"/>
      <c r="J35" s="52" t="s">
        <v>1059</v>
      </c>
      <c r="K35" s="233" t="str">
        <f>+CONCATENATE(MID(Estructura_Balance[[#This Row],[Nombre Cuenta]],1,3)," - ", ,MID(Estructura_Balance[[#This Row],[Nombre Cuenta]],6,144))</f>
        <v>150 -  Acciones o participaciones a largo plazo contabilizadas como pasivos financieros</v>
      </c>
      <c r="L35" s="52" t="e">
        <f>+LEN([1]!Estructura_Balance[[#This Row],[Nombre Cuenta]])</f>
        <v>#REF!</v>
      </c>
      <c r="M35" s="52" t="s">
        <v>1011</v>
      </c>
      <c r="N35" s="150"/>
      <c r="O35" s="150"/>
      <c r="P35" s="150"/>
      <c r="Q35" s="150"/>
      <c r="R35" s="150"/>
      <c r="S35" s="150"/>
      <c r="T35" s="150"/>
      <c r="U35" s="150"/>
    </row>
    <row r="36" spans="1:21" ht="14.25" customHeight="1">
      <c r="A36" s="52" t="s">
        <v>770</v>
      </c>
      <c r="B36" s="52" t="s">
        <v>796</v>
      </c>
      <c r="C36" s="52" t="s">
        <v>800</v>
      </c>
      <c r="D36" s="52" t="s">
        <v>1058</v>
      </c>
      <c r="E36" s="52">
        <v>1530</v>
      </c>
      <c r="F36" s="52">
        <v>15</v>
      </c>
      <c r="G36" s="52">
        <v>153</v>
      </c>
      <c r="H36" s="52" t="s">
        <v>1017</v>
      </c>
      <c r="I36" s="52"/>
      <c r="J36" s="52" t="s">
        <v>1060</v>
      </c>
      <c r="K36" s="233" t="str">
        <f>+CONCATENATE(MID(Estructura_Balance[[#This Row],[Nombre Cuenta]],1,3)," - ", ,MID(Estructura_Balance[[#This Row],[Nombre Cuenta]],6,144))</f>
        <v>153 -  Desembolsos no exigidos por acciones o participaciones consideradas como pasivos financieros</v>
      </c>
      <c r="L36" s="52" t="e">
        <f>+LEN([1]!Estructura_Balance[[#This Row],[Nombre Cuenta]])</f>
        <v>#REF!</v>
      </c>
      <c r="M36" s="52" t="s">
        <v>1011</v>
      </c>
      <c r="N36" s="150"/>
      <c r="O36" s="150"/>
      <c r="P36" s="150"/>
      <c r="Q36" s="150"/>
      <c r="R36" s="150"/>
      <c r="S36" s="150"/>
      <c r="T36" s="150"/>
      <c r="U36" s="150"/>
    </row>
    <row r="37" spans="1:21" ht="14.25" customHeight="1">
      <c r="A37" s="52" t="s">
        <v>770</v>
      </c>
      <c r="B37" s="52" t="s">
        <v>796</v>
      </c>
      <c r="C37" s="52" t="s">
        <v>800</v>
      </c>
      <c r="D37" s="52" t="s">
        <v>1058</v>
      </c>
      <c r="E37" s="52">
        <v>1540</v>
      </c>
      <c r="F37" s="52">
        <v>15</v>
      </c>
      <c r="G37" s="52">
        <v>154</v>
      </c>
      <c r="H37" s="52" t="s">
        <v>1017</v>
      </c>
      <c r="I37" s="52"/>
      <c r="J37" s="52" t="s">
        <v>1061</v>
      </c>
      <c r="K37" s="233" t="str">
        <f>+CONCATENATE(MID(Estructura_Balance[[#This Row],[Nombre Cuenta]],1,3)," - ", ,MID(Estructura_Balance[[#This Row],[Nombre Cuenta]],6,144))</f>
        <v>154 -  Aportaciones no dinerarias pendientes por acciones o participaciones consideradas como pasivos financieros</v>
      </c>
      <c r="L37" s="52" t="e">
        <f>+LEN([1]!Estructura_Balance[[#This Row],[Nombre Cuenta]])</f>
        <v>#REF!</v>
      </c>
      <c r="M37" s="52" t="s">
        <v>1011</v>
      </c>
      <c r="N37" s="150"/>
      <c r="O37" s="150"/>
      <c r="P37" s="150"/>
      <c r="Q37" s="150"/>
      <c r="R37" s="150"/>
      <c r="S37" s="150"/>
      <c r="T37" s="150"/>
      <c r="U37" s="150"/>
    </row>
    <row r="38" spans="1:21" ht="14.25" customHeight="1">
      <c r="A38" s="52" t="s">
        <v>770</v>
      </c>
      <c r="B38" s="52" t="s">
        <v>796</v>
      </c>
      <c r="C38" s="52" t="s">
        <v>801</v>
      </c>
      <c r="D38" s="52" t="s">
        <v>1062</v>
      </c>
      <c r="E38" s="52">
        <v>1600</v>
      </c>
      <c r="F38" s="52">
        <v>16</v>
      </c>
      <c r="G38" s="52">
        <v>160</v>
      </c>
      <c r="H38" s="52" t="s">
        <v>1017</v>
      </c>
      <c r="I38" s="52"/>
      <c r="J38" s="52" t="s">
        <v>1063</v>
      </c>
      <c r="K38" s="233" t="str">
        <f>+CONCATENATE(MID(Estructura_Balance[[#This Row],[Nombre Cuenta]],1,3)," - ", ,MID(Estructura_Balance[[#This Row],[Nombre Cuenta]],6,144))</f>
        <v>160 -  Deudas a largo plazo con entidades de crédito vinculadas</v>
      </c>
      <c r="L38" s="52" t="e">
        <f>+LEN([1]!Estructura_Balance[[#This Row],[Nombre Cuenta]])</f>
        <v>#REF!</v>
      </c>
      <c r="M38" s="52" t="s">
        <v>1011</v>
      </c>
      <c r="N38" s="150"/>
      <c r="O38" s="150"/>
      <c r="P38" s="150"/>
      <c r="Q38" s="150"/>
      <c r="R38" s="150"/>
      <c r="S38" s="150"/>
      <c r="T38" s="150"/>
      <c r="U38" s="150"/>
    </row>
    <row r="39" spans="1:21" ht="14.25" customHeight="1">
      <c r="A39" s="52" t="s">
        <v>770</v>
      </c>
      <c r="B39" s="52" t="s">
        <v>796</v>
      </c>
      <c r="C39" s="52" t="s">
        <v>801</v>
      </c>
      <c r="D39" s="52" t="s">
        <v>1062</v>
      </c>
      <c r="E39" s="52">
        <v>1610</v>
      </c>
      <c r="F39" s="52">
        <v>16</v>
      </c>
      <c r="G39" s="52">
        <v>161</v>
      </c>
      <c r="H39" s="52" t="s">
        <v>1017</v>
      </c>
      <c r="I39" s="52"/>
      <c r="J39" s="52" t="s">
        <v>1064</v>
      </c>
      <c r="K39" s="233" t="str">
        <f>+CONCATENATE(MID(Estructura_Balance[[#This Row],[Nombre Cuenta]],1,3)," - ", ,MID(Estructura_Balance[[#This Row],[Nombre Cuenta]],6,144))</f>
        <v>161 -  Proveedores de inmovilizado a largo plazo, partes vinculadas</v>
      </c>
      <c r="L39" s="52" t="e">
        <f>+LEN([1]!Estructura_Balance[[#This Row],[Nombre Cuenta]])</f>
        <v>#REF!</v>
      </c>
      <c r="M39" s="52" t="s">
        <v>1011</v>
      </c>
      <c r="N39" s="150"/>
      <c r="O39" s="150"/>
      <c r="P39" s="150"/>
      <c r="Q39" s="150"/>
      <c r="R39" s="150"/>
      <c r="S39" s="150"/>
      <c r="T39" s="150"/>
      <c r="U39" s="150"/>
    </row>
    <row r="40" spans="1:21" ht="14.25" customHeight="1">
      <c r="A40" s="52" t="s">
        <v>770</v>
      </c>
      <c r="B40" s="52" t="s">
        <v>796</v>
      </c>
      <c r="C40" s="52" t="s">
        <v>801</v>
      </c>
      <c r="D40" s="52" t="s">
        <v>1062</v>
      </c>
      <c r="E40" s="52">
        <v>1620</v>
      </c>
      <c r="F40" s="52">
        <v>16</v>
      </c>
      <c r="G40" s="52">
        <v>162</v>
      </c>
      <c r="H40" s="52" t="s">
        <v>1017</v>
      </c>
      <c r="I40" s="52"/>
      <c r="J40" s="52" t="s">
        <v>1065</v>
      </c>
      <c r="K40" s="233" t="str">
        <f>+CONCATENATE(MID(Estructura_Balance[[#This Row],[Nombre Cuenta]],1,3)," - ", ,MID(Estructura_Balance[[#This Row],[Nombre Cuenta]],6,144))</f>
        <v>162 -  Acreedores por arrendamiento financiero a largo plazo, partes vinculadas</v>
      </c>
      <c r="L40" s="52" t="e">
        <f>+LEN([1]!Estructura_Balance[[#This Row],[Nombre Cuenta]])</f>
        <v>#REF!</v>
      </c>
      <c r="M40" s="52" t="s">
        <v>1011</v>
      </c>
      <c r="N40" s="150"/>
      <c r="O40" s="150"/>
      <c r="P40" s="150"/>
      <c r="Q40" s="150"/>
      <c r="R40" s="150"/>
      <c r="S40" s="150"/>
      <c r="T40" s="150"/>
      <c r="U40" s="150"/>
    </row>
    <row r="41" spans="1:21" ht="14.25" customHeight="1">
      <c r="A41" s="52" t="s">
        <v>770</v>
      </c>
      <c r="B41" s="52" t="s">
        <v>796</v>
      </c>
      <c r="C41" s="52" t="s">
        <v>801</v>
      </c>
      <c r="D41" s="52" t="s">
        <v>1062</v>
      </c>
      <c r="E41" s="52">
        <v>1630</v>
      </c>
      <c r="F41" s="52">
        <v>16</v>
      </c>
      <c r="G41" s="52">
        <v>163</v>
      </c>
      <c r="H41" s="52" t="s">
        <v>1017</v>
      </c>
      <c r="I41" s="52"/>
      <c r="J41" s="52" t="s">
        <v>1066</v>
      </c>
      <c r="K41" s="233" t="str">
        <f>+CONCATENATE(MID(Estructura_Balance[[#This Row],[Nombre Cuenta]],1,3)," - ", ,MID(Estructura_Balance[[#This Row],[Nombre Cuenta]],6,144))</f>
        <v xml:space="preserve">163 -  Otras deudas a largo plazo con partes vinculadas </v>
      </c>
      <c r="L41" s="52" t="e">
        <f>+LEN([1]!Estructura_Balance[[#This Row],[Nombre Cuenta]])</f>
        <v>#REF!</v>
      </c>
      <c r="M41" s="52" t="s">
        <v>1011</v>
      </c>
      <c r="N41" s="150"/>
      <c r="O41" s="150"/>
      <c r="P41" s="150"/>
      <c r="Q41" s="150"/>
      <c r="R41" s="150"/>
      <c r="S41" s="150"/>
      <c r="T41" s="150"/>
      <c r="U41" s="150"/>
    </row>
    <row r="42" spans="1:21" ht="14.25" customHeight="1">
      <c r="A42" s="52" t="s">
        <v>770</v>
      </c>
      <c r="B42" s="52" t="s">
        <v>796</v>
      </c>
      <c r="C42" s="52" t="s">
        <v>800</v>
      </c>
      <c r="D42" s="52" t="s">
        <v>1067</v>
      </c>
      <c r="E42" s="52">
        <v>1700</v>
      </c>
      <c r="F42" s="52" t="str">
        <f>+MID(Estructura_Balance[[#This Row],[CPGC]],1,2)</f>
        <v>17</v>
      </c>
      <c r="G42" s="52" t="str">
        <f>+MID(Estructura_Balance[[#This Row],[CPGC]],1,3)</f>
        <v>170</v>
      </c>
      <c r="H42" s="52" t="str">
        <f>+MID(Estructura_Balance[[#This Row],[Grupo]],1,7)</f>
        <v>Grupo 1</v>
      </c>
      <c r="I42" s="52"/>
      <c r="J42" s="52" t="s">
        <v>1068</v>
      </c>
      <c r="K42" s="233" t="str">
        <f>+CONCATENATE(MID(Estructura_Balance[[#This Row],[Nombre Cuenta]],1,3)," - ", ,MID(Estructura_Balance[[#This Row],[Nombre Cuenta]],6,144))</f>
        <v>170 -  Deudas a largo plazo con entidades de crédito</v>
      </c>
      <c r="L42" s="52" t="e">
        <f>+LEN([1]!Estructura_Balance[[#This Row],[Nombre Cuenta]])</f>
        <v>#REF!</v>
      </c>
      <c r="M42" s="52" t="s">
        <v>1011</v>
      </c>
      <c r="N42" s="150"/>
      <c r="O42" s="150"/>
      <c r="P42" s="150"/>
      <c r="Q42" s="150"/>
      <c r="R42" s="150"/>
      <c r="S42" s="150"/>
      <c r="T42" s="150"/>
      <c r="U42" s="150"/>
    </row>
    <row r="43" spans="1:21" ht="14.25" customHeight="1">
      <c r="A43" s="52" t="s">
        <v>770</v>
      </c>
      <c r="B43" s="52" t="s">
        <v>796</v>
      </c>
      <c r="C43" s="52" t="s">
        <v>800</v>
      </c>
      <c r="D43" s="52" t="s">
        <v>1067</v>
      </c>
      <c r="E43" s="52">
        <v>1710</v>
      </c>
      <c r="F43" s="52" t="str">
        <f>+MID(Estructura_Balance[[#This Row],[CPGC]],1,2)</f>
        <v>17</v>
      </c>
      <c r="G43" s="52" t="str">
        <f>+MID(Estructura_Balance[[#This Row],[CPGC]],1,3)</f>
        <v>171</v>
      </c>
      <c r="H43" s="52" t="str">
        <f>+MID(Estructura_Balance[[#This Row],[Grupo]],1,7)</f>
        <v>Grupo 1</v>
      </c>
      <c r="I43" s="52"/>
      <c r="J43" s="52" t="s">
        <v>1069</v>
      </c>
      <c r="K43" s="233" t="str">
        <f>+CONCATENATE(MID(Estructura_Balance[[#This Row],[Nombre Cuenta]],1,3)," - ", ,MID(Estructura_Balance[[#This Row],[Nombre Cuenta]],6,144))</f>
        <v>171 -  Deudas a largo plazo</v>
      </c>
      <c r="L43" s="52" t="e">
        <f>+LEN([1]!Estructura_Balance[[#This Row],[Nombre Cuenta]])</f>
        <v>#REF!</v>
      </c>
      <c r="M43" s="52" t="s">
        <v>1011</v>
      </c>
      <c r="N43" s="150"/>
      <c r="O43" s="150"/>
      <c r="P43" s="150"/>
      <c r="Q43" s="150"/>
      <c r="R43" s="150"/>
      <c r="S43" s="150"/>
      <c r="T43" s="150"/>
      <c r="U43" s="150"/>
    </row>
    <row r="44" spans="1:21" ht="14.25" customHeight="1">
      <c r="A44" s="52" t="s">
        <v>770</v>
      </c>
      <c r="B44" s="52" t="s">
        <v>796</v>
      </c>
      <c r="C44" s="52" t="s">
        <v>800</v>
      </c>
      <c r="D44" s="52" t="s">
        <v>1067</v>
      </c>
      <c r="E44" s="52">
        <v>1720</v>
      </c>
      <c r="F44" s="52" t="str">
        <f>+MID(Estructura_Balance[[#This Row],[CPGC]],1,2)</f>
        <v>17</v>
      </c>
      <c r="G44" s="52" t="str">
        <f>+MID(Estructura_Balance[[#This Row],[CPGC]],1,3)</f>
        <v>172</v>
      </c>
      <c r="H44" s="52" t="str">
        <f>+MID(Estructura_Balance[[#This Row],[Grupo]],1,7)</f>
        <v>Grupo 1</v>
      </c>
      <c r="I44" s="52"/>
      <c r="J44" s="52" t="s">
        <v>1070</v>
      </c>
      <c r="K44" s="233" t="str">
        <f>+CONCATENATE(MID(Estructura_Balance[[#This Row],[Nombre Cuenta]],1,3)," - ", ,MID(Estructura_Balance[[#This Row],[Nombre Cuenta]],6,144))</f>
        <v>172 -  Deudas a largo plazo transformables en subvenciones, donaciones y legados</v>
      </c>
      <c r="L44" s="52" t="e">
        <f>+LEN([1]!Estructura_Balance[[#This Row],[Nombre Cuenta]])</f>
        <v>#REF!</v>
      </c>
      <c r="M44" s="52" t="s">
        <v>1011</v>
      </c>
      <c r="N44" s="150"/>
      <c r="O44" s="150"/>
      <c r="P44" s="150"/>
      <c r="Q44" s="150"/>
      <c r="R44" s="150"/>
      <c r="S44" s="150"/>
      <c r="T44" s="150"/>
      <c r="U44" s="150"/>
    </row>
    <row r="45" spans="1:21" ht="14.25" customHeight="1">
      <c r="A45" s="52" t="s">
        <v>770</v>
      </c>
      <c r="B45" s="52" t="s">
        <v>796</v>
      </c>
      <c r="C45" s="52" t="s">
        <v>800</v>
      </c>
      <c r="D45" s="52" t="s">
        <v>1058</v>
      </c>
      <c r="E45" s="52">
        <v>1730</v>
      </c>
      <c r="F45" s="52" t="str">
        <f>+MID(Estructura_Balance[[#This Row],[CPGC]],1,2)</f>
        <v>17</v>
      </c>
      <c r="G45" s="52" t="str">
        <f>+MID(Estructura_Balance[[#This Row],[CPGC]],1,3)</f>
        <v>173</v>
      </c>
      <c r="H45" s="52" t="str">
        <f>+MID(Estructura_Balance[[#This Row],[Grupo]],1,7)</f>
        <v>Grupo 1</v>
      </c>
      <c r="I45" s="52"/>
      <c r="J45" s="52" t="s">
        <v>1071</v>
      </c>
      <c r="K45" s="233" t="str">
        <f>+CONCATENATE(MID(Estructura_Balance[[#This Row],[Nombre Cuenta]],1,3)," - ", ,MID(Estructura_Balance[[#This Row],[Nombre Cuenta]],6,144))</f>
        <v>173 -  Proveedores de inmovilizado a largo plazo</v>
      </c>
      <c r="L45" s="52" t="e">
        <f>+LEN([1]!Estructura_Balance[[#This Row],[Nombre Cuenta]])</f>
        <v>#REF!</v>
      </c>
      <c r="M45" s="52" t="s">
        <v>1011</v>
      </c>
      <c r="N45" s="150"/>
      <c r="O45" s="150"/>
      <c r="P45" s="150"/>
      <c r="Q45" s="150"/>
      <c r="R45" s="150"/>
      <c r="S45" s="150"/>
      <c r="T45" s="150"/>
      <c r="U45" s="150"/>
    </row>
    <row r="46" spans="1:21" ht="14.25" customHeight="1">
      <c r="A46" s="52" t="s">
        <v>770</v>
      </c>
      <c r="B46" s="52" t="s">
        <v>796</v>
      </c>
      <c r="C46" s="52" t="s">
        <v>800</v>
      </c>
      <c r="D46" s="52" t="s">
        <v>1058</v>
      </c>
      <c r="E46" s="52">
        <v>1740</v>
      </c>
      <c r="F46" s="52" t="str">
        <f>+MID(Estructura_Balance[[#This Row],[CPGC]],1,2)</f>
        <v>17</v>
      </c>
      <c r="G46" s="52" t="str">
        <f>+MID(Estructura_Balance[[#This Row],[CPGC]],1,3)</f>
        <v>174</v>
      </c>
      <c r="H46" s="52" t="str">
        <f>+MID(Estructura_Balance[[#This Row],[Grupo]],1,7)</f>
        <v>Grupo 1</v>
      </c>
      <c r="I46" s="52"/>
      <c r="J46" s="52" t="s">
        <v>1072</v>
      </c>
      <c r="K46" s="233" t="str">
        <f>+CONCATENATE(MID(Estructura_Balance[[#This Row],[Nombre Cuenta]],1,3)," - ", ,MID(Estructura_Balance[[#This Row],[Nombre Cuenta]],6,144))</f>
        <v>174 -  Acreedores por arrendamiento financiero a largo plazo</v>
      </c>
      <c r="L46" s="52" t="e">
        <f>+LEN([1]!Estructura_Balance[[#This Row],[Nombre Cuenta]])</f>
        <v>#REF!</v>
      </c>
      <c r="M46" s="52" t="s">
        <v>1011</v>
      </c>
      <c r="N46" s="150"/>
      <c r="O46" s="150"/>
      <c r="P46" s="150"/>
      <c r="Q46" s="150"/>
      <c r="R46" s="150"/>
      <c r="S46" s="150"/>
      <c r="T46" s="150"/>
      <c r="U46" s="150"/>
    </row>
    <row r="47" spans="1:21" ht="14.25" customHeight="1">
      <c r="A47" s="52" t="s">
        <v>770</v>
      </c>
      <c r="B47" s="52" t="s">
        <v>796</v>
      </c>
      <c r="C47" s="52" t="s">
        <v>800</v>
      </c>
      <c r="D47" s="52" t="s">
        <v>1058</v>
      </c>
      <c r="E47" s="52">
        <v>1750</v>
      </c>
      <c r="F47" s="52" t="str">
        <f>+MID(Estructura_Balance[[#This Row],[CPGC]],1,2)</f>
        <v>17</v>
      </c>
      <c r="G47" s="52" t="str">
        <f>+MID(Estructura_Balance[[#This Row],[CPGC]],1,3)</f>
        <v>175</v>
      </c>
      <c r="H47" s="52" t="str">
        <f>+MID(Estructura_Balance[[#This Row],[Grupo]],1,7)</f>
        <v>Grupo 1</v>
      </c>
      <c r="I47" s="52"/>
      <c r="J47" s="52" t="s">
        <v>1073</v>
      </c>
      <c r="K47" s="233" t="str">
        <f>+CONCATENATE(MID(Estructura_Balance[[#This Row],[Nombre Cuenta]],1,3)," - ", ,MID(Estructura_Balance[[#This Row],[Nombre Cuenta]],6,144))</f>
        <v>175 -  Efectos a pagar a largo plazo</v>
      </c>
      <c r="L47" s="52" t="e">
        <f>+LEN([1]!Estructura_Balance[[#This Row],[Nombre Cuenta]])</f>
        <v>#REF!</v>
      </c>
      <c r="M47" s="52" t="s">
        <v>1011</v>
      </c>
      <c r="N47" s="150"/>
      <c r="O47" s="150"/>
      <c r="P47" s="150"/>
      <c r="Q47" s="150"/>
      <c r="R47" s="150"/>
      <c r="S47" s="150"/>
      <c r="T47" s="150"/>
      <c r="U47" s="150"/>
    </row>
    <row r="48" spans="1:21" ht="14.25" customHeight="1">
      <c r="A48" s="52" t="s">
        <v>770</v>
      </c>
      <c r="B48" s="52" t="s">
        <v>796</v>
      </c>
      <c r="C48" s="52" t="s">
        <v>800</v>
      </c>
      <c r="D48" s="52" t="s">
        <v>1058</v>
      </c>
      <c r="E48" s="52">
        <v>1760</v>
      </c>
      <c r="F48" s="52" t="str">
        <f>+MID(Estructura_Balance[[#This Row],[CPGC]],1,2)</f>
        <v>17</v>
      </c>
      <c r="G48" s="52" t="str">
        <f>+MID(Estructura_Balance[[#This Row],[CPGC]],1,3)</f>
        <v>176</v>
      </c>
      <c r="H48" s="52" t="str">
        <f>+MID(Estructura_Balance[[#This Row],[Grupo]],1,7)</f>
        <v>Grupo 1</v>
      </c>
      <c r="I48" s="52"/>
      <c r="J48" s="52" t="s">
        <v>1074</v>
      </c>
      <c r="K48" s="233" t="str">
        <f>+CONCATENATE(MID(Estructura_Balance[[#This Row],[Nombre Cuenta]],1,3)," - ", ,MID(Estructura_Balance[[#This Row],[Nombre Cuenta]],6,144))</f>
        <v>176 -  Pasivos por derivados financieros a largo plazo</v>
      </c>
      <c r="L48" s="52" t="e">
        <f>+LEN([1]!Estructura_Balance[[#This Row],[Nombre Cuenta]])</f>
        <v>#REF!</v>
      </c>
      <c r="M48" s="52" t="s">
        <v>1011</v>
      </c>
      <c r="N48" s="150"/>
      <c r="O48" s="150"/>
      <c r="P48" s="150"/>
      <c r="Q48" s="150"/>
      <c r="R48" s="150"/>
      <c r="S48" s="150"/>
      <c r="T48" s="150"/>
      <c r="U48" s="150"/>
    </row>
    <row r="49" spans="1:21" ht="14.25" customHeight="1">
      <c r="A49" s="52" t="s">
        <v>770</v>
      </c>
      <c r="B49" s="52" t="s">
        <v>796</v>
      </c>
      <c r="C49" s="52" t="s">
        <v>800</v>
      </c>
      <c r="D49" s="52" t="s">
        <v>1058</v>
      </c>
      <c r="E49" s="52">
        <v>1770</v>
      </c>
      <c r="F49" s="52" t="str">
        <f>+MID(Estructura_Balance[[#This Row],[CPGC]],1,2)</f>
        <v>17</v>
      </c>
      <c r="G49" s="52" t="str">
        <f>+MID(Estructura_Balance[[#This Row],[CPGC]],1,3)</f>
        <v>177</v>
      </c>
      <c r="H49" s="52" t="str">
        <f>+MID(Estructura_Balance[[#This Row],[Grupo]],1,7)</f>
        <v>Grupo 1</v>
      </c>
      <c r="I49" s="52"/>
      <c r="J49" s="52" t="s">
        <v>1075</v>
      </c>
      <c r="K49" s="233" t="str">
        <f>+CONCATENATE(MID(Estructura_Balance[[#This Row],[Nombre Cuenta]],1,3)," - ", ,MID(Estructura_Balance[[#This Row],[Nombre Cuenta]],6,144))</f>
        <v>177 -  Obligaciones y bonos</v>
      </c>
      <c r="L49" s="52" t="e">
        <f>+LEN([1]!Estructura_Balance[[#This Row],[Nombre Cuenta]])</f>
        <v>#REF!</v>
      </c>
      <c r="M49" s="52" t="s">
        <v>1011</v>
      </c>
      <c r="N49" s="150"/>
      <c r="O49" s="150"/>
      <c r="P49" s="150"/>
      <c r="Q49" s="150"/>
      <c r="R49" s="150"/>
      <c r="S49" s="150"/>
      <c r="T49" s="150"/>
      <c r="U49" s="150"/>
    </row>
    <row r="50" spans="1:21" ht="14.25" customHeight="1">
      <c r="A50" s="52" t="s">
        <v>770</v>
      </c>
      <c r="B50" s="52" t="s">
        <v>796</v>
      </c>
      <c r="C50" s="52" t="s">
        <v>800</v>
      </c>
      <c r="D50" s="52" t="s">
        <v>1058</v>
      </c>
      <c r="E50" s="52">
        <v>1780</v>
      </c>
      <c r="F50" s="52" t="str">
        <f>+MID(Estructura_Balance[[#This Row],[CPGC]],1,2)</f>
        <v>17</v>
      </c>
      <c r="G50" s="52" t="str">
        <f>+MID(Estructura_Balance[[#This Row],[CPGC]],1,3)</f>
        <v>178</v>
      </c>
      <c r="H50" s="52" t="str">
        <f>+MID(Estructura_Balance[[#This Row],[Grupo]],1,7)</f>
        <v>Grupo 1</v>
      </c>
      <c r="I50" s="52"/>
      <c r="J50" s="52" t="s">
        <v>1076</v>
      </c>
      <c r="K50" s="233" t="str">
        <f>+CONCATENATE(MID(Estructura_Balance[[#This Row],[Nombre Cuenta]],1,3)," - ", ,MID(Estructura_Balance[[#This Row],[Nombre Cuenta]],6,144))</f>
        <v>178 -  Obligaciones y bonos convertibles</v>
      </c>
      <c r="L50" s="52" t="e">
        <f>+LEN([1]!Estructura_Balance[[#This Row],[Nombre Cuenta]])</f>
        <v>#REF!</v>
      </c>
      <c r="M50" s="52" t="s">
        <v>1011</v>
      </c>
      <c r="N50" s="150"/>
      <c r="O50" s="150"/>
      <c r="P50" s="150"/>
      <c r="Q50" s="150"/>
      <c r="R50" s="150"/>
      <c r="S50" s="150"/>
      <c r="T50" s="150"/>
      <c r="U50" s="150"/>
    </row>
    <row r="51" spans="1:21" ht="14.25" customHeight="1">
      <c r="A51" s="52" t="s">
        <v>770</v>
      </c>
      <c r="B51" s="52" t="s">
        <v>796</v>
      </c>
      <c r="C51" s="52" t="s">
        <v>800</v>
      </c>
      <c r="D51" s="52" t="s">
        <v>1058</v>
      </c>
      <c r="E51" s="52">
        <v>1790</v>
      </c>
      <c r="F51" s="52" t="str">
        <f>+MID(Estructura_Balance[[#This Row],[CPGC]],1,2)</f>
        <v>17</v>
      </c>
      <c r="G51" s="52" t="str">
        <f>+MID(Estructura_Balance[[#This Row],[CPGC]],1,3)</f>
        <v>179</v>
      </c>
      <c r="H51" s="52" t="str">
        <f>+MID(Estructura_Balance[[#This Row],[Grupo]],1,7)</f>
        <v>Grupo 1</v>
      </c>
      <c r="I51" s="52"/>
      <c r="J51" s="52" t="s">
        <v>1077</v>
      </c>
      <c r="K51" s="233" t="str">
        <f>+CONCATENATE(MID(Estructura_Balance[[#This Row],[Nombre Cuenta]],1,3)," - ", ,MID(Estructura_Balance[[#This Row],[Nombre Cuenta]],6,144))</f>
        <v>179 -  Deudas representadas en otros valores negociables</v>
      </c>
      <c r="L51" s="52" t="e">
        <f>+LEN([1]!Estructura_Balance[[#This Row],[Nombre Cuenta]])</f>
        <v>#REF!</v>
      </c>
      <c r="M51" s="52" t="s">
        <v>1011</v>
      </c>
      <c r="N51" s="150"/>
      <c r="O51" s="150"/>
      <c r="P51" s="150"/>
      <c r="Q51" s="150"/>
      <c r="R51" s="150"/>
      <c r="S51" s="150"/>
      <c r="T51" s="150"/>
      <c r="U51" s="150"/>
    </row>
    <row r="52" spans="1:21" ht="14.25" customHeight="1">
      <c r="A52" s="52" t="s">
        <v>770</v>
      </c>
      <c r="B52" s="52" t="s">
        <v>796</v>
      </c>
      <c r="C52" s="52" t="s">
        <v>800</v>
      </c>
      <c r="D52" s="52" t="s">
        <v>1058</v>
      </c>
      <c r="E52" s="52">
        <v>1800</v>
      </c>
      <c r="F52" s="52" t="str">
        <f>+MID(Estructura_Balance[[#This Row],[CPGC]],1,2)</f>
        <v>18</v>
      </c>
      <c r="G52" s="52" t="str">
        <f>+MID(Estructura_Balance[[#This Row],[CPGC]],1,3)</f>
        <v>180</v>
      </c>
      <c r="H52" s="52" t="str">
        <f>+MID(Estructura_Balance[[#This Row],[Grupo]],1,7)</f>
        <v>Grupo 1</v>
      </c>
      <c r="I52" s="52"/>
      <c r="J52" s="52" t="s">
        <v>1078</v>
      </c>
      <c r="K52" s="233" t="str">
        <f>+CONCATENATE(MID(Estructura_Balance[[#This Row],[Nombre Cuenta]],1,3)," - ", ,MID(Estructura_Balance[[#This Row],[Nombre Cuenta]],6,144))</f>
        <v>180 -  Fianzas recibidas a largo plazo</v>
      </c>
      <c r="L52" s="52" t="e">
        <f>+LEN([1]!Estructura_Balance[[#This Row],[Nombre Cuenta]])</f>
        <v>#REF!</v>
      </c>
      <c r="M52" s="52" t="s">
        <v>1011</v>
      </c>
      <c r="N52" s="150"/>
      <c r="O52" s="150"/>
      <c r="P52" s="150"/>
      <c r="Q52" s="150"/>
      <c r="R52" s="150"/>
      <c r="S52" s="150"/>
      <c r="T52" s="150"/>
      <c r="U52" s="150"/>
    </row>
    <row r="53" spans="1:21" ht="14.25" customHeight="1">
      <c r="A53" s="52" t="s">
        <v>770</v>
      </c>
      <c r="B53" s="52" t="s">
        <v>796</v>
      </c>
      <c r="C53" s="52" t="s">
        <v>803</v>
      </c>
      <c r="D53" s="52" t="s">
        <v>1079</v>
      </c>
      <c r="E53" s="52">
        <v>1810</v>
      </c>
      <c r="F53" s="52">
        <v>18</v>
      </c>
      <c r="G53" s="52">
        <v>181</v>
      </c>
      <c r="H53" s="52" t="s">
        <v>1017</v>
      </c>
      <c r="I53" s="52"/>
      <c r="J53" s="52" t="s">
        <v>1080</v>
      </c>
      <c r="K53" s="233" t="str">
        <f>+CONCATENATE(MID(Estructura_Balance[[#This Row],[Nombre Cuenta]],1,3)," - ", ,MID(Estructura_Balance[[#This Row],[Nombre Cuenta]],6,144))</f>
        <v>181 -  Anticipos recibidos por ventas o prestaciones de servicios a largo plazo</v>
      </c>
      <c r="L53" s="52" t="e">
        <f>+LEN([1]!Estructura_Balance[[#This Row],[Nombre Cuenta]])</f>
        <v>#REF!</v>
      </c>
      <c r="M53" s="52" t="s">
        <v>1011</v>
      </c>
      <c r="N53" s="150"/>
      <c r="O53" s="150"/>
      <c r="P53" s="150"/>
      <c r="Q53" s="150"/>
      <c r="R53" s="150"/>
      <c r="S53" s="150"/>
      <c r="T53" s="150"/>
      <c r="U53" s="150"/>
    </row>
    <row r="54" spans="1:21" ht="14.25" customHeight="1">
      <c r="A54" s="52" t="s">
        <v>770</v>
      </c>
      <c r="B54" s="52" t="s">
        <v>796</v>
      </c>
      <c r="C54" s="52" t="s">
        <v>803</v>
      </c>
      <c r="D54" s="52" t="s">
        <v>1079</v>
      </c>
      <c r="E54" s="52">
        <v>1810</v>
      </c>
      <c r="F54" s="52">
        <v>18</v>
      </c>
      <c r="G54" s="52">
        <v>185</v>
      </c>
      <c r="H54" s="52" t="s">
        <v>1017</v>
      </c>
      <c r="I54" s="52"/>
      <c r="J54" s="52" t="s">
        <v>1081</v>
      </c>
      <c r="K54" s="233" t="str">
        <f>+CONCATENATE(MID(Estructura_Balance[[#This Row],[Nombre Cuenta]],1,3)," - ", ,MID(Estructura_Balance[[#This Row],[Nombre Cuenta]],6,144))</f>
        <v>185 -  Depósitos recibidos a largo plazo</v>
      </c>
      <c r="L54" s="52" t="e">
        <f>+LEN([1]!Estructura_Balance[[#This Row],[Nombre Cuenta]])</f>
        <v>#REF!</v>
      </c>
      <c r="M54" s="52" t="s">
        <v>1011</v>
      </c>
      <c r="N54" s="150"/>
      <c r="O54" s="150"/>
      <c r="P54" s="150"/>
      <c r="Q54" s="150"/>
      <c r="R54" s="150"/>
      <c r="S54" s="150"/>
      <c r="T54" s="150"/>
      <c r="U54" s="150"/>
    </row>
    <row r="55" spans="1:21" ht="14.25" customHeight="1">
      <c r="A55" s="52" t="s">
        <v>770</v>
      </c>
      <c r="B55" s="52" t="s">
        <v>796</v>
      </c>
      <c r="C55" s="52" t="s">
        <v>803</v>
      </c>
      <c r="D55" s="52" t="s">
        <v>1079</v>
      </c>
      <c r="E55" s="52">
        <v>1810</v>
      </c>
      <c r="F55" s="52">
        <v>18</v>
      </c>
      <c r="G55" s="52">
        <v>189</v>
      </c>
      <c r="H55" s="52" t="s">
        <v>1017</v>
      </c>
      <c r="I55" s="52"/>
      <c r="J55" s="52" t="s">
        <v>1082</v>
      </c>
      <c r="K55" s="233" t="str">
        <f>+CONCATENATE(MID(Estructura_Balance[[#This Row],[Nombre Cuenta]],1,3)," - ", ,MID(Estructura_Balance[[#This Row],[Nombre Cuenta]],6,144))</f>
        <v>189 -  Garantías financieras a largo plazo</v>
      </c>
      <c r="L55" s="52" t="e">
        <f>+LEN([1]!Estructura_Balance[[#This Row],[Nombre Cuenta]])</f>
        <v>#REF!</v>
      </c>
      <c r="M55" s="52" t="s">
        <v>1011</v>
      </c>
      <c r="N55" s="150"/>
      <c r="O55" s="150"/>
      <c r="P55" s="150"/>
      <c r="Q55" s="150"/>
      <c r="R55" s="150"/>
      <c r="S55" s="150"/>
      <c r="T55" s="150"/>
      <c r="U55" s="150"/>
    </row>
    <row r="56" spans="1:21" ht="14.25" customHeight="1">
      <c r="A56" s="52" t="s">
        <v>770</v>
      </c>
      <c r="B56" s="52" t="s">
        <v>804</v>
      </c>
      <c r="C56" s="52" t="s">
        <v>807</v>
      </c>
      <c r="D56" s="52" t="s">
        <v>1016</v>
      </c>
      <c r="E56" s="52">
        <v>1900</v>
      </c>
      <c r="F56" s="52" t="s">
        <v>1083</v>
      </c>
      <c r="G56" s="52" t="s">
        <v>1084</v>
      </c>
      <c r="H56" s="52" t="s">
        <v>1017</v>
      </c>
      <c r="I56" s="52"/>
      <c r="J56" s="52" t="s">
        <v>1085</v>
      </c>
      <c r="K56" s="233" t="str">
        <f>+CONCATENATE(MID(Estructura_Balance[[#This Row],[Nombre Cuenta]],1,3)," - ", ,MID(Estructura_Balance[[#This Row],[Nombre Cuenta]],6,144))</f>
        <v>190 -  Acciones o participaciones emitidas</v>
      </c>
      <c r="L56" s="52">
        <v>41</v>
      </c>
      <c r="M56" s="52" t="s">
        <v>1011</v>
      </c>
      <c r="N56" s="150"/>
      <c r="O56" s="150"/>
      <c r="P56" s="150"/>
      <c r="Q56" s="150"/>
      <c r="R56" s="150"/>
      <c r="S56" s="150"/>
      <c r="T56" s="150"/>
      <c r="U56" s="150"/>
    </row>
    <row r="57" spans="1:21" ht="14.25" customHeight="1">
      <c r="A57" s="52" t="s">
        <v>770</v>
      </c>
      <c r="B57" s="52" t="s">
        <v>804</v>
      </c>
      <c r="C57" s="52" t="s">
        <v>807</v>
      </c>
      <c r="D57" s="52" t="s">
        <v>1016</v>
      </c>
      <c r="E57" s="52">
        <v>1920</v>
      </c>
      <c r="F57" s="52" t="s">
        <v>1083</v>
      </c>
      <c r="G57" s="52" t="s">
        <v>1086</v>
      </c>
      <c r="H57" s="52" t="s">
        <v>1017</v>
      </c>
      <c r="I57" s="52"/>
      <c r="J57" s="52" t="s">
        <v>1087</v>
      </c>
      <c r="K57" s="233" t="str">
        <f>+CONCATENATE(MID(Estructura_Balance[[#This Row],[Nombre Cuenta]],1,3)," - ", ,MID(Estructura_Balance[[#This Row],[Nombre Cuenta]],6,144))</f>
        <v>192 -  Suscriptores de acciones</v>
      </c>
      <c r="L57" s="52">
        <v>30</v>
      </c>
      <c r="M57" s="52" t="s">
        <v>1011</v>
      </c>
      <c r="N57" s="150"/>
      <c r="O57" s="150"/>
      <c r="P57" s="150"/>
      <c r="Q57" s="150"/>
      <c r="R57" s="150"/>
      <c r="S57" s="150"/>
      <c r="T57" s="150"/>
      <c r="U57" s="150"/>
    </row>
    <row r="58" spans="1:21" ht="14.25" customHeight="1">
      <c r="A58" s="52" t="s">
        <v>770</v>
      </c>
      <c r="B58" s="52" t="s">
        <v>804</v>
      </c>
      <c r="C58" s="52" t="s">
        <v>807</v>
      </c>
      <c r="D58" s="52" t="s">
        <v>1016</v>
      </c>
      <c r="E58" s="52">
        <v>1940</v>
      </c>
      <c r="F58" s="52" t="s">
        <v>1083</v>
      </c>
      <c r="G58" s="52" t="s">
        <v>1088</v>
      </c>
      <c r="H58" s="52" t="s">
        <v>1017</v>
      </c>
      <c r="I58" s="52"/>
      <c r="J58" s="52" t="s">
        <v>1089</v>
      </c>
      <c r="K58" s="233" t="str">
        <f>+CONCATENATE(MID(Estructura_Balance[[#This Row],[Nombre Cuenta]],1,3)," - ", ,MID(Estructura_Balance[[#This Row],[Nombre Cuenta]],6,144))</f>
        <v>194 -  Capital emitido pendiente de inscripción</v>
      </c>
      <c r="L58" s="52">
        <v>46</v>
      </c>
      <c r="M58" s="52" t="s">
        <v>1011</v>
      </c>
      <c r="N58" s="150"/>
      <c r="O58" s="150"/>
      <c r="P58" s="150"/>
      <c r="Q58" s="150"/>
      <c r="R58" s="150"/>
      <c r="S58" s="150"/>
      <c r="T58" s="150"/>
      <c r="U58" s="150"/>
    </row>
    <row r="59" spans="1:21" ht="14.25" customHeight="1">
      <c r="A59" s="52" t="s">
        <v>770</v>
      </c>
      <c r="B59" s="52" t="s">
        <v>804</v>
      </c>
      <c r="C59" s="52" t="s">
        <v>807</v>
      </c>
      <c r="D59" s="52" t="s">
        <v>1016</v>
      </c>
      <c r="E59" s="52">
        <v>1950</v>
      </c>
      <c r="F59" s="52" t="s">
        <v>1083</v>
      </c>
      <c r="G59" s="52" t="s">
        <v>1090</v>
      </c>
      <c r="H59" s="52" t="s">
        <v>1017</v>
      </c>
      <c r="I59" s="52"/>
      <c r="J59" s="52" t="s">
        <v>1091</v>
      </c>
      <c r="K59" s="233" t="str">
        <f>+CONCATENATE(MID(Estructura_Balance[[#This Row],[Nombre Cuenta]],1,3)," - ", ,MID(Estructura_Balance[[#This Row],[Nombre Cuenta]],6,144))</f>
        <v>195 -  Acciones o participaciones emitidas consideradas como pasivos financieros</v>
      </c>
      <c r="L59" s="52">
        <v>79</v>
      </c>
      <c r="M59" s="52" t="s">
        <v>1011</v>
      </c>
      <c r="N59" s="150"/>
      <c r="O59" s="150"/>
      <c r="P59" s="150"/>
      <c r="Q59" s="150"/>
      <c r="R59" s="150"/>
      <c r="S59" s="150"/>
      <c r="T59" s="150"/>
      <c r="U59" s="150"/>
    </row>
    <row r="60" spans="1:21" ht="14.25" customHeight="1">
      <c r="A60" s="52" t="s">
        <v>770</v>
      </c>
      <c r="B60" s="52" t="s">
        <v>804</v>
      </c>
      <c r="C60" s="52" t="s">
        <v>807</v>
      </c>
      <c r="D60" s="52" t="s">
        <v>1016</v>
      </c>
      <c r="E60" s="52">
        <v>1970</v>
      </c>
      <c r="F60" s="52" t="s">
        <v>1083</v>
      </c>
      <c r="G60" s="52" t="s">
        <v>1092</v>
      </c>
      <c r="H60" s="52" t="s">
        <v>1017</v>
      </c>
      <c r="I60" s="52"/>
      <c r="J60" s="52" t="s">
        <v>1093</v>
      </c>
      <c r="K60" s="233" t="str">
        <f>+CONCATENATE(MID(Estructura_Balance[[#This Row],[Nombre Cuenta]],1,3)," - ", ,MID(Estructura_Balance[[#This Row],[Nombre Cuenta]],6,144))</f>
        <v>197 -  Suscriptores de acciones consideradas como pasivos financieros</v>
      </c>
      <c r="L60" s="52">
        <v>68</v>
      </c>
      <c r="M60" s="52" t="s">
        <v>1011</v>
      </c>
      <c r="N60" s="150"/>
      <c r="O60" s="150"/>
      <c r="P60" s="150"/>
      <c r="Q60" s="150"/>
      <c r="R60" s="150"/>
      <c r="S60" s="150"/>
      <c r="T60" s="150"/>
      <c r="U60" s="150"/>
    </row>
    <row r="61" spans="1:21" ht="14.25" customHeight="1">
      <c r="A61" s="52" t="s">
        <v>770</v>
      </c>
      <c r="B61" s="52" t="s">
        <v>804</v>
      </c>
      <c r="C61" s="52" t="s">
        <v>807</v>
      </c>
      <c r="D61" s="52" t="s">
        <v>1016</v>
      </c>
      <c r="E61" s="52">
        <v>1990</v>
      </c>
      <c r="F61" s="52" t="s">
        <v>1083</v>
      </c>
      <c r="G61" s="52" t="s">
        <v>1094</v>
      </c>
      <c r="H61" s="52" t="s">
        <v>1017</v>
      </c>
      <c r="I61" s="52"/>
      <c r="J61" s="52" t="s">
        <v>1095</v>
      </c>
      <c r="K61" s="233" t="str">
        <f>+CONCATENATE(MID(Estructura_Balance[[#This Row],[Nombre Cuenta]],1,3)," - ", ,MID(Estructura_Balance[[#This Row],[Nombre Cuenta]],6,144))</f>
        <v>199 -  Acciones o participaciones emitidas consideradas como pasivos financieros pendientes de inscripción</v>
      </c>
      <c r="L61" s="52">
        <v>105</v>
      </c>
      <c r="M61" s="52" t="s">
        <v>1011</v>
      </c>
      <c r="N61" s="150"/>
      <c r="O61" s="150"/>
      <c r="P61" s="150"/>
      <c r="Q61" s="150"/>
      <c r="R61" s="150"/>
      <c r="S61" s="150"/>
      <c r="T61" s="150"/>
      <c r="U61" s="150"/>
    </row>
    <row r="62" spans="1:21" ht="14.25" customHeight="1">
      <c r="A62" s="52" t="s">
        <v>774</v>
      </c>
      <c r="B62" s="52" t="s">
        <v>775</v>
      </c>
      <c r="C62" s="52" t="s">
        <v>777</v>
      </c>
      <c r="D62" s="52" t="s">
        <v>1096</v>
      </c>
      <c r="E62" s="52">
        <v>2000</v>
      </c>
      <c r="F62" s="52">
        <v>20</v>
      </c>
      <c r="G62" s="52">
        <v>200</v>
      </c>
      <c r="H62" s="52" t="s">
        <v>1097</v>
      </c>
      <c r="I62" s="52"/>
      <c r="J62" s="52" t="s">
        <v>1098</v>
      </c>
      <c r="K62" s="233" t="str">
        <f>+CONCATENATE(MID(Estructura_Balance[[#This Row],[Nombre Cuenta]],1,3)," - ", ,MID(Estructura_Balance[[#This Row],[Nombre Cuenta]],6,144))</f>
        <v>200 -  Investigación</v>
      </c>
      <c r="L62" s="52" t="e">
        <f>+LEN([1]!Estructura_Balance[[#This Row],[Nombre Cuenta]])</f>
        <v>#REF!</v>
      </c>
      <c r="M62" s="52" t="s">
        <v>1099</v>
      </c>
      <c r="N62" s="150"/>
      <c r="O62" s="150"/>
      <c r="P62" s="150"/>
      <c r="Q62" s="150"/>
      <c r="R62" s="150"/>
      <c r="S62" s="150"/>
      <c r="T62" s="150"/>
      <c r="U62" s="150"/>
    </row>
    <row r="63" spans="1:21" ht="14.25" customHeight="1">
      <c r="A63" s="52" t="s">
        <v>774</v>
      </c>
      <c r="B63" s="52" t="s">
        <v>775</v>
      </c>
      <c r="C63" s="52" t="s">
        <v>777</v>
      </c>
      <c r="D63" s="52" t="s">
        <v>1096</v>
      </c>
      <c r="E63" s="52">
        <v>2010</v>
      </c>
      <c r="F63" s="52" t="s">
        <v>1100</v>
      </c>
      <c r="G63" s="52">
        <v>201</v>
      </c>
      <c r="H63" s="52" t="s">
        <v>1097</v>
      </c>
      <c r="I63" s="52"/>
      <c r="J63" s="52" t="s">
        <v>1101</v>
      </c>
      <c r="K63" s="233" t="str">
        <f>+CONCATENATE(MID(Estructura_Balance[[#This Row],[Nombre Cuenta]],1,3)," - ", ,MID(Estructura_Balance[[#This Row],[Nombre Cuenta]],6,144))</f>
        <v>201 -  Desarrollo</v>
      </c>
      <c r="L63" s="52">
        <v>33</v>
      </c>
      <c r="M63" s="52" t="s">
        <v>1099</v>
      </c>
      <c r="N63" s="150"/>
      <c r="O63" s="150"/>
      <c r="P63" s="150"/>
      <c r="Q63" s="150"/>
      <c r="R63" s="150"/>
      <c r="S63" s="150"/>
      <c r="T63" s="150"/>
      <c r="U63" s="150"/>
    </row>
    <row r="64" spans="1:21" ht="14.25" customHeight="1">
      <c r="A64" s="52" t="s">
        <v>774</v>
      </c>
      <c r="B64" s="52" t="s">
        <v>775</v>
      </c>
      <c r="C64" s="52" t="s">
        <v>777</v>
      </c>
      <c r="D64" s="52" t="s">
        <v>1096</v>
      </c>
      <c r="E64" s="52">
        <v>2020</v>
      </c>
      <c r="F64" s="52" t="s">
        <v>1100</v>
      </c>
      <c r="G64" s="52" t="s">
        <v>1102</v>
      </c>
      <c r="H64" s="52" t="s">
        <v>1097</v>
      </c>
      <c r="I64" s="52"/>
      <c r="J64" s="52" t="s">
        <v>1103</v>
      </c>
      <c r="K64" s="233" t="str">
        <f>+CONCATENATE(MID(Estructura_Balance[[#This Row],[Nombre Cuenta]],1,3)," - ", ,MID(Estructura_Balance[[#This Row],[Nombre Cuenta]],6,144))</f>
        <v>202 -  Concesiones administrativas</v>
      </c>
      <c r="L64" s="52">
        <v>33</v>
      </c>
      <c r="M64" s="52" t="s">
        <v>1099</v>
      </c>
      <c r="N64" s="150"/>
      <c r="O64" s="150"/>
      <c r="P64" s="150"/>
      <c r="Q64" s="150"/>
      <c r="R64" s="150"/>
      <c r="S64" s="150"/>
      <c r="T64" s="150"/>
      <c r="U64" s="150"/>
    </row>
    <row r="65" spans="1:21" ht="14.25" customHeight="1">
      <c r="A65" s="52" t="s">
        <v>774</v>
      </c>
      <c r="B65" s="52" t="s">
        <v>775</v>
      </c>
      <c r="C65" s="52" t="s">
        <v>777</v>
      </c>
      <c r="D65" s="52" t="s">
        <v>1096</v>
      </c>
      <c r="E65" s="52">
        <v>2030</v>
      </c>
      <c r="F65" s="52" t="str">
        <f>+MID(Estructura_Balance[[#This Row],[CPGC]],1,2)</f>
        <v>20</v>
      </c>
      <c r="G65" s="52" t="str">
        <f>+MID(Estructura_Balance[[#This Row],[CPGC]],1,3)</f>
        <v>203</v>
      </c>
      <c r="H65" s="52" t="str">
        <f>+MID(Estructura_Balance[[#This Row],[Grupo]],1,7)</f>
        <v>Grupo 2</v>
      </c>
      <c r="I65" s="52"/>
      <c r="J65" s="52" t="s">
        <v>1104</v>
      </c>
      <c r="K65" s="233" t="str">
        <f>+CONCATENATE(MID(Estructura_Balance[[#This Row],[Nombre Cuenta]],1,3)," - ", ,MID(Estructura_Balance[[#This Row],[Nombre Cuenta]],6,144))</f>
        <v>203 -  Propiedad industrial</v>
      </c>
      <c r="L65" s="52" t="e">
        <f>+LEN([1]!Estructura_Balance[[#This Row],[Nombre Cuenta]])</f>
        <v>#REF!</v>
      </c>
      <c r="M65" s="52" t="s">
        <v>1099</v>
      </c>
      <c r="N65" s="150"/>
      <c r="O65" s="150"/>
      <c r="P65" s="150"/>
      <c r="Q65" s="150"/>
      <c r="R65" s="150"/>
      <c r="S65" s="150"/>
      <c r="T65" s="150"/>
      <c r="U65" s="150"/>
    </row>
    <row r="66" spans="1:21" ht="14.25" customHeight="1">
      <c r="A66" s="52" t="s">
        <v>774</v>
      </c>
      <c r="B66" s="52" t="s">
        <v>775</v>
      </c>
      <c r="C66" s="52" t="s">
        <v>777</v>
      </c>
      <c r="D66" s="52" t="s">
        <v>1096</v>
      </c>
      <c r="E66" s="52">
        <v>2040</v>
      </c>
      <c r="F66" s="52" t="s">
        <v>1100</v>
      </c>
      <c r="G66" s="52" t="s">
        <v>1105</v>
      </c>
      <c r="H66" s="52" t="s">
        <v>1097</v>
      </c>
      <c r="I66" s="52"/>
      <c r="J66" s="52" t="s">
        <v>1106</v>
      </c>
      <c r="K66" s="233" t="str">
        <f>+CONCATENATE(MID(Estructura_Balance[[#This Row],[Nombre Cuenta]],1,3)," - ", ,MID(Estructura_Balance[[#This Row],[Nombre Cuenta]],6,144))</f>
        <v>204 -  Fondo de comercio</v>
      </c>
      <c r="L66" s="52">
        <v>23</v>
      </c>
      <c r="M66" s="52" t="s">
        <v>1099</v>
      </c>
      <c r="N66" s="150"/>
      <c r="O66" s="150"/>
      <c r="P66" s="150"/>
      <c r="Q66" s="150"/>
      <c r="R66" s="150"/>
      <c r="S66" s="150"/>
      <c r="T66" s="150"/>
      <c r="U66" s="150"/>
    </row>
    <row r="67" spans="1:21" ht="14.25" customHeight="1">
      <c r="A67" s="52" t="s">
        <v>774</v>
      </c>
      <c r="B67" s="52" t="s">
        <v>775</v>
      </c>
      <c r="C67" s="52" t="s">
        <v>777</v>
      </c>
      <c r="D67" s="52" t="s">
        <v>1096</v>
      </c>
      <c r="E67" s="52">
        <v>2050</v>
      </c>
      <c r="F67" s="52" t="s">
        <v>1100</v>
      </c>
      <c r="G67" s="52" t="s">
        <v>1107</v>
      </c>
      <c r="H67" s="52" t="s">
        <v>1097</v>
      </c>
      <c r="I67" s="52"/>
      <c r="J67" s="52" t="s">
        <v>1108</v>
      </c>
      <c r="K67" s="233" t="str">
        <f>+CONCATENATE(MID(Estructura_Balance[[#This Row],[Nombre Cuenta]],1,3)," - ", ,MID(Estructura_Balance[[#This Row],[Nombre Cuenta]],6,144))</f>
        <v>205 -  Derechos de traspaso</v>
      </c>
      <c r="L67" s="52">
        <v>26</v>
      </c>
      <c r="M67" s="52" t="s">
        <v>1099</v>
      </c>
      <c r="N67" s="150"/>
      <c r="O67" s="150"/>
      <c r="P67" s="150"/>
      <c r="Q67" s="150"/>
      <c r="R67" s="150"/>
      <c r="S67" s="150"/>
      <c r="T67" s="150"/>
      <c r="U67" s="150"/>
    </row>
    <row r="68" spans="1:21" ht="14.25" customHeight="1">
      <c r="A68" s="52" t="s">
        <v>774</v>
      </c>
      <c r="B68" s="52" t="s">
        <v>775</v>
      </c>
      <c r="C68" s="52" t="s">
        <v>777</v>
      </c>
      <c r="D68" s="52" t="s">
        <v>1096</v>
      </c>
      <c r="E68" s="52">
        <v>2060</v>
      </c>
      <c r="F68" s="52" t="str">
        <f>+MID(Estructura_Balance[[#This Row],[CPGC]],1,2)</f>
        <v>20</v>
      </c>
      <c r="G68" s="52" t="str">
        <f>+MID(Estructura_Balance[[#This Row],[CPGC]],1,3)</f>
        <v>206</v>
      </c>
      <c r="H68" s="52" t="str">
        <f>+MID(Estructura_Balance[[#This Row],[Grupo]],1,7)</f>
        <v>Grupo 2</v>
      </c>
      <c r="I68" s="52"/>
      <c r="J68" s="52" t="s">
        <v>1109</v>
      </c>
      <c r="K68" s="233" t="str">
        <f>+CONCATENATE(MID(Estructura_Balance[[#This Row],[Nombre Cuenta]],1,3)," - ", ,MID(Estructura_Balance[[#This Row],[Nombre Cuenta]],6,144))</f>
        <v>206 -  Aplicaciones informáticas</v>
      </c>
      <c r="L68" s="52" t="e">
        <f>+LEN([1]!Estructura_Balance[[#This Row],[Nombre Cuenta]])</f>
        <v>#REF!</v>
      </c>
      <c r="M68" s="52" t="s">
        <v>1099</v>
      </c>
      <c r="N68" s="150"/>
      <c r="O68" s="150"/>
      <c r="P68" s="150"/>
      <c r="Q68" s="150"/>
      <c r="R68" s="150"/>
      <c r="S68" s="150"/>
      <c r="T68" s="150"/>
      <c r="U68" s="150"/>
    </row>
    <row r="69" spans="1:21" ht="14.25" customHeight="1">
      <c r="A69" s="52" t="s">
        <v>774</v>
      </c>
      <c r="B69" s="52" t="s">
        <v>775</v>
      </c>
      <c r="C69" s="52" t="s">
        <v>777</v>
      </c>
      <c r="D69" s="52" t="s">
        <v>1096</v>
      </c>
      <c r="E69" s="52">
        <v>2090</v>
      </c>
      <c r="F69" s="52" t="s">
        <v>1100</v>
      </c>
      <c r="G69" s="52" t="s">
        <v>1110</v>
      </c>
      <c r="H69" s="52" t="s">
        <v>1097</v>
      </c>
      <c r="I69" s="52"/>
      <c r="J69" s="52" t="s">
        <v>1111</v>
      </c>
      <c r="K69" s="233" t="str">
        <f>+CONCATENATE(MID(Estructura_Balance[[#This Row],[Nombre Cuenta]],1,3)," - ", ,MID(Estructura_Balance[[#This Row],[Nombre Cuenta]],6,144))</f>
        <v>209 -  Anticipos para inmovilizaciones intangibles</v>
      </c>
      <c r="L69" s="52">
        <v>49</v>
      </c>
      <c r="M69" s="52" t="s">
        <v>1099</v>
      </c>
      <c r="N69" s="150"/>
      <c r="O69" s="150"/>
      <c r="P69" s="150"/>
      <c r="Q69" s="150"/>
      <c r="R69" s="150"/>
      <c r="S69" s="150"/>
      <c r="T69" s="150"/>
      <c r="U69" s="150"/>
    </row>
    <row r="70" spans="1:21" ht="14.25" customHeight="1">
      <c r="A70" s="52" t="s">
        <v>774</v>
      </c>
      <c r="B70" s="52" t="s">
        <v>775</v>
      </c>
      <c r="C70" s="52" t="s">
        <v>779</v>
      </c>
      <c r="D70" s="52" t="s">
        <v>1112</v>
      </c>
      <c r="E70" s="52">
        <v>2100</v>
      </c>
      <c r="F70" s="52" t="str">
        <f>+MID(Estructura_Balance[[#This Row],[CPGC]],1,2)</f>
        <v>21</v>
      </c>
      <c r="G70" s="52" t="str">
        <f>+MID(Estructura_Balance[[#This Row],[CPGC]],1,3)</f>
        <v>210</v>
      </c>
      <c r="H70" s="52" t="str">
        <f>+MID(Estructura_Balance[[#This Row],[Grupo]],1,7)</f>
        <v>Grupo 2</v>
      </c>
      <c r="I70" s="52"/>
      <c r="J70" s="52" t="s">
        <v>1113</v>
      </c>
      <c r="K70" s="233" t="str">
        <f>+CONCATENATE(MID(Estructura_Balance[[#This Row],[Nombre Cuenta]],1,3)," - ", ,MID(Estructura_Balance[[#This Row],[Nombre Cuenta]],6,144))</f>
        <v>210 -  Terrenos y bienes naturales</v>
      </c>
      <c r="L70" s="52" t="e">
        <f>+LEN([1]!Estructura_Balance[[#This Row],[Nombre Cuenta]])</f>
        <v>#REF!</v>
      </c>
      <c r="M70" s="52" t="s">
        <v>1099</v>
      </c>
      <c r="N70" s="150"/>
      <c r="O70" s="150"/>
      <c r="P70" s="150"/>
      <c r="Q70" s="150"/>
      <c r="R70" s="150"/>
      <c r="S70" s="150"/>
      <c r="T70" s="150"/>
      <c r="U70" s="150"/>
    </row>
    <row r="71" spans="1:21" ht="14.25" customHeight="1">
      <c r="A71" s="52" t="s">
        <v>774</v>
      </c>
      <c r="B71" s="52" t="s">
        <v>775</v>
      </c>
      <c r="C71" s="52" t="s">
        <v>779</v>
      </c>
      <c r="D71" s="52" t="s">
        <v>1112</v>
      </c>
      <c r="E71" s="52">
        <v>2110</v>
      </c>
      <c r="F71" s="52" t="str">
        <f>+MID(Estructura_Balance[[#This Row],[CPGC]],1,2)</f>
        <v>21</v>
      </c>
      <c r="G71" s="52" t="str">
        <f>+MID(Estructura_Balance[[#This Row],[CPGC]],1,3)</f>
        <v>211</v>
      </c>
      <c r="H71" s="52" t="str">
        <f>+MID(Estructura_Balance[[#This Row],[Grupo]],1,7)</f>
        <v>Grupo 2</v>
      </c>
      <c r="I71" s="52"/>
      <c r="J71" s="52" t="s">
        <v>1114</v>
      </c>
      <c r="K71" s="233" t="str">
        <f>+CONCATENATE(MID(Estructura_Balance[[#This Row],[Nombre Cuenta]],1,3)," - ", ,MID(Estructura_Balance[[#This Row],[Nombre Cuenta]],6,144))</f>
        <v>211 -  Construcciones</v>
      </c>
      <c r="L71" s="52" t="e">
        <f>+LEN([1]!Estructura_Balance[[#This Row],[Nombre Cuenta]])</f>
        <v>#REF!</v>
      </c>
      <c r="M71" s="52" t="s">
        <v>1099</v>
      </c>
      <c r="N71" s="150"/>
      <c r="O71" s="150"/>
      <c r="P71" s="150"/>
      <c r="Q71" s="150"/>
      <c r="R71" s="150"/>
      <c r="S71" s="150"/>
      <c r="T71" s="150"/>
      <c r="U71" s="150"/>
    </row>
    <row r="72" spans="1:21" ht="14.25" customHeight="1">
      <c r="A72" s="52" t="s">
        <v>774</v>
      </c>
      <c r="B72" s="52" t="s">
        <v>775</v>
      </c>
      <c r="C72" s="52" t="s">
        <v>779</v>
      </c>
      <c r="D72" s="52" t="s">
        <v>1112</v>
      </c>
      <c r="E72" s="52">
        <v>2120</v>
      </c>
      <c r="F72" s="52" t="s">
        <v>1115</v>
      </c>
      <c r="G72" s="52" t="s">
        <v>1116</v>
      </c>
      <c r="H72" s="52" t="s">
        <v>1097</v>
      </c>
      <c r="I72" s="52"/>
      <c r="J72" s="52" t="s">
        <v>1117</v>
      </c>
      <c r="K72" s="233" t="str">
        <f>+CONCATENATE(MID(Estructura_Balance[[#This Row],[Nombre Cuenta]],1,3)," - ", ,MID(Estructura_Balance[[#This Row],[Nombre Cuenta]],6,144))</f>
        <v>212 -  Instalaciones técnicas</v>
      </c>
      <c r="L72" s="52">
        <v>28</v>
      </c>
      <c r="M72" s="52" t="s">
        <v>1099</v>
      </c>
      <c r="N72" s="150"/>
      <c r="O72" s="150"/>
      <c r="P72" s="150"/>
      <c r="Q72" s="150"/>
      <c r="R72" s="150"/>
      <c r="S72" s="150"/>
      <c r="T72" s="150"/>
      <c r="U72" s="150"/>
    </row>
    <row r="73" spans="1:21" ht="14.25" customHeight="1">
      <c r="A73" s="52" t="s">
        <v>774</v>
      </c>
      <c r="B73" s="52" t="s">
        <v>775</v>
      </c>
      <c r="C73" s="52" t="s">
        <v>779</v>
      </c>
      <c r="D73" s="52" t="s">
        <v>1112</v>
      </c>
      <c r="E73" s="52">
        <v>2130</v>
      </c>
      <c r="F73" s="52" t="str">
        <f>+MID(Estructura_Balance[[#This Row],[CPGC]],1,2)</f>
        <v>21</v>
      </c>
      <c r="G73" s="52" t="str">
        <f>+MID(Estructura_Balance[[#This Row],[CPGC]],1,3)</f>
        <v>213</v>
      </c>
      <c r="H73" s="52" t="str">
        <f>+MID(Estructura_Balance[[#This Row],[Grupo]],1,7)</f>
        <v>Grupo 2</v>
      </c>
      <c r="I73" s="52"/>
      <c r="J73" s="52" t="s">
        <v>1118</v>
      </c>
      <c r="K73" s="233" t="str">
        <f>+CONCATENATE(MID(Estructura_Balance[[#This Row],[Nombre Cuenta]],1,3)," - ", ,MID(Estructura_Balance[[#This Row],[Nombre Cuenta]],6,144))</f>
        <v>213 -  Maquinaria</v>
      </c>
      <c r="L73" s="52" t="e">
        <f>+LEN([1]!Estructura_Balance[[#This Row],[Nombre Cuenta]])</f>
        <v>#REF!</v>
      </c>
      <c r="M73" s="52" t="s">
        <v>1099</v>
      </c>
      <c r="N73" s="150"/>
      <c r="O73" s="150"/>
      <c r="P73" s="150"/>
      <c r="Q73" s="150"/>
      <c r="R73" s="150"/>
      <c r="S73" s="150"/>
      <c r="T73" s="150"/>
      <c r="U73" s="150"/>
    </row>
    <row r="74" spans="1:21" ht="14.25" customHeight="1">
      <c r="A74" s="52" t="s">
        <v>774</v>
      </c>
      <c r="B74" s="52" t="s">
        <v>775</v>
      </c>
      <c r="C74" s="52" t="s">
        <v>779</v>
      </c>
      <c r="D74" s="52" t="s">
        <v>1112</v>
      </c>
      <c r="E74" s="52">
        <v>2140</v>
      </c>
      <c r="F74" s="52" t="s">
        <v>1115</v>
      </c>
      <c r="G74" s="52" t="s">
        <v>1119</v>
      </c>
      <c r="H74" s="52" t="s">
        <v>1097</v>
      </c>
      <c r="I74" s="52"/>
      <c r="J74" s="52" t="s">
        <v>1120</v>
      </c>
      <c r="K74" s="233" t="str">
        <f>+CONCATENATE(MID(Estructura_Balance[[#This Row],[Nombre Cuenta]],1,3)," - ", ,MID(Estructura_Balance[[#This Row],[Nombre Cuenta]],6,144))</f>
        <v>214 -  Utillaje</v>
      </c>
      <c r="L74" s="52">
        <v>14</v>
      </c>
      <c r="M74" s="52" t="s">
        <v>1099</v>
      </c>
      <c r="N74" s="150"/>
      <c r="O74" s="150"/>
      <c r="P74" s="150"/>
      <c r="Q74" s="150"/>
      <c r="R74" s="150"/>
      <c r="S74" s="150"/>
      <c r="T74" s="150"/>
      <c r="U74" s="150"/>
    </row>
    <row r="75" spans="1:21" ht="14.25" customHeight="1">
      <c r="A75" s="52" t="s">
        <v>774</v>
      </c>
      <c r="B75" s="52" t="s">
        <v>775</v>
      </c>
      <c r="C75" s="52" t="s">
        <v>779</v>
      </c>
      <c r="D75" s="52" t="s">
        <v>1112</v>
      </c>
      <c r="E75" s="52">
        <v>2150</v>
      </c>
      <c r="F75" s="52" t="s">
        <v>1115</v>
      </c>
      <c r="G75" s="52" t="s">
        <v>1121</v>
      </c>
      <c r="H75" s="52" t="s">
        <v>1097</v>
      </c>
      <c r="I75" s="52"/>
      <c r="J75" s="52" t="s">
        <v>1122</v>
      </c>
      <c r="K75" s="233" t="str">
        <f>+CONCATENATE(MID(Estructura_Balance[[#This Row],[Nombre Cuenta]],1,3)," - ", ,MID(Estructura_Balance[[#This Row],[Nombre Cuenta]],6,144))</f>
        <v>215 -  Otras instalaciones</v>
      </c>
      <c r="L75" s="52">
        <v>25</v>
      </c>
      <c r="M75" s="52" t="s">
        <v>1099</v>
      </c>
      <c r="N75" s="150"/>
      <c r="O75" s="150"/>
      <c r="P75" s="150"/>
      <c r="Q75" s="150"/>
      <c r="R75" s="150"/>
      <c r="S75" s="150"/>
      <c r="T75" s="150"/>
      <c r="U75" s="150"/>
    </row>
    <row r="76" spans="1:21" ht="14.25" customHeight="1">
      <c r="A76" s="52" t="s">
        <v>774</v>
      </c>
      <c r="B76" s="52" t="s">
        <v>775</v>
      </c>
      <c r="C76" s="52" t="s">
        <v>779</v>
      </c>
      <c r="D76" s="52" t="s">
        <v>1112</v>
      </c>
      <c r="E76" s="52">
        <v>2160</v>
      </c>
      <c r="F76" s="52" t="str">
        <f>+MID(Estructura_Balance[[#This Row],[CPGC]],1,2)</f>
        <v>21</v>
      </c>
      <c r="G76" s="52" t="str">
        <f>+MID(Estructura_Balance[[#This Row],[CPGC]],1,3)</f>
        <v>216</v>
      </c>
      <c r="H76" s="52" t="str">
        <f>+MID(Estructura_Balance[[#This Row],[Grupo]],1,7)</f>
        <v>Grupo 2</v>
      </c>
      <c r="I76" s="52"/>
      <c r="J76" s="52" t="s">
        <v>1123</v>
      </c>
      <c r="K76" s="233" t="str">
        <f>+CONCATENATE(MID(Estructura_Balance[[#This Row],[Nombre Cuenta]],1,3)," - ", ,MID(Estructura_Balance[[#This Row],[Nombre Cuenta]],6,144))</f>
        <v>216 -  Mobiliario</v>
      </c>
      <c r="L76" s="52" t="e">
        <f>+LEN([1]!Estructura_Balance[[#This Row],[Nombre Cuenta]])</f>
        <v>#REF!</v>
      </c>
      <c r="M76" s="52" t="s">
        <v>1099</v>
      </c>
      <c r="N76" s="150"/>
      <c r="O76" s="150"/>
      <c r="P76" s="150"/>
      <c r="Q76" s="150"/>
      <c r="R76" s="150"/>
      <c r="S76" s="150"/>
      <c r="T76" s="150"/>
      <c r="U76" s="150"/>
    </row>
    <row r="77" spans="1:21" ht="14.25" customHeight="1">
      <c r="A77" s="52" t="s">
        <v>774</v>
      </c>
      <c r="B77" s="52" t="s">
        <v>775</v>
      </c>
      <c r="C77" s="52" t="s">
        <v>779</v>
      </c>
      <c r="D77" s="52" t="s">
        <v>1112</v>
      </c>
      <c r="E77" s="52">
        <v>2170</v>
      </c>
      <c r="F77" s="52" t="str">
        <f>+MID(Estructura_Balance[[#This Row],[CPGC]],1,2)</f>
        <v>21</v>
      </c>
      <c r="G77" s="52" t="str">
        <f>+MID(Estructura_Balance[[#This Row],[CPGC]],1,3)</f>
        <v>217</v>
      </c>
      <c r="H77" s="52" t="str">
        <f>+MID(Estructura_Balance[[#This Row],[Grupo]],1,7)</f>
        <v>Grupo 2</v>
      </c>
      <c r="I77" s="52"/>
      <c r="J77" s="52" t="s">
        <v>1124</v>
      </c>
      <c r="K77" s="233" t="str">
        <f>+CONCATENATE(MID(Estructura_Balance[[#This Row],[Nombre Cuenta]],1,3)," - ", ,MID(Estructura_Balance[[#This Row],[Nombre Cuenta]],6,144))</f>
        <v>217 -  Equipos para proceso de información</v>
      </c>
      <c r="L77" s="52" t="e">
        <f>+LEN([1]!Estructura_Balance[[#This Row],[Nombre Cuenta]])</f>
        <v>#REF!</v>
      </c>
      <c r="M77" s="52" t="s">
        <v>1099</v>
      </c>
      <c r="N77" s="150"/>
      <c r="O77" s="150"/>
      <c r="P77" s="150"/>
      <c r="Q77" s="150"/>
      <c r="R77" s="150"/>
      <c r="S77" s="150"/>
      <c r="T77" s="150"/>
      <c r="U77" s="150"/>
    </row>
    <row r="78" spans="1:21" ht="14.25" customHeight="1">
      <c r="A78" s="52" t="s">
        <v>774</v>
      </c>
      <c r="B78" s="52" t="s">
        <v>775</v>
      </c>
      <c r="C78" s="52" t="s">
        <v>779</v>
      </c>
      <c r="D78" s="52" t="s">
        <v>1112</v>
      </c>
      <c r="E78" s="52">
        <v>2180</v>
      </c>
      <c r="F78" s="52" t="str">
        <f>+MID(Estructura_Balance[[#This Row],[CPGC]],1,2)</f>
        <v>21</v>
      </c>
      <c r="G78" s="52" t="str">
        <f>+MID(Estructura_Balance[[#This Row],[CPGC]],1,3)</f>
        <v>218</v>
      </c>
      <c r="H78" s="52" t="str">
        <f>+MID(Estructura_Balance[[#This Row],[Grupo]],1,7)</f>
        <v>Grupo 2</v>
      </c>
      <c r="I78" s="52"/>
      <c r="J78" s="52" t="s">
        <v>1125</v>
      </c>
      <c r="K78" s="233" t="str">
        <f>+CONCATENATE(MID(Estructura_Balance[[#This Row],[Nombre Cuenta]],1,3)," - ", ,MID(Estructura_Balance[[#This Row],[Nombre Cuenta]],6,144))</f>
        <v>218 -  Elementos de transporte</v>
      </c>
      <c r="L78" s="52" t="e">
        <f>+LEN([1]!Estructura_Balance[[#This Row],[Nombre Cuenta]])</f>
        <v>#REF!</v>
      </c>
      <c r="M78" s="52" t="s">
        <v>1099</v>
      </c>
      <c r="N78" s="150"/>
      <c r="O78" s="150"/>
      <c r="P78" s="150"/>
      <c r="Q78" s="150"/>
      <c r="R78" s="150"/>
      <c r="S78" s="150"/>
      <c r="T78" s="150"/>
      <c r="U78" s="150"/>
    </row>
    <row r="79" spans="1:21" ht="14.25" customHeight="1">
      <c r="A79" s="52" t="s">
        <v>774</v>
      </c>
      <c r="B79" s="52" t="s">
        <v>775</v>
      </c>
      <c r="C79" s="52" t="s">
        <v>779</v>
      </c>
      <c r="D79" s="52" t="s">
        <v>1112</v>
      </c>
      <c r="E79" s="52">
        <v>2190</v>
      </c>
      <c r="F79" s="52" t="s">
        <v>1115</v>
      </c>
      <c r="G79" s="52" t="s">
        <v>1126</v>
      </c>
      <c r="H79" s="52" t="s">
        <v>1097</v>
      </c>
      <c r="I79" s="52"/>
      <c r="J79" s="52" t="s">
        <v>1127</v>
      </c>
      <c r="K79" s="233" t="str">
        <f>+CONCATENATE(MID(Estructura_Balance[[#This Row],[Nombre Cuenta]],1,3)," - ", ,MID(Estructura_Balance[[#This Row],[Nombre Cuenta]],6,144))</f>
        <v>219 -  Otro inmovilizado material</v>
      </c>
      <c r="L79" s="52">
        <v>32</v>
      </c>
      <c r="M79" s="52" t="s">
        <v>1099</v>
      </c>
      <c r="N79" s="150"/>
      <c r="O79" s="150"/>
      <c r="P79" s="150"/>
      <c r="Q79" s="150"/>
      <c r="R79" s="150"/>
      <c r="S79" s="150"/>
      <c r="T79" s="150"/>
      <c r="U79" s="150"/>
    </row>
    <row r="80" spans="1:21" ht="14.25" customHeight="1">
      <c r="A80" s="52" t="s">
        <v>774</v>
      </c>
      <c r="B80" s="52" t="s">
        <v>775</v>
      </c>
      <c r="C80" s="52" t="s">
        <v>781</v>
      </c>
      <c r="D80" s="52" t="s">
        <v>1128</v>
      </c>
      <c r="E80" s="52">
        <v>2200</v>
      </c>
      <c r="F80" s="52">
        <v>22</v>
      </c>
      <c r="G80" s="52">
        <v>220</v>
      </c>
      <c r="H80" s="52" t="s">
        <v>1097</v>
      </c>
      <c r="I80" s="52"/>
      <c r="J80" s="52" t="s">
        <v>1129</v>
      </c>
      <c r="K80" s="233" t="str">
        <f>+CONCATENATE(MID(Estructura_Balance[[#This Row],[Nombre Cuenta]],1,3)," - ", ,MID(Estructura_Balance[[#This Row],[Nombre Cuenta]],6,144))</f>
        <v>220 -  Inversiones en terrenos y bienes naturales</v>
      </c>
      <c r="L80" s="52" t="e">
        <f>+LEN([1]!Estructura_Balance[[#This Row],[Nombre Cuenta]])</f>
        <v>#REF!</v>
      </c>
      <c r="M80" s="52" t="s">
        <v>1099</v>
      </c>
      <c r="N80" s="150"/>
      <c r="O80" s="150"/>
      <c r="P80" s="150"/>
      <c r="Q80" s="150"/>
      <c r="R80" s="150"/>
      <c r="S80" s="150"/>
      <c r="T80" s="150"/>
      <c r="U80" s="150"/>
    </row>
    <row r="81" spans="1:21" ht="14.25" customHeight="1">
      <c r="A81" s="52" t="s">
        <v>774</v>
      </c>
      <c r="B81" s="52" t="s">
        <v>775</v>
      </c>
      <c r="C81" s="52" t="s">
        <v>781</v>
      </c>
      <c r="D81" s="52" t="s">
        <v>1128</v>
      </c>
      <c r="E81" s="52">
        <v>2210</v>
      </c>
      <c r="F81" s="52" t="str">
        <f>+MID(Estructura_Balance[[#This Row],[CPGC]],1,2)</f>
        <v>22</v>
      </c>
      <c r="G81" s="52" t="str">
        <f>+MID(Estructura_Balance[[#This Row],[CPGC]],1,3)</f>
        <v>221</v>
      </c>
      <c r="H81" s="52" t="str">
        <f>+MID(Estructura_Balance[[#This Row],[Grupo]],1,7)</f>
        <v>Grupo 2</v>
      </c>
      <c r="I81" s="52"/>
      <c r="J81" s="52" t="s">
        <v>1130</v>
      </c>
      <c r="K81" s="233" t="str">
        <f>+CONCATENATE(MID(Estructura_Balance[[#This Row],[Nombre Cuenta]],1,3)," - ", ,MID(Estructura_Balance[[#This Row],[Nombre Cuenta]],6,144))</f>
        <v>221 -  Inversiones construcciones</v>
      </c>
      <c r="L81" s="52" t="e">
        <f>+LEN([1]!Estructura_Balance[[#This Row],[Nombre Cuenta]])</f>
        <v>#REF!</v>
      </c>
      <c r="M81" s="52" t="s">
        <v>1099</v>
      </c>
      <c r="N81" s="150"/>
      <c r="O81" s="150"/>
      <c r="P81" s="150"/>
      <c r="Q81" s="150"/>
      <c r="R81" s="150"/>
      <c r="S81" s="150"/>
      <c r="T81" s="150"/>
      <c r="U81" s="150"/>
    </row>
    <row r="82" spans="1:21" ht="14.25" customHeight="1">
      <c r="A82" s="52" t="s">
        <v>774</v>
      </c>
      <c r="B82" s="52" t="s">
        <v>775</v>
      </c>
      <c r="C82" s="52" t="s">
        <v>779</v>
      </c>
      <c r="D82" s="52" t="s">
        <v>1112</v>
      </c>
      <c r="E82" s="52">
        <v>2300</v>
      </c>
      <c r="F82" s="52" t="s">
        <v>1131</v>
      </c>
      <c r="G82" s="52" t="s">
        <v>1132</v>
      </c>
      <c r="H82" s="52" t="s">
        <v>1097</v>
      </c>
      <c r="I82" s="52"/>
      <c r="J82" s="52" t="s">
        <v>1133</v>
      </c>
      <c r="K82" s="233" t="str">
        <f>+CONCATENATE(MID(Estructura_Balance[[#This Row],[Nombre Cuenta]],1,3)," - ", ,MID(Estructura_Balance[[#This Row],[Nombre Cuenta]],6,144))</f>
        <v>230 -  Adaptación de terrenos y bienes naturales</v>
      </c>
      <c r="L82" s="52">
        <v>47</v>
      </c>
      <c r="M82" s="52" t="s">
        <v>1099</v>
      </c>
      <c r="N82" s="150"/>
      <c r="O82" s="150"/>
      <c r="P82" s="150"/>
      <c r="Q82" s="150"/>
      <c r="R82" s="150"/>
      <c r="S82" s="150"/>
      <c r="T82" s="150"/>
      <c r="U82" s="150"/>
    </row>
    <row r="83" spans="1:21" ht="14.25" customHeight="1">
      <c r="A83" s="52" t="s">
        <v>774</v>
      </c>
      <c r="B83" s="52" t="s">
        <v>775</v>
      </c>
      <c r="C83" s="52" t="s">
        <v>779</v>
      </c>
      <c r="D83" s="52" t="s">
        <v>1112</v>
      </c>
      <c r="E83" s="52">
        <v>2310</v>
      </c>
      <c r="F83" s="52" t="s">
        <v>1131</v>
      </c>
      <c r="G83" s="52" t="s">
        <v>1134</v>
      </c>
      <c r="H83" s="52" t="s">
        <v>1097</v>
      </c>
      <c r="I83" s="52"/>
      <c r="J83" s="52" t="s">
        <v>1135</v>
      </c>
      <c r="K83" s="233" t="str">
        <f>+CONCATENATE(MID(Estructura_Balance[[#This Row],[Nombre Cuenta]],1,3)," - ", ,MID(Estructura_Balance[[#This Row],[Nombre Cuenta]],6,144))</f>
        <v>231 -  Construcciones en curso</v>
      </c>
      <c r="L83" s="52">
        <v>29</v>
      </c>
      <c r="M83" s="52" t="s">
        <v>1099</v>
      </c>
      <c r="N83" s="150"/>
      <c r="O83" s="150"/>
      <c r="P83" s="150"/>
      <c r="Q83" s="150"/>
      <c r="R83" s="150"/>
      <c r="S83" s="150"/>
      <c r="T83" s="150"/>
      <c r="U83" s="150"/>
    </row>
    <row r="84" spans="1:21" ht="14.25" customHeight="1">
      <c r="A84" s="52" t="s">
        <v>774</v>
      </c>
      <c r="B84" s="52" t="s">
        <v>775</v>
      </c>
      <c r="C84" s="52" t="s">
        <v>779</v>
      </c>
      <c r="D84" s="52" t="s">
        <v>1112</v>
      </c>
      <c r="E84" s="52">
        <v>2320</v>
      </c>
      <c r="F84" s="52" t="s">
        <v>1131</v>
      </c>
      <c r="G84" s="52" t="s">
        <v>1136</v>
      </c>
      <c r="H84" s="52" t="s">
        <v>1097</v>
      </c>
      <c r="I84" s="52"/>
      <c r="J84" s="52" t="s">
        <v>1137</v>
      </c>
      <c r="K84" s="233" t="str">
        <f>+CONCATENATE(MID(Estructura_Balance[[#This Row],[Nombre Cuenta]],1,3)," - ", ,MID(Estructura_Balance[[#This Row],[Nombre Cuenta]],6,144))</f>
        <v>232 -  Instalaciones técnicas en montaje</v>
      </c>
      <c r="L84" s="52">
        <v>39</v>
      </c>
      <c r="M84" s="52" t="s">
        <v>1099</v>
      </c>
      <c r="N84" s="150"/>
      <c r="O84" s="150"/>
      <c r="P84" s="150"/>
      <c r="Q84" s="150"/>
      <c r="R84" s="150"/>
      <c r="S84" s="150"/>
      <c r="T84" s="150"/>
      <c r="U84" s="150"/>
    </row>
    <row r="85" spans="1:21" ht="14.25" customHeight="1">
      <c r="A85" s="52" t="s">
        <v>774</v>
      </c>
      <c r="B85" s="52" t="s">
        <v>775</v>
      </c>
      <c r="C85" s="52" t="s">
        <v>779</v>
      </c>
      <c r="D85" s="52" t="s">
        <v>1112</v>
      </c>
      <c r="E85" s="52">
        <v>2330</v>
      </c>
      <c r="F85" s="52" t="s">
        <v>1131</v>
      </c>
      <c r="G85" s="52" t="s">
        <v>1138</v>
      </c>
      <c r="H85" s="52" t="s">
        <v>1097</v>
      </c>
      <c r="I85" s="52"/>
      <c r="J85" s="52" t="s">
        <v>1139</v>
      </c>
      <c r="K85" s="233" t="str">
        <f>+CONCATENATE(MID(Estructura_Balance[[#This Row],[Nombre Cuenta]],1,3)," - ", ,MID(Estructura_Balance[[#This Row],[Nombre Cuenta]],6,144))</f>
        <v>233 -  Maquinaria en montaje</v>
      </c>
      <c r="L85" s="52">
        <v>27</v>
      </c>
      <c r="M85" s="52" t="s">
        <v>1099</v>
      </c>
      <c r="N85" s="150"/>
      <c r="O85" s="150"/>
      <c r="P85" s="150"/>
      <c r="Q85" s="150"/>
      <c r="R85" s="150"/>
      <c r="S85" s="150"/>
      <c r="T85" s="150"/>
      <c r="U85" s="150"/>
    </row>
    <row r="86" spans="1:21" ht="14.25" customHeight="1">
      <c r="A86" s="52" t="s">
        <v>774</v>
      </c>
      <c r="B86" s="52" t="s">
        <v>775</v>
      </c>
      <c r="C86" s="52" t="s">
        <v>779</v>
      </c>
      <c r="D86" s="52" t="s">
        <v>1112</v>
      </c>
      <c r="E86" s="52">
        <v>2370</v>
      </c>
      <c r="F86" s="52" t="s">
        <v>1131</v>
      </c>
      <c r="G86" s="52" t="s">
        <v>1140</v>
      </c>
      <c r="H86" s="52" t="s">
        <v>1097</v>
      </c>
      <c r="I86" s="52"/>
      <c r="J86" s="52" t="s">
        <v>1141</v>
      </c>
      <c r="K86" s="233" t="str">
        <f>+CONCATENATE(MID(Estructura_Balance[[#This Row],[Nombre Cuenta]],1,3)," - ", ,MID(Estructura_Balance[[#This Row],[Nombre Cuenta]],6,144))</f>
        <v>237 -  Equipos para procesos de información en montaje</v>
      </c>
      <c r="L86" s="52">
        <v>53</v>
      </c>
      <c r="M86" s="52" t="s">
        <v>1099</v>
      </c>
      <c r="N86" s="150"/>
      <c r="O86" s="150"/>
      <c r="P86" s="150"/>
      <c r="Q86" s="150"/>
      <c r="R86" s="150"/>
      <c r="S86" s="150"/>
      <c r="T86" s="150"/>
      <c r="U86" s="150"/>
    </row>
    <row r="87" spans="1:21" ht="14.25" customHeight="1">
      <c r="A87" s="52" t="s">
        <v>774</v>
      </c>
      <c r="B87" s="52" t="s">
        <v>775</v>
      </c>
      <c r="C87" s="52" t="s">
        <v>779</v>
      </c>
      <c r="D87" s="52" t="s">
        <v>1112</v>
      </c>
      <c r="E87" s="52">
        <v>2390</v>
      </c>
      <c r="F87" s="52" t="s">
        <v>1131</v>
      </c>
      <c r="G87" s="52" t="s">
        <v>1142</v>
      </c>
      <c r="H87" s="52" t="s">
        <v>1097</v>
      </c>
      <c r="I87" s="52"/>
      <c r="J87" s="52" t="s">
        <v>1143</v>
      </c>
      <c r="K87" s="233" t="str">
        <f>+CONCATENATE(MID(Estructura_Balance[[#This Row],[Nombre Cuenta]],1,3)," - ", ,MID(Estructura_Balance[[#This Row],[Nombre Cuenta]],6,144))</f>
        <v>239 -  Anticipos para inmovilizaciones materiales</v>
      </c>
      <c r="L87" s="52">
        <v>48</v>
      </c>
      <c r="M87" s="52" t="s">
        <v>1099</v>
      </c>
      <c r="N87" s="150"/>
      <c r="O87" s="150"/>
      <c r="P87" s="150"/>
      <c r="Q87" s="150"/>
      <c r="R87" s="150"/>
      <c r="S87" s="150"/>
      <c r="T87" s="150"/>
      <c r="U87" s="150"/>
    </row>
    <row r="88" spans="1:21" ht="14.25" customHeight="1">
      <c r="A88" s="52" t="s">
        <v>774</v>
      </c>
      <c r="B88" s="52" t="s">
        <v>775</v>
      </c>
      <c r="C88" s="52" t="s">
        <v>783</v>
      </c>
      <c r="D88" s="52" t="s">
        <v>1144</v>
      </c>
      <c r="E88" s="52">
        <v>2400</v>
      </c>
      <c r="F88" s="52">
        <v>24</v>
      </c>
      <c r="G88" s="52">
        <v>240</v>
      </c>
      <c r="H88" s="52" t="s">
        <v>1097</v>
      </c>
      <c r="I88" s="52"/>
      <c r="J88" s="52" t="s">
        <v>1145</v>
      </c>
      <c r="K88" s="233" t="str">
        <f>+CONCATENATE(MID(Estructura_Balance[[#This Row],[Nombre Cuenta]],1,3)," - ", ,MID(Estructura_Balance[[#This Row],[Nombre Cuenta]],6,144))</f>
        <v>240 -  Participaciones a largo plazo en partes vinculadas</v>
      </c>
      <c r="L88" s="52" t="e">
        <f>+LEN([1]!Estructura_Balance[[#This Row],[Nombre Cuenta]])</f>
        <v>#REF!</v>
      </c>
      <c r="M88" s="52" t="s">
        <v>1099</v>
      </c>
      <c r="N88" s="150"/>
      <c r="O88" s="150"/>
      <c r="P88" s="150"/>
      <c r="Q88" s="150"/>
      <c r="R88" s="150"/>
      <c r="S88" s="150"/>
      <c r="T88" s="150"/>
      <c r="U88" s="150"/>
    </row>
    <row r="89" spans="1:21" ht="14.25" customHeight="1">
      <c r="A89" s="52" t="s">
        <v>774</v>
      </c>
      <c r="B89" s="52" t="s">
        <v>775</v>
      </c>
      <c r="C89" s="52" t="s">
        <v>783</v>
      </c>
      <c r="D89" s="52" t="s">
        <v>1144</v>
      </c>
      <c r="E89" s="52">
        <v>2410</v>
      </c>
      <c r="F89" s="52">
        <v>24</v>
      </c>
      <c r="G89" s="52">
        <v>241</v>
      </c>
      <c r="H89" s="52" t="s">
        <v>1097</v>
      </c>
      <c r="I89" s="52"/>
      <c r="J89" s="52" t="s">
        <v>1146</v>
      </c>
      <c r="K89" s="233" t="str">
        <f>+CONCATENATE(MID(Estructura_Balance[[#This Row],[Nombre Cuenta]],1,3)," - ", ,MID(Estructura_Balance[[#This Row],[Nombre Cuenta]],6,144))</f>
        <v>241 -  Valores representativos de deuda a largo plazo de partes vinculadas</v>
      </c>
      <c r="L89" s="52" t="e">
        <f>+LEN([1]!Estructura_Balance[[#This Row],[Nombre Cuenta]])</f>
        <v>#REF!</v>
      </c>
      <c r="M89" s="52" t="s">
        <v>1099</v>
      </c>
      <c r="N89" s="150"/>
      <c r="O89" s="150"/>
      <c r="P89" s="150"/>
      <c r="Q89" s="150"/>
      <c r="R89" s="150"/>
      <c r="S89" s="150"/>
      <c r="T89" s="150"/>
      <c r="U89" s="150"/>
    </row>
    <row r="90" spans="1:21" ht="14.25" customHeight="1">
      <c r="A90" s="52" t="s">
        <v>774</v>
      </c>
      <c r="B90" s="52" t="s">
        <v>775</v>
      </c>
      <c r="C90" s="52" t="s">
        <v>783</v>
      </c>
      <c r="D90" s="52" t="s">
        <v>1144</v>
      </c>
      <c r="E90" s="52">
        <v>2420</v>
      </c>
      <c r="F90" s="52">
        <v>24</v>
      </c>
      <c r="G90" s="52">
        <v>242</v>
      </c>
      <c r="H90" s="52" t="s">
        <v>1097</v>
      </c>
      <c r="I90" s="52"/>
      <c r="J90" s="52" t="s">
        <v>1147</v>
      </c>
      <c r="K90" s="233" t="str">
        <f>+CONCATENATE(MID(Estructura_Balance[[#This Row],[Nombre Cuenta]],1,3)," - ", ,MID(Estructura_Balance[[#This Row],[Nombre Cuenta]],6,144))</f>
        <v xml:space="preserve">242 -  Créditos a largo plazo a partes vinculadas </v>
      </c>
      <c r="L90" s="52" t="e">
        <f>+LEN([1]!Estructura_Balance[[#This Row],[Nombre Cuenta]])</f>
        <v>#REF!</v>
      </c>
      <c r="M90" s="52" t="s">
        <v>1099</v>
      </c>
      <c r="N90" s="150"/>
      <c r="O90" s="150"/>
      <c r="P90" s="150"/>
      <c r="Q90" s="150"/>
      <c r="R90" s="150"/>
      <c r="S90" s="150"/>
      <c r="T90" s="150"/>
      <c r="U90" s="150"/>
    </row>
    <row r="91" spans="1:21" ht="14.25" customHeight="1">
      <c r="A91" s="52" t="s">
        <v>774</v>
      </c>
      <c r="B91" s="52" t="s">
        <v>775</v>
      </c>
      <c r="C91" s="52" t="s">
        <v>783</v>
      </c>
      <c r="D91" s="52" t="s">
        <v>1144</v>
      </c>
      <c r="E91" s="52">
        <v>2490</v>
      </c>
      <c r="F91" s="52">
        <v>24</v>
      </c>
      <c r="G91" s="52">
        <v>249</v>
      </c>
      <c r="H91" s="52" t="s">
        <v>1097</v>
      </c>
      <c r="I91" s="52"/>
      <c r="J91" s="52" t="s">
        <v>1148</v>
      </c>
      <c r="K91" s="233" t="str">
        <f>+CONCATENATE(MID(Estructura_Balance[[#This Row],[Nombre Cuenta]],1,3)," - ", ,MID(Estructura_Balance[[#This Row],[Nombre Cuenta]],6,144))</f>
        <v>249 -  Desembolsos pendientes sobre participaciones a largo plazo en partes vinculadas</v>
      </c>
      <c r="L91" s="52" t="e">
        <f>+LEN([1]!Estructura_Balance[[#This Row],[Nombre Cuenta]])</f>
        <v>#REF!</v>
      </c>
      <c r="M91" s="52" t="s">
        <v>1099</v>
      </c>
      <c r="N91" s="150"/>
      <c r="O91" s="150"/>
      <c r="P91" s="150"/>
      <c r="Q91" s="150"/>
      <c r="R91" s="150"/>
      <c r="S91" s="150"/>
      <c r="T91" s="150"/>
      <c r="U91" s="150"/>
    </row>
    <row r="92" spans="1:21" ht="14.25" customHeight="1">
      <c r="A92" s="52" t="s">
        <v>774</v>
      </c>
      <c r="B92" s="52" t="s">
        <v>775</v>
      </c>
      <c r="C92" s="52" t="s">
        <v>831</v>
      </c>
      <c r="D92" s="52" t="s">
        <v>1149</v>
      </c>
      <c r="E92" s="52">
        <v>2500</v>
      </c>
      <c r="F92" s="52">
        <v>24</v>
      </c>
      <c r="G92" s="52">
        <v>250</v>
      </c>
      <c r="H92" s="52" t="s">
        <v>1097</v>
      </c>
      <c r="I92" s="52"/>
      <c r="J92" s="52" t="s">
        <v>1150</v>
      </c>
      <c r="K92" s="233" t="str">
        <f>+CONCATENATE(MID(Estructura_Balance[[#This Row],[Nombre Cuenta]],1,3)," - ", ,MID(Estructura_Balance[[#This Row],[Nombre Cuenta]],6,144))</f>
        <v>250 -  Inversiones financieras a largo plazo en instrumentos de patrimonio</v>
      </c>
      <c r="L92" s="52" t="e">
        <f>+LEN([1]!Estructura_Balance[[#This Row],[Nombre Cuenta]])</f>
        <v>#REF!</v>
      </c>
      <c r="M92" s="52" t="s">
        <v>1099</v>
      </c>
      <c r="N92" s="150"/>
      <c r="O92" s="150"/>
      <c r="P92" s="150"/>
      <c r="Q92" s="150"/>
      <c r="R92" s="150"/>
      <c r="S92" s="150"/>
      <c r="T92" s="150"/>
      <c r="U92" s="150"/>
    </row>
    <row r="93" spans="1:21" ht="14.25" customHeight="1">
      <c r="A93" s="52" t="s">
        <v>774</v>
      </c>
      <c r="B93" s="52" t="s">
        <v>775</v>
      </c>
      <c r="C93" s="52" t="s">
        <v>831</v>
      </c>
      <c r="D93" s="52" t="s">
        <v>1149</v>
      </c>
      <c r="E93" s="52">
        <v>2510</v>
      </c>
      <c r="F93" s="52" t="s">
        <v>1151</v>
      </c>
      <c r="G93" s="52" t="s">
        <v>1152</v>
      </c>
      <c r="H93" s="52" t="s">
        <v>1097</v>
      </c>
      <c r="I93" s="52"/>
      <c r="J93" s="52" t="s">
        <v>1153</v>
      </c>
      <c r="K93" s="233" t="str">
        <f>+CONCATENATE(MID(Estructura_Balance[[#This Row],[Nombre Cuenta]],1,3)," - ", ,MID(Estructura_Balance[[#This Row],[Nombre Cuenta]],6,144))</f>
        <v>251 -  Valores representativos de deuda a largo plazo</v>
      </c>
      <c r="L93" s="52">
        <v>52</v>
      </c>
      <c r="M93" s="52" t="s">
        <v>1099</v>
      </c>
      <c r="N93" s="150"/>
      <c r="O93" s="150"/>
      <c r="P93" s="150"/>
      <c r="Q93" s="150"/>
      <c r="R93" s="150"/>
      <c r="S93" s="150"/>
      <c r="T93" s="150"/>
      <c r="U93" s="150"/>
    </row>
    <row r="94" spans="1:21" ht="14.25" customHeight="1">
      <c r="A94" s="52" t="s">
        <v>774</v>
      </c>
      <c r="B94" s="52" t="s">
        <v>775</v>
      </c>
      <c r="C94" s="52" t="s">
        <v>831</v>
      </c>
      <c r="D94" s="52" t="s">
        <v>1149</v>
      </c>
      <c r="E94" s="52">
        <v>2520</v>
      </c>
      <c r="F94" s="52" t="s">
        <v>1151</v>
      </c>
      <c r="G94" s="52" t="s">
        <v>1154</v>
      </c>
      <c r="H94" s="52" t="s">
        <v>1097</v>
      </c>
      <c r="I94" s="52"/>
      <c r="J94" s="52" t="s">
        <v>1155</v>
      </c>
      <c r="K94" s="233" t="str">
        <f>+CONCATENATE(MID(Estructura_Balance[[#This Row],[Nombre Cuenta]],1,3)," - ", ,MID(Estructura_Balance[[#This Row],[Nombre Cuenta]],6,144))</f>
        <v>252 -  Créditos a largo plazo</v>
      </c>
      <c r="L94" s="52">
        <v>28</v>
      </c>
      <c r="M94" s="52" t="s">
        <v>1099</v>
      </c>
      <c r="N94" s="150"/>
      <c r="O94" s="150"/>
      <c r="P94" s="150"/>
      <c r="Q94" s="150"/>
      <c r="R94" s="150"/>
      <c r="S94" s="150"/>
      <c r="T94" s="150"/>
      <c r="U94" s="150"/>
    </row>
    <row r="95" spans="1:21" ht="14.25" customHeight="1">
      <c r="A95" s="52" t="s">
        <v>774</v>
      </c>
      <c r="B95" s="52" t="s">
        <v>775</v>
      </c>
      <c r="C95" s="52" t="s">
        <v>831</v>
      </c>
      <c r="D95" s="52" t="s">
        <v>1149</v>
      </c>
      <c r="E95" s="52">
        <v>2530</v>
      </c>
      <c r="F95" s="52" t="s">
        <v>1151</v>
      </c>
      <c r="G95" s="52" t="s">
        <v>1156</v>
      </c>
      <c r="H95" s="52" t="s">
        <v>1097</v>
      </c>
      <c r="I95" s="52"/>
      <c r="J95" s="52" t="s">
        <v>1157</v>
      </c>
      <c r="K95" s="233" t="str">
        <f>+CONCATENATE(MID(Estructura_Balance[[#This Row],[Nombre Cuenta]],1,3)," - ", ,MID(Estructura_Balance[[#This Row],[Nombre Cuenta]],6,144))</f>
        <v>253 -  Créditos a largo plazo por enajenación de inmovilizado</v>
      </c>
      <c r="L95" s="52">
        <v>60</v>
      </c>
      <c r="M95" s="52" t="s">
        <v>1099</v>
      </c>
      <c r="N95" s="150"/>
      <c r="O95" s="150"/>
      <c r="P95" s="150"/>
      <c r="Q95" s="150"/>
      <c r="R95" s="150"/>
      <c r="S95" s="150"/>
      <c r="T95" s="150"/>
      <c r="U95" s="150"/>
    </row>
    <row r="96" spans="1:21" ht="14.25" customHeight="1">
      <c r="A96" s="52" t="s">
        <v>774</v>
      </c>
      <c r="B96" s="52" t="s">
        <v>775</v>
      </c>
      <c r="C96" s="52" t="s">
        <v>831</v>
      </c>
      <c r="D96" s="52" t="s">
        <v>1149</v>
      </c>
      <c r="E96" s="52">
        <v>2540</v>
      </c>
      <c r="F96" s="52" t="s">
        <v>1151</v>
      </c>
      <c r="G96" s="52" t="s">
        <v>1158</v>
      </c>
      <c r="H96" s="52" t="s">
        <v>1097</v>
      </c>
      <c r="I96" s="52"/>
      <c r="J96" s="52" t="s">
        <v>1159</v>
      </c>
      <c r="K96" s="233" t="str">
        <f>+CONCATENATE(MID(Estructura_Balance[[#This Row],[Nombre Cuenta]],1,3)," - ", ,MID(Estructura_Balance[[#This Row],[Nombre Cuenta]],6,144))</f>
        <v>254 -  Créditos a largo plazo al personal</v>
      </c>
      <c r="L96" s="52">
        <v>40</v>
      </c>
      <c r="M96" s="52" t="s">
        <v>1099</v>
      </c>
      <c r="N96" s="150"/>
      <c r="O96" s="150"/>
      <c r="P96" s="150"/>
      <c r="Q96" s="150"/>
      <c r="R96" s="150"/>
      <c r="S96" s="150"/>
      <c r="T96" s="150"/>
      <c r="U96" s="150"/>
    </row>
    <row r="97" spans="1:21" ht="14.25" customHeight="1">
      <c r="A97" s="52" t="s">
        <v>774</v>
      </c>
      <c r="B97" s="52" t="s">
        <v>775</v>
      </c>
      <c r="C97" s="52" t="s">
        <v>831</v>
      </c>
      <c r="D97" s="52" t="s">
        <v>1149</v>
      </c>
      <c r="E97" s="52">
        <v>2550</v>
      </c>
      <c r="F97" s="52" t="s">
        <v>1151</v>
      </c>
      <c r="G97" s="52" t="s">
        <v>1160</v>
      </c>
      <c r="H97" s="52" t="s">
        <v>1097</v>
      </c>
      <c r="I97" s="52"/>
      <c r="J97" s="52" t="s">
        <v>1161</v>
      </c>
      <c r="K97" s="233" t="str">
        <f>+CONCATENATE(MID(Estructura_Balance[[#This Row],[Nombre Cuenta]],1,3)," - ", ,MID(Estructura_Balance[[#This Row],[Nombre Cuenta]],6,144))</f>
        <v>255 -  Activos por derivados financieros a largo plazo</v>
      </c>
      <c r="L97" s="52">
        <v>77</v>
      </c>
      <c r="M97" s="52" t="s">
        <v>1099</v>
      </c>
      <c r="N97" s="150"/>
      <c r="O97" s="150"/>
      <c r="P97" s="150"/>
      <c r="Q97" s="150"/>
      <c r="R97" s="150"/>
      <c r="S97" s="150"/>
      <c r="T97" s="150"/>
      <c r="U97" s="150"/>
    </row>
    <row r="98" spans="1:21" ht="14.25" customHeight="1">
      <c r="A98" s="52" t="s">
        <v>774</v>
      </c>
      <c r="B98" s="52" t="s">
        <v>775</v>
      </c>
      <c r="C98" s="52" t="s">
        <v>831</v>
      </c>
      <c r="D98" s="52" t="s">
        <v>1149</v>
      </c>
      <c r="E98" s="52">
        <v>2570</v>
      </c>
      <c r="F98" s="52" t="s">
        <v>1151</v>
      </c>
      <c r="G98" s="52" t="s">
        <v>1162</v>
      </c>
      <c r="H98" s="52" t="s">
        <v>1097</v>
      </c>
      <c r="I98" s="52"/>
      <c r="J98" s="52" t="s">
        <v>1163</v>
      </c>
      <c r="K98" s="233" t="str">
        <f>+CONCATENATE(MID(Estructura_Balance[[#This Row],[Nombre Cuenta]],1,3)," - ", ,MID(Estructura_Balance[[#This Row],[Nombre Cuenta]],6,144))</f>
        <v>257 -  Derechos de reembolso derivados de contratos de seguro relativos a retribuciones a largo plazo al personal</v>
      </c>
      <c r="L98" s="52">
        <v>112</v>
      </c>
      <c r="M98" s="52" t="s">
        <v>1099</v>
      </c>
      <c r="N98" s="150"/>
      <c r="O98" s="150"/>
      <c r="P98" s="150"/>
      <c r="Q98" s="150"/>
      <c r="R98" s="150"/>
      <c r="S98" s="150"/>
      <c r="T98" s="150"/>
      <c r="U98" s="150"/>
    </row>
    <row r="99" spans="1:21" ht="14.25" customHeight="1">
      <c r="A99" s="52" t="s">
        <v>774</v>
      </c>
      <c r="B99" s="52" t="s">
        <v>775</v>
      </c>
      <c r="C99" s="52" t="s">
        <v>831</v>
      </c>
      <c r="D99" s="52" t="s">
        <v>1149</v>
      </c>
      <c r="E99" s="52">
        <v>2580</v>
      </c>
      <c r="F99" s="52" t="s">
        <v>1151</v>
      </c>
      <c r="G99" s="52" t="s">
        <v>830</v>
      </c>
      <c r="H99" s="52" t="s">
        <v>1097</v>
      </c>
      <c r="I99" s="52"/>
      <c r="J99" s="52" t="s">
        <v>1164</v>
      </c>
      <c r="K99" s="233" t="str">
        <f>+CONCATENATE(MID(Estructura_Balance[[#This Row],[Nombre Cuenta]],1,3)," - ", ,MID(Estructura_Balance[[#This Row],[Nombre Cuenta]],6,144))</f>
        <v>258 -  Imposiciones a largo plazo</v>
      </c>
      <c r="L99" s="52">
        <v>32</v>
      </c>
      <c r="M99" s="52" t="s">
        <v>1099</v>
      </c>
      <c r="N99" s="150"/>
      <c r="O99" s="150"/>
      <c r="P99" s="150"/>
      <c r="Q99" s="150"/>
      <c r="R99" s="150"/>
      <c r="S99" s="150"/>
      <c r="T99" s="150"/>
      <c r="U99" s="150"/>
    </row>
    <row r="100" spans="1:21" ht="14.25" customHeight="1">
      <c r="A100" s="52" t="s">
        <v>774</v>
      </c>
      <c r="B100" s="52" t="s">
        <v>775</v>
      </c>
      <c r="C100" s="52" t="s">
        <v>831</v>
      </c>
      <c r="D100" s="52" t="s">
        <v>1149</v>
      </c>
      <c r="E100" s="52">
        <v>2590</v>
      </c>
      <c r="F100" s="52" t="s">
        <v>1151</v>
      </c>
      <c r="G100" s="52" t="s">
        <v>1165</v>
      </c>
      <c r="H100" s="52" t="s">
        <v>1097</v>
      </c>
      <c r="I100" s="52"/>
      <c r="J100" s="52" t="s">
        <v>1166</v>
      </c>
      <c r="K100" s="233" t="str">
        <f>+CONCATENATE(MID(Estructura_Balance[[#This Row],[Nombre Cuenta]],1,3)," - ", ,MID(Estructura_Balance[[#This Row],[Nombre Cuenta]],6,144))</f>
        <v>259 -  Desembolsos pendientes sobre participaciones en el patrimonio neto a largo plazo</v>
      </c>
      <c r="L100" s="52">
        <v>86</v>
      </c>
      <c r="M100" s="52" t="s">
        <v>1099</v>
      </c>
      <c r="N100" s="150"/>
      <c r="O100" s="150"/>
      <c r="P100" s="150"/>
      <c r="Q100" s="150"/>
      <c r="R100" s="150"/>
      <c r="S100" s="150"/>
      <c r="T100" s="150"/>
      <c r="U100" s="150"/>
    </row>
    <row r="101" spans="1:21" ht="14.25" customHeight="1">
      <c r="A101" s="52" t="s">
        <v>774</v>
      </c>
      <c r="B101" s="52" t="s">
        <v>775</v>
      </c>
      <c r="C101" s="52" t="s">
        <v>831</v>
      </c>
      <c r="D101" s="52" t="s">
        <v>1149</v>
      </c>
      <c r="E101" s="52">
        <v>2580</v>
      </c>
      <c r="F101" s="52" t="str">
        <f>+MID(Estructura_Balance[[#This Row],[CPGC]],1,2)</f>
        <v>25</v>
      </c>
      <c r="G101" s="52" t="str">
        <f>+MID(Estructura_Balance[[#This Row],[CPGC]],1,3)</f>
        <v>258</v>
      </c>
      <c r="H101" s="52" t="str">
        <f>+MID(Estructura_Balance[[#This Row],[Grupo]],1,7)</f>
        <v>Grupo 2</v>
      </c>
      <c r="I101" s="52"/>
      <c r="J101" s="52" t="s">
        <v>1164</v>
      </c>
      <c r="K101" s="233" t="str">
        <f>+CONCATENATE(MID(Estructura_Balance[[#This Row],[Nombre Cuenta]],1,3)," - ", ,MID(Estructura_Balance[[#This Row],[Nombre Cuenta]],6,144))</f>
        <v>258 -  Imposiciones a largo plazo</v>
      </c>
      <c r="L101" s="52" t="e">
        <f>+LEN([1]!Estructura_Balance[[#This Row],[Nombre Cuenta]])</f>
        <v>#REF!</v>
      </c>
      <c r="M101" s="52" t="s">
        <v>1099</v>
      </c>
      <c r="N101" s="150"/>
      <c r="O101" s="150"/>
      <c r="P101" s="150"/>
      <c r="Q101" s="150"/>
      <c r="R101" s="150"/>
      <c r="S101" s="150"/>
      <c r="T101" s="150"/>
      <c r="U101" s="150"/>
    </row>
    <row r="102" spans="1:21" ht="14.25" customHeight="1">
      <c r="A102" s="52" t="s">
        <v>774</v>
      </c>
      <c r="B102" s="52" t="s">
        <v>775</v>
      </c>
      <c r="C102" s="52" t="s">
        <v>831</v>
      </c>
      <c r="D102" s="52" t="s">
        <v>1149</v>
      </c>
      <c r="E102" s="52">
        <v>2600</v>
      </c>
      <c r="F102" s="52" t="str">
        <f>+MID(Estructura_Balance[[#This Row],[CPGC]],1,2)</f>
        <v>26</v>
      </c>
      <c r="G102" s="52" t="str">
        <f>+MID(Estructura_Balance[[#This Row],[CPGC]],1,3)</f>
        <v>260</v>
      </c>
      <c r="H102" s="52" t="str">
        <f>+MID(Estructura_Balance[[#This Row],[Grupo]],1,7)</f>
        <v>Grupo 2</v>
      </c>
      <c r="I102" s="52"/>
      <c r="J102" s="52" t="s">
        <v>1167</v>
      </c>
      <c r="K102" s="233" t="str">
        <f>+CONCATENATE(MID(Estructura_Balance[[#This Row],[Nombre Cuenta]],1,3)," - ", ,MID(Estructura_Balance[[#This Row],[Nombre Cuenta]],6,144))</f>
        <v>260 -  Fianzas constituidas a largo plazo</v>
      </c>
      <c r="L102" s="52" t="e">
        <f>+LEN([1]!Estructura_Balance[[#This Row],[Nombre Cuenta]])</f>
        <v>#REF!</v>
      </c>
      <c r="M102" s="52" t="s">
        <v>1099</v>
      </c>
      <c r="N102" s="150"/>
      <c r="O102" s="150"/>
      <c r="P102" s="150"/>
      <c r="Q102" s="150"/>
      <c r="R102" s="150"/>
      <c r="S102" s="150"/>
      <c r="T102" s="150"/>
      <c r="U102" s="150"/>
    </row>
    <row r="103" spans="1:21" ht="14.25" customHeight="1">
      <c r="A103" s="52" t="s">
        <v>774</v>
      </c>
      <c r="B103" s="52" t="s">
        <v>775</v>
      </c>
      <c r="C103" s="52" t="s">
        <v>831</v>
      </c>
      <c r="D103" s="52" t="s">
        <v>1149</v>
      </c>
      <c r="E103" s="52">
        <v>2650</v>
      </c>
      <c r="F103" s="52" t="str">
        <f>+MID(Estructura_Balance[[#This Row],[CPGC]],1,2)</f>
        <v>26</v>
      </c>
      <c r="G103" s="52" t="str">
        <f>+MID(Estructura_Balance[[#This Row],[CPGC]],1,3)</f>
        <v>265</v>
      </c>
      <c r="H103" s="52" t="str">
        <f>+MID(Estructura_Balance[[#This Row],[Grupo]],1,7)</f>
        <v>Grupo 2</v>
      </c>
      <c r="I103" s="52"/>
      <c r="J103" s="52" t="s">
        <v>1168</v>
      </c>
      <c r="K103" s="233" t="str">
        <f>+CONCATENATE(MID(Estructura_Balance[[#This Row],[Nombre Cuenta]],1,3)," - ", ,MID(Estructura_Balance[[#This Row],[Nombre Cuenta]],6,144))</f>
        <v>265 -  Depósitos constituidos a largo plazo</v>
      </c>
      <c r="L103" s="52" t="e">
        <f>+LEN([1]!Estructura_Balance[[#This Row],[Nombre Cuenta]])</f>
        <v>#REF!</v>
      </c>
      <c r="M103" s="52" t="s">
        <v>1099</v>
      </c>
      <c r="N103" s="150"/>
      <c r="O103" s="150"/>
      <c r="P103" s="150"/>
      <c r="Q103" s="150"/>
      <c r="R103" s="150"/>
      <c r="S103" s="150"/>
      <c r="T103" s="150"/>
      <c r="U103" s="150"/>
    </row>
    <row r="104" spans="1:21" ht="14.25" customHeight="1">
      <c r="A104" s="52" t="s">
        <v>774</v>
      </c>
      <c r="B104" s="52" t="s">
        <v>775</v>
      </c>
      <c r="C104" s="52" t="s">
        <v>777</v>
      </c>
      <c r="D104" s="52" t="s">
        <v>1096</v>
      </c>
      <c r="E104" s="52">
        <v>2800</v>
      </c>
      <c r="F104" s="52" t="str">
        <f>+MID(Estructura_Balance[[#This Row],[CPGC]],1,2)</f>
        <v>28</v>
      </c>
      <c r="G104" s="52" t="str">
        <f>+MID(Estructura_Balance[[#This Row],[CPGC]],1,3)</f>
        <v>280</v>
      </c>
      <c r="H104" s="52" t="str">
        <f>+MID(Estructura_Balance[[#This Row],[Grupo]],1,7)</f>
        <v>Grupo 2</v>
      </c>
      <c r="I104" s="52"/>
      <c r="J104" s="52" t="s">
        <v>1169</v>
      </c>
      <c r="K104" s="233" t="str">
        <f>+CONCATENATE(MID(Estructura_Balance[[#This Row],[Nombre Cuenta]],1,3)," - ", ,MID(Estructura_Balance[[#This Row],[Nombre Cuenta]],6,144))</f>
        <v>280 -  Amortización acumulada de inmovilizado intangible</v>
      </c>
      <c r="L104" s="52" t="e">
        <f>+LEN([1]!Estructura_Balance[[#This Row],[Nombre Cuenta]])</f>
        <v>#REF!</v>
      </c>
      <c r="M104" s="52" t="s">
        <v>1099</v>
      </c>
      <c r="N104" s="150"/>
      <c r="O104" s="150"/>
      <c r="P104" s="150"/>
      <c r="Q104" s="150"/>
      <c r="R104" s="150"/>
      <c r="S104" s="150"/>
      <c r="T104" s="150"/>
      <c r="U104" s="150"/>
    </row>
    <row r="105" spans="1:21" ht="14.25" customHeight="1">
      <c r="A105" s="52" t="s">
        <v>774</v>
      </c>
      <c r="B105" s="52" t="s">
        <v>775</v>
      </c>
      <c r="C105" s="52" t="s">
        <v>779</v>
      </c>
      <c r="D105" s="52" t="s">
        <v>1112</v>
      </c>
      <c r="E105" s="52">
        <v>2810</v>
      </c>
      <c r="F105" s="52" t="str">
        <f>+MID(Estructura_Balance[[#This Row],[CPGC]],1,2)</f>
        <v>28</v>
      </c>
      <c r="G105" s="52" t="str">
        <f>+MID(Estructura_Balance[[#This Row],[CPGC]],1,3)</f>
        <v>281</v>
      </c>
      <c r="H105" s="52" t="str">
        <f>+MID(Estructura_Balance[[#This Row],[Grupo]],1,7)</f>
        <v>Grupo 2</v>
      </c>
      <c r="I105" s="52"/>
      <c r="J105" s="52" t="s">
        <v>1170</v>
      </c>
      <c r="K105" s="233" t="str">
        <f>+CONCATENATE(MID(Estructura_Balance[[#This Row],[Nombre Cuenta]],1,3)," - ", ,MID(Estructura_Balance[[#This Row],[Nombre Cuenta]],6,144))</f>
        <v>281 -  Amortizacion acumulada de inmovilizado material</v>
      </c>
      <c r="L105" s="52" t="e">
        <f>+LEN([1]!Estructura_Balance[[#This Row],[Nombre Cuenta]])</f>
        <v>#REF!</v>
      </c>
      <c r="M105" s="52" t="s">
        <v>1099</v>
      </c>
      <c r="N105" s="150"/>
      <c r="O105" s="150"/>
      <c r="P105" s="150"/>
      <c r="Q105" s="150"/>
      <c r="R105" s="150"/>
      <c r="S105" s="150"/>
      <c r="T105" s="150"/>
      <c r="U105" s="150"/>
    </row>
    <row r="106" spans="1:21" ht="14.25" customHeight="1">
      <c r="A106" s="52" t="s">
        <v>774</v>
      </c>
      <c r="B106" s="52" t="s">
        <v>775</v>
      </c>
      <c r="C106" s="52" t="s">
        <v>781</v>
      </c>
      <c r="D106" s="52" t="s">
        <v>1128</v>
      </c>
      <c r="E106" s="52">
        <v>2820</v>
      </c>
      <c r="F106" s="52" t="str">
        <f>+MID(Estructura_Balance[[#This Row],[CPGC]],1,2)</f>
        <v>28</v>
      </c>
      <c r="G106" s="52" t="str">
        <f>+MID(Estructura_Balance[[#This Row],[CPGC]],1,3)</f>
        <v>282</v>
      </c>
      <c r="H106" s="52" t="str">
        <f>+MID(Estructura_Balance[[#This Row],[Grupo]],1,7)</f>
        <v>Grupo 2</v>
      </c>
      <c r="I106" s="52"/>
      <c r="J106" s="52" t="s">
        <v>1171</v>
      </c>
      <c r="K106" s="233" t="str">
        <f>+CONCATENATE(MID(Estructura_Balance[[#This Row],[Nombre Cuenta]],1,3)," - ", ,MID(Estructura_Balance[[#This Row],[Nombre Cuenta]],6,144))</f>
        <v>282 -  Amortización acumulada de las inversiones inmobiliarias</v>
      </c>
      <c r="L106" s="52" t="e">
        <f>+LEN([1]!Estructura_Balance[[#This Row],[Nombre Cuenta]])</f>
        <v>#REF!</v>
      </c>
      <c r="M106" s="52" t="s">
        <v>1099</v>
      </c>
      <c r="N106" s="150"/>
      <c r="O106" s="150"/>
      <c r="P106" s="150"/>
      <c r="Q106" s="150"/>
      <c r="R106" s="150"/>
      <c r="S106" s="150"/>
      <c r="T106" s="150"/>
      <c r="U106" s="150"/>
    </row>
    <row r="107" spans="1:21" ht="14.25" customHeight="1">
      <c r="A107" s="52" t="s">
        <v>774</v>
      </c>
      <c r="B107" s="52" t="s">
        <v>775</v>
      </c>
      <c r="C107" s="52" t="s">
        <v>779</v>
      </c>
      <c r="D107" s="52" t="s">
        <v>1112</v>
      </c>
      <c r="E107" s="52">
        <v>2900</v>
      </c>
      <c r="F107" s="52" t="str">
        <f>+MID(Estructura_Balance[[#This Row],[CPGC]],1,2)</f>
        <v>29</v>
      </c>
      <c r="G107" s="52" t="str">
        <f>+MID(Estructura_Balance[[#This Row],[CPGC]],1,3)</f>
        <v>290</v>
      </c>
      <c r="H107" s="52" t="str">
        <f>+MID(Estructura_Balance[[#This Row],[Grupo]],1,7)</f>
        <v>Grupo 2</v>
      </c>
      <c r="I107" s="52"/>
      <c r="J107" s="52" t="s">
        <v>1172</v>
      </c>
      <c r="K107" s="233" t="str">
        <f>+CONCATENATE(MID(Estructura_Balance[[#This Row],[Nombre Cuenta]],1,3)," - ", ,MID(Estructura_Balance[[#This Row],[Nombre Cuenta]],6,144))</f>
        <v>290 -  Deterioro de valor del inmovilizado intangible</v>
      </c>
      <c r="L107" s="52" t="e">
        <f>+LEN([1]!Estructura_Balance[[#This Row],[Nombre Cuenta]])</f>
        <v>#REF!</v>
      </c>
      <c r="M107" s="52" t="s">
        <v>1099</v>
      </c>
      <c r="N107" s="150"/>
      <c r="O107" s="150"/>
      <c r="P107" s="150"/>
      <c r="Q107" s="150"/>
      <c r="R107" s="150"/>
      <c r="S107" s="150"/>
      <c r="T107" s="150"/>
      <c r="U107" s="150"/>
    </row>
    <row r="108" spans="1:21" ht="14.25" customHeight="1">
      <c r="A108" s="52" t="s">
        <v>774</v>
      </c>
      <c r="B108" s="52" t="s">
        <v>775</v>
      </c>
      <c r="C108" s="52" t="s">
        <v>779</v>
      </c>
      <c r="D108" s="52" t="s">
        <v>1112</v>
      </c>
      <c r="E108" s="52">
        <v>2910</v>
      </c>
      <c r="F108" s="52" t="str">
        <f>+MID(Estructura_Balance[[#This Row],[CPGC]],1,2)</f>
        <v>29</v>
      </c>
      <c r="G108" s="52" t="str">
        <f>+MID(Estructura_Balance[[#This Row],[CPGC]],1,3)</f>
        <v>291</v>
      </c>
      <c r="H108" s="52" t="str">
        <f>+MID(Estructura_Balance[[#This Row],[Grupo]],1,7)</f>
        <v>Grupo 2</v>
      </c>
      <c r="I108" s="52"/>
      <c r="J108" s="52" t="s">
        <v>1173</v>
      </c>
      <c r="K108" s="233" t="str">
        <f>+CONCATENATE(MID(Estructura_Balance[[#This Row],[Nombre Cuenta]],1,3)," - ", ,MID(Estructura_Balance[[#This Row],[Nombre Cuenta]],6,144))</f>
        <v>291 -  Deterioro de valor del inmovilizado material</v>
      </c>
      <c r="L108" s="52" t="e">
        <f>+LEN([1]!Estructura_Balance[[#This Row],[Nombre Cuenta]])</f>
        <v>#REF!</v>
      </c>
      <c r="M108" s="52" t="s">
        <v>1099</v>
      </c>
      <c r="N108" s="150"/>
      <c r="O108" s="150"/>
      <c r="P108" s="150"/>
      <c r="Q108" s="150"/>
      <c r="R108" s="150"/>
      <c r="S108" s="150"/>
      <c r="T108" s="150"/>
      <c r="U108" s="150"/>
    </row>
    <row r="109" spans="1:21" ht="14.25" customHeight="1">
      <c r="A109" s="52" t="s">
        <v>774</v>
      </c>
      <c r="B109" s="52" t="s">
        <v>775</v>
      </c>
      <c r="C109" s="52" t="s">
        <v>779</v>
      </c>
      <c r="D109" s="52" t="s">
        <v>1112</v>
      </c>
      <c r="E109" s="52">
        <v>2920</v>
      </c>
      <c r="F109" s="52" t="str">
        <f>+MID(Estructura_Balance[[#This Row],[CPGC]],1,2)</f>
        <v>29</v>
      </c>
      <c r="G109" s="52" t="str">
        <f>+MID(Estructura_Balance[[#This Row],[CPGC]],1,3)</f>
        <v>292</v>
      </c>
      <c r="H109" s="52" t="str">
        <f>+MID(Estructura_Balance[[#This Row],[Grupo]],1,7)</f>
        <v>Grupo 2</v>
      </c>
      <c r="I109" s="52"/>
      <c r="J109" s="52" t="s">
        <v>1174</v>
      </c>
      <c r="K109" s="233" t="str">
        <f>+CONCATENATE(MID(Estructura_Balance[[#This Row],[Nombre Cuenta]],1,3)," - ", ,MID(Estructura_Balance[[#This Row],[Nombre Cuenta]],6,144))</f>
        <v>292 -  Deterioro de valor de las inversiones inmobiliarias</v>
      </c>
      <c r="L109" s="52" t="e">
        <f>+LEN([1]!Estructura_Balance[[#This Row],[Nombre Cuenta]])</f>
        <v>#REF!</v>
      </c>
      <c r="M109" s="52" t="s">
        <v>1099</v>
      </c>
      <c r="N109" s="150"/>
      <c r="O109" s="150"/>
      <c r="P109" s="150"/>
      <c r="Q109" s="150"/>
      <c r="R109" s="150"/>
      <c r="S109" s="150"/>
      <c r="T109" s="150"/>
      <c r="U109" s="150"/>
    </row>
    <row r="110" spans="1:21" ht="14.25" customHeight="1">
      <c r="A110" s="52" t="s">
        <v>774</v>
      </c>
      <c r="B110" s="52" t="s">
        <v>775</v>
      </c>
      <c r="C110" s="52" t="s">
        <v>779</v>
      </c>
      <c r="D110" s="52" t="s">
        <v>1112</v>
      </c>
      <c r="E110" s="52">
        <v>2930</v>
      </c>
      <c r="F110" s="52" t="str">
        <f>+MID(Estructura_Balance[[#This Row],[CPGC]],1,2)</f>
        <v>29</v>
      </c>
      <c r="G110" s="52" t="str">
        <f>+MID(Estructura_Balance[[#This Row],[CPGC]],1,3)</f>
        <v>293</v>
      </c>
      <c r="H110" s="52" t="str">
        <f>+MID(Estructura_Balance[[#This Row],[Grupo]],1,7)</f>
        <v>Grupo 2</v>
      </c>
      <c r="I110" s="52"/>
      <c r="J110" s="52" t="s">
        <v>1175</v>
      </c>
      <c r="K110" s="233" t="str">
        <f>+CONCATENATE(MID(Estructura_Balance[[#This Row],[Nombre Cuenta]],1,3)," - ", ,MID(Estructura_Balance[[#This Row],[Nombre Cuenta]],6,144))</f>
        <v>293 -  Deterioro de valor de participaciones a largo plazo en partes vinculadas</v>
      </c>
      <c r="L110" s="52" t="e">
        <f>+LEN([1]!Estructura_Balance[[#This Row],[Nombre Cuenta]])</f>
        <v>#REF!</v>
      </c>
      <c r="M110" s="52" t="s">
        <v>1099</v>
      </c>
      <c r="N110" s="150"/>
      <c r="O110" s="150"/>
      <c r="P110" s="150"/>
      <c r="Q110" s="150"/>
      <c r="R110" s="150"/>
      <c r="S110" s="150"/>
      <c r="T110" s="150"/>
      <c r="U110" s="150"/>
    </row>
    <row r="111" spans="1:21" ht="14.25" customHeight="1">
      <c r="A111" s="52" t="s">
        <v>774</v>
      </c>
      <c r="B111" s="52" t="s">
        <v>775</v>
      </c>
      <c r="C111" s="52" t="s">
        <v>779</v>
      </c>
      <c r="D111" s="52" t="s">
        <v>1112</v>
      </c>
      <c r="E111" s="52">
        <v>2940</v>
      </c>
      <c r="F111" s="52" t="str">
        <f>+MID(Estructura_Balance[[#This Row],[CPGC]],1,2)</f>
        <v>29</v>
      </c>
      <c r="G111" s="52" t="str">
        <f>+MID(Estructura_Balance[[#This Row],[CPGC]],1,3)</f>
        <v>294</v>
      </c>
      <c r="H111" s="52" t="str">
        <f>+MID(Estructura_Balance[[#This Row],[Grupo]],1,7)</f>
        <v>Grupo 2</v>
      </c>
      <c r="I111" s="52"/>
      <c r="J111" s="52" t="s">
        <v>1176</v>
      </c>
      <c r="K111" s="233" t="str">
        <f>+CONCATENATE(MID(Estructura_Balance[[#This Row],[Nombre Cuenta]],1,3)," - ", ,MID(Estructura_Balance[[#This Row],[Nombre Cuenta]],6,144))</f>
        <v>294 -  Deterioro de valor de valores representativos de deuda a largo plazo de partes vinculadas</v>
      </c>
      <c r="L111" s="52" t="e">
        <f>+LEN([1]!Estructura_Balance[[#This Row],[Nombre Cuenta]])</f>
        <v>#REF!</v>
      </c>
      <c r="M111" s="52" t="s">
        <v>1099</v>
      </c>
      <c r="N111" s="150"/>
      <c r="O111" s="150"/>
      <c r="P111" s="150"/>
      <c r="Q111" s="150"/>
      <c r="R111" s="150"/>
      <c r="S111" s="150"/>
      <c r="T111" s="150"/>
      <c r="U111" s="150"/>
    </row>
    <row r="112" spans="1:21" ht="14.25" customHeight="1">
      <c r="A112" s="52" t="s">
        <v>774</v>
      </c>
      <c r="B112" s="52" t="s">
        <v>775</v>
      </c>
      <c r="C112" s="52" t="s">
        <v>779</v>
      </c>
      <c r="D112" s="52" t="s">
        <v>1112</v>
      </c>
      <c r="E112" s="52">
        <v>2950</v>
      </c>
      <c r="F112" s="52" t="str">
        <f>+MID(Estructura_Balance[[#This Row],[CPGC]],1,2)</f>
        <v>29</v>
      </c>
      <c r="G112" s="52" t="str">
        <f>+MID(Estructura_Balance[[#This Row],[CPGC]],1,3)</f>
        <v>295</v>
      </c>
      <c r="H112" s="52" t="str">
        <f>+MID(Estructura_Balance[[#This Row],[Grupo]],1,7)</f>
        <v>Grupo 2</v>
      </c>
      <c r="I112" s="52"/>
      <c r="J112" s="52" t="s">
        <v>1177</v>
      </c>
      <c r="K112" s="233" t="str">
        <f>+CONCATENATE(MID(Estructura_Balance[[#This Row],[Nombre Cuenta]],1,3)," - ", ,MID(Estructura_Balance[[#This Row],[Nombre Cuenta]],6,144))</f>
        <v>295 -  Deterioro de valor de créditos a largo plazo a partes vinculadas</v>
      </c>
      <c r="L112" s="52" t="e">
        <f>+LEN([1]!Estructura_Balance[[#This Row],[Nombre Cuenta]])</f>
        <v>#REF!</v>
      </c>
      <c r="M112" s="52" t="s">
        <v>1099</v>
      </c>
      <c r="N112" s="150"/>
      <c r="O112" s="150"/>
      <c r="P112" s="150"/>
      <c r="Q112" s="150"/>
      <c r="R112" s="150"/>
      <c r="S112" s="150"/>
      <c r="T112" s="150"/>
      <c r="U112" s="150"/>
    </row>
    <row r="113" spans="1:21" ht="14.25" customHeight="1">
      <c r="A113" s="52" t="s">
        <v>774</v>
      </c>
      <c r="B113" s="52" t="s">
        <v>775</v>
      </c>
      <c r="C113" s="52" t="s">
        <v>779</v>
      </c>
      <c r="D113" s="52" t="s">
        <v>1112</v>
      </c>
      <c r="E113" s="52">
        <v>2970</v>
      </c>
      <c r="F113" s="52" t="str">
        <f>+MID(Estructura_Balance[[#This Row],[CPGC]],1,2)</f>
        <v>29</v>
      </c>
      <c r="G113" s="52" t="str">
        <f>+MID(Estructura_Balance[[#This Row],[CPGC]],1,3)</f>
        <v>297</v>
      </c>
      <c r="H113" s="52" t="str">
        <f>+MID(Estructura_Balance[[#This Row],[Grupo]],1,7)</f>
        <v>Grupo 2</v>
      </c>
      <c r="I113" s="52"/>
      <c r="J113" s="52" t="s">
        <v>1178</v>
      </c>
      <c r="K113" s="233" t="str">
        <f>+CONCATENATE(MID(Estructura_Balance[[#This Row],[Nombre Cuenta]],1,3)," - ", ,MID(Estructura_Balance[[#This Row],[Nombre Cuenta]],6,144))</f>
        <v>297 -  Deterioro de valor de valores representativos de deuda a largo plazo</v>
      </c>
      <c r="L113" s="52" t="e">
        <f>+LEN([1]!Estructura_Balance[[#This Row],[Nombre Cuenta]])</f>
        <v>#REF!</v>
      </c>
      <c r="M113" s="52" t="s">
        <v>1099</v>
      </c>
      <c r="N113" s="150"/>
      <c r="O113" s="150"/>
      <c r="P113" s="150"/>
      <c r="Q113" s="150"/>
      <c r="R113" s="150"/>
      <c r="S113" s="150"/>
      <c r="T113" s="150"/>
      <c r="U113" s="150"/>
    </row>
    <row r="114" spans="1:21" ht="14.25" customHeight="1">
      <c r="A114" s="52" t="s">
        <v>774</v>
      </c>
      <c r="B114" s="52" t="s">
        <v>775</v>
      </c>
      <c r="C114" s="52" t="s">
        <v>779</v>
      </c>
      <c r="D114" s="52" t="s">
        <v>1112</v>
      </c>
      <c r="E114" s="52">
        <v>2980</v>
      </c>
      <c r="F114" s="52" t="str">
        <f>+MID(Estructura_Balance[[#This Row],[CPGC]],1,2)</f>
        <v>29</v>
      </c>
      <c r="G114" s="52" t="str">
        <f>+MID(Estructura_Balance[[#This Row],[CPGC]],1,3)</f>
        <v>298</v>
      </c>
      <c r="H114" s="52" t="str">
        <f>+MID(Estructura_Balance[[#This Row],[Grupo]],1,7)</f>
        <v>Grupo 2</v>
      </c>
      <c r="I114" s="52"/>
      <c r="J114" s="52" t="s">
        <v>1179</v>
      </c>
      <c r="K114" s="233" t="str">
        <f>+CONCATENATE(MID(Estructura_Balance[[#This Row],[Nombre Cuenta]],1,3)," - ", ,MID(Estructura_Balance[[#This Row],[Nombre Cuenta]],6,144))</f>
        <v>298 -  Deterioro de valor de créditos a largo plazo</v>
      </c>
      <c r="L114" s="52" t="e">
        <f>+LEN([1]!Estructura_Balance[[#This Row],[Nombre Cuenta]])</f>
        <v>#REF!</v>
      </c>
      <c r="M114" s="52" t="s">
        <v>1099</v>
      </c>
      <c r="N114" s="150"/>
      <c r="O114" s="150"/>
      <c r="P114" s="150"/>
      <c r="Q114" s="150"/>
      <c r="R114" s="150"/>
      <c r="S114" s="150"/>
      <c r="T114" s="150"/>
      <c r="U114" s="150"/>
    </row>
    <row r="115" spans="1:21" ht="14.25" customHeight="1">
      <c r="A115" s="52" t="s">
        <v>774</v>
      </c>
      <c r="B115" s="52" t="s">
        <v>787</v>
      </c>
      <c r="C115" s="52" t="s">
        <v>791</v>
      </c>
      <c r="D115" s="52" t="s">
        <v>1180</v>
      </c>
      <c r="E115" s="52">
        <v>3000</v>
      </c>
      <c r="F115" s="52" t="str">
        <f>+MID(Estructura_Balance[[#This Row],[CPGC]],1,2)</f>
        <v>30</v>
      </c>
      <c r="G115" s="52" t="str">
        <f>+MID(Estructura_Balance[[#This Row],[CPGC]],1,3)</f>
        <v>300</v>
      </c>
      <c r="H115" s="52" t="str">
        <f>+MID(Estructura_Balance[[#This Row],[Grupo]],1,7)</f>
        <v>Grupo 3</v>
      </c>
      <c r="I115" s="52"/>
      <c r="J115" s="52" t="s">
        <v>1181</v>
      </c>
      <c r="K115" s="233" t="str">
        <f>+CONCATENATE(MID(Estructura_Balance[[#This Row],[Nombre Cuenta]],1,3)," - ", ,MID(Estructura_Balance[[#This Row],[Nombre Cuenta]],6,144))</f>
        <v>300 -  Mercaderías</v>
      </c>
      <c r="L115" s="52" t="e">
        <f>+LEN([1]!Estructura_Balance[[#This Row],[Nombre Cuenta]])</f>
        <v>#REF!</v>
      </c>
      <c r="M115" s="52" t="s">
        <v>1182</v>
      </c>
      <c r="N115" s="150"/>
      <c r="O115" s="150"/>
      <c r="P115" s="150"/>
      <c r="Q115" s="150"/>
      <c r="R115" s="150"/>
      <c r="S115" s="150"/>
      <c r="T115" s="150"/>
      <c r="U115" s="150"/>
    </row>
    <row r="116" spans="1:21" ht="14.25" customHeight="1">
      <c r="A116" s="52" t="s">
        <v>774</v>
      </c>
      <c r="B116" s="52" t="s">
        <v>787</v>
      </c>
      <c r="C116" s="52" t="s">
        <v>791</v>
      </c>
      <c r="D116" s="52" t="s">
        <v>1180</v>
      </c>
      <c r="E116" s="52">
        <v>3100</v>
      </c>
      <c r="F116" s="52" t="str">
        <f>+MID(Estructura_Balance[[#This Row],[CPGC]],1,2)</f>
        <v>31</v>
      </c>
      <c r="G116" s="52" t="str">
        <f>+MID(Estructura_Balance[[#This Row],[CPGC]],1,3)</f>
        <v>310</v>
      </c>
      <c r="H116" s="52" t="str">
        <f>+MID(Estructura_Balance[[#This Row],[Grupo]],1,7)</f>
        <v>Grupo 3</v>
      </c>
      <c r="I116" s="52"/>
      <c r="J116" s="52" t="s">
        <v>1183</v>
      </c>
      <c r="K116" s="233" t="str">
        <f>+CONCATENATE(MID(Estructura_Balance[[#This Row],[Nombre Cuenta]],1,3)," - ", ,MID(Estructura_Balance[[#This Row],[Nombre Cuenta]],6,144))</f>
        <v>310 -  Materias primas</v>
      </c>
      <c r="L116" s="52" t="e">
        <f>+LEN([1]!Estructura_Balance[[#This Row],[Nombre Cuenta]])</f>
        <v>#REF!</v>
      </c>
      <c r="M116" s="52" t="s">
        <v>1182</v>
      </c>
      <c r="N116" s="150"/>
      <c r="O116" s="150"/>
      <c r="P116" s="150"/>
      <c r="Q116" s="150"/>
      <c r="R116" s="150"/>
      <c r="S116" s="150"/>
      <c r="T116" s="150"/>
      <c r="U116" s="150"/>
    </row>
    <row r="117" spans="1:21" ht="14.25" customHeight="1">
      <c r="A117" s="52" t="s">
        <v>774</v>
      </c>
      <c r="B117" s="52" t="s">
        <v>787</v>
      </c>
      <c r="C117" s="52" t="s">
        <v>791</v>
      </c>
      <c r="D117" s="52" t="s">
        <v>1180</v>
      </c>
      <c r="E117" s="52">
        <v>3200</v>
      </c>
      <c r="F117" s="52" t="s">
        <v>1184</v>
      </c>
      <c r="G117" s="52" t="s">
        <v>1185</v>
      </c>
      <c r="H117" s="52" t="s">
        <v>1186</v>
      </c>
      <c r="I117" s="52"/>
      <c r="J117" s="52" t="s">
        <v>1187</v>
      </c>
      <c r="K117" s="233" t="str">
        <f>+CONCATENATE(MID(Estructura_Balance[[#This Row],[Nombre Cuenta]],1,3)," - ", ,MID(Estructura_Balance[[#This Row],[Nombre Cuenta]],6,144))</f>
        <v>320 -  Elementos y conjuntos incorporables</v>
      </c>
      <c r="L117" s="52">
        <v>41</v>
      </c>
      <c r="M117" s="52" t="s">
        <v>1182</v>
      </c>
      <c r="N117" s="150"/>
      <c r="O117" s="150"/>
      <c r="P117" s="150"/>
      <c r="Q117" s="150"/>
      <c r="R117" s="150"/>
      <c r="S117" s="150"/>
      <c r="T117" s="150"/>
      <c r="U117" s="150"/>
    </row>
    <row r="118" spans="1:21" ht="14.25" customHeight="1">
      <c r="A118" s="52" t="s">
        <v>774</v>
      </c>
      <c r="B118" s="52" t="s">
        <v>787</v>
      </c>
      <c r="C118" s="52" t="s">
        <v>791</v>
      </c>
      <c r="D118" s="52" t="s">
        <v>1180</v>
      </c>
      <c r="E118" s="52">
        <v>3210</v>
      </c>
      <c r="F118" s="52" t="s">
        <v>1184</v>
      </c>
      <c r="G118" s="52" t="s">
        <v>1188</v>
      </c>
      <c r="H118" s="52" t="s">
        <v>1186</v>
      </c>
      <c r="I118" s="52"/>
      <c r="J118" s="52" t="s">
        <v>1189</v>
      </c>
      <c r="K118" s="233" t="str">
        <f>+CONCATENATE(MID(Estructura_Balance[[#This Row],[Nombre Cuenta]],1,3)," - ", ,MID(Estructura_Balance[[#This Row],[Nombre Cuenta]],6,144))</f>
        <v>321 -  Existencias Combustibles</v>
      </c>
      <c r="L118" s="52">
        <v>30</v>
      </c>
      <c r="M118" s="52" t="s">
        <v>1182</v>
      </c>
      <c r="N118" s="150"/>
      <c r="O118" s="150"/>
      <c r="P118" s="150"/>
      <c r="Q118" s="150"/>
      <c r="R118" s="150"/>
      <c r="S118" s="150"/>
      <c r="T118" s="150"/>
      <c r="U118" s="150"/>
    </row>
    <row r="119" spans="1:21" ht="14.25" customHeight="1">
      <c r="A119" s="52" t="s">
        <v>774</v>
      </c>
      <c r="B119" s="52" t="s">
        <v>787</v>
      </c>
      <c r="C119" s="52" t="s">
        <v>791</v>
      </c>
      <c r="D119" s="52" t="s">
        <v>1180</v>
      </c>
      <c r="E119" s="52">
        <v>3220</v>
      </c>
      <c r="F119" s="52" t="s">
        <v>1184</v>
      </c>
      <c r="G119" s="52" t="s">
        <v>1190</v>
      </c>
      <c r="H119" s="52" t="s">
        <v>1186</v>
      </c>
      <c r="I119" s="52"/>
      <c r="J119" s="52" t="s">
        <v>1191</v>
      </c>
      <c r="K119" s="233" t="str">
        <f>+CONCATENATE(MID(Estructura_Balance[[#This Row],[Nombre Cuenta]],1,3)," - ", ,MID(Estructura_Balance[[#This Row],[Nombre Cuenta]],6,144))</f>
        <v>322 -  Repuestos</v>
      </c>
      <c r="L119" s="52">
        <v>15</v>
      </c>
      <c r="M119" s="52" t="s">
        <v>1182</v>
      </c>
      <c r="N119" s="150"/>
      <c r="O119" s="150"/>
      <c r="P119" s="150"/>
      <c r="Q119" s="150"/>
      <c r="R119" s="150"/>
      <c r="S119" s="150"/>
      <c r="T119" s="150"/>
      <c r="U119" s="150"/>
    </row>
    <row r="120" spans="1:21" ht="14.25" customHeight="1">
      <c r="A120" s="52" t="s">
        <v>774</v>
      </c>
      <c r="B120" s="52" t="s">
        <v>787</v>
      </c>
      <c r="C120" s="52" t="s">
        <v>791</v>
      </c>
      <c r="D120" s="52" t="s">
        <v>1180</v>
      </c>
      <c r="E120" s="52">
        <v>3250</v>
      </c>
      <c r="F120" s="52" t="s">
        <v>1184</v>
      </c>
      <c r="G120" s="52" t="s">
        <v>1192</v>
      </c>
      <c r="H120" s="52" t="s">
        <v>1186</v>
      </c>
      <c r="I120" s="52"/>
      <c r="J120" s="52" t="s">
        <v>1193</v>
      </c>
      <c r="K120" s="233" t="str">
        <f>+CONCATENATE(MID(Estructura_Balance[[#This Row],[Nombre Cuenta]],1,3)," - ", ,MID(Estructura_Balance[[#This Row],[Nombre Cuenta]],6,144))</f>
        <v>325 -  Materiales diversos</v>
      </c>
      <c r="L120" s="52">
        <v>25</v>
      </c>
      <c r="M120" s="52" t="s">
        <v>1182</v>
      </c>
      <c r="N120" s="150"/>
      <c r="O120" s="150"/>
      <c r="P120" s="150"/>
      <c r="Q120" s="150"/>
      <c r="R120" s="150"/>
      <c r="S120" s="150"/>
      <c r="T120" s="150"/>
      <c r="U120" s="150"/>
    </row>
    <row r="121" spans="1:21" ht="14.25" customHeight="1">
      <c r="A121" s="52" t="s">
        <v>774</v>
      </c>
      <c r="B121" s="52" t="s">
        <v>787</v>
      </c>
      <c r="C121" s="52" t="s">
        <v>791</v>
      </c>
      <c r="D121" s="52" t="s">
        <v>1180</v>
      </c>
      <c r="E121" s="52">
        <v>3260</v>
      </c>
      <c r="F121" s="52" t="s">
        <v>1184</v>
      </c>
      <c r="G121" s="52" t="s">
        <v>1194</v>
      </c>
      <c r="H121" s="52" t="s">
        <v>1186</v>
      </c>
      <c r="I121" s="52"/>
      <c r="J121" s="52" t="s">
        <v>1195</v>
      </c>
      <c r="K121" s="233" t="str">
        <f>+CONCATENATE(MID(Estructura_Balance[[#This Row],[Nombre Cuenta]],1,3)," - ", ,MID(Estructura_Balance[[#This Row],[Nombre Cuenta]],6,144))</f>
        <v>326 -  Embalajes</v>
      </c>
      <c r="L121" s="52">
        <v>15</v>
      </c>
      <c r="M121" s="52" t="s">
        <v>1182</v>
      </c>
      <c r="N121" s="150"/>
      <c r="O121" s="150"/>
      <c r="P121" s="150"/>
      <c r="Q121" s="150"/>
      <c r="R121" s="150"/>
      <c r="S121" s="150"/>
      <c r="T121" s="150"/>
      <c r="U121" s="150"/>
    </row>
    <row r="122" spans="1:21" ht="14.25" customHeight="1">
      <c r="A122" s="52" t="s">
        <v>774</v>
      </c>
      <c r="B122" s="52" t="s">
        <v>787</v>
      </c>
      <c r="C122" s="52" t="s">
        <v>791</v>
      </c>
      <c r="D122" s="52" t="s">
        <v>1180</v>
      </c>
      <c r="E122" s="52">
        <v>3270</v>
      </c>
      <c r="F122" s="52" t="s">
        <v>1184</v>
      </c>
      <c r="G122" s="52" t="s">
        <v>1196</v>
      </c>
      <c r="H122" s="52" t="s">
        <v>1186</v>
      </c>
      <c r="I122" s="52"/>
      <c r="J122" s="52" t="s">
        <v>1197</v>
      </c>
      <c r="K122" s="233" t="str">
        <f>+CONCATENATE(MID(Estructura_Balance[[#This Row],[Nombre Cuenta]],1,3)," - ", ,MID(Estructura_Balance[[#This Row],[Nombre Cuenta]],6,144))</f>
        <v>327 -  Envases</v>
      </c>
      <c r="L122" s="52">
        <v>13</v>
      </c>
      <c r="M122" s="52" t="s">
        <v>1182</v>
      </c>
      <c r="N122" s="150"/>
      <c r="O122" s="150"/>
      <c r="P122" s="150"/>
      <c r="Q122" s="150"/>
      <c r="R122" s="150"/>
      <c r="S122" s="150"/>
      <c r="T122" s="150"/>
      <c r="U122" s="150"/>
    </row>
    <row r="123" spans="1:21" ht="14.25" customHeight="1">
      <c r="A123" s="52" t="s">
        <v>774</v>
      </c>
      <c r="B123" s="52" t="s">
        <v>787</v>
      </c>
      <c r="C123" s="52" t="s">
        <v>791</v>
      </c>
      <c r="D123" s="52" t="s">
        <v>1180</v>
      </c>
      <c r="E123" s="52">
        <v>3280</v>
      </c>
      <c r="F123" s="52" t="s">
        <v>1184</v>
      </c>
      <c r="G123" s="52" t="s">
        <v>1198</v>
      </c>
      <c r="H123" s="52" t="s">
        <v>1186</v>
      </c>
      <c r="I123" s="52"/>
      <c r="J123" s="52" t="s">
        <v>1199</v>
      </c>
      <c r="K123" s="233" t="str">
        <f>+CONCATENATE(MID(Estructura_Balance[[#This Row],[Nombre Cuenta]],1,3)," - ", ,MID(Estructura_Balance[[#This Row],[Nombre Cuenta]],6,144))</f>
        <v>328 -  Material de oficina</v>
      </c>
      <c r="L123" s="52">
        <v>25</v>
      </c>
      <c r="M123" s="52" t="s">
        <v>1182</v>
      </c>
      <c r="N123" s="150"/>
      <c r="O123" s="150"/>
      <c r="P123" s="150"/>
      <c r="Q123" s="150"/>
      <c r="R123" s="150"/>
      <c r="S123" s="150"/>
      <c r="T123" s="150"/>
      <c r="U123" s="150"/>
    </row>
    <row r="124" spans="1:21" ht="14.25" customHeight="1">
      <c r="A124" s="52" t="s">
        <v>774</v>
      </c>
      <c r="B124" s="52" t="s">
        <v>787</v>
      </c>
      <c r="C124" s="52" t="s">
        <v>791</v>
      </c>
      <c r="D124" s="52" t="s">
        <v>1180</v>
      </c>
      <c r="E124" s="52">
        <v>3300</v>
      </c>
      <c r="F124" s="52" t="s">
        <v>1200</v>
      </c>
      <c r="G124" s="52" t="s">
        <v>1201</v>
      </c>
      <c r="H124" s="52" t="s">
        <v>1186</v>
      </c>
      <c r="I124" s="52"/>
      <c r="J124" s="52" t="s">
        <v>1202</v>
      </c>
      <c r="K124" s="233" t="str">
        <f>+CONCATENATE(MID(Estructura_Balance[[#This Row],[Nombre Cuenta]],1,3)," - ", ,MID(Estructura_Balance[[#This Row],[Nombre Cuenta]],6,144))</f>
        <v>330 -  Productos en curso</v>
      </c>
      <c r="L124" s="52">
        <v>26</v>
      </c>
      <c r="M124" s="52" t="s">
        <v>1182</v>
      </c>
      <c r="N124" s="150"/>
      <c r="O124" s="150"/>
      <c r="P124" s="150"/>
      <c r="Q124" s="150"/>
      <c r="R124" s="150"/>
      <c r="S124" s="150"/>
      <c r="T124" s="150"/>
      <c r="U124" s="150"/>
    </row>
    <row r="125" spans="1:21" ht="14.25" customHeight="1">
      <c r="A125" s="52" t="s">
        <v>774</v>
      </c>
      <c r="B125" s="52" t="s">
        <v>787</v>
      </c>
      <c r="C125" s="52" t="s">
        <v>791</v>
      </c>
      <c r="D125" s="52" t="s">
        <v>1180</v>
      </c>
      <c r="E125" s="52">
        <v>3400</v>
      </c>
      <c r="F125" s="52" t="s">
        <v>1203</v>
      </c>
      <c r="G125" s="52" t="s">
        <v>1204</v>
      </c>
      <c r="H125" s="52" t="s">
        <v>1186</v>
      </c>
      <c r="I125" s="52"/>
      <c r="J125" s="52" t="s">
        <v>1205</v>
      </c>
      <c r="K125" s="233" t="str">
        <f>+CONCATENATE(MID(Estructura_Balance[[#This Row],[Nombre Cuenta]],1,3)," - ", ,MID(Estructura_Balance[[#This Row],[Nombre Cuenta]],6,144))</f>
        <v>340 -  Productos semiterminados</v>
      </c>
      <c r="L125" s="52">
        <v>32</v>
      </c>
      <c r="M125" s="52" t="s">
        <v>1182</v>
      </c>
      <c r="N125" s="150"/>
      <c r="O125" s="150"/>
      <c r="P125" s="150"/>
      <c r="Q125" s="150"/>
      <c r="R125" s="150"/>
      <c r="S125" s="150"/>
      <c r="T125" s="150"/>
      <c r="U125" s="150"/>
    </row>
    <row r="126" spans="1:21" ht="14.25" customHeight="1">
      <c r="A126" s="52" t="s">
        <v>774</v>
      </c>
      <c r="B126" s="52" t="s">
        <v>787</v>
      </c>
      <c r="C126" s="52" t="s">
        <v>791</v>
      </c>
      <c r="D126" s="52" t="s">
        <v>1180</v>
      </c>
      <c r="E126" s="52">
        <v>3500</v>
      </c>
      <c r="F126" s="52" t="s">
        <v>1203</v>
      </c>
      <c r="G126" s="52">
        <v>350</v>
      </c>
      <c r="H126" s="52" t="s">
        <v>1186</v>
      </c>
      <c r="I126" s="52"/>
      <c r="J126" s="52" t="s">
        <v>1206</v>
      </c>
      <c r="K126" s="233" t="str">
        <f>+CONCATENATE(MID(Estructura_Balance[[#This Row],[Nombre Cuenta]],1,3)," - ", ,MID(Estructura_Balance[[#This Row],[Nombre Cuenta]],6,144))</f>
        <v>350 -  Productos terminados</v>
      </c>
      <c r="L126" s="52">
        <v>32</v>
      </c>
      <c r="M126" s="52" t="s">
        <v>1182</v>
      </c>
      <c r="N126" s="150"/>
      <c r="O126" s="150"/>
      <c r="P126" s="150"/>
      <c r="Q126" s="150"/>
      <c r="R126" s="150"/>
      <c r="S126" s="150"/>
      <c r="T126" s="150"/>
      <c r="U126" s="150"/>
    </row>
    <row r="127" spans="1:21" ht="14.25" customHeight="1">
      <c r="A127" s="52" t="s">
        <v>774</v>
      </c>
      <c r="B127" s="52" t="s">
        <v>787</v>
      </c>
      <c r="C127" s="52" t="s">
        <v>791</v>
      </c>
      <c r="D127" s="52" t="s">
        <v>1180</v>
      </c>
      <c r="E127" s="52">
        <v>3600</v>
      </c>
      <c r="F127" s="52" t="s">
        <v>1207</v>
      </c>
      <c r="G127" s="52" t="s">
        <v>1208</v>
      </c>
      <c r="H127" s="52" t="s">
        <v>1186</v>
      </c>
      <c r="I127" s="52"/>
      <c r="J127" s="52" t="s">
        <v>1209</v>
      </c>
      <c r="K127" s="233" t="str">
        <f>+CONCATENATE(MID(Estructura_Balance[[#This Row],[Nombre Cuenta]],1,3)," - ", ,MID(Estructura_Balance[[#This Row],[Nombre Cuenta]],6,144))</f>
        <v>360 -  Subproductos</v>
      </c>
      <c r="L127" s="52">
        <v>21</v>
      </c>
      <c r="M127" s="52" t="s">
        <v>1182</v>
      </c>
      <c r="N127" s="150"/>
      <c r="O127" s="150"/>
      <c r="P127" s="150"/>
      <c r="Q127" s="150"/>
      <c r="R127" s="150"/>
      <c r="S127" s="150"/>
      <c r="T127" s="150"/>
      <c r="U127" s="150"/>
    </row>
    <row r="128" spans="1:21" ht="14.25" customHeight="1">
      <c r="A128" s="52" t="s">
        <v>774</v>
      </c>
      <c r="B128" s="52" t="s">
        <v>787</v>
      </c>
      <c r="C128" s="52" t="s">
        <v>791</v>
      </c>
      <c r="D128" s="52" t="s">
        <v>1180</v>
      </c>
      <c r="E128" s="52">
        <v>3650</v>
      </c>
      <c r="F128" s="52" t="s">
        <v>1207</v>
      </c>
      <c r="G128" s="52" t="s">
        <v>1210</v>
      </c>
      <c r="H128" s="52" t="s">
        <v>1186</v>
      </c>
      <c r="I128" s="52"/>
      <c r="J128" s="52" t="s">
        <v>1211</v>
      </c>
      <c r="K128" s="233" t="str">
        <f>+CONCATENATE(MID(Estructura_Balance[[#This Row],[Nombre Cuenta]],1,3)," - ", ,MID(Estructura_Balance[[#This Row],[Nombre Cuenta]],6,144))</f>
        <v>365 -  Residuos</v>
      </c>
      <c r="L128" s="52">
        <v>17</v>
      </c>
      <c r="M128" s="52" t="s">
        <v>1182</v>
      </c>
      <c r="N128" s="150"/>
      <c r="O128" s="150"/>
      <c r="P128" s="150"/>
      <c r="Q128" s="150"/>
      <c r="R128" s="150"/>
      <c r="S128" s="150"/>
      <c r="T128" s="150"/>
      <c r="U128" s="150"/>
    </row>
    <row r="129" spans="1:21" ht="14.25" customHeight="1">
      <c r="A129" s="52" t="s">
        <v>774</v>
      </c>
      <c r="B129" s="52" t="s">
        <v>787</v>
      </c>
      <c r="C129" s="52" t="s">
        <v>791</v>
      </c>
      <c r="D129" s="52" t="s">
        <v>1180</v>
      </c>
      <c r="E129" s="52">
        <v>3680</v>
      </c>
      <c r="F129" s="52" t="s">
        <v>1207</v>
      </c>
      <c r="G129" s="52" t="s">
        <v>1212</v>
      </c>
      <c r="H129" s="52" t="s">
        <v>1186</v>
      </c>
      <c r="I129" s="52"/>
      <c r="J129" s="52" t="s">
        <v>1213</v>
      </c>
      <c r="K129" s="233" t="str">
        <f>+CONCATENATE(MID(Estructura_Balance[[#This Row],[Nombre Cuenta]],1,3)," - ", ,MID(Estructura_Balance[[#This Row],[Nombre Cuenta]],6,144))</f>
        <v>368 -  Materiales recuperados</v>
      </c>
      <c r="L129" s="52">
        <v>31</v>
      </c>
      <c r="M129" s="52" t="s">
        <v>1182</v>
      </c>
      <c r="N129" s="150"/>
      <c r="O129" s="150"/>
      <c r="P129" s="150"/>
      <c r="Q129" s="150"/>
      <c r="R129" s="150"/>
      <c r="S129" s="150"/>
      <c r="T129" s="150"/>
      <c r="U129" s="150"/>
    </row>
    <row r="130" spans="1:21" ht="14.25" customHeight="1">
      <c r="A130" s="52" t="s">
        <v>774</v>
      </c>
      <c r="B130" s="52" t="s">
        <v>787</v>
      </c>
      <c r="C130" s="52" t="s">
        <v>791</v>
      </c>
      <c r="D130" s="52" t="s">
        <v>1180</v>
      </c>
      <c r="E130" s="52">
        <v>3900</v>
      </c>
      <c r="F130" s="52" t="str">
        <f>+MID(Estructura_Balance[[#This Row],[CPGC]],1,2)</f>
        <v>39</v>
      </c>
      <c r="G130" s="52" t="str">
        <f>+MID(Estructura_Balance[[#This Row],[CPGC]],1,3)</f>
        <v>390</v>
      </c>
      <c r="H130" s="52" t="str">
        <f>+MID(Estructura_Balance[[#This Row],[Grupo]],1,7)</f>
        <v>Grupo 3</v>
      </c>
      <c r="I130" s="52"/>
      <c r="J130" s="52" t="s">
        <v>1214</v>
      </c>
      <c r="K130" s="233" t="str">
        <f>+CONCATENATE(MID(Estructura_Balance[[#This Row],[Nombre Cuenta]],1,3)," - ", ,MID(Estructura_Balance[[#This Row],[Nombre Cuenta]],6,144))</f>
        <v>390 -  Deterioro de valor de las mercaderías</v>
      </c>
      <c r="L130" s="52" t="e">
        <f>+LEN([1]!Estructura_Balance[[#This Row],[Nombre Cuenta]])</f>
        <v>#REF!</v>
      </c>
      <c r="M130" s="52" t="s">
        <v>1182</v>
      </c>
      <c r="N130" s="150"/>
      <c r="O130" s="150"/>
      <c r="P130" s="150"/>
      <c r="Q130" s="150"/>
      <c r="R130" s="150"/>
      <c r="S130" s="150"/>
      <c r="T130" s="150"/>
      <c r="U130" s="150"/>
    </row>
    <row r="131" spans="1:21" ht="14.25" customHeight="1">
      <c r="A131" s="52" t="s">
        <v>774</v>
      </c>
      <c r="B131" s="52" t="s">
        <v>787</v>
      </c>
      <c r="C131" s="52" t="s">
        <v>791</v>
      </c>
      <c r="D131" s="52" t="s">
        <v>1180</v>
      </c>
      <c r="E131" s="52">
        <v>3910</v>
      </c>
      <c r="F131" s="52" t="s">
        <v>1215</v>
      </c>
      <c r="G131" s="52" t="s">
        <v>1216</v>
      </c>
      <c r="H131" s="52" t="s">
        <v>1186</v>
      </c>
      <c r="I131" s="52"/>
      <c r="J131" s="52" t="s">
        <v>1217</v>
      </c>
      <c r="K131" s="233" t="str">
        <f>+CONCATENATE(MID(Estructura_Balance[[#This Row],[Nombre Cuenta]],1,3)," - ", ,MID(Estructura_Balance[[#This Row],[Nombre Cuenta]],6,144))</f>
        <v>391 -  Deterioro de valor de las materias primas</v>
      </c>
      <c r="L131" s="52">
        <v>47</v>
      </c>
      <c r="M131" s="52" t="s">
        <v>1182</v>
      </c>
      <c r="N131" s="150"/>
      <c r="O131" s="150"/>
      <c r="P131" s="150"/>
      <c r="Q131" s="150"/>
      <c r="R131" s="150"/>
      <c r="S131" s="150"/>
      <c r="T131" s="150"/>
      <c r="U131" s="150"/>
    </row>
    <row r="132" spans="1:21" ht="14.25" customHeight="1">
      <c r="A132" s="52" t="s">
        <v>774</v>
      </c>
      <c r="B132" s="52" t="s">
        <v>787</v>
      </c>
      <c r="C132" s="52" t="s">
        <v>791</v>
      </c>
      <c r="D132" s="52" t="s">
        <v>1180</v>
      </c>
      <c r="E132" s="52">
        <v>3920</v>
      </c>
      <c r="F132" s="52" t="s">
        <v>1215</v>
      </c>
      <c r="G132" s="52" t="s">
        <v>1218</v>
      </c>
      <c r="H132" s="52" t="s">
        <v>1186</v>
      </c>
      <c r="I132" s="52"/>
      <c r="J132" s="52" t="s">
        <v>1219</v>
      </c>
      <c r="K132" s="233" t="str">
        <f>+CONCATENATE(MID(Estructura_Balance[[#This Row],[Nombre Cuenta]],1,3)," - ", ,MID(Estructura_Balance[[#This Row],[Nombre Cuenta]],6,144))</f>
        <v>392 -  Deterioro de valor de otros aprovisionamientos</v>
      </c>
      <c r="L132" s="52">
        <v>52</v>
      </c>
      <c r="M132" s="52" t="s">
        <v>1182</v>
      </c>
      <c r="N132" s="150"/>
      <c r="O132" s="150"/>
      <c r="P132" s="150"/>
      <c r="Q132" s="150"/>
      <c r="R132" s="150"/>
      <c r="S132" s="150"/>
      <c r="T132" s="150"/>
      <c r="U132" s="150"/>
    </row>
    <row r="133" spans="1:21" ht="14.25" customHeight="1">
      <c r="A133" s="52" t="s">
        <v>774</v>
      </c>
      <c r="B133" s="52" t="s">
        <v>787</v>
      </c>
      <c r="C133" s="52" t="s">
        <v>791</v>
      </c>
      <c r="D133" s="52" t="s">
        <v>1180</v>
      </c>
      <c r="E133" s="52">
        <v>3930</v>
      </c>
      <c r="F133" s="52" t="s">
        <v>1215</v>
      </c>
      <c r="G133" s="52" t="s">
        <v>1220</v>
      </c>
      <c r="H133" s="52" t="s">
        <v>1186</v>
      </c>
      <c r="I133" s="52"/>
      <c r="J133" s="52" t="s">
        <v>1221</v>
      </c>
      <c r="K133" s="233" t="str">
        <f>+CONCATENATE(MID(Estructura_Balance[[#This Row],[Nombre Cuenta]],1,3)," - ", ,MID(Estructura_Balance[[#This Row],[Nombre Cuenta]],6,144))</f>
        <v>393 -  Deterioro de valor de los productos en curso</v>
      </c>
      <c r="L133" s="52">
        <v>50</v>
      </c>
      <c r="M133" s="52" t="s">
        <v>1182</v>
      </c>
      <c r="N133" s="150"/>
      <c r="O133" s="150"/>
      <c r="P133" s="150"/>
      <c r="Q133" s="150"/>
      <c r="R133" s="150"/>
      <c r="S133" s="150"/>
      <c r="T133" s="150"/>
      <c r="U133" s="150"/>
    </row>
    <row r="134" spans="1:21" ht="14.25" customHeight="1">
      <c r="A134" s="52" t="s">
        <v>774</v>
      </c>
      <c r="B134" s="52" t="s">
        <v>787</v>
      </c>
      <c r="C134" s="52" t="s">
        <v>791</v>
      </c>
      <c r="D134" s="52" t="s">
        <v>1180</v>
      </c>
      <c r="E134" s="52">
        <v>3940</v>
      </c>
      <c r="F134" s="52" t="s">
        <v>1215</v>
      </c>
      <c r="G134" s="52" t="s">
        <v>1222</v>
      </c>
      <c r="H134" s="52" t="s">
        <v>1186</v>
      </c>
      <c r="I134" s="52"/>
      <c r="J134" s="52" t="s">
        <v>1223</v>
      </c>
      <c r="K134" s="233" t="str">
        <f>+CONCATENATE(MID(Estructura_Balance[[#This Row],[Nombre Cuenta]],1,3)," - ", ,MID(Estructura_Balance[[#This Row],[Nombre Cuenta]],6,144))</f>
        <v>394 -  Deterioro de valor de los productos semiterminados</v>
      </c>
      <c r="L134" s="52">
        <v>56</v>
      </c>
      <c r="M134" s="52" t="s">
        <v>1182</v>
      </c>
      <c r="N134" s="150"/>
      <c r="O134" s="150"/>
      <c r="P134" s="150"/>
      <c r="Q134" s="150"/>
      <c r="R134" s="150"/>
      <c r="S134" s="150"/>
      <c r="T134" s="150"/>
      <c r="U134" s="150"/>
    </row>
    <row r="135" spans="1:21" ht="14.25" customHeight="1">
      <c r="A135" s="52" t="s">
        <v>774</v>
      </c>
      <c r="B135" s="52" t="s">
        <v>787</v>
      </c>
      <c r="C135" s="52" t="s">
        <v>791</v>
      </c>
      <c r="D135" s="52" t="s">
        <v>1180</v>
      </c>
      <c r="E135" s="52">
        <v>3950</v>
      </c>
      <c r="F135" s="52" t="s">
        <v>1215</v>
      </c>
      <c r="G135" s="52" t="s">
        <v>1224</v>
      </c>
      <c r="H135" s="52" t="s">
        <v>1186</v>
      </c>
      <c r="I135" s="52"/>
      <c r="J135" s="52" t="s">
        <v>1225</v>
      </c>
      <c r="K135" s="233" t="str">
        <f>+CONCATENATE(MID(Estructura_Balance[[#This Row],[Nombre Cuenta]],1,3)," - ", ,MID(Estructura_Balance[[#This Row],[Nombre Cuenta]],6,144))</f>
        <v>395 -  Deterioro de valor de los productos terminados</v>
      </c>
      <c r="L135" s="52">
        <v>52</v>
      </c>
      <c r="M135" s="52" t="s">
        <v>1182</v>
      </c>
      <c r="N135" s="150"/>
      <c r="O135" s="150"/>
      <c r="P135" s="150"/>
      <c r="Q135" s="150"/>
      <c r="R135" s="150"/>
      <c r="S135" s="150"/>
      <c r="T135" s="150"/>
      <c r="U135" s="150"/>
    </row>
    <row r="136" spans="1:21" ht="14.25" customHeight="1">
      <c r="A136" s="52" t="s">
        <v>774</v>
      </c>
      <c r="B136" s="52" t="s">
        <v>787</v>
      </c>
      <c r="C136" s="52" t="s">
        <v>791</v>
      </c>
      <c r="D136" s="52" t="s">
        <v>1180</v>
      </c>
      <c r="E136" s="52">
        <v>3960</v>
      </c>
      <c r="F136" s="52" t="s">
        <v>1215</v>
      </c>
      <c r="G136" s="52" t="s">
        <v>1226</v>
      </c>
      <c r="H136" s="52" t="s">
        <v>1186</v>
      </c>
      <c r="I136" s="52"/>
      <c r="J136" s="52" t="s">
        <v>1227</v>
      </c>
      <c r="K136" s="233" t="str">
        <f>+CONCATENATE(MID(Estructura_Balance[[#This Row],[Nombre Cuenta]],1,3)," - ", ,MID(Estructura_Balance[[#This Row],[Nombre Cuenta]],6,144))</f>
        <v>396 -  Deterioro de valor de los subproductos, residuos y materiales recuperados</v>
      </c>
      <c r="L136" s="52">
        <v>79</v>
      </c>
      <c r="M136" s="52" t="s">
        <v>1182</v>
      </c>
      <c r="N136" s="150"/>
      <c r="O136" s="150"/>
      <c r="P136" s="150"/>
      <c r="Q136" s="150"/>
      <c r="R136" s="150"/>
      <c r="S136" s="150"/>
      <c r="T136" s="150"/>
      <c r="U136" s="150"/>
    </row>
    <row r="137" spans="1:21" ht="14.25" customHeight="1">
      <c r="A137" s="52" t="s">
        <v>770</v>
      </c>
      <c r="B137" s="52" t="s">
        <v>804</v>
      </c>
      <c r="C137" s="52" t="s">
        <v>809</v>
      </c>
      <c r="D137" s="52" t="s">
        <v>1228</v>
      </c>
      <c r="E137" s="52">
        <v>4000</v>
      </c>
      <c r="F137" s="52" t="str">
        <f>+MID(Estructura_Balance[[#This Row],[CPGC]],1,2)</f>
        <v>40</v>
      </c>
      <c r="G137" s="52" t="str">
        <f>+MID(Estructura_Balance[[#This Row],[CPGC]],1,3)</f>
        <v>400</v>
      </c>
      <c r="H137" s="52" t="str">
        <f>+MID(Estructura_Balance[[#This Row],[Grupo]],1,7)</f>
        <v>Grupo 4</v>
      </c>
      <c r="I137" s="52"/>
      <c r="J137" s="52" t="s">
        <v>1229</v>
      </c>
      <c r="K137" s="233" t="str">
        <f>+CONCATENATE(MID(Estructura_Balance[[#This Row],[Nombre Cuenta]],1,3)," - ", ,MID(Estructura_Balance[[#This Row],[Nombre Cuenta]],6,144))</f>
        <v>400 -  Proveedores</v>
      </c>
      <c r="L137" s="52" t="e">
        <f>+LEN([1]!Estructura_Balance[[#This Row],[Nombre Cuenta]])</f>
        <v>#REF!</v>
      </c>
      <c r="M137" s="52" t="s">
        <v>1230</v>
      </c>
      <c r="N137" s="150"/>
      <c r="O137" s="150"/>
      <c r="P137" s="150"/>
      <c r="Q137" s="150"/>
      <c r="R137" s="150"/>
      <c r="S137" s="150"/>
      <c r="T137" s="150"/>
      <c r="U137" s="150"/>
    </row>
    <row r="138" spans="1:21" ht="14.25" customHeight="1">
      <c r="A138" s="52" t="s">
        <v>770</v>
      </c>
      <c r="B138" s="52" t="s">
        <v>804</v>
      </c>
      <c r="C138" s="52" t="s">
        <v>809</v>
      </c>
      <c r="D138" s="52" t="s">
        <v>1228</v>
      </c>
      <c r="E138" s="52">
        <v>4010</v>
      </c>
      <c r="F138" s="52" t="str">
        <f>+MID(Estructura_Balance[[#This Row],[CPGC]],1,2)</f>
        <v>40</v>
      </c>
      <c r="G138" s="52" t="str">
        <f>+MID(Estructura_Balance[[#This Row],[CPGC]],1,3)</f>
        <v>401</v>
      </c>
      <c r="H138" s="52" t="str">
        <f>+MID(Estructura_Balance[[#This Row],[Grupo]],1,7)</f>
        <v>Grupo 4</v>
      </c>
      <c r="I138" s="52"/>
      <c r="J138" s="52" t="s">
        <v>1231</v>
      </c>
      <c r="K138" s="233" t="str">
        <f>+CONCATENATE(MID(Estructura_Balance[[#This Row],[Nombre Cuenta]],1,3)," - ", ,MID(Estructura_Balance[[#This Row],[Nombre Cuenta]],6,144))</f>
        <v>401 -  Proveedores, efectos comerciales a pagar</v>
      </c>
      <c r="L138" s="52" t="e">
        <f>+LEN([1]!Estructura_Balance[[#This Row],[Nombre Cuenta]])</f>
        <v>#REF!</v>
      </c>
      <c r="M138" s="52" t="s">
        <v>1230</v>
      </c>
      <c r="N138" s="150"/>
      <c r="O138" s="150"/>
      <c r="P138" s="150"/>
      <c r="Q138" s="150"/>
      <c r="R138" s="150"/>
      <c r="S138" s="150"/>
      <c r="T138" s="150"/>
      <c r="U138" s="150"/>
    </row>
    <row r="139" spans="1:21" ht="14.25" customHeight="1">
      <c r="A139" s="52" t="s">
        <v>770</v>
      </c>
      <c r="B139" s="52" t="s">
        <v>804</v>
      </c>
      <c r="C139" s="52" t="s">
        <v>809</v>
      </c>
      <c r="D139" s="52" t="s">
        <v>1228</v>
      </c>
      <c r="E139" s="52">
        <v>4030</v>
      </c>
      <c r="F139" s="52" t="str">
        <f>+MID(Estructura_Balance[[#This Row],[CPGC]],1,2)</f>
        <v>40</v>
      </c>
      <c r="G139" s="52" t="str">
        <f>+MID(Estructura_Balance[[#This Row],[CPGC]],1,3)</f>
        <v>403</v>
      </c>
      <c r="H139" s="52" t="str">
        <f>+MID(Estructura_Balance[[#This Row],[Grupo]],1,7)</f>
        <v>Grupo 4</v>
      </c>
      <c r="I139" s="52"/>
      <c r="J139" s="52" t="s">
        <v>1232</v>
      </c>
      <c r="K139" s="233" t="str">
        <f>+CONCATENATE(MID(Estructura_Balance[[#This Row],[Nombre Cuenta]],1,3)," - ", ,MID(Estructura_Balance[[#This Row],[Nombre Cuenta]],6,144))</f>
        <v>403 -  Proveedores, empresas del grupo</v>
      </c>
      <c r="L139" s="52" t="e">
        <f>+LEN([1]!Estructura_Balance[[#This Row],[Nombre Cuenta]])</f>
        <v>#REF!</v>
      </c>
      <c r="M139" s="52" t="s">
        <v>1230</v>
      </c>
      <c r="N139" s="150"/>
      <c r="O139" s="150"/>
      <c r="P139" s="150"/>
      <c r="Q139" s="150"/>
      <c r="R139" s="150"/>
      <c r="S139" s="150"/>
      <c r="T139" s="150"/>
      <c r="U139" s="150"/>
    </row>
    <row r="140" spans="1:21" ht="14.25" customHeight="1">
      <c r="A140" s="52" t="s">
        <v>770</v>
      </c>
      <c r="B140" s="52" t="s">
        <v>804</v>
      </c>
      <c r="C140" s="52" t="s">
        <v>809</v>
      </c>
      <c r="D140" s="52" t="s">
        <v>1228</v>
      </c>
      <c r="E140" s="52">
        <v>4040</v>
      </c>
      <c r="F140" s="52" t="str">
        <f>+MID(Estructura_Balance[[#This Row],[CPGC]],1,2)</f>
        <v>40</v>
      </c>
      <c r="G140" s="52" t="str">
        <f>+MID(Estructura_Balance[[#This Row],[CPGC]],1,3)</f>
        <v>404</v>
      </c>
      <c r="H140" s="52" t="str">
        <f>+MID(Estructura_Balance[[#This Row],[Grupo]],1,7)</f>
        <v>Grupo 4</v>
      </c>
      <c r="I140" s="52"/>
      <c r="J140" s="52" t="s">
        <v>1233</v>
      </c>
      <c r="K140" s="233" t="str">
        <f>+CONCATENATE(MID(Estructura_Balance[[#This Row],[Nombre Cuenta]],1,3)," - ", ,MID(Estructura_Balance[[#This Row],[Nombre Cuenta]],6,144))</f>
        <v>404 -  Proveedores, empresas asociadas</v>
      </c>
      <c r="L140" s="52" t="e">
        <f>+LEN([1]!Estructura_Balance[[#This Row],[Nombre Cuenta]])</f>
        <v>#REF!</v>
      </c>
      <c r="M140" s="52" t="s">
        <v>1230</v>
      </c>
      <c r="N140" s="150"/>
      <c r="O140" s="150"/>
      <c r="P140" s="150"/>
      <c r="Q140" s="150"/>
      <c r="R140" s="150"/>
      <c r="S140" s="150"/>
      <c r="T140" s="150"/>
      <c r="U140" s="150"/>
    </row>
    <row r="141" spans="1:21" ht="14.25" customHeight="1">
      <c r="A141" s="52" t="s">
        <v>770</v>
      </c>
      <c r="B141" s="52" t="s">
        <v>804</v>
      </c>
      <c r="C141" s="52" t="s">
        <v>809</v>
      </c>
      <c r="D141" s="52" t="s">
        <v>1228</v>
      </c>
      <c r="E141" s="52">
        <v>4050</v>
      </c>
      <c r="F141" s="52" t="str">
        <f>+MID(Estructura_Balance[[#This Row],[CPGC]],1,2)</f>
        <v>40</v>
      </c>
      <c r="G141" s="52" t="str">
        <f>+MID(Estructura_Balance[[#This Row],[CPGC]],1,3)</f>
        <v>405</v>
      </c>
      <c r="H141" s="52" t="str">
        <f>+MID(Estructura_Balance[[#This Row],[Grupo]],1,7)</f>
        <v>Grupo 4</v>
      </c>
      <c r="I141" s="52"/>
      <c r="J141" s="52" t="s">
        <v>1234</v>
      </c>
      <c r="K141" s="233" t="str">
        <f>+CONCATENATE(MID(Estructura_Balance[[#This Row],[Nombre Cuenta]],1,3)," - ", ,MID(Estructura_Balance[[#This Row],[Nombre Cuenta]],6,144))</f>
        <v>405 -  Proveedores, otras partes vinculadas</v>
      </c>
      <c r="L141" s="52" t="e">
        <f>+LEN([1]!Estructura_Balance[[#This Row],[Nombre Cuenta]])</f>
        <v>#REF!</v>
      </c>
      <c r="M141" s="52" t="s">
        <v>1230</v>
      </c>
      <c r="N141" s="150"/>
      <c r="O141" s="150"/>
      <c r="P141" s="150"/>
      <c r="Q141" s="150"/>
      <c r="R141" s="150"/>
      <c r="S141" s="150"/>
      <c r="T141" s="150"/>
      <c r="U141" s="150"/>
    </row>
    <row r="142" spans="1:21" ht="14.25" customHeight="1">
      <c r="A142" s="52" t="s">
        <v>770</v>
      </c>
      <c r="B142" s="52" t="s">
        <v>804</v>
      </c>
      <c r="C142" s="52" t="s">
        <v>809</v>
      </c>
      <c r="D142" s="52" t="s">
        <v>1228</v>
      </c>
      <c r="E142" s="52">
        <v>4060</v>
      </c>
      <c r="F142" s="52" t="str">
        <f>+MID(Estructura_Balance[[#This Row],[CPGC]],1,2)</f>
        <v>40</v>
      </c>
      <c r="G142" s="52" t="str">
        <f>+MID(Estructura_Balance[[#This Row],[CPGC]],1,3)</f>
        <v>406</v>
      </c>
      <c r="H142" s="52" t="str">
        <f>+MID(Estructura_Balance[[#This Row],[Grupo]],1,7)</f>
        <v>Grupo 4</v>
      </c>
      <c r="I142" s="52"/>
      <c r="J142" s="52" t="s">
        <v>1235</v>
      </c>
      <c r="K142" s="233" t="str">
        <f>+CONCATENATE(MID(Estructura_Balance[[#This Row],[Nombre Cuenta]],1,3)," - ", ,MID(Estructura_Balance[[#This Row],[Nombre Cuenta]],6,144))</f>
        <v>406 -  Envases y embalajes a devolver a proveedores</v>
      </c>
      <c r="L142" s="52" t="e">
        <f>+LEN([1]!Estructura_Balance[[#This Row],[Nombre Cuenta]])</f>
        <v>#REF!</v>
      </c>
      <c r="M142" s="52" t="s">
        <v>1230</v>
      </c>
      <c r="N142" s="150"/>
      <c r="O142" s="150"/>
      <c r="P142" s="150"/>
      <c r="Q142" s="150"/>
      <c r="R142" s="150"/>
      <c r="S142" s="150"/>
      <c r="T142" s="150"/>
      <c r="U142" s="150"/>
    </row>
    <row r="143" spans="1:21" ht="14.25" customHeight="1">
      <c r="A143" s="52" t="s">
        <v>770</v>
      </c>
      <c r="B143" s="52" t="s">
        <v>804</v>
      </c>
      <c r="C143" s="52" t="s">
        <v>809</v>
      </c>
      <c r="D143" s="52" t="s">
        <v>1228</v>
      </c>
      <c r="E143" s="52">
        <v>4070</v>
      </c>
      <c r="F143" s="52" t="str">
        <f>+MID(Estructura_Balance[[#This Row],[CPGC]],1,2)</f>
        <v>40</v>
      </c>
      <c r="G143" s="52" t="str">
        <f>+MID(Estructura_Balance[[#This Row],[CPGC]],1,3)</f>
        <v>407</v>
      </c>
      <c r="H143" s="52" t="str">
        <f>+MID(Estructura_Balance[[#This Row],[Grupo]],1,7)</f>
        <v>Grupo 4</v>
      </c>
      <c r="I143" s="52"/>
      <c r="J143" s="52" t="s">
        <v>1236</v>
      </c>
      <c r="K143" s="233" t="str">
        <f>+CONCATENATE(MID(Estructura_Balance[[#This Row],[Nombre Cuenta]],1,3)," - ", ,MID(Estructura_Balance[[#This Row],[Nombre Cuenta]],6,144))</f>
        <v>407 -  Anticipos a proveedores</v>
      </c>
      <c r="L143" s="52" t="e">
        <f>+LEN([1]!Estructura_Balance[[#This Row],[Nombre Cuenta]])</f>
        <v>#REF!</v>
      </c>
      <c r="M143" s="52" t="s">
        <v>1230</v>
      </c>
      <c r="N143" s="150"/>
      <c r="O143" s="150"/>
      <c r="P143" s="150"/>
      <c r="Q143" s="150"/>
      <c r="R143" s="150"/>
      <c r="S143" s="150"/>
      <c r="T143" s="150"/>
      <c r="U143" s="150"/>
    </row>
    <row r="144" spans="1:21" ht="14.25" customHeight="1">
      <c r="A144" s="52" t="s">
        <v>770</v>
      </c>
      <c r="B144" s="52" t="s">
        <v>804</v>
      </c>
      <c r="C144" s="52" t="s">
        <v>809</v>
      </c>
      <c r="D144" s="52" t="s">
        <v>1237</v>
      </c>
      <c r="E144" s="52">
        <v>4100</v>
      </c>
      <c r="F144" s="52" t="str">
        <f>+MID(Estructura_Balance[[#This Row],[CPGC]],1,2)</f>
        <v>41</v>
      </c>
      <c r="G144" s="52" t="str">
        <f>+MID(Estructura_Balance[[#This Row],[CPGC]],1,3)</f>
        <v>410</v>
      </c>
      <c r="H144" s="52" t="str">
        <f>+MID(Estructura_Balance[[#This Row],[Grupo]],1,7)</f>
        <v>Grupo 4</v>
      </c>
      <c r="I144" s="52"/>
      <c r="J144" s="52" t="s">
        <v>1238</v>
      </c>
      <c r="K144" s="233" t="str">
        <f>+CONCATENATE(MID(Estructura_Balance[[#This Row],[Nombre Cuenta]],1,3)," - ", ,MID(Estructura_Balance[[#This Row],[Nombre Cuenta]],6,144))</f>
        <v>410 -  Acreedores por prestaciones de servicios</v>
      </c>
      <c r="L144" s="52" t="e">
        <f>+LEN([1]!Estructura_Balance[[#This Row],[Nombre Cuenta]])</f>
        <v>#REF!</v>
      </c>
      <c r="M144" s="52" t="s">
        <v>1230</v>
      </c>
      <c r="N144" s="150"/>
      <c r="O144" s="150"/>
      <c r="P144" s="150"/>
      <c r="Q144" s="150"/>
      <c r="R144" s="150"/>
      <c r="S144" s="150"/>
      <c r="T144" s="150"/>
      <c r="U144" s="150"/>
    </row>
    <row r="145" spans="1:21" ht="14.25" customHeight="1">
      <c r="A145" s="52" t="s">
        <v>770</v>
      </c>
      <c r="B145" s="52" t="s">
        <v>804</v>
      </c>
      <c r="C145" s="52" t="s">
        <v>809</v>
      </c>
      <c r="D145" s="52" t="s">
        <v>1237</v>
      </c>
      <c r="E145" s="52">
        <v>4110</v>
      </c>
      <c r="F145" s="52" t="str">
        <f>+MID(Estructura_Balance[[#This Row],[CPGC]],1,2)</f>
        <v>41</v>
      </c>
      <c r="G145" s="52" t="str">
        <f>+MID(Estructura_Balance[[#This Row],[CPGC]],1,3)</f>
        <v>411</v>
      </c>
      <c r="H145" s="52" t="str">
        <f>+MID(Estructura_Balance[[#This Row],[Grupo]],1,7)</f>
        <v>Grupo 4</v>
      </c>
      <c r="I145" s="52"/>
      <c r="J145" s="52" t="s">
        <v>1239</v>
      </c>
      <c r="K145" s="233" t="str">
        <f>+CONCATENATE(MID(Estructura_Balance[[#This Row],[Nombre Cuenta]],1,3)," - ", ,MID(Estructura_Balance[[#This Row],[Nombre Cuenta]],6,144))</f>
        <v>411 -  Acreedores, efectos comerciales a pagar</v>
      </c>
      <c r="L145" s="52" t="e">
        <f>+LEN([1]!Estructura_Balance[[#This Row],[Nombre Cuenta]])</f>
        <v>#REF!</v>
      </c>
      <c r="M145" s="52" t="s">
        <v>1230</v>
      </c>
      <c r="N145" s="150"/>
      <c r="O145" s="150"/>
      <c r="P145" s="150"/>
      <c r="Q145" s="150"/>
      <c r="R145" s="150"/>
      <c r="S145" s="150"/>
      <c r="T145" s="150"/>
      <c r="U145" s="150"/>
    </row>
    <row r="146" spans="1:21" ht="14.25" customHeight="1">
      <c r="A146" s="52" t="s">
        <v>770</v>
      </c>
      <c r="B146" s="52" t="s">
        <v>804</v>
      </c>
      <c r="C146" s="52" t="s">
        <v>809</v>
      </c>
      <c r="D146" s="52" t="s">
        <v>1237</v>
      </c>
      <c r="E146" s="52">
        <v>4190</v>
      </c>
      <c r="F146" s="52" t="str">
        <f>+MID(Estructura_Balance[[#This Row],[CPGC]],1,2)</f>
        <v>41</v>
      </c>
      <c r="G146" s="52" t="str">
        <f>+MID(Estructura_Balance[[#This Row],[CPGC]],1,3)</f>
        <v>419</v>
      </c>
      <c r="H146" s="52" t="str">
        <f>+MID(Estructura_Balance[[#This Row],[Grupo]],1,7)</f>
        <v>Grupo 4</v>
      </c>
      <c r="I146" s="52"/>
      <c r="J146" s="52" t="s">
        <v>1240</v>
      </c>
      <c r="K146" s="233" t="str">
        <f>+CONCATENATE(MID(Estructura_Balance[[#This Row],[Nombre Cuenta]],1,3)," - ", ,MID(Estructura_Balance[[#This Row],[Nombre Cuenta]],6,144))</f>
        <v>419 -  Acreedores por operaciones en común</v>
      </c>
      <c r="L146" s="52" t="e">
        <f>+LEN([1]!Estructura_Balance[[#This Row],[Nombre Cuenta]])</f>
        <v>#REF!</v>
      </c>
      <c r="M146" s="52" t="s">
        <v>1230</v>
      </c>
      <c r="N146" s="150"/>
      <c r="O146" s="150"/>
      <c r="P146" s="150"/>
      <c r="Q146" s="150"/>
      <c r="R146" s="150"/>
      <c r="S146" s="150"/>
      <c r="T146" s="150"/>
      <c r="U146" s="150"/>
    </row>
    <row r="147" spans="1:21" ht="14.25" customHeight="1">
      <c r="A147" s="52" t="s">
        <v>774</v>
      </c>
      <c r="B147" s="52" t="s">
        <v>787</v>
      </c>
      <c r="C147" s="52" t="s">
        <v>793</v>
      </c>
      <c r="D147" s="52" t="s">
        <v>1241</v>
      </c>
      <c r="E147" s="52">
        <v>4300</v>
      </c>
      <c r="F147" s="52" t="str">
        <f>+MID(Estructura_Balance[[#This Row],[CPGC]],1,2)</f>
        <v>43</v>
      </c>
      <c r="G147" s="52" t="str">
        <f>+MID(Estructura_Balance[[#This Row],[CPGC]],1,3)</f>
        <v>430</v>
      </c>
      <c r="H147" s="52" t="str">
        <f>+MID(Estructura_Balance[[#This Row],[Grupo]],1,7)</f>
        <v>Grupo 4</v>
      </c>
      <c r="I147" s="52"/>
      <c r="J147" s="52" t="s">
        <v>1242</v>
      </c>
      <c r="K147" s="233" t="str">
        <f>+CONCATENATE(MID(Estructura_Balance[[#This Row],[Nombre Cuenta]],1,3)," - ", ,MID(Estructura_Balance[[#This Row],[Nombre Cuenta]],6,144))</f>
        <v>430 -  Clientes</v>
      </c>
      <c r="L147" s="52" t="e">
        <f>+LEN([1]!Estructura_Balance[[#This Row],[Nombre Cuenta]])</f>
        <v>#REF!</v>
      </c>
      <c r="M147" s="52" t="s">
        <v>1230</v>
      </c>
      <c r="N147" s="150"/>
      <c r="O147" s="150"/>
      <c r="P147" s="150"/>
      <c r="Q147" s="150"/>
      <c r="R147" s="150"/>
      <c r="S147" s="150"/>
      <c r="T147" s="150"/>
      <c r="U147" s="150"/>
    </row>
    <row r="148" spans="1:21" ht="14.25" customHeight="1">
      <c r="A148" s="52" t="s">
        <v>774</v>
      </c>
      <c r="B148" s="52" t="s">
        <v>787</v>
      </c>
      <c r="C148" s="52" t="s">
        <v>793</v>
      </c>
      <c r="D148" s="52" t="s">
        <v>1241</v>
      </c>
      <c r="E148" s="52">
        <v>4310</v>
      </c>
      <c r="F148" s="52" t="str">
        <f>+MID(Estructura_Balance[[#This Row],[CPGC]],1,2)</f>
        <v>43</v>
      </c>
      <c r="G148" s="52" t="str">
        <f>+MID(Estructura_Balance[[#This Row],[CPGC]],1,3)</f>
        <v>431</v>
      </c>
      <c r="H148" s="52" t="str">
        <f>+MID(Estructura_Balance[[#This Row],[Grupo]],1,7)</f>
        <v>Grupo 4</v>
      </c>
      <c r="I148" s="52"/>
      <c r="J148" s="52" t="s">
        <v>1243</v>
      </c>
      <c r="K148" s="233" t="str">
        <f>+CONCATENATE(MID(Estructura_Balance[[#This Row],[Nombre Cuenta]],1,3)," - ", ,MID(Estructura_Balance[[#This Row],[Nombre Cuenta]],6,144))</f>
        <v>431 -  Clientes, efectos comerciales a cobrar</v>
      </c>
      <c r="L148" s="52" t="e">
        <f>+LEN([1]!Estructura_Balance[[#This Row],[Nombre Cuenta]])</f>
        <v>#REF!</v>
      </c>
      <c r="M148" s="52" t="s">
        <v>1230</v>
      </c>
      <c r="N148" s="150"/>
      <c r="O148" s="150"/>
      <c r="P148" s="150"/>
      <c r="Q148" s="150"/>
      <c r="R148" s="150"/>
      <c r="S148" s="150"/>
      <c r="T148" s="150"/>
      <c r="U148" s="150"/>
    </row>
    <row r="149" spans="1:21" ht="14.25" customHeight="1">
      <c r="A149" s="52" t="s">
        <v>774</v>
      </c>
      <c r="B149" s="52" t="s">
        <v>787</v>
      </c>
      <c r="C149" s="52" t="s">
        <v>793</v>
      </c>
      <c r="D149" s="52" t="s">
        <v>1241</v>
      </c>
      <c r="E149" s="52">
        <v>4320</v>
      </c>
      <c r="F149" s="52" t="str">
        <f>+MID(Estructura_Balance[[#This Row],[CPGC]],1,2)</f>
        <v>43</v>
      </c>
      <c r="G149" s="52" t="str">
        <f>+MID(Estructura_Balance[[#This Row],[CPGC]],1,3)</f>
        <v>432</v>
      </c>
      <c r="H149" s="52" t="str">
        <f>+MID(Estructura_Balance[[#This Row],[Grupo]],1,7)</f>
        <v>Grupo 4</v>
      </c>
      <c r="I149" s="52"/>
      <c r="J149" s="52" t="s">
        <v>1244</v>
      </c>
      <c r="K149" s="233" t="str">
        <f>+CONCATENATE(MID(Estructura_Balance[[#This Row],[Nombre Cuenta]],1,3)," - ", ,MID(Estructura_Balance[[#This Row],[Nombre Cuenta]],6,144))</f>
        <v>432 -  Clientes, operaciones de “factoring”</v>
      </c>
      <c r="L149" s="52" t="e">
        <f>+LEN([1]!Estructura_Balance[[#This Row],[Nombre Cuenta]])</f>
        <v>#REF!</v>
      </c>
      <c r="M149" s="52" t="s">
        <v>1230</v>
      </c>
      <c r="N149" s="150"/>
      <c r="O149" s="150"/>
      <c r="P149" s="150"/>
      <c r="Q149" s="150"/>
      <c r="R149" s="150"/>
      <c r="S149" s="150"/>
      <c r="T149" s="150"/>
      <c r="U149" s="150"/>
    </row>
    <row r="150" spans="1:21" ht="14.25" customHeight="1">
      <c r="A150" s="52" t="s">
        <v>774</v>
      </c>
      <c r="B150" s="52" t="s">
        <v>787</v>
      </c>
      <c r="C150" s="52" t="s">
        <v>793</v>
      </c>
      <c r="D150" s="52" t="s">
        <v>1241</v>
      </c>
      <c r="E150" s="52">
        <v>4330</v>
      </c>
      <c r="F150" s="52" t="str">
        <f>+MID(Estructura_Balance[[#This Row],[CPGC]],1,2)</f>
        <v>43</v>
      </c>
      <c r="G150" s="52" t="str">
        <f>+MID(Estructura_Balance[[#This Row],[CPGC]],1,3)</f>
        <v>433</v>
      </c>
      <c r="H150" s="52" t="str">
        <f>+MID(Estructura_Balance[[#This Row],[Grupo]],1,7)</f>
        <v>Grupo 4</v>
      </c>
      <c r="I150" s="52"/>
      <c r="J150" s="52" t="s">
        <v>1245</v>
      </c>
      <c r="K150" s="233" t="str">
        <f>+CONCATENATE(MID(Estructura_Balance[[#This Row],[Nombre Cuenta]],1,3)," - ", ,MID(Estructura_Balance[[#This Row],[Nombre Cuenta]],6,144))</f>
        <v>433 -  Clientes, empresas del grupo</v>
      </c>
      <c r="L150" s="52" t="e">
        <f>+LEN([1]!Estructura_Balance[[#This Row],[Nombre Cuenta]])</f>
        <v>#REF!</v>
      </c>
      <c r="M150" s="52" t="s">
        <v>1230</v>
      </c>
      <c r="N150" s="150"/>
      <c r="O150" s="150"/>
      <c r="P150" s="150"/>
      <c r="Q150" s="150"/>
      <c r="R150" s="150"/>
      <c r="S150" s="150"/>
      <c r="T150" s="150"/>
      <c r="U150" s="150"/>
    </row>
    <row r="151" spans="1:21" ht="14.25" customHeight="1">
      <c r="A151" s="52" t="s">
        <v>774</v>
      </c>
      <c r="B151" s="52" t="s">
        <v>787</v>
      </c>
      <c r="C151" s="52" t="s">
        <v>793</v>
      </c>
      <c r="D151" s="52" t="s">
        <v>1241</v>
      </c>
      <c r="E151" s="52">
        <v>4340</v>
      </c>
      <c r="F151" s="52" t="str">
        <f>+MID(Estructura_Balance[[#This Row],[CPGC]],1,2)</f>
        <v>43</v>
      </c>
      <c r="G151" s="52" t="str">
        <f>+MID(Estructura_Balance[[#This Row],[CPGC]],1,3)</f>
        <v>434</v>
      </c>
      <c r="H151" s="52" t="str">
        <f>+MID(Estructura_Balance[[#This Row],[Grupo]],1,7)</f>
        <v>Grupo 4</v>
      </c>
      <c r="I151" s="52"/>
      <c r="J151" s="52" t="s">
        <v>1246</v>
      </c>
      <c r="K151" s="233" t="str">
        <f>+CONCATENATE(MID(Estructura_Balance[[#This Row],[Nombre Cuenta]],1,3)," - ", ,MID(Estructura_Balance[[#This Row],[Nombre Cuenta]],6,144))</f>
        <v>434 -  Clientes, empresas asociadas</v>
      </c>
      <c r="L151" s="52" t="e">
        <f>+LEN([1]!Estructura_Balance[[#This Row],[Nombre Cuenta]])</f>
        <v>#REF!</v>
      </c>
      <c r="M151" s="52" t="s">
        <v>1230</v>
      </c>
      <c r="N151" s="150"/>
      <c r="O151" s="150"/>
      <c r="P151" s="150"/>
      <c r="Q151" s="150"/>
      <c r="R151" s="150"/>
      <c r="S151" s="150"/>
      <c r="T151" s="150"/>
      <c r="U151" s="150"/>
    </row>
    <row r="152" spans="1:21" ht="14.25" customHeight="1">
      <c r="A152" s="52" t="s">
        <v>774</v>
      </c>
      <c r="B152" s="52" t="s">
        <v>787</v>
      </c>
      <c r="C152" s="52" t="s">
        <v>793</v>
      </c>
      <c r="D152" s="52" t="s">
        <v>1241</v>
      </c>
      <c r="E152" s="52">
        <v>4350</v>
      </c>
      <c r="F152" s="52" t="str">
        <f>+MID(Estructura_Balance[[#This Row],[CPGC]],1,2)</f>
        <v>43</v>
      </c>
      <c r="G152" s="52" t="str">
        <f>+MID(Estructura_Balance[[#This Row],[CPGC]],1,3)</f>
        <v>435</v>
      </c>
      <c r="H152" s="52" t="str">
        <f>+MID(Estructura_Balance[[#This Row],[Grupo]],1,7)</f>
        <v>Grupo 4</v>
      </c>
      <c r="I152" s="52"/>
      <c r="J152" s="52" t="s">
        <v>1247</v>
      </c>
      <c r="K152" s="233" t="str">
        <f>+CONCATENATE(MID(Estructura_Balance[[#This Row],[Nombre Cuenta]],1,3)," - ", ,MID(Estructura_Balance[[#This Row],[Nombre Cuenta]],6,144))</f>
        <v>435 -  Clientes, otras partes vinculadas</v>
      </c>
      <c r="L152" s="52" t="e">
        <f>+LEN([1]!Estructura_Balance[[#This Row],[Nombre Cuenta]])</f>
        <v>#REF!</v>
      </c>
      <c r="M152" s="52" t="s">
        <v>1230</v>
      </c>
      <c r="N152" s="150"/>
      <c r="O152" s="150"/>
      <c r="P152" s="150"/>
      <c r="Q152" s="150"/>
      <c r="R152" s="150"/>
      <c r="S152" s="150"/>
      <c r="T152" s="150"/>
      <c r="U152" s="150"/>
    </row>
    <row r="153" spans="1:21" ht="14.25" customHeight="1">
      <c r="A153" s="52" t="s">
        <v>774</v>
      </c>
      <c r="B153" s="52" t="s">
        <v>787</v>
      </c>
      <c r="C153" s="52" t="s">
        <v>793</v>
      </c>
      <c r="D153" s="52" t="s">
        <v>1241</v>
      </c>
      <c r="E153" s="52">
        <v>4360</v>
      </c>
      <c r="F153" s="52" t="str">
        <f>+MID(Estructura_Balance[[#This Row],[CPGC]],1,2)</f>
        <v>43</v>
      </c>
      <c r="G153" s="52" t="str">
        <f>+MID(Estructura_Balance[[#This Row],[CPGC]],1,3)</f>
        <v>436</v>
      </c>
      <c r="H153" s="52" t="str">
        <f>+MID(Estructura_Balance[[#This Row],[Grupo]],1,7)</f>
        <v>Grupo 4</v>
      </c>
      <c r="I153" s="52"/>
      <c r="J153" s="52" t="s">
        <v>1248</v>
      </c>
      <c r="K153" s="233" t="str">
        <f>+CONCATENATE(MID(Estructura_Balance[[#This Row],[Nombre Cuenta]],1,3)," - ", ,MID(Estructura_Balance[[#This Row],[Nombre Cuenta]],6,144))</f>
        <v>436 -  Clientes de dudoso cobro</v>
      </c>
      <c r="L153" s="52" t="e">
        <f>+LEN([1]!Estructura_Balance[[#This Row],[Nombre Cuenta]])</f>
        <v>#REF!</v>
      </c>
      <c r="M153" s="52" t="s">
        <v>1230</v>
      </c>
      <c r="N153" s="150"/>
      <c r="O153" s="150"/>
      <c r="P153" s="150"/>
      <c r="Q153" s="150"/>
      <c r="R153" s="150"/>
      <c r="S153" s="150"/>
      <c r="T153" s="150"/>
      <c r="U153" s="150"/>
    </row>
    <row r="154" spans="1:21" ht="14.25" customHeight="1">
      <c r="A154" s="52" t="s">
        <v>774</v>
      </c>
      <c r="B154" s="52" t="s">
        <v>787</v>
      </c>
      <c r="C154" s="52" t="s">
        <v>793</v>
      </c>
      <c r="D154" s="52" t="s">
        <v>1241</v>
      </c>
      <c r="E154" s="52">
        <v>4370</v>
      </c>
      <c r="F154" s="52" t="str">
        <f>+MID(Estructura_Balance[[#This Row],[CPGC]],1,2)</f>
        <v>43</v>
      </c>
      <c r="G154" s="52" t="str">
        <f>+MID(Estructura_Balance[[#This Row],[CPGC]],1,3)</f>
        <v>437</v>
      </c>
      <c r="H154" s="52" t="str">
        <f>+MID(Estructura_Balance[[#This Row],[Grupo]],1,7)</f>
        <v>Grupo 4</v>
      </c>
      <c r="I154" s="52"/>
      <c r="J154" s="52" t="s">
        <v>1249</v>
      </c>
      <c r="K154" s="233" t="str">
        <f>+CONCATENATE(MID(Estructura_Balance[[#This Row],[Nombre Cuenta]],1,3)," - ", ,MID(Estructura_Balance[[#This Row],[Nombre Cuenta]],6,144))</f>
        <v>437 -  Envases y embalajes a devolver por clientes</v>
      </c>
      <c r="L154" s="52" t="e">
        <f>+LEN([1]!Estructura_Balance[[#This Row],[Nombre Cuenta]])</f>
        <v>#REF!</v>
      </c>
      <c r="M154" s="52" t="s">
        <v>1230</v>
      </c>
      <c r="N154" s="150"/>
      <c r="O154" s="150"/>
      <c r="P154" s="150"/>
      <c r="Q154" s="150"/>
      <c r="R154" s="150"/>
      <c r="S154" s="150"/>
      <c r="T154" s="150"/>
      <c r="U154" s="150"/>
    </row>
    <row r="155" spans="1:21" ht="14.25" customHeight="1">
      <c r="A155" s="52" t="s">
        <v>774</v>
      </c>
      <c r="B155" s="52" t="s">
        <v>787</v>
      </c>
      <c r="C155" s="52" t="s">
        <v>793</v>
      </c>
      <c r="D155" s="52" t="s">
        <v>1241</v>
      </c>
      <c r="E155" s="52">
        <v>4380</v>
      </c>
      <c r="F155" s="52" t="str">
        <f>+MID(Estructura_Balance[[#This Row],[CPGC]],1,2)</f>
        <v>43</v>
      </c>
      <c r="G155" s="52" t="str">
        <f>+MID(Estructura_Balance[[#This Row],[CPGC]],1,3)</f>
        <v>438</v>
      </c>
      <c r="H155" s="52" t="str">
        <f>+MID(Estructura_Balance[[#This Row],[Grupo]],1,7)</f>
        <v>Grupo 4</v>
      </c>
      <c r="I155" s="52"/>
      <c r="J155" s="52" t="s">
        <v>1250</v>
      </c>
      <c r="K155" s="233" t="str">
        <f>+CONCATENATE(MID(Estructura_Balance[[#This Row],[Nombre Cuenta]],1,3)," - ", ,MID(Estructura_Balance[[#This Row],[Nombre Cuenta]],6,144))</f>
        <v>438 -  Anticipos de clientes</v>
      </c>
      <c r="L155" s="52" t="e">
        <f>+LEN([1]!Estructura_Balance[[#This Row],[Nombre Cuenta]])</f>
        <v>#REF!</v>
      </c>
      <c r="M155" s="52" t="s">
        <v>1230</v>
      </c>
      <c r="N155" s="150"/>
      <c r="O155" s="150"/>
      <c r="P155" s="150"/>
      <c r="Q155" s="150"/>
      <c r="R155" s="150"/>
      <c r="S155" s="150"/>
      <c r="T155" s="150"/>
      <c r="U155" s="150"/>
    </row>
    <row r="156" spans="1:21" ht="14.25" customHeight="1">
      <c r="A156" s="52" t="s">
        <v>774</v>
      </c>
      <c r="B156" s="52" t="s">
        <v>787</v>
      </c>
      <c r="C156" s="52" t="s">
        <v>793</v>
      </c>
      <c r="D156" s="52" t="s">
        <v>1251</v>
      </c>
      <c r="E156" s="52">
        <v>4400</v>
      </c>
      <c r="F156" s="52" t="str">
        <f>+MID(Estructura_Balance[[#This Row],[CPGC]],1,2)</f>
        <v>44</v>
      </c>
      <c r="G156" s="52" t="str">
        <f>+MID(Estructura_Balance[[#This Row],[CPGC]],1,3)</f>
        <v>440</v>
      </c>
      <c r="H156" s="52" t="str">
        <f>+MID(Estructura_Balance[[#This Row],[Grupo]],1,7)</f>
        <v>Grupo 4</v>
      </c>
      <c r="I156" s="52"/>
      <c r="J156" s="52" t="s">
        <v>1252</v>
      </c>
      <c r="K156" s="233" t="str">
        <f>+CONCATENATE(MID(Estructura_Balance[[#This Row],[Nombre Cuenta]],1,3)," - ", ,MID(Estructura_Balance[[#This Row],[Nombre Cuenta]],6,144))</f>
        <v>440 -  Deudores</v>
      </c>
      <c r="L156" s="52" t="e">
        <f>+LEN([1]!Estructura_Balance[[#This Row],[Nombre Cuenta]])</f>
        <v>#REF!</v>
      </c>
      <c r="M156" s="52" t="s">
        <v>1230</v>
      </c>
      <c r="N156" s="150"/>
      <c r="O156" s="150"/>
      <c r="P156" s="150"/>
      <c r="Q156" s="150"/>
      <c r="R156" s="150"/>
      <c r="S156" s="150"/>
      <c r="T156" s="150"/>
      <c r="U156" s="150"/>
    </row>
    <row r="157" spans="1:21" ht="14.25" customHeight="1">
      <c r="A157" s="52" t="s">
        <v>774</v>
      </c>
      <c r="B157" s="52" t="s">
        <v>787</v>
      </c>
      <c r="C157" s="52" t="s">
        <v>793</v>
      </c>
      <c r="D157" s="52" t="s">
        <v>1251</v>
      </c>
      <c r="E157" s="52">
        <v>4410</v>
      </c>
      <c r="F157" s="52" t="str">
        <f>+MID(Estructura_Balance[[#This Row],[CPGC]],1,2)</f>
        <v>44</v>
      </c>
      <c r="G157" s="52" t="str">
        <f>+MID(Estructura_Balance[[#This Row],[CPGC]],1,3)</f>
        <v>441</v>
      </c>
      <c r="H157" s="52" t="str">
        <f>+MID(Estructura_Balance[[#This Row],[Grupo]],1,7)</f>
        <v>Grupo 4</v>
      </c>
      <c r="I157" s="52"/>
      <c r="J157" s="52" t="s">
        <v>1253</v>
      </c>
      <c r="K157" s="233" t="str">
        <f>+CONCATENATE(MID(Estructura_Balance[[#This Row],[Nombre Cuenta]],1,3)," - ", ,MID(Estructura_Balance[[#This Row],[Nombre Cuenta]],6,144))</f>
        <v>441 -  Deudores, efectos comerciales a cobrar</v>
      </c>
      <c r="L157" s="52" t="e">
        <f>+LEN([1]!Estructura_Balance[[#This Row],[Nombre Cuenta]])</f>
        <v>#REF!</v>
      </c>
      <c r="M157" s="52" t="s">
        <v>1230</v>
      </c>
      <c r="N157" s="150"/>
      <c r="O157" s="150"/>
      <c r="P157" s="150"/>
      <c r="Q157" s="150"/>
      <c r="R157" s="150"/>
      <c r="S157" s="150"/>
      <c r="T157" s="150"/>
      <c r="U157" s="150"/>
    </row>
    <row r="158" spans="1:21" ht="14.25" customHeight="1">
      <c r="A158" s="52" t="s">
        <v>774</v>
      </c>
      <c r="B158" s="52" t="s">
        <v>787</v>
      </c>
      <c r="C158" s="52" t="s">
        <v>793</v>
      </c>
      <c r="D158" s="52" t="s">
        <v>1251</v>
      </c>
      <c r="E158" s="52">
        <v>4460</v>
      </c>
      <c r="F158" s="52" t="str">
        <f>+MID(Estructura_Balance[[#This Row],[CPGC]],1,2)</f>
        <v>44</v>
      </c>
      <c r="G158" s="52" t="str">
        <f>+MID(Estructura_Balance[[#This Row],[CPGC]],1,3)</f>
        <v>446</v>
      </c>
      <c r="H158" s="52" t="str">
        <f>+MID(Estructura_Balance[[#This Row],[Grupo]],1,7)</f>
        <v>Grupo 4</v>
      </c>
      <c r="I158" s="52"/>
      <c r="J158" s="52" t="s">
        <v>1254</v>
      </c>
      <c r="K158" s="233" t="str">
        <f>+CONCATENATE(MID(Estructura_Balance[[#This Row],[Nombre Cuenta]],1,3)," - ", ,MID(Estructura_Balance[[#This Row],[Nombre Cuenta]],6,144))</f>
        <v>446 -  Deudores de dudoso cobro</v>
      </c>
      <c r="L158" s="52" t="e">
        <f>+LEN([1]!Estructura_Balance[[#This Row],[Nombre Cuenta]])</f>
        <v>#REF!</v>
      </c>
      <c r="M158" s="52" t="s">
        <v>1230</v>
      </c>
      <c r="N158" s="150"/>
      <c r="O158" s="150"/>
      <c r="P158" s="150"/>
      <c r="Q158" s="150"/>
      <c r="R158" s="150"/>
      <c r="S158" s="150"/>
      <c r="T158" s="150"/>
      <c r="U158" s="150"/>
    </row>
    <row r="159" spans="1:21" ht="14.25" customHeight="1">
      <c r="A159" s="52" t="s">
        <v>774</v>
      </c>
      <c r="B159" s="52" t="s">
        <v>787</v>
      </c>
      <c r="C159" s="52" t="s">
        <v>793</v>
      </c>
      <c r="D159" s="52" t="s">
        <v>1251</v>
      </c>
      <c r="E159" s="52">
        <v>4490</v>
      </c>
      <c r="F159" s="52" t="str">
        <f>+MID(Estructura_Balance[[#This Row],[CPGC]],1,2)</f>
        <v>44</v>
      </c>
      <c r="G159" s="52" t="str">
        <f>+MID(Estructura_Balance[[#This Row],[CPGC]],1,3)</f>
        <v>449</v>
      </c>
      <c r="H159" s="52" t="str">
        <f>+MID(Estructura_Balance[[#This Row],[Grupo]],1,7)</f>
        <v>Grupo 4</v>
      </c>
      <c r="I159" s="52"/>
      <c r="J159" s="52" t="s">
        <v>1255</v>
      </c>
      <c r="K159" s="233" t="str">
        <f>+CONCATENATE(MID(Estructura_Balance[[#This Row],[Nombre Cuenta]],1,3)," - ", ,MID(Estructura_Balance[[#This Row],[Nombre Cuenta]],6,144))</f>
        <v>449 -  Deudores por operaciones en común</v>
      </c>
      <c r="L159" s="52" t="e">
        <f>+LEN([1]!Estructura_Balance[[#This Row],[Nombre Cuenta]])</f>
        <v>#REF!</v>
      </c>
      <c r="M159" s="52" t="s">
        <v>1230</v>
      </c>
      <c r="N159" s="150"/>
      <c r="O159" s="150"/>
      <c r="P159" s="150"/>
      <c r="Q159" s="150"/>
      <c r="R159" s="150"/>
      <c r="S159" s="150"/>
      <c r="T159" s="150"/>
      <c r="U159" s="150"/>
    </row>
    <row r="160" spans="1:21" ht="14.25" customHeight="1">
      <c r="A160" s="52" t="s">
        <v>774</v>
      </c>
      <c r="B160" s="52" t="s">
        <v>787</v>
      </c>
      <c r="C160" s="52" t="s">
        <v>793</v>
      </c>
      <c r="D160" s="52" t="s">
        <v>1251</v>
      </c>
      <c r="E160" s="52">
        <v>4600</v>
      </c>
      <c r="F160" s="52" t="str">
        <f>+MID(Estructura_Balance[[#This Row],[CPGC]],1,2)</f>
        <v>46</v>
      </c>
      <c r="G160" s="52" t="str">
        <f>+MID(Estructura_Balance[[#This Row],[CPGC]],1,3)</f>
        <v>460</v>
      </c>
      <c r="H160" s="52" t="str">
        <f>+MID(Estructura_Balance[[#This Row],[Grupo]],1,7)</f>
        <v>Grupo 4</v>
      </c>
      <c r="I160" s="52"/>
      <c r="J160" s="52" t="s">
        <v>1256</v>
      </c>
      <c r="K160" s="233" t="str">
        <f>+CONCATENATE(MID(Estructura_Balance[[#This Row],[Nombre Cuenta]],1,3)," - ", ,MID(Estructura_Balance[[#This Row],[Nombre Cuenta]],6,144))</f>
        <v>460 -  Anticipos de remuneraciones</v>
      </c>
      <c r="L160" s="52" t="e">
        <f>+LEN([1]!Estructura_Balance[[#This Row],[Nombre Cuenta]])</f>
        <v>#REF!</v>
      </c>
      <c r="M160" s="52" t="s">
        <v>1230</v>
      </c>
      <c r="N160" s="150"/>
      <c r="O160" s="150"/>
      <c r="P160" s="150"/>
      <c r="Q160" s="150"/>
      <c r="R160" s="150"/>
      <c r="S160" s="150"/>
      <c r="T160" s="150"/>
      <c r="U160" s="150"/>
    </row>
    <row r="161" spans="1:21" ht="14.25" customHeight="1">
      <c r="A161" s="52" t="s">
        <v>770</v>
      </c>
      <c r="B161" s="52" t="s">
        <v>804</v>
      </c>
      <c r="C161" s="52" t="s">
        <v>809</v>
      </c>
      <c r="D161" s="52" t="s">
        <v>1237</v>
      </c>
      <c r="E161" s="52">
        <v>4650</v>
      </c>
      <c r="F161" s="52" t="str">
        <f>+MID(Estructura_Balance[[#This Row],[CPGC]],1,2)</f>
        <v>46</v>
      </c>
      <c r="G161" s="52" t="str">
        <f>+MID(Estructura_Balance[[#This Row],[CPGC]],1,3)</f>
        <v>465</v>
      </c>
      <c r="H161" s="52" t="str">
        <f>+MID(Estructura_Balance[[#This Row],[Grupo]],1,7)</f>
        <v>Grupo 4</v>
      </c>
      <c r="I161" s="52"/>
      <c r="J161" s="52" t="s">
        <v>1257</v>
      </c>
      <c r="K161" s="233" t="str">
        <f>+CONCATENATE(MID(Estructura_Balance[[#This Row],[Nombre Cuenta]],1,3)," - ", ,MID(Estructura_Balance[[#This Row],[Nombre Cuenta]],6,144))</f>
        <v>465 -  Remuneraciones pendiente de pago</v>
      </c>
      <c r="L161" s="52" t="e">
        <f>+LEN([1]!Estructura_Balance[[#This Row],[Nombre Cuenta]])</f>
        <v>#REF!</v>
      </c>
      <c r="M161" s="52" t="s">
        <v>1230</v>
      </c>
      <c r="N161" s="150"/>
      <c r="O161" s="150"/>
      <c r="P161" s="150"/>
      <c r="Q161" s="150"/>
      <c r="R161" s="150"/>
      <c r="S161" s="150"/>
      <c r="T161" s="150"/>
      <c r="U161" s="150"/>
    </row>
    <row r="162" spans="1:21" ht="14.25" customHeight="1">
      <c r="A162" s="52" t="s">
        <v>770</v>
      </c>
      <c r="B162" s="52" t="s">
        <v>804</v>
      </c>
      <c r="C162" s="52" t="s">
        <v>809</v>
      </c>
      <c r="D162" s="52" t="s">
        <v>1237</v>
      </c>
      <c r="E162" s="52">
        <v>4660</v>
      </c>
      <c r="F162" s="52" t="str">
        <f>+MID(Estructura_Balance[[#This Row],[CPGC]],1,2)</f>
        <v>46</v>
      </c>
      <c r="G162" s="52" t="str">
        <f>+MID(Estructura_Balance[[#This Row],[CPGC]],1,3)</f>
        <v>466</v>
      </c>
      <c r="H162" s="52" t="str">
        <f>+MID(Estructura_Balance[[#This Row],[Grupo]],1,7)</f>
        <v>Grupo 4</v>
      </c>
      <c r="I162" s="52"/>
      <c r="J162" s="52" t="s">
        <v>1258</v>
      </c>
      <c r="K162" s="233" t="str">
        <f>+CONCATENATE(MID(Estructura_Balance[[#This Row],[Nombre Cuenta]],1,3)," - ", ,MID(Estructura_Balance[[#This Row],[Nombre Cuenta]],6,144))</f>
        <v>466 -  Remuneraciones mediante sistemas de aportación definida pendientes de pago</v>
      </c>
      <c r="L162" s="52" t="e">
        <f>+LEN([1]!Estructura_Balance[[#This Row],[Nombre Cuenta]])</f>
        <v>#REF!</v>
      </c>
      <c r="M162" s="52" t="s">
        <v>1230</v>
      </c>
      <c r="N162" s="150"/>
      <c r="O162" s="150"/>
      <c r="P162" s="150"/>
      <c r="Q162" s="150"/>
      <c r="R162" s="150"/>
      <c r="S162" s="150"/>
      <c r="T162" s="150"/>
      <c r="U162" s="150"/>
    </row>
    <row r="163" spans="1:21" ht="14.25" customHeight="1">
      <c r="A163" s="52" t="s">
        <v>774</v>
      </c>
      <c r="B163" s="52" t="s">
        <v>787</v>
      </c>
      <c r="C163" s="52" t="s">
        <v>793</v>
      </c>
      <c r="D163" s="52" t="s">
        <v>1251</v>
      </c>
      <c r="E163" s="52">
        <v>4700</v>
      </c>
      <c r="F163" s="52" t="str">
        <f>+MID(Estructura_Balance[[#This Row],[CPGC]],1,2)</f>
        <v>47</v>
      </c>
      <c r="G163" s="52" t="str">
        <f>+MID(Estructura_Balance[[#This Row],[CPGC]],1,3)</f>
        <v>470</v>
      </c>
      <c r="H163" s="52" t="str">
        <f>+MID(Estructura_Balance[[#This Row],[Grupo]],1,7)</f>
        <v>Grupo 4</v>
      </c>
      <c r="I163" s="52"/>
      <c r="J163" s="52" t="s">
        <v>1259</v>
      </c>
      <c r="K163" s="233" t="str">
        <f>+CONCATENATE(MID(Estructura_Balance[[#This Row],[Nombre Cuenta]],1,4)," - ", ,MID(Estructura_Balance[[#This Row],[Nombre Cuenta]],6,144))</f>
        <v>470  -  Hacienda Pública, deudora por diversos conceptos</v>
      </c>
      <c r="L163" s="52" t="e">
        <f>+LEN([1]!Estructura_Balance[[#This Row],[Nombre Cuenta]])</f>
        <v>#REF!</v>
      </c>
      <c r="M163" s="52" t="s">
        <v>1230</v>
      </c>
      <c r="N163" s="150"/>
      <c r="O163" s="150"/>
      <c r="P163" s="150"/>
      <c r="Q163" s="150"/>
      <c r="R163" s="150"/>
      <c r="S163" s="150"/>
      <c r="T163" s="150"/>
      <c r="U163" s="150"/>
    </row>
    <row r="164" spans="1:21" ht="14.25" customHeight="1">
      <c r="A164" s="52" t="s">
        <v>774</v>
      </c>
      <c r="B164" s="52" t="s">
        <v>787</v>
      </c>
      <c r="C164" s="52" t="s">
        <v>793</v>
      </c>
      <c r="D164" s="52" t="s">
        <v>1251</v>
      </c>
      <c r="E164" s="52">
        <v>4700</v>
      </c>
      <c r="F164" s="52" t="str">
        <f>+MID(Estructura_Balance[[#This Row],[CPGC]],1,2)</f>
        <v>47</v>
      </c>
      <c r="G164" s="52" t="str">
        <f>+MID(Estructura_Balance[[#This Row],[CPGC]],1,3)</f>
        <v>470</v>
      </c>
      <c r="H164" s="52" t="str">
        <f>+MID(Estructura_Balance[[#This Row],[Grupo]],1,7)</f>
        <v>Grupo 4</v>
      </c>
      <c r="I164" s="52"/>
      <c r="J164" s="52" t="s">
        <v>1260</v>
      </c>
      <c r="K164" s="233" t="str">
        <f>+CONCATENATE(MID(Estructura_Balance[[#This Row],[Nombre Cuenta]],1,4)," - ", ,MID(Estructura_Balance[[#This Row],[Nombre Cuenta]],6,144))</f>
        <v>4700 -  Hacienda Pública, deudora por IVA</v>
      </c>
      <c r="L164" s="52" t="e">
        <f>+LEN([1]!Estructura_Balance[[#This Row],[Nombre Cuenta]])</f>
        <v>#REF!</v>
      </c>
      <c r="M164" s="52" t="s">
        <v>1230</v>
      </c>
      <c r="N164" s="150"/>
      <c r="O164" s="150"/>
      <c r="P164" s="150"/>
      <c r="Q164" s="150"/>
      <c r="R164" s="150"/>
      <c r="S164" s="150"/>
      <c r="T164" s="150"/>
      <c r="U164" s="150"/>
    </row>
    <row r="165" spans="1:21" ht="14.25" customHeight="1">
      <c r="A165" s="52" t="s">
        <v>774</v>
      </c>
      <c r="B165" s="52" t="s">
        <v>787</v>
      </c>
      <c r="C165" s="52" t="s">
        <v>793</v>
      </c>
      <c r="D165" s="52" t="s">
        <v>1251</v>
      </c>
      <c r="E165" s="52">
        <v>4710</v>
      </c>
      <c r="F165" s="52" t="str">
        <f>+MID(Estructura_Balance[[#This Row],[CPGC]],1,2)</f>
        <v>47</v>
      </c>
      <c r="G165" s="52" t="str">
        <f>+MID(Estructura_Balance[[#This Row],[CPGC]],1,3)</f>
        <v>471</v>
      </c>
      <c r="H165" s="52" t="str">
        <f>+MID(Estructura_Balance[[#This Row],[Grupo]],1,7)</f>
        <v>Grupo 4</v>
      </c>
      <c r="I165" s="52"/>
      <c r="J165" s="52" t="s">
        <v>1261</v>
      </c>
      <c r="K165" s="233" t="str">
        <f>+CONCATENATE(MID(Estructura_Balance[[#This Row],[Nombre Cuenta]],1,3)," - ", ,MID(Estructura_Balance[[#This Row],[Nombre Cuenta]],6,144))</f>
        <v xml:space="preserve">471 -  Organismos de la Seguridad Social, deudores </v>
      </c>
      <c r="L165" s="52" t="e">
        <f>+LEN([1]!Estructura_Balance[[#This Row],[Nombre Cuenta]])</f>
        <v>#REF!</v>
      </c>
      <c r="M165" s="52" t="s">
        <v>1230</v>
      </c>
      <c r="N165" s="150"/>
      <c r="O165" s="150"/>
      <c r="P165" s="150"/>
      <c r="Q165" s="150"/>
      <c r="R165" s="150"/>
      <c r="S165" s="150"/>
      <c r="T165" s="150"/>
      <c r="U165" s="150"/>
    </row>
    <row r="166" spans="1:21" ht="14.25" customHeight="1">
      <c r="A166" s="52" t="s">
        <v>774</v>
      </c>
      <c r="B166" s="52" t="s">
        <v>787</v>
      </c>
      <c r="C166" s="52" t="s">
        <v>793</v>
      </c>
      <c r="D166" s="52" t="s">
        <v>1251</v>
      </c>
      <c r="E166" s="52">
        <v>4720</v>
      </c>
      <c r="F166" s="52" t="str">
        <f>+MID(Estructura_Balance[[#This Row],[CPGC]],1,2)</f>
        <v>47</v>
      </c>
      <c r="G166" s="52" t="str">
        <f>+MID(Estructura_Balance[[#This Row],[CPGC]],1,3)</f>
        <v>472</v>
      </c>
      <c r="H166" s="52" t="str">
        <f>+MID(Estructura_Balance[[#This Row],[Grupo]],1,7)</f>
        <v>Grupo 4</v>
      </c>
      <c r="I166" s="52"/>
      <c r="J166" s="52" t="s">
        <v>1262</v>
      </c>
      <c r="K166" s="233" t="str">
        <f>+CONCATENATE(MID(Estructura_Balance[[#This Row],[Nombre Cuenta]],1,3)," - ", ,MID(Estructura_Balance[[#This Row],[Nombre Cuenta]],6,144))</f>
        <v>472 -  Hacienda Pública, IVA soportado</v>
      </c>
      <c r="L166" s="52" t="e">
        <f>+LEN([1]!Estructura_Balance[[#This Row],[Nombre Cuenta]])</f>
        <v>#REF!</v>
      </c>
      <c r="M166" s="52" t="s">
        <v>1230</v>
      </c>
      <c r="N166" s="150"/>
      <c r="O166" s="150"/>
      <c r="P166" s="150"/>
      <c r="Q166" s="150"/>
      <c r="R166" s="150"/>
      <c r="S166" s="150"/>
      <c r="T166" s="150"/>
      <c r="U166" s="150"/>
    </row>
    <row r="167" spans="1:21" ht="14.25" customHeight="1">
      <c r="A167" s="52" t="s">
        <v>770</v>
      </c>
      <c r="B167" s="52" t="s">
        <v>804</v>
      </c>
      <c r="C167" s="52" t="s">
        <v>809</v>
      </c>
      <c r="D167" s="52" t="s">
        <v>1237</v>
      </c>
      <c r="E167" s="52">
        <v>4730</v>
      </c>
      <c r="F167" s="52" t="str">
        <f>+MID(Estructura_Balance[[#This Row],[CPGC]],1,2)</f>
        <v>47</v>
      </c>
      <c r="G167" s="52" t="str">
        <f>+MID(Estructura_Balance[[#This Row],[CPGC]],1,3)</f>
        <v>473</v>
      </c>
      <c r="H167" s="52" t="str">
        <f>+MID(Estructura_Balance[[#This Row],[Grupo]],1,7)</f>
        <v>Grupo 4</v>
      </c>
      <c r="I167" s="52"/>
      <c r="J167" s="52" t="s">
        <v>1263</v>
      </c>
      <c r="K167" s="233" t="str">
        <f>+CONCATENATE(MID(Estructura_Balance[[#This Row],[Nombre Cuenta]],1,3)," - ", ,MID(Estructura_Balance[[#This Row],[Nombre Cuenta]],6,144))</f>
        <v>473 -  Hacienda Publica, retenciones y pagos a cuenta</v>
      </c>
      <c r="L167" s="52" t="e">
        <f>+LEN([1]!Estructura_Balance[[#This Row],[Nombre Cuenta]])</f>
        <v>#REF!</v>
      </c>
      <c r="M167" s="52" t="s">
        <v>1230</v>
      </c>
      <c r="N167" s="150"/>
      <c r="O167" s="150"/>
      <c r="P167" s="150"/>
      <c r="Q167" s="150"/>
      <c r="R167" s="150"/>
      <c r="S167" s="150"/>
      <c r="T167" s="150"/>
      <c r="U167" s="150"/>
    </row>
    <row r="168" spans="1:21" ht="14.25" customHeight="1">
      <c r="A168" s="52" t="s">
        <v>774</v>
      </c>
      <c r="B168" s="52" t="s">
        <v>775</v>
      </c>
      <c r="C168" s="52" t="s">
        <v>785</v>
      </c>
      <c r="D168" s="52" t="s">
        <v>1264</v>
      </c>
      <c r="E168" s="52">
        <v>4740</v>
      </c>
      <c r="F168" s="52">
        <v>47</v>
      </c>
      <c r="G168" s="52">
        <v>474</v>
      </c>
      <c r="H168" s="52" t="s">
        <v>1265</v>
      </c>
      <c r="I168" s="52"/>
      <c r="J168" s="52" t="s">
        <v>1266</v>
      </c>
      <c r="K168" s="233" t="str">
        <f>+CONCATENATE(MID(Estructura_Balance[[#This Row],[Nombre Cuenta]],1,3)," - ", ,MID(Estructura_Balance[[#This Row],[Nombre Cuenta]],6,144))</f>
        <v>474 -  Activos por impuesto diferido</v>
      </c>
      <c r="L168" s="52" t="e">
        <f>+LEN([1]!Estructura_Balance[[#This Row],[Nombre Cuenta]])</f>
        <v>#REF!</v>
      </c>
      <c r="M168" s="52" t="s">
        <v>1230</v>
      </c>
      <c r="N168" s="150"/>
      <c r="O168" s="150"/>
      <c r="P168" s="150"/>
      <c r="Q168" s="150"/>
      <c r="R168" s="150"/>
      <c r="S168" s="150"/>
      <c r="T168" s="150"/>
      <c r="U168" s="150"/>
    </row>
    <row r="169" spans="1:21" ht="14.25" customHeight="1">
      <c r="A169" s="52" t="s">
        <v>770</v>
      </c>
      <c r="B169" s="52" t="s">
        <v>804</v>
      </c>
      <c r="C169" s="52" t="s">
        <v>809</v>
      </c>
      <c r="D169" s="52" t="s">
        <v>1237</v>
      </c>
      <c r="E169" s="52">
        <v>4750</v>
      </c>
      <c r="F169" s="52" t="str">
        <f>+MID(Estructura_Balance[[#This Row],[CPGC]],1,2)</f>
        <v>47</v>
      </c>
      <c r="G169" s="52" t="str">
        <f>+MID(Estructura_Balance[[#This Row],[CPGC]],1,3)</f>
        <v>475</v>
      </c>
      <c r="H169" s="52" t="str">
        <f>+MID(Estructura_Balance[[#This Row],[Grupo]],1,7)</f>
        <v>Grupo 4</v>
      </c>
      <c r="I169" s="52"/>
      <c r="J169" s="52" t="s">
        <v>1267</v>
      </c>
      <c r="K169" s="233" t="str">
        <f>+CONCATENATE(MID(Estructura_Balance[[#This Row],[Nombre Cuenta]],1,3)," - ", ,MID(Estructura_Balance[[#This Row],[Nombre Cuenta]],6,144))</f>
        <v>475 -  Hacienda Pública, acreedora por conceptos fiscales</v>
      </c>
      <c r="L169" s="52" t="e">
        <f>+LEN([1]!Estructura_Balance[[#This Row],[Nombre Cuenta]])</f>
        <v>#REF!</v>
      </c>
      <c r="M169" s="52" t="s">
        <v>1230</v>
      </c>
      <c r="N169" s="150"/>
      <c r="O169" s="150"/>
      <c r="P169" s="150"/>
      <c r="Q169" s="150"/>
      <c r="R169" s="150"/>
      <c r="S169" s="150"/>
      <c r="T169" s="150"/>
      <c r="U169" s="150"/>
    </row>
    <row r="170" spans="1:21" ht="14.25" customHeight="1">
      <c r="A170" s="52" t="s">
        <v>770</v>
      </c>
      <c r="B170" s="52" t="s">
        <v>804</v>
      </c>
      <c r="C170" s="52" t="s">
        <v>809</v>
      </c>
      <c r="D170" s="52" t="s">
        <v>1237</v>
      </c>
      <c r="E170" s="52">
        <v>4750</v>
      </c>
      <c r="F170" s="52" t="str">
        <f>+MID(Estructura_Balance[[#This Row],[CPGC]],1,2)</f>
        <v>47</v>
      </c>
      <c r="G170" s="52" t="str">
        <f>+MID(Estructura_Balance[[#This Row],[CPGC]],1,3)</f>
        <v>475</v>
      </c>
      <c r="H170" s="52" t="str">
        <f>+MID(Estructura_Balance[[#This Row],[Grupo]],1,7)</f>
        <v>Grupo 4</v>
      </c>
      <c r="I170" s="52"/>
      <c r="J170" s="52" t="s">
        <v>1268</v>
      </c>
      <c r="K170" s="233" t="str">
        <f>+CONCATENATE(MID(Estructura_Balance[[#This Row],[Nombre Cuenta]],1,4)," - ", ,MID(Estructura_Balance[[#This Row],[Nombre Cuenta]],6,144))</f>
        <v>4750 -  Hacienda Pública, acreedora por IVA</v>
      </c>
      <c r="L170" s="52" t="e">
        <f>+LEN([1]!Estructura_Balance[[#This Row],[Nombre Cuenta]])</f>
        <v>#REF!</v>
      </c>
      <c r="M170" s="52" t="s">
        <v>1230</v>
      </c>
      <c r="N170" s="150"/>
      <c r="O170" s="150"/>
      <c r="P170" s="150"/>
      <c r="Q170" s="150"/>
      <c r="R170" s="150"/>
      <c r="S170" s="150"/>
      <c r="T170" s="150"/>
      <c r="U170" s="150"/>
    </row>
    <row r="171" spans="1:21" ht="14.25" customHeight="1">
      <c r="A171" s="52" t="s">
        <v>770</v>
      </c>
      <c r="B171" s="52" t="s">
        <v>804</v>
      </c>
      <c r="C171" s="52" t="s">
        <v>809</v>
      </c>
      <c r="D171" s="52" t="s">
        <v>1237</v>
      </c>
      <c r="E171" s="52">
        <v>4751</v>
      </c>
      <c r="F171" s="52" t="str">
        <f>+MID(Estructura_Balance[[#This Row],[CPGC]],1,2)</f>
        <v>47</v>
      </c>
      <c r="G171" s="52" t="str">
        <f>+MID(Estructura_Balance[[#This Row],[CPGC]],1,3)</f>
        <v>475</v>
      </c>
      <c r="H171" s="52" t="str">
        <f>+MID(Estructura_Balance[[#This Row],[Grupo]],1,7)</f>
        <v>Grupo 4</v>
      </c>
      <c r="I171" s="52"/>
      <c r="J171" s="52" t="s">
        <v>1269</v>
      </c>
      <c r="K171" s="233" t="str">
        <f>+CONCATENATE(MID(Estructura_Balance[[#This Row],[Nombre Cuenta]],1,4)," - ", ,MID(Estructura_Balance[[#This Row],[Nombre Cuenta]],6,144))</f>
        <v>4751 -  Hacienda Pública, acreedora por retenciones practicadas</v>
      </c>
      <c r="L171" s="52" t="e">
        <f>+LEN([1]!Estructura_Balance[[#This Row],[Nombre Cuenta]])</f>
        <v>#REF!</v>
      </c>
      <c r="M171" s="52" t="s">
        <v>1230</v>
      </c>
      <c r="N171" s="150"/>
      <c r="O171" s="150"/>
      <c r="P171" s="150"/>
      <c r="Q171" s="150"/>
      <c r="R171" s="150"/>
      <c r="S171" s="150"/>
      <c r="T171" s="150"/>
      <c r="U171" s="150"/>
    </row>
    <row r="172" spans="1:21" ht="14.25" customHeight="1">
      <c r="A172" s="52" t="s">
        <v>770</v>
      </c>
      <c r="B172" s="52" t="s">
        <v>804</v>
      </c>
      <c r="C172" s="52" t="s">
        <v>809</v>
      </c>
      <c r="D172" s="52" t="s">
        <v>1237</v>
      </c>
      <c r="E172" s="52">
        <v>4752</v>
      </c>
      <c r="F172" s="52" t="str">
        <f>+MID(Estructura_Balance[[#This Row],[CPGC]],1,2)</f>
        <v>47</v>
      </c>
      <c r="G172" s="52" t="str">
        <f>+MID(Estructura_Balance[[#This Row],[CPGC]],1,3)</f>
        <v>475</v>
      </c>
      <c r="H172" s="52" t="str">
        <f>+MID(Estructura_Balance[[#This Row],[Grupo]],1,7)</f>
        <v>Grupo 4</v>
      </c>
      <c r="I172" s="52"/>
      <c r="J172" s="52" t="s">
        <v>1270</v>
      </c>
      <c r="K172" s="233" t="str">
        <f>+CONCATENATE(MID(Estructura_Balance[[#This Row],[Nombre Cuenta]],1,4)," - ", ,MID(Estructura_Balance[[#This Row],[Nombre Cuenta]],6,144))</f>
        <v>4752 -  Hacienda Pública, acreedora por impuesto sobre sociedades</v>
      </c>
      <c r="L172" s="52" t="e">
        <f>+LEN([1]!Estructura_Balance[[#This Row],[Nombre Cuenta]])</f>
        <v>#REF!</v>
      </c>
      <c r="M172" s="52" t="s">
        <v>1230</v>
      </c>
      <c r="N172" s="150"/>
      <c r="O172" s="150"/>
      <c r="P172" s="150"/>
      <c r="Q172" s="150"/>
      <c r="R172" s="150"/>
      <c r="S172" s="150"/>
      <c r="T172" s="150"/>
      <c r="U172" s="150"/>
    </row>
    <row r="173" spans="1:21" ht="14.25" customHeight="1">
      <c r="A173" s="52" t="s">
        <v>770</v>
      </c>
      <c r="B173" s="52" t="s">
        <v>804</v>
      </c>
      <c r="C173" s="52" t="s">
        <v>809</v>
      </c>
      <c r="D173" s="52" t="s">
        <v>1237</v>
      </c>
      <c r="E173" s="52">
        <v>4760</v>
      </c>
      <c r="F173" s="52" t="str">
        <f>+MID(Estructura_Balance[[#This Row],[CPGC]],1,2)</f>
        <v>47</v>
      </c>
      <c r="G173" s="52" t="str">
        <f>+MID(Estructura_Balance[[#This Row],[CPGC]],1,3)</f>
        <v>476</v>
      </c>
      <c r="H173" s="52" t="str">
        <f>+MID(Estructura_Balance[[#This Row],[Grupo]],1,7)</f>
        <v>Grupo 4</v>
      </c>
      <c r="I173" s="52"/>
      <c r="J173" s="52" t="s">
        <v>1271</v>
      </c>
      <c r="K173" s="233" t="str">
        <f>+CONCATENATE(MID(Estructura_Balance[[#This Row],[Nombre Cuenta]],1,4)," - ", ,MID(Estructura_Balance[[#This Row],[Nombre Cuenta]],6,144))</f>
        <v>476  -  Organismos de la Seguridad Social, acreedores</v>
      </c>
      <c r="L173" s="52" t="e">
        <f>+LEN([1]!Estructura_Balance[[#This Row],[Nombre Cuenta]])</f>
        <v>#REF!</v>
      </c>
      <c r="M173" s="52" t="s">
        <v>1230</v>
      </c>
      <c r="N173" s="150"/>
      <c r="O173" s="150"/>
      <c r="P173" s="150"/>
      <c r="Q173" s="150"/>
      <c r="R173" s="150"/>
      <c r="S173" s="150"/>
      <c r="T173" s="150"/>
      <c r="U173" s="150"/>
    </row>
    <row r="174" spans="1:21" ht="14.25" customHeight="1">
      <c r="A174" s="52" t="s">
        <v>770</v>
      </c>
      <c r="B174" s="52" t="s">
        <v>804</v>
      </c>
      <c r="C174" s="52" t="s">
        <v>809</v>
      </c>
      <c r="D174" s="52" t="s">
        <v>1237</v>
      </c>
      <c r="E174" s="52">
        <v>4770</v>
      </c>
      <c r="F174" s="52" t="str">
        <f>+MID(Estructura_Balance[[#This Row],[CPGC]],1,2)</f>
        <v>47</v>
      </c>
      <c r="G174" s="52" t="str">
        <f>+MID(Estructura_Balance[[#This Row],[CPGC]],1,3)</f>
        <v>477</v>
      </c>
      <c r="H174" s="52" t="str">
        <f>+MID(Estructura_Balance[[#This Row],[Grupo]],1,7)</f>
        <v>Grupo 4</v>
      </c>
      <c r="I174" s="52"/>
      <c r="J174" s="52" t="s">
        <v>1272</v>
      </c>
      <c r="K174" s="233" t="str">
        <f>+CONCATENATE(MID(Estructura_Balance[[#This Row],[Nombre Cuenta]],1,3)," - ", ,MID(Estructura_Balance[[#This Row],[Nombre Cuenta]],6,144))</f>
        <v>477 -  Hacienda Pública, IVA repercutido</v>
      </c>
      <c r="L174" s="52" t="e">
        <f>+LEN([1]!Estructura_Balance[[#This Row],[Nombre Cuenta]])</f>
        <v>#REF!</v>
      </c>
      <c r="M174" s="52" t="s">
        <v>1230</v>
      </c>
      <c r="N174" s="150"/>
      <c r="O174" s="150"/>
      <c r="P174" s="150"/>
      <c r="Q174" s="150"/>
      <c r="R174" s="150"/>
      <c r="S174" s="150"/>
      <c r="T174" s="150"/>
      <c r="U174" s="150"/>
    </row>
    <row r="175" spans="1:21" ht="14.25" customHeight="1">
      <c r="A175" s="52" t="s">
        <v>770</v>
      </c>
      <c r="B175" s="52" t="s">
        <v>796</v>
      </c>
      <c r="C175" s="52" t="s">
        <v>802</v>
      </c>
      <c r="D175" s="52" t="s">
        <v>1273</v>
      </c>
      <c r="E175" s="52">
        <v>4790</v>
      </c>
      <c r="F175" s="52">
        <v>47</v>
      </c>
      <c r="G175" s="52">
        <v>479</v>
      </c>
      <c r="H175" s="52" t="s">
        <v>1265</v>
      </c>
      <c r="I175" s="52"/>
      <c r="J175" s="52" t="s">
        <v>1274</v>
      </c>
      <c r="K175" s="233" t="str">
        <f>+CONCATENATE(MID(Estructura_Balance[[#This Row],[Nombre Cuenta]],1,3)," - ", ,MID(Estructura_Balance[[#This Row],[Nombre Cuenta]],6,144))</f>
        <v>479 -  Pasivos por diferencias temporarias imponibles</v>
      </c>
      <c r="L175" s="52" t="e">
        <f>+LEN([1]!Estructura_Balance[[#This Row],[Nombre Cuenta]])</f>
        <v>#REF!</v>
      </c>
      <c r="M175" s="52" t="s">
        <v>1230</v>
      </c>
      <c r="N175" s="150"/>
      <c r="O175" s="150"/>
      <c r="P175" s="150"/>
      <c r="Q175" s="150"/>
      <c r="R175" s="150"/>
      <c r="S175" s="150"/>
      <c r="T175" s="150"/>
      <c r="U175" s="150"/>
    </row>
    <row r="176" spans="1:21" ht="14.1" customHeight="1">
      <c r="A176" s="52" t="s">
        <v>774</v>
      </c>
      <c r="B176" s="52" t="s">
        <v>787</v>
      </c>
      <c r="C176" s="52" t="s">
        <v>797</v>
      </c>
      <c r="D176" s="52" t="s">
        <v>1275</v>
      </c>
      <c r="E176" s="52">
        <v>4800</v>
      </c>
      <c r="F176" s="52" t="str">
        <f>+MID(Estructura_Balance[[#This Row],[CPGC]],1,2)</f>
        <v>48</v>
      </c>
      <c r="G176" s="52" t="str">
        <f>+MID(Estructura_Balance[[#This Row],[CPGC]],1,3)</f>
        <v>480</v>
      </c>
      <c r="H176" s="52" t="str">
        <f>+MID(Estructura_Balance[[#This Row],[Grupo]],1,7)</f>
        <v>Grupo 4</v>
      </c>
      <c r="I176" s="52"/>
      <c r="J176" s="52" t="s">
        <v>1276</v>
      </c>
      <c r="K176" s="233" t="str">
        <f>+CONCATENATE(MID(Estructura_Balance[[#This Row],[Nombre Cuenta]],1,3)," - ", ,MID(Estructura_Balance[[#This Row],[Nombre Cuenta]],6,144))</f>
        <v>480 -  Gastos anticipados</v>
      </c>
      <c r="L176" s="52" t="e">
        <f>+LEN([1]!Estructura_Balance[[#This Row],[Nombre Cuenta]])</f>
        <v>#REF!</v>
      </c>
      <c r="M176" s="52" t="s">
        <v>1230</v>
      </c>
      <c r="N176" s="150"/>
      <c r="O176" s="150"/>
      <c r="P176" s="150"/>
      <c r="Q176" s="150"/>
      <c r="R176" s="150"/>
      <c r="S176" s="150"/>
      <c r="T176" s="150"/>
      <c r="U176" s="150"/>
    </row>
    <row r="177" spans="1:21" ht="14.25" customHeight="1">
      <c r="A177" s="52" t="s">
        <v>770</v>
      </c>
      <c r="B177" s="52" t="s">
        <v>804</v>
      </c>
      <c r="C177" s="52" t="s">
        <v>810</v>
      </c>
      <c r="D177" s="52" t="s">
        <v>1277</v>
      </c>
      <c r="E177" s="52">
        <v>4850</v>
      </c>
      <c r="F177" s="52" t="str">
        <f>+MID(Estructura_Balance[[#This Row],[CPGC]],1,2)</f>
        <v>48</v>
      </c>
      <c r="G177" s="52" t="str">
        <f>+MID(Estructura_Balance[[#This Row],[CPGC]],1,3)</f>
        <v>485</v>
      </c>
      <c r="H177" s="52" t="str">
        <f>+MID(Estructura_Balance[[#This Row],[Grupo]],1,7)</f>
        <v>Grupo 4</v>
      </c>
      <c r="I177" s="52"/>
      <c r="J177" s="52" t="s">
        <v>1278</v>
      </c>
      <c r="K177" s="233" t="str">
        <f>+CONCATENATE(MID(Estructura_Balance[[#This Row],[Nombre Cuenta]],1,3)," - ", ,MID(Estructura_Balance[[#This Row],[Nombre Cuenta]],6,144))</f>
        <v>485 -  Ingresos anticipados</v>
      </c>
      <c r="L177" s="52" t="e">
        <f>+LEN([1]!Estructura_Balance[[#This Row],[Nombre Cuenta]])</f>
        <v>#REF!</v>
      </c>
      <c r="M177" s="52" t="s">
        <v>1230</v>
      </c>
      <c r="N177" s="150"/>
      <c r="O177" s="150"/>
      <c r="P177" s="150"/>
      <c r="Q177" s="150"/>
      <c r="R177" s="150"/>
      <c r="S177" s="150"/>
      <c r="T177" s="150"/>
      <c r="U177" s="150"/>
    </row>
    <row r="178" spans="1:21" ht="14.25" customHeight="1">
      <c r="A178" s="52" t="s">
        <v>770</v>
      </c>
      <c r="B178" s="52" t="s">
        <v>804</v>
      </c>
      <c r="C178" s="52" t="s">
        <v>806</v>
      </c>
      <c r="D178" s="52" t="s">
        <v>1279</v>
      </c>
      <c r="E178" s="52">
        <v>4900</v>
      </c>
      <c r="F178" s="52">
        <v>49</v>
      </c>
      <c r="G178" s="52" t="str">
        <f>+MID(Estructura_Balance[[#This Row],[CPGC]],1,3)</f>
        <v>490</v>
      </c>
      <c r="H178" s="52" t="s">
        <v>1265</v>
      </c>
      <c r="I178" s="52"/>
      <c r="J178" s="52" t="s">
        <v>1280</v>
      </c>
      <c r="K178" s="233" t="str">
        <f>+CONCATENATE(MID(Estructura_Balance[[#This Row],[Nombre Cuenta]],1,3)," - ", ,MID(Estructura_Balance[[#This Row],[Nombre Cuenta]],6,144))</f>
        <v>490 -  Deterioro de valor de créditos por operaciones comerciales</v>
      </c>
      <c r="L178" s="52" t="e">
        <f>+LEN([1]!Estructura_Balance[[#This Row],[Nombre Cuenta]])</f>
        <v>#REF!</v>
      </c>
      <c r="M178" s="52" t="s">
        <v>1230</v>
      </c>
      <c r="N178" s="150"/>
      <c r="O178" s="150"/>
      <c r="P178" s="150"/>
      <c r="Q178" s="150"/>
      <c r="R178" s="150"/>
      <c r="S178" s="150"/>
      <c r="T178" s="150"/>
      <c r="U178" s="150"/>
    </row>
    <row r="179" spans="1:21" ht="14.25" customHeight="1">
      <c r="A179" s="52" t="s">
        <v>770</v>
      </c>
      <c r="B179" s="52" t="s">
        <v>804</v>
      </c>
      <c r="C179" s="52" t="s">
        <v>806</v>
      </c>
      <c r="D179" s="52" t="s">
        <v>1279</v>
      </c>
      <c r="E179" s="52">
        <v>4930</v>
      </c>
      <c r="F179" s="52">
        <v>49</v>
      </c>
      <c r="G179" s="52" t="str">
        <f>+MID(Estructura_Balance[[#This Row],[CPGC]],1,3)</f>
        <v>493</v>
      </c>
      <c r="H179" s="52" t="s">
        <v>1265</v>
      </c>
      <c r="I179" s="52"/>
      <c r="J179" s="52" t="s">
        <v>1281</v>
      </c>
      <c r="K179" s="233" t="str">
        <f>+CONCATENATE(MID(Estructura_Balance[[#This Row],[Nombre Cuenta]],1,3)," - ", ,MID(Estructura_Balance[[#This Row],[Nombre Cuenta]],6,144))</f>
        <v>493 -  Deterioro de valor de créditos por operaciones comerciales con partes vinculadas</v>
      </c>
      <c r="L179" s="52" t="e">
        <f>+LEN([1]!Estructura_Balance[[#This Row],[Nombre Cuenta]])</f>
        <v>#REF!</v>
      </c>
      <c r="M179" s="52" t="s">
        <v>1230</v>
      </c>
      <c r="N179" s="150"/>
      <c r="O179" s="150"/>
      <c r="P179" s="150"/>
      <c r="Q179" s="150"/>
      <c r="R179" s="150"/>
      <c r="S179" s="150"/>
      <c r="T179" s="150"/>
      <c r="U179" s="150"/>
    </row>
    <row r="180" spans="1:21" ht="14.25" customHeight="1">
      <c r="A180" s="52" t="s">
        <v>770</v>
      </c>
      <c r="B180" s="52" t="s">
        <v>804</v>
      </c>
      <c r="C180" s="52" t="s">
        <v>806</v>
      </c>
      <c r="D180" s="52" t="s">
        <v>1279</v>
      </c>
      <c r="E180" s="52">
        <v>4990</v>
      </c>
      <c r="F180" s="52">
        <v>49</v>
      </c>
      <c r="G180" s="52">
        <v>499</v>
      </c>
      <c r="H180" s="52" t="s">
        <v>1265</v>
      </c>
      <c r="I180" s="52"/>
      <c r="J180" s="52" t="s">
        <v>1282</v>
      </c>
      <c r="K180" s="233" t="str">
        <f>+CONCATENATE(MID(Estructura_Balance[[#This Row],[Nombre Cuenta]],1,3)," - ", ,MID(Estructura_Balance[[#This Row],[Nombre Cuenta]],6,144))</f>
        <v>499 -  Provisión por operaciones comerciales</v>
      </c>
      <c r="L180" s="52" t="e">
        <f>+LEN([1]!Estructura_Balance[[#This Row],[Nombre Cuenta]])</f>
        <v>#REF!</v>
      </c>
      <c r="M180" s="52" t="s">
        <v>1230</v>
      </c>
      <c r="N180" s="150"/>
      <c r="O180" s="150"/>
      <c r="P180" s="150"/>
      <c r="Q180" s="150"/>
      <c r="R180" s="150"/>
      <c r="S180" s="150"/>
      <c r="T180" s="150"/>
      <c r="U180" s="150"/>
    </row>
    <row r="181" spans="1:21" ht="14.25" customHeight="1">
      <c r="A181" s="52" t="s">
        <v>770</v>
      </c>
      <c r="B181" s="52" t="s">
        <v>804</v>
      </c>
      <c r="C181" s="52" t="s">
        <v>807</v>
      </c>
      <c r="D181" s="52" t="s">
        <v>1016</v>
      </c>
      <c r="E181" s="52">
        <v>5000</v>
      </c>
      <c r="F181" s="52" t="s">
        <v>1283</v>
      </c>
      <c r="G181" s="52" t="s">
        <v>1284</v>
      </c>
      <c r="H181" s="52" t="s">
        <v>1285</v>
      </c>
      <c r="I181" s="52"/>
      <c r="J181" s="52" t="s">
        <v>1286</v>
      </c>
      <c r="K181" s="233" t="str">
        <f>+CONCATENATE(MID(Estructura_Balance[[#This Row],[Nombre Cuenta]],1,3)," - ", ,MID(Estructura_Balance[[#This Row],[Nombre Cuenta]],6,144))</f>
        <v>500 -  Obligaciones y bonos a corto plazo</v>
      </c>
      <c r="L181" s="52">
        <v>40</v>
      </c>
      <c r="M181" s="52" t="s">
        <v>1287</v>
      </c>
      <c r="N181" s="150"/>
      <c r="O181" s="150"/>
      <c r="P181" s="150"/>
      <c r="Q181" s="150"/>
      <c r="R181" s="150"/>
      <c r="S181" s="150"/>
      <c r="T181" s="150"/>
      <c r="U181" s="150"/>
    </row>
    <row r="182" spans="1:21" ht="14.25" customHeight="1">
      <c r="A182" s="52" t="s">
        <v>770</v>
      </c>
      <c r="B182" s="52" t="s">
        <v>804</v>
      </c>
      <c r="C182" s="52" t="s">
        <v>807</v>
      </c>
      <c r="D182" s="52" t="s">
        <v>1016</v>
      </c>
      <c r="E182" s="52">
        <v>5010</v>
      </c>
      <c r="F182" s="52" t="s">
        <v>1283</v>
      </c>
      <c r="G182" s="52" t="s">
        <v>1288</v>
      </c>
      <c r="H182" s="52" t="s">
        <v>1285</v>
      </c>
      <c r="I182" s="52"/>
      <c r="J182" s="52" t="s">
        <v>1289</v>
      </c>
      <c r="K182" s="233" t="str">
        <f>+CONCATENATE(MID(Estructura_Balance[[#This Row],[Nombre Cuenta]],1,3)," - ", ,MID(Estructura_Balance[[#This Row],[Nombre Cuenta]],6,144))</f>
        <v>501 -  Obligaciones y bonos convertibles a corto plazo</v>
      </c>
      <c r="L182" s="52">
        <v>53</v>
      </c>
      <c r="M182" s="52" t="s">
        <v>1287</v>
      </c>
      <c r="N182" s="150"/>
      <c r="O182" s="150"/>
      <c r="P182" s="150"/>
      <c r="Q182" s="150"/>
      <c r="R182" s="150"/>
      <c r="S182" s="150"/>
      <c r="T182" s="150"/>
      <c r="U182" s="150"/>
    </row>
    <row r="183" spans="1:21" ht="14.25" customHeight="1">
      <c r="A183" s="52" t="s">
        <v>770</v>
      </c>
      <c r="B183" s="52" t="s">
        <v>804</v>
      </c>
      <c r="C183" s="52" t="s">
        <v>1290</v>
      </c>
      <c r="D183" s="52" t="s">
        <v>1016</v>
      </c>
      <c r="E183" s="52">
        <v>5020</v>
      </c>
      <c r="F183" s="52" t="s">
        <v>1283</v>
      </c>
      <c r="G183" s="52" t="s">
        <v>1291</v>
      </c>
      <c r="H183" s="52" t="s">
        <v>1285</v>
      </c>
      <c r="I183" s="52"/>
      <c r="J183" s="52" t="s">
        <v>1292</v>
      </c>
      <c r="K183" s="233" t="str">
        <f>+CONCATENATE(MID(Estructura_Balance[[#This Row],[Nombre Cuenta]],1,3)," - ", ,MID(Estructura_Balance[[#This Row],[Nombre Cuenta]],6,144))</f>
        <v>502 -  Acciones o participaciones a corto plazo contabilizadas como pasivos financieros</v>
      </c>
      <c r="L183" s="52">
        <v>86</v>
      </c>
      <c r="M183" s="52" t="s">
        <v>1287</v>
      </c>
      <c r="N183" s="150"/>
      <c r="O183" s="150"/>
      <c r="P183" s="150"/>
      <c r="Q183" s="150"/>
      <c r="R183" s="150"/>
      <c r="S183" s="150"/>
      <c r="T183" s="150"/>
      <c r="U183" s="150"/>
    </row>
    <row r="184" spans="1:21" ht="14.25" customHeight="1">
      <c r="A184" s="52" t="s">
        <v>770</v>
      </c>
      <c r="B184" s="52" t="s">
        <v>804</v>
      </c>
      <c r="C184" s="52" t="s">
        <v>807</v>
      </c>
      <c r="D184" s="52" t="s">
        <v>1016</v>
      </c>
      <c r="E184" s="52">
        <v>5050</v>
      </c>
      <c r="F184" s="52" t="s">
        <v>1283</v>
      </c>
      <c r="G184" s="52" t="s">
        <v>1293</v>
      </c>
      <c r="H184" s="52" t="s">
        <v>1285</v>
      </c>
      <c r="I184" s="52"/>
      <c r="J184" s="52" t="s">
        <v>1294</v>
      </c>
      <c r="K184" s="233" t="str">
        <f>+CONCATENATE(MID(Estructura_Balance[[#This Row],[Nombre Cuenta]],1,3)," - ", ,MID(Estructura_Balance[[#This Row],[Nombre Cuenta]],6,144))</f>
        <v>505 -  Deudas representadas en otros valores negociables a corto plazo</v>
      </c>
      <c r="L184" s="52">
        <v>69</v>
      </c>
      <c r="M184" s="52" t="s">
        <v>1287</v>
      </c>
      <c r="N184" s="150"/>
      <c r="O184" s="150"/>
      <c r="P184" s="150"/>
      <c r="Q184" s="150"/>
      <c r="R184" s="150"/>
      <c r="S184" s="150"/>
      <c r="T184" s="150"/>
      <c r="U184" s="150"/>
    </row>
    <row r="185" spans="1:21" ht="14.25" customHeight="1">
      <c r="A185" s="52" t="s">
        <v>770</v>
      </c>
      <c r="B185" s="52" t="s">
        <v>804</v>
      </c>
      <c r="C185" s="52" t="s">
        <v>807</v>
      </c>
      <c r="D185" s="52" t="s">
        <v>1016</v>
      </c>
      <c r="E185" s="52">
        <v>5060</v>
      </c>
      <c r="F185" s="52" t="s">
        <v>1283</v>
      </c>
      <c r="G185" s="52" t="s">
        <v>1295</v>
      </c>
      <c r="H185" s="52" t="s">
        <v>1285</v>
      </c>
      <c r="I185" s="52"/>
      <c r="J185" s="52" t="s">
        <v>1296</v>
      </c>
      <c r="K185" s="233" t="str">
        <f>+CONCATENATE(MID(Estructura_Balance[[#This Row],[Nombre Cuenta]],1,3)," - ", ,MID(Estructura_Balance[[#This Row],[Nombre Cuenta]],6,144))</f>
        <v>506 -  Intereses a corto plazo de empréstitos y otras emisiones análogas</v>
      </c>
      <c r="L185" s="52">
        <v>71</v>
      </c>
      <c r="M185" s="52" t="s">
        <v>1287</v>
      </c>
      <c r="N185" s="150"/>
      <c r="O185" s="150"/>
      <c r="P185" s="150"/>
      <c r="Q185" s="150"/>
      <c r="R185" s="150"/>
      <c r="S185" s="150"/>
      <c r="T185" s="150"/>
      <c r="U185" s="150"/>
    </row>
    <row r="186" spans="1:21" ht="14.25" customHeight="1">
      <c r="A186" s="52" t="s">
        <v>770</v>
      </c>
      <c r="B186" s="52" t="s">
        <v>804</v>
      </c>
      <c r="C186" s="52" t="s">
        <v>1290</v>
      </c>
      <c r="D186" s="52" t="s">
        <v>1016</v>
      </c>
      <c r="E186" s="52">
        <v>5070</v>
      </c>
      <c r="F186" s="52" t="s">
        <v>1283</v>
      </c>
      <c r="G186" s="52" t="s">
        <v>1297</v>
      </c>
      <c r="H186" s="52" t="s">
        <v>1285</v>
      </c>
      <c r="I186" s="52"/>
      <c r="J186" s="52" t="s">
        <v>1298</v>
      </c>
      <c r="K186" s="233" t="str">
        <f>+CONCATENATE(MID(Estructura_Balance[[#This Row],[Nombre Cuenta]],1,3)," - ", ,MID(Estructura_Balance[[#This Row],[Nombre Cuenta]],6,144))</f>
        <v>507 -  Dividendos de acciones o participaciones consideradas como pasivos financieros</v>
      </c>
      <c r="L186" s="52">
        <v>84</v>
      </c>
      <c r="M186" s="52" t="s">
        <v>1287</v>
      </c>
      <c r="N186" s="150"/>
      <c r="O186" s="150"/>
      <c r="P186" s="150"/>
      <c r="Q186" s="150"/>
      <c r="R186" s="150"/>
      <c r="S186" s="150"/>
      <c r="T186" s="150"/>
      <c r="U186" s="150"/>
    </row>
    <row r="187" spans="1:21" ht="14.25" customHeight="1">
      <c r="A187" s="52" t="s">
        <v>770</v>
      </c>
      <c r="B187" s="52" t="s">
        <v>804</v>
      </c>
      <c r="C187" s="52" t="s">
        <v>807</v>
      </c>
      <c r="D187" s="52" t="s">
        <v>1016</v>
      </c>
      <c r="E187" s="52">
        <v>5090</v>
      </c>
      <c r="F187" s="52" t="s">
        <v>1283</v>
      </c>
      <c r="G187" s="52" t="s">
        <v>1299</v>
      </c>
      <c r="H187" s="52" t="s">
        <v>1285</v>
      </c>
      <c r="I187" s="52"/>
      <c r="J187" s="52" t="s">
        <v>1300</v>
      </c>
      <c r="K187" s="233" t="str">
        <f>+CONCATENATE(MID(Estructura_Balance[[#This Row],[Nombre Cuenta]],1,3)," - ", ,MID(Estructura_Balance[[#This Row],[Nombre Cuenta]],6,144))</f>
        <v>509 -  Valores negociables amortizados</v>
      </c>
      <c r="L187" s="52">
        <v>38</v>
      </c>
      <c r="M187" s="52" t="s">
        <v>1287</v>
      </c>
      <c r="N187" s="150"/>
      <c r="O187" s="150"/>
      <c r="P187" s="150"/>
      <c r="Q187" s="150"/>
      <c r="R187" s="150"/>
      <c r="S187" s="150"/>
      <c r="T187" s="150"/>
      <c r="U187" s="150"/>
    </row>
    <row r="188" spans="1:21" ht="14.25" customHeight="1">
      <c r="A188" s="52" t="s">
        <v>770</v>
      </c>
      <c r="B188" s="52" t="s">
        <v>804</v>
      </c>
      <c r="C188" s="52" t="s">
        <v>808</v>
      </c>
      <c r="D188" s="52" t="s">
        <v>1301</v>
      </c>
      <c r="E188" s="52">
        <v>5100</v>
      </c>
      <c r="F188" s="52">
        <v>51</v>
      </c>
      <c r="G188" s="52">
        <v>510</v>
      </c>
      <c r="H188" s="52" t="s">
        <v>1285</v>
      </c>
      <c r="I188" s="52"/>
      <c r="J188" s="52" t="s">
        <v>1302</v>
      </c>
      <c r="K188" s="233" t="str">
        <f>+CONCATENATE(MID(Estructura_Balance[[#This Row],[Nombre Cuenta]],1,3)," - ", ,MID(Estructura_Balance[[#This Row],[Nombre Cuenta]],6,144))</f>
        <v>510 -  Deudas a corto plazo con entidades de crédito vinculadas</v>
      </c>
      <c r="L188" s="52" t="e">
        <f>+LEN([1]!Estructura_Balance[[#This Row],[Nombre Cuenta]])</f>
        <v>#REF!</v>
      </c>
      <c r="M188" s="52" t="s">
        <v>1287</v>
      </c>
      <c r="N188" s="150"/>
      <c r="O188" s="150"/>
      <c r="P188" s="150"/>
      <c r="Q188" s="150"/>
      <c r="R188" s="150"/>
      <c r="S188" s="150"/>
      <c r="T188" s="150"/>
      <c r="U188" s="150"/>
    </row>
    <row r="189" spans="1:21" ht="14.25" customHeight="1">
      <c r="A189" s="52" t="s">
        <v>770</v>
      </c>
      <c r="B189" s="52" t="s">
        <v>804</v>
      </c>
      <c r="C189" s="52" t="s">
        <v>808</v>
      </c>
      <c r="D189" s="52" t="s">
        <v>1301</v>
      </c>
      <c r="E189" s="52">
        <v>5110</v>
      </c>
      <c r="F189" s="52">
        <v>51</v>
      </c>
      <c r="G189" s="52">
        <v>511</v>
      </c>
      <c r="H189" s="52" t="s">
        <v>1285</v>
      </c>
      <c r="I189" s="52"/>
      <c r="J189" s="52" t="s">
        <v>1303</v>
      </c>
      <c r="K189" s="233" t="str">
        <f>+CONCATENATE(MID(Estructura_Balance[[#This Row],[Nombre Cuenta]],1,3)," - ", ,MID(Estructura_Balance[[#This Row],[Nombre Cuenta]],6,144))</f>
        <v>511 -  Proveedores de inmovilizado a corto plazo, partes vinculadas</v>
      </c>
      <c r="L189" s="52" t="e">
        <f>+LEN([1]!Estructura_Balance[[#This Row],[Nombre Cuenta]])</f>
        <v>#REF!</v>
      </c>
      <c r="M189" s="52" t="s">
        <v>1287</v>
      </c>
      <c r="N189" s="150"/>
      <c r="O189" s="150"/>
      <c r="P189" s="150"/>
      <c r="Q189" s="150"/>
      <c r="R189" s="150"/>
      <c r="S189" s="150"/>
      <c r="T189" s="150"/>
      <c r="U189" s="150"/>
    </row>
    <row r="190" spans="1:21" ht="14.25" customHeight="1">
      <c r="A190" s="52" t="s">
        <v>770</v>
      </c>
      <c r="B190" s="52" t="s">
        <v>804</v>
      </c>
      <c r="C190" s="52" t="s">
        <v>808</v>
      </c>
      <c r="D190" s="52" t="s">
        <v>1301</v>
      </c>
      <c r="E190" s="52">
        <v>5120</v>
      </c>
      <c r="F190" s="52">
        <v>51</v>
      </c>
      <c r="G190" s="52">
        <v>512</v>
      </c>
      <c r="H190" s="52" t="s">
        <v>1285</v>
      </c>
      <c r="I190" s="52"/>
      <c r="J190" s="52" t="s">
        <v>1304</v>
      </c>
      <c r="K190" s="233" t="str">
        <f>+CONCATENATE(MID(Estructura_Balance[[#This Row],[Nombre Cuenta]],1,3)," - ", ,MID(Estructura_Balance[[#This Row],[Nombre Cuenta]],6,144))</f>
        <v>512 -  Acreedores por arrendamiento financiero a corto plazo, partes vinculadas</v>
      </c>
      <c r="L190" s="52" t="e">
        <f>+LEN([1]!Estructura_Balance[[#This Row],[Nombre Cuenta]])</f>
        <v>#REF!</v>
      </c>
      <c r="M190" s="52" t="s">
        <v>1287</v>
      </c>
      <c r="N190" s="150"/>
      <c r="O190" s="150"/>
      <c r="P190" s="150"/>
      <c r="Q190" s="150"/>
      <c r="R190" s="150"/>
      <c r="S190" s="150"/>
      <c r="T190" s="150"/>
      <c r="U190" s="150"/>
    </row>
    <row r="191" spans="1:21" ht="14.25" customHeight="1">
      <c r="A191" s="52" t="s">
        <v>770</v>
      </c>
      <c r="B191" s="52" t="s">
        <v>804</v>
      </c>
      <c r="C191" s="52" t="s">
        <v>808</v>
      </c>
      <c r="D191" s="52" t="s">
        <v>1301</v>
      </c>
      <c r="E191" s="52">
        <v>5130</v>
      </c>
      <c r="F191" s="52">
        <v>51</v>
      </c>
      <c r="G191" s="52">
        <v>513</v>
      </c>
      <c r="H191" s="52" t="s">
        <v>1285</v>
      </c>
      <c r="I191" s="52"/>
      <c r="J191" s="52" t="s">
        <v>1305</v>
      </c>
      <c r="K191" s="233" t="str">
        <f>+CONCATENATE(MID(Estructura_Balance[[#This Row],[Nombre Cuenta]],1,3)," - ", ,MID(Estructura_Balance[[#This Row],[Nombre Cuenta]],6,144))</f>
        <v xml:space="preserve">513 -  Otras deudas a corto plazo con partes vinculadas </v>
      </c>
      <c r="L191" s="52" t="e">
        <f>+LEN([1]!Estructura_Balance[[#This Row],[Nombre Cuenta]])</f>
        <v>#REF!</v>
      </c>
      <c r="M191" s="52" t="s">
        <v>1287</v>
      </c>
      <c r="N191" s="150"/>
      <c r="O191" s="150"/>
      <c r="P191" s="150"/>
      <c r="Q191" s="150"/>
      <c r="R191" s="150"/>
      <c r="S191" s="150"/>
      <c r="T191" s="150"/>
      <c r="U191" s="150"/>
    </row>
    <row r="192" spans="1:21" ht="14.25" customHeight="1">
      <c r="A192" s="52" t="s">
        <v>770</v>
      </c>
      <c r="B192" s="52" t="s">
        <v>804</v>
      </c>
      <c r="C192" s="52" t="s">
        <v>808</v>
      </c>
      <c r="D192" s="52" t="s">
        <v>1301</v>
      </c>
      <c r="E192" s="52">
        <v>5140</v>
      </c>
      <c r="F192" s="52">
        <v>51</v>
      </c>
      <c r="G192" s="52">
        <v>514</v>
      </c>
      <c r="H192" s="52" t="s">
        <v>1285</v>
      </c>
      <c r="I192" s="52"/>
      <c r="J192" s="52" t="s">
        <v>1306</v>
      </c>
      <c r="K192" s="233" t="str">
        <f>+CONCATENATE(MID(Estructura_Balance[[#This Row],[Nombre Cuenta]],1,3)," - ", ,MID(Estructura_Balance[[#This Row],[Nombre Cuenta]],6,144))</f>
        <v>514 -  Intereses a corto plazo de deudas con partes vinculadas</v>
      </c>
      <c r="L192" s="52" t="e">
        <f>+LEN([1]!Estructura_Balance[[#This Row],[Nombre Cuenta]])</f>
        <v>#REF!</v>
      </c>
      <c r="M192" s="52" t="s">
        <v>1287</v>
      </c>
      <c r="N192" s="150"/>
      <c r="O192" s="150"/>
      <c r="P192" s="150"/>
      <c r="Q192" s="150"/>
      <c r="R192" s="150"/>
      <c r="S192" s="150"/>
      <c r="T192" s="150"/>
      <c r="U192" s="150"/>
    </row>
    <row r="193" spans="1:21" ht="14.25" customHeight="1">
      <c r="A193" s="52" t="s">
        <v>770</v>
      </c>
      <c r="B193" s="52" t="s">
        <v>804</v>
      </c>
      <c r="C193" s="52" t="s">
        <v>807</v>
      </c>
      <c r="D193" s="52" t="s">
        <v>1307</v>
      </c>
      <c r="E193" s="52">
        <v>5200</v>
      </c>
      <c r="F193" s="52" t="str">
        <f>+MID(Estructura_Balance[[#This Row],[CPGC]],1,2)</f>
        <v>52</v>
      </c>
      <c r="G193" s="52" t="str">
        <f>+MID(Estructura_Balance[[#This Row],[CPGC]],1,3)</f>
        <v>520</v>
      </c>
      <c r="H193" s="52" t="str">
        <f>+MID(Estructura_Balance[[#This Row],[Grupo]],1,7)</f>
        <v>Grupo 5</v>
      </c>
      <c r="I193" s="52"/>
      <c r="J193" s="52" t="s">
        <v>1308</v>
      </c>
      <c r="K193" s="233" t="str">
        <f>+CONCATENATE(MID(Estructura_Balance[[#This Row],[Nombre Cuenta]],1,3)," - ", ,MID(Estructura_Balance[[#This Row],[Nombre Cuenta]],6,144))</f>
        <v>520 -  Deudas a corto plazo con entidades de crédito</v>
      </c>
      <c r="L193" s="52" t="e">
        <f>+LEN([1]!Estructura_Balance[[#This Row],[Nombre Cuenta]])</f>
        <v>#REF!</v>
      </c>
      <c r="M193" s="52" t="s">
        <v>1287</v>
      </c>
      <c r="N193" s="150"/>
      <c r="O193" s="150"/>
      <c r="P193" s="150"/>
      <c r="Q193" s="150"/>
      <c r="R193" s="150"/>
      <c r="S193" s="150"/>
      <c r="T193" s="150"/>
      <c r="U193" s="150"/>
    </row>
    <row r="194" spans="1:21" ht="14.25" customHeight="1">
      <c r="A194" s="52" t="s">
        <v>770</v>
      </c>
      <c r="B194" s="52" t="s">
        <v>804</v>
      </c>
      <c r="C194" s="52" t="s">
        <v>807</v>
      </c>
      <c r="D194" s="52" t="s">
        <v>1307</v>
      </c>
      <c r="E194" s="52">
        <v>5210</v>
      </c>
      <c r="F194" s="52" t="str">
        <f>+MID(Estructura_Balance[[#This Row],[CPGC]],1,2)</f>
        <v>52</v>
      </c>
      <c r="G194" s="52" t="str">
        <f>+MID(Estructura_Balance[[#This Row],[CPGC]],1,3)</f>
        <v>521</v>
      </c>
      <c r="H194" s="52" t="str">
        <f>+MID(Estructura_Balance[[#This Row],[Grupo]],1,7)</f>
        <v>Grupo 5</v>
      </c>
      <c r="I194" s="52"/>
      <c r="J194" s="52" t="s">
        <v>1309</v>
      </c>
      <c r="K194" s="233" t="str">
        <f>+CONCATENATE(MID(Estructura_Balance[[#This Row],[Nombre Cuenta]],1,3)," - ", ,MID(Estructura_Balance[[#This Row],[Nombre Cuenta]],6,144))</f>
        <v>521 -  Deudas a corto plazo</v>
      </c>
      <c r="L194" s="52" t="e">
        <f>+LEN([1]!Estructura_Balance[[#This Row],[Nombre Cuenta]])</f>
        <v>#REF!</v>
      </c>
      <c r="M194" s="52" t="s">
        <v>1287</v>
      </c>
      <c r="N194" s="150"/>
      <c r="O194" s="150"/>
      <c r="P194" s="150"/>
      <c r="Q194" s="150"/>
      <c r="R194" s="150"/>
      <c r="S194" s="150"/>
      <c r="T194" s="150"/>
      <c r="U194" s="150"/>
    </row>
    <row r="195" spans="1:21" ht="14.25" customHeight="1">
      <c r="A195" s="52" t="s">
        <v>770</v>
      </c>
      <c r="B195" s="52" t="s">
        <v>804</v>
      </c>
      <c r="C195" s="52" t="s">
        <v>807</v>
      </c>
      <c r="D195" s="52" t="s">
        <v>1307</v>
      </c>
      <c r="E195" s="52">
        <v>5220</v>
      </c>
      <c r="F195" s="52" t="str">
        <f>+MID(Estructura_Balance[[#This Row],[CPGC]],1,2)</f>
        <v>52</v>
      </c>
      <c r="G195" s="52" t="str">
        <f>+MID(Estructura_Balance[[#This Row],[CPGC]],1,3)</f>
        <v>522</v>
      </c>
      <c r="H195" s="52" t="str">
        <f>+MID(Estructura_Balance[[#This Row],[Grupo]],1,7)</f>
        <v>Grupo 5</v>
      </c>
      <c r="I195" s="52"/>
      <c r="J195" s="52" t="s">
        <v>1310</v>
      </c>
      <c r="K195" s="233" t="str">
        <f>+CONCATENATE(MID(Estructura_Balance[[#This Row],[Nombre Cuenta]],1,3)," - ", ,MID(Estructura_Balance[[#This Row],[Nombre Cuenta]],6,144))</f>
        <v>522 -  Deudas a corto plazo transformables en subvenciones, donaciones y legados</v>
      </c>
      <c r="L195" s="52" t="e">
        <f>+LEN([1]!Estructura_Balance[[#This Row],[Nombre Cuenta]])</f>
        <v>#REF!</v>
      </c>
      <c r="M195" s="52" t="s">
        <v>1287</v>
      </c>
      <c r="N195" s="150"/>
      <c r="O195" s="150"/>
      <c r="P195" s="150"/>
      <c r="Q195" s="150"/>
      <c r="R195" s="150"/>
      <c r="S195" s="150"/>
      <c r="T195" s="150"/>
      <c r="U195" s="150"/>
    </row>
    <row r="196" spans="1:21" ht="14.25" customHeight="1">
      <c r="A196" s="52" t="s">
        <v>770</v>
      </c>
      <c r="B196" s="52" t="s">
        <v>804</v>
      </c>
      <c r="C196" s="52" t="s">
        <v>807</v>
      </c>
      <c r="D196" s="52" t="s">
        <v>1016</v>
      </c>
      <c r="E196" s="52">
        <v>5230</v>
      </c>
      <c r="F196" s="52" t="str">
        <f>+MID(Estructura_Balance[[#This Row],[CPGC]],1,2)</f>
        <v>52</v>
      </c>
      <c r="G196" s="52" t="str">
        <f>+MID(Estructura_Balance[[#This Row],[CPGC]],1,3)</f>
        <v>523</v>
      </c>
      <c r="H196" s="52" t="str">
        <f>+MID(Estructura_Balance[[#This Row],[Grupo]],1,7)</f>
        <v>Grupo 5</v>
      </c>
      <c r="I196" s="52"/>
      <c r="J196" s="52" t="s">
        <v>1311</v>
      </c>
      <c r="K196" s="233" t="str">
        <f>+CONCATENATE(MID(Estructura_Balance[[#This Row],[Nombre Cuenta]],1,3)," - ", ,MID(Estructura_Balance[[#This Row],[Nombre Cuenta]],6,144))</f>
        <v>523 -  Proveedores de inmovilizado a corto plazo</v>
      </c>
      <c r="L196" s="52" t="e">
        <f>+LEN([1]!Estructura_Balance[[#This Row],[Nombre Cuenta]])</f>
        <v>#REF!</v>
      </c>
      <c r="M196" s="52" t="s">
        <v>1287</v>
      </c>
      <c r="N196" s="150"/>
      <c r="O196" s="150"/>
      <c r="P196" s="150"/>
      <c r="Q196" s="150"/>
      <c r="R196" s="150"/>
      <c r="S196" s="150"/>
      <c r="T196" s="150"/>
      <c r="U196" s="150"/>
    </row>
    <row r="197" spans="1:21" ht="14.25" customHeight="1">
      <c r="A197" s="52" t="s">
        <v>770</v>
      </c>
      <c r="B197" s="52" t="s">
        <v>804</v>
      </c>
      <c r="C197" s="52" t="s">
        <v>807</v>
      </c>
      <c r="D197" s="52" t="s">
        <v>1016</v>
      </c>
      <c r="E197" s="52">
        <v>5240</v>
      </c>
      <c r="F197" s="52" t="str">
        <f>+MID(Estructura_Balance[[#This Row],[CPGC]],1,2)</f>
        <v>52</v>
      </c>
      <c r="G197" s="52" t="str">
        <f>+MID(Estructura_Balance[[#This Row],[CPGC]],1,3)</f>
        <v>524</v>
      </c>
      <c r="H197" s="52" t="str">
        <f>+MID(Estructura_Balance[[#This Row],[Grupo]],1,7)</f>
        <v>Grupo 5</v>
      </c>
      <c r="I197" s="52"/>
      <c r="J197" s="52" t="s">
        <v>1312</v>
      </c>
      <c r="K197" s="233" t="str">
        <f>+CONCATENATE(MID(Estructura_Balance[[#This Row],[Nombre Cuenta]],1,3)," - ", ,MID(Estructura_Balance[[#This Row],[Nombre Cuenta]],6,144))</f>
        <v>524 -  Acreedores por arrendamiento financiero a corto plazo</v>
      </c>
      <c r="L197" s="52" t="e">
        <f>+LEN([1]!Estructura_Balance[[#This Row],[Nombre Cuenta]])</f>
        <v>#REF!</v>
      </c>
      <c r="M197" s="52" t="s">
        <v>1287</v>
      </c>
      <c r="N197" s="150"/>
      <c r="O197" s="150"/>
      <c r="P197" s="150"/>
      <c r="Q197" s="150"/>
      <c r="R197" s="150"/>
      <c r="S197" s="150"/>
      <c r="T197" s="150"/>
      <c r="U197" s="150"/>
    </row>
    <row r="198" spans="1:21" ht="14.25" customHeight="1">
      <c r="A198" s="52" t="s">
        <v>770</v>
      </c>
      <c r="B198" s="52" t="s">
        <v>804</v>
      </c>
      <c r="C198" s="52" t="s">
        <v>807</v>
      </c>
      <c r="D198" s="52" t="s">
        <v>1016</v>
      </c>
      <c r="E198" s="52">
        <v>5250</v>
      </c>
      <c r="F198" s="52" t="str">
        <f>+MID(Estructura_Balance[[#This Row],[CPGC]],1,2)</f>
        <v>52</v>
      </c>
      <c r="G198" s="52" t="str">
        <f>+MID(Estructura_Balance[[#This Row],[CPGC]],1,3)</f>
        <v>525</v>
      </c>
      <c r="H198" s="52" t="str">
        <f>+MID(Estructura_Balance[[#This Row],[Grupo]],1,7)</f>
        <v>Grupo 5</v>
      </c>
      <c r="I198" s="52"/>
      <c r="J198" s="52" t="s">
        <v>1313</v>
      </c>
      <c r="K198" s="233" t="str">
        <f>+CONCATENATE(MID(Estructura_Balance[[#This Row],[Nombre Cuenta]],1,3)," - ", ,MID(Estructura_Balance[[#This Row],[Nombre Cuenta]],6,144))</f>
        <v>525 -  Efectos a pagar a corto plazo</v>
      </c>
      <c r="L198" s="52" t="e">
        <f>+LEN([1]!Estructura_Balance[[#This Row],[Nombre Cuenta]])</f>
        <v>#REF!</v>
      </c>
      <c r="M198" s="52" t="s">
        <v>1287</v>
      </c>
      <c r="N198" s="150"/>
      <c r="O198" s="150"/>
      <c r="P198" s="150"/>
      <c r="Q198" s="150"/>
      <c r="R198" s="150"/>
      <c r="S198" s="150"/>
      <c r="T198" s="150"/>
      <c r="U198" s="150"/>
    </row>
    <row r="199" spans="1:21" ht="14.25" customHeight="1">
      <c r="A199" s="52" t="s">
        <v>770</v>
      </c>
      <c r="B199" s="52" t="s">
        <v>804</v>
      </c>
      <c r="C199" s="52" t="s">
        <v>807</v>
      </c>
      <c r="D199" s="52" t="s">
        <v>1016</v>
      </c>
      <c r="E199" s="52">
        <v>5260</v>
      </c>
      <c r="F199" s="52" t="str">
        <f>+MID(Estructura_Balance[[#This Row],[CPGC]],1,2)</f>
        <v>52</v>
      </c>
      <c r="G199" s="52" t="str">
        <f>+MID(Estructura_Balance[[#This Row],[CPGC]],1,3)</f>
        <v>526</v>
      </c>
      <c r="H199" s="52" t="str">
        <f>+MID(Estructura_Balance[[#This Row],[Grupo]],1,7)</f>
        <v>Grupo 5</v>
      </c>
      <c r="I199" s="52"/>
      <c r="J199" s="52" t="s">
        <v>1314</v>
      </c>
      <c r="K199" s="233" t="str">
        <f>+CONCATENATE(MID(Estructura_Balance[[#This Row],[Nombre Cuenta]],1,3)," - ", ,MID(Estructura_Balance[[#This Row],[Nombre Cuenta]],6,144))</f>
        <v>526 -  Dividendo activo a pagar</v>
      </c>
      <c r="L199" s="52" t="e">
        <f>+LEN([1]!Estructura_Balance[[#This Row],[Nombre Cuenta]])</f>
        <v>#REF!</v>
      </c>
      <c r="M199" s="52" t="s">
        <v>1287</v>
      </c>
      <c r="N199" s="150"/>
      <c r="O199" s="150"/>
      <c r="P199" s="150"/>
      <c r="Q199" s="150"/>
      <c r="R199" s="150"/>
      <c r="S199" s="150"/>
      <c r="T199" s="150"/>
      <c r="U199" s="150"/>
    </row>
    <row r="200" spans="1:21" ht="14.25" customHeight="1">
      <c r="A200" s="52" t="s">
        <v>770</v>
      </c>
      <c r="B200" s="52" t="s">
        <v>804</v>
      </c>
      <c r="C200" s="52" t="s">
        <v>807</v>
      </c>
      <c r="D200" s="52" t="s">
        <v>1307</v>
      </c>
      <c r="E200" s="52">
        <v>5270</v>
      </c>
      <c r="F200" s="52" t="str">
        <f>+MID(Estructura_Balance[[#This Row],[CPGC]],1,2)</f>
        <v>52</v>
      </c>
      <c r="G200" s="52" t="str">
        <f>+MID(Estructura_Balance[[#This Row],[CPGC]],1,3)</f>
        <v>527</v>
      </c>
      <c r="H200" s="52" t="str">
        <f>+MID(Estructura_Balance[[#This Row],[Grupo]],1,7)</f>
        <v>Grupo 5</v>
      </c>
      <c r="I200" s="52"/>
      <c r="J200" s="52" t="s">
        <v>1315</v>
      </c>
      <c r="K200" s="233" t="str">
        <f>+CONCATENATE(MID(Estructura_Balance[[#This Row],[Nombre Cuenta]],1,3)," - ", ,MID(Estructura_Balance[[#This Row],[Nombre Cuenta]],6,144))</f>
        <v>527 -  Intereses a corto plazo de deudas con entidades de crédito</v>
      </c>
      <c r="L200" s="52" t="e">
        <f>+LEN([1]!Estructura_Balance[[#This Row],[Nombre Cuenta]])</f>
        <v>#REF!</v>
      </c>
      <c r="M200" s="52" t="s">
        <v>1287</v>
      </c>
      <c r="N200" s="150"/>
      <c r="O200" s="150"/>
      <c r="P200" s="150"/>
      <c r="Q200" s="150"/>
      <c r="R200" s="150"/>
      <c r="S200" s="150"/>
      <c r="T200" s="150"/>
      <c r="U200" s="150"/>
    </row>
    <row r="201" spans="1:21" ht="14.25" customHeight="1">
      <c r="A201" s="52" t="s">
        <v>770</v>
      </c>
      <c r="B201" s="52" t="s">
        <v>804</v>
      </c>
      <c r="C201" s="52" t="s">
        <v>807</v>
      </c>
      <c r="D201" s="52" t="s">
        <v>1307</v>
      </c>
      <c r="E201" s="52">
        <v>5280</v>
      </c>
      <c r="F201" s="52" t="str">
        <f>+MID(Estructura_Balance[[#This Row],[CPGC]],1,2)</f>
        <v>52</v>
      </c>
      <c r="G201" s="52" t="str">
        <f>+MID(Estructura_Balance[[#This Row],[CPGC]],1,3)</f>
        <v>528</v>
      </c>
      <c r="H201" s="52" t="str">
        <f>+MID(Estructura_Balance[[#This Row],[Grupo]],1,7)</f>
        <v>Grupo 5</v>
      </c>
      <c r="I201" s="52"/>
      <c r="J201" s="52" t="s">
        <v>1316</v>
      </c>
      <c r="K201" s="233" t="str">
        <f>+CONCATENATE(MID(Estructura_Balance[[#This Row],[Nombre Cuenta]],1,3)," - ", ,MID(Estructura_Balance[[#This Row],[Nombre Cuenta]],6,144))</f>
        <v>528 -  Intereses a corto plazo de deudas</v>
      </c>
      <c r="L201" s="52" t="e">
        <f>+LEN([1]!Estructura_Balance[[#This Row],[Nombre Cuenta]])</f>
        <v>#REF!</v>
      </c>
      <c r="M201" s="52" t="s">
        <v>1287</v>
      </c>
      <c r="N201" s="150"/>
      <c r="O201" s="150"/>
      <c r="P201" s="150"/>
      <c r="Q201" s="150"/>
      <c r="R201" s="150"/>
      <c r="S201" s="150"/>
      <c r="T201" s="150"/>
      <c r="U201" s="150"/>
    </row>
    <row r="202" spans="1:21" ht="14.25" customHeight="1">
      <c r="A202" s="52" t="s">
        <v>770</v>
      </c>
      <c r="B202" s="52" t="s">
        <v>804</v>
      </c>
      <c r="C202" s="52" t="s">
        <v>806</v>
      </c>
      <c r="D202" s="52" t="s">
        <v>1279</v>
      </c>
      <c r="E202" s="52">
        <v>5290</v>
      </c>
      <c r="F202" s="52" t="str">
        <f>+MID(Estructura_Balance[[#This Row],[CPGC]],1,2)</f>
        <v>52</v>
      </c>
      <c r="G202" s="52" t="str">
        <f>+MID(Estructura_Balance[[#This Row],[CPGC]],1,3)</f>
        <v>529</v>
      </c>
      <c r="H202" s="52" t="str">
        <f>+MID(Estructura_Balance[[#This Row],[Grupo]],1,7)</f>
        <v>Grupo 5</v>
      </c>
      <c r="I202" s="52"/>
      <c r="J202" s="52" t="s">
        <v>1317</v>
      </c>
      <c r="K202" s="233" t="str">
        <f>+CONCATENATE(MID(Estructura_Balance[[#This Row],[Nombre Cuenta]],1,3)," - ", ,MID(Estructura_Balance[[#This Row],[Nombre Cuenta]],6,144))</f>
        <v>529 -  Provisiones a corto plazo</v>
      </c>
      <c r="L202" s="52" t="e">
        <f>+LEN([1]!Estructura_Balance[[#This Row],[Nombre Cuenta]])</f>
        <v>#REF!</v>
      </c>
      <c r="M202" s="52" t="s">
        <v>1287</v>
      </c>
      <c r="N202" s="150"/>
      <c r="O202" s="150"/>
      <c r="P202" s="150"/>
      <c r="Q202" s="150"/>
      <c r="R202" s="150"/>
      <c r="S202" s="150"/>
      <c r="T202" s="150"/>
      <c r="U202" s="150"/>
    </row>
    <row r="203" spans="1:21" ht="14.25" customHeight="1">
      <c r="A203" s="52" t="s">
        <v>770</v>
      </c>
      <c r="B203" s="52" t="s">
        <v>804</v>
      </c>
      <c r="C203" s="52" t="s">
        <v>806</v>
      </c>
      <c r="D203" s="52" t="s">
        <v>1279</v>
      </c>
      <c r="E203" s="52">
        <v>5290</v>
      </c>
      <c r="F203" s="52" t="str">
        <f>+MID(Estructura_Balance[[#This Row],[CPGC]],1,2)</f>
        <v>52</v>
      </c>
      <c r="G203" s="52" t="str">
        <f>+MID(Estructura_Balance[[#This Row],[CPGC]],1,3)</f>
        <v>529</v>
      </c>
      <c r="H203" s="52" t="str">
        <f>+MID(Estructura_Balance[[#This Row],[Grupo]],1,7)</f>
        <v>Grupo 5</v>
      </c>
      <c r="I203" s="52"/>
      <c r="J203" s="52" t="s">
        <v>1318</v>
      </c>
      <c r="K203" s="233" t="str">
        <f>+CONCATENATE(MID(Estructura_Balance[[#This Row],[Nombre Cuenta]],1,4)," - ", ,MID(Estructura_Balance[[#This Row],[Nombre Cuenta]],6,144))</f>
        <v>5290 -  Provisión a corto plazo por retribuciones al personal</v>
      </c>
      <c r="L203" s="52" t="e">
        <f>+LEN([1]!Estructura_Balance[[#This Row],[Nombre Cuenta]])</f>
        <v>#REF!</v>
      </c>
      <c r="M203" s="52" t="s">
        <v>1287</v>
      </c>
      <c r="N203" s="150"/>
      <c r="O203" s="150"/>
      <c r="P203" s="150"/>
      <c r="Q203" s="150"/>
      <c r="R203" s="150"/>
      <c r="S203" s="150"/>
      <c r="T203" s="150"/>
      <c r="U203" s="150"/>
    </row>
    <row r="204" spans="1:21" ht="14.25" customHeight="1">
      <c r="A204" s="52" t="s">
        <v>770</v>
      </c>
      <c r="B204" s="52" t="s">
        <v>804</v>
      </c>
      <c r="C204" s="52" t="s">
        <v>806</v>
      </c>
      <c r="D204" s="52" t="s">
        <v>1279</v>
      </c>
      <c r="E204" s="52">
        <v>5291</v>
      </c>
      <c r="F204" s="52" t="str">
        <f>+MID(Estructura_Balance[[#This Row],[CPGC]],1,2)</f>
        <v>52</v>
      </c>
      <c r="G204" s="52" t="str">
        <f>+MID(Estructura_Balance[[#This Row],[CPGC]],1,3)</f>
        <v>529</v>
      </c>
      <c r="H204" s="52" t="str">
        <f>+MID(Estructura_Balance[[#This Row],[Grupo]],1,7)</f>
        <v>Grupo 5</v>
      </c>
      <c r="I204" s="52"/>
      <c r="J204" s="52" t="s">
        <v>1319</v>
      </c>
      <c r="K204" s="233" t="str">
        <f>+CONCATENATE(MID(Estructura_Balance[[#This Row],[Nombre Cuenta]],1,4)," - ", ,MID(Estructura_Balance[[#This Row],[Nombre Cuenta]],6,144))</f>
        <v>5291 -  Provisión a corto plazo para impuestos</v>
      </c>
      <c r="L204" s="52" t="e">
        <f>+LEN([1]!Estructura_Balance[[#This Row],[Nombre Cuenta]])</f>
        <v>#REF!</v>
      </c>
      <c r="M204" s="52" t="s">
        <v>1287</v>
      </c>
      <c r="N204" s="150"/>
      <c r="O204" s="150"/>
      <c r="P204" s="150"/>
      <c r="Q204" s="150"/>
      <c r="R204" s="150"/>
      <c r="S204" s="150"/>
      <c r="T204" s="150"/>
      <c r="U204" s="150"/>
    </row>
    <row r="205" spans="1:21" ht="14.25" customHeight="1">
      <c r="A205" s="52" t="s">
        <v>770</v>
      </c>
      <c r="B205" s="52" t="s">
        <v>804</v>
      </c>
      <c r="C205" s="52" t="s">
        <v>806</v>
      </c>
      <c r="D205" s="52" t="s">
        <v>1279</v>
      </c>
      <c r="E205" s="52">
        <v>5292</v>
      </c>
      <c r="F205" s="52" t="str">
        <f>+MID(Estructura_Balance[[#This Row],[CPGC]],1,2)</f>
        <v>52</v>
      </c>
      <c r="G205" s="52" t="str">
        <f>+MID(Estructura_Balance[[#This Row],[CPGC]],1,3)</f>
        <v>529</v>
      </c>
      <c r="H205" s="52" t="str">
        <f>+MID(Estructura_Balance[[#This Row],[Grupo]],1,7)</f>
        <v>Grupo 5</v>
      </c>
      <c r="I205" s="52"/>
      <c r="J205" s="52" t="s">
        <v>1320</v>
      </c>
      <c r="K205" s="233" t="str">
        <f>+CONCATENATE(MID(Estructura_Balance[[#This Row],[Nombre Cuenta]],1,4)," - ", ,MID(Estructura_Balance[[#This Row],[Nombre Cuenta]],6,144))</f>
        <v>5292 -  Provisión a corto plazo para otras responsabilidades</v>
      </c>
      <c r="L205" s="52" t="e">
        <f>+LEN([1]!Estructura_Balance[[#This Row],[Nombre Cuenta]])</f>
        <v>#REF!</v>
      </c>
      <c r="M205" s="52" t="s">
        <v>1287</v>
      </c>
      <c r="N205" s="150"/>
      <c r="O205" s="150"/>
      <c r="P205" s="150"/>
      <c r="Q205" s="150"/>
      <c r="R205" s="150"/>
      <c r="S205" s="150"/>
      <c r="T205" s="150"/>
      <c r="U205" s="150"/>
    </row>
    <row r="206" spans="1:21" ht="14.25" customHeight="1">
      <c r="A206" s="52" t="s">
        <v>770</v>
      </c>
      <c r="B206" s="52" t="s">
        <v>804</v>
      </c>
      <c r="C206" s="52" t="s">
        <v>806</v>
      </c>
      <c r="D206" s="52" t="s">
        <v>1279</v>
      </c>
      <c r="E206" s="52">
        <v>5293</v>
      </c>
      <c r="F206" s="52" t="str">
        <f>+MID(Estructura_Balance[[#This Row],[CPGC]],1,2)</f>
        <v>52</v>
      </c>
      <c r="G206" s="52" t="str">
        <f>+MID(Estructura_Balance[[#This Row],[CPGC]],1,3)</f>
        <v>529</v>
      </c>
      <c r="H206" s="52" t="str">
        <f>+MID(Estructura_Balance[[#This Row],[Grupo]],1,7)</f>
        <v>Grupo 5</v>
      </c>
      <c r="I206" s="52"/>
      <c r="J206" s="52" t="s">
        <v>1321</v>
      </c>
      <c r="K206" s="233" t="str">
        <f>+CONCATENATE(MID(Estructura_Balance[[#This Row],[Nombre Cuenta]],1,4)," - ", ,MID(Estructura_Balance[[#This Row],[Nombre Cuenta]],6,144))</f>
        <v>5293 -  Provisión a corto plazo por desmantelamiento, retiro o rehabilitación del inmovilizado</v>
      </c>
      <c r="L206" s="52" t="e">
        <f>+LEN([1]!Estructura_Balance[[#This Row],[Nombre Cuenta]])</f>
        <v>#REF!</v>
      </c>
      <c r="M206" s="52" t="s">
        <v>1287</v>
      </c>
      <c r="N206" s="150"/>
      <c r="O206" s="150"/>
      <c r="P206" s="150"/>
      <c r="Q206" s="150"/>
      <c r="R206" s="150"/>
      <c r="S206" s="150"/>
      <c r="T206" s="150"/>
      <c r="U206" s="150"/>
    </row>
    <row r="207" spans="1:21" ht="14.25" customHeight="1">
      <c r="A207" s="52" t="s">
        <v>770</v>
      </c>
      <c r="B207" s="52" t="s">
        <v>804</v>
      </c>
      <c r="C207" s="52" t="s">
        <v>806</v>
      </c>
      <c r="D207" s="52" t="s">
        <v>1279</v>
      </c>
      <c r="E207" s="52">
        <v>5295</v>
      </c>
      <c r="F207" s="52" t="str">
        <f>+MID(Estructura_Balance[[#This Row],[CPGC]],1,2)</f>
        <v>52</v>
      </c>
      <c r="G207" s="52" t="str">
        <f>+MID(Estructura_Balance[[#This Row],[CPGC]],1,3)</f>
        <v>529</v>
      </c>
      <c r="H207" s="52" t="str">
        <f>+MID(Estructura_Balance[[#This Row],[Grupo]],1,7)</f>
        <v>Grupo 5</v>
      </c>
      <c r="I207" s="52"/>
      <c r="J207" s="52" t="s">
        <v>1322</v>
      </c>
      <c r="K207" s="233" t="str">
        <f>+CONCATENATE(MID(Estructura_Balance[[#This Row],[Nombre Cuenta]],1,4)," - ", ,MID(Estructura_Balance[[#This Row],[Nombre Cuenta]],6,144))</f>
        <v>5295 -  Provisión a corto plazo para actuaciones medioambientales</v>
      </c>
      <c r="L207" s="52" t="e">
        <f>+LEN([1]!Estructura_Balance[[#This Row],[Nombre Cuenta]])</f>
        <v>#REF!</v>
      </c>
      <c r="M207" s="52" t="s">
        <v>1287</v>
      </c>
      <c r="N207" s="150"/>
      <c r="O207" s="150"/>
      <c r="P207" s="150"/>
      <c r="Q207" s="150"/>
      <c r="R207" s="150"/>
      <c r="S207" s="150"/>
      <c r="T207" s="150"/>
      <c r="U207" s="150"/>
    </row>
    <row r="208" spans="1:21" ht="14.25" customHeight="1">
      <c r="A208" s="52" t="s">
        <v>770</v>
      </c>
      <c r="B208" s="52" t="s">
        <v>804</v>
      </c>
      <c r="C208" s="52" t="s">
        <v>806</v>
      </c>
      <c r="D208" s="52" t="s">
        <v>1279</v>
      </c>
      <c r="E208" s="52">
        <v>5296</v>
      </c>
      <c r="F208" s="52" t="str">
        <f>+MID(Estructura_Balance[[#This Row],[CPGC]],1,2)</f>
        <v>52</v>
      </c>
      <c r="G208" s="52" t="str">
        <f>+MID(Estructura_Balance[[#This Row],[CPGC]],1,3)</f>
        <v>529</v>
      </c>
      <c r="H208" s="52" t="str">
        <f>+MID(Estructura_Balance[[#This Row],[Grupo]],1,7)</f>
        <v>Grupo 5</v>
      </c>
      <c r="I208" s="52"/>
      <c r="J208" s="52" t="s">
        <v>1323</v>
      </c>
      <c r="K208" s="233" t="str">
        <f>+CONCATENATE(MID(Estructura_Balance[[#This Row],[Nombre Cuenta]],1,4)," - ", ,MID(Estructura_Balance[[#This Row],[Nombre Cuenta]],6,144))</f>
        <v>5296 -  Provisión a corto plazo para reestructuraciones</v>
      </c>
      <c r="L208" s="52" t="e">
        <f>+LEN([1]!Estructura_Balance[[#This Row],[Nombre Cuenta]])</f>
        <v>#REF!</v>
      </c>
      <c r="M208" s="52" t="s">
        <v>1287</v>
      </c>
      <c r="N208" s="150"/>
      <c r="O208" s="150"/>
      <c r="P208" s="150"/>
      <c r="Q208" s="150"/>
      <c r="R208" s="150"/>
      <c r="S208" s="150"/>
      <c r="T208" s="150"/>
      <c r="U208" s="150"/>
    </row>
    <row r="209" spans="1:21" ht="14.25" customHeight="1">
      <c r="A209" s="52" t="s">
        <v>770</v>
      </c>
      <c r="B209" s="52" t="s">
        <v>804</v>
      </c>
      <c r="C209" s="52" t="s">
        <v>806</v>
      </c>
      <c r="D209" s="52" t="s">
        <v>1279</v>
      </c>
      <c r="E209" s="52">
        <v>5297</v>
      </c>
      <c r="F209" s="52" t="str">
        <f>+MID(Estructura_Balance[[#This Row],[CPGC]],1,2)</f>
        <v>52</v>
      </c>
      <c r="G209" s="52" t="str">
        <f>+MID(Estructura_Balance[[#This Row],[CPGC]],1,3)</f>
        <v>529</v>
      </c>
      <c r="H209" s="52" t="str">
        <f>+MID(Estructura_Balance[[#This Row],[Grupo]],1,7)</f>
        <v>Grupo 5</v>
      </c>
      <c r="I209" s="52"/>
      <c r="J209" s="52" t="s">
        <v>1324</v>
      </c>
      <c r="K209" s="233" t="str">
        <f>+CONCATENATE(MID(Estructura_Balance[[#This Row],[Nombre Cuenta]],1,4)," - ", ,MID(Estructura_Balance[[#This Row],[Nombre Cuenta]],6,144))</f>
        <v>5297 -  Provisión a corto plazo por transacciones con pagos basados en instrumentos de patrimonio</v>
      </c>
      <c r="L209" s="52" t="e">
        <f>+LEN([1]!Estructura_Balance[[#This Row],[Nombre Cuenta]])</f>
        <v>#REF!</v>
      </c>
      <c r="M209" s="52" t="s">
        <v>1287</v>
      </c>
      <c r="N209" s="150"/>
      <c r="O209" s="150"/>
      <c r="P209" s="150"/>
      <c r="Q209" s="150"/>
      <c r="R209" s="150"/>
      <c r="S209" s="150"/>
      <c r="T209" s="150"/>
      <c r="U209" s="150"/>
    </row>
    <row r="210" spans="1:21" ht="14.25" customHeight="1">
      <c r="A210" s="52" t="s">
        <v>774</v>
      </c>
      <c r="B210" s="52" t="s">
        <v>787</v>
      </c>
      <c r="C210" s="52" t="s">
        <v>795</v>
      </c>
      <c r="D210" s="52" t="s">
        <v>1325</v>
      </c>
      <c r="E210" s="52">
        <v>5300</v>
      </c>
      <c r="F210" s="52">
        <v>53</v>
      </c>
      <c r="G210" s="52">
        <v>530</v>
      </c>
      <c r="H210" s="52" t="s">
        <v>1285</v>
      </c>
      <c r="I210" s="52"/>
      <c r="J210" s="52" t="s">
        <v>1326</v>
      </c>
      <c r="K210" s="233" t="str">
        <f>+CONCATENATE(MID(Estructura_Balance[[#This Row],[Nombre Cuenta]],1,3)," - ", ,MID(Estructura_Balance[[#This Row],[Nombre Cuenta]],6,144))</f>
        <v>530 -  Participaciones a corto plazo en partes vinculadas</v>
      </c>
      <c r="L210" s="52" t="e">
        <f>+LEN([1]!Estructura_Balance[[#This Row],[Nombre Cuenta]])</f>
        <v>#REF!</v>
      </c>
      <c r="M210" s="52" t="s">
        <v>1287</v>
      </c>
      <c r="N210" s="150"/>
      <c r="O210" s="150"/>
      <c r="P210" s="150"/>
      <c r="Q210" s="150"/>
      <c r="R210" s="150"/>
      <c r="S210" s="150"/>
      <c r="T210" s="150"/>
      <c r="U210" s="150"/>
    </row>
    <row r="211" spans="1:21" ht="14.25" customHeight="1">
      <c r="A211" s="52" t="s">
        <v>774</v>
      </c>
      <c r="B211" s="52" t="s">
        <v>787</v>
      </c>
      <c r="C211" s="52" t="s">
        <v>795</v>
      </c>
      <c r="D211" s="52" t="s">
        <v>1325</v>
      </c>
      <c r="E211" s="52">
        <v>5310</v>
      </c>
      <c r="F211" s="52">
        <v>53</v>
      </c>
      <c r="G211" s="52">
        <v>531</v>
      </c>
      <c r="H211" s="52" t="s">
        <v>1285</v>
      </c>
      <c r="I211" s="52"/>
      <c r="J211" s="52" t="s">
        <v>1327</v>
      </c>
      <c r="K211" s="233" t="str">
        <f>+CONCATENATE(MID(Estructura_Balance[[#This Row],[Nombre Cuenta]],1,3)," - ", ,MID(Estructura_Balance[[#This Row],[Nombre Cuenta]],6,144))</f>
        <v>531 -  Valores representativos de deuda a corto plazo de partes vinculadas</v>
      </c>
      <c r="L211" s="52" t="e">
        <f>+LEN([1]!Estructura_Balance[[#This Row],[Nombre Cuenta]])</f>
        <v>#REF!</v>
      </c>
      <c r="M211" s="52" t="s">
        <v>1287</v>
      </c>
      <c r="N211" s="150"/>
      <c r="O211" s="150"/>
      <c r="P211" s="150"/>
      <c r="Q211" s="150"/>
      <c r="R211" s="150"/>
      <c r="S211" s="150"/>
      <c r="T211" s="150"/>
      <c r="U211" s="150"/>
    </row>
    <row r="212" spans="1:21" ht="14.25" customHeight="1">
      <c r="A212" s="52" t="s">
        <v>774</v>
      </c>
      <c r="B212" s="52" t="s">
        <v>787</v>
      </c>
      <c r="C212" s="52" t="s">
        <v>795</v>
      </c>
      <c r="D212" s="52" t="s">
        <v>1325</v>
      </c>
      <c r="E212" s="52">
        <v>5320</v>
      </c>
      <c r="F212" s="52">
        <v>53</v>
      </c>
      <c r="G212" s="52">
        <v>532</v>
      </c>
      <c r="H212" s="52" t="s">
        <v>1285</v>
      </c>
      <c r="I212" s="52"/>
      <c r="J212" s="52" t="s">
        <v>1328</v>
      </c>
      <c r="K212" s="233" t="str">
        <f>+CONCATENATE(MID(Estructura_Balance[[#This Row],[Nombre Cuenta]],1,3)," - ", ,MID(Estructura_Balance[[#This Row],[Nombre Cuenta]],6,144))</f>
        <v>532 -  Créditos a corto plazo a partes vinculadas</v>
      </c>
      <c r="L212" s="52" t="e">
        <f>+LEN([1]!Estructura_Balance[[#This Row],[Nombre Cuenta]])</f>
        <v>#REF!</v>
      </c>
      <c r="M212" s="52" t="s">
        <v>1287</v>
      </c>
      <c r="N212" s="150"/>
      <c r="O212" s="150"/>
      <c r="P212" s="150"/>
      <c r="Q212" s="150"/>
      <c r="R212" s="150"/>
      <c r="S212" s="150"/>
      <c r="T212" s="150"/>
      <c r="U212" s="150"/>
    </row>
    <row r="213" spans="1:21" ht="14.25" customHeight="1">
      <c r="A213" s="52" t="s">
        <v>774</v>
      </c>
      <c r="B213" s="52" t="s">
        <v>787</v>
      </c>
      <c r="C213" s="52" t="s">
        <v>795</v>
      </c>
      <c r="D213" s="52" t="s">
        <v>1325</v>
      </c>
      <c r="E213" s="52">
        <v>5330</v>
      </c>
      <c r="F213" s="52">
        <v>53</v>
      </c>
      <c r="G213" s="52">
        <v>533</v>
      </c>
      <c r="H213" s="52" t="s">
        <v>1285</v>
      </c>
      <c r="I213" s="52"/>
      <c r="J213" s="52" t="s">
        <v>1329</v>
      </c>
      <c r="K213" s="233" t="str">
        <f>+CONCATENATE(MID(Estructura_Balance[[#This Row],[Nombre Cuenta]],1,3)," - ", ,MID(Estructura_Balance[[#This Row],[Nombre Cuenta]],6,144))</f>
        <v>533 -  Intereses a corto plazo de valores representativos de deuda de partes vinculadas</v>
      </c>
      <c r="L213" s="52" t="e">
        <f>+LEN([1]!Estructura_Balance[[#This Row],[Nombre Cuenta]])</f>
        <v>#REF!</v>
      </c>
      <c r="M213" s="52" t="s">
        <v>1287</v>
      </c>
      <c r="N213" s="150"/>
      <c r="O213" s="150"/>
      <c r="P213" s="150"/>
      <c r="Q213" s="150"/>
      <c r="R213" s="150"/>
      <c r="S213" s="150"/>
      <c r="T213" s="150"/>
      <c r="U213" s="150"/>
    </row>
    <row r="214" spans="1:21" ht="14.25" customHeight="1">
      <c r="A214" s="52" t="s">
        <v>774</v>
      </c>
      <c r="B214" s="52" t="s">
        <v>787</v>
      </c>
      <c r="C214" s="52" t="s">
        <v>795</v>
      </c>
      <c r="D214" s="52" t="s">
        <v>1325</v>
      </c>
      <c r="E214" s="52">
        <v>5340</v>
      </c>
      <c r="F214" s="52">
        <v>53</v>
      </c>
      <c r="G214" s="52">
        <v>534</v>
      </c>
      <c r="H214" s="52" t="s">
        <v>1285</v>
      </c>
      <c r="I214" s="52"/>
      <c r="J214" s="52" t="s">
        <v>1330</v>
      </c>
      <c r="K214" s="233" t="str">
        <f>+CONCATENATE(MID(Estructura_Balance[[#This Row],[Nombre Cuenta]],1,3)," - ", ,MID(Estructura_Balance[[#This Row],[Nombre Cuenta]],6,144))</f>
        <v>534 -  Intereses a corto plazo de créditos a partes vinculadas</v>
      </c>
      <c r="L214" s="52" t="e">
        <f>+LEN([1]!Estructura_Balance[[#This Row],[Nombre Cuenta]])</f>
        <v>#REF!</v>
      </c>
      <c r="M214" s="52" t="s">
        <v>1287</v>
      </c>
      <c r="N214" s="150"/>
      <c r="O214" s="150"/>
      <c r="P214" s="150"/>
      <c r="Q214" s="150"/>
      <c r="R214" s="150"/>
      <c r="S214" s="150"/>
      <c r="T214" s="150"/>
      <c r="U214" s="150"/>
    </row>
    <row r="215" spans="1:21" ht="14.25" customHeight="1">
      <c r="A215" s="52" t="s">
        <v>774</v>
      </c>
      <c r="B215" s="52" t="s">
        <v>787</v>
      </c>
      <c r="C215" s="52" t="s">
        <v>795</v>
      </c>
      <c r="D215" s="52" t="s">
        <v>1325</v>
      </c>
      <c r="E215" s="52">
        <v>5350</v>
      </c>
      <c r="F215" s="52">
        <v>53</v>
      </c>
      <c r="G215" s="52">
        <v>535</v>
      </c>
      <c r="H215" s="52" t="s">
        <v>1285</v>
      </c>
      <c r="I215" s="52"/>
      <c r="J215" s="52" t="s">
        <v>1331</v>
      </c>
      <c r="K215" s="233" t="str">
        <f>+CONCATENATE(MID(Estructura_Balance[[#This Row],[Nombre Cuenta]],1,3)," - ", ,MID(Estructura_Balance[[#This Row],[Nombre Cuenta]],6,144))</f>
        <v>535 -  Dividendo a cobrar de inversiones financieras en partes vinculadas</v>
      </c>
      <c r="L215" s="52" t="e">
        <f>+LEN([1]!Estructura_Balance[[#This Row],[Nombre Cuenta]])</f>
        <v>#REF!</v>
      </c>
      <c r="M215" s="52" t="s">
        <v>1287</v>
      </c>
      <c r="N215" s="150"/>
      <c r="O215" s="150"/>
      <c r="P215" s="150"/>
      <c r="Q215" s="150"/>
      <c r="R215" s="150"/>
      <c r="S215" s="150"/>
      <c r="T215" s="150"/>
      <c r="U215" s="150"/>
    </row>
    <row r="216" spans="1:21" ht="14.25" customHeight="1">
      <c r="A216" s="52" t="s">
        <v>774</v>
      </c>
      <c r="B216" s="52" t="s">
        <v>787</v>
      </c>
      <c r="C216" s="52" t="s">
        <v>795</v>
      </c>
      <c r="D216" s="52" t="s">
        <v>1325</v>
      </c>
      <c r="E216" s="52">
        <v>5390</v>
      </c>
      <c r="F216" s="52">
        <v>53</v>
      </c>
      <c r="G216" s="52">
        <v>539</v>
      </c>
      <c r="H216" s="52" t="s">
        <v>1285</v>
      </c>
      <c r="I216" s="52"/>
      <c r="J216" s="52" t="s">
        <v>1332</v>
      </c>
      <c r="K216" s="233" t="str">
        <f>+CONCATENATE(MID(Estructura_Balance[[#This Row],[Nombre Cuenta]],1,3)," - ", ,MID(Estructura_Balance[[#This Row],[Nombre Cuenta]],6,144))</f>
        <v>539 -  Desembolsos pendientes sobre participaciones a corto plazo en partes vinculadas</v>
      </c>
      <c r="L216" s="52" t="e">
        <f>+LEN([1]!Estructura_Balance[[#This Row],[Nombre Cuenta]])</f>
        <v>#REF!</v>
      </c>
      <c r="M216" s="52" t="s">
        <v>1287</v>
      </c>
      <c r="N216" s="150"/>
      <c r="O216" s="150"/>
      <c r="P216" s="150"/>
      <c r="Q216" s="150"/>
      <c r="R216" s="150"/>
      <c r="S216" s="150"/>
      <c r="T216" s="150"/>
      <c r="U216" s="150"/>
    </row>
    <row r="217" spans="1:21" ht="14.25" customHeight="1">
      <c r="A217" s="52" t="s">
        <v>774</v>
      </c>
      <c r="B217" s="52" t="s">
        <v>787</v>
      </c>
      <c r="C217" s="52" t="s">
        <v>848</v>
      </c>
      <c r="D217" s="52" t="s">
        <v>1333</v>
      </c>
      <c r="E217" s="52">
        <v>5400</v>
      </c>
      <c r="F217" s="52" t="s">
        <v>1334</v>
      </c>
      <c r="G217" s="52" t="s">
        <v>1335</v>
      </c>
      <c r="H217" s="52" t="s">
        <v>1285</v>
      </c>
      <c r="I217" s="52"/>
      <c r="J217" s="52" t="s">
        <v>1336</v>
      </c>
      <c r="K217" s="233" t="str">
        <f>+CONCATENATE(MID(Estructura_Balance[[#This Row],[Nombre Cuenta]],1,3)," - ", ,MID(Estructura_Balance[[#This Row],[Nombre Cuenta]],6,144))</f>
        <v>540 -  Inversiones financieras a corto plazo en instrumentos de patrimonio</v>
      </c>
      <c r="L217" s="52">
        <v>73</v>
      </c>
      <c r="M217" s="52" t="s">
        <v>1287</v>
      </c>
      <c r="N217" s="150"/>
      <c r="O217" s="150"/>
      <c r="P217" s="150"/>
      <c r="Q217" s="150"/>
      <c r="R217" s="150"/>
      <c r="S217" s="150"/>
      <c r="T217" s="150"/>
      <c r="U217" s="150"/>
    </row>
    <row r="218" spans="1:21" ht="14.25" customHeight="1">
      <c r="A218" s="52" t="s">
        <v>774</v>
      </c>
      <c r="B218" s="52" t="s">
        <v>787</v>
      </c>
      <c r="C218" s="52" t="s">
        <v>848</v>
      </c>
      <c r="D218" s="52" t="s">
        <v>1333</v>
      </c>
      <c r="E218" s="52">
        <v>5410</v>
      </c>
      <c r="F218" s="52" t="s">
        <v>1334</v>
      </c>
      <c r="G218" s="52" t="s">
        <v>1337</v>
      </c>
      <c r="H218" s="52" t="s">
        <v>1285</v>
      </c>
      <c r="I218" s="52"/>
      <c r="J218" s="52" t="s">
        <v>1338</v>
      </c>
      <c r="K218" s="233" t="str">
        <f>+CONCATENATE(MID(Estructura_Balance[[#This Row],[Nombre Cuenta]],1,3)," - ", ,MID(Estructura_Balance[[#This Row],[Nombre Cuenta]],6,144))</f>
        <v>541 -  Valores representativos de deuda a corto plazo</v>
      </c>
      <c r="L218" s="52">
        <v>52</v>
      </c>
      <c r="M218" s="52" t="s">
        <v>1287</v>
      </c>
      <c r="N218" s="150"/>
      <c r="O218" s="150"/>
      <c r="P218" s="150"/>
      <c r="Q218" s="150"/>
      <c r="R218" s="150"/>
      <c r="S218" s="150"/>
      <c r="T218" s="150"/>
      <c r="U218" s="150"/>
    </row>
    <row r="219" spans="1:21" ht="14.25" customHeight="1">
      <c r="A219" s="52" t="s">
        <v>774</v>
      </c>
      <c r="B219" s="52" t="s">
        <v>787</v>
      </c>
      <c r="C219" s="52" t="s">
        <v>848</v>
      </c>
      <c r="D219" s="52" t="s">
        <v>1333</v>
      </c>
      <c r="E219" s="52">
        <v>5420</v>
      </c>
      <c r="F219" s="52" t="s">
        <v>1334</v>
      </c>
      <c r="G219" s="52" t="s">
        <v>1339</v>
      </c>
      <c r="H219" s="52" t="s">
        <v>1285</v>
      </c>
      <c r="I219" s="52"/>
      <c r="J219" s="52" t="s">
        <v>1340</v>
      </c>
      <c r="K219" s="233" t="str">
        <f>+CONCATENATE(MID(Estructura_Balance[[#This Row],[Nombre Cuenta]],1,3)," - ", ,MID(Estructura_Balance[[#This Row],[Nombre Cuenta]],6,144))</f>
        <v>542 -  Créditos a corto plazo</v>
      </c>
      <c r="L219" s="52">
        <v>28</v>
      </c>
      <c r="M219" s="52" t="s">
        <v>1287</v>
      </c>
      <c r="N219" s="150"/>
      <c r="O219" s="150"/>
      <c r="P219" s="150"/>
      <c r="Q219" s="150"/>
      <c r="R219" s="150"/>
      <c r="S219" s="150"/>
      <c r="T219" s="150"/>
      <c r="U219" s="150"/>
    </row>
    <row r="220" spans="1:21" ht="14.25" customHeight="1">
      <c r="A220" s="52" t="s">
        <v>774</v>
      </c>
      <c r="B220" s="52" t="s">
        <v>787</v>
      </c>
      <c r="C220" s="52" t="s">
        <v>848</v>
      </c>
      <c r="D220" s="52" t="s">
        <v>1333</v>
      </c>
      <c r="E220" s="52">
        <v>5430</v>
      </c>
      <c r="F220" s="52" t="s">
        <v>1334</v>
      </c>
      <c r="G220" s="52" t="s">
        <v>1341</v>
      </c>
      <c r="H220" s="52" t="s">
        <v>1285</v>
      </c>
      <c r="I220" s="52"/>
      <c r="J220" s="52" t="s">
        <v>1342</v>
      </c>
      <c r="K220" s="233" t="str">
        <f>+CONCATENATE(MID(Estructura_Balance[[#This Row],[Nombre Cuenta]],1,3)," - ", ,MID(Estructura_Balance[[#This Row],[Nombre Cuenta]],6,144))</f>
        <v>543 -  Créditos a corto plazo por enajenación del inmovilizado</v>
      </c>
      <c r="L220" s="52">
        <v>61</v>
      </c>
      <c r="M220" s="52" t="s">
        <v>1287</v>
      </c>
      <c r="N220" s="150"/>
      <c r="O220" s="150"/>
      <c r="P220" s="150"/>
      <c r="Q220" s="150"/>
      <c r="R220" s="150"/>
      <c r="S220" s="150"/>
      <c r="T220" s="150"/>
      <c r="U220" s="150"/>
    </row>
    <row r="221" spans="1:21" ht="14.25" customHeight="1">
      <c r="A221" s="52" t="s">
        <v>774</v>
      </c>
      <c r="B221" s="52" t="s">
        <v>787</v>
      </c>
      <c r="C221" s="52" t="s">
        <v>793</v>
      </c>
      <c r="D221" s="52" t="s">
        <v>1251</v>
      </c>
      <c r="E221" s="52">
        <v>5440</v>
      </c>
      <c r="F221" s="52" t="s">
        <v>1334</v>
      </c>
      <c r="G221" s="52" t="s">
        <v>1343</v>
      </c>
      <c r="H221" s="52" t="s">
        <v>1285</v>
      </c>
      <c r="I221" s="52"/>
      <c r="J221" s="52" t="s">
        <v>1344</v>
      </c>
      <c r="K221" s="233" t="str">
        <f>+CONCATENATE(MID(Estructura_Balance[[#This Row],[Nombre Cuenta]],1,3)," - ", ,MID(Estructura_Balance[[#This Row],[Nombre Cuenta]],6,144))</f>
        <v>544 -  Créditos a corto plazo al personal</v>
      </c>
      <c r="L221" s="52">
        <v>40</v>
      </c>
      <c r="M221" s="52" t="s">
        <v>1287</v>
      </c>
      <c r="N221" s="150"/>
      <c r="O221" s="150"/>
      <c r="P221" s="150"/>
      <c r="Q221" s="150"/>
      <c r="R221" s="150"/>
      <c r="S221" s="150"/>
      <c r="T221" s="150"/>
      <c r="U221" s="150"/>
    </row>
    <row r="222" spans="1:21" ht="14.25" customHeight="1">
      <c r="A222" s="52" t="s">
        <v>774</v>
      </c>
      <c r="B222" s="52" t="s">
        <v>787</v>
      </c>
      <c r="C222" s="52" t="s">
        <v>848</v>
      </c>
      <c r="D222" s="52" t="s">
        <v>1333</v>
      </c>
      <c r="E222" s="52">
        <v>5450</v>
      </c>
      <c r="F222" s="52" t="s">
        <v>1334</v>
      </c>
      <c r="G222" s="52" t="s">
        <v>1345</v>
      </c>
      <c r="H222" s="52" t="s">
        <v>1285</v>
      </c>
      <c r="I222" s="52"/>
      <c r="J222" s="52" t="s">
        <v>1346</v>
      </c>
      <c r="K222" s="233" t="str">
        <f>+CONCATENATE(MID(Estructura_Balance[[#This Row],[Nombre Cuenta]],1,3)," - ", ,MID(Estructura_Balance[[#This Row],[Nombre Cuenta]],6,144))</f>
        <v>545 -  Dividendo a cobrar</v>
      </c>
      <c r="L222" s="52">
        <v>24</v>
      </c>
      <c r="M222" s="52" t="s">
        <v>1287</v>
      </c>
      <c r="N222" s="150"/>
      <c r="O222" s="150"/>
      <c r="P222" s="150"/>
      <c r="Q222" s="150"/>
      <c r="R222" s="150"/>
      <c r="S222" s="150"/>
      <c r="T222" s="150"/>
      <c r="U222" s="150"/>
    </row>
    <row r="223" spans="1:21" ht="14.25" customHeight="1">
      <c r="A223" s="52" t="s">
        <v>774</v>
      </c>
      <c r="B223" s="52" t="s">
        <v>787</v>
      </c>
      <c r="C223" s="52" t="s">
        <v>848</v>
      </c>
      <c r="D223" s="52" t="s">
        <v>1333</v>
      </c>
      <c r="E223" s="52">
        <v>5460</v>
      </c>
      <c r="F223" s="52" t="s">
        <v>1334</v>
      </c>
      <c r="G223" s="52" t="s">
        <v>1347</v>
      </c>
      <c r="H223" s="52" t="s">
        <v>1285</v>
      </c>
      <c r="I223" s="52"/>
      <c r="J223" s="52" t="s">
        <v>1348</v>
      </c>
      <c r="K223" s="233" t="str">
        <f>+CONCATENATE(MID(Estructura_Balance[[#This Row],[Nombre Cuenta]],1,3)," - ", ,MID(Estructura_Balance[[#This Row],[Nombre Cuenta]],6,144))</f>
        <v>546 -  Intereses a corto plazo de valores representativos de deudas</v>
      </c>
      <c r="L223" s="52">
        <v>66</v>
      </c>
      <c r="M223" s="52" t="s">
        <v>1287</v>
      </c>
      <c r="N223" s="150"/>
      <c r="O223" s="150"/>
      <c r="P223" s="150"/>
      <c r="Q223" s="150"/>
      <c r="R223" s="150"/>
      <c r="S223" s="150"/>
      <c r="T223" s="150"/>
      <c r="U223" s="150"/>
    </row>
    <row r="224" spans="1:21" ht="14.25" customHeight="1">
      <c r="A224" s="52" t="s">
        <v>774</v>
      </c>
      <c r="B224" s="52" t="s">
        <v>787</v>
      </c>
      <c r="C224" s="52" t="s">
        <v>848</v>
      </c>
      <c r="D224" s="52" t="s">
        <v>1333</v>
      </c>
      <c r="E224" s="52">
        <v>5470</v>
      </c>
      <c r="F224" s="52" t="s">
        <v>1334</v>
      </c>
      <c r="G224" s="52" t="s">
        <v>1349</v>
      </c>
      <c r="H224" s="52" t="s">
        <v>1285</v>
      </c>
      <c r="I224" s="52"/>
      <c r="J224" s="52" t="s">
        <v>1350</v>
      </c>
      <c r="K224" s="233" t="str">
        <f>+CONCATENATE(MID(Estructura_Balance[[#This Row],[Nombre Cuenta]],1,3)," - ", ,MID(Estructura_Balance[[#This Row],[Nombre Cuenta]],6,144))</f>
        <v>547 -  Intereses a corto plazo de créditos</v>
      </c>
      <c r="L224" s="52">
        <v>41</v>
      </c>
      <c r="M224" s="52" t="s">
        <v>1287</v>
      </c>
      <c r="N224" s="150"/>
      <c r="O224" s="150"/>
      <c r="P224" s="150"/>
      <c r="Q224" s="150"/>
      <c r="R224" s="150"/>
      <c r="S224" s="150"/>
      <c r="T224" s="150"/>
      <c r="U224" s="150"/>
    </row>
    <row r="225" spans="1:21" ht="14.25" customHeight="1">
      <c r="A225" s="52" t="s">
        <v>774</v>
      </c>
      <c r="B225" s="52" t="s">
        <v>787</v>
      </c>
      <c r="C225" s="52" t="s">
        <v>848</v>
      </c>
      <c r="D225" s="52" t="s">
        <v>1333</v>
      </c>
      <c r="E225" s="52">
        <v>5480</v>
      </c>
      <c r="F225" s="52" t="s">
        <v>1334</v>
      </c>
      <c r="G225" s="52" t="s">
        <v>1351</v>
      </c>
      <c r="H225" s="52" t="s">
        <v>1285</v>
      </c>
      <c r="I225" s="52"/>
      <c r="J225" s="52" t="s">
        <v>1352</v>
      </c>
      <c r="K225" s="233" t="str">
        <f>+CONCATENATE(MID(Estructura_Balance[[#This Row],[Nombre Cuenta]],1,3)," - ", ,MID(Estructura_Balance[[#This Row],[Nombre Cuenta]],6,144))</f>
        <v>548 -  Imposiciones a corto plazo</v>
      </c>
      <c r="L225" s="52">
        <v>32</v>
      </c>
      <c r="M225" s="52" t="s">
        <v>1287</v>
      </c>
      <c r="N225" s="150"/>
      <c r="O225" s="150"/>
      <c r="P225" s="150"/>
      <c r="Q225" s="150"/>
      <c r="R225" s="150"/>
      <c r="S225" s="150"/>
      <c r="T225" s="150"/>
      <c r="U225" s="150"/>
    </row>
    <row r="226" spans="1:21" ht="14.25" customHeight="1">
      <c r="A226" s="52" t="s">
        <v>774</v>
      </c>
      <c r="B226" s="52" t="s">
        <v>787</v>
      </c>
      <c r="C226" s="52" t="s">
        <v>848</v>
      </c>
      <c r="D226" s="52" t="s">
        <v>1333</v>
      </c>
      <c r="E226" s="52">
        <v>5490</v>
      </c>
      <c r="F226" s="52" t="s">
        <v>1334</v>
      </c>
      <c r="G226" s="52" t="s">
        <v>1353</v>
      </c>
      <c r="H226" s="52" t="s">
        <v>1285</v>
      </c>
      <c r="I226" s="52"/>
      <c r="J226" s="52" t="s">
        <v>1354</v>
      </c>
      <c r="K226" s="233" t="str">
        <f>+CONCATENATE(MID(Estructura_Balance[[#This Row],[Nombre Cuenta]],1,3)," - ", ,MID(Estructura_Balance[[#This Row],[Nombre Cuenta]],6,144))</f>
        <v>549 -  Desembolsos pendientes sobre participaciones en el patrimonio neto a corto plazo</v>
      </c>
      <c r="L226" s="52">
        <v>86</v>
      </c>
      <c r="M226" s="52" t="s">
        <v>1287</v>
      </c>
      <c r="N226" s="150"/>
      <c r="O226" s="150"/>
      <c r="P226" s="150"/>
      <c r="Q226" s="150"/>
      <c r="R226" s="150"/>
      <c r="S226" s="150"/>
      <c r="T226" s="150"/>
      <c r="U226" s="150"/>
    </row>
    <row r="227" spans="1:21" ht="14.25" customHeight="1">
      <c r="A227" s="52" t="s">
        <v>770</v>
      </c>
      <c r="B227" s="52" t="s">
        <v>804</v>
      </c>
      <c r="C227" s="52" t="s">
        <v>807</v>
      </c>
      <c r="D227" s="52" t="s">
        <v>1016</v>
      </c>
      <c r="E227" s="52">
        <v>5500</v>
      </c>
      <c r="F227" s="52" t="s">
        <v>1355</v>
      </c>
      <c r="G227" s="52" t="s">
        <v>1356</v>
      </c>
      <c r="H227" s="52" t="s">
        <v>1285</v>
      </c>
      <c r="I227" s="52"/>
      <c r="J227" s="52" t="s">
        <v>1357</v>
      </c>
      <c r="K227" s="233" t="str">
        <f>+CONCATENATE(MID(Estructura_Balance[[#This Row],[Nombre Cuenta]],1,3)," - ", ,MID(Estructura_Balance[[#This Row],[Nombre Cuenta]],6,144))</f>
        <v>550 -  Titular de la explotación</v>
      </c>
      <c r="L227" s="52">
        <v>31</v>
      </c>
      <c r="M227" s="52" t="s">
        <v>1287</v>
      </c>
      <c r="N227" s="150"/>
      <c r="O227" s="150"/>
      <c r="P227" s="150"/>
      <c r="Q227" s="150"/>
      <c r="R227" s="150"/>
      <c r="S227" s="150"/>
      <c r="T227" s="150"/>
      <c r="U227" s="150"/>
    </row>
    <row r="228" spans="1:21" ht="14.25" customHeight="1">
      <c r="A228" s="52" t="s">
        <v>770</v>
      </c>
      <c r="B228" s="52" t="s">
        <v>804</v>
      </c>
      <c r="C228" s="52" t="s">
        <v>807</v>
      </c>
      <c r="D228" s="52" t="s">
        <v>1016</v>
      </c>
      <c r="E228" s="52">
        <v>5510</v>
      </c>
      <c r="F228" s="52" t="s">
        <v>1355</v>
      </c>
      <c r="G228" s="52" t="s">
        <v>1358</v>
      </c>
      <c r="H228" s="52" t="s">
        <v>1285</v>
      </c>
      <c r="I228" s="52"/>
      <c r="J228" s="52" t="s">
        <v>1359</v>
      </c>
      <c r="K228" s="233" t="str">
        <f>+CONCATENATE(MID(Estructura_Balance[[#This Row],[Nombre Cuenta]],1,3)," - ", ,MID(Estructura_Balance[[#This Row],[Nombre Cuenta]],6,144))</f>
        <v>551 -  Cuenta corriente de socios y administradores</v>
      </c>
      <c r="L228" s="52">
        <v>50</v>
      </c>
      <c r="M228" s="52" t="s">
        <v>1287</v>
      </c>
      <c r="N228" s="150"/>
      <c r="O228" s="150"/>
      <c r="P228" s="150"/>
      <c r="Q228" s="150"/>
      <c r="R228" s="150"/>
      <c r="S228" s="150"/>
      <c r="T228" s="150"/>
      <c r="U228" s="150"/>
    </row>
    <row r="229" spans="1:21" ht="14.25" customHeight="1">
      <c r="A229" s="52" t="s">
        <v>770</v>
      </c>
      <c r="B229" s="52" t="s">
        <v>804</v>
      </c>
      <c r="C229" s="52" t="s">
        <v>808</v>
      </c>
      <c r="D229" s="52" t="s">
        <v>1301</v>
      </c>
      <c r="E229" s="52">
        <v>5520</v>
      </c>
      <c r="F229" s="52" t="s">
        <v>1355</v>
      </c>
      <c r="G229" s="52" t="s">
        <v>1360</v>
      </c>
      <c r="H229" s="52" t="s">
        <v>1285</v>
      </c>
      <c r="I229" s="52"/>
      <c r="J229" s="52" t="s">
        <v>1361</v>
      </c>
      <c r="K229" s="233" t="str">
        <f>+CONCATENATE(MID(Estructura_Balance[[#This Row],[Nombre Cuenta]],1,3)," - ", ,MID(Estructura_Balance[[#This Row],[Nombre Cuenta]],6,144))</f>
        <v>552 -  Cuenta corriente con otras personas y entidades vinculadas</v>
      </c>
      <c r="L229" s="52">
        <v>57</v>
      </c>
      <c r="M229" s="52" t="s">
        <v>1287</v>
      </c>
      <c r="N229" s="150"/>
      <c r="O229" s="150"/>
      <c r="P229" s="150"/>
      <c r="Q229" s="150"/>
      <c r="R229" s="150"/>
      <c r="S229" s="150"/>
      <c r="T229" s="150"/>
      <c r="U229" s="150"/>
    </row>
    <row r="230" spans="1:21" ht="14.25" customHeight="1">
      <c r="A230" s="52" t="s">
        <v>770</v>
      </c>
      <c r="B230" s="52" t="s">
        <v>804</v>
      </c>
      <c r="C230" s="52" t="s">
        <v>807</v>
      </c>
      <c r="D230" s="52" t="s">
        <v>1016</v>
      </c>
      <c r="E230" s="52">
        <v>5530</v>
      </c>
      <c r="F230" s="52" t="s">
        <v>1355</v>
      </c>
      <c r="G230" s="52" t="s">
        <v>1362</v>
      </c>
      <c r="H230" s="52" t="s">
        <v>1285</v>
      </c>
      <c r="I230" s="52"/>
      <c r="J230" s="52" t="s">
        <v>1363</v>
      </c>
      <c r="K230" s="233" t="str">
        <f>+CONCATENATE(MID(Estructura_Balance[[#This Row],[Nombre Cuenta]],1,3)," - ", ,MID(Estructura_Balance[[#This Row],[Nombre Cuenta]],6,144))</f>
        <v>553 -  Cuentas corrientes en fusiones y escisiones</v>
      </c>
      <c r="L230" s="52">
        <v>33</v>
      </c>
      <c r="M230" s="52" t="s">
        <v>1287</v>
      </c>
      <c r="N230" s="150"/>
      <c r="O230" s="150"/>
      <c r="P230" s="150"/>
      <c r="Q230" s="150"/>
      <c r="R230" s="150"/>
      <c r="S230" s="150"/>
      <c r="T230" s="150"/>
      <c r="U230" s="150"/>
    </row>
    <row r="231" spans="1:21" ht="14.25" customHeight="1">
      <c r="A231" s="52" t="s">
        <v>770</v>
      </c>
      <c r="B231" s="52" t="s">
        <v>804</v>
      </c>
      <c r="C231" s="52" t="s">
        <v>807</v>
      </c>
      <c r="D231" s="52" t="s">
        <v>1016</v>
      </c>
      <c r="E231" s="52">
        <v>5540</v>
      </c>
      <c r="F231" s="52" t="s">
        <v>1355</v>
      </c>
      <c r="G231" s="52" t="s">
        <v>1364</v>
      </c>
      <c r="H231" s="52" t="s">
        <v>1285</v>
      </c>
      <c r="I231" s="52"/>
      <c r="J231" s="52" t="s">
        <v>1365</v>
      </c>
      <c r="K231" s="233" t="str">
        <f>+CONCATENATE(MID(Estructura_Balance[[#This Row],[Nombre Cuenta]],1,3)," - ", ,MID(Estructura_Balance[[#This Row],[Nombre Cuenta]],6,144))</f>
        <v>554 -  Cuenta corriente con uniones temporales de empresas y comunidades de bienes</v>
      </c>
      <c r="L231" s="52">
        <v>81</v>
      </c>
      <c r="M231" s="52" t="s">
        <v>1287</v>
      </c>
      <c r="N231" s="150"/>
      <c r="O231" s="150"/>
      <c r="P231" s="150"/>
      <c r="Q231" s="150"/>
      <c r="R231" s="150"/>
      <c r="S231" s="150"/>
      <c r="T231" s="150"/>
      <c r="U231" s="150"/>
    </row>
    <row r="232" spans="1:21" ht="14.25" customHeight="1">
      <c r="A232" s="52" t="s">
        <v>770</v>
      </c>
      <c r="B232" s="52" t="s">
        <v>804</v>
      </c>
      <c r="C232" s="52" t="s">
        <v>807</v>
      </c>
      <c r="D232" s="52" t="s">
        <v>1016</v>
      </c>
      <c r="E232" s="52">
        <v>5550</v>
      </c>
      <c r="F232" s="52" t="s">
        <v>1355</v>
      </c>
      <c r="G232" s="52" t="s">
        <v>1366</v>
      </c>
      <c r="H232" s="52" t="s">
        <v>1285</v>
      </c>
      <c r="I232" s="52"/>
      <c r="J232" s="52" t="s">
        <v>1367</v>
      </c>
      <c r="K232" s="233" t="str">
        <f>+CONCATENATE(MID(Estructura_Balance[[#This Row],[Nombre Cuenta]],1,3)," - ", ,MID(Estructura_Balance[[#This Row],[Nombre Cuenta]],6,144))</f>
        <v>555 -  Partidas pendiente de aplicación</v>
      </c>
      <c r="L232" s="52">
        <v>38</v>
      </c>
      <c r="M232" s="52" t="s">
        <v>1287</v>
      </c>
      <c r="N232" s="150"/>
      <c r="O232" s="150"/>
      <c r="P232" s="150"/>
      <c r="Q232" s="150"/>
      <c r="R232" s="150"/>
      <c r="S232" s="150"/>
      <c r="T232" s="150"/>
      <c r="U232" s="150"/>
    </row>
    <row r="233" spans="1:21" ht="14.25" customHeight="1">
      <c r="A233" s="52" t="s">
        <v>770</v>
      </c>
      <c r="B233" s="52" t="s">
        <v>804</v>
      </c>
      <c r="C233" s="52" t="s">
        <v>808</v>
      </c>
      <c r="D233" s="52" t="s">
        <v>1301</v>
      </c>
      <c r="E233" s="52">
        <v>5560</v>
      </c>
      <c r="F233" s="52" t="s">
        <v>1355</v>
      </c>
      <c r="G233" s="52" t="s">
        <v>1368</v>
      </c>
      <c r="H233" s="52" t="s">
        <v>1285</v>
      </c>
      <c r="I233" s="52"/>
      <c r="J233" s="52" t="s">
        <v>1369</v>
      </c>
      <c r="K233" s="233" t="str">
        <f>+CONCATENATE(MID(Estructura_Balance[[#This Row],[Nombre Cuenta]],1,3)," - ", ,MID(Estructura_Balance[[#This Row],[Nombre Cuenta]],6,144))</f>
        <v>556 -  Desembolsos exigidos sobre participaciones en el patrimonio neto</v>
      </c>
      <c r="L233" s="52">
        <v>70</v>
      </c>
      <c r="M233" s="52" t="s">
        <v>1287</v>
      </c>
      <c r="N233" s="150"/>
      <c r="O233" s="150"/>
      <c r="P233" s="150"/>
      <c r="Q233" s="150"/>
      <c r="R233" s="150"/>
      <c r="S233" s="150"/>
      <c r="T233" s="150"/>
      <c r="U233" s="150"/>
    </row>
    <row r="234" spans="1:21" ht="14.25" customHeight="1">
      <c r="A234" s="52" t="s">
        <v>770</v>
      </c>
      <c r="B234" s="52" t="s">
        <v>776</v>
      </c>
      <c r="C234" s="52" t="s">
        <v>792</v>
      </c>
      <c r="D234" s="52" t="s">
        <v>1370</v>
      </c>
      <c r="E234" s="52">
        <v>5570</v>
      </c>
      <c r="F234" s="52" t="s">
        <v>1355</v>
      </c>
      <c r="G234" s="52" t="s">
        <v>1371</v>
      </c>
      <c r="H234" s="52" t="s">
        <v>1285</v>
      </c>
      <c r="I234" s="52"/>
      <c r="J234" s="52" t="s">
        <v>1372</v>
      </c>
      <c r="K234" s="233" t="str">
        <f>+CONCATENATE(MID(Estructura_Balance[[#This Row],[Nombre Cuenta]],1,3)," - ", ,MID(Estructura_Balance[[#This Row],[Nombre Cuenta]],6,144))</f>
        <v>557 -  Dividendo activo a cuenta</v>
      </c>
      <c r="L234" s="52">
        <v>31</v>
      </c>
      <c r="M234" s="52" t="s">
        <v>1287</v>
      </c>
      <c r="N234" s="150"/>
      <c r="O234" s="150"/>
      <c r="P234" s="150"/>
      <c r="Q234" s="150"/>
      <c r="R234" s="150"/>
      <c r="S234" s="150"/>
      <c r="T234" s="150"/>
      <c r="U234" s="150"/>
    </row>
    <row r="235" spans="1:21" ht="14.25" customHeight="1">
      <c r="A235" s="52" t="s">
        <v>774</v>
      </c>
      <c r="B235" s="52" t="s">
        <v>787</v>
      </c>
      <c r="C235" s="52" t="s">
        <v>793</v>
      </c>
      <c r="D235" s="52" t="s">
        <v>1373</v>
      </c>
      <c r="E235" s="52">
        <v>5580</v>
      </c>
      <c r="F235" s="52" t="s">
        <v>1355</v>
      </c>
      <c r="G235" s="52" t="s">
        <v>1374</v>
      </c>
      <c r="H235" s="52" t="s">
        <v>1285</v>
      </c>
      <c r="I235" s="52"/>
      <c r="J235" s="52" t="s">
        <v>1375</v>
      </c>
      <c r="K235" s="233" t="str">
        <f>+CONCATENATE(MID(Estructura_Balance[[#This Row],[Nombre Cuenta]],1,3)," - ", ,MID(Estructura_Balance[[#This Row],[Nombre Cuenta]],6,144))</f>
        <v>558 -  Socios por desembolsos exigidos</v>
      </c>
      <c r="L235" s="52">
        <v>81</v>
      </c>
      <c r="M235" s="52" t="s">
        <v>1287</v>
      </c>
      <c r="N235" s="150"/>
      <c r="O235" s="150"/>
      <c r="P235" s="150"/>
      <c r="Q235" s="150"/>
      <c r="R235" s="150"/>
      <c r="S235" s="150"/>
      <c r="T235" s="150"/>
      <c r="U235" s="150"/>
    </row>
    <row r="236" spans="1:21" ht="14.25" customHeight="1">
      <c r="A236" s="52" t="s">
        <v>774</v>
      </c>
      <c r="B236" s="52" t="s">
        <v>787</v>
      </c>
      <c r="C236" s="52" t="s">
        <v>848</v>
      </c>
      <c r="D236" s="52" t="s">
        <v>1333</v>
      </c>
      <c r="E236" s="52">
        <v>5590</v>
      </c>
      <c r="F236" s="52" t="s">
        <v>1355</v>
      </c>
      <c r="G236" s="52" t="s">
        <v>1376</v>
      </c>
      <c r="H236" s="52" t="s">
        <v>1285</v>
      </c>
      <c r="I236" s="52"/>
      <c r="J236" s="52" t="s">
        <v>1377</v>
      </c>
      <c r="K236" s="233" t="str">
        <f>+CONCATENATE(MID(Estructura_Balance[[#This Row],[Nombre Cuenta]],1,3)," - ", ,MID(Estructura_Balance[[#This Row],[Nombre Cuenta]],6,144))</f>
        <v>559 -  Derivados financieros a corto plazo</v>
      </c>
      <c r="L236" s="52">
        <v>77</v>
      </c>
      <c r="M236" s="52" t="s">
        <v>1287</v>
      </c>
      <c r="N236" s="150"/>
      <c r="O236" s="150"/>
      <c r="P236" s="150"/>
      <c r="Q236" s="150"/>
      <c r="R236" s="150"/>
      <c r="S236" s="150"/>
      <c r="T236" s="150"/>
      <c r="U236" s="150"/>
    </row>
    <row r="237" spans="1:21" ht="14.25" customHeight="1">
      <c r="A237" s="52" t="s">
        <v>770</v>
      </c>
      <c r="B237" s="52" t="s">
        <v>804</v>
      </c>
      <c r="C237" s="52" t="s">
        <v>807</v>
      </c>
      <c r="D237" s="52" t="s">
        <v>1016</v>
      </c>
      <c r="E237" s="52">
        <v>5600</v>
      </c>
      <c r="F237" s="52" t="str">
        <f>+MID(Estructura_Balance[[#This Row],[CPGC]],1,2)</f>
        <v>56</v>
      </c>
      <c r="G237" s="52" t="str">
        <f>+MID(Estructura_Balance[[#This Row],[CPGC]],1,3)</f>
        <v>560</v>
      </c>
      <c r="H237" s="52" t="str">
        <f>+MID(Estructura_Balance[[#This Row],[Grupo]],1,7)</f>
        <v>Grupo 5</v>
      </c>
      <c r="I237" s="52"/>
      <c r="J237" s="52" t="s">
        <v>1378</v>
      </c>
      <c r="K237" s="233" t="str">
        <f>+CONCATENATE(MID(Estructura_Balance[[#This Row],[Nombre Cuenta]],1,3)," - ", ,MID(Estructura_Balance[[#This Row],[Nombre Cuenta]],6,144))</f>
        <v>560 -  Fianzas recibidas a corto plazo</v>
      </c>
      <c r="L237" s="52" t="e">
        <f>+LEN([1]!Estructura_Balance[[#This Row],[Nombre Cuenta]])</f>
        <v>#REF!</v>
      </c>
      <c r="M237" s="52" t="s">
        <v>1287</v>
      </c>
      <c r="N237" s="150"/>
      <c r="O237" s="150"/>
      <c r="P237" s="150"/>
      <c r="Q237" s="150"/>
      <c r="R237" s="150"/>
      <c r="S237" s="150"/>
      <c r="T237" s="150"/>
      <c r="U237" s="150"/>
    </row>
    <row r="238" spans="1:21" ht="14.25" customHeight="1">
      <c r="A238" s="52" t="s">
        <v>770</v>
      </c>
      <c r="B238" s="52" t="s">
        <v>804</v>
      </c>
      <c r="C238" s="52" t="s">
        <v>807</v>
      </c>
      <c r="D238" s="52" t="s">
        <v>1016</v>
      </c>
      <c r="E238" s="52">
        <v>5610</v>
      </c>
      <c r="F238" s="52" t="str">
        <f>+MID(Estructura_Balance[[#This Row],[CPGC]],1,2)</f>
        <v>56</v>
      </c>
      <c r="G238" s="52" t="str">
        <f>+MID(Estructura_Balance[[#This Row],[CPGC]],1,3)</f>
        <v>561</v>
      </c>
      <c r="H238" s="52" t="str">
        <f>+MID(Estructura_Balance[[#This Row],[Grupo]],1,7)</f>
        <v>Grupo 5</v>
      </c>
      <c r="I238" s="52"/>
      <c r="J238" s="52" t="s">
        <v>1379</v>
      </c>
      <c r="K238" s="233" t="str">
        <f>+CONCATENATE(MID(Estructura_Balance[[#This Row],[Nombre Cuenta]],1,3)," - ", ,MID(Estructura_Balance[[#This Row],[Nombre Cuenta]],6,144))</f>
        <v>561 -  Depósitos recibidos a corto plazo</v>
      </c>
      <c r="L238" s="52" t="e">
        <f>+LEN([1]!Estructura_Balance[[#This Row],[Nombre Cuenta]])</f>
        <v>#REF!</v>
      </c>
      <c r="M238" s="52" t="s">
        <v>1287</v>
      </c>
      <c r="N238" s="150"/>
      <c r="O238" s="150"/>
      <c r="P238" s="150"/>
      <c r="Q238" s="150"/>
      <c r="R238" s="150"/>
      <c r="S238" s="150"/>
      <c r="T238" s="150"/>
      <c r="U238" s="150"/>
    </row>
    <row r="239" spans="1:21" ht="14.25" customHeight="1">
      <c r="A239" s="52" t="s">
        <v>774</v>
      </c>
      <c r="B239" s="52" t="s">
        <v>787</v>
      </c>
      <c r="C239" s="52" t="s">
        <v>848</v>
      </c>
      <c r="D239" s="52" t="s">
        <v>1333</v>
      </c>
      <c r="E239" s="52">
        <v>5650</v>
      </c>
      <c r="F239" s="52" t="str">
        <f>+MID(Estructura_Balance[[#This Row],[CPGC]],1,2)</f>
        <v>56</v>
      </c>
      <c r="G239" s="52" t="str">
        <f>+MID(Estructura_Balance[[#This Row],[CPGC]],1,3)</f>
        <v>565</v>
      </c>
      <c r="H239" s="52" t="str">
        <f>+MID(Estructura_Balance[[#This Row],[Grupo]],1,7)</f>
        <v>Grupo 5</v>
      </c>
      <c r="I239" s="52"/>
      <c r="J239" s="52" t="s">
        <v>1380</v>
      </c>
      <c r="K239" s="233" t="str">
        <f>+CONCATENATE(MID(Estructura_Balance[[#This Row],[Nombre Cuenta]],1,3)," - ", ,MID(Estructura_Balance[[#This Row],[Nombre Cuenta]],6,144))</f>
        <v>565 -  Fianzas constituidas a corto plazo</v>
      </c>
      <c r="L239" s="52" t="e">
        <f>+LEN([1]!Estructura_Balance[[#This Row],[Nombre Cuenta]])</f>
        <v>#REF!</v>
      </c>
      <c r="M239" s="52" t="s">
        <v>1287</v>
      </c>
      <c r="N239" s="150"/>
      <c r="O239" s="150"/>
      <c r="P239" s="150"/>
      <c r="Q239" s="150"/>
      <c r="R239" s="150"/>
      <c r="S239" s="150"/>
      <c r="T239" s="150"/>
      <c r="U239" s="150"/>
    </row>
    <row r="240" spans="1:21" ht="14.25" customHeight="1">
      <c r="A240" s="52" t="s">
        <v>774</v>
      </c>
      <c r="B240" s="52" t="s">
        <v>787</v>
      </c>
      <c r="C240" s="52" t="s">
        <v>848</v>
      </c>
      <c r="D240" s="52" t="s">
        <v>1333</v>
      </c>
      <c r="E240" s="52">
        <v>5660</v>
      </c>
      <c r="F240" s="52" t="str">
        <f>+MID(Estructura_Balance[[#This Row],[CPGC]],1,2)</f>
        <v>56</v>
      </c>
      <c r="G240" s="52" t="str">
        <f>+MID(Estructura_Balance[[#This Row],[CPGC]],1,3)</f>
        <v>566</v>
      </c>
      <c r="H240" s="52" t="str">
        <f>+MID(Estructura_Balance[[#This Row],[Grupo]],1,7)</f>
        <v>Grupo 5</v>
      </c>
      <c r="I240" s="52"/>
      <c r="J240" s="52" t="s">
        <v>1381</v>
      </c>
      <c r="K240" s="233" t="str">
        <f>+CONCATENATE(MID(Estructura_Balance[[#This Row],[Nombre Cuenta]],1,3)," - ", ,MID(Estructura_Balance[[#This Row],[Nombre Cuenta]],6,144))</f>
        <v>566 -  Depósitos constituidos a corto plazo</v>
      </c>
      <c r="L240" s="52" t="e">
        <f>+LEN([1]!Estructura_Balance[[#This Row],[Nombre Cuenta]])</f>
        <v>#REF!</v>
      </c>
      <c r="M240" s="52" t="s">
        <v>1287</v>
      </c>
      <c r="N240" s="150"/>
      <c r="O240" s="150"/>
      <c r="P240" s="150"/>
      <c r="Q240" s="150"/>
      <c r="R240" s="150"/>
      <c r="S240" s="150"/>
      <c r="T240" s="150"/>
      <c r="U240" s="150"/>
    </row>
    <row r="241" spans="1:21" ht="14.25" customHeight="1">
      <c r="A241" s="52" t="s">
        <v>774</v>
      </c>
      <c r="B241" s="52" t="s">
        <v>787</v>
      </c>
      <c r="C241" s="52" t="s">
        <v>848</v>
      </c>
      <c r="D241" s="52" t="s">
        <v>1333</v>
      </c>
      <c r="E241" s="52">
        <v>5670</v>
      </c>
      <c r="F241" s="52" t="str">
        <f>+MID(Estructura_Balance[[#This Row],[CPGC]],1,2)</f>
        <v>56</v>
      </c>
      <c r="G241" s="52" t="str">
        <f>+MID(Estructura_Balance[[#This Row],[CPGC]],1,3)</f>
        <v>567</v>
      </c>
      <c r="H241" s="52" t="str">
        <f>+MID(Estructura_Balance[[#This Row],[Grupo]],1,7)</f>
        <v>Grupo 5</v>
      </c>
      <c r="I241" s="52"/>
      <c r="J241" s="52" t="s">
        <v>1382</v>
      </c>
      <c r="K241" s="233" t="str">
        <f>+CONCATENATE(MID(Estructura_Balance[[#This Row],[Nombre Cuenta]],1,3)," - ", ,MID(Estructura_Balance[[#This Row],[Nombre Cuenta]],6,144))</f>
        <v>567 -  Intereses pagados por anticipado</v>
      </c>
      <c r="L241" s="52" t="e">
        <f>+LEN([1]!Estructura_Balance[[#This Row],[Nombre Cuenta]])</f>
        <v>#REF!</v>
      </c>
      <c r="M241" s="52" t="s">
        <v>1287</v>
      </c>
      <c r="N241" s="150"/>
      <c r="O241" s="150"/>
      <c r="P241" s="150"/>
      <c r="Q241" s="150"/>
      <c r="R241" s="150"/>
      <c r="S241" s="150"/>
      <c r="T241" s="150"/>
      <c r="U241" s="150"/>
    </row>
    <row r="242" spans="1:21" ht="14.25" customHeight="1">
      <c r="A242" s="52" t="s">
        <v>774</v>
      </c>
      <c r="B242" s="52" t="s">
        <v>787</v>
      </c>
      <c r="C242" s="52" t="s">
        <v>848</v>
      </c>
      <c r="D242" s="52" t="s">
        <v>1333</v>
      </c>
      <c r="E242" s="52">
        <v>5680</v>
      </c>
      <c r="F242" s="52" t="str">
        <f>+MID(Estructura_Balance[[#This Row],[CPGC]],1,2)</f>
        <v>56</v>
      </c>
      <c r="G242" s="52" t="str">
        <f>+MID(Estructura_Balance[[#This Row],[CPGC]],1,3)</f>
        <v>568</v>
      </c>
      <c r="H242" s="52" t="str">
        <f>+MID(Estructura_Balance[[#This Row],[Grupo]],1,7)</f>
        <v>Grupo 5</v>
      </c>
      <c r="I242" s="52"/>
      <c r="J242" s="52" t="s">
        <v>1383</v>
      </c>
      <c r="K242" s="233" t="str">
        <f>+CONCATENATE(MID(Estructura_Balance[[#This Row],[Nombre Cuenta]],1,3)," - ", ,MID(Estructura_Balance[[#This Row],[Nombre Cuenta]],6,144))</f>
        <v>568 -  Intereses cobrados por anticipado</v>
      </c>
      <c r="L242" s="52" t="e">
        <f>+LEN([1]!Estructura_Balance[[#This Row],[Nombre Cuenta]])</f>
        <v>#REF!</v>
      </c>
      <c r="M242" s="52" t="s">
        <v>1287</v>
      </c>
      <c r="N242" s="150"/>
      <c r="O242" s="150"/>
      <c r="P242" s="150"/>
      <c r="Q242" s="150"/>
      <c r="R242" s="150"/>
      <c r="S242" s="150"/>
      <c r="T242" s="150"/>
      <c r="U242" s="150"/>
    </row>
    <row r="243" spans="1:21" ht="14.25" customHeight="1">
      <c r="A243" s="52" t="s">
        <v>774</v>
      </c>
      <c r="B243" s="52" t="s">
        <v>787</v>
      </c>
      <c r="C243" s="52" t="s">
        <v>848</v>
      </c>
      <c r="D243" s="52" t="s">
        <v>1333</v>
      </c>
      <c r="E243" s="52">
        <v>5690</v>
      </c>
      <c r="F243" s="52" t="str">
        <f>+MID(Estructura_Balance[[#This Row],[CPGC]],1,2)</f>
        <v>56</v>
      </c>
      <c r="G243" s="52" t="str">
        <f>+MID(Estructura_Balance[[#This Row],[CPGC]],1,3)</f>
        <v>569</v>
      </c>
      <c r="H243" s="52" t="str">
        <f>+MID(Estructura_Balance[[#This Row],[Grupo]],1,7)</f>
        <v>Grupo 5</v>
      </c>
      <c r="I243" s="52"/>
      <c r="J243" s="52" t="s">
        <v>1384</v>
      </c>
      <c r="K243" s="233" t="str">
        <f>+CONCATENATE(MID(Estructura_Balance[[#This Row],[Nombre Cuenta]],1,3)," - ", ,MID(Estructura_Balance[[#This Row],[Nombre Cuenta]],6,144))</f>
        <v>569 -  Garantías financieras a corto plazo</v>
      </c>
      <c r="L243" s="52" t="e">
        <f>+LEN([1]!Estructura_Balance[[#This Row],[Nombre Cuenta]])</f>
        <v>#REF!</v>
      </c>
      <c r="M243" s="52" t="s">
        <v>1287</v>
      </c>
      <c r="N243" s="150"/>
      <c r="O243" s="150"/>
      <c r="P243" s="150"/>
      <c r="Q243" s="150"/>
      <c r="R243" s="150"/>
      <c r="S243" s="150"/>
      <c r="T243" s="150"/>
      <c r="U243" s="150"/>
    </row>
    <row r="244" spans="1:21" ht="14.25" customHeight="1">
      <c r="A244" s="52" t="s">
        <v>774</v>
      </c>
      <c r="B244" s="52" t="s">
        <v>787</v>
      </c>
      <c r="C244" s="52" t="s">
        <v>799</v>
      </c>
      <c r="D244" s="52" t="s">
        <v>1385</v>
      </c>
      <c r="E244" s="52">
        <v>5700</v>
      </c>
      <c r="F244" s="52" t="str">
        <f>+MID(Estructura_Balance[[#This Row],[CPGC]],1,2)</f>
        <v>57</v>
      </c>
      <c r="G244" s="52" t="str">
        <f>+MID(Estructura_Balance[[#This Row],[CPGC]],1,3)</f>
        <v>570</v>
      </c>
      <c r="H244" s="52" t="str">
        <f>+MID(Estructura_Balance[[#This Row],[Grupo]],1,7)</f>
        <v>Grupo 5</v>
      </c>
      <c r="I244" s="52"/>
      <c r="J244" s="52" t="s">
        <v>1386</v>
      </c>
      <c r="K244" s="233" t="str">
        <f>+CONCATENATE(MID(Estructura_Balance[[#This Row],[Nombre Cuenta]],1,3)," - ", ,MID(Estructura_Balance[[#This Row],[Nombre Cuenta]],6,144))</f>
        <v>570 -  Caja, euros</v>
      </c>
      <c r="L244" s="52" t="e">
        <f>+LEN([1]!Estructura_Balance[[#This Row],[Nombre Cuenta]])</f>
        <v>#REF!</v>
      </c>
      <c r="M244" s="52" t="s">
        <v>1287</v>
      </c>
      <c r="N244" s="150"/>
      <c r="O244" s="150"/>
      <c r="P244" s="150"/>
      <c r="Q244" s="150"/>
      <c r="R244" s="150"/>
      <c r="S244" s="150"/>
      <c r="T244" s="150"/>
      <c r="U244" s="150"/>
    </row>
    <row r="245" spans="1:21" ht="14.25" customHeight="1">
      <c r="A245" s="52" t="s">
        <v>774</v>
      </c>
      <c r="B245" s="52" t="s">
        <v>787</v>
      </c>
      <c r="C245" s="52" t="s">
        <v>799</v>
      </c>
      <c r="D245" s="52" t="s">
        <v>1385</v>
      </c>
      <c r="E245" s="52">
        <v>5710</v>
      </c>
      <c r="F245" s="52" t="str">
        <f>+MID(Estructura_Balance[[#This Row],[CPGC]],1,2)</f>
        <v>57</v>
      </c>
      <c r="G245" s="52" t="str">
        <f>+MID(Estructura_Balance[[#This Row],[CPGC]],1,3)</f>
        <v>571</v>
      </c>
      <c r="H245" s="52" t="str">
        <f>+MID(Estructura_Balance[[#This Row],[Grupo]],1,7)</f>
        <v>Grupo 5</v>
      </c>
      <c r="I245" s="52"/>
      <c r="J245" s="52" t="s">
        <v>1387</v>
      </c>
      <c r="K245" s="233" t="str">
        <f>+CONCATENATE(MID(Estructura_Balance[[#This Row],[Nombre Cuenta]],1,3)," - ", ,MID(Estructura_Balance[[#This Row],[Nombre Cuenta]],6,144))</f>
        <v>571 -  Caja, moneda extranjera</v>
      </c>
      <c r="L245" s="52" t="e">
        <f>+LEN([1]!Estructura_Balance[[#This Row],[Nombre Cuenta]])</f>
        <v>#REF!</v>
      </c>
      <c r="M245" s="52" t="s">
        <v>1287</v>
      </c>
      <c r="N245" s="150"/>
      <c r="O245" s="150"/>
      <c r="P245" s="150"/>
      <c r="Q245" s="150"/>
      <c r="R245" s="150"/>
      <c r="S245" s="150"/>
      <c r="T245" s="150"/>
      <c r="U245" s="150"/>
    </row>
    <row r="246" spans="1:21" ht="14.25" customHeight="1">
      <c r="A246" s="52" t="s">
        <v>774</v>
      </c>
      <c r="B246" s="52" t="s">
        <v>787</v>
      </c>
      <c r="C246" s="52" t="s">
        <v>799</v>
      </c>
      <c r="D246" s="52" t="s">
        <v>1385</v>
      </c>
      <c r="E246" s="52">
        <v>5720</v>
      </c>
      <c r="F246" s="52" t="str">
        <f>+MID(Estructura_Balance[[#This Row],[CPGC]],1,2)</f>
        <v>57</v>
      </c>
      <c r="G246" s="52" t="str">
        <f>+MID(Estructura_Balance[[#This Row],[CPGC]],1,3)</f>
        <v>572</v>
      </c>
      <c r="H246" s="52" t="str">
        <f>+MID(Estructura_Balance[[#This Row],[Grupo]],1,7)</f>
        <v>Grupo 5</v>
      </c>
      <c r="I246" s="52"/>
      <c r="J246" s="52" t="s">
        <v>1388</v>
      </c>
      <c r="K246" s="233" t="str">
        <f>+CONCATENATE(MID(Estructura_Balance[[#This Row],[Nombre Cuenta]],1,3)," - ", ,MID(Estructura_Balance[[#This Row],[Nombre Cuenta]],6,144))</f>
        <v>572 -  Bancos e instituciones de crédito c/c vista, euros</v>
      </c>
      <c r="L246" s="52" t="e">
        <f>+LEN([1]!Estructura_Balance[[#This Row],[Nombre Cuenta]])</f>
        <v>#REF!</v>
      </c>
      <c r="M246" s="52" t="s">
        <v>1287</v>
      </c>
      <c r="N246" s="150"/>
      <c r="O246" s="150"/>
      <c r="P246" s="150"/>
      <c r="Q246" s="150"/>
      <c r="R246" s="150"/>
      <c r="S246" s="150"/>
      <c r="T246" s="150"/>
      <c r="U246" s="150"/>
    </row>
    <row r="247" spans="1:21" ht="14.25" customHeight="1">
      <c r="A247" s="52" t="s">
        <v>774</v>
      </c>
      <c r="B247" s="52" t="s">
        <v>787</v>
      </c>
      <c r="C247" s="52" t="s">
        <v>799</v>
      </c>
      <c r="D247" s="52" t="s">
        <v>1385</v>
      </c>
      <c r="E247" s="52">
        <v>5730</v>
      </c>
      <c r="F247" s="52" t="str">
        <f>+MID(Estructura_Balance[[#This Row],[CPGC]],1,2)</f>
        <v>57</v>
      </c>
      <c r="G247" s="52" t="str">
        <f>+MID(Estructura_Balance[[#This Row],[CPGC]],1,3)</f>
        <v>573</v>
      </c>
      <c r="H247" s="52" t="str">
        <f>+MID(Estructura_Balance[[#This Row],[Grupo]],1,7)</f>
        <v>Grupo 5</v>
      </c>
      <c r="I247" s="52"/>
      <c r="J247" s="52" t="s">
        <v>1389</v>
      </c>
      <c r="K247" s="233" t="str">
        <f>+CONCATENATE(MID(Estructura_Balance[[#This Row],[Nombre Cuenta]],1,3)," - ", ,MID(Estructura_Balance[[#This Row],[Nombre Cuenta]],6,144))</f>
        <v>573 -  Bancos e instituciones de crédito c/c vista, moneda extranjera</v>
      </c>
      <c r="L247" s="52" t="e">
        <f>+LEN([1]!Estructura_Balance[[#This Row],[Nombre Cuenta]])</f>
        <v>#REF!</v>
      </c>
      <c r="M247" s="52" t="s">
        <v>1287</v>
      </c>
      <c r="N247" s="150"/>
      <c r="O247" s="150"/>
      <c r="P247" s="150"/>
      <c r="Q247" s="150"/>
      <c r="R247" s="150"/>
      <c r="S247" s="150"/>
      <c r="T247" s="150"/>
      <c r="U247" s="150"/>
    </row>
    <row r="248" spans="1:21" ht="14.25" customHeight="1">
      <c r="A248" s="52" t="s">
        <v>774</v>
      </c>
      <c r="B248" s="52" t="s">
        <v>787</v>
      </c>
      <c r="C248" s="52" t="s">
        <v>799</v>
      </c>
      <c r="D248" s="52" t="s">
        <v>1385</v>
      </c>
      <c r="E248" s="52">
        <v>5740</v>
      </c>
      <c r="F248" s="52" t="str">
        <f>+MID(Estructura_Balance[[#This Row],[CPGC]],1,2)</f>
        <v>57</v>
      </c>
      <c r="G248" s="52" t="str">
        <f>+MID(Estructura_Balance[[#This Row],[CPGC]],1,3)</f>
        <v>574</v>
      </c>
      <c r="H248" s="52" t="str">
        <f>+MID(Estructura_Balance[[#This Row],[Grupo]],1,7)</f>
        <v>Grupo 5</v>
      </c>
      <c r="I248" s="52"/>
      <c r="J248" s="52" t="s">
        <v>1390</v>
      </c>
      <c r="K248" s="233" t="str">
        <f>+CONCATENATE(MID(Estructura_Balance[[#This Row],[Nombre Cuenta]],1,3)," - ", ,MID(Estructura_Balance[[#This Row],[Nombre Cuenta]],6,144))</f>
        <v>574 -  Bancos e instituciones de crédito, cuentas de ahorro, euros</v>
      </c>
      <c r="L248" s="52" t="e">
        <f>+LEN([1]!Estructura_Balance[[#This Row],[Nombre Cuenta]])</f>
        <v>#REF!</v>
      </c>
      <c r="M248" s="52" t="s">
        <v>1287</v>
      </c>
      <c r="N248" s="150"/>
      <c r="O248" s="150"/>
      <c r="P248" s="150"/>
      <c r="Q248" s="150"/>
      <c r="R248" s="150"/>
      <c r="S248" s="150"/>
      <c r="T248" s="150"/>
      <c r="U248" s="150"/>
    </row>
    <row r="249" spans="1:21" ht="14.25" customHeight="1">
      <c r="A249" s="52" t="s">
        <v>774</v>
      </c>
      <c r="B249" s="52" t="s">
        <v>787</v>
      </c>
      <c r="C249" s="52" t="s">
        <v>799</v>
      </c>
      <c r="D249" s="52" t="s">
        <v>1385</v>
      </c>
      <c r="E249" s="52">
        <v>5750</v>
      </c>
      <c r="F249" s="52" t="str">
        <f>+MID(Estructura_Balance[[#This Row],[CPGC]],1,2)</f>
        <v>57</v>
      </c>
      <c r="G249" s="52" t="str">
        <f>+MID(Estructura_Balance[[#This Row],[CPGC]],1,3)</f>
        <v>575</v>
      </c>
      <c r="H249" s="52" t="str">
        <f>+MID(Estructura_Balance[[#This Row],[Grupo]],1,7)</f>
        <v>Grupo 5</v>
      </c>
      <c r="I249" s="52"/>
      <c r="J249" s="52" t="s">
        <v>1391</v>
      </c>
      <c r="K249" s="233" t="str">
        <f>+CONCATENATE(MID(Estructura_Balance[[#This Row],[Nombre Cuenta]],1,3)," - ", ,MID(Estructura_Balance[[#This Row],[Nombre Cuenta]],6,144))</f>
        <v>575 -  Bancos e instituciones de crédito, cuentas de ahorro, moneda extranjera</v>
      </c>
      <c r="L249" s="52" t="e">
        <f>+LEN([1]!Estructura_Balance[[#This Row],[Nombre Cuenta]])</f>
        <v>#REF!</v>
      </c>
      <c r="M249" s="52" t="s">
        <v>1287</v>
      </c>
      <c r="N249" s="150"/>
      <c r="O249" s="150"/>
      <c r="P249" s="150"/>
      <c r="Q249" s="150"/>
      <c r="R249" s="150"/>
      <c r="S249" s="150"/>
      <c r="T249" s="150"/>
      <c r="U249" s="150"/>
    </row>
    <row r="250" spans="1:21" ht="14.25" customHeight="1">
      <c r="A250" s="52" t="s">
        <v>774</v>
      </c>
      <c r="B250" s="52" t="s">
        <v>787</v>
      </c>
      <c r="C250" s="52" t="s">
        <v>799</v>
      </c>
      <c r="D250" s="52" t="s">
        <v>1385</v>
      </c>
      <c r="E250" s="52">
        <v>5760</v>
      </c>
      <c r="F250" s="52" t="str">
        <f>+MID(Estructura_Balance[[#This Row],[CPGC]],1,2)</f>
        <v>57</v>
      </c>
      <c r="G250" s="52" t="str">
        <f>+MID(Estructura_Balance[[#This Row],[CPGC]],1,3)</f>
        <v>576</v>
      </c>
      <c r="H250" s="52" t="str">
        <f>+MID(Estructura_Balance[[#This Row],[Grupo]],1,7)</f>
        <v>Grupo 5</v>
      </c>
      <c r="I250" s="52"/>
      <c r="J250" s="52" t="s">
        <v>1392</v>
      </c>
      <c r="K250" s="233" t="str">
        <f>+CONCATENATE(MID(Estructura_Balance[[#This Row],[Nombre Cuenta]],1,3)," - ", ,MID(Estructura_Balance[[#This Row],[Nombre Cuenta]],6,144))</f>
        <v>576 -  Inversiones a corto plazo de gran liquidez</v>
      </c>
      <c r="L250" s="52" t="e">
        <f>+LEN([1]!Estructura_Balance[[#This Row],[Nombre Cuenta]])</f>
        <v>#REF!</v>
      </c>
      <c r="M250" s="52" t="s">
        <v>1287</v>
      </c>
      <c r="N250" s="150"/>
      <c r="O250" s="150"/>
      <c r="P250" s="150"/>
      <c r="Q250" s="150"/>
      <c r="R250" s="150"/>
      <c r="S250" s="150"/>
      <c r="T250" s="150"/>
      <c r="U250" s="150"/>
    </row>
    <row r="251" spans="1:21" ht="14.25" customHeight="1">
      <c r="A251" s="52" t="s">
        <v>774</v>
      </c>
      <c r="B251" s="52" t="s">
        <v>787</v>
      </c>
      <c r="C251" s="52" t="s">
        <v>789</v>
      </c>
      <c r="D251" s="52" t="s">
        <v>1393</v>
      </c>
      <c r="E251" s="52">
        <v>5800</v>
      </c>
      <c r="F251" s="52">
        <v>58</v>
      </c>
      <c r="G251" s="52">
        <v>580</v>
      </c>
      <c r="H251" s="52" t="s">
        <v>1285</v>
      </c>
      <c r="I251" s="52"/>
      <c r="J251" s="52" t="s">
        <v>1394</v>
      </c>
      <c r="K251" s="233" t="str">
        <f>+CONCATENATE(MID(Estructura_Balance[[#This Row],[Nombre Cuenta]],1,3)," - ", ,MID(Estructura_Balance[[#This Row],[Nombre Cuenta]],6,144))</f>
        <v>580 -  Inmovilizado</v>
      </c>
      <c r="L251" s="52" t="e">
        <f>+LEN([1]!Estructura_Balance[[#This Row],[Nombre Cuenta]])</f>
        <v>#REF!</v>
      </c>
      <c r="M251" s="52" t="s">
        <v>1287</v>
      </c>
      <c r="N251" s="150"/>
      <c r="O251" s="150"/>
      <c r="P251" s="150"/>
      <c r="Q251" s="150"/>
      <c r="R251" s="150"/>
      <c r="S251" s="150"/>
      <c r="T251" s="150"/>
      <c r="U251" s="150"/>
    </row>
    <row r="252" spans="1:21" ht="14.25" customHeight="1">
      <c r="A252" s="52" t="s">
        <v>774</v>
      </c>
      <c r="B252" s="52" t="s">
        <v>787</v>
      </c>
      <c r="C252" s="52" t="s">
        <v>789</v>
      </c>
      <c r="D252" s="52" t="s">
        <v>1393</v>
      </c>
      <c r="E252" s="52">
        <v>5810</v>
      </c>
      <c r="F252" s="52" t="s">
        <v>1395</v>
      </c>
      <c r="G252" s="52" t="s">
        <v>1396</v>
      </c>
      <c r="H252" s="52" t="s">
        <v>1285</v>
      </c>
      <c r="I252" s="52"/>
      <c r="J252" s="52" t="s">
        <v>1397</v>
      </c>
      <c r="K252" s="233" t="str">
        <f>+CONCATENATE(MID(Estructura_Balance[[#This Row],[Nombre Cuenta]],1,3)," - ", ,MID(Estructura_Balance[[#This Row],[Nombre Cuenta]],6,144))</f>
        <v>581 -  Inversiones con personas y entidades vinculadas</v>
      </c>
      <c r="L252" s="52">
        <v>53</v>
      </c>
      <c r="M252" s="52" t="s">
        <v>1287</v>
      </c>
      <c r="N252" s="150"/>
      <c r="O252" s="150"/>
      <c r="P252" s="150"/>
      <c r="Q252" s="150"/>
      <c r="R252" s="150"/>
      <c r="S252" s="150"/>
      <c r="T252" s="150"/>
      <c r="U252" s="150"/>
    </row>
    <row r="253" spans="1:21" ht="14.25" customHeight="1">
      <c r="A253" s="52" t="s">
        <v>774</v>
      </c>
      <c r="B253" s="52" t="s">
        <v>787</v>
      </c>
      <c r="C253" s="52" t="s">
        <v>789</v>
      </c>
      <c r="D253" s="52" t="s">
        <v>1393</v>
      </c>
      <c r="E253" s="52">
        <v>5820</v>
      </c>
      <c r="F253" s="52" t="s">
        <v>1395</v>
      </c>
      <c r="G253" s="52" t="s">
        <v>1398</v>
      </c>
      <c r="H253" s="52" t="s">
        <v>1285</v>
      </c>
      <c r="I253" s="52"/>
      <c r="J253" s="52" t="s">
        <v>1399</v>
      </c>
      <c r="K253" s="233" t="str">
        <f>+CONCATENATE(MID(Estructura_Balance[[#This Row],[Nombre Cuenta]],1,3)," - ", ,MID(Estructura_Balance[[#This Row],[Nombre Cuenta]],6,144))</f>
        <v>582 -  Inversiones financieras</v>
      </c>
      <c r="L253" s="52">
        <v>29</v>
      </c>
      <c r="M253" s="52" t="s">
        <v>1287</v>
      </c>
      <c r="N253" s="150"/>
      <c r="O253" s="150"/>
      <c r="P253" s="150"/>
      <c r="Q253" s="150"/>
      <c r="R253" s="150"/>
      <c r="S253" s="150"/>
      <c r="T253" s="150"/>
      <c r="U253" s="150"/>
    </row>
    <row r="254" spans="1:21" ht="14.25" customHeight="1">
      <c r="A254" s="52" t="s">
        <v>774</v>
      </c>
      <c r="B254" s="52" t="s">
        <v>787</v>
      </c>
      <c r="C254" s="52" t="s">
        <v>789</v>
      </c>
      <c r="D254" s="52" t="s">
        <v>1393</v>
      </c>
      <c r="E254" s="52">
        <v>5830</v>
      </c>
      <c r="F254" s="52" t="s">
        <v>1395</v>
      </c>
      <c r="G254" s="52" t="s">
        <v>1400</v>
      </c>
      <c r="H254" s="52" t="s">
        <v>1285</v>
      </c>
      <c r="I254" s="52"/>
      <c r="J254" s="52" t="s">
        <v>1401</v>
      </c>
      <c r="K254" s="233" t="str">
        <f>+CONCATENATE(MID(Estructura_Balance[[#This Row],[Nombre Cuenta]],1,3)," - ", ,MID(Estructura_Balance[[#This Row],[Nombre Cuenta]],6,144))</f>
        <v>583 -  Existencias, deudores comerciales y otras cuentas a cobrar</v>
      </c>
      <c r="L254" s="52">
        <v>64</v>
      </c>
      <c r="M254" s="52" t="s">
        <v>1287</v>
      </c>
      <c r="N254" s="150"/>
      <c r="O254" s="150"/>
      <c r="P254" s="150"/>
      <c r="Q254" s="150"/>
      <c r="R254" s="150"/>
      <c r="S254" s="150"/>
      <c r="T254" s="150"/>
      <c r="U254" s="150"/>
    </row>
    <row r="255" spans="1:21" ht="14.25" customHeight="1">
      <c r="A255" s="52" t="s">
        <v>774</v>
      </c>
      <c r="B255" s="52" t="s">
        <v>787</v>
      </c>
      <c r="C255" s="52" t="s">
        <v>789</v>
      </c>
      <c r="D255" s="52" t="s">
        <v>1393</v>
      </c>
      <c r="E255" s="52">
        <v>5840</v>
      </c>
      <c r="F255" s="52" t="s">
        <v>1395</v>
      </c>
      <c r="G255" s="52" t="s">
        <v>1402</v>
      </c>
      <c r="H255" s="52" t="s">
        <v>1285</v>
      </c>
      <c r="I255" s="52"/>
      <c r="J255" s="52" t="s">
        <v>1403</v>
      </c>
      <c r="K255" s="233" t="str">
        <f>+CONCATENATE(MID(Estructura_Balance[[#This Row],[Nombre Cuenta]],1,3)," - ", ,MID(Estructura_Balance[[#This Row],[Nombre Cuenta]],6,144))</f>
        <v>584 -  Otros activos</v>
      </c>
      <c r="L255" s="52">
        <v>19</v>
      </c>
      <c r="M255" s="52" t="s">
        <v>1287</v>
      </c>
      <c r="N255" s="150"/>
      <c r="O255" s="150"/>
      <c r="P255" s="150"/>
      <c r="Q255" s="150"/>
      <c r="R255" s="150"/>
      <c r="S255" s="150"/>
      <c r="T255" s="150"/>
      <c r="U255" s="150"/>
    </row>
    <row r="256" spans="1:21" ht="14.25" customHeight="1">
      <c r="A256" s="52" t="s">
        <v>770</v>
      </c>
      <c r="B256" s="52" t="s">
        <v>804</v>
      </c>
      <c r="C256" s="52" t="s">
        <v>805</v>
      </c>
      <c r="D256" s="52" t="s">
        <v>1404</v>
      </c>
      <c r="E256" s="52">
        <v>5850</v>
      </c>
      <c r="F256" s="52" t="s">
        <v>1395</v>
      </c>
      <c r="G256" s="52" t="s">
        <v>1405</v>
      </c>
      <c r="H256" s="52" t="s">
        <v>1285</v>
      </c>
      <c r="I256" s="52"/>
      <c r="J256" s="52" t="s">
        <v>1406</v>
      </c>
      <c r="K256" s="233" t="str">
        <f>+CONCATENATE(MID(Estructura_Balance[[#This Row],[Nombre Cuenta]],1,3)," - ", ,MID(Estructura_Balance[[#This Row],[Nombre Cuenta]],6,144))</f>
        <v>585 -  Provisiones</v>
      </c>
      <c r="L256" s="52">
        <v>17</v>
      </c>
      <c r="M256" s="52" t="s">
        <v>1287</v>
      </c>
      <c r="N256" s="150"/>
      <c r="O256" s="150"/>
      <c r="P256" s="150"/>
      <c r="Q256" s="150"/>
      <c r="R256" s="150"/>
      <c r="S256" s="150"/>
      <c r="T256" s="150"/>
      <c r="U256" s="150"/>
    </row>
    <row r="257" spans="1:21" ht="14.25" customHeight="1">
      <c r="A257" s="52" t="s">
        <v>770</v>
      </c>
      <c r="B257" s="52" t="s">
        <v>804</v>
      </c>
      <c r="C257" s="52" t="s">
        <v>805</v>
      </c>
      <c r="D257" s="52" t="s">
        <v>1404</v>
      </c>
      <c r="E257" s="52">
        <v>5860</v>
      </c>
      <c r="F257" s="52" t="s">
        <v>1395</v>
      </c>
      <c r="G257" s="52" t="s">
        <v>1407</v>
      </c>
      <c r="H257" s="52" t="s">
        <v>1285</v>
      </c>
      <c r="I257" s="52"/>
      <c r="J257" s="52" t="s">
        <v>1408</v>
      </c>
      <c r="K257" s="233" t="str">
        <f>+CONCATENATE(MID(Estructura_Balance[[#This Row],[Nombre Cuenta]],1,3)," - ", ,MID(Estructura_Balance[[#This Row],[Nombre Cuenta]],6,144))</f>
        <v>586 -  Deudas con características especiales</v>
      </c>
      <c r="L257" s="52">
        <v>43</v>
      </c>
      <c r="M257" s="52" t="s">
        <v>1287</v>
      </c>
      <c r="N257" s="150"/>
      <c r="O257" s="150"/>
      <c r="P257" s="150"/>
      <c r="Q257" s="150"/>
      <c r="R257" s="150"/>
      <c r="S257" s="150"/>
      <c r="T257" s="150"/>
      <c r="U257" s="150"/>
    </row>
    <row r="258" spans="1:21" ht="14.25" customHeight="1">
      <c r="A258" s="52" t="s">
        <v>770</v>
      </c>
      <c r="B258" s="52" t="s">
        <v>804</v>
      </c>
      <c r="C258" s="52" t="s">
        <v>805</v>
      </c>
      <c r="D258" s="52" t="s">
        <v>1404</v>
      </c>
      <c r="E258" s="52">
        <v>5870</v>
      </c>
      <c r="F258" s="52" t="s">
        <v>1395</v>
      </c>
      <c r="G258" s="52" t="s">
        <v>1409</v>
      </c>
      <c r="H258" s="52" t="s">
        <v>1285</v>
      </c>
      <c r="I258" s="52"/>
      <c r="J258" s="52" t="s">
        <v>1410</v>
      </c>
      <c r="K258" s="233" t="str">
        <f>+CONCATENATE(MID(Estructura_Balance[[#This Row],[Nombre Cuenta]],1,3)," - ", ,MID(Estructura_Balance[[#This Row],[Nombre Cuenta]],6,144))</f>
        <v>587 -  Deudas con personas y entidades vinculadas</v>
      </c>
      <c r="L258" s="52">
        <v>48</v>
      </c>
      <c r="M258" s="52" t="s">
        <v>1287</v>
      </c>
      <c r="N258" s="150"/>
      <c r="O258" s="150"/>
      <c r="P258" s="150"/>
      <c r="Q258" s="150"/>
      <c r="R258" s="150"/>
      <c r="S258" s="150"/>
      <c r="T258" s="150"/>
      <c r="U258" s="150"/>
    </row>
    <row r="259" spans="1:21" ht="14.25" customHeight="1">
      <c r="A259" s="52" t="s">
        <v>770</v>
      </c>
      <c r="B259" s="52" t="s">
        <v>804</v>
      </c>
      <c r="C259" s="52" t="s">
        <v>805</v>
      </c>
      <c r="D259" s="52" t="s">
        <v>1404</v>
      </c>
      <c r="E259" s="52">
        <v>5880</v>
      </c>
      <c r="F259" s="52" t="s">
        <v>1395</v>
      </c>
      <c r="G259" s="52" t="s">
        <v>1411</v>
      </c>
      <c r="H259" s="52" t="s">
        <v>1285</v>
      </c>
      <c r="I259" s="52"/>
      <c r="J259" s="52" t="s">
        <v>1412</v>
      </c>
      <c r="K259" s="233" t="str">
        <f>+CONCATENATE(MID(Estructura_Balance[[#This Row],[Nombre Cuenta]],1,3)," - ", ,MID(Estructura_Balance[[#This Row],[Nombre Cuenta]],6,144))</f>
        <v>588 -  Acreedores comerciales y otras cuentas a pagar</v>
      </c>
      <c r="L259" s="52">
        <v>52</v>
      </c>
      <c r="M259" s="52" t="s">
        <v>1287</v>
      </c>
      <c r="N259" s="150"/>
      <c r="O259" s="150"/>
      <c r="P259" s="150"/>
      <c r="Q259" s="150"/>
      <c r="R259" s="150"/>
      <c r="S259" s="150"/>
      <c r="T259" s="150"/>
      <c r="U259" s="150"/>
    </row>
    <row r="260" spans="1:21" ht="14.25" customHeight="1">
      <c r="A260" s="52" t="s">
        <v>770</v>
      </c>
      <c r="B260" s="52" t="s">
        <v>804</v>
      </c>
      <c r="C260" s="52" t="s">
        <v>805</v>
      </c>
      <c r="D260" s="52" t="s">
        <v>1404</v>
      </c>
      <c r="E260" s="52">
        <v>5890</v>
      </c>
      <c r="F260" s="52" t="s">
        <v>1395</v>
      </c>
      <c r="G260" s="52" t="s">
        <v>1413</v>
      </c>
      <c r="H260" s="52" t="s">
        <v>1285</v>
      </c>
      <c r="I260" s="52"/>
      <c r="J260" s="52" t="s">
        <v>1414</v>
      </c>
      <c r="K260" s="233" t="str">
        <f>+CONCATENATE(MID(Estructura_Balance[[#This Row],[Nombre Cuenta]],1,3)," - ", ,MID(Estructura_Balance[[#This Row],[Nombre Cuenta]],6,144))</f>
        <v>589 -  Otros pasivos</v>
      </c>
      <c r="L260" s="52">
        <v>19</v>
      </c>
      <c r="M260" s="52" t="s">
        <v>1287</v>
      </c>
      <c r="N260" s="150"/>
      <c r="O260" s="150"/>
      <c r="P260" s="150"/>
      <c r="Q260" s="150"/>
      <c r="R260" s="150"/>
      <c r="S260" s="150"/>
      <c r="T260" s="150"/>
      <c r="U260" s="150"/>
    </row>
    <row r="261" spans="1:21" ht="14.25" customHeight="1">
      <c r="A261" s="52" t="s">
        <v>774</v>
      </c>
      <c r="B261" s="52" t="s">
        <v>787</v>
      </c>
      <c r="C261" s="52" t="s">
        <v>795</v>
      </c>
      <c r="D261" s="52" t="s">
        <v>1325</v>
      </c>
      <c r="E261" s="52">
        <v>5930</v>
      </c>
      <c r="F261" s="52" t="s">
        <v>1415</v>
      </c>
      <c r="G261" s="52" t="s">
        <v>1416</v>
      </c>
      <c r="H261" s="52" t="s">
        <v>1285</v>
      </c>
      <c r="I261" s="52"/>
      <c r="J261" s="52" t="s">
        <v>1417</v>
      </c>
      <c r="K261" s="233" t="str">
        <f>+CONCATENATE(MID(Estructura_Balance[[#This Row],[Nombre Cuenta]],1,3)," - ", ,MID(Estructura_Balance[[#This Row],[Nombre Cuenta]],6,144))</f>
        <v>593 -  Deterioro de valor de participaciones a corto plazo en partes vinculadas</v>
      </c>
      <c r="L261" s="52">
        <v>78</v>
      </c>
      <c r="M261" s="52" t="s">
        <v>1287</v>
      </c>
      <c r="N261" s="150"/>
      <c r="O261" s="150"/>
      <c r="P261" s="150"/>
      <c r="Q261" s="150"/>
      <c r="R261" s="150"/>
      <c r="S261" s="150"/>
      <c r="T261" s="150"/>
      <c r="U261" s="150"/>
    </row>
    <row r="262" spans="1:21" ht="14.25" customHeight="1">
      <c r="A262" s="52" t="s">
        <v>774</v>
      </c>
      <c r="B262" s="52" t="s">
        <v>787</v>
      </c>
      <c r="C262" s="52" t="s">
        <v>795</v>
      </c>
      <c r="D262" s="52" t="s">
        <v>1325</v>
      </c>
      <c r="E262" s="52">
        <v>5940</v>
      </c>
      <c r="F262" s="52" t="s">
        <v>1415</v>
      </c>
      <c r="G262" s="52" t="s">
        <v>1418</v>
      </c>
      <c r="H262" s="52" t="s">
        <v>1285</v>
      </c>
      <c r="I262" s="52"/>
      <c r="J262" s="52" t="s">
        <v>1419</v>
      </c>
      <c r="K262" s="233" t="str">
        <f>+CONCATENATE(MID(Estructura_Balance[[#This Row],[Nombre Cuenta]],1,3)," - ", ,MID(Estructura_Balance[[#This Row],[Nombre Cuenta]],6,144))</f>
        <v>594 -  Deterioro de valor de valores representativos de deuda a corto plazo de partes vinculadas</v>
      </c>
      <c r="L262" s="52">
        <v>95</v>
      </c>
      <c r="M262" s="52" t="s">
        <v>1287</v>
      </c>
      <c r="N262" s="150"/>
      <c r="O262" s="150"/>
      <c r="P262" s="150"/>
      <c r="Q262" s="150"/>
      <c r="R262" s="150"/>
      <c r="S262" s="150"/>
      <c r="T262" s="150"/>
      <c r="U262" s="150"/>
    </row>
    <row r="263" spans="1:21" ht="14.25" customHeight="1">
      <c r="A263" s="52" t="s">
        <v>774</v>
      </c>
      <c r="B263" s="52" t="s">
        <v>787</v>
      </c>
      <c r="C263" s="52" t="s">
        <v>795</v>
      </c>
      <c r="D263" s="52" t="s">
        <v>1325</v>
      </c>
      <c r="E263" s="52">
        <v>5950</v>
      </c>
      <c r="F263" s="52" t="s">
        <v>1415</v>
      </c>
      <c r="G263" s="52" t="s">
        <v>1420</v>
      </c>
      <c r="H263" s="52" t="s">
        <v>1285</v>
      </c>
      <c r="I263" s="52"/>
      <c r="J263" s="52" t="s">
        <v>1421</v>
      </c>
      <c r="K263" s="233" t="str">
        <f>+CONCATENATE(MID(Estructura_Balance[[#This Row],[Nombre Cuenta]],1,3)," - ", ,MID(Estructura_Balance[[#This Row],[Nombre Cuenta]],6,144))</f>
        <v>595 -  Deterioro de valor de créditos a corto plazo a partes vinculadas</v>
      </c>
      <c r="L263" s="52">
        <v>70</v>
      </c>
      <c r="M263" s="52" t="s">
        <v>1287</v>
      </c>
      <c r="N263" s="150"/>
      <c r="O263" s="150"/>
      <c r="P263" s="150"/>
      <c r="Q263" s="150"/>
      <c r="R263" s="150"/>
      <c r="S263" s="150"/>
      <c r="T263" s="150"/>
      <c r="U263" s="150"/>
    </row>
    <row r="264" spans="1:21" ht="14.25" customHeight="1">
      <c r="A264" s="52" t="s">
        <v>774</v>
      </c>
      <c r="B264" s="52" t="s">
        <v>787</v>
      </c>
      <c r="C264" s="52" t="s">
        <v>848</v>
      </c>
      <c r="D264" s="52" t="s">
        <v>1333</v>
      </c>
      <c r="E264" s="52">
        <v>5970</v>
      </c>
      <c r="F264" s="52" t="s">
        <v>1415</v>
      </c>
      <c r="G264" s="52" t="s">
        <v>1422</v>
      </c>
      <c r="H264" s="52" t="s">
        <v>1285</v>
      </c>
      <c r="I264" s="52"/>
      <c r="J264" s="52" t="s">
        <v>1423</v>
      </c>
      <c r="K264" s="233" t="str">
        <f>+CONCATENATE(MID(Estructura_Balance[[#This Row],[Nombre Cuenta]],1,3)," - ", ,MID(Estructura_Balance[[#This Row],[Nombre Cuenta]],6,144))</f>
        <v>597 -  Deterioro de valor de valores representativos de deuda a corto plazo</v>
      </c>
      <c r="L264" s="52">
        <v>74</v>
      </c>
      <c r="M264" s="52" t="s">
        <v>1287</v>
      </c>
      <c r="N264" s="150"/>
      <c r="O264" s="150"/>
      <c r="P264" s="150"/>
      <c r="Q264" s="150"/>
      <c r="R264" s="150"/>
      <c r="S264" s="150"/>
      <c r="T264" s="150"/>
      <c r="U264" s="150"/>
    </row>
    <row r="265" spans="1:21" ht="14.25" customHeight="1">
      <c r="A265" s="52" t="s">
        <v>774</v>
      </c>
      <c r="B265" s="52" t="s">
        <v>787</v>
      </c>
      <c r="C265" s="52" t="s">
        <v>848</v>
      </c>
      <c r="D265" s="52" t="s">
        <v>1333</v>
      </c>
      <c r="E265" s="52">
        <v>5980</v>
      </c>
      <c r="F265" s="52" t="s">
        <v>1415</v>
      </c>
      <c r="G265" s="52" t="s">
        <v>1424</v>
      </c>
      <c r="H265" s="52" t="s">
        <v>1285</v>
      </c>
      <c r="I265" s="52"/>
      <c r="J265" s="52" t="s">
        <v>1425</v>
      </c>
      <c r="K265" s="233" t="str">
        <f>+CONCATENATE(MID(Estructura_Balance[[#This Row],[Nombre Cuenta]],1,3)," - ", ,MID(Estructura_Balance[[#This Row],[Nombre Cuenta]],6,144))</f>
        <v>598 -  Deterioro de valor de créditos a corto plazo</v>
      </c>
      <c r="L265" s="52">
        <v>50</v>
      </c>
      <c r="M265" s="52" t="s">
        <v>1287</v>
      </c>
      <c r="N265" s="150"/>
      <c r="O265" s="150"/>
      <c r="P265" s="150"/>
      <c r="Q265" s="150"/>
      <c r="R265" s="150"/>
      <c r="S265" s="150"/>
      <c r="T265" s="150"/>
      <c r="U265" s="150"/>
    </row>
    <row r="266" spans="1:21" ht="14.25" customHeight="1">
      <c r="A266" s="52" t="s">
        <v>774</v>
      </c>
      <c r="B266" s="52" t="s">
        <v>787</v>
      </c>
      <c r="C266" s="52" t="s">
        <v>789</v>
      </c>
      <c r="D266" s="52" t="s">
        <v>1393</v>
      </c>
      <c r="E266" s="52">
        <v>5990</v>
      </c>
      <c r="F266" s="52" t="s">
        <v>1415</v>
      </c>
      <c r="G266" s="52" t="s">
        <v>1426</v>
      </c>
      <c r="H266" s="52" t="s">
        <v>1285</v>
      </c>
      <c r="I266" s="52"/>
      <c r="J266" s="52" t="s">
        <v>1427</v>
      </c>
      <c r="K266" s="233" t="str">
        <f>+CONCATENATE(MID(Estructura_Balance[[#This Row],[Nombre Cuenta]],1,3)," - ", ,MID(Estructura_Balance[[#This Row],[Nombre Cuenta]],6,144))</f>
        <v>599 -  Deterioro de valor de activos no corrientes mantenidos para la venta</v>
      </c>
      <c r="L266" s="52">
        <v>74</v>
      </c>
      <c r="M266" s="52" t="s">
        <v>1287</v>
      </c>
      <c r="N266" s="150"/>
      <c r="O266" s="150"/>
      <c r="P266" s="150"/>
      <c r="Q266" s="150"/>
      <c r="R266" s="150"/>
      <c r="S266" s="150"/>
      <c r="T266" s="150"/>
      <c r="U266" s="150"/>
    </row>
    <row r="267" spans="1:21" ht="14.25" customHeight="1">
      <c r="A267" s="52" t="s">
        <v>770</v>
      </c>
      <c r="B267" s="52" t="s">
        <v>776</v>
      </c>
      <c r="C267" s="52" t="s">
        <v>790</v>
      </c>
      <c r="D267" s="52" t="s">
        <v>1038</v>
      </c>
      <c r="E267" s="52">
        <v>6000</v>
      </c>
      <c r="F267" s="52" t="str">
        <f>+MID(Estructura_Balance[[#This Row],[CPGC]],1,2)</f>
        <v>60</v>
      </c>
      <c r="G267" s="52" t="str">
        <f>+MID(Estructura_Balance[[#This Row],[CPGC]],1,3)</f>
        <v>600</v>
      </c>
      <c r="H267" s="52" t="str">
        <f>+MID(Estructura_Balance[[#This Row],[Grupo]],1,7)</f>
        <v>Grupo 6</v>
      </c>
      <c r="I267" s="52"/>
      <c r="J267" s="52" t="s">
        <v>1428</v>
      </c>
      <c r="K267" s="233" t="str">
        <f>+CONCATENATE(MID(Estructura_Balance[[#This Row],[Nombre Cuenta]],1,3)," - ", ,MID(Estructura_Balance[[#This Row],[Nombre Cuenta]],6,144))</f>
        <v>600 -  Compras de mercaderías</v>
      </c>
      <c r="L267" s="52" t="e">
        <f>+LEN([1]!Estructura_Balance[[#This Row],[Nombre Cuenta]])</f>
        <v>#REF!</v>
      </c>
      <c r="M267" s="52" t="s">
        <v>1429</v>
      </c>
    </row>
    <row r="268" spans="1:21" ht="14.25" customHeight="1">
      <c r="A268" s="52" t="s">
        <v>770</v>
      </c>
      <c r="B268" s="52" t="s">
        <v>776</v>
      </c>
      <c r="C268" s="52" t="s">
        <v>790</v>
      </c>
      <c r="D268" s="52" t="s">
        <v>1038</v>
      </c>
      <c r="E268" s="52">
        <v>6010</v>
      </c>
      <c r="F268" s="52" t="str">
        <f>+MID(Estructura_Balance[[#This Row],[CPGC]],1,2)</f>
        <v>60</v>
      </c>
      <c r="G268" s="52" t="str">
        <f>+MID(Estructura_Balance[[#This Row],[CPGC]],1,3)</f>
        <v>601</v>
      </c>
      <c r="H268" s="52" t="str">
        <f>+MID(Estructura_Balance[[#This Row],[Grupo]],1,7)</f>
        <v>Grupo 6</v>
      </c>
      <c r="I268" s="52"/>
      <c r="J268" s="52" t="s">
        <v>1430</v>
      </c>
      <c r="K268" s="233" t="str">
        <f>+CONCATENATE(MID(Estructura_Balance[[#This Row],[Nombre Cuenta]],1,3)," - ", ,MID(Estructura_Balance[[#This Row],[Nombre Cuenta]],6,144))</f>
        <v>601 -  Compras de materias primas</v>
      </c>
      <c r="L268" s="52" t="e">
        <f>+LEN([1]!Estructura_Balance[[#This Row],[Nombre Cuenta]])</f>
        <v>#REF!</v>
      </c>
      <c r="M268" s="52" t="s">
        <v>1429</v>
      </c>
    </row>
    <row r="269" spans="1:21" ht="14.25" customHeight="1">
      <c r="A269" s="52" t="s">
        <v>770</v>
      </c>
      <c r="B269" s="52" t="s">
        <v>776</v>
      </c>
      <c r="C269" s="52" t="s">
        <v>790</v>
      </c>
      <c r="D269" s="52" t="s">
        <v>1038</v>
      </c>
      <c r="E269" s="52">
        <v>6020</v>
      </c>
      <c r="F269" s="52" t="s">
        <v>1431</v>
      </c>
      <c r="G269" s="52" t="s">
        <v>1432</v>
      </c>
      <c r="H269" s="52" t="s">
        <v>1433</v>
      </c>
      <c r="I269" s="52"/>
      <c r="J269" s="52" t="s">
        <v>1434</v>
      </c>
      <c r="K269" s="233" t="str">
        <f>+CONCATENATE(MID(Estructura_Balance[[#This Row],[Nombre Cuenta]],1,3)," - ", ,MID(Estructura_Balance[[#This Row],[Nombre Cuenta]],6,144))</f>
        <v>602 -  Compras de otros aprovisionamientos</v>
      </c>
      <c r="L269" s="52">
        <v>41</v>
      </c>
      <c r="M269" s="52" t="s">
        <v>1429</v>
      </c>
    </row>
    <row r="270" spans="1:21" ht="14.25" customHeight="1">
      <c r="A270" s="52" t="s">
        <v>770</v>
      </c>
      <c r="B270" s="52" t="s">
        <v>776</v>
      </c>
      <c r="C270" s="52" t="s">
        <v>790</v>
      </c>
      <c r="D270" s="52" t="s">
        <v>1038</v>
      </c>
      <c r="E270" s="52">
        <v>6060</v>
      </c>
      <c r="F270" s="52" t="s">
        <v>1431</v>
      </c>
      <c r="G270" s="52" t="s">
        <v>1435</v>
      </c>
      <c r="H270" s="52" t="s">
        <v>1433</v>
      </c>
      <c r="I270" s="52"/>
      <c r="J270" s="52" t="s">
        <v>1436</v>
      </c>
      <c r="K270" s="233" t="str">
        <f>+CONCATENATE(MID(Estructura_Balance[[#This Row],[Nombre Cuenta]],1,3)," - ", ,MID(Estructura_Balance[[#This Row],[Nombre Cuenta]],6,144))</f>
        <v>606 -  Descuentos sobre compras por pronto pago de mercaderías</v>
      </c>
      <c r="L270" s="52">
        <v>61</v>
      </c>
      <c r="M270" s="52" t="s">
        <v>1429</v>
      </c>
    </row>
    <row r="271" spans="1:21" ht="14.25" customHeight="1">
      <c r="A271" s="52" t="s">
        <v>770</v>
      </c>
      <c r="B271" s="52" t="s">
        <v>776</v>
      </c>
      <c r="C271" s="52" t="s">
        <v>790</v>
      </c>
      <c r="D271" s="52" t="s">
        <v>1038</v>
      </c>
      <c r="E271" s="52">
        <v>6070</v>
      </c>
      <c r="F271" s="52" t="s">
        <v>1431</v>
      </c>
      <c r="G271" s="52" t="s">
        <v>1437</v>
      </c>
      <c r="H271" s="52" t="s">
        <v>1433</v>
      </c>
      <c r="I271" s="52"/>
      <c r="J271" s="52" t="s">
        <v>1438</v>
      </c>
      <c r="K271" s="233" t="str">
        <f>+CONCATENATE(MID(Estructura_Balance[[#This Row],[Nombre Cuenta]],1,3)," - ", ,MID(Estructura_Balance[[#This Row],[Nombre Cuenta]],6,144))</f>
        <v>607 -  Trabajos realizados por otras empresas</v>
      </c>
      <c r="L271" s="52">
        <v>44</v>
      </c>
      <c r="M271" s="52" t="s">
        <v>1429</v>
      </c>
    </row>
    <row r="272" spans="1:21" ht="14.25" customHeight="1">
      <c r="A272" s="52" t="s">
        <v>770</v>
      </c>
      <c r="B272" s="52" t="s">
        <v>776</v>
      </c>
      <c r="C272" s="52" t="s">
        <v>790</v>
      </c>
      <c r="D272" s="52" t="s">
        <v>1038</v>
      </c>
      <c r="E272" s="52">
        <v>6080</v>
      </c>
      <c r="F272" s="52" t="str">
        <f>+MID(Estructura_Balance[[#This Row],[CPGC]],1,2)</f>
        <v>60</v>
      </c>
      <c r="G272" s="52" t="str">
        <f>+MID(Estructura_Balance[[#This Row],[CPGC]],1,3)</f>
        <v>608</v>
      </c>
      <c r="H272" s="52" t="str">
        <f>+MID(Estructura_Balance[[#This Row],[Grupo]],1,7)</f>
        <v>Grupo 6</v>
      </c>
      <c r="I272" s="52"/>
      <c r="J272" s="52" t="s">
        <v>1439</v>
      </c>
      <c r="K272" s="233" t="str">
        <f>+CONCATENATE(MID(Estructura_Balance[[#This Row],[Nombre Cuenta]],1,3)," - ", ,MID(Estructura_Balance[[#This Row],[Nombre Cuenta]],6,144))</f>
        <v>608 -  Devoluciones de compras y operaciones similares</v>
      </c>
      <c r="L272" s="52" t="e">
        <f>+LEN([1]!Estructura_Balance[[#This Row],[Nombre Cuenta]])</f>
        <v>#REF!</v>
      </c>
      <c r="M272" s="52" t="s">
        <v>1429</v>
      </c>
    </row>
    <row r="273" spans="1:13" ht="14.25" customHeight="1">
      <c r="A273" s="52" t="s">
        <v>770</v>
      </c>
      <c r="B273" s="52" t="s">
        <v>776</v>
      </c>
      <c r="C273" s="52" t="s">
        <v>790</v>
      </c>
      <c r="D273" s="52" t="s">
        <v>1038</v>
      </c>
      <c r="E273" s="52">
        <v>6090</v>
      </c>
      <c r="F273" s="52" t="s">
        <v>1431</v>
      </c>
      <c r="G273" s="52" t="s">
        <v>1440</v>
      </c>
      <c r="H273" s="52" t="s">
        <v>1433</v>
      </c>
      <c r="I273" s="52"/>
      <c r="J273" s="52" t="s">
        <v>1441</v>
      </c>
      <c r="K273" s="233" t="str">
        <f>+CONCATENATE(MID(Estructura_Balance[[#This Row],[Nombre Cuenta]],1,3)," - ", ,MID(Estructura_Balance[[#This Row],[Nombre Cuenta]],6,144))</f>
        <v>609 -  "Rappels" por compras</v>
      </c>
      <c r="L273" s="52">
        <v>40</v>
      </c>
      <c r="M273" s="52" t="s">
        <v>1429</v>
      </c>
    </row>
    <row r="274" spans="1:13" ht="14.25" customHeight="1">
      <c r="A274" s="52" t="s">
        <v>770</v>
      </c>
      <c r="B274" s="52" t="s">
        <v>776</v>
      </c>
      <c r="C274" s="52" t="s">
        <v>790</v>
      </c>
      <c r="D274" s="52" t="s">
        <v>1038</v>
      </c>
      <c r="E274" s="52">
        <v>6100</v>
      </c>
      <c r="F274" s="52" t="str">
        <f>+MID(Estructura_Balance[[#This Row],[CPGC]],1,2)</f>
        <v>61</v>
      </c>
      <c r="G274" s="52" t="str">
        <f>+MID(Estructura_Balance[[#This Row],[CPGC]],1,3)</f>
        <v>610</v>
      </c>
      <c r="H274" s="52" t="str">
        <f>+MID(Estructura_Balance[[#This Row],[Grupo]],1,7)</f>
        <v>Grupo 6</v>
      </c>
      <c r="I274" s="52"/>
      <c r="J274" s="52" t="s">
        <v>1442</v>
      </c>
      <c r="K274" s="233" t="str">
        <f>+CONCATENATE(MID(Estructura_Balance[[#This Row],[Nombre Cuenta]],1,3)," - ", ,MID(Estructura_Balance[[#This Row],[Nombre Cuenta]],6,144))</f>
        <v>610 -  Variación de existencias de mercaderías</v>
      </c>
      <c r="L274" s="52" t="e">
        <f>+LEN([1]!Estructura_Balance[[#This Row],[Nombre Cuenta]])</f>
        <v>#REF!</v>
      </c>
      <c r="M274" s="52" t="s">
        <v>1429</v>
      </c>
    </row>
    <row r="275" spans="1:13" ht="14.25" customHeight="1">
      <c r="A275" s="52" t="s">
        <v>770</v>
      </c>
      <c r="B275" s="52" t="s">
        <v>776</v>
      </c>
      <c r="C275" s="52" t="s">
        <v>790</v>
      </c>
      <c r="D275" s="52" t="s">
        <v>1038</v>
      </c>
      <c r="E275" s="52">
        <v>6110</v>
      </c>
      <c r="F275" s="52" t="str">
        <f>+MID(Estructura_Balance[[#This Row],[CPGC]],1,2)</f>
        <v>61</v>
      </c>
      <c r="G275" s="52" t="str">
        <f>+MID(Estructura_Balance[[#This Row],[CPGC]],1,3)</f>
        <v>611</v>
      </c>
      <c r="H275" s="52" t="str">
        <f>+MID(Estructura_Balance[[#This Row],[Grupo]],1,7)</f>
        <v>Grupo 6</v>
      </c>
      <c r="I275" s="52"/>
      <c r="J275" s="52" t="s">
        <v>1443</v>
      </c>
      <c r="K275" s="233" t="str">
        <f>+CONCATENATE(MID(Estructura_Balance[[#This Row],[Nombre Cuenta]],1,3)," - ", ,MID(Estructura_Balance[[#This Row],[Nombre Cuenta]],6,144))</f>
        <v>611 -  Variación de existencias de materias primas</v>
      </c>
      <c r="L275" s="52" t="e">
        <f>+LEN([1]!Estructura_Balance[[#This Row],[Nombre Cuenta]])</f>
        <v>#REF!</v>
      </c>
      <c r="M275" s="52" t="s">
        <v>1429</v>
      </c>
    </row>
    <row r="276" spans="1:13" ht="14.25" customHeight="1">
      <c r="A276" s="52" t="s">
        <v>770</v>
      </c>
      <c r="B276" s="52" t="s">
        <v>776</v>
      </c>
      <c r="C276" s="52" t="s">
        <v>790</v>
      </c>
      <c r="D276" s="52" t="s">
        <v>1038</v>
      </c>
      <c r="E276" s="52">
        <v>6120</v>
      </c>
      <c r="F276" s="52" t="str">
        <f>+MID(Estructura_Balance[[#This Row],[CPGC]],1,2)</f>
        <v>61</v>
      </c>
      <c r="G276" s="52" t="str">
        <f>+MID(Estructura_Balance[[#This Row],[CPGC]],1,3)</f>
        <v>612</v>
      </c>
      <c r="H276" s="52" t="str">
        <f>+MID(Estructura_Balance[[#This Row],[Grupo]],1,7)</f>
        <v>Grupo 6</v>
      </c>
      <c r="I276" s="52"/>
      <c r="J276" s="52" t="s">
        <v>1444</v>
      </c>
      <c r="K276" s="233" t="str">
        <f>+CONCATENATE(MID(Estructura_Balance[[#This Row],[Nombre Cuenta]],1,3)," - ", ,MID(Estructura_Balance[[#This Row],[Nombre Cuenta]],6,144))</f>
        <v>612 -  Variación de existencias de otros aprovisionamientos</v>
      </c>
      <c r="L276" s="52" t="e">
        <f>+LEN([1]!Estructura_Balance[[#This Row],[Nombre Cuenta]])</f>
        <v>#REF!</v>
      </c>
      <c r="M276" s="52" t="s">
        <v>1429</v>
      </c>
    </row>
    <row r="277" spans="1:13" ht="14.25" customHeight="1">
      <c r="A277" s="52" t="s">
        <v>770</v>
      </c>
      <c r="B277" s="52" t="s">
        <v>776</v>
      </c>
      <c r="C277" s="52" t="s">
        <v>790</v>
      </c>
      <c r="D277" s="52" t="s">
        <v>1038</v>
      </c>
      <c r="E277" s="52">
        <v>6200</v>
      </c>
      <c r="F277" s="52">
        <v>62</v>
      </c>
      <c r="G277" s="52">
        <v>620</v>
      </c>
      <c r="H277" s="52" t="s">
        <v>1433</v>
      </c>
      <c r="I277" s="52"/>
      <c r="J277" s="52" t="s">
        <v>1445</v>
      </c>
      <c r="K277" s="233" t="str">
        <f>+CONCATENATE(MID(Estructura_Balance[[#This Row],[Nombre Cuenta]],1,3)," - ", ,MID(Estructura_Balance[[#This Row],[Nombre Cuenta]],6,144))</f>
        <v>620 -  Gastos en investigación y desarrollo del ejercicio</v>
      </c>
      <c r="L277" s="52" t="e">
        <f>+LEN([1]!Estructura_Balance[[#This Row],[Nombre Cuenta]])</f>
        <v>#REF!</v>
      </c>
      <c r="M277" s="52" t="s">
        <v>1429</v>
      </c>
    </row>
    <row r="278" spans="1:13" ht="14.25" customHeight="1">
      <c r="A278" s="52" t="s">
        <v>770</v>
      </c>
      <c r="B278" s="52" t="s">
        <v>776</v>
      </c>
      <c r="C278" s="52" t="s">
        <v>790</v>
      </c>
      <c r="D278" s="52" t="s">
        <v>1038</v>
      </c>
      <c r="E278" s="52">
        <v>6210</v>
      </c>
      <c r="F278" s="52" t="str">
        <f>+MID(Estructura_Balance[[#This Row],[CPGC]],1,2)</f>
        <v>62</v>
      </c>
      <c r="G278" s="52" t="str">
        <f>+MID(Estructura_Balance[[#This Row],[CPGC]],1,3)</f>
        <v>621</v>
      </c>
      <c r="H278" s="52" t="str">
        <f>+MID(Estructura_Balance[[#This Row],[Grupo]],1,7)</f>
        <v>Grupo 6</v>
      </c>
      <c r="I278" s="52"/>
      <c r="J278" s="52" t="s">
        <v>1446</v>
      </c>
      <c r="K278" s="233" t="str">
        <f>+CONCATENATE(MID(Estructura_Balance[[#This Row],[Nombre Cuenta]],1,3)," - ", ,MID(Estructura_Balance[[#This Row],[Nombre Cuenta]],6,144))</f>
        <v>621 -  Arrendamientos y cánones</v>
      </c>
      <c r="L278" s="52" t="e">
        <f>+LEN([1]!Estructura_Balance[[#This Row],[Nombre Cuenta]])</f>
        <v>#REF!</v>
      </c>
      <c r="M278" s="52" t="s">
        <v>1429</v>
      </c>
    </row>
    <row r="279" spans="1:13" ht="14.25" customHeight="1">
      <c r="A279" s="52" t="s">
        <v>770</v>
      </c>
      <c r="B279" s="52" t="s">
        <v>776</v>
      </c>
      <c r="C279" s="52" t="s">
        <v>790</v>
      </c>
      <c r="D279" s="52" t="s">
        <v>1038</v>
      </c>
      <c r="E279" s="52">
        <v>6220</v>
      </c>
      <c r="F279" s="52" t="s">
        <v>1447</v>
      </c>
      <c r="G279" s="52" t="s">
        <v>1448</v>
      </c>
      <c r="H279" s="52" t="s">
        <v>1433</v>
      </c>
      <c r="I279" s="52"/>
      <c r="J279" s="52" t="s">
        <v>1449</v>
      </c>
      <c r="K279" s="233" t="str">
        <f>+CONCATENATE(MID(Estructura_Balance[[#This Row],[Nombre Cuenta]],1,3)," - ", ,MID(Estructura_Balance[[#This Row],[Nombre Cuenta]],6,144))</f>
        <v>622 -  Reparaciones y conservación</v>
      </c>
      <c r="L279" s="52">
        <v>33</v>
      </c>
      <c r="M279" s="52" t="s">
        <v>1429</v>
      </c>
    </row>
    <row r="280" spans="1:13" ht="14.25" customHeight="1">
      <c r="A280" s="52" t="s">
        <v>770</v>
      </c>
      <c r="B280" s="52" t="s">
        <v>776</v>
      </c>
      <c r="C280" s="52" t="s">
        <v>790</v>
      </c>
      <c r="D280" s="52" t="s">
        <v>1038</v>
      </c>
      <c r="E280" s="52">
        <v>6230</v>
      </c>
      <c r="F280" s="52" t="s">
        <v>1447</v>
      </c>
      <c r="G280" s="52" t="s">
        <v>1450</v>
      </c>
      <c r="H280" s="52" t="s">
        <v>1433</v>
      </c>
      <c r="I280" s="52"/>
      <c r="J280" s="52" t="s">
        <v>1451</v>
      </c>
      <c r="K280" s="233" t="str">
        <f>+CONCATENATE(MID(Estructura_Balance[[#This Row],[Nombre Cuenta]],1,3)," - ", ,MID(Estructura_Balance[[#This Row],[Nombre Cuenta]],6,144))</f>
        <v>623 -  Servicios de profesionales independientes</v>
      </c>
      <c r="L280" s="52">
        <v>47</v>
      </c>
      <c r="M280" s="52" t="s">
        <v>1429</v>
      </c>
    </row>
    <row r="281" spans="1:13" ht="14.25" customHeight="1">
      <c r="A281" s="52" t="s">
        <v>770</v>
      </c>
      <c r="B281" s="52" t="s">
        <v>776</v>
      </c>
      <c r="C281" s="52" t="s">
        <v>790</v>
      </c>
      <c r="D281" s="52" t="s">
        <v>1038</v>
      </c>
      <c r="E281" s="52">
        <v>6240</v>
      </c>
      <c r="F281" s="52" t="s">
        <v>1447</v>
      </c>
      <c r="G281" s="52" t="s">
        <v>1452</v>
      </c>
      <c r="H281" s="52" t="s">
        <v>1433</v>
      </c>
      <c r="I281" s="52"/>
      <c r="J281" s="52" t="s">
        <v>1453</v>
      </c>
      <c r="K281" s="233" t="str">
        <f>+CONCATENATE(MID(Estructura_Balance[[#This Row],[Nombre Cuenta]],1,3)," - ", ,MID(Estructura_Balance[[#This Row],[Nombre Cuenta]],6,144))</f>
        <v>624 -  Transportes</v>
      </c>
      <c r="L281" s="52">
        <v>17</v>
      </c>
      <c r="M281" s="52" t="s">
        <v>1429</v>
      </c>
    </row>
    <row r="282" spans="1:13" ht="14.25" customHeight="1">
      <c r="A282" s="52" t="s">
        <v>770</v>
      </c>
      <c r="B282" s="52" t="s">
        <v>776</v>
      </c>
      <c r="C282" s="52" t="s">
        <v>790</v>
      </c>
      <c r="D282" s="52" t="s">
        <v>1038</v>
      </c>
      <c r="E282" s="52">
        <v>6250</v>
      </c>
      <c r="F282" s="52" t="s">
        <v>1447</v>
      </c>
      <c r="G282" s="52" t="s">
        <v>1454</v>
      </c>
      <c r="H282" s="52" t="s">
        <v>1433</v>
      </c>
      <c r="I282" s="52"/>
      <c r="J282" s="52" t="s">
        <v>1455</v>
      </c>
      <c r="K282" s="233" t="str">
        <f>+CONCATENATE(MID(Estructura_Balance[[#This Row],[Nombre Cuenta]],1,3)," - ", ,MID(Estructura_Balance[[#This Row],[Nombre Cuenta]],6,144))</f>
        <v>625 -  Primas de seguros</v>
      </c>
      <c r="L282" s="52">
        <v>23</v>
      </c>
      <c r="M282" s="52" t="s">
        <v>1429</v>
      </c>
    </row>
    <row r="283" spans="1:13" ht="14.25" customHeight="1">
      <c r="A283" s="52" t="s">
        <v>770</v>
      </c>
      <c r="B283" s="52" t="s">
        <v>776</v>
      </c>
      <c r="C283" s="52" t="s">
        <v>790</v>
      </c>
      <c r="D283" s="52" t="s">
        <v>1038</v>
      </c>
      <c r="E283" s="52">
        <v>6260</v>
      </c>
      <c r="F283" s="52" t="s">
        <v>1447</v>
      </c>
      <c r="G283" s="52" t="s">
        <v>1456</v>
      </c>
      <c r="H283" s="52" t="s">
        <v>1433</v>
      </c>
      <c r="I283" s="52"/>
      <c r="J283" s="52" t="s">
        <v>1457</v>
      </c>
      <c r="K283" s="233" t="str">
        <f>+CONCATENATE(MID(Estructura_Balance[[#This Row],[Nombre Cuenta]],1,3)," - ", ,MID(Estructura_Balance[[#This Row],[Nombre Cuenta]],6,144))</f>
        <v>626 -  Servicios bancarios y similares</v>
      </c>
      <c r="L283" s="52">
        <v>37</v>
      </c>
      <c r="M283" s="52" t="s">
        <v>1429</v>
      </c>
    </row>
    <row r="284" spans="1:13" ht="14.25" customHeight="1">
      <c r="A284" s="52" t="s">
        <v>770</v>
      </c>
      <c r="B284" s="52" t="s">
        <v>776</v>
      </c>
      <c r="C284" s="52" t="s">
        <v>790</v>
      </c>
      <c r="D284" s="52" t="s">
        <v>1038</v>
      </c>
      <c r="E284" s="52">
        <v>6270</v>
      </c>
      <c r="F284" s="52" t="s">
        <v>1447</v>
      </c>
      <c r="G284" s="52" t="s">
        <v>1458</v>
      </c>
      <c r="H284" s="52" t="s">
        <v>1433</v>
      </c>
      <c r="I284" s="52"/>
      <c r="J284" s="52" t="s">
        <v>1459</v>
      </c>
      <c r="K284" s="233" t="str">
        <f>+CONCATENATE(MID(Estructura_Balance[[#This Row],[Nombre Cuenta]],1,3)," - ", ,MID(Estructura_Balance[[#This Row],[Nombre Cuenta]],6,144))</f>
        <v>627 -  Publicidad, propaganda y relaciones públicas</v>
      </c>
      <c r="L284" s="52">
        <v>50</v>
      </c>
      <c r="M284" s="52" t="s">
        <v>1429</v>
      </c>
    </row>
    <row r="285" spans="1:13" ht="14.25" customHeight="1">
      <c r="A285" s="52" t="s">
        <v>770</v>
      </c>
      <c r="B285" s="52" t="s">
        <v>776</v>
      </c>
      <c r="C285" s="52" t="s">
        <v>790</v>
      </c>
      <c r="D285" s="52" t="s">
        <v>1038</v>
      </c>
      <c r="E285" s="52">
        <v>6280</v>
      </c>
      <c r="F285" s="52" t="s">
        <v>1447</v>
      </c>
      <c r="G285" s="52" t="s">
        <v>1460</v>
      </c>
      <c r="H285" s="52" t="s">
        <v>1433</v>
      </c>
      <c r="I285" s="52"/>
      <c r="J285" s="52" t="s">
        <v>1461</v>
      </c>
      <c r="K285" s="233" t="str">
        <f>+CONCATENATE(MID(Estructura_Balance[[#This Row],[Nombre Cuenta]],1,3)," - ", ,MID(Estructura_Balance[[#This Row],[Nombre Cuenta]],6,144))</f>
        <v>628 -  Suministros</v>
      </c>
      <c r="L285" s="52">
        <v>17</v>
      </c>
      <c r="M285" s="52" t="s">
        <v>1429</v>
      </c>
    </row>
    <row r="286" spans="1:13" ht="14.25" customHeight="1">
      <c r="A286" s="52" t="s">
        <v>770</v>
      </c>
      <c r="B286" s="52" t="s">
        <v>776</v>
      </c>
      <c r="C286" s="52" t="s">
        <v>790</v>
      </c>
      <c r="D286" s="52" t="s">
        <v>1038</v>
      </c>
      <c r="E286" s="52">
        <v>6290</v>
      </c>
      <c r="F286" s="52" t="s">
        <v>1447</v>
      </c>
      <c r="G286" s="52" t="s">
        <v>1462</v>
      </c>
      <c r="H286" s="52" t="s">
        <v>1433</v>
      </c>
      <c r="I286" s="52"/>
      <c r="J286" s="52" t="s">
        <v>1463</v>
      </c>
      <c r="K286" s="233" t="str">
        <f>+CONCATENATE(MID(Estructura_Balance[[#This Row],[Nombre Cuenta]],1,3)," - ", ,MID(Estructura_Balance[[#This Row],[Nombre Cuenta]],6,144))</f>
        <v>629 -  Otros servicios</v>
      </c>
      <c r="L286" s="52">
        <v>21</v>
      </c>
      <c r="M286" s="52" t="s">
        <v>1429</v>
      </c>
    </row>
    <row r="287" spans="1:13" ht="14.25" customHeight="1">
      <c r="A287" s="234" t="s">
        <v>770</v>
      </c>
      <c r="B287" s="235" t="s">
        <v>776</v>
      </c>
      <c r="C287" s="235" t="s">
        <v>790</v>
      </c>
      <c r="D287" s="235" t="s">
        <v>1038</v>
      </c>
      <c r="E287" s="235">
        <v>6300</v>
      </c>
      <c r="F287" s="235" t="str">
        <f>+MID(Estructura_Balance[[#This Row],[CPGC]],1,2)</f>
        <v>63</v>
      </c>
      <c r="G287" s="235" t="str">
        <f>+MID(Estructura_Balance[[#This Row],[CPGC]],1,3)</f>
        <v>630</v>
      </c>
      <c r="H287" s="235" t="str">
        <f>+MID(Estructura_Balance[[#This Row],[Grupo]],1,7)</f>
        <v>Grupo 6</v>
      </c>
      <c r="I287" s="235"/>
      <c r="J287" s="235" t="s">
        <v>1464</v>
      </c>
      <c r="K287" s="233" t="str">
        <f>+CONCATENATE(MID(Estructura_Balance[[#This Row],[Nombre Cuenta]],1,3)," - ", ,MID(Estructura_Balance[[#This Row],[Nombre Cuenta]],6,144))</f>
        <v>630 -  Impuesto sobre beneficios</v>
      </c>
      <c r="L287" s="52" t="e">
        <f>+LEN([1]!Estructura_Balance[[#This Row],[Nombre Cuenta]])</f>
        <v>#REF!</v>
      </c>
      <c r="M287" s="52" t="s">
        <v>1429</v>
      </c>
    </row>
    <row r="288" spans="1:13" ht="14.25" customHeight="1">
      <c r="A288" s="52" t="s">
        <v>770</v>
      </c>
      <c r="B288" s="235" t="s">
        <v>776</v>
      </c>
      <c r="C288" s="235" t="s">
        <v>790</v>
      </c>
      <c r="D288" s="235" t="s">
        <v>1038</v>
      </c>
      <c r="E288" s="235">
        <v>6310</v>
      </c>
      <c r="F288" s="235" t="s">
        <v>1465</v>
      </c>
      <c r="G288" s="235" t="s">
        <v>1466</v>
      </c>
      <c r="H288" s="235" t="s">
        <v>1433</v>
      </c>
      <c r="I288" s="235"/>
      <c r="J288" s="235" t="s">
        <v>1467</v>
      </c>
      <c r="K288" s="233" t="str">
        <f>+CONCATENATE(MID(Estructura_Balance[[#This Row],[Nombre Cuenta]],1,3)," - ", ,MID(Estructura_Balance[[#This Row],[Nombre Cuenta]],6,144))</f>
        <v>631 -  Otros tributos</v>
      </c>
      <c r="L288" s="52">
        <v>20</v>
      </c>
      <c r="M288" s="52" t="s">
        <v>1429</v>
      </c>
    </row>
    <row r="289" spans="1:13" ht="14.25" customHeight="1">
      <c r="A289" s="52" t="s">
        <v>770</v>
      </c>
      <c r="B289" s="235" t="s">
        <v>776</v>
      </c>
      <c r="C289" s="235" t="s">
        <v>790</v>
      </c>
      <c r="D289" s="235" t="s">
        <v>1038</v>
      </c>
      <c r="E289" s="235">
        <v>6330</v>
      </c>
      <c r="F289" s="235" t="s">
        <v>1465</v>
      </c>
      <c r="G289" s="235" t="s">
        <v>1468</v>
      </c>
      <c r="H289" s="235" t="s">
        <v>1433</v>
      </c>
      <c r="I289" s="235"/>
      <c r="J289" s="235" t="s">
        <v>1469</v>
      </c>
      <c r="K289" s="233" t="str">
        <f>+CONCATENATE(MID(Estructura_Balance[[#This Row],[Nombre Cuenta]],1,3)," - ", ,MID(Estructura_Balance[[#This Row],[Nombre Cuenta]],6,144))</f>
        <v>633 -  Ajustes negativos en la imposición sobre beneficios</v>
      </c>
      <c r="L289" s="52">
        <v>57</v>
      </c>
      <c r="M289" s="52" t="s">
        <v>1429</v>
      </c>
    </row>
    <row r="290" spans="1:13" ht="14.25" customHeight="1">
      <c r="A290" s="52" t="s">
        <v>770</v>
      </c>
      <c r="B290" s="235" t="s">
        <v>776</v>
      </c>
      <c r="C290" s="235" t="s">
        <v>790</v>
      </c>
      <c r="D290" s="235" t="s">
        <v>1038</v>
      </c>
      <c r="E290" s="235">
        <v>6340</v>
      </c>
      <c r="F290" s="235" t="s">
        <v>1465</v>
      </c>
      <c r="G290" s="235" t="s">
        <v>1470</v>
      </c>
      <c r="H290" s="235" t="s">
        <v>1433</v>
      </c>
      <c r="I290" s="235"/>
      <c r="J290" s="235" t="s">
        <v>1471</v>
      </c>
      <c r="K290" s="233" t="str">
        <f>+CONCATENATE(MID(Estructura_Balance[[#This Row],[Nombre Cuenta]],1,3)," - ", ,MID(Estructura_Balance[[#This Row],[Nombre Cuenta]],6,144))</f>
        <v>634 -  Ajustes negativos en la imposición indirecta</v>
      </c>
      <c r="L290" s="52">
        <v>50</v>
      </c>
      <c r="M290" s="52" t="s">
        <v>1429</v>
      </c>
    </row>
    <row r="291" spans="1:13" ht="14.25" customHeight="1">
      <c r="A291" s="52" t="s">
        <v>770</v>
      </c>
      <c r="B291" s="235" t="s">
        <v>776</v>
      </c>
      <c r="C291" s="235" t="s">
        <v>790</v>
      </c>
      <c r="D291" s="235" t="s">
        <v>1038</v>
      </c>
      <c r="E291" s="235">
        <v>6360</v>
      </c>
      <c r="F291" s="235" t="s">
        <v>1465</v>
      </c>
      <c r="G291" s="235" t="s">
        <v>1472</v>
      </c>
      <c r="H291" s="235" t="s">
        <v>1433</v>
      </c>
      <c r="I291" s="235"/>
      <c r="J291" s="235" t="s">
        <v>1473</v>
      </c>
      <c r="K291" s="233" t="str">
        <f>+CONCATENATE(MID(Estructura_Balance[[#This Row],[Nombre Cuenta]],1,3)," - ", ,MID(Estructura_Balance[[#This Row],[Nombre Cuenta]],6,144))</f>
        <v>636 -  Devolución de impuestos</v>
      </c>
      <c r="L291" s="52">
        <v>29</v>
      </c>
      <c r="M291" s="52" t="s">
        <v>1429</v>
      </c>
    </row>
    <row r="292" spans="1:13" ht="14.25" customHeight="1">
      <c r="A292" s="52" t="s">
        <v>770</v>
      </c>
      <c r="B292" s="235" t="s">
        <v>776</v>
      </c>
      <c r="C292" s="235" t="s">
        <v>790</v>
      </c>
      <c r="D292" s="235" t="s">
        <v>1038</v>
      </c>
      <c r="E292" s="235">
        <v>6380</v>
      </c>
      <c r="F292" s="235" t="s">
        <v>1465</v>
      </c>
      <c r="G292" s="235" t="s">
        <v>1474</v>
      </c>
      <c r="H292" s="235" t="s">
        <v>1433</v>
      </c>
      <c r="I292" s="235"/>
      <c r="J292" s="235" t="s">
        <v>1475</v>
      </c>
      <c r="K292" s="233" t="str">
        <f>+CONCATENATE(MID(Estructura_Balance[[#This Row],[Nombre Cuenta]],1,3)," - ", ,MID(Estructura_Balance[[#This Row],[Nombre Cuenta]],6,144))</f>
        <v>638 -  Ajustes positivos en la imposición sobre beneficios</v>
      </c>
      <c r="L292" s="52">
        <v>57</v>
      </c>
      <c r="M292" s="52" t="s">
        <v>1429</v>
      </c>
    </row>
    <row r="293" spans="1:13" ht="14.25" customHeight="1">
      <c r="A293" s="52" t="s">
        <v>770</v>
      </c>
      <c r="B293" s="235" t="s">
        <v>776</v>
      </c>
      <c r="C293" s="235" t="s">
        <v>790</v>
      </c>
      <c r="D293" s="235" t="s">
        <v>1038</v>
      </c>
      <c r="E293" s="235">
        <v>6390</v>
      </c>
      <c r="F293" s="235" t="s">
        <v>1465</v>
      </c>
      <c r="G293" s="235" t="s">
        <v>1476</v>
      </c>
      <c r="H293" s="235" t="s">
        <v>1433</v>
      </c>
      <c r="I293" s="235"/>
      <c r="J293" s="235" t="s">
        <v>1477</v>
      </c>
      <c r="K293" s="233" t="str">
        <f>+CONCATENATE(MID(Estructura_Balance[[#This Row],[Nombre Cuenta]],1,3)," - ", ,MID(Estructura_Balance[[#This Row],[Nombre Cuenta]],6,144))</f>
        <v>639 -  Ajustes positivos en la imposición indirecta</v>
      </c>
      <c r="L293" s="52">
        <v>50</v>
      </c>
      <c r="M293" s="52" t="s">
        <v>1429</v>
      </c>
    </row>
    <row r="294" spans="1:13" ht="14.25" customHeight="1">
      <c r="A294" s="234" t="s">
        <v>770</v>
      </c>
      <c r="B294" s="235" t="s">
        <v>776</v>
      </c>
      <c r="C294" s="235" t="s">
        <v>790</v>
      </c>
      <c r="D294" s="235" t="s">
        <v>1038</v>
      </c>
      <c r="E294" s="235">
        <v>6400</v>
      </c>
      <c r="F294" s="235" t="str">
        <f>+MID(Estructura_Balance[[#This Row],[CPGC]],1,2)</f>
        <v>64</v>
      </c>
      <c r="G294" s="235" t="str">
        <f>+MID(Estructura_Balance[[#This Row],[CPGC]],1,3)</f>
        <v>640</v>
      </c>
      <c r="H294" s="235" t="str">
        <f>+MID(Estructura_Balance[[#This Row],[Grupo]],1,7)</f>
        <v>Grupo 6</v>
      </c>
      <c r="I294" s="235"/>
      <c r="J294" s="235" t="s">
        <v>1478</v>
      </c>
      <c r="K294" s="233" t="str">
        <f>+CONCATENATE(MID(Estructura_Balance[[#This Row],[Nombre Cuenta]],1,3)," - ", ,MID(Estructura_Balance[[#This Row],[Nombre Cuenta]],6,144))</f>
        <v>640 -  Sueldos y salarios</v>
      </c>
      <c r="L294" s="52" t="e">
        <f>+LEN([1]!Estructura_Balance[[#This Row],[Nombre Cuenta]])</f>
        <v>#REF!</v>
      </c>
      <c r="M294" s="52" t="s">
        <v>1429</v>
      </c>
    </row>
    <row r="295" spans="1:13" ht="14.25" customHeight="1">
      <c r="A295" s="234" t="s">
        <v>770</v>
      </c>
      <c r="B295" s="235" t="s">
        <v>776</v>
      </c>
      <c r="C295" s="235" t="s">
        <v>790</v>
      </c>
      <c r="D295" s="235" t="s">
        <v>1038</v>
      </c>
      <c r="E295" s="235">
        <v>6410</v>
      </c>
      <c r="F295" s="235" t="str">
        <f>+MID(Estructura_Balance[[#This Row],[CPGC]],1,2)</f>
        <v>64</v>
      </c>
      <c r="G295" s="235" t="str">
        <f>+MID(Estructura_Balance[[#This Row],[CPGC]],1,3)</f>
        <v>641</v>
      </c>
      <c r="H295" s="235" t="str">
        <f>+MID(Estructura_Balance[[#This Row],[Grupo]],1,7)</f>
        <v>Grupo 6</v>
      </c>
      <c r="I295" s="235"/>
      <c r="J295" s="235" t="s">
        <v>1479</v>
      </c>
      <c r="K295" s="233" t="str">
        <f>+CONCATENATE(MID(Estructura_Balance[[#This Row],[Nombre Cuenta]],1,3)," - ", ,MID(Estructura_Balance[[#This Row],[Nombre Cuenta]],6,144))</f>
        <v>641 -  Indemnizaciones</v>
      </c>
      <c r="L295" s="52" t="e">
        <f>+LEN([1]!Estructura_Balance[[#This Row],[Nombre Cuenta]])</f>
        <v>#REF!</v>
      </c>
      <c r="M295" s="52" t="s">
        <v>1429</v>
      </c>
    </row>
    <row r="296" spans="1:13" ht="14.25" customHeight="1">
      <c r="A296" s="234" t="s">
        <v>770</v>
      </c>
      <c r="B296" s="235" t="s">
        <v>776</v>
      </c>
      <c r="C296" s="235" t="s">
        <v>790</v>
      </c>
      <c r="D296" s="235" t="s">
        <v>1038</v>
      </c>
      <c r="E296" s="235">
        <v>6420</v>
      </c>
      <c r="F296" s="235" t="str">
        <f>+MID(Estructura_Balance[[#This Row],[CPGC]],1,2)</f>
        <v>64</v>
      </c>
      <c r="G296" s="235" t="str">
        <f>+MID(Estructura_Balance[[#This Row],[CPGC]],1,3)</f>
        <v>642</v>
      </c>
      <c r="H296" s="235" t="str">
        <f>+MID(Estructura_Balance[[#This Row],[Grupo]],1,7)</f>
        <v>Grupo 6</v>
      </c>
      <c r="I296" s="235"/>
      <c r="J296" s="235" t="s">
        <v>1480</v>
      </c>
      <c r="K296" s="233" t="str">
        <f>+CONCATENATE(MID(Estructura_Balance[[#This Row],[Nombre Cuenta]],1,3)," - ", ,MID(Estructura_Balance[[#This Row],[Nombre Cuenta]],6,144))</f>
        <v>642 -  Seguridad social a cargo de la empresa</v>
      </c>
      <c r="L296" s="52" t="e">
        <f>+LEN([1]!Estructura_Balance[[#This Row],[Nombre Cuenta]])</f>
        <v>#REF!</v>
      </c>
      <c r="M296" s="52" t="s">
        <v>1429</v>
      </c>
    </row>
    <row r="297" spans="1:13" ht="14.25" customHeight="1">
      <c r="A297" s="52" t="s">
        <v>770</v>
      </c>
      <c r="B297" s="235" t="s">
        <v>776</v>
      </c>
      <c r="C297" s="235" t="s">
        <v>790</v>
      </c>
      <c r="D297" s="235" t="s">
        <v>1038</v>
      </c>
      <c r="E297" s="235">
        <v>6430</v>
      </c>
      <c r="F297" s="235" t="s">
        <v>1481</v>
      </c>
      <c r="G297" s="235" t="s">
        <v>1482</v>
      </c>
      <c r="H297" s="235" t="s">
        <v>1433</v>
      </c>
      <c r="I297" s="235"/>
      <c r="J297" s="235" t="s">
        <v>1483</v>
      </c>
      <c r="K297" s="233" t="str">
        <f>+CONCATENATE(MID(Estructura_Balance[[#This Row],[Nombre Cuenta]],1,3)," - ", ,MID(Estructura_Balance[[#This Row],[Nombre Cuenta]],6,144))</f>
        <v>643 -  Retribuciones a largo plazo mediante sistemas de aportación definida</v>
      </c>
      <c r="L297" s="52">
        <v>74</v>
      </c>
      <c r="M297" s="52" t="s">
        <v>1429</v>
      </c>
    </row>
    <row r="298" spans="1:13" ht="14.25" customHeight="1">
      <c r="A298" s="52" t="s">
        <v>770</v>
      </c>
      <c r="B298" s="235" t="s">
        <v>776</v>
      </c>
      <c r="C298" s="235" t="s">
        <v>790</v>
      </c>
      <c r="D298" s="235" t="s">
        <v>1038</v>
      </c>
      <c r="E298" s="235">
        <v>6440</v>
      </c>
      <c r="F298" s="235" t="s">
        <v>1481</v>
      </c>
      <c r="G298" s="235" t="s">
        <v>1484</v>
      </c>
      <c r="H298" s="235" t="s">
        <v>1433</v>
      </c>
      <c r="I298" s="235"/>
      <c r="J298" s="235" t="s">
        <v>1485</v>
      </c>
      <c r="K298" s="233" t="str">
        <f>+CONCATENATE(MID(Estructura_Balance[[#This Row],[Nombre Cuenta]],1,3)," - ", ,MID(Estructura_Balance[[#This Row],[Nombre Cuenta]],6,144))</f>
        <v>644 -  Retribuciones a largo plazo mediante sistemas de prestación definida</v>
      </c>
      <c r="L298" s="52">
        <v>98</v>
      </c>
      <c r="M298" s="52" t="s">
        <v>1429</v>
      </c>
    </row>
    <row r="299" spans="1:13" ht="14.25" customHeight="1">
      <c r="A299" s="52" t="s">
        <v>770</v>
      </c>
      <c r="B299" s="235" t="s">
        <v>776</v>
      </c>
      <c r="C299" s="235" t="s">
        <v>790</v>
      </c>
      <c r="D299" s="235" t="s">
        <v>1038</v>
      </c>
      <c r="E299" s="235">
        <v>6450</v>
      </c>
      <c r="F299" s="235" t="s">
        <v>1481</v>
      </c>
      <c r="G299" s="235" t="s">
        <v>1486</v>
      </c>
      <c r="H299" s="235" t="s">
        <v>1433</v>
      </c>
      <c r="I299" s="235"/>
      <c r="J299" s="235" t="s">
        <v>1487</v>
      </c>
      <c r="K299" s="233" t="str">
        <f>+CONCATENATE(MID(Estructura_Balance[[#This Row],[Nombre Cuenta]],1,3)," - ", ,MID(Estructura_Balance[[#This Row],[Nombre Cuenta]],6,144))</f>
        <v>645 -  Retribuciones al personal liquidados con instrumentos de patrimonio</v>
      </c>
      <c r="L299" s="52">
        <v>73</v>
      </c>
      <c r="M299" s="52" t="s">
        <v>1429</v>
      </c>
    </row>
    <row r="300" spans="1:13" ht="14.25" customHeight="1">
      <c r="A300" s="52" t="s">
        <v>770</v>
      </c>
      <c r="B300" s="235" t="s">
        <v>776</v>
      </c>
      <c r="C300" s="235" t="s">
        <v>790</v>
      </c>
      <c r="D300" s="235" t="s">
        <v>1038</v>
      </c>
      <c r="E300" s="235">
        <v>6490</v>
      </c>
      <c r="F300" s="235" t="s">
        <v>1481</v>
      </c>
      <c r="G300" s="235" t="s">
        <v>1488</v>
      </c>
      <c r="H300" s="235" t="s">
        <v>1433</v>
      </c>
      <c r="I300" s="235"/>
      <c r="J300" s="235" t="s">
        <v>1489</v>
      </c>
      <c r="K300" s="233" t="str">
        <f>+CONCATENATE(MID(Estructura_Balance[[#This Row],[Nombre Cuenta]],1,3)," - ", ,MID(Estructura_Balance[[#This Row],[Nombre Cuenta]],6,144))</f>
        <v>649 -  Otros gastos sociales</v>
      </c>
      <c r="L300" s="52">
        <v>27</v>
      </c>
      <c r="M300" s="52" t="s">
        <v>1429</v>
      </c>
    </row>
    <row r="301" spans="1:13" ht="14.25" customHeight="1">
      <c r="A301" s="52" t="s">
        <v>770</v>
      </c>
      <c r="B301" s="235" t="s">
        <v>776</v>
      </c>
      <c r="C301" s="235" t="s">
        <v>790</v>
      </c>
      <c r="D301" s="235" t="s">
        <v>1038</v>
      </c>
      <c r="E301" s="235">
        <v>6500</v>
      </c>
      <c r="F301" s="235" t="s">
        <v>1490</v>
      </c>
      <c r="G301" s="235" t="s">
        <v>1491</v>
      </c>
      <c r="H301" s="235" t="s">
        <v>1433</v>
      </c>
      <c r="I301" s="235"/>
      <c r="J301" s="235" t="s">
        <v>1492</v>
      </c>
      <c r="K301" s="233" t="str">
        <f>+CONCATENATE(MID(Estructura_Balance[[#This Row],[Nombre Cuenta]],1,3)," - ", ,MID(Estructura_Balance[[#This Row],[Nombre Cuenta]],6,144))</f>
        <v>650 -  Pérdidas de créditos comerciales incobrables</v>
      </c>
      <c r="L301" s="52">
        <v>50</v>
      </c>
      <c r="M301" s="52" t="s">
        <v>1429</v>
      </c>
    </row>
    <row r="302" spans="1:13" ht="14.25" customHeight="1">
      <c r="A302" s="52" t="s">
        <v>770</v>
      </c>
      <c r="B302" s="235" t="s">
        <v>776</v>
      </c>
      <c r="C302" s="235" t="s">
        <v>790</v>
      </c>
      <c r="D302" s="235" t="s">
        <v>1038</v>
      </c>
      <c r="E302" s="235">
        <v>6510</v>
      </c>
      <c r="F302" s="235" t="s">
        <v>1490</v>
      </c>
      <c r="G302" s="235" t="s">
        <v>1493</v>
      </c>
      <c r="H302" s="235" t="s">
        <v>1433</v>
      </c>
      <c r="I302" s="235"/>
      <c r="J302" s="235" t="s">
        <v>1494</v>
      </c>
      <c r="K302" s="233" t="str">
        <f>+CONCATENATE(MID(Estructura_Balance[[#This Row],[Nombre Cuenta]],1,3)," - ", ,MID(Estructura_Balance[[#This Row],[Nombre Cuenta]],6,144))</f>
        <v>651 -  Resultados de operaciones en común</v>
      </c>
      <c r="L302" s="52">
        <v>72</v>
      </c>
      <c r="M302" s="52" t="s">
        <v>1429</v>
      </c>
    </row>
    <row r="303" spans="1:13" ht="14.25" customHeight="1">
      <c r="A303" s="52" t="s">
        <v>770</v>
      </c>
      <c r="B303" s="235" t="s">
        <v>776</v>
      </c>
      <c r="C303" s="235" t="s">
        <v>790</v>
      </c>
      <c r="D303" s="235" t="s">
        <v>1038</v>
      </c>
      <c r="E303" s="235">
        <v>6590</v>
      </c>
      <c r="F303" s="235" t="s">
        <v>1490</v>
      </c>
      <c r="G303" s="235" t="s">
        <v>1495</v>
      </c>
      <c r="H303" s="235" t="s">
        <v>1433</v>
      </c>
      <c r="I303" s="235"/>
      <c r="J303" s="235" t="s">
        <v>1496</v>
      </c>
      <c r="K303" s="233" t="str">
        <f>+CONCATENATE(MID(Estructura_Balance[[#This Row],[Nombre Cuenta]],1,3)," - ", ,MID(Estructura_Balance[[#This Row],[Nombre Cuenta]],6,144))</f>
        <v>659 -  Otras pérdidas en gestión corriente</v>
      </c>
      <c r="L303" s="52">
        <v>41</v>
      </c>
      <c r="M303" s="52" t="s">
        <v>1429</v>
      </c>
    </row>
    <row r="304" spans="1:13" ht="14.25" customHeight="1">
      <c r="A304" s="234" t="s">
        <v>770</v>
      </c>
      <c r="B304" s="235" t="s">
        <v>776</v>
      </c>
      <c r="C304" s="235" t="s">
        <v>790</v>
      </c>
      <c r="D304" s="235" t="s">
        <v>1038</v>
      </c>
      <c r="E304" s="235">
        <v>6600</v>
      </c>
      <c r="F304" s="235">
        <v>66</v>
      </c>
      <c r="G304" s="235">
        <v>660</v>
      </c>
      <c r="H304" s="235" t="s">
        <v>1433</v>
      </c>
      <c r="I304" s="235"/>
      <c r="J304" s="235" t="s">
        <v>1497</v>
      </c>
      <c r="K304" s="233" t="str">
        <f>+CONCATENATE(MID(Estructura_Balance[[#This Row],[Nombre Cuenta]],1,3)," - ", ,MID(Estructura_Balance[[#This Row],[Nombre Cuenta]],6,144))</f>
        <v>660 -  Gastos financieros por actualización de provisiones</v>
      </c>
      <c r="L304" s="52" t="e">
        <f>+LEN([1]!Estructura_Balance[[#This Row],[Nombre Cuenta]])</f>
        <v>#REF!</v>
      </c>
      <c r="M304" s="52" t="s">
        <v>1429</v>
      </c>
    </row>
    <row r="305" spans="1:13" ht="14.25" customHeight="1">
      <c r="A305" s="234" t="s">
        <v>770</v>
      </c>
      <c r="B305" s="235" t="s">
        <v>776</v>
      </c>
      <c r="C305" s="235" t="s">
        <v>790</v>
      </c>
      <c r="D305" s="235" t="s">
        <v>1038</v>
      </c>
      <c r="E305" s="235">
        <v>6610</v>
      </c>
      <c r="F305" s="235">
        <v>66</v>
      </c>
      <c r="G305" s="235">
        <v>661</v>
      </c>
      <c r="H305" s="235" t="s">
        <v>1433</v>
      </c>
      <c r="I305" s="235"/>
      <c r="J305" s="235" t="s">
        <v>1498</v>
      </c>
      <c r="K305" s="233" t="str">
        <f>+CONCATENATE(MID(Estructura_Balance[[#This Row],[Nombre Cuenta]],1,3)," - ", ,MID(Estructura_Balance[[#This Row],[Nombre Cuenta]],6,144))</f>
        <v>661 -  Gastos financieros por actualización de provisiones</v>
      </c>
      <c r="L305" s="52" t="e">
        <f>+LEN([1]!Estructura_Balance[[#This Row],[Nombre Cuenta]])</f>
        <v>#REF!</v>
      </c>
      <c r="M305" s="52" t="s">
        <v>1429</v>
      </c>
    </row>
    <row r="306" spans="1:13" ht="13.5" customHeight="1">
      <c r="A306" s="234" t="s">
        <v>770</v>
      </c>
      <c r="B306" s="235" t="s">
        <v>776</v>
      </c>
      <c r="C306" s="235" t="s">
        <v>790</v>
      </c>
      <c r="D306" s="235" t="s">
        <v>1038</v>
      </c>
      <c r="E306" s="235">
        <v>6620</v>
      </c>
      <c r="F306" s="235" t="str">
        <f>+MID(Estructura_Balance[[#This Row],[CPGC]],1,2)</f>
        <v>66</v>
      </c>
      <c r="G306" s="235" t="str">
        <f>+MID(Estructura_Balance[[#This Row],[CPGC]],1,3)</f>
        <v>662</v>
      </c>
      <c r="H306" s="235" t="str">
        <f>+MID(Estructura_Balance[[#This Row],[Grupo]],1,7)</f>
        <v>Grupo 6</v>
      </c>
      <c r="I306" s="235"/>
      <c r="J306" s="235" t="s">
        <v>1499</v>
      </c>
      <c r="K306" s="233" t="str">
        <f>+CONCATENATE(MID(Estructura_Balance[[#This Row],[Nombre Cuenta]],1,3)," - ", ,MID(Estructura_Balance[[#This Row],[Nombre Cuenta]],6,144))</f>
        <v>662 -   Intereses de deudas</v>
      </c>
      <c r="L306" s="52" t="e">
        <f>+LEN([1]!Estructura_Balance[[#This Row],[Nombre Cuenta]])</f>
        <v>#REF!</v>
      </c>
      <c r="M306" s="52" t="s">
        <v>1429</v>
      </c>
    </row>
    <row r="307" spans="1:13" ht="14.25" customHeight="1">
      <c r="A307" s="234" t="s">
        <v>770</v>
      </c>
      <c r="B307" s="235" t="s">
        <v>776</v>
      </c>
      <c r="C307" s="235" t="s">
        <v>790</v>
      </c>
      <c r="D307" s="235" t="s">
        <v>1038</v>
      </c>
      <c r="E307" s="235">
        <v>6630</v>
      </c>
      <c r="F307" s="235">
        <v>66</v>
      </c>
      <c r="G307" s="235">
        <v>663</v>
      </c>
      <c r="H307" s="235" t="s">
        <v>1433</v>
      </c>
      <c r="I307" s="235"/>
      <c r="J307" s="235" t="s">
        <v>1500</v>
      </c>
      <c r="K307" s="233" t="str">
        <f>+CONCATENATE(MID(Estructura_Balance[[#This Row],[Nombre Cuenta]],1,3)," - ", ,MID(Estructura_Balance[[#This Row],[Nombre Cuenta]],6,144))</f>
        <v>663 -  Pérdidas por valoración de instrumentos financieros por su valor razonable</v>
      </c>
      <c r="L307" s="52" t="e">
        <f>+LEN([1]!Estructura_Balance[[#This Row],[Nombre Cuenta]])</f>
        <v>#REF!</v>
      </c>
      <c r="M307" s="52" t="s">
        <v>1429</v>
      </c>
    </row>
    <row r="308" spans="1:13" ht="14.25" customHeight="1">
      <c r="A308" s="234" t="s">
        <v>770</v>
      </c>
      <c r="B308" s="235" t="s">
        <v>776</v>
      </c>
      <c r="C308" s="235" t="s">
        <v>790</v>
      </c>
      <c r="D308" s="235" t="s">
        <v>1038</v>
      </c>
      <c r="E308" s="235">
        <v>6640</v>
      </c>
      <c r="F308" s="235">
        <v>66</v>
      </c>
      <c r="G308" s="235">
        <v>664</v>
      </c>
      <c r="H308" s="235" t="s">
        <v>1433</v>
      </c>
      <c r="I308" s="235"/>
      <c r="J308" s="235" t="s">
        <v>1501</v>
      </c>
      <c r="K308" s="233" t="str">
        <f>+CONCATENATE(MID(Estructura_Balance[[#This Row],[Nombre Cuenta]],1,3)," - ", ,MID(Estructura_Balance[[#This Row],[Nombre Cuenta]],6,144))</f>
        <v>664 -  Gastos por dividendos de acciones o participaciones consideradas como pasivos financieros</v>
      </c>
      <c r="L308" s="52" t="e">
        <f>+LEN([1]!Estructura_Balance[[#This Row],[Nombre Cuenta]])</f>
        <v>#REF!</v>
      </c>
      <c r="M308" s="52" t="s">
        <v>1429</v>
      </c>
    </row>
    <row r="309" spans="1:13" ht="14.25" customHeight="1">
      <c r="A309" s="234" t="s">
        <v>770</v>
      </c>
      <c r="B309" s="235" t="s">
        <v>776</v>
      </c>
      <c r="C309" s="235" t="s">
        <v>790</v>
      </c>
      <c r="D309" s="235" t="s">
        <v>1038</v>
      </c>
      <c r="E309" s="235">
        <v>6650</v>
      </c>
      <c r="F309" s="235">
        <v>66</v>
      </c>
      <c r="G309" s="235">
        <v>665</v>
      </c>
      <c r="H309" s="235" t="s">
        <v>1433</v>
      </c>
      <c r="I309" s="235"/>
      <c r="J309" s="235" t="s">
        <v>1502</v>
      </c>
      <c r="K309" s="233" t="str">
        <f>+CONCATENATE(MID(Estructura_Balance[[#This Row],[Nombre Cuenta]],1,3)," - ", ,MID(Estructura_Balance[[#This Row],[Nombre Cuenta]],6,144))</f>
        <v>665 -  Intereses por descuento de efectos y operaciones de “factoring”</v>
      </c>
      <c r="L309" s="52" t="e">
        <f>+LEN([1]!Estructura_Balance[[#This Row],[Nombre Cuenta]])</f>
        <v>#REF!</v>
      </c>
      <c r="M309" s="52" t="s">
        <v>1429</v>
      </c>
    </row>
    <row r="310" spans="1:13" ht="14.25" customHeight="1">
      <c r="A310" s="234" t="s">
        <v>770</v>
      </c>
      <c r="B310" s="235" t="s">
        <v>776</v>
      </c>
      <c r="C310" s="235" t="s">
        <v>790</v>
      </c>
      <c r="D310" s="235" t="s">
        <v>1038</v>
      </c>
      <c r="E310" s="235">
        <v>6660</v>
      </c>
      <c r="F310" s="235">
        <v>66</v>
      </c>
      <c r="G310" s="235">
        <v>666</v>
      </c>
      <c r="H310" s="235" t="s">
        <v>1433</v>
      </c>
      <c r="I310" s="235"/>
      <c r="J310" s="235" t="s">
        <v>1503</v>
      </c>
      <c r="K310" s="233" t="str">
        <f>+CONCATENATE(MID(Estructura_Balance[[#This Row],[Nombre Cuenta]],1,3)," - ", ,MID(Estructura_Balance[[#This Row],[Nombre Cuenta]],6,144))</f>
        <v>666 -  Pérdidas en participaciones y valores representativos de deuda</v>
      </c>
      <c r="L310" s="52" t="e">
        <f>+LEN([1]!Estructura_Balance[[#This Row],[Nombre Cuenta]])</f>
        <v>#REF!</v>
      </c>
      <c r="M310" s="52" t="s">
        <v>1429</v>
      </c>
    </row>
    <row r="311" spans="1:13" ht="14.25" customHeight="1">
      <c r="A311" s="234" t="s">
        <v>770</v>
      </c>
      <c r="B311" s="235" t="s">
        <v>776</v>
      </c>
      <c r="C311" s="235" t="s">
        <v>790</v>
      </c>
      <c r="D311" s="235" t="s">
        <v>1038</v>
      </c>
      <c r="E311" s="235">
        <v>6670</v>
      </c>
      <c r="F311" s="235">
        <v>66</v>
      </c>
      <c r="G311" s="235">
        <v>667</v>
      </c>
      <c r="H311" s="235" t="s">
        <v>1433</v>
      </c>
      <c r="I311" s="235"/>
      <c r="J311" s="235" t="s">
        <v>1504</v>
      </c>
      <c r="K311" s="233" t="str">
        <f>+CONCATENATE(MID(Estructura_Balance[[#This Row],[Nombre Cuenta]],1,3)," - ", ,MID(Estructura_Balance[[#This Row],[Nombre Cuenta]],6,144))</f>
        <v>667 -  Pérdidas de créditos no comerciales</v>
      </c>
      <c r="L311" s="52" t="e">
        <f>+LEN([1]!Estructura_Balance[[#This Row],[Nombre Cuenta]])</f>
        <v>#REF!</v>
      </c>
      <c r="M311" s="52" t="s">
        <v>1429</v>
      </c>
    </row>
    <row r="312" spans="1:13" ht="14.25" customHeight="1">
      <c r="A312" s="236" t="s">
        <v>770</v>
      </c>
      <c r="B312" s="237" t="s">
        <v>776</v>
      </c>
      <c r="C312" s="237" t="s">
        <v>790</v>
      </c>
      <c r="D312" s="237" t="s">
        <v>1038</v>
      </c>
      <c r="E312" s="237">
        <v>6680</v>
      </c>
      <c r="F312" s="237">
        <v>66</v>
      </c>
      <c r="G312" s="237">
        <v>668</v>
      </c>
      <c r="H312" s="237" t="s">
        <v>1433</v>
      </c>
      <c r="I312" s="237"/>
      <c r="J312" s="237" t="s">
        <v>1505</v>
      </c>
      <c r="K312" s="233" t="str">
        <f>+CONCATENATE(MID(Estructura_Balance[[#This Row],[Nombre Cuenta]],1,3)," - ", ,MID(Estructura_Balance[[#This Row],[Nombre Cuenta]],6,144))</f>
        <v>668 -  Diferencias negativas de cambio</v>
      </c>
      <c r="L312" s="52" t="e">
        <f>+LEN([1]!Estructura_Balance[[#This Row],[Nombre Cuenta]])</f>
        <v>#REF!</v>
      </c>
      <c r="M312" s="52" t="s">
        <v>1429</v>
      </c>
    </row>
    <row r="313" spans="1:13" ht="14.25" customHeight="1">
      <c r="A313" s="236" t="s">
        <v>770</v>
      </c>
      <c r="B313" s="237" t="s">
        <v>776</v>
      </c>
      <c r="C313" s="237" t="s">
        <v>790</v>
      </c>
      <c r="D313" s="237" t="s">
        <v>1038</v>
      </c>
      <c r="E313" s="237">
        <v>6690</v>
      </c>
      <c r="F313" s="237">
        <v>66</v>
      </c>
      <c r="G313" s="237">
        <v>669</v>
      </c>
      <c r="H313" s="237" t="s">
        <v>1433</v>
      </c>
      <c r="I313" s="237"/>
      <c r="J313" s="237" t="s">
        <v>1506</v>
      </c>
      <c r="K313" s="233" t="str">
        <f>+CONCATENATE(MID(Estructura_Balance[[#This Row],[Nombre Cuenta]],1,3)," - ", ,MID(Estructura_Balance[[#This Row],[Nombre Cuenta]],6,144))</f>
        <v>669 -  Otros gastos financieros</v>
      </c>
      <c r="L313" s="52" t="e">
        <f>+LEN([1]!Estructura_Balance[[#This Row],[Nombre Cuenta]])</f>
        <v>#REF!</v>
      </c>
      <c r="M313" s="52" t="s">
        <v>1429</v>
      </c>
    </row>
    <row r="314" spans="1:13" ht="14.25" customHeight="1">
      <c r="A314" s="234" t="s">
        <v>770</v>
      </c>
      <c r="B314" s="235" t="s">
        <v>776</v>
      </c>
      <c r="C314" s="235" t="s">
        <v>790</v>
      </c>
      <c r="D314" s="235" t="s">
        <v>1038</v>
      </c>
      <c r="E314" s="235">
        <v>6700</v>
      </c>
      <c r="F314" s="235">
        <v>67</v>
      </c>
      <c r="G314" s="235">
        <v>670</v>
      </c>
      <c r="H314" s="235" t="s">
        <v>1433</v>
      </c>
      <c r="I314" s="235"/>
      <c r="J314" s="235" t="s">
        <v>1507</v>
      </c>
      <c r="K314" s="233" t="str">
        <f>+CONCATENATE(MID(Estructura_Balance[[#This Row],[Nombre Cuenta]],1,3)," - ", ,MID(Estructura_Balance[[#This Row],[Nombre Cuenta]],6,144))</f>
        <v>670 -  Pérdidas procedentes del inmovilizado intangible</v>
      </c>
      <c r="L314" s="52" t="e">
        <f>+LEN([1]!Estructura_Balance[[#This Row],[Nombre Cuenta]])</f>
        <v>#REF!</v>
      </c>
      <c r="M314" s="52" t="s">
        <v>1429</v>
      </c>
    </row>
    <row r="315" spans="1:13" ht="14.25" customHeight="1">
      <c r="A315" s="52" t="s">
        <v>770</v>
      </c>
      <c r="B315" s="235" t="s">
        <v>776</v>
      </c>
      <c r="C315" s="235" t="s">
        <v>790</v>
      </c>
      <c r="D315" s="235" t="s">
        <v>1038</v>
      </c>
      <c r="E315" s="235">
        <v>6710</v>
      </c>
      <c r="F315" s="235" t="s">
        <v>1508</v>
      </c>
      <c r="G315" s="235" t="s">
        <v>1509</v>
      </c>
      <c r="H315" s="235" t="s">
        <v>1433</v>
      </c>
      <c r="I315" s="235"/>
      <c r="J315" s="235" t="s">
        <v>1510</v>
      </c>
      <c r="K315" s="233" t="str">
        <f>+CONCATENATE(MID(Estructura_Balance[[#This Row],[Nombre Cuenta]],1,3)," - ", ,MID(Estructura_Balance[[#This Row],[Nombre Cuenta]],6,144))</f>
        <v>671 -  Pérdidas procedentes del inmovilizado material</v>
      </c>
      <c r="L315" s="52">
        <v>52</v>
      </c>
      <c r="M315" s="52" t="s">
        <v>1429</v>
      </c>
    </row>
    <row r="316" spans="1:13" ht="14.25" customHeight="1">
      <c r="A316" s="52" t="s">
        <v>770</v>
      </c>
      <c r="B316" s="235" t="s">
        <v>776</v>
      </c>
      <c r="C316" s="235" t="s">
        <v>790</v>
      </c>
      <c r="D316" s="235" t="s">
        <v>1038</v>
      </c>
      <c r="E316" s="235">
        <v>6720</v>
      </c>
      <c r="F316" s="235" t="s">
        <v>1508</v>
      </c>
      <c r="G316" s="235" t="s">
        <v>1511</v>
      </c>
      <c r="H316" s="235" t="s">
        <v>1433</v>
      </c>
      <c r="I316" s="235"/>
      <c r="J316" s="235" t="s">
        <v>1512</v>
      </c>
      <c r="K316" s="233" t="str">
        <f>+CONCATENATE(MID(Estructura_Balance[[#This Row],[Nombre Cuenta]],1,3)," - ", ,MID(Estructura_Balance[[#This Row],[Nombre Cuenta]],6,144))</f>
        <v>672 -  Pérdidas procedentes de las inversiones inmobiliarias</v>
      </c>
      <c r="L316" s="52">
        <v>59</v>
      </c>
      <c r="M316" s="52" t="s">
        <v>1429</v>
      </c>
    </row>
    <row r="317" spans="1:13" ht="14.25" customHeight="1">
      <c r="A317" s="52" t="s">
        <v>770</v>
      </c>
      <c r="B317" s="235" t="s">
        <v>776</v>
      </c>
      <c r="C317" s="235" t="s">
        <v>790</v>
      </c>
      <c r="D317" s="235" t="s">
        <v>1038</v>
      </c>
      <c r="E317" s="235">
        <v>6730</v>
      </c>
      <c r="F317" s="235" t="s">
        <v>1508</v>
      </c>
      <c r="G317" s="235" t="s">
        <v>1513</v>
      </c>
      <c r="H317" s="235" t="s">
        <v>1433</v>
      </c>
      <c r="I317" s="235"/>
      <c r="J317" s="235" t="s">
        <v>1514</v>
      </c>
      <c r="K317" s="233" t="str">
        <f>+CONCATENATE(MID(Estructura_Balance[[#This Row],[Nombre Cuenta]],1,3)," - ", ,MID(Estructura_Balance[[#This Row],[Nombre Cuenta]],6,144))</f>
        <v>673 -  Pérdidas procedentes de participaciones a largo plazo en partes vinculadas</v>
      </c>
      <c r="L317" s="52">
        <v>80</v>
      </c>
      <c r="M317" s="52" t="s">
        <v>1429</v>
      </c>
    </row>
    <row r="318" spans="1:13" ht="14.25" customHeight="1">
      <c r="A318" s="52" t="s">
        <v>770</v>
      </c>
      <c r="B318" s="235" t="s">
        <v>776</v>
      </c>
      <c r="C318" s="235" t="s">
        <v>790</v>
      </c>
      <c r="D318" s="235" t="s">
        <v>1038</v>
      </c>
      <c r="E318" s="235">
        <v>6750</v>
      </c>
      <c r="F318" s="235" t="s">
        <v>1508</v>
      </c>
      <c r="G318" s="235" t="s">
        <v>1515</v>
      </c>
      <c r="H318" s="235" t="s">
        <v>1433</v>
      </c>
      <c r="I318" s="235"/>
      <c r="J318" s="235" t="s">
        <v>1516</v>
      </c>
      <c r="K318" s="233" t="str">
        <f>+CONCATENATE(MID(Estructura_Balance[[#This Row],[Nombre Cuenta]],1,3)," - ", ,MID(Estructura_Balance[[#This Row],[Nombre Cuenta]],6,144))</f>
        <v>675 -  Pérdidas por operaciones con obligaciones propias</v>
      </c>
      <c r="L318" s="52">
        <v>55</v>
      </c>
      <c r="M318" s="52" t="s">
        <v>1429</v>
      </c>
    </row>
    <row r="319" spans="1:13" ht="14.25" customHeight="1">
      <c r="A319" s="52" t="s">
        <v>770</v>
      </c>
      <c r="B319" s="235" t="s">
        <v>776</v>
      </c>
      <c r="C319" s="235" t="s">
        <v>790</v>
      </c>
      <c r="D319" s="235" t="s">
        <v>1038</v>
      </c>
      <c r="E319" s="235">
        <v>6780</v>
      </c>
      <c r="F319" s="235" t="s">
        <v>1508</v>
      </c>
      <c r="G319" s="235" t="s">
        <v>1517</v>
      </c>
      <c r="H319" s="235" t="s">
        <v>1433</v>
      </c>
      <c r="I319" s="235"/>
      <c r="J319" s="235" t="s">
        <v>1518</v>
      </c>
      <c r="K319" s="233" t="str">
        <f>+CONCATENATE(MID(Estructura_Balance[[#This Row],[Nombre Cuenta]],1,3)," - ", ,MID(Estructura_Balance[[#This Row],[Nombre Cuenta]],6,144))</f>
        <v>678 -  Gastos excepcionales</v>
      </c>
      <c r="L319" s="52">
        <v>26</v>
      </c>
      <c r="M319" s="52" t="s">
        <v>1429</v>
      </c>
    </row>
    <row r="320" spans="1:13" ht="14.25" customHeight="1">
      <c r="A320" s="234" t="s">
        <v>770</v>
      </c>
      <c r="B320" s="235" t="s">
        <v>776</v>
      </c>
      <c r="C320" s="235" t="s">
        <v>790</v>
      </c>
      <c r="D320" s="235" t="s">
        <v>1038</v>
      </c>
      <c r="E320" s="235">
        <v>6800</v>
      </c>
      <c r="F320" s="235" t="str">
        <f>+MID(Estructura_Balance[[#This Row],[CPGC]],1,2)</f>
        <v>68</v>
      </c>
      <c r="G320" s="235" t="str">
        <f>+MID(Estructura_Balance[[#This Row],[CPGC]],1,3)</f>
        <v>680</v>
      </c>
      <c r="H320" s="235" t="str">
        <f>+MID(Estructura_Balance[[#This Row],[Grupo]],1,7)</f>
        <v>Grupo 6</v>
      </c>
      <c r="I320" s="235"/>
      <c r="J320" s="235" t="s">
        <v>1519</v>
      </c>
      <c r="K320" s="233" t="str">
        <f>+CONCATENATE(MID(Estructura_Balance[[#This Row],[Nombre Cuenta]],1,3)," - ", ,MID(Estructura_Balance[[#This Row],[Nombre Cuenta]],6,144))</f>
        <v>680 -  Amortización del inmovilizado intangible</v>
      </c>
      <c r="L320" s="52" t="e">
        <f>+LEN([1]!Estructura_Balance[[#This Row],[Nombre Cuenta]])</f>
        <v>#REF!</v>
      </c>
      <c r="M320" s="52" t="s">
        <v>1429</v>
      </c>
    </row>
    <row r="321" spans="1:13" ht="14.25" customHeight="1">
      <c r="A321" s="234" t="s">
        <v>770</v>
      </c>
      <c r="B321" s="235" t="s">
        <v>776</v>
      </c>
      <c r="C321" s="235" t="s">
        <v>790</v>
      </c>
      <c r="D321" s="235" t="s">
        <v>1038</v>
      </c>
      <c r="E321" s="235">
        <v>6810</v>
      </c>
      <c r="F321" s="235" t="str">
        <f>+MID(Estructura_Balance[[#This Row],[CPGC]],1,2)</f>
        <v>68</v>
      </c>
      <c r="G321" s="235" t="str">
        <f>+MID(Estructura_Balance[[#This Row],[CPGC]],1,3)</f>
        <v>681</v>
      </c>
      <c r="H321" s="235" t="str">
        <f>+MID(Estructura_Balance[[#This Row],[Grupo]],1,7)</f>
        <v>Grupo 6</v>
      </c>
      <c r="I321" s="235"/>
      <c r="J321" s="235" t="s">
        <v>1520</v>
      </c>
      <c r="K321" s="233" t="str">
        <f>+CONCATENATE(MID(Estructura_Balance[[#This Row],[Nombre Cuenta]],1,3)," - ", ,MID(Estructura_Balance[[#This Row],[Nombre Cuenta]],6,144))</f>
        <v>681 -  Amortización del inmovilizado material</v>
      </c>
      <c r="L321" s="52" t="e">
        <f>+LEN([1]!Estructura_Balance[[#This Row],[Nombre Cuenta]])</f>
        <v>#REF!</v>
      </c>
      <c r="M321" s="52" t="s">
        <v>1429</v>
      </c>
    </row>
    <row r="322" spans="1:13" ht="14.25" customHeight="1">
      <c r="A322" s="234" t="s">
        <v>770</v>
      </c>
      <c r="B322" s="235" t="s">
        <v>776</v>
      </c>
      <c r="C322" s="235" t="s">
        <v>790</v>
      </c>
      <c r="D322" s="235" t="s">
        <v>1038</v>
      </c>
      <c r="E322" s="235">
        <v>6820</v>
      </c>
      <c r="F322" s="235" t="str">
        <f>+MID(Estructura_Balance[[#This Row],[CPGC]],1,2)</f>
        <v>68</v>
      </c>
      <c r="G322" s="235" t="str">
        <f>+MID(Estructura_Balance[[#This Row],[CPGC]],1,3)</f>
        <v>682</v>
      </c>
      <c r="H322" s="235" t="str">
        <f>+MID(Estructura_Balance[[#This Row],[Grupo]],1,7)</f>
        <v>Grupo 6</v>
      </c>
      <c r="I322" s="235"/>
      <c r="J322" s="235" t="s">
        <v>1521</v>
      </c>
      <c r="K322" s="233" t="str">
        <f>+CONCATENATE(MID(Estructura_Balance[[#This Row],[Nombre Cuenta]],1,3)," - ", ,MID(Estructura_Balance[[#This Row],[Nombre Cuenta]],6,144))</f>
        <v>682 -  Amortización de las inversiones inmobiliarias</v>
      </c>
      <c r="L322" s="52" t="e">
        <f>+LEN([1]!Estructura_Balance[[#This Row],[Nombre Cuenta]])</f>
        <v>#REF!</v>
      </c>
      <c r="M322" s="52" t="s">
        <v>1429</v>
      </c>
    </row>
    <row r="323" spans="1:13" ht="14.25" customHeight="1">
      <c r="A323" s="52" t="s">
        <v>770</v>
      </c>
      <c r="B323" s="235" t="s">
        <v>776</v>
      </c>
      <c r="C323" s="235" t="s">
        <v>790</v>
      </c>
      <c r="D323" s="235" t="s">
        <v>1038</v>
      </c>
      <c r="E323" s="235">
        <v>6900</v>
      </c>
      <c r="F323" s="235" t="s">
        <v>1522</v>
      </c>
      <c r="G323" s="235" t="s">
        <v>1523</v>
      </c>
      <c r="H323" s="235" t="s">
        <v>1433</v>
      </c>
      <c r="I323" s="235"/>
      <c r="J323" s="235" t="s">
        <v>1524</v>
      </c>
      <c r="K323" s="233" t="str">
        <f>+CONCATENATE(MID(Estructura_Balance[[#This Row],[Nombre Cuenta]],1,3)," - ", ,MID(Estructura_Balance[[#This Row],[Nombre Cuenta]],6,144))</f>
        <v>690 -  Pérdidas por deterioro de inmovilizado intangible</v>
      </c>
      <c r="L323" s="52">
        <v>55</v>
      </c>
      <c r="M323" s="52" t="s">
        <v>1429</v>
      </c>
    </row>
    <row r="324" spans="1:13" ht="14.25" customHeight="1">
      <c r="A324" s="52" t="s">
        <v>770</v>
      </c>
      <c r="B324" s="235" t="s">
        <v>776</v>
      </c>
      <c r="C324" s="235" t="s">
        <v>790</v>
      </c>
      <c r="D324" s="235" t="s">
        <v>1038</v>
      </c>
      <c r="E324" s="235">
        <v>6910</v>
      </c>
      <c r="F324" s="235" t="s">
        <v>1522</v>
      </c>
      <c r="G324" s="235" t="s">
        <v>1525</v>
      </c>
      <c r="H324" s="235" t="s">
        <v>1433</v>
      </c>
      <c r="I324" s="235"/>
      <c r="J324" s="235" t="s">
        <v>1526</v>
      </c>
      <c r="K324" s="233" t="str">
        <f>+CONCATENATE(MID(Estructura_Balance[[#This Row],[Nombre Cuenta]],1,3)," - ", ,MID(Estructura_Balance[[#This Row],[Nombre Cuenta]],6,144))</f>
        <v>691 -  Pérdidas por deterioro del inmovilizado material</v>
      </c>
      <c r="L324" s="52">
        <v>54</v>
      </c>
      <c r="M324" s="52" t="s">
        <v>1429</v>
      </c>
    </row>
    <row r="325" spans="1:13" ht="14.25" customHeight="1">
      <c r="A325" s="52" t="s">
        <v>770</v>
      </c>
      <c r="B325" s="235" t="s">
        <v>776</v>
      </c>
      <c r="C325" s="235" t="s">
        <v>790</v>
      </c>
      <c r="D325" s="235" t="s">
        <v>1038</v>
      </c>
      <c r="E325" s="235">
        <v>6920</v>
      </c>
      <c r="F325" s="235" t="s">
        <v>1522</v>
      </c>
      <c r="G325" s="235" t="s">
        <v>1527</v>
      </c>
      <c r="H325" s="235" t="s">
        <v>1433</v>
      </c>
      <c r="I325" s="235"/>
      <c r="J325" s="235" t="s">
        <v>1528</v>
      </c>
      <c r="K325" s="233" t="str">
        <f>+CONCATENATE(MID(Estructura_Balance[[#This Row],[Nombre Cuenta]],1,3)," - ", ,MID(Estructura_Balance[[#This Row],[Nombre Cuenta]],6,144))</f>
        <v>692 -  Pérdidas por deterioro de las inversiones inmobiliarias</v>
      </c>
      <c r="L325" s="52">
        <v>61</v>
      </c>
      <c r="M325" s="52" t="s">
        <v>1429</v>
      </c>
    </row>
    <row r="326" spans="1:13" ht="14.25" customHeight="1">
      <c r="A326" s="52" t="s">
        <v>770</v>
      </c>
      <c r="B326" s="235" t="s">
        <v>776</v>
      </c>
      <c r="C326" s="235" t="s">
        <v>790</v>
      </c>
      <c r="D326" s="235" t="s">
        <v>1038</v>
      </c>
      <c r="E326" s="235">
        <v>6930</v>
      </c>
      <c r="F326" s="235" t="s">
        <v>1522</v>
      </c>
      <c r="G326" s="235" t="s">
        <v>1529</v>
      </c>
      <c r="H326" s="235" t="s">
        <v>1433</v>
      </c>
      <c r="I326" s="235"/>
      <c r="J326" s="235" t="s">
        <v>1530</v>
      </c>
      <c r="K326" s="233" t="str">
        <f>+CONCATENATE(MID(Estructura_Balance[[#This Row],[Nombre Cuenta]],1,3)," - ", ,MID(Estructura_Balance[[#This Row],[Nombre Cuenta]],6,144))</f>
        <v>693 -  Pérdidas por deterioro de existencias</v>
      </c>
      <c r="L326" s="52">
        <v>78</v>
      </c>
      <c r="M326" s="52" t="s">
        <v>1429</v>
      </c>
    </row>
    <row r="327" spans="1:13" ht="14.25" customHeight="1">
      <c r="A327" s="52" t="s">
        <v>770</v>
      </c>
      <c r="B327" s="235" t="s">
        <v>776</v>
      </c>
      <c r="C327" s="235" t="s">
        <v>790</v>
      </c>
      <c r="D327" s="235" t="s">
        <v>1038</v>
      </c>
      <c r="E327" s="235">
        <v>6940</v>
      </c>
      <c r="F327" s="235" t="s">
        <v>1522</v>
      </c>
      <c r="G327" s="235" t="s">
        <v>1531</v>
      </c>
      <c r="H327" s="235" t="s">
        <v>1433</v>
      </c>
      <c r="I327" s="235"/>
      <c r="J327" s="235" t="s">
        <v>1532</v>
      </c>
      <c r="K327" s="233" t="str">
        <f>+CONCATENATE(MID(Estructura_Balance[[#This Row],[Nombre Cuenta]],1,3)," - ", ,MID(Estructura_Balance[[#This Row],[Nombre Cuenta]],6,144))</f>
        <v>694 -  Pérdidas por deterioro de créditos por operaciones comerciales</v>
      </c>
      <c r="L327" s="52">
        <v>68</v>
      </c>
      <c r="M327" s="52" t="s">
        <v>1429</v>
      </c>
    </row>
    <row r="328" spans="1:13" ht="14.25" customHeight="1">
      <c r="A328" s="52" t="s">
        <v>770</v>
      </c>
      <c r="B328" s="235" t="s">
        <v>776</v>
      </c>
      <c r="C328" s="235" t="s">
        <v>790</v>
      </c>
      <c r="D328" s="235" t="s">
        <v>1038</v>
      </c>
      <c r="E328" s="235">
        <v>6950</v>
      </c>
      <c r="F328" s="235" t="s">
        <v>1522</v>
      </c>
      <c r="G328" s="235" t="s">
        <v>1533</v>
      </c>
      <c r="H328" s="235" t="s">
        <v>1433</v>
      </c>
      <c r="I328" s="235"/>
      <c r="J328" s="235" t="s">
        <v>1534</v>
      </c>
      <c r="K328" s="233" t="str">
        <f>+CONCATENATE(MID(Estructura_Balance[[#This Row],[Nombre Cuenta]],1,3)," - ", ,MID(Estructura_Balance[[#This Row],[Nombre Cuenta]],6,144))</f>
        <v>695 -  Dotación a la provisión por operaciones comerciales</v>
      </c>
      <c r="L328" s="52">
        <v>57</v>
      </c>
      <c r="M328" s="52" t="s">
        <v>1429</v>
      </c>
    </row>
    <row r="329" spans="1:13" ht="14.25" customHeight="1">
      <c r="A329" s="52" t="s">
        <v>770</v>
      </c>
      <c r="B329" s="235" t="s">
        <v>776</v>
      </c>
      <c r="C329" s="235" t="s">
        <v>790</v>
      </c>
      <c r="D329" s="235" t="s">
        <v>1038</v>
      </c>
      <c r="E329" s="235">
        <v>6959</v>
      </c>
      <c r="F329" s="235" t="s">
        <v>1522</v>
      </c>
      <c r="G329" s="235" t="s">
        <v>1533</v>
      </c>
      <c r="H329" s="235" t="s">
        <v>1433</v>
      </c>
      <c r="I329" s="235"/>
      <c r="J329" s="235" t="s">
        <v>1535</v>
      </c>
      <c r="K329" s="233" t="str">
        <f>+CONCATENATE(MID(Estructura_Balance[[#This Row],[Nombre Cuenta]],1,3)," - ", ,MID(Estructura_Balance[[#This Row],[Nombre Cuenta]],6,144))</f>
        <v>695 -  Dotación a la provisión para otras operaciones comerciales</v>
      </c>
      <c r="L329" s="52">
        <v>64</v>
      </c>
      <c r="M329" s="52" t="s">
        <v>1429</v>
      </c>
    </row>
    <row r="330" spans="1:13" ht="14.25" customHeight="1">
      <c r="A330" s="52" t="s">
        <v>770</v>
      </c>
      <c r="B330" s="235" t="s">
        <v>776</v>
      </c>
      <c r="C330" s="235" t="s">
        <v>790</v>
      </c>
      <c r="D330" s="235" t="s">
        <v>1038</v>
      </c>
      <c r="E330" s="235">
        <v>6960</v>
      </c>
      <c r="F330" s="235" t="s">
        <v>1522</v>
      </c>
      <c r="G330" s="235" t="s">
        <v>1536</v>
      </c>
      <c r="H330" s="235" t="s">
        <v>1433</v>
      </c>
      <c r="I330" s="235"/>
      <c r="J330" s="235" t="s">
        <v>1537</v>
      </c>
      <c r="K330" s="233" t="str">
        <f>+CONCATENATE(MID(Estructura_Balance[[#This Row],[Nombre Cuenta]],1,3)," - ", ,MID(Estructura_Balance[[#This Row],[Nombre Cuenta]],6,144))</f>
        <v>696 -   Pérdidas por deterioro de participaciones y valores representativos de deuda a largo plazo</v>
      </c>
      <c r="L330" s="52">
        <v>116</v>
      </c>
      <c r="M330" s="52" t="s">
        <v>1429</v>
      </c>
    </row>
    <row r="331" spans="1:13" ht="14.25" customHeight="1">
      <c r="A331" s="52" t="s">
        <v>770</v>
      </c>
      <c r="B331" s="235" t="s">
        <v>776</v>
      </c>
      <c r="C331" s="235" t="s">
        <v>790</v>
      </c>
      <c r="D331" s="235" t="s">
        <v>1038</v>
      </c>
      <c r="E331" s="235">
        <v>6980</v>
      </c>
      <c r="F331" s="235" t="s">
        <v>1522</v>
      </c>
      <c r="G331" s="235" t="s">
        <v>1538</v>
      </c>
      <c r="H331" s="235" t="s">
        <v>1433</v>
      </c>
      <c r="I331" s="235"/>
      <c r="J331" s="235" t="s">
        <v>1539</v>
      </c>
      <c r="K331" s="233" t="str">
        <f>+CONCATENATE(MID(Estructura_Balance[[#This Row],[Nombre Cuenta]],1,3)," - ", ,MID(Estructura_Balance[[#This Row],[Nombre Cuenta]],6,144))</f>
        <v>698 -   Pérdidas por deterioro de participaciones y valores representativos de deuda a corto plazo</v>
      </c>
      <c r="L331" s="52">
        <v>116</v>
      </c>
      <c r="M331" s="52" t="s">
        <v>1429</v>
      </c>
    </row>
    <row r="332" spans="1:13" ht="14.25" customHeight="1">
      <c r="A332" s="52" t="s">
        <v>770</v>
      </c>
      <c r="B332" s="235" t="s">
        <v>776</v>
      </c>
      <c r="C332" s="235" t="s">
        <v>790</v>
      </c>
      <c r="D332" s="235" t="s">
        <v>1038</v>
      </c>
      <c r="E332" s="235">
        <v>6990</v>
      </c>
      <c r="F332" s="235" t="s">
        <v>1522</v>
      </c>
      <c r="G332" s="235">
        <v>699</v>
      </c>
      <c r="H332" s="235" t="s">
        <v>1433</v>
      </c>
      <c r="I332" s="235"/>
      <c r="J332" s="235" t="s">
        <v>1540</v>
      </c>
      <c r="K332" s="233" t="str">
        <f>+CONCATENATE(MID(Estructura_Balance[[#This Row],[Nombre Cuenta]],1,3)," - ", ,MID(Estructura_Balance[[#This Row],[Nombre Cuenta]],6,144))</f>
        <v>699 -   Pérdidas por deterioro de créditos a corto plazo</v>
      </c>
      <c r="L332" s="52">
        <v>94</v>
      </c>
      <c r="M332" s="52" t="s">
        <v>1429</v>
      </c>
    </row>
    <row r="333" spans="1:13" ht="14.25" customHeight="1">
      <c r="A333" s="234" t="s">
        <v>770</v>
      </c>
      <c r="B333" s="235" t="s">
        <v>776</v>
      </c>
      <c r="C333" s="235" t="s">
        <v>790</v>
      </c>
      <c r="D333" s="235" t="s">
        <v>1038</v>
      </c>
      <c r="E333" s="235">
        <v>7000</v>
      </c>
      <c r="F333" s="235" t="str">
        <f>+MID(Estructura_Balance[[#This Row],[CPGC]],1,2)</f>
        <v>70</v>
      </c>
      <c r="G333" s="235" t="str">
        <f>+MID(Estructura_Balance[[#This Row],[CPGC]],1,3)</f>
        <v>700</v>
      </c>
      <c r="H333" s="235" t="str">
        <f>+MID(Estructura_Balance[[#This Row],[Grupo]],1,7)</f>
        <v>Grupo 7</v>
      </c>
      <c r="I333" s="235"/>
      <c r="J333" s="235" t="s">
        <v>1541</v>
      </c>
      <c r="K333" s="233" t="str">
        <f>+CONCATENATE(MID(Estructura_Balance[[#This Row],[Nombre Cuenta]],1,3)," - ", ,MID(Estructura_Balance[[#This Row],[Nombre Cuenta]],6,144))</f>
        <v>700 -  Ventas de mercaderías</v>
      </c>
      <c r="L333" s="52" t="e">
        <f>+LEN([1]!Estructura_Balance[[#This Row],[Nombre Cuenta]])</f>
        <v>#REF!</v>
      </c>
      <c r="M333" s="52" t="s">
        <v>1542</v>
      </c>
    </row>
    <row r="334" spans="1:13" ht="14.25" customHeight="1">
      <c r="A334" s="234" t="s">
        <v>770</v>
      </c>
      <c r="B334" s="235" t="s">
        <v>776</v>
      </c>
      <c r="C334" s="235" t="s">
        <v>790</v>
      </c>
      <c r="D334" s="235" t="s">
        <v>1038</v>
      </c>
      <c r="E334" s="235">
        <v>7010</v>
      </c>
      <c r="F334" s="235" t="str">
        <f>+MID(Estructura_Balance[[#This Row],[CPGC]],1,2)</f>
        <v>70</v>
      </c>
      <c r="G334" s="235" t="str">
        <f>+MID(Estructura_Balance[[#This Row],[CPGC]],1,3)</f>
        <v>701</v>
      </c>
      <c r="H334" s="235" t="str">
        <f>+MID(Estructura_Balance[[#This Row],[Grupo]],1,7)</f>
        <v>Grupo 7</v>
      </c>
      <c r="I334" s="235"/>
      <c r="J334" s="235" t="s">
        <v>1543</v>
      </c>
      <c r="K334" s="233" t="str">
        <f>+CONCATENATE(MID(Estructura_Balance[[#This Row],[Nombre Cuenta]],1,3)," - ", ,MID(Estructura_Balance[[#This Row],[Nombre Cuenta]],6,144))</f>
        <v>701 -  Ventas de productos terminados</v>
      </c>
      <c r="L334" s="52" t="e">
        <f>+LEN([1]!Estructura_Balance[[#This Row],[Nombre Cuenta]])</f>
        <v>#REF!</v>
      </c>
      <c r="M334" s="52" t="s">
        <v>1542</v>
      </c>
    </row>
    <row r="335" spans="1:13" ht="14.25" customHeight="1">
      <c r="A335" s="234" t="s">
        <v>770</v>
      </c>
      <c r="B335" s="235" t="s">
        <v>776</v>
      </c>
      <c r="C335" s="235" t="s">
        <v>790</v>
      </c>
      <c r="D335" s="235" t="s">
        <v>1038</v>
      </c>
      <c r="E335" s="235">
        <v>7020</v>
      </c>
      <c r="F335" s="235" t="str">
        <f>+MID(Estructura_Balance[[#This Row],[CPGC]],1,2)</f>
        <v>70</v>
      </c>
      <c r="G335" s="235" t="str">
        <f>+MID(Estructura_Balance[[#This Row],[CPGC]],1,3)</f>
        <v>702</v>
      </c>
      <c r="H335" s="235" t="str">
        <f>+MID(Estructura_Balance[[#This Row],[Grupo]],1,7)</f>
        <v>Grupo 7</v>
      </c>
      <c r="I335" s="235"/>
      <c r="J335" s="235" t="s">
        <v>1544</v>
      </c>
      <c r="K335" s="233" t="str">
        <f>+CONCATENATE(MID(Estructura_Balance[[#This Row],[Nombre Cuenta]],1,3)," - ", ,MID(Estructura_Balance[[#This Row],[Nombre Cuenta]],6,144))</f>
        <v>702 -  Ventas de productos semiterminados</v>
      </c>
      <c r="L335" s="52" t="e">
        <f>+LEN([1]!Estructura_Balance[[#This Row],[Nombre Cuenta]])</f>
        <v>#REF!</v>
      </c>
      <c r="M335" s="52" t="s">
        <v>1542</v>
      </c>
    </row>
    <row r="336" spans="1:13" ht="14.25" customHeight="1">
      <c r="A336" s="52" t="s">
        <v>770</v>
      </c>
      <c r="B336" s="235" t="s">
        <v>776</v>
      </c>
      <c r="C336" s="235" t="s">
        <v>790</v>
      </c>
      <c r="D336" s="235" t="s">
        <v>1038</v>
      </c>
      <c r="E336" s="235">
        <v>7030</v>
      </c>
      <c r="F336" s="235" t="s">
        <v>1545</v>
      </c>
      <c r="G336" s="235" t="s">
        <v>1546</v>
      </c>
      <c r="H336" s="235" t="s">
        <v>1547</v>
      </c>
      <c r="I336" s="235"/>
      <c r="J336" s="235" t="s">
        <v>1548</v>
      </c>
      <c r="K336" s="233" t="str">
        <f>+CONCATENATE(MID(Estructura_Balance[[#This Row],[Nombre Cuenta]],1,3)," - ", ,MID(Estructura_Balance[[#This Row],[Nombre Cuenta]],6,144))</f>
        <v>703 -  Ventas de subproductos y residuos</v>
      </c>
      <c r="L336" s="52">
        <v>39</v>
      </c>
      <c r="M336" s="52" t="s">
        <v>1542</v>
      </c>
    </row>
    <row r="337" spans="1:13" ht="14.25" customHeight="1">
      <c r="A337" s="52" t="s">
        <v>770</v>
      </c>
      <c r="B337" s="235" t="s">
        <v>776</v>
      </c>
      <c r="C337" s="235" t="s">
        <v>790</v>
      </c>
      <c r="D337" s="235" t="s">
        <v>1038</v>
      </c>
      <c r="E337" s="235">
        <v>7040</v>
      </c>
      <c r="F337" s="235" t="s">
        <v>1545</v>
      </c>
      <c r="G337" s="235" t="s">
        <v>1549</v>
      </c>
      <c r="H337" s="235" t="s">
        <v>1547</v>
      </c>
      <c r="I337" s="235"/>
      <c r="J337" s="235" t="s">
        <v>1550</v>
      </c>
      <c r="K337" s="233" t="str">
        <f>+CONCATENATE(MID(Estructura_Balance[[#This Row],[Nombre Cuenta]],1,3)," - ", ,MID(Estructura_Balance[[#This Row],[Nombre Cuenta]],6,144))</f>
        <v>704 -  Ventas de envases y embalajes</v>
      </c>
      <c r="L337" s="52">
        <v>35</v>
      </c>
      <c r="M337" s="52" t="s">
        <v>1542</v>
      </c>
    </row>
    <row r="338" spans="1:13" ht="14.25" customHeight="1">
      <c r="A338" s="234" t="s">
        <v>770</v>
      </c>
      <c r="B338" s="235" t="s">
        <v>776</v>
      </c>
      <c r="C338" s="235" t="s">
        <v>790</v>
      </c>
      <c r="D338" s="235" t="s">
        <v>1038</v>
      </c>
      <c r="E338" s="235">
        <v>7050</v>
      </c>
      <c r="F338" s="235" t="str">
        <f>+MID(Estructura_Balance[[#This Row],[CPGC]],1,2)</f>
        <v>70</v>
      </c>
      <c r="G338" s="235" t="str">
        <f>+MID(Estructura_Balance[[#This Row],[CPGC]],1,3)</f>
        <v>705</v>
      </c>
      <c r="H338" s="235" t="str">
        <f>+MID(Estructura_Balance[[#This Row],[Grupo]],1,7)</f>
        <v>Grupo 7</v>
      </c>
      <c r="I338" s="235"/>
      <c r="J338" s="235" t="s">
        <v>1551</v>
      </c>
      <c r="K338" s="233" t="str">
        <f>+CONCATENATE(MID(Estructura_Balance[[#This Row],[Nombre Cuenta]],1,3)," - ", ,MID(Estructura_Balance[[#This Row],[Nombre Cuenta]],6,144))</f>
        <v>705 -  Prestaciones de servicios</v>
      </c>
      <c r="L338" s="52" t="e">
        <f>+LEN([1]!Estructura_Balance[[#This Row],[Nombre Cuenta]])</f>
        <v>#REF!</v>
      </c>
      <c r="M338" s="52" t="s">
        <v>1542</v>
      </c>
    </row>
    <row r="339" spans="1:13" ht="14.25" customHeight="1">
      <c r="A339" s="234" t="s">
        <v>770</v>
      </c>
      <c r="B339" s="235" t="s">
        <v>776</v>
      </c>
      <c r="C339" s="235" t="s">
        <v>790</v>
      </c>
      <c r="D339" s="235" t="s">
        <v>1038</v>
      </c>
      <c r="E339" s="235">
        <v>7060</v>
      </c>
      <c r="F339" s="235" t="str">
        <f>+MID(Estructura_Balance[[#This Row],[CPGC]],1,2)</f>
        <v>70</v>
      </c>
      <c r="G339" s="235" t="str">
        <f>+MID(Estructura_Balance[[#This Row],[CPGC]],1,3)</f>
        <v>706</v>
      </c>
      <c r="H339" s="235" t="str">
        <f>+MID(Estructura_Balance[[#This Row],[Grupo]],1,7)</f>
        <v>Grupo 7</v>
      </c>
      <c r="I339" s="235"/>
      <c r="J339" s="235" t="s">
        <v>1552</v>
      </c>
      <c r="K339" s="233" t="str">
        <f>+CONCATENATE(MID(Estructura_Balance[[#This Row],[Nombre Cuenta]],1,3)," - ", ,MID(Estructura_Balance[[#This Row],[Nombre Cuenta]],6,144))</f>
        <v>706 -  Descuentos sobre ventas por pronto pago</v>
      </c>
      <c r="L339" s="52" t="e">
        <f>+LEN([1]!Estructura_Balance[[#This Row],[Nombre Cuenta]])</f>
        <v>#REF!</v>
      </c>
      <c r="M339" s="52" t="s">
        <v>1542</v>
      </c>
    </row>
    <row r="340" spans="1:13" ht="14.25" customHeight="1">
      <c r="A340" s="234" t="s">
        <v>770</v>
      </c>
      <c r="B340" s="235" t="s">
        <v>776</v>
      </c>
      <c r="C340" s="235" t="s">
        <v>790</v>
      </c>
      <c r="D340" s="235" t="s">
        <v>1038</v>
      </c>
      <c r="E340" s="235">
        <v>7080</v>
      </c>
      <c r="F340" s="235" t="str">
        <f>+MID(Estructura_Balance[[#This Row],[CPGC]],1,2)</f>
        <v>70</v>
      </c>
      <c r="G340" s="235" t="str">
        <f>+MID(Estructura_Balance[[#This Row],[CPGC]],1,3)</f>
        <v>708</v>
      </c>
      <c r="H340" s="235" t="str">
        <f>+MID(Estructura_Balance[[#This Row],[Grupo]],1,7)</f>
        <v>Grupo 7</v>
      </c>
      <c r="I340" s="235"/>
      <c r="J340" s="235" t="s">
        <v>1553</v>
      </c>
      <c r="K340" s="233" t="str">
        <f>+CONCATENATE(MID(Estructura_Balance[[#This Row],[Nombre Cuenta]],1,3)," - ", ,MID(Estructura_Balance[[#This Row],[Nombre Cuenta]],6,144))</f>
        <v>708 -  Devoluciones de ventas y operaciones similares</v>
      </c>
      <c r="L340" s="52" t="e">
        <f>+LEN([1]!Estructura_Balance[[#This Row],[Nombre Cuenta]])</f>
        <v>#REF!</v>
      </c>
      <c r="M340" s="52" t="s">
        <v>1542</v>
      </c>
    </row>
    <row r="341" spans="1:13" ht="14.25" customHeight="1">
      <c r="A341" s="234" t="s">
        <v>770</v>
      </c>
      <c r="B341" s="235" t="s">
        <v>776</v>
      </c>
      <c r="C341" s="235" t="s">
        <v>790</v>
      </c>
      <c r="D341" s="235" t="s">
        <v>1038</v>
      </c>
      <c r="E341" s="235">
        <v>7090</v>
      </c>
      <c r="F341" s="235" t="str">
        <f>+MID(Estructura_Balance[[#This Row],[CPGC]],1,2)</f>
        <v>70</v>
      </c>
      <c r="G341" s="235" t="str">
        <f>+MID(Estructura_Balance[[#This Row],[CPGC]],1,3)</f>
        <v>709</v>
      </c>
      <c r="H341" s="235" t="str">
        <f>+MID(Estructura_Balance[[#This Row],[Grupo]],1,7)</f>
        <v>Grupo 7</v>
      </c>
      <c r="I341" s="235"/>
      <c r="J341" s="235" t="s">
        <v>1554</v>
      </c>
      <c r="K341" s="233" t="str">
        <f>+CONCATENATE(MID(Estructura_Balance[[#This Row],[Nombre Cuenta]],1,3)," - ", ,MID(Estructura_Balance[[#This Row],[Nombre Cuenta]],6,144))</f>
        <v>709 -  “Rappels” sobre ventas</v>
      </c>
      <c r="L341" s="52" t="e">
        <f>+LEN([1]!Estructura_Balance[[#This Row],[Nombre Cuenta]])</f>
        <v>#REF!</v>
      </c>
      <c r="M341" s="52" t="s">
        <v>1542</v>
      </c>
    </row>
    <row r="342" spans="1:13" ht="14.25" customHeight="1">
      <c r="A342" s="234" t="s">
        <v>770</v>
      </c>
      <c r="B342" s="235" t="s">
        <v>776</v>
      </c>
      <c r="C342" s="235" t="s">
        <v>790</v>
      </c>
      <c r="D342" s="235" t="s">
        <v>1038</v>
      </c>
      <c r="E342" s="235">
        <v>7100</v>
      </c>
      <c r="F342" s="235">
        <v>71</v>
      </c>
      <c r="G342" s="235">
        <v>710</v>
      </c>
      <c r="H342" s="235" t="s">
        <v>1547</v>
      </c>
      <c r="I342" s="235"/>
      <c r="J342" s="235" t="s">
        <v>1555</v>
      </c>
      <c r="K342" s="233" t="str">
        <f>+CONCATENATE(MID(Estructura_Balance[[#This Row],[Nombre Cuenta]],1,3)," - ", ,MID(Estructura_Balance[[#This Row],[Nombre Cuenta]],6,144))</f>
        <v>710 -  Variación de existencias de productos en curso</v>
      </c>
      <c r="L342" s="52" t="e">
        <f>+LEN([1]!Estructura_Balance[[#This Row],[Nombre Cuenta]])</f>
        <v>#REF!</v>
      </c>
      <c r="M342" s="52" t="s">
        <v>1542</v>
      </c>
    </row>
    <row r="343" spans="1:13" ht="14.25" customHeight="1">
      <c r="A343" s="234" t="s">
        <v>770</v>
      </c>
      <c r="B343" s="235" t="s">
        <v>776</v>
      </c>
      <c r="C343" s="235" t="s">
        <v>790</v>
      </c>
      <c r="D343" s="235" t="s">
        <v>1038</v>
      </c>
      <c r="E343" s="235">
        <v>7110</v>
      </c>
      <c r="F343" s="235">
        <v>71</v>
      </c>
      <c r="G343" s="235">
        <v>711</v>
      </c>
      <c r="H343" s="235" t="s">
        <v>1547</v>
      </c>
      <c r="I343" s="235"/>
      <c r="J343" s="235" t="s">
        <v>1556</v>
      </c>
      <c r="K343" s="233" t="str">
        <f>+CONCATENATE(MID(Estructura_Balance[[#This Row],[Nombre Cuenta]],1,3)," - ", ,MID(Estructura_Balance[[#This Row],[Nombre Cuenta]],6,144))</f>
        <v>711 -  Variación de existencias de productos semiterminados</v>
      </c>
      <c r="L343" s="52" t="e">
        <f>+LEN([1]!Estructura_Balance[[#This Row],[Nombre Cuenta]])</f>
        <v>#REF!</v>
      </c>
      <c r="M343" s="52" t="s">
        <v>1542</v>
      </c>
    </row>
    <row r="344" spans="1:13" ht="14.25" customHeight="1">
      <c r="A344" s="234" t="s">
        <v>770</v>
      </c>
      <c r="B344" s="235" t="s">
        <v>776</v>
      </c>
      <c r="C344" s="235" t="s">
        <v>790</v>
      </c>
      <c r="D344" s="235" t="s">
        <v>1038</v>
      </c>
      <c r="E344" s="235">
        <v>7120</v>
      </c>
      <c r="F344" s="235" t="str">
        <f>+MID(Estructura_Balance[[#This Row],[CPGC]],1,2)</f>
        <v>71</v>
      </c>
      <c r="G344" s="235" t="str">
        <f>+MID(Estructura_Balance[[#This Row],[CPGC]],1,3)</f>
        <v>712</v>
      </c>
      <c r="H344" s="235" t="str">
        <f>+MID(Estructura_Balance[[#This Row],[Grupo]],1,7)</f>
        <v>Grupo 7</v>
      </c>
      <c r="I344" s="235"/>
      <c r="J344" s="235" t="s">
        <v>1557</v>
      </c>
      <c r="K344" s="233" t="str">
        <f>+CONCATENATE(MID(Estructura_Balance[[#This Row],[Nombre Cuenta]],1,3)," - ", ,MID(Estructura_Balance[[#This Row],[Nombre Cuenta]],6,144))</f>
        <v>712 -  Variación de existencias de productos terminados</v>
      </c>
      <c r="L344" s="52" t="e">
        <f>+LEN([1]!Estructura_Balance[[#This Row],[Nombre Cuenta]])</f>
        <v>#REF!</v>
      </c>
      <c r="M344" s="52" t="s">
        <v>1542</v>
      </c>
    </row>
    <row r="345" spans="1:13" ht="14.25" customHeight="1">
      <c r="A345" s="234" t="s">
        <v>770</v>
      </c>
      <c r="B345" s="235" t="s">
        <v>776</v>
      </c>
      <c r="C345" s="235" t="s">
        <v>790</v>
      </c>
      <c r="D345" s="235" t="s">
        <v>1038</v>
      </c>
      <c r="E345" s="235">
        <v>7130</v>
      </c>
      <c r="F345" s="235" t="str">
        <f>+MID(Estructura_Balance[[#This Row],[CPGC]],1,2)</f>
        <v>71</v>
      </c>
      <c r="G345" s="235" t="str">
        <f>+MID(Estructura_Balance[[#This Row],[CPGC]],1,3)</f>
        <v>713</v>
      </c>
      <c r="H345" s="235" t="str">
        <f>+MID(Estructura_Balance[[#This Row],[Grupo]],1,7)</f>
        <v>Grupo 7</v>
      </c>
      <c r="I345" s="235"/>
      <c r="J345" s="235" t="s">
        <v>1558</v>
      </c>
      <c r="K345" s="233" t="str">
        <f>+CONCATENATE(MID(Estructura_Balance[[#This Row],[Nombre Cuenta]],1,3)," - ", ,MID(Estructura_Balance[[#This Row],[Nombre Cuenta]],6,144))</f>
        <v>713 -  Variación de existencias de subproductos, residuos y materiales recuperados</v>
      </c>
      <c r="L345" s="52" t="e">
        <f>+LEN([1]!Estructura_Balance[[#This Row],[Nombre Cuenta]])</f>
        <v>#REF!</v>
      </c>
      <c r="M345" s="52" t="s">
        <v>1542</v>
      </c>
    </row>
    <row r="346" spans="1:13" ht="14.25" customHeight="1">
      <c r="A346" s="234" t="s">
        <v>770</v>
      </c>
      <c r="B346" s="235" t="s">
        <v>776</v>
      </c>
      <c r="C346" s="235" t="s">
        <v>790</v>
      </c>
      <c r="D346" s="235" t="s">
        <v>1038</v>
      </c>
      <c r="E346" s="235">
        <v>7300</v>
      </c>
      <c r="F346" s="235">
        <v>73</v>
      </c>
      <c r="G346" s="235">
        <v>730</v>
      </c>
      <c r="H346" s="235" t="s">
        <v>1547</v>
      </c>
      <c r="I346" s="235"/>
      <c r="J346" s="235" t="s">
        <v>1559</v>
      </c>
      <c r="K346" s="233" t="str">
        <f>+CONCATENATE(MID(Estructura_Balance[[#This Row],[Nombre Cuenta]],1,3)," - ", ,MID(Estructura_Balance[[#This Row],[Nombre Cuenta]],6,144))</f>
        <v>730 -  Trabajos realizados para el inmovilizado intangible</v>
      </c>
      <c r="L346" s="52" t="e">
        <f>+LEN([1]!Estructura_Balance[[#This Row],[Nombre Cuenta]])</f>
        <v>#REF!</v>
      </c>
      <c r="M346" s="52" t="s">
        <v>1542</v>
      </c>
    </row>
    <row r="347" spans="1:13" ht="14.25" customHeight="1">
      <c r="A347" s="234" t="s">
        <v>770</v>
      </c>
      <c r="B347" s="235" t="s">
        <v>776</v>
      </c>
      <c r="C347" s="235" t="s">
        <v>790</v>
      </c>
      <c r="D347" s="235" t="s">
        <v>1038</v>
      </c>
      <c r="E347" s="235">
        <v>7310</v>
      </c>
      <c r="F347" s="235">
        <v>73</v>
      </c>
      <c r="G347" s="235">
        <v>731</v>
      </c>
      <c r="H347" s="235" t="s">
        <v>1547</v>
      </c>
      <c r="I347" s="235"/>
      <c r="J347" s="235" t="s">
        <v>1560</v>
      </c>
      <c r="K347" s="233" t="str">
        <f>+CONCATENATE(MID(Estructura_Balance[[#This Row],[Nombre Cuenta]],1,3)," - ", ,MID(Estructura_Balance[[#This Row],[Nombre Cuenta]],6,144))</f>
        <v>731 -  Trabajos realizados para el inmovilizado material</v>
      </c>
      <c r="L347" s="52" t="e">
        <f>+LEN([1]!Estructura_Balance[[#This Row],[Nombre Cuenta]])</f>
        <v>#REF!</v>
      </c>
      <c r="M347" s="52" t="s">
        <v>1542</v>
      </c>
    </row>
    <row r="348" spans="1:13" ht="14.25" customHeight="1">
      <c r="A348" s="234" t="s">
        <v>770</v>
      </c>
      <c r="B348" s="235" t="s">
        <v>776</v>
      </c>
      <c r="C348" s="235" t="s">
        <v>790</v>
      </c>
      <c r="D348" s="235" t="s">
        <v>1038</v>
      </c>
      <c r="E348" s="235">
        <v>7320</v>
      </c>
      <c r="F348" s="235">
        <v>73</v>
      </c>
      <c r="G348" s="235">
        <v>732</v>
      </c>
      <c r="H348" s="235" t="s">
        <v>1547</v>
      </c>
      <c r="I348" s="235"/>
      <c r="J348" s="235" t="s">
        <v>1561</v>
      </c>
      <c r="K348" s="233" t="str">
        <f>+CONCATENATE(MID(Estructura_Balance[[#This Row],[Nombre Cuenta]],1,3)," - ", ,MID(Estructura_Balance[[#This Row],[Nombre Cuenta]],6,144))</f>
        <v>732 -  Trabajos realizados en inversiones inmobiliarias</v>
      </c>
      <c r="L348" s="52" t="e">
        <f>+LEN([1]!Estructura_Balance[[#This Row],[Nombre Cuenta]])</f>
        <v>#REF!</v>
      </c>
      <c r="M348" s="52" t="s">
        <v>1542</v>
      </c>
    </row>
    <row r="349" spans="1:13" ht="14.25" customHeight="1">
      <c r="A349" s="234" t="s">
        <v>770</v>
      </c>
      <c r="B349" s="235" t="s">
        <v>776</v>
      </c>
      <c r="C349" s="235" t="s">
        <v>790</v>
      </c>
      <c r="D349" s="235" t="s">
        <v>1038</v>
      </c>
      <c r="E349" s="235">
        <v>7330</v>
      </c>
      <c r="F349" s="235">
        <v>73</v>
      </c>
      <c r="G349" s="235">
        <v>733</v>
      </c>
      <c r="H349" s="235" t="s">
        <v>1547</v>
      </c>
      <c r="I349" s="235"/>
      <c r="J349" s="235" t="s">
        <v>1562</v>
      </c>
      <c r="K349" s="233" t="str">
        <f>+CONCATENATE(MID(Estructura_Balance[[#This Row],[Nombre Cuenta]],1,3)," - ", ,MID(Estructura_Balance[[#This Row],[Nombre Cuenta]],6,144))</f>
        <v>733 -  Trabajos realizados para el inmovilizado material en curso</v>
      </c>
      <c r="L349" s="52" t="e">
        <f>+LEN([1]!Estructura_Balance[[#This Row],[Nombre Cuenta]])</f>
        <v>#REF!</v>
      </c>
      <c r="M349" s="52" t="s">
        <v>1542</v>
      </c>
    </row>
    <row r="350" spans="1:13" ht="14.25" customHeight="1">
      <c r="A350" s="234" t="s">
        <v>770</v>
      </c>
      <c r="B350" s="235" t="s">
        <v>776</v>
      </c>
      <c r="C350" s="235" t="s">
        <v>790</v>
      </c>
      <c r="D350" s="235" t="s">
        <v>1038</v>
      </c>
      <c r="E350" s="235">
        <v>7400</v>
      </c>
      <c r="F350" s="235">
        <v>74</v>
      </c>
      <c r="G350" s="235">
        <v>740</v>
      </c>
      <c r="H350" s="235" t="s">
        <v>1547</v>
      </c>
      <c r="I350" s="235"/>
      <c r="J350" s="235" t="s">
        <v>1563</v>
      </c>
      <c r="K350" s="233" t="str">
        <f>+CONCATENATE(MID(Estructura_Balance[[#This Row],[Nombre Cuenta]],1,3)," - ", ,MID(Estructura_Balance[[#This Row],[Nombre Cuenta]],6,144))</f>
        <v>740 -  Subvenciones, donaciones y legados a la explotación</v>
      </c>
      <c r="L350" s="52" t="e">
        <f>+LEN([1]!Estructura_Balance[[#This Row],[Nombre Cuenta]])</f>
        <v>#REF!</v>
      </c>
      <c r="M350" s="52" t="s">
        <v>1542</v>
      </c>
    </row>
    <row r="351" spans="1:13" ht="14.25" customHeight="1">
      <c r="A351" s="234" t="s">
        <v>770</v>
      </c>
      <c r="B351" s="235" t="s">
        <v>776</v>
      </c>
      <c r="C351" s="235" t="s">
        <v>790</v>
      </c>
      <c r="D351" s="235" t="s">
        <v>1038</v>
      </c>
      <c r="E351" s="235">
        <v>7460</v>
      </c>
      <c r="F351" s="235">
        <v>74</v>
      </c>
      <c r="G351" s="235">
        <v>746</v>
      </c>
      <c r="H351" s="235" t="s">
        <v>1547</v>
      </c>
      <c r="I351" s="235"/>
      <c r="J351" s="235" t="s">
        <v>1564</v>
      </c>
      <c r="K351" s="233" t="str">
        <f>+CONCATENATE(MID(Estructura_Balance[[#This Row],[Nombre Cuenta]],1,3)," - ", ,MID(Estructura_Balance[[#This Row],[Nombre Cuenta]],6,144))</f>
        <v>746 -  Subvenciones, donaciones y legados de capital transferidas al resultado del ejercicio</v>
      </c>
      <c r="L351" s="52" t="e">
        <f>+LEN([1]!Estructura_Balance[[#This Row],[Nombre Cuenta]])</f>
        <v>#REF!</v>
      </c>
      <c r="M351" s="52" t="s">
        <v>1542</v>
      </c>
    </row>
    <row r="352" spans="1:13" ht="14.25" customHeight="1">
      <c r="A352" s="234" t="s">
        <v>770</v>
      </c>
      <c r="B352" s="235" t="s">
        <v>776</v>
      </c>
      <c r="C352" s="235" t="s">
        <v>790</v>
      </c>
      <c r="D352" s="235" t="s">
        <v>1038</v>
      </c>
      <c r="E352" s="235">
        <v>7470</v>
      </c>
      <c r="F352" s="235">
        <v>74</v>
      </c>
      <c r="G352" s="235">
        <v>747</v>
      </c>
      <c r="H352" s="235" t="s">
        <v>1547</v>
      </c>
      <c r="I352" s="235"/>
      <c r="J352" s="235" t="s">
        <v>1565</v>
      </c>
      <c r="K352" s="233" t="str">
        <f>+CONCATENATE(MID(Estructura_Balance[[#This Row],[Nombre Cuenta]],1,3)," - ", ,MID(Estructura_Balance[[#This Row],[Nombre Cuenta]],6,144))</f>
        <v>747 -  Otras subvenciones, donaciones y legados transferidos al resultado del ejercicio</v>
      </c>
      <c r="L352" s="52" t="e">
        <f>+LEN([1]!Estructura_Balance[[#This Row],[Nombre Cuenta]])</f>
        <v>#REF!</v>
      </c>
      <c r="M352" s="52" t="s">
        <v>1542</v>
      </c>
    </row>
    <row r="353" spans="1:13" ht="14.25" customHeight="1">
      <c r="A353" s="234" t="s">
        <v>770</v>
      </c>
      <c r="B353" s="235" t="s">
        <v>776</v>
      </c>
      <c r="C353" s="235" t="s">
        <v>790</v>
      </c>
      <c r="D353" s="235" t="s">
        <v>1038</v>
      </c>
      <c r="E353" s="235">
        <v>7510</v>
      </c>
      <c r="F353" s="235" t="str">
        <f>+MID(Estructura_Balance[[#This Row],[CPGC]],1,2)</f>
        <v>75</v>
      </c>
      <c r="G353" s="235" t="str">
        <f>+MID(Estructura_Balance[[#This Row],[CPGC]],1,3)</f>
        <v>751</v>
      </c>
      <c r="H353" s="235" t="str">
        <f>+MID(Estructura_Balance[[#This Row],[Grupo]],1,7)</f>
        <v>Grupo 7</v>
      </c>
      <c r="I353" s="235"/>
      <c r="J353" s="235" t="s">
        <v>1566</v>
      </c>
      <c r="K353" s="233" t="str">
        <f>+CONCATENATE(MID(Estructura_Balance[[#This Row],[Nombre Cuenta]],1,3)," - ", ,MID(Estructura_Balance[[#This Row],[Nombre Cuenta]],6,144))</f>
        <v>751 -  Resultados de operaciones en común</v>
      </c>
      <c r="L353" s="52" t="e">
        <f>+LEN([1]!Estructura_Balance[[#This Row],[Nombre Cuenta]])</f>
        <v>#REF!</v>
      </c>
      <c r="M353" s="52" t="s">
        <v>1542</v>
      </c>
    </row>
    <row r="354" spans="1:13" ht="14.25" customHeight="1">
      <c r="A354" s="234" t="s">
        <v>770</v>
      </c>
      <c r="B354" s="235" t="s">
        <v>776</v>
      </c>
      <c r="C354" s="235" t="s">
        <v>790</v>
      </c>
      <c r="D354" s="235" t="s">
        <v>1038</v>
      </c>
      <c r="E354" s="235">
        <v>7520</v>
      </c>
      <c r="F354" s="235" t="str">
        <f>+MID(Estructura_Balance[[#This Row],[CPGC]],1,2)</f>
        <v>75</v>
      </c>
      <c r="G354" s="235" t="str">
        <f>+MID(Estructura_Balance[[#This Row],[CPGC]],1,3)</f>
        <v>752</v>
      </c>
      <c r="H354" s="235" t="str">
        <f>+MID(Estructura_Balance[[#This Row],[Grupo]],1,7)</f>
        <v>Grupo 7</v>
      </c>
      <c r="I354" s="235"/>
      <c r="J354" s="235" t="s">
        <v>1567</v>
      </c>
      <c r="K354" s="233" t="str">
        <f>+CONCATENATE(MID(Estructura_Balance[[#This Row],[Nombre Cuenta]],1,3)," - ", ,MID(Estructura_Balance[[#This Row],[Nombre Cuenta]],6,144))</f>
        <v>752 -  Ingresos por arrendamientos</v>
      </c>
      <c r="L354" s="52" t="e">
        <f>+LEN([1]!Estructura_Balance[[#This Row],[Nombre Cuenta]])</f>
        <v>#REF!</v>
      </c>
      <c r="M354" s="52" t="s">
        <v>1542</v>
      </c>
    </row>
    <row r="355" spans="1:13" ht="14.25" customHeight="1">
      <c r="A355" s="52" t="s">
        <v>770</v>
      </c>
      <c r="B355" s="235" t="s">
        <v>776</v>
      </c>
      <c r="C355" s="235" t="s">
        <v>790</v>
      </c>
      <c r="D355" s="235" t="s">
        <v>1038</v>
      </c>
      <c r="E355" s="235">
        <v>7530</v>
      </c>
      <c r="F355" s="235" t="s">
        <v>1568</v>
      </c>
      <c r="G355" s="235" t="s">
        <v>1569</v>
      </c>
      <c r="H355" s="235" t="s">
        <v>1547</v>
      </c>
      <c r="I355" s="235"/>
      <c r="J355" s="235" t="s">
        <v>1570</v>
      </c>
      <c r="K355" s="233" t="str">
        <f>+CONCATENATE(MID(Estructura_Balance[[#This Row],[Nombre Cuenta]],1,3)," - ", ,MID(Estructura_Balance[[#This Row],[Nombre Cuenta]],6,144))</f>
        <v>753 -  Ingresos de propiedad industrial cedida en explotación</v>
      </c>
      <c r="L355" s="52">
        <v>60</v>
      </c>
      <c r="M355" s="52" t="s">
        <v>1542</v>
      </c>
    </row>
    <row r="356" spans="1:13" ht="14.25" customHeight="1">
      <c r="A356" s="52" t="s">
        <v>770</v>
      </c>
      <c r="B356" s="235" t="s">
        <v>776</v>
      </c>
      <c r="C356" s="235" t="s">
        <v>790</v>
      </c>
      <c r="D356" s="235" t="s">
        <v>1038</v>
      </c>
      <c r="E356" s="235">
        <v>7540</v>
      </c>
      <c r="F356" s="235" t="s">
        <v>1568</v>
      </c>
      <c r="G356" s="235" t="s">
        <v>1571</v>
      </c>
      <c r="H356" s="235" t="s">
        <v>1547</v>
      </c>
      <c r="I356" s="235"/>
      <c r="J356" s="235" t="s">
        <v>1572</v>
      </c>
      <c r="K356" s="233" t="str">
        <f>+CONCATENATE(MID(Estructura_Balance[[#This Row],[Nombre Cuenta]],1,3)," - ", ,MID(Estructura_Balance[[#This Row],[Nombre Cuenta]],6,144))</f>
        <v>754 -  Ingresos por comisiones</v>
      </c>
      <c r="L356" s="52">
        <v>29</v>
      </c>
      <c r="M356" s="52" t="s">
        <v>1542</v>
      </c>
    </row>
    <row r="357" spans="1:13" ht="14.25" customHeight="1">
      <c r="A357" s="52" t="s">
        <v>770</v>
      </c>
      <c r="B357" s="235" t="s">
        <v>776</v>
      </c>
      <c r="C357" s="235" t="s">
        <v>790</v>
      </c>
      <c r="D357" s="235" t="s">
        <v>1038</v>
      </c>
      <c r="E357" s="235">
        <v>7550</v>
      </c>
      <c r="F357" s="235" t="s">
        <v>1568</v>
      </c>
      <c r="G357" s="235" t="s">
        <v>1573</v>
      </c>
      <c r="H357" s="235" t="s">
        <v>1547</v>
      </c>
      <c r="I357" s="235"/>
      <c r="J357" s="235" t="s">
        <v>1574</v>
      </c>
      <c r="K357" s="233" t="str">
        <f>+CONCATENATE(MID(Estructura_Balance[[#This Row],[Nombre Cuenta]],1,3)," - ", ,MID(Estructura_Balance[[#This Row],[Nombre Cuenta]],6,144))</f>
        <v>755 -  Ingresos por servicios al personal</v>
      </c>
      <c r="L357" s="52">
        <v>40</v>
      </c>
      <c r="M357" s="52" t="s">
        <v>1542</v>
      </c>
    </row>
    <row r="358" spans="1:13" ht="14.25" customHeight="1">
      <c r="A358" s="234" t="s">
        <v>770</v>
      </c>
      <c r="B358" s="235" t="s">
        <v>776</v>
      </c>
      <c r="C358" s="235" t="s">
        <v>790</v>
      </c>
      <c r="D358" s="235" t="s">
        <v>1038</v>
      </c>
      <c r="E358" s="235">
        <v>7590</v>
      </c>
      <c r="F358" s="235" t="str">
        <f>+MID(Estructura_Balance[[#This Row],[CPGC]],1,2)</f>
        <v>75</v>
      </c>
      <c r="G358" s="235" t="str">
        <f>+MID(Estructura_Balance[[#This Row],[CPGC]],1,3)</f>
        <v>759</v>
      </c>
      <c r="H358" s="235" t="str">
        <f>+MID(Estructura_Balance[[#This Row],[Grupo]],1,7)</f>
        <v>Grupo 7</v>
      </c>
      <c r="I358" s="235"/>
      <c r="J358" s="235" t="s">
        <v>1575</v>
      </c>
      <c r="K358" s="233" t="str">
        <f>+CONCATENATE(MID(Estructura_Balance[[#This Row],[Nombre Cuenta]],1,3)," - ", ,MID(Estructura_Balance[[#This Row],[Nombre Cuenta]],6,144))</f>
        <v>759 -  Ingresos por servicios diversos</v>
      </c>
      <c r="L358" s="52" t="e">
        <f>+LEN([1]!Estructura_Balance[[#This Row],[Nombre Cuenta]])</f>
        <v>#REF!</v>
      </c>
      <c r="M358" s="52" t="s">
        <v>1542</v>
      </c>
    </row>
    <row r="359" spans="1:13" ht="14.25" customHeight="1">
      <c r="A359" s="234" t="s">
        <v>770</v>
      </c>
      <c r="B359" s="235" t="s">
        <v>776</v>
      </c>
      <c r="C359" s="235" t="s">
        <v>790</v>
      </c>
      <c r="D359" s="235" t="s">
        <v>1038</v>
      </c>
      <c r="E359" s="235">
        <v>7600</v>
      </c>
      <c r="F359" s="235">
        <v>76</v>
      </c>
      <c r="G359" s="235">
        <v>760</v>
      </c>
      <c r="H359" s="235" t="s">
        <v>1547</v>
      </c>
      <c r="I359" s="235"/>
      <c r="J359" s="235" t="s">
        <v>1576</v>
      </c>
      <c r="K359" s="233" t="str">
        <f>+CONCATENATE(MID(Estructura_Balance[[#This Row],[Nombre Cuenta]],1,3)," - ", ,MID(Estructura_Balance[[#This Row],[Nombre Cuenta]],6,144))</f>
        <v>760 -  Ingresos de participaciones en instrumentos de patrimonio, empresas del grupo</v>
      </c>
      <c r="L359" s="52" t="e">
        <f>+LEN([1]!Estructura_Balance[[#This Row],[Nombre Cuenta]])</f>
        <v>#REF!</v>
      </c>
      <c r="M359" s="52" t="s">
        <v>1542</v>
      </c>
    </row>
    <row r="360" spans="1:13" ht="14.25" customHeight="1">
      <c r="A360" s="52" t="s">
        <v>770</v>
      </c>
      <c r="B360" s="235" t="s">
        <v>776</v>
      </c>
      <c r="C360" s="235" t="s">
        <v>790</v>
      </c>
      <c r="D360" s="235" t="s">
        <v>1038</v>
      </c>
      <c r="E360" s="235">
        <v>7610</v>
      </c>
      <c r="F360" s="235" t="s">
        <v>1577</v>
      </c>
      <c r="G360" s="235" t="s">
        <v>1578</v>
      </c>
      <c r="H360" s="235" t="s">
        <v>1547</v>
      </c>
      <c r="I360" s="235"/>
      <c r="J360" s="235" t="s">
        <v>1579</v>
      </c>
      <c r="K360" s="233" t="str">
        <f>+CONCATENATE(MID(Estructura_Balance[[#This Row],[Nombre Cuenta]],1,3)," - ", ,MID(Estructura_Balance[[#This Row],[Nombre Cuenta]],6,144))</f>
        <v>761 -  Ingresos de valores representativos de deuda</v>
      </c>
      <c r="L360" s="52">
        <v>83</v>
      </c>
      <c r="M360" s="52" t="s">
        <v>1542</v>
      </c>
    </row>
    <row r="361" spans="1:13" ht="14.25" customHeight="1">
      <c r="A361" s="234" t="s">
        <v>770</v>
      </c>
      <c r="B361" s="235" t="s">
        <v>776</v>
      </c>
      <c r="C361" s="235" t="s">
        <v>790</v>
      </c>
      <c r="D361" s="235" t="s">
        <v>1038</v>
      </c>
      <c r="E361" s="235">
        <v>7620</v>
      </c>
      <c r="F361" s="235" t="str">
        <f>+MID(Estructura_Balance[[#This Row],[CPGC]],1,2)</f>
        <v>76</v>
      </c>
      <c r="G361" s="235" t="str">
        <f>+MID(Estructura_Balance[[#This Row],[CPGC]],1,3)</f>
        <v>762</v>
      </c>
      <c r="H361" s="235" t="str">
        <f>+MID(Estructura_Balance[[#This Row],[Grupo]],1,7)</f>
        <v>Grupo 7</v>
      </c>
      <c r="I361" s="235"/>
      <c r="J361" s="235" t="s">
        <v>1580</v>
      </c>
      <c r="K361" s="233" t="str">
        <f>+CONCATENATE(MID(Estructura_Balance[[#This Row],[Nombre Cuenta]],1,3)," - ", ,MID(Estructura_Balance[[#This Row],[Nombre Cuenta]],6,144))</f>
        <v>762 -   Ingresos de créditos</v>
      </c>
      <c r="L361" s="52" t="e">
        <f>+LEN([1]!Estructura_Balance[[#This Row],[Nombre Cuenta]])</f>
        <v>#REF!</v>
      </c>
      <c r="M361" s="52" t="s">
        <v>1542</v>
      </c>
    </row>
    <row r="362" spans="1:13" ht="14.25" customHeight="1">
      <c r="A362" s="234" t="s">
        <v>770</v>
      </c>
      <c r="B362" s="235" t="s">
        <v>776</v>
      </c>
      <c r="C362" s="235" t="s">
        <v>790</v>
      </c>
      <c r="D362" s="235" t="s">
        <v>1038</v>
      </c>
      <c r="E362" s="235">
        <v>7630</v>
      </c>
      <c r="F362" s="235" t="str">
        <f>+MID(Estructura_Balance[[#This Row],[CPGC]],1,2)</f>
        <v>76</v>
      </c>
      <c r="G362" s="235" t="str">
        <f>+MID(Estructura_Balance[[#This Row],[CPGC]],1,3)</f>
        <v>763</v>
      </c>
      <c r="H362" s="235" t="str">
        <f>+MID(Estructura_Balance[[#This Row],[Grupo]],1,7)</f>
        <v>Grupo 7</v>
      </c>
      <c r="I362" s="235"/>
      <c r="J362" s="235" t="s">
        <v>1581</v>
      </c>
      <c r="K362" s="233" t="str">
        <f>+CONCATENATE(MID(Estructura_Balance[[#This Row],[Nombre Cuenta]],1,3)," - ", ,MID(Estructura_Balance[[#This Row],[Nombre Cuenta]],6,144))</f>
        <v>763 -   Beneficios por valoración de instrumentos financieros por su valor razonable</v>
      </c>
      <c r="L362" s="52" t="e">
        <f>+LEN([1]!Estructura_Balance[[#This Row],[Nombre Cuenta]])</f>
        <v>#REF!</v>
      </c>
      <c r="M362" s="52" t="s">
        <v>1542</v>
      </c>
    </row>
    <row r="363" spans="1:13" ht="14.25" customHeight="1">
      <c r="A363" s="234" t="s">
        <v>770</v>
      </c>
      <c r="B363" s="235" t="s">
        <v>776</v>
      </c>
      <c r="C363" s="235" t="s">
        <v>790</v>
      </c>
      <c r="D363" s="235" t="s">
        <v>1038</v>
      </c>
      <c r="E363" s="235">
        <v>7660</v>
      </c>
      <c r="F363" s="235" t="str">
        <f>+MID(Estructura_Balance[[#This Row],[CPGC]],1,2)</f>
        <v>76</v>
      </c>
      <c r="G363" s="235" t="str">
        <f>+MID(Estructura_Balance[[#This Row],[CPGC]],1,3)</f>
        <v>766</v>
      </c>
      <c r="H363" s="235" t="str">
        <f>+MID(Estructura_Balance[[#This Row],[Grupo]],1,7)</f>
        <v>Grupo 7</v>
      </c>
      <c r="I363" s="235"/>
      <c r="J363" s="235" t="s">
        <v>1582</v>
      </c>
      <c r="K363" s="233" t="str">
        <f>+CONCATENATE(MID(Estructura_Balance[[#This Row],[Nombre Cuenta]],1,3)," - ", ,MID(Estructura_Balance[[#This Row],[Nombre Cuenta]],6,144))</f>
        <v>766 -   Beneficios en participaciones y valores representativos de deuda</v>
      </c>
      <c r="L363" s="52" t="e">
        <f>+LEN([1]!Estructura_Balance[[#This Row],[Nombre Cuenta]])</f>
        <v>#REF!</v>
      </c>
      <c r="M363" s="52" t="s">
        <v>1542</v>
      </c>
    </row>
    <row r="364" spans="1:13" ht="14.25" customHeight="1">
      <c r="A364" s="234" t="s">
        <v>770</v>
      </c>
      <c r="B364" s="235" t="s">
        <v>776</v>
      </c>
      <c r="C364" s="235" t="s">
        <v>790</v>
      </c>
      <c r="D364" s="235" t="s">
        <v>1038</v>
      </c>
      <c r="E364" s="235">
        <v>7670</v>
      </c>
      <c r="F364" s="235" t="str">
        <f>+MID(Estructura_Balance[[#This Row],[CPGC]],1,2)</f>
        <v>76</v>
      </c>
      <c r="G364" s="235" t="str">
        <f>+MID(Estructura_Balance[[#This Row],[CPGC]],1,3)</f>
        <v>767</v>
      </c>
      <c r="H364" s="235" t="str">
        <f>+MID(Estructura_Balance[[#This Row],[Grupo]],1,7)</f>
        <v>Grupo 7</v>
      </c>
      <c r="I364" s="235"/>
      <c r="J364" s="235" t="s">
        <v>1583</v>
      </c>
      <c r="K364" s="233" t="str">
        <f>+CONCATENATE(MID(Estructura_Balance[[#This Row],[Nombre Cuenta]],1,3)," - ", ,MID(Estructura_Balance[[#This Row],[Nombre Cuenta]],6,144))</f>
        <v>767 -   Ingresos de activos afectos y de derechos de reembolso relativos a retribuciones a largo plazo</v>
      </c>
      <c r="L364" s="52" t="e">
        <f>+LEN([1]!Estructura_Balance[[#This Row],[Nombre Cuenta]])</f>
        <v>#REF!</v>
      </c>
      <c r="M364" s="52" t="s">
        <v>1542</v>
      </c>
    </row>
    <row r="365" spans="1:13" ht="14.25" customHeight="1">
      <c r="A365" s="234" t="s">
        <v>770</v>
      </c>
      <c r="B365" s="235" t="s">
        <v>776</v>
      </c>
      <c r="C365" s="235" t="s">
        <v>790</v>
      </c>
      <c r="D365" s="235" t="s">
        <v>1038</v>
      </c>
      <c r="E365" s="235">
        <v>7680</v>
      </c>
      <c r="F365" s="235" t="str">
        <f>+MID(Estructura_Balance[[#This Row],[CPGC]],1,2)</f>
        <v>76</v>
      </c>
      <c r="G365" s="235" t="str">
        <f>+MID(Estructura_Balance[[#This Row],[CPGC]],1,3)</f>
        <v>768</v>
      </c>
      <c r="H365" s="235" t="str">
        <f>+MID(Estructura_Balance[[#This Row],[Grupo]],1,7)</f>
        <v>Grupo 7</v>
      </c>
      <c r="I365" s="235"/>
      <c r="J365" s="235" t="s">
        <v>1584</v>
      </c>
      <c r="K365" s="233" t="str">
        <f>+CONCATENATE(MID(Estructura_Balance[[#This Row],[Nombre Cuenta]],1,3)," - ", ,MID(Estructura_Balance[[#This Row],[Nombre Cuenta]],6,144))</f>
        <v xml:space="preserve">768 -   Diferencias positivas de cambio </v>
      </c>
      <c r="L365" s="52" t="e">
        <f>+LEN([1]!Estructura_Balance[[#This Row],[Nombre Cuenta]])</f>
        <v>#REF!</v>
      </c>
      <c r="M365" s="52" t="s">
        <v>1542</v>
      </c>
    </row>
    <row r="366" spans="1:13" ht="14.25" customHeight="1">
      <c r="A366" s="234" t="s">
        <v>770</v>
      </c>
      <c r="B366" s="235" t="s">
        <v>776</v>
      </c>
      <c r="C366" s="235" t="s">
        <v>790</v>
      </c>
      <c r="D366" s="235" t="s">
        <v>1038</v>
      </c>
      <c r="E366" s="235">
        <v>7690</v>
      </c>
      <c r="F366" s="235" t="str">
        <f>+MID(Estructura_Balance[[#This Row],[CPGC]],1,2)</f>
        <v>76</v>
      </c>
      <c r="G366" s="235" t="str">
        <f>+MID(Estructura_Balance[[#This Row],[CPGC]],1,3)</f>
        <v>769</v>
      </c>
      <c r="H366" s="235" t="str">
        <f>+MID(Estructura_Balance[[#This Row],[Grupo]],1,7)</f>
        <v>Grupo 7</v>
      </c>
      <c r="I366" s="235"/>
      <c r="J366" s="235" t="s">
        <v>1585</v>
      </c>
      <c r="K366" s="233" t="str">
        <f>+CONCATENATE(MID(Estructura_Balance[[#This Row],[Nombre Cuenta]],1,3)," - ", ,MID(Estructura_Balance[[#This Row],[Nombre Cuenta]],6,144))</f>
        <v>769 -   Otros ingresos financieros</v>
      </c>
      <c r="L366" s="52" t="e">
        <f>+LEN([1]!Estructura_Balance[[#This Row],[Nombre Cuenta]])</f>
        <v>#REF!</v>
      </c>
      <c r="M366" s="52" t="s">
        <v>1542</v>
      </c>
    </row>
    <row r="367" spans="1:13" ht="14.25" customHeight="1">
      <c r="A367" s="52" t="s">
        <v>770</v>
      </c>
      <c r="B367" s="235" t="s">
        <v>776</v>
      </c>
      <c r="C367" s="235" t="s">
        <v>790</v>
      </c>
      <c r="D367" s="235" t="s">
        <v>1038</v>
      </c>
      <c r="E367" s="235">
        <v>7700</v>
      </c>
      <c r="F367" s="235" t="s">
        <v>1586</v>
      </c>
      <c r="G367" s="235" t="s">
        <v>1587</v>
      </c>
      <c r="H367" s="235" t="s">
        <v>1547</v>
      </c>
      <c r="I367" s="235"/>
      <c r="J367" s="235" t="s">
        <v>1588</v>
      </c>
      <c r="K367" s="233" t="str">
        <f>+CONCATENATE(MID(Estructura_Balance[[#This Row],[Nombre Cuenta]],1,3)," - ", ,MID(Estructura_Balance[[#This Row],[Nombre Cuenta]],6,144))</f>
        <v>770 -  Beneficios procedentes del inmovilizado intangible</v>
      </c>
      <c r="L367" s="52">
        <v>56</v>
      </c>
      <c r="M367" s="52" t="s">
        <v>1542</v>
      </c>
    </row>
    <row r="368" spans="1:13" ht="14.25" customHeight="1">
      <c r="A368" s="52" t="s">
        <v>770</v>
      </c>
      <c r="B368" s="235" t="s">
        <v>776</v>
      </c>
      <c r="C368" s="235" t="s">
        <v>790</v>
      </c>
      <c r="D368" s="235" t="s">
        <v>1038</v>
      </c>
      <c r="E368" s="235">
        <v>7710</v>
      </c>
      <c r="F368" s="235" t="s">
        <v>1586</v>
      </c>
      <c r="G368" s="235" t="s">
        <v>1589</v>
      </c>
      <c r="H368" s="235" t="s">
        <v>1547</v>
      </c>
      <c r="I368" s="235"/>
      <c r="J368" s="235" t="s">
        <v>1590</v>
      </c>
      <c r="K368" s="233" t="str">
        <f>+CONCATENATE(MID(Estructura_Balance[[#This Row],[Nombre Cuenta]],1,3)," - ", ,MID(Estructura_Balance[[#This Row],[Nombre Cuenta]],6,144))</f>
        <v>771 -  Beneficios procedentes del inmovilizado material</v>
      </c>
      <c r="L368" s="52">
        <v>54</v>
      </c>
      <c r="M368" s="52" t="s">
        <v>1542</v>
      </c>
    </row>
    <row r="369" spans="1:13" ht="14.25" customHeight="1">
      <c r="A369" s="52" t="s">
        <v>770</v>
      </c>
      <c r="B369" s="235" t="s">
        <v>776</v>
      </c>
      <c r="C369" s="235" t="s">
        <v>790</v>
      </c>
      <c r="D369" s="235" t="s">
        <v>1038</v>
      </c>
      <c r="E369" s="235">
        <v>7720</v>
      </c>
      <c r="F369" s="235" t="s">
        <v>1586</v>
      </c>
      <c r="G369" s="235" t="s">
        <v>1591</v>
      </c>
      <c r="H369" s="235" t="s">
        <v>1547</v>
      </c>
      <c r="I369" s="235"/>
      <c r="J369" s="235" t="s">
        <v>1592</v>
      </c>
      <c r="K369" s="233" t="str">
        <f>+CONCATENATE(MID(Estructura_Balance[[#This Row],[Nombre Cuenta]],1,3)," - ", ,MID(Estructura_Balance[[#This Row],[Nombre Cuenta]],6,144))</f>
        <v>772 -  Beneficios procedentes de las inversiones inmobiliarias</v>
      </c>
      <c r="L369" s="52">
        <v>61</v>
      </c>
      <c r="M369" s="52" t="s">
        <v>1542</v>
      </c>
    </row>
    <row r="370" spans="1:13" ht="14.25" customHeight="1">
      <c r="A370" s="52" t="s">
        <v>770</v>
      </c>
      <c r="B370" s="235" t="s">
        <v>776</v>
      </c>
      <c r="C370" s="235" t="s">
        <v>790</v>
      </c>
      <c r="D370" s="235" t="s">
        <v>1038</v>
      </c>
      <c r="E370" s="235">
        <v>7730</v>
      </c>
      <c r="F370" s="235" t="s">
        <v>1586</v>
      </c>
      <c r="G370" s="235" t="s">
        <v>1593</v>
      </c>
      <c r="H370" s="235" t="s">
        <v>1547</v>
      </c>
      <c r="I370" s="235"/>
      <c r="J370" s="235" t="s">
        <v>1594</v>
      </c>
      <c r="K370" s="233" t="str">
        <f>+CONCATENATE(MID(Estructura_Balance[[#This Row],[Nombre Cuenta]],1,3)," - ", ,MID(Estructura_Balance[[#This Row],[Nombre Cuenta]],6,144))</f>
        <v>773 -  Beneficios procedentes de participaciones a largo plazo en partes vinculadas</v>
      </c>
      <c r="L370" s="52">
        <v>82</v>
      </c>
      <c r="M370" s="52" t="s">
        <v>1542</v>
      </c>
    </row>
    <row r="371" spans="1:13" ht="14.25" customHeight="1">
      <c r="A371" s="52" t="s">
        <v>770</v>
      </c>
      <c r="B371" s="235" t="s">
        <v>776</v>
      </c>
      <c r="C371" s="235" t="s">
        <v>790</v>
      </c>
      <c r="D371" s="235" t="s">
        <v>1038</v>
      </c>
      <c r="E371" s="235">
        <v>7740</v>
      </c>
      <c r="F371" s="235" t="s">
        <v>1586</v>
      </c>
      <c r="G371" s="235" t="s">
        <v>1595</v>
      </c>
      <c r="H371" s="235" t="s">
        <v>1547</v>
      </c>
      <c r="I371" s="235"/>
      <c r="J371" s="235" t="s">
        <v>1596</v>
      </c>
      <c r="K371" s="233" t="str">
        <f>+CONCATENATE(MID(Estructura_Balance[[#This Row],[Nombre Cuenta]],1,3)," - ", ,MID(Estructura_Balance[[#This Row],[Nombre Cuenta]],6,144))</f>
        <v>774 -  Diferencia negativa en combinaciones de negocios</v>
      </c>
      <c r="L371" s="52">
        <v>54</v>
      </c>
      <c r="M371" s="52" t="s">
        <v>1542</v>
      </c>
    </row>
    <row r="372" spans="1:13" ht="14.25" customHeight="1">
      <c r="A372" s="52" t="s">
        <v>770</v>
      </c>
      <c r="B372" s="235" t="s">
        <v>776</v>
      </c>
      <c r="C372" s="235" t="s">
        <v>790</v>
      </c>
      <c r="D372" s="235" t="s">
        <v>1038</v>
      </c>
      <c r="E372" s="235">
        <v>7750</v>
      </c>
      <c r="F372" s="235" t="s">
        <v>1586</v>
      </c>
      <c r="G372" s="235" t="s">
        <v>1597</v>
      </c>
      <c r="H372" s="235" t="s">
        <v>1547</v>
      </c>
      <c r="I372" s="235"/>
      <c r="J372" s="235" t="s">
        <v>1598</v>
      </c>
      <c r="K372" s="233" t="str">
        <f>+CONCATENATE(MID(Estructura_Balance[[#This Row],[Nombre Cuenta]],1,3)," - ", ,MID(Estructura_Balance[[#This Row],[Nombre Cuenta]],6,144))</f>
        <v>775 -  Beneficios por operaciones con obligaciones propias</v>
      </c>
      <c r="L372" s="52">
        <v>57</v>
      </c>
      <c r="M372" s="52" t="s">
        <v>1542</v>
      </c>
    </row>
    <row r="373" spans="1:13" ht="14.25" customHeight="1">
      <c r="A373" s="52" t="s">
        <v>770</v>
      </c>
      <c r="B373" s="235" t="s">
        <v>776</v>
      </c>
      <c r="C373" s="235" t="s">
        <v>790</v>
      </c>
      <c r="D373" s="235" t="s">
        <v>1038</v>
      </c>
      <c r="E373" s="235">
        <v>7780</v>
      </c>
      <c r="F373" s="235" t="s">
        <v>1586</v>
      </c>
      <c r="G373" s="235" t="s">
        <v>1599</v>
      </c>
      <c r="H373" s="235" t="s">
        <v>1547</v>
      </c>
      <c r="I373" s="235"/>
      <c r="J373" s="235" t="s">
        <v>1600</v>
      </c>
      <c r="K373" s="233" t="str">
        <f>+CONCATENATE(MID(Estructura_Balance[[#This Row],[Nombre Cuenta]],1,3)," - ", ,MID(Estructura_Balance[[#This Row],[Nombre Cuenta]],6,144))</f>
        <v>778 -  Ingresos excepcionales</v>
      </c>
      <c r="L373" s="52">
        <v>28</v>
      </c>
      <c r="M373" s="52" t="s">
        <v>1542</v>
      </c>
    </row>
    <row r="374" spans="1:13" ht="14.25" customHeight="1">
      <c r="A374" s="52" t="s">
        <v>770</v>
      </c>
      <c r="B374" s="235" t="s">
        <v>776</v>
      </c>
      <c r="C374" s="235" t="s">
        <v>790</v>
      </c>
      <c r="D374" s="235" t="s">
        <v>1038</v>
      </c>
      <c r="E374" s="235">
        <v>7900</v>
      </c>
      <c r="F374" s="235" t="s">
        <v>1601</v>
      </c>
      <c r="G374" s="235" t="s">
        <v>1602</v>
      </c>
      <c r="H374" s="235" t="s">
        <v>1547</v>
      </c>
      <c r="I374" s="235"/>
      <c r="J374" s="235" t="s">
        <v>1603</v>
      </c>
      <c r="K374" s="233" t="str">
        <f>+CONCATENATE(MID(Estructura_Balance[[#This Row],[Nombre Cuenta]],1,3)," - ", ,MID(Estructura_Balance[[#This Row],[Nombre Cuenta]],6,144))</f>
        <v>790 -  Reversión del deterioro del inmovilizado intangible</v>
      </c>
      <c r="L374" s="52">
        <v>57</v>
      </c>
      <c r="M374" s="52" t="s">
        <v>1542</v>
      </c>
    </row>
    <row r="375" spans="1:13" ht="14.25" customHeight="1">
      <c r="A375" s="52" t="s">
        <v>770</v>
      </c>
      <c r="B375" s="235" t="s">
        <v>776</v>
      </c>
      <c r="C375" s="235" t="s">
        <v>790</v>
      </c>
      <c r="D375" s="235" t="s">
        <v>1038</v>
      </c>
      <c r="E375" s="235">
        <v>7910</v>
      </c>
      <c r="F375" s="235" t="s">
        <v>1601</v>
      </c>
      <c r="G375" s="235" t="s">
        <v>1604</v>
      </c>
      <c r="H375" s="235" t="s">
        <v>1547</v>
      </c>
      <c r="I375" s="235"/>
      <c r="J375" s="235" t="s">
        <v>1605</v>
      </c>
      <c r="K375" s="233" t="str">
        <f>+CONCATENATE(MID(Estructura_Balance[[#This Row],[Nombre Cuenta]],1,3)," - ", ,MID(Estructura_Balance[[#This Row],[Nombre Cuenta]],6,144))</f>
        <v>791 -  Reversión del deterioro del inmovilizado material</v>
      </c>
      <c r="L375" s="52">
        <v>55</v>
      </c>
      <c r="M375" s="52" t="s">
        <v>1542</v>
      </c>
    </row>
    <row r="376" spans="1:13" ht="14.25" customHeight="1">
      <c r="A376" s="52" t="s">
        <v>770</v>
      </c>
      <c r="B376" s="235" t="s">
        <v>776</v>
      </c>
      <c r="C376" s="235" t="s">
        <v>790</v>
      </c>
      <c r="D376" s="235" t="s">
        <v>1038</v>
      </c>
      <c r="E376" s="235">
        <v>7920</v>
      </c>
      <c r="F376" s="235" t="s">
        <v>1601</v>
      </c>
      <c r="G376" s="235" t="s">
        <v>1606</v>
      </c>
      <c r="H376" s="235" t="s">
        <v>1547</v>
      </c>
      <c r="I376" s="235"/>
      <c r="J376" s="235" t="s">
        <v>1607</v>
      </c>
      <c r="K376" s="233" t="str">
        <f>+CONCATENATE(MID(Estructura_Balance[[#This Row],[Nombre Cuenta]],1,3)," - ", ,MID(Estructura_Balance[[#This Row],[Nombre Cuenta]],6,144))</f>
        <v>792 -  Reversión del deterioro de las inversiones inmobiliarias</v>
      </c>
      <c r="L376" s="52">
        <v>62</v>
      </c>
      <c r="M376" s="52" t="s">
        <v>1542</v>
      </c>
    </row>
    <row r="377" spans="1:13" ht="14.25" customHeight="1">
      <c r="A377" s="52" t="s">
        <v>770</v>
      </c>
      <c r="B377" s="235" t="s">
        <v>776</v>
      </c>
      <c r="C377" s="235" t="s">
        <v>790</v>
      </c>
      <c r="D377" s="235" t="s">
        <v>1038</v>
      </c>
      <c r="E377" s="235">
        <v>7930</v>
      </c>
      <c r="F377" s="235" t="s">
        <v>1601</v>
      </c>
      <c r="G377" s="235" t="s">
        <v>1608</v>
      </c>
      <c r="H377" s="235" t="s">
        <v>1547</v>
      </c>
      <c r="I377" s="235"/>
      <c r="J377" s="235" t="s">
        <v>1609</v>
      </c>
      <c r="K377" s="233" t="str">
        <f>+CONCATENATE(MID(Estructura_Balance[[#This Row],[Nombre Cuenta]],1,3)," - ", ,MID(Estructura_Balance[[#This Row],[Nombre Cuenta]],6,144))</f>
        <v>793 -  Reversión del deterioro de existencias</v>
      </c>
      <c r="L377" s="52">
        <v>79</v>
      </c>
      <c r="M377" s="52" t="s">
        <v>1542</v>
      </c>
    </row>
    <row r="378" spans="1:13" ht="14.25" customHeight="1">
      <c r="A378" s="52" t="s">
        <v>770</v>
      </c>
      <c r="B378" s="235" t="s">
        <v>776</v>
      </c>
      <c r="C378" s="235" t="s">
        <v>790</v>
      </c>
      <c r="D378" s="235" t="s">
        <v>1038</v>
      </c>
      <c r="E378" s="235">
        <v>7940</v>
      </c>
      <c r="F378" s="235" t="s">
        <v>1601</v>
      </c>
      <c r="G378" s="235" t="s">
        <v>1610</v>
      </c>
      <c r="H378" s="235" t="s">
        <v>1547</v>
      </c>
      <c r="I378" s="235"/>
      <c r="J378" s="235" t="s">
        <v>1611</v>
      </c>
      <c r="K378" s="233" t="str">
        <f>+CONCATENATE(MID(Estructura_Balance[[#This Row],[Nombre Cuenta]],1,3)," - ", ,MID(Estructura_Balance[[#This Row],[Nombre Cuenta]],6,144))</f>
        <v>794 -  Reversión del deterioro de créditos por operaciones comerciales</v>
      </c>
      <c r="L378" s="52">
        <v>69</v>
      </c>
      <c r="M378" s="52" t="s">
        <v>1542</v>
      </c>
    </row>
    <row r="379" spans="1:13" ht="14.25" customHeight="1">
      <c r="A379" s="52" t="s">
        <v>770</v>
      </c>
      <c r="B379" s="235" t="s">
        <v>776</v>
      </c>
      <c r="C379" s="235" t="s">
        <v>790</v>
      </c>
      <c r="D379" s="235" t="s">
        <v>1038</v>
      </c>
      <c r="E379" s="235">
        <v>7950</v>
      </c>
      <c r="F379" s="235" t="s">
        <v>1601</v>
      </c>
      <c r="G379" s="235" t="s">
        <v>1612</v>
      </c>
      <c r="H379" s="235" t="s">
        <v>1547</v>
      </c>
      <c r="I379" s="235"/>
      <c r="J379" s="235" t="s">
        <v>1613</v>
      </c>
      <c r="K379" s="233" t="str">
        <f>+CONCATENATE(MID(Estructura_Balance[[#This Row],[Nombre Cuenta]],1,3)," - ", ,MID(Estructura_Balance[[#This Row],[Nombre Cuenta]],6,144))</f>
        <v>795 -  Exceso de provisiones</v>
      </c>
      <c r="L379" s="52">
        <v>55</v>
      </c>
      <c r="M379" s="52" t="s">
        <v>1542</v>
      </c>
    </row>
    <row r="380" spans="1:13" ht="14.1" customHeight="1">
      <c r="A380" s="52" t="s">
        <v>770</v>
      </c>
      <c r="B380" s="235" t="s">
        <v>776</v>
      </c>
      <c r="C380" s="235" t="s">
        <v>790</v>
      </c>
      <c r="D380" s="235" t="s">
        <v>1038</v>
      </c>
      <c r="E380" s="235">
        <v>7960</v>
      </c>
      <c r="F380" s="235" t="s">
        <v>1601</v>
      </c>
      <c r="G380" s="235" t="s">
        <v>1614</v>
      </c>
      <c r="H380" s="235" t="s">
        <v>1547</v>
      </c>
      <c r="I380" s="235"/>
      <c r="J380" s="235" t="s">
        <v>1615</v>
      </c>
      <c r="K380" s="233" t="str">
        <f>+CONCATENATE(MID(Estructura_Balance[[#This Row],[Nombre Cuenta]],1,3)," - ", ,MID(Estructura_Balance[[#This Row],[Nombre Cuenta]],6,144))</f>
        <v>796 -  Reversión del deterioro de participaciones y valores representativos de deuda a largo plazo</v>
      </c>
      <c r="L380" s="52">
        <v>117</v>
      </c>
      <c r="M380" s="52" t="s">
        <v>1542</v>
      </c>
    </row>
    <row r="381" spans="1:13" ht="14.25" customHeight="1">
      <c r="A381" s="52" t="s">
        <v>770</v>
      </c>
      <c r="B381" s="235" t="s">
        <v>776</v>
      </c>
      <c r="C381" s="235" t="s">
        <v>790</v>
      </c>
      <c r="D381" s="235" t="s">
        <v>1038</v>
      </c>
      <c r="E381" s="235">
        <v>7970</v>
      </c>
      <c r="F381" s="235" t="s">
        <v>1601</v>
      </c>
      <c r="G381" s="235" t="s">
        <v>1616</v>
      </c>
      <c r="H381" s="235" t="s">
        <v>1547</v>
      </c>
      <c r="I381" s="235"/>
      <c r="J381" s="235" t="s">
        <v>1617</v>
      </c>
      <c r="K381" s="233" t="str">
        <f>+CONCATENATE(MID(Estructura_Balance[[#This Row],[Nombre Cuenta]],1,3)," - ", ,MID(Estructura_Balance[[#This Row],[Nombre Cuenta]],6,144))</f>
        <v>797 -  Reversión del deterioro de créditos a largo plazo</v>
      </c>
      <c r="L381" s="52">
        <v>75</v>
      </c>
      <c r="M381" s="52" t="s">
        <v>1542</v>
      </c>
    </row>
    <row r="382" spans="1:13" ht="14.25" customHeight="1">
      <c r="A382" s="52" t="s">
        <v>770</v>
      </c>
      <c r="B382" s="52" t="s">
        <v>776</v>
      </c>
      <c r="C382" s="52" t="s">
        <v>790</v>
      </c>
      <c r="D382" s="52" t="s">
        <v>1038</v>
      </c>
      <c r="E382" s="52">
        <v>7980</v>
      </c>
      <c r="F382" s="52" t="s">
        <v>1601</v>
      </c>
      <c r="G382" s="52" t="s">
        <v>1618</v>
      </c>
      <c r="H382" s="52" t="s">
        <v>1547</v>
      </c>
      <c r="I382" s="52"/>
      <c r="J382" s="52" t="s">
        <v>1619</v>
      </c>
      <c r="K382" s="233" t="str">
        <f>+CONCATENATE(MID(Estructura_Balance[[#This Row],[Nombre Cuenta]],1,3)," - ", ,MID(Estructura_Balance[[#This Row],[Nombre Cuenta]],6,144))</f>
        <v>798 -  Reversión del deterioro de participaciones y valores representativos de deuda a corto plazo</v>
      </c>
      <c r="L382" s="52">
        <v>117</v>
      </c>
      <c r="M382" s="52" t="s">
        <v>1542</v>
      </c>
    </row>
    <row r="383" spans="1:13" ht="14.25" customHeight="1">
      <c r="A383" s="52" t="s">
        <v>770</v>
      </c>
      <c r="B383" s="52" t="s">
        <v>776</v>
      </c>
      <c r="C383" s="52" t="s">
        <v>790</v>
      </c>
      <c r="D383" s="52" t="s">
        <v>1038</v>
      </c>
      <c r="E383" s="52">
        <v>7990</v>
      </c>
      <c r="F383" s="52" t="s">
        <v>1601</v>
      </c>
      <c r="G383" s="52" t="s">
        <v>1620</v>
      </c>
      <c r="H383" s="52" t="s">
        <v>1547</v>
      </c>
      <c r="I383" s="52"/>
      <c r="J383" s="52" t="s">
        <v>1621</v>
      </c>
      <c r="K383" s="233" t="str">
        <f>+CONCATENATE(MID(Estructura_Balance[[#This Row],[Nombre Cuenta]],1,3)," - ", ,MID(Estructura_Balance[[#This Row],[Nombre Cuenta]],6,144))</f>
        <v>799 -  Reversión del deterioro de créditos a corto plazo</v>
      </c>
      <c r="L383" s="52">
        <v>75</v>
      </c>
      <c r="M383" s="52" t="s">
        <v>1542</v>
      </c>
    </row>
    <row r="384" spans="1:13"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sheetData>
  <pageMargins left="0.7" right="0.7" top="0.75" bottom="0.75" header="0" footer="0"/>
  <pageSetup orientation="landscape" r:id="rId1"/>
  <legacyDrawing r:id="rId2"/>
  <tableParts count="1">
    <tablePart r:id="rId3"/>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I255"/>
  <sheetViews>
    <sheetView topLeftCell="H222" workbookViewId="0">
      <selection activeCell="H229" sqref="H229"/>
    </sheetView>
  </sheetViews>
  <sheetFormatPr defaultColWidth="8.7109375" defaultRowHeight="15"/>
  <cols>
    <col min="1" max="1" width="33" bestFit="1" customWidth="1"/>
    <col min="2" max="2" width="31.5703125" bestFit="1" customWidth="1"/>
    <col min="3" max="3" width="69.140625" bestFit="1" customWidth="1"/>
    <col min="4" max="4" width="7.85546875" bestFit="1" customWidth="1"/>
    <col min="5" max="7" width="14.42578125" bestFit="1" customWidth="1"/>
    <col min="8" max="8" width="107.28515625" bestFit="1" customWidth="1"/>
    <col min="9" max="9" width="108.140625" bestFit="1" customWidth="1"/>
  </cols>
  <sheetData>
    <row r="1" spans="1:9">
      <c r="A1" t="s">
        <v>1000</v>
      </c>
      <c r="B1" t="s">
        <v>1001</v>
      </c>
      <c r="C1" t="s">
        <v>1002</v>
      </c>
      <c r="D1" t="s">
        <v>1004</v>
      </c>
      <c r="E1" t="s">
        <v>997</v>
      </c>
      <c r="F1" t="s">
        <v>998</v>
      </c>
      <c r="G1" t="s">
        <v>1622</v>
      </c>
      <c r="H1" t="s">
        <v>1006</v>
      </c>
      <c r="I1" t="s">
        <v>1007</v>
      </c>
    </row>
    <row r="2" spans="1:9">
      <c r="A2" t="s">
        <v>1623</v>
      </c>
      <c r="B2" t="s">
        <v>1624</v>
      </c>
      <c r="C2" t="s">
        <v>749</v>
      </c>
      <c r="D2">
        <v>6000</v>
      </c>
      <c r="E2" t="str">
        <f>+MID(Table8[[#This Row],[CPGC]],1,2)</f>
        <v>60</v>
      </c>
      <c r="F2" t="str">
        <f>+MID(Table8[[#This Row],[CPGC]],1,3)</f>
        <v>600</v>
      </c>
      <c r="H2" t="s">
        <v>1428</v>
      </c>
      <c r="I2" t="str">
        <f>+CONCATENATE(MID(Table8[[#This Row],[Nombre Cuenta]],1,3)," - ", ,MID(Table8[[#This Row],[Nombre Cuenta]],6,144))</f>
        <v>600 -  Compras de mercaderías</v>
      </c>
    </row>
    <row r="3" spans="1:9">
      <c r="A3" t="s">
        <v>1623</v>
      </c>
      <c r="B3" t="s">
        <v>1624</v>
      </c>
      <c r="C3" t="s">
        <v>749</v>
      </c>
      <c r="D3">
        <v>6010</v>
      </c>
      <c r="E3" t="str">
        <f>+MID(Table8[[#This Row],[CPGC]],1,2)</f>
        <v>60</v>
      </c>
      <c r="F3" t="str">
        <f>+MID(Table8[[#This Row],[CPGC]],1,3)</f>
        <v>601</v>
      </c>
      <c r="H3" t="s">
        <v>1430</v>
      </c>
      <c r="I3" t="str">
        <f>+CONCATENATE(MID(Table8[[#This Row],[Nombre Cuenta]],1,3)," - ", ,MID(Table8[[#This Row],[Nombre Cuenta]],6,144))</f>
        <v>601 -  Compras de materias primas</v>
      </c>
    </row>
    <row r="4" spans="1:9">
      <c r="A4" t="s">
        <v>1623</v>
      </c>
      <c r="B4" t="s">
        <v>1624</v>
      </c>
      <c r="C4" t="s">
        <v>749</v>
      </c>
      <c r="D4">
        <v>6020</v>
      </c>
      <c r="E4" t="str">
        <f>+MID(Table8[[#This Row],[CPGC]],1,2)</f>
        <v>60</v>
      </c>
      <c r="F4" t="str">
        <f>+MID(Table8[[#This Row],[CPGC]],1,3)</f>
        <v>602</v>
      </c>
      <c r="H4" t="s">
        <v>1434</v>
      </c>
      <c r="I4" t="str">
        <f>+CONCATENATE(MID(Table8[[#This Row],[Nombre Cuenta]],1,3)," - ", ,MID(Table8[[#This Row],[Nombre Cuenta]],6,144))</f>
        <v>602 -  Compras de otros aprovisionamientos</v>
      </c>
    </row>
    <row r="5" spans="1:9">
      <c r="A5" t="s">
        <v>1623</v>
      </c>
      <c r="B5" t="s">
        <v>1624</v>
      </c>
      <c r="C5" t="s">
        <v>749</v>
      </c>
      <c r="D5">
        <v>6060</v>
      </c>
      <c r="E5" t="str">
        <f>+MID(Table8[[#This Row],[CPGC]],1,2)</f>
        <v>60</v>
      </c>
      <c r="F5" t="str">
        <f>+MID(Table8[[#This Row],[CPGC]],1,3)</f>
        <v>606</v>
      </c>
      <c r="H5" t="s">
        <v>1436</v>
      </c>
      <c r="I5" t="str">
        <f>+CONCATENATE(MID(Table8[[#This Row],[Nombre Cuenta]],1,3)," - ", ,MID(Table8[[#This Row],[Nombre Cuenta]],6,144))</f>
        <v>606 -  Descuentos sobre compras por pronto pago de mercaderías</v>
      </c>
    </row>
    <row r="6" spans="1:9">
      <c r="A6" t="s">
        <v>1623</v>
      </c>
      <c r="B6" t="s">
        <v>1624</v>
      </c>
      <c r="C6" t="s">
        <v>749</v>
      </c>
      <c r="D6">
        <v>6061</v>
      </c>
      <c r="E6" t="str">
        <f>+MID(Table8[[#This Row],[CPGC]],1,2)</f>
        <v>60</v>
      </c>
      <c r="F6" t="str">
        <f>+MID(Table8[[#This Row],[CPGC]],1,3)</f>
        <v>606</v>
      </c>
      <c r="H6" t="s">
        <v>1625</v>
      </c>
      <c r="I6" t="str">
        <f>+CONCATENATE(MID(Table8[[#This Row],[Nombre Cuenta]],1,3)," - ", ,MID(Table8[[#This Row],[Nombre Cuenta]],6,144))</f>
        <v>606 -  Descuentos sobre compras por pronto pago de materias primas</v>
      </c>
    </row>
    <row r="7" spans="1:9">
      <c r="A7" t="s">
        <v>1623</v>
      </c>
      <c r="B7" t="s">
        <v>1624</v>
      </c>
      <c r="C7" t="s">
        <v>749</v>
      </c>
      <c r="D7">
        <v>6062</v>
      </c>
      <c r="E7" t="str">
        <f>+MID(Table8[[#This Row],[CPGC]],1,2)</f>
        <v>60</v>
      </c>
      <c r="F7" t="str">
        <f>+MID(Table8[[#This Row],[CPGC]],1,3)</f>
        <v>606</v>
      </c>
      <c r="H7" t="s">
        <v>1626</v>
      </c>
      <c r="I7" t="str">
        <f>+CONCATENATE(MID(Table8[[#This Row],[Nombre Cuenta]],1,3)," - ", ,MID(Table8[[#This Row],[Nombre Cuenta]],6,144))</f>
        <v>606 -  Descuentos sobre compras por pronto pago de otros aprovisionamientos</v>
      </c>
    </row>
    <row r="8" spans="1:9">
      <c r="A8" t="s">
        <v>1623</v>
      </c>
      <c r="B8" t="s">
        <v>1624</v>
      </c>
      <c r="C8" t="s">
        <v>749</v>
      </c>
      <c r="D8">
        <v>6070</v>
      </c>
      <c r="E8" t="str">
        <f>+MID(Table8[[#This Row],[CPGC]],1,2)</f>
        <v>60</v>
      </c>
      <c r="F8" t="str">
        <f>+MID(Table8[[#This Row],[CPGC]],1,3)</f>
        <v>607</v>
      </c>
      <c r="H8" t="s">
        <v>1438</v>
      </c>
      <c r="I8" t="str">
        <f>+CONCATENATE(MID(Table8[[#This Row],[Nombre Cuenta]],1,3)," - ", ,MID(Table8[[#This Row],[Nombre Cuenta]],6,144))</f>
        <v>607 -  Trabajos realizados por otras empresas</v>
      </c>
    </row>
    <row r="9" spans="1:9">
      <c r="A9" t="s">
        <v>1623</v>
      </c>
      <c r="B9" t="s">
        <v>1624</v>
      </c>
      <c r="C9" t="s">
        <v>749</v>
      </c>
      <c r="D9">
        <v>6080</v>
      </c>
      <c r="E9" t="str">
        <f>+MID(Table8[[#This Row],[CPGC]],1,2)</f>
        <v>60</v>
      </c>
      <c r="F9" t="str">
        <f>+MID(Table8[[#This Row],[CPGC]],1,3)</f>
        <v>608</v>
      </c>
      <c r="H9" t="s">
        <v>1439</v>
      </c>
      <c r="I9" t="str">
        <f>+CONCATENATE(MID(Table8[[#This Row],[Nombre Cuenta]],1,3)," - ", ,MID(Table8[[#This Row],[Nombre Cuenta]],6,144))</f>
        <v>608 -  Devoluciones de compras y operaciones similares</v>
      </c>
    </row>
    <row r="10" spans="1:9">
      <c r="A10" t="s">
        <v>1623</v>
      </c>
      <c r="B10" t="s">
        <v>1624</v>
      </c>
      <c r="C10" t="s">
        <v>749</v>
      </c>
      <c r="D10">
        <v>6081</v>
      </c>
      <c r="E10" t="str">
        <f>+MID(Table8[[#This Row],[CPGC]],1,2)</f>
        <v>60</v>
      </c>
      <c r="F10" t="str">
        <f>+MID(Table8[[#This Row],[CPGC]],1,3)</f>
        <v>608</v>
      </c>
      <c r="H10" t="s">
        <v>1627</v>
      </c>
      <c r="I10" t="str">
        <f>+CONCATENATE(MID(Table8[[#This Row],[Nombre Cuenta]],1,3)," - ", ,MID(Table8[[#This Row],[Nombre Cuenta]],6,144))</f>
        <v>608 -  Devoluciones de compras de materias primas</v>
      </c>
    </row>
    <row r="11" spans="1:9">
      <c r="A11" t="s">
        <v>1623</v>
      </c>
      <c r="B11" t="s">
        <v>1624</v>
      </c>
      <c r="C11" t="s">
        <v>749</v>
      </c>
      <c r="D11">
        <v>6082</v>
      </c>
      <c r="E11" t="str">
        <f>+MID(Table8[[#This Row],[CPGC]],1,2)</f>
        <v>60</v>
      </c>
      <c r="F11" t="str">
        <f>+MID(Table8[[#This Row],[CPGC]],1,3)</f>
        <v>608</v>
      </c>
      <c r="H11" t="s">
        <v>1628</v>
      </c>
      <c r="I11" t="str">
        <f>+CONCATENATE(MID(Table8[[#This Row],[Nombre Cuenta]],1,3)," - ", ,MID(Table8[[#This Row],[Nombre Cuenta]],6,144))</f>
        <v>608 -  Devoluciones de compras de otros aprovisionamientos</v>
      </c>
    </row>
    <row r="12" spans="1:9">
      <c r="A12" t="s">
        <v>1623</v>
      </c>
      <c r="B12" t="s">
        <v>1624</v>
      </c>
      <c r="C12" t="s">
        <v>749</v>
      </c>
      <c r="D12">
        <v>6090</v>
      </c>
      <c r="E12" t="str">
        <f>+MID(Table8[[#This Row],[CPGC]],1,2)</f>
        <v>60</v>
      </c>
      <c r="F12" t="str">
        <f>+MID(Table8[[#This Row],[CPGC]],1,3)</f>
        <v>609</v>
      </c>
      <c r="H12" t="s">
        <v>1629</v>
      </c>
      <c r="I12" t="str">
        <f>+CONCATENATE(MID(Table8[[#This Row],[Nombre Cuenta]],1,3)," - ", ,MID(Table8[[#This Row],[Nombre Cuenta]],6,144))</f>
        <v>609 -  Rappels por compras de mercaderías</v>
      </c>
    </row>
    <row r="13" spans="1:9">
      <c r="A13" t="s">
        <v>1623</v>
      </c>
      <c r="B13" t="s">
        <v>1624</v>
      </c>
      <c r="C13" t="s">
        <v>749</v>
      </c>
      <c r="D13">
        <v>6091</v>
      </c>
      <c r="E13" t="str">
        <f>+MID(Table8[[#This Row],[CPGC]],1,2)</f>
        <v>60</v>
      </c>
      <c r="F13" t="str">
        <f>+MID(Table8[[#This Row],[CPGC]],1,3)</f>
        <v>609</v>
      </c>
      <c r="H13" t="s">
        <v>1630</v>
      </c>
      <c r="I13" t="str">
        <f>+CONCATENATE(MID(Table8[[#This Row],[Nombre Cuenta]],1,3)," - ", ,MID(Table8[[#This Row],[Nombre Cuenta]],6,144))</f>
        <v>609 -  Rappels por compras de materias primas</v>
      </c>
    </row>
    <row r="14" spans="1:9">
      <c r="A14" t="s">
        <v>1623</v>
      </c>
      <c r="B14" t="s">
        <v>1624</v>
      </c>
      <c r="C14" t="s">
        <v>749</v>
      </c>
      <c r="D14">
        <v>6092</v>
      </c>
      <c r="E14" t="str">
        <f>+MID(Table8[[#This Row],[CPGC]],1,2)</f>
        <v>60</v>
      </c>
      <c r="F14" t="str">
        <f>+MID(Table8[[#This Row],[CPGC]],1,3)</f>
        <v>609</v>
      </c>
      <c r="H14" t="s">
        <v>1631</v>
      </c>
      <c r="I14" t="str">
        <f>+CONCATENATE(MID(Table8[[#This Row],[Nombre Cuenta]],1,3)," - ", ,MID(Table8[[#This Row],[Nombre Cuenta]],6,144))</f>
        <v>609 -  Rappels por compras de otros aprovisionamientos</v>
      </c>
    </row>
    <row r="15" spans="1:9">
      <c r="A15" t="s">
        <v>1623</v>
      </c>
      <c r="B15" t="s">
        <v>1624</v>
      </c>
      <c r="C15" t="s">
        <v>749</v>
      </c>
      <c r="D15">
        <v>6100</v>
      </c>
      <c r="E15" t="str">
        <f>+MID(Table8[[#This Row],[CPGC]],1,2)</f>
        <v>61</v>
      </c>
      <c r="F15" t="str">
        <f>+MID(Table8[[#This Row],[CPGC]],1,3)</f>
        <v>610</v>
      </c>
      <c r="H15" t="s">
        <v>1442</v>
      </c>
      <c r="I15" t="str">
        <f>+CONCATENATE(MID(Table8[[#This Row],[Nombre Cuenta]],1,3)," - ", ,MID(Table8[[#This Row],[Nombre Cuenta]],6,144))</f>
        <v>610 -  Variación de existencias de mercaderías</v>
      </c>
    </row>
    <row r="16" spans="1:9">
      <c r="A16" t="s">
        <v>1623</v>
      </c>
      <c r="B16" t="s">
        <v>1624</v>
      </c>
      <c r="C16" t="s">
        <v>749</v>
      </c>
      <c r="D16">
        <v>6110</v>
      </c>
      <c r="E16" t="str">
        <f>+MID(Table8[[#This Row],[CPGC]],1,2)</f>
        <v>61</v>
      </c>
      <c r="F16" t="str">
        <f>+MID(Table8[[#This Row],[CPGC]],1,3)</f>
        <v>611</v>
      </c>
      <c r="H16" t="s">
        <v>1443</v>
      </c>
      <c r="I16" t="str">
        <f>+CONCATENATE(MID(Table8[[#This Row],[Nombre Cuenta]],1,3)," - ", ,MID(Table8[[#This Row],[Nombre Cuenta]],6,144))</f>
        <v>611 -  Variación de existencias de materias primas</v>
      </c>
    </row>
    <row r="17" spans="1:9">
      <c r="A17" t="s">
        <v>1623</v>
      </c>
      <c r="B17" t="s">
        <v>1624</v>
      </c>
      <c r="C17" t="s">
        <v>749</v>
      </c>
      <c r="D17">
        <v>6120</v>
      </c>
      <c r="E17" t="str">
        <f>+MID(Table8[[#This Row],[CPGC]],1,2)</f>
        <v>61</v>
      </c>
      <c r="F17" t="str">
        <f>+MID(Table8[[#This Row],[CPGC]],1,3)</f>
        <v>612</v>
      </c>
      <c r="H17" t="s">
        <v>1444</v>
      </c>
      <c r="I17" t="str">
        <f>+CONCATENATE(MID(Table8[[#This Row],[Nombre Cuenta]],1,3)," - ", ,MID(Table8[[#This Row],[Nombre Cuenta]],6,144))</f>
        <v>612 -  Variación de existencias de otros aprovisionamientos</v>
      </c>
    </row>
    <row r="18" spans="1:9">
      <c r="A18" t="s">
        <v>1623</v>
      </c>
      <c r="B18" t="s">
        <v>1624</v>
      </c>
      <c r="C18" t="s">
        <v>752</v>
      </c>
      <c r="D18">
        <v>6200</v>
      </c>
      <c r="E18" t="str">
        <f>+MID(Table8[[#This Row],[CPGC]],1,2)</f>
        <v>62</v>
      </c>
      <c r="F18" t="str">
        <f>+MID(Table8[[#This Row],[CPGC]],1,3)</f>
        <v>620</v>
      </c>
      <c r="H18" t="s">
        <v>1445</v>
      </c>
      <c r="I18" t="str">
        <f>+CONCATENATE(MID(Table8[[#This Row],[Nombre Cuenta]],1,3)," - ", ,MID(Table8[[#This Row],[Nombre Cuenta]],6,144))</f>
        <v>620 -  Gastos en investigación y desarrollo del ejercicio</v>
      </c>
    </row>
    <row r="19" spans="1:9">
      <c r="A19" t="s">
        <v>1623</v>
      </c>
      <c r="B19" t="s">
        <v>1624</v>
      </c>
      <c r="C19" t="s">
        <v>752</v>
      </c>
      <c r="D19">
        <v>6210</v>
      </c>
      <c r="E19" t="str">
        <f>+MID(Table8[[#This Row],[CPGC]],1,2)</f>
        <v>62</v>
      </c>
      <c r="F19" t="str">
        <f>+MID(Table8[[#This Row],[CPGC]],1,3)</f>
        <v>621</v>
      </c>
      <c r="H19" t="s">
        <v>1446</v>
      </c>
      <c r="I19" t="str">
        <f>+CONCATENATE(MID(Table8[[#This Row],[Nombre Cuenta]],1,3)," - ", ,MID(Table8[[#This Row],[Nombre Cuenta]],6,144))</f>
        <v>621 -  Arrendamientos y cánones</v>
      </c>
    </row>
    <row r="20" spans="1:9">
      <c r="A20" t="s">
        <v>1623</v>
      </c>
      <c r="B20" t="s">
        <v>1624</v>
      </c>
      <c r="C20" t="s">
        <v>752</v>
      </c>
      <c r="D20">
        <v>6220</v>
      </c>
      <c r="E20" t="str">
        <f>+MID(Table8[[#This Row],[CPGC]],1,2)</f>
        <v>62</v>
      </c>
      <c r="F20" t="str">
        <f>+MID(Table8[[#This Row],[CPGC]],1,3)</f>
        <v>622</v>
      </c>
      <c r="H20" t="s">
        <v>1449</v>
      </c>
      <c r="I20" t="str">
        <f>+CONCATENATE(MID(Table8[[#This Row],[Nombre Cuenta]],1,3)," - ", ,MID(Table8[[#This Row],[Nombre Cuenta]],6,144))</f>
        <v>622 -  Reparaciones y conservación</v>
      </c>
    </row>
    <row r="21" spans="1:9">
      <c r="A21" t="s">
        <v>1623</v>
      </c>
      <c r="B21" t="s">
        <v>1624</v>
      </c>
      <c r="C21" t="s">
        <v>752</v>
      </c>
      <c r="D21">
        <v>6230</v>
      </c>
      <c r="E21" t="str">
        <f>+MID(Table8[[#This Row],[CPGC]],1,2)</f>
        <v>62</v>
      </c>
      <c r="F21" t="str">
        <f>+MID(Table8[[#This Row],[CPGC]],1,3)</f>
        <v>623</v>
      </c>
      <c r="H21" t="s">
        <v>1451</v>
      </c>
      <c r="I21" t="str">
        <f>+CONCATENATE(MID(Table8[[#This Row],[Nombre Cuenta]],1,3)," - ", ,MID(Table8[[#This Row],[Nombre Cuenta]],6,144))</f>
        <v>623 -  Servicios de profesionales independientes</v>
      </c>
    </row>
    <row r="22" spans="1:9">
      <c r="A22" t="s">
        <v>1623</v>
      </c>
      <c r="B22" t="s">
        <v>1624</v>
      </c>
      <c r="C22" t="s">
        <v>752</v>
      </c>
      <c r="D22">
        <v>6240</v>
      </c>
      <c r="E22" t="str">
        <f>+MID(Table8[[#This Row],[CPGC]],1,2)</f>
        <v>62</v>
      </c>
      <c r="F22" t="str">
        <f>+MID(Table8[[#This Row],[CPGC]],1,3)</f>
        <v>624</v>
      </c>
      <c r="H22" t="s">
        <v>1453</v>
      </c>
      <c r="I22" t="str">
        <f>+CONCATENATE(MID(Table8[[#This Row],[Nombre Cuenta]],1,3)," - ", ,MID(Table8[[#This Row],[Nombre Cuenta]],6,144))</f>
        <v>624 -  Transportes</v>
      </c>
    </row>
    <row r="23" spans="1:9">
      <c r="A23" t="s">
        <v>1623</v>
      </c>
      <c r="B23" t="s">
        <v>1624</v>
      </c>
      <c r="C23" t="s">
        <v>752</v>
      </c>
      <c r="D23">
        <v>6250</v>
      </c>
      <c r="E23" t="str">
        <f>+MID(Table8[[#This Row],[CPGC]],1,2)</f>
        <v>62</v>
      </c>
      <c r="F23" t="str">
        <f>+MID(Table8[[#This Row],[CPGC]],1,3)</f>
        <v>625</v>
      </c>
      <c r="H23" t="s">
        <v>1455</v>
      </c>
      <c r="I23" t="str">
        <f>+CONCATENATE(MID(Table8[[#This Row],[Nombre Cuenta]],1,3)," - ", ,MID(Table8[[#This Row],[Nombre Cuenta]],6,144))</f>
        <v>625 -  Primas de seguros</v>
      </c>
    </row>
    <row r="24" spans="1:9">
      <c r="A24" t="s">
        <v>1623</v>
      </c>
      <c r="B24" t="s">
        <v>1624</v>
      </c>
      <c r="C24" t="s">
        <v>752</v>
      </c>
      <c r="D24">
        <v>6260</v>
      </c>
      <c r="E24" t="str">
        <f>+MID(Table8[[#This Row],[CPGC]],1,2)</f>
        <v>62</v>
      </c>
      <c r="F24" t="str">
        <f>+MID(Table8[[#This Row],[CPGC]],1,3)</f>
        <v>626</v>
      </c>
      <c r="H24" t="s">
        <v>1457</v>
      </c>
      <c r="I24" t="str">
        <f>+CONCATENATE(MID(Table8[[#This Row],[Nombre Cuenta]],1,3)," - ", ,MID(Table8[[#This Row],[Nombre Cuenta]],6,144))</f>
        <v>626 -  Servicios bancarios y similares</v>
      </c>
    </row>
    <row r="25" spans="1:9">
      <c r="A25" t="s">
        <v>1623</v>
      </c>
      <c r="B25" t="s">
        <v>1624</v>
      </c>
      <c r="C25" t="s">
        <v>752</v>
      </c>
      <c r="D25">
        <v>6270</v>
      </c>
      <c r="E25" t="str">
        <f>+MID(Table8[[#This Row],[CPGC]],1,2)</f>
        <v>62</v>
      </c>
      <c r="F25" t="str">
        <f>+MID(Table8[[#This Row],[CPGC]],1,3)</f>
        <v>627</v>
      </c>
      <c r="H25" t="s">
        <v>1459</v>
      </c>
      <c r="I25" t="str">
        <f>+CONCATENATE(MID(Table8[[#This Row],[Nombre Cuenta]],1,3)," - ", ,MID(Table8[[#This Row],[Nombre Cuenta]],6,144))</f>
        <v>627 -  Publicidad, propaganda y relaciones públicas</v>
      </c>
    </row>
    <row r="26" spans="1:9">
      <c r="A26" t="s">
        <v>1623</v>
      </c>
      <c r="B26" t="s">
        <v>1624</v>
      </c>
      <c r="C26" t="s">
        <v>752</v>
      </c>
      <c r="D26">
        <v>6280</v>
      </c>
      <c r="E26" t="str">
        <f>+MID(Table8[[#This Row],[CPGC]],1,2)</f>
        <v>62</v>
      </c>
      <c r="F26" t="str">
        <f>+MID(Table8[[#This Row],[CPGC]],1,3)</f>
        <v>628</v>
      </c>
      <c r="H26" t="s">
        <v>1461</v>
      </c>
      <c r="I26" t="str">
        <f>+CONCATENATE(MID(Table8[[#This Row],[Nombre Cuenta]],1,3)," - ", ,MID(Table8[[#This Row],[Nombre Cuenta]],6,144))</f>
        <v>628 -  Suministros</v>
      </c>
    </row>
    <row r="27" spans="1:9">
      <c r="A27" t="s">
        <v>1623</v>
      </c>
      <c r="B27" t="s">
        <v>1624</v>
      </c>
      <c r="C27" t="s">
        <v>752</v>
      </c>
      <c r="D27">
        <v>6290</v>
      </c>
      <c r="E27" t="str">
        <f>+MID(Table8[[#This Row],[CPGC]],1,2)</f>
        <v>62</v>
      </c>
      <c r="F27" t="str">
        <f>+MID(Table8[[#This Row],[CPGC]],1,3)</f>
        <v>629</v>
      </c>
      <c r="H27" t="s">
        <v>1463</v>
      </c>
      <c r="I27" t="str">
        <f>+CONCATENATE(MID(Table8[[#This Row],[Nombre Cuenta]],1,3)," - ", ,MID(Table8[[#This Row],[Nombre Cuenta]],6,144))</f>
        <v>629 -  Otros servicios</v>
      </c>
    </row>
    <row r="28" spans="1:9">
      <c r="A28" t="s">
        <v>1632</v>
      </c>
      <c r="B28" t="s">
        <v>1633</v>
      </c>
      <c r="C28" t="s">
        <v>766</v>
      </c>
      <c r="D28">
        <v>6300</v>
      </c>
      <c r="E28" t="str">
        <f>+MID(Table8[[#This Row],[CPGC]],1,2)</f>
        <v>63</v>
      </c>
      <c r="F28" t="str">
        <f>+MID(Table8[[#This Row],[CPGC]],1,3)</f>
        <v>630</v>
      </c>
      <c r="H28" t="s">
        <v>1464</v>
      </c>
      <c r="I28" t="str">
        <f>+CONCATENATE(MID(Table8[[#This Row],[Nombre Cuenta]],1,3)," - ", ,MID(Table8[[#This Row],[Nombre Cuenta]],6,144))</f>
        <v>630 -  Impuesto sobre beneficios</v>
      </c>
    </row>
    <row r="29" spans="1:9">
      <c r="A29" t="s">
        <v>1632</v>
      </c>
      <c r="B29" t="s">
        <v>1633</v>
      </c>
      <c r="C29" t="s">
        <v>766</v>
      </c>
      <c r="D29">
        <v>6301</v>
      </c>
      <c r="E29" t="str">
        <f>+MID(Table8[[#This Row],[CPGC]],1,2)</f>
        <v>63</v>
      </c>
      <c r="F29" t="str">
        <f>+MID(Table8[[#This Row],[CPGC]],1,3)</f>
        <v>630</v>
      </c>
      <c r="H29" t="s">
        <v>1634</v>
      </c>
      <c r="I29" t="str">
        <f>+CONCATENATE(MID(Table8[[#This Row],[Nombre Cuenta]],1,3)," - ", ,MID(Table8[[#This Row],[Nombre Cuenta]],6,144))</f>
        <v>630 -  Impuesto diferido</v>
      </c>
    </row>
    <row r="30" spans="1:9">
      <c r="A30" t="s">
        <v>1623</v>
      </c>
      <c r="B30" t="s">
        <v>1624</v>
      </c>
      <c r="C30" t="s">
        <v>752</v>
      </c>
      <c r="D30">
        <v>6310</v>
      </c>
      <c r="E30" t="str">
        <f>+MID(Table8[[#This Row],[CPGC]],1,2)</f>
        <v>63</v>
      </c>
      <c r="F30" t="str">
        <f>+MID(Table8[[#This Row],[CPGC]],1,3)</f>
        <v>631</v>
      </c>
      <c r="H30" t="s">
        <v>1467</v>
      </c>
      <c r="I30" t="str">
        <f>+CONCATENATE(MID(Table8[[#This Row],[Nombre Cuenta]],1,3)," - ", ,MID(Table8[[#This Row],[Nombre Cuenta]],6,144))</f>
        <v>631 -  Otros tributos</v>
      </c>
    </row>
    <row r="31" spans="1:9">
      <c r="A31" t="s">
        <v>1632</v>
      </c>
      <c r="B31" t="s">
        <v>1633</v>
      </c>
      <c r="C31" t="s">
        <v>766</v>
      </c>
      <c r="D31">
        <v>6330</v>
      </c>
      <c r="E31" t="str">
        <f>+MID(Table8[[#This Row],[CPGC]],1,2)</f>
        <v>63</v>
      </c>
      <c r="F31" t="str">
        <f>+MID(Table8[[#This Row],[CPGC]],1,3)</f>
        <v>633</v>
      </c>
      <c r="H31" t="s">
        <v>1469</v>
      </c>
      <c r="I31" t="str">
        <f>+CONCATENATE(MID(Table8[[#This Row],[Nombre Cuenta]],1,3)," - ", ,MID(Table8[[#This Row],[Nombre Cuenta]],6,144))</f>
        <v>633 -  Ajustes negativos en la imposición sobre beneficios</v>
      </c>
    </row>
    <row r="32" spans="1:9">
      <c r="A32" t="s">
        <v>1623</v>
      </c>
      <c r="B32" t="s">
        <v>1624</v>
      </c>
      <c r="C32" t="s">
        <v>752</v>
      </c>
      <c r="D32">
        <v>6340</v>
      </c>
      <c r="E32" t="str">
        <f>+MID(Table8[[#This Row],[CPGC]],1,2)</f>
        <v>63</v>
      </c>
      <c r="F32" t="str">
        <f>+MID(Table8[[#This Row],[CPGC]],1,3)</f>
        <v>634</v>
      </c>
      <c r="H32" t="s">
        <v>1471</v>
      </c>
      <c r="I32" t="str">
        <f>+CONCATENATE(MID(Table8[[#This Row],[Nombre Cuenta]],1,3)," - ", ,MID(Table8[[#This Row],[Nombre Cuenta]],6,144))</f>
        <v>634 -  Ajustes negativos en la imposición indirecta</v>
      </c>
    </row>
    <row r="33" spans="1:9">
      <c r="A33" t="s">
        <v>1623</v>
      </c>
      <c r="B33" t="s">
        <v>1624</v>
      </c>
      <c r="C33" t="s">
        <v>752</v>
      </c>
      <c r="D33">
        <v>6341</v>
      </c>
      <c r="E33" t="str">
        <f>+MID(Table8[[#This Row],[CPGC]],1,2)</f>
        <v>63</v>
      </c>
      <c r="F33" t="str">
        <f>+MID(Table8[[#This Row],[CPGC]],1,3)</f>
        <v>634</v>
      </c>
      <c r="H33" t="s">
        <v>1635</v>
      </c>
      <c r="I33" t="str">
        <f>+CONCATENATE(MID(Table8[[#This Row],[Nombre Cuenta]],1,3)," - ", ,MID(Table8[[#This Row],[Nombre Cuenta]],6,144))</f>
        <v>634 -  Ajustes negativos en IVA de activo corriente</v>
      </c>
    </row>
    <row r="34" spans="1:9">
      <c r="A34" t="s">
        <v>1623</v>
      </c>
      <c r="B34" t="s">
        <v>1624</v>
      </c>
      <c r="C34" t="s">
        <v>752</v>
      </c>
      <c r="D34">
        <v>6342</v>
      </c>
      <c r="E34" t="str">
        <f>+MID(Table8[[#This Row],[CPGC]],1,2)</f>
        <v>63</v>
      </c>
      <c r="F34" t="str">
        <f>+MID(Table8[[#This Row],[CPGC]],1,3)</f>
        <v>634</v>
      </c>
      <c r="H34" t="s">
        <v>1636</v>
      </c>
      <c r="I34" t="str">
        <f>+CONCATENATE(MID(Table8[[#This Row],[Nombre Cuenta]],1,3)," - ", ,MID(Table8[[#This Row],[Nombre Cuenta]],6,144))</f>
        <v>634 -  Ajustes negativos en IVA de inversiones</v>
      </c>
    </row>
    <row r="35" spans="1:9">
      <c r="A35" t="s">
        <v>1623</v>
      </c>
      <c r="B35" t="s">
        <v>1624</v>
      </c>
      <c r="C35" t="s">
        <v>752</v>
      </c>
      <c r="D35">
        <v>6360</v>
      </c>
      <c r="E35" t="str">
        <f>+MID(Table8[[#This Row],[CPGC]],1,2)</f>
        <v>63</v>
      </c>
      <c r="F35" t="str">
        <f>+MID(Table8[[#This Row],[CPGC]],1,3)</f>
        <v>636</v>
      </c>
      <c r="H35" t="s">
        <v>1473</v>
      </c>
      <c r="I35" t="str">
        <f>+CONCATENATE(MID(Table8[[#This Row],[Nombre Cuenta]],1,3)," - ", ,MID(Table8[[#This Row],[Nombre Cuenta]],6,144))</f>
        <v>636 -  Devolución de impuestos</v>
      </c>
    </row>
    <row r="36" spans="1:9">
      <c r="A36" t="s">
        <v>1632</v>
      </c>
      <c r="B36" t="s">
        <v>1633</v>
      </c>
      <c r="C36" t="s">
        <v>766</v>
      </c>
      <c r="D36">
        <v>6380</v>
      </c>
      <c r="E36" t="str">
        <f>+MID(Table8[[#This Row],[CPGC]],1,2)</f>
        <v>63</v>
      </c>
      <c r="F36" t="str">
        <f>+MID(Table8[[#This Row],[CPGC]],1,3)</f>
        <v>638</v>
      </c>
      <c r="H36" t="s">
        <v>1475</v>
      </c>
      <c r="I36" t="str">
        <f>+CONCATENATE(MID(Table8[[#This Row],[Nombre Cuenta]],1,3)," - ", ,MID(Table8[[#This Row],[Nombre Cuenta]],6,144))</f>
        <v>638 -  Ajustes positivos en la imposición sobre beneficios</v>
      </c>
    </row>
    <row r="37" spans="1:9">
      <c r="A37" t="s">
        <v>1623</v>
      </c>
      <c r="B37" t="s">
        <v>1624</v>
      </c>
      <c r="C37" t="s">
        <v>752</v>
      </c>
      <c r="D37">
        <v>6390</v>
      </c>
      <c r="E37" t="str">
        <f>+MID(Table8[[#This Row],[CPGC]],1,2)</f>
        <v>63</v>
      </c>
      <c r="F37" t="str">
        <f>+MID(Table8[[#This Row],[CPGC]],1,3)</f>
        <v>639</v>
      </c>
      <c r="H37" t="s">
        <v>1477</v>
      </c>
      <c r="I37" t="str">
        <f>+CONCATENATE(MID(Table8[[#This Row],[Nombre Cuenta]],1,3)," - ", ,MID(Table8[[#This Row],[Nombre Cuenta]],6,144))</f>
        <v>639 -  Ajustes positivos en la imposición indirecta</v>
      </c>
    </row>
    <row r="38" spans="1:9">
      <c r="A38" t="s">
        <v>1623</v>
      </c>
      <c r="B38" t="s">
        <v>1624</v>
      </c>
      <c r="C38" t="s">
        <v>752</v>
      </c>
      <c r="D38">
        <v>6391</v>
      </c>
      <c r="E38" t="str">
        <f>+MID(Table8[[#This Row],[CPGC]],1,2)</f>
        <v>63</v>
      </c>
      <c r="F38" t="str">
        <f>+MID(Table8[[#This Row],[CPGC]],1,3)</f>
        <v>639</v>
      </c>
      <c r="H38" t="s">
        <v>1637</v>
      </c>
      <c r="I38" t="str">
        <f>+CONCATENATE(MID(Table8[[#This Row],[Nombre Cuenta]],1,3)," - ", ,MID(Table8[[#This Row],[Nombre Cuenta]],6,144))</f>
        <v>639 -  Ajustes positivos en IVA de activo corriente</v>
      </c>
    </row>
    <row r="39" spans="1:9">
      <c r="A39" t="s">
        <v>1623</v>
      </c>
      <c r="B39" t="s">
        <v>1624</v>
      </c>
      <c r="C39" t="s">
        <v>752</v>
      </c>
      <c r="D39">
        <v>6392</v>
      </c>
      <c r="E39" t="str">
        <f>+MID(Table8[[#This Row],[CPGC]],1,2)</f>
        <v>63</v>
      </c>
      <c r="F39" t="str">
        <f>+MID(Table8[[#This Row],[CPGC]],1,3)</f>
        <v>639</v>
      </c>
      <c r="H39" t="s">
        <v>1638</v>
      </c>
      <c r="I39" t="str">
        <f>+CONCATENATE(MID(Table8[[#This Row],[Nombre Cuenta]],1,3)," - ", ,MID(Table8[[#This Row],[Nombre Cuenta]],6,144))</f>
        <v>639 -  Ajustes positivos en IVA de inversiones</v>
      </c>
    </row>
    <row r="40" spans="1:9">
      <c r="A40" t="s">
        <v>1623</v>
      </c>
      <c r="B40" t="s">
        <v>1624</v>
      </c>
      <c r="C40" t="s">
        <v>751</v>
      </c>
      <c r="D40">
        <v>6400</v>
      </c>
      <c r="E40" t="str">
        <f>+MID(Table8[[#This Row],[CPGC]],1,2)</f>
        <v>64</v>
      </c>
      <c r="F40" t="str">
        <f>+MID(Table8[[#This Row],[CPGC]],1,3)</f>
        <v>640</v>
      </c>
      <c r="H40" t="s">
        <v>1478</v>
      </c>
      <c r="I40" t="str">
        <f>+CONCATENATE(MID(Table8[[#This Row],[Nombre Cuenta]],1,3)," - ", ,MID(Table8[[#This Row],[Nombre Cuenta]],6,144))</f>
        <v>640 -  Sueldos y salarios</v>
      </c>
    </row>
    <row r="41" spans="1:9">
      <c r="A41" t="s">
        <v>1623</v>
      </c>
      <c r="B41" t="s">
        <v>1624</v>
      </c>
      <c r="C41" t="s">
        <v>751</v>
      </c>
      <c r="D41">
        <v>6410</v>
      </c>
      <c r="E41" t="str">
        <f>+MID(Table8[[#This Row],[CPGC]],1,2)</f>
        <v>64</v>
      </c>
      <c r="F41" t="str">
        <f>+MID(Table8[[#This Row],[CPGC]],1,3)</f>
        <v>641</v>
      </c>
      <c r="H41" t="s">
        <v>1479</v>
      </c>
      <c r="I41" t="str">
        <f>+CONCATENATE(MID(Table8[[#This Row],[Nombre Cuenta]],1,3)," - ", ,MID(Table8[[#This Row],[Nombre Cuenta]],6,144))</f>
        <v>641 -  Indemnizaciones</v>
      </c>
    </row>
    <row r="42" spans="1:9">
      <c r="A42" t="s">
        <v>1623</v>
      </c>
      <c r="B42" t="s">
        <v>1624</v>
      </c>
      <c r="C42" t="s">
        <v>751</v>
      </c>
      <c r="D42">
        <v>6420</v>
      </c>
      <c r="E42" t="str">
        <f>+MID(Table8[[#This Row],[CPGC]],1,2)</f>
        <v>64</v>
      </c>
      <c r="F42" t="str">
        <f>+MID(Table8[[#This Row],[CPGC]],1,3)</f>
        <v>642</v>
      </c>
      <c r="H42" t="s">
        <v>1480</v>
      </c>
      <c r="I42" t="str">
        <f>+CONCATENATE(MID(Table8[[#This Row],[Nombre Cuenta]],1,3)," - ", ,MID(Table8[[#This Row],[Nombre Cuenta]],6,144))</f>
        <v>642 -  Seguridad social a cargo de la empresa</v>
      </c>
    </row>
    <row r="43" spans="1:9">
      <c r="A43" t="s">
        <v>1623</v>
      </c>
      <c r="B43" t="s">
        <v>1624</v>
      </c>
      <c r="C43" t="s">
        <v>751</v>
      </c>
      <c r="D43">
        <v>6430</v>
      </c>
      <c r="E43" t="str">
        <f>+MID(Table8[[#This Row],[CPGC]],1,2)</f>
        <v>64</v>
      </c>
      <c r="F43" t="str">
        <f>+MID(Table8[[#This Row],[CPGC]],1,3)</f>
        <v>643</v>
      </c>
      <c r="H43" t="s">
        <v>1483</v>
      </c>
      <c r="I43" t="str">
        <f>+CONCATENATE(MID(Table8[[#This Row],[Nombre Cuenta]],1,3)," - ", ,MID(Table8[[#This Row],[Nombre Cuenta]],6,144))</f>
        <v>643 -  Retribuciones a largo plazo mediante sistemas de aportación definida</v>
      </c>
    </row>
    <row r="44" spans="1:9">
      <c r="A44" t="s">
        <v>1623</v>
      </c>
      <c r="B44" t="s">
        <v>1624</v>
      </c>
      <c r="C44" t="s">
        <v>751</v>
      </c>
      <c r="D44">
        <v>6440</v>
      </c>
      <c r="E44" t="str">
        <f>+MID(Table8[[#This Row],[CPGC]],1,2)</f>
        <v>64</v>
      </c>
      <c r="F44" t="str">
        <f>+MID(Table8[[#This Row],[CPGC]],1,3)</f>
        <v>644</v>
      </c>
      <c r="H44" t="s">
        <v>1639</v>
      </c>
      <c r="I44" t="str">
        <f>+CONCATENATE(MID(Table8[[#This Row],[Nombre Cuenta]],1,3)," - ", ,MID(Table8[[#This Row],[Nombre Cuenta]],6,144))</f>
        <v>644 -  Retribuciones a largo plazo mediante sistemas de prestación definida. Contribuciones anuales</v>
      </c>
    </row>
    <row r="45" spans="1:9">
      <c r="A45" t="s">
        <v>1623</v>
      </c>
      <c r="B45" t="s">
        <v>1624</v>
      </c>
      <c r="C45" t="s">
        <v>751</v>
      </c>
      <c r="D45">
        <v>6442</v>
      </c>
      <c r="E45" t="str">
        <f>+MID(Table8[[#This Row],[CPGC]],1,2)</f>
        <v>64</v>
      </c>
      <c r="F45" t="str">
        <f>+MID(Table8[[#This Row],[CPGC]],1,3)</f>
        <v>644</v>
      </c>
      <c r="H45" t="s">
        <v>1640</v>
      </c>
      <c r="I45" t="str">
        <f>+CONCATENATE(MID(Table8[[#This Row],[Nombre Cuenta]],1,3)," - ", ,MID(Table8[[#This Row],[Nombre Cuenta]],6,144))</f>
        <v>644 -  Retribuciones a largo plazo mediante sistemas de prestación definida. Otros costes</v>
      </c>
    </row>
    <row r="46" spans="1:9">
      <c r="A46" t="s">
        <v>1623</v>
      </c>
      <c r="B46" t="s">
        <v>1624</v>
      </c>
      <c r="C46" t="s">
        <v>751</v>
      </c>
      <c r="D46">
        <v>6450</v>
      </c>
      <c r="E46" t="str">
        <f>+MID(Table8[[#This Row],[CPGC]],1,2)</f>
        <v>64</v>
      </c>
      <c r="F46" t="str">
        <f>+MID(Table8[[#This Row],[CPGC]],1,3)</f>
        <v>645</v>
      </c>
      <c r="H46" t="s">
        <v>1487</v>
      </c>
      <c r="I46" t="str">
        <f>+CONCATENATE(MID(Table8[[#This Row],[Nombre Cuenta]],1,3)," - ", ,MID(Table8[[#This Row],[Nombre Cuenta]],6,144))</f>
        <v>645 -  Retribuciones al personal liquidados con instrumentos de patrimonio</v>
      </c>
    </row>
    <row r="47" spans="1:9">
      <c r="A47" t="s">
        <v>1623</v>
      </c>
      <c r="B47" t="s">
        <v>1624</v>
      </c>
      <c r="C47" t="s">
        <v>751</v>
      </c>
      <c r="D47">
        <v>6457</v>
      </c>
      <c r="E47" t="str">
        <f>+MID(Table8[[#This Row],[CPGC]],1,2)</f>
        <v>64</v>
      </c>
      <c r="F47" t="str">
        <f>+MID(Table8[[#This Row],[CPGC]],1,3)</f>
        <v>645</v>
      </c>
      <c r="H47" t="s">
        <v>1641</v>
      </c>
      <c r="I47" t="str">
        <f>+CONCATENATE(MID(Table8[[#This Row],[Nombre Cuenta]],1,3)," - ", ,MID(Table8[[#This Row],[Nombre Cuenta]],6,144))</f>
        <v>645 -  Retribuciones al personal liquidados en efectivo basados en instrumentos de patrimonio</v>
      </c>
    </row>
    <row r="48" spans="1:9">
      <c r="A48" t="s">
        <v>1623</v>
      </c>
      <c r="B48" t="s">
        <v>1624</v>
      </c>
      <c r="C48" t="s">
        <v>751</v>
      </c>
      <c r="D48">
        <v>6490</v>
      </c>
      <c r="E48" t="str">
        <f>+MID(Table8[[#This Row],[CPGC]],1,2)</f>
        <v>64</v>
      </c>
      <c r="F48" t="str">
        <f>+MID(Table8[[#This Row],[CPGC]],1,3)</f>
        <v>649</v>
      </c>
      <c r="H48" t="s">
        <v>1489</v>
      </c>
      <c r="I48" t="str">
        <f>+CONCATENATE(MID(Table8[[#This Row],[Nombre Cuenta]],1,3)," - ", ,MID(Table8[[#This Row],[Nombre Cuenta]],6,144))</f>
        <v>649 -  Otros gastos sociales</v>
      </c>
    </row>
    <row r="49" spans="1:9">
      <c r="A49" t="s">
        <v>1623</v>
      </c>
      <c r="B49" t="s">
        <v>1624</v>
      </c>
      <c r="C49" t="s">
        <v>752</v>
      </c>
      <c r="D49">
        <v>6500</v>
      </c>
      <c r="E49" t="str">
        <f>+MID(Table8[[#This Row],[CPGC]],1,2)</f>
        <v>65</v>
      </c>
      <c r="F49" t="str">
        <f>+MID(Table8[[#This Row],[CPGC]],1,3)</f>
        <v>650</v>
      </c>
      <c r="H49" t="s">
        <v>1492</v>
      </c>
      <c r="I49" t="str">
        <f>+CONCATENATE(MID(Table8[[#This Row],[Nombre Cuenta]],1,3)," - ", ,MID(Table8[[#This Row],[Nombre Cuenta]],6,144))</f>
        <v>650 -  Pérdidas de créditos comerciales incobrables</v>
      </c>
    </row>
    <row r="50" spans="1:9">
      <c r="A50" t="s">
        <v>1623</v>
      </c>
      <c r="B50" t="s">
        <v>1624</v>
      </c>
      <c r="C50" t="s">
        <v>752</v>
      </c>
      <c r="D50">
        <v>6510</v>
      </c>
      <c r="E50" t="str">
        <f>+MID(Table8[[#This Row],[CPGC]],1,2)</f>
        <v>65</v>
      </c>
      <c r="F50" t="str">
        <f>+MID(Table8[[#This Row],[CPGC]],1,3)</f>
        <v>651</v>
      </c>
      <c r="H50" t="s">
        <v>1642</v>
      </c>
      <c r="I50" t="str">
        <f>+CONCATENATE(MID(Table8[[#This Row],[Nombre Cuenta]],1,3)," - ", ,MID(Table8[[#This Row],[Nombre Cuenta]],6,144))</f>
        <v>651 -  Resultados de operaciones en común. Beneficio transferido (gestor)</v>
      </c>
    </row>
    <row r="51" spans="1:9">
      <c r="A51" t="s">
        <v>1623</v>
      </c>
      <c r="B51" t="s">
        <v>1624</v>
      </c>
      <c r="C51" t="s">
        <v>752</v>
      </c>
      <c r="D51">
        <v>6511</v>
      </c>
      <c r="E51" t="str">
        <f>+MID(Table8[[#This Row],[CPGC]],1,2)</f>
        <v>65</v>
      </c>
      <c r="F51" t="str">
        <f>+MID(Table8[[#This Row],[CPGC]],1,3)</f>
        <v>651</v>
      </c>
      <c r="H51" t="s">
        <v>1643</v>
      </c>
      <c r="I51" t="str">
        <f>+CONCATENATE(MID(Table8[[#This Row],[Nombre Cuenta]],1,3)," - ", ,MID(Table8[[#This Row],[Nombre Cuenta]],6,144))</f>
        <v>651 -  Resultados de operaciones en común. Pérdida soportada (partícipe o asociado no gestor)</v>
      </c>
    </row>
    <row r="52" spans="1:9">
      <c r="A52" t="s">
        <v>1623</v>
      </c>
      <c r="B52" t="s">
        <v>1624</v>
      </c>
      <c r="C52" t="s">
        <v>752</v>
      </c>
      <c r="D52">
        <v>6590</v>
      </c>
      <c r="E52" t="str">
        <f>+MID(Table8[[#This Row],[CPGC]],1,2)</f>
        <v>65</v>
      </c>
      <c r="F52" t="str">
        <f>+MID(Table8[[#This Row],[CPGC]],1,3)</f>
        <v>659</v>
      </c>
      <c r="H52" t="s">
        <v>1496</v>
      </c>
      <c r="I52" t="str">
        <f>+CONCATENATE(MID(Table8[[#This Row],[Nombre Cuenta]],1,3)," - ", ,MID(Table8[[#This Row],[Nombre Cuenta]],6,144))</f>
        <v>659 -  Otras pérdidas en gestión corriente</v>
      </c>
    </row>
    <row r="53" spans="1:9">
      <c r="A53" t="s">
        <v>1623</v>
      </c>
      <c r="B53" t="s">
        <v>1644</v>
      </c>
      <c r="C53" t="s">
        <v>760</v>
      </c>
      <c r="D53">
        <v>6600</v>
      </c>
      <c r="E53" t="str">
        <f>+MID(Table8[[#This Row],[CPGC]],1,2)</f>
        <v>66</v>
      </c>
      <c r="F53" t="str">
        <f>+MID(Table8[[#This Row],[CPGC]],1,3)</f>
        <v>660</v>
      </c>
      <c r="H53" t="s">
        <v>1497</v>
      </c>
      <c r="I53" t="str">
        <f>+CONCATENATE(MID(Table8[[#This Row],[Nombre Cuenta]],1,3)," - ", ,MID(Table8[[#This Row],[Nombre Cuenta]],6,144))</f>
        <v>660 -  Gastos financieros por actualización de provisiones</v>
      </c>
    </row>
    <row r="54" spans="1:9">
      <c r="A54" t="s">
        <v>1623</v>
      </c>
      <c r="B54" t="s">
        <v>1644</v>
      </c>
      <c r="C54" t="s">
        <v>760</v>
      </c>
      <c r="D54">
        <v>6610</v>
      </c>
      <c r="E54" t="str">
        <f>+MID(Table8[[#This Row],[CPGC]],1,2)</f>
        <v>66</v>
      </c>
      <c r="F54" t="str">
        <f>+MID(Table8[[#This Row],[CPGC]],1,3)</f>
        <v>661</v>
      </c>
      <c r="H54" t="s">
        <v>1645</v>
      </c>
      <c r="I54" t="str">
        <f>+CONCATENATE(MID(Table8[[#This Row],[Nombre Cuenta]],1,3)," - ", ,MID(Table8[[#This Row],[Nombre Cuenta]],6,144))</f>
        <v>661 -  Intereses de obligaciones y bonos a largo plazo, empresas del grupo</v>
      </c>
    </row>
    <row r="55" spans="1:9">
      <c r="A55" t="s">
        <v>1623</v>
      </c>
      <c r="B55" t="s">
        <v>1644</v>
      </c>
      <c r="C55" t="s">
        <v>760</v>
      </c>
      <c r="D55">
        <v>6611</v>
      </c>
      <c r="E55" t="str">
        <f>+MID(Table8[[#This Row],[CPGC]],1,2)</f>
        <v>66</v>
      </c>
      <c r="F55" t="str">
        <f>+MID(Table8[[#This Row],[CPGC]],1,3)</f>
        <v>661</v>
      </c>
      <c r="H55" t="s">
        <v>1646</v>
      </c>
      <c r="I55" t="str">
        <f>+CONCATENATE(MID(Table8[[#This Row],[Nombre Cuenta]],1,3)," - ", ,MID(Table8[[#This Row],[Nombre Cuenta]],6,144))</f>
        <v>661 -  Intereses de obligaciones y bonos a largo plazo, empresas asociadas</v>
      </c>
    </row>
    <row r="56" spans="1:9">
      <c r="A56" t="s">
        <v>1623</v>
      </c>
      <c r="B56" t="s">
        <v>1644</v>
      </c>
      <c r="C56" t="s">
        <v>760</v>
      </c>
      <c r="D56">
        <v>6612</v>
      </c>
      <c r="E56" t="str">
        <f>+MID(Table8[[#This Row],[CPGC]],1,2)</f>
        <v>66</v>
      </c>
      <c r="F56" t="str">
        <f>+MID(Table8[[#This Row],[CPGC]],1,3)</f>
        <v>661</v>
      </c>
      <c r="H56" t="s">
        <v>1647</v>
      </c>
      <c r="I56" t="str">
        <f>+CONCATENATE(MID(Table8[[#This Row],[Nombre Cuenta]],1,3)," - ", ,MID(Table8[[#This Row],[Nombre Cuenta]],6,144))</f>
        <v>661 -  Intereses de obligaciones y bonos a largo plazo, otras partes vinculadas</v>
      </c>
    </row>
    <row r="57" spans="1:9">
      <c r="A57" t="s">
        <v>1623</v>
      </c>
      <c r="B57" t="s">
        <v>1644</v>
      </c>
      <c r="C57" t="s">
        <v>760</v>
      </c>
      <c r="D57">
        <v>6613</v>
      </c>
      <c r="E57" t="str">
        <f>+MID(Table8[[#This Row],[CPGC]],1,2)</f>
        <v>66</v>
      </c>
      <c r="F57" t="str">
        <f>+MID(Table8[[#This Row],[CPGC]],1,3)</f>
        <v>661</v>
      </c>
      <c r="H57" t="s">
        <v>1648</v>
      </c>
      <c r="I57" t="str">
        <f>+CONCATENATE(MID(Table8[[#This Row],[Nombre Cuenta]],1,3)," - ", ,MID(Table8[[#This Row],[Nombre Cuenta]],6,144))</f>
        <v>661 -  Intereses de obligaciones y bonos a largo plazo, otras empresas</v>
      </c>
    </row>
    <row r="58" spans="1:9">
      <c r="A58" t="s">
        <v>1623</v>
      </c>
      <c r="B58" t="s">
        <v>1644</v>
      </c>
      <c r="C58" t="s">
        <v>760</v>
      </c>
      <c r="D58">
        <v>6615</v>
      </c>
      <c r="E58" t="str">
        <f>+MID(Table8[[#This Row],[CPGC]],1,2)</f>
        <v>66</v>
      </c>
      <c r="F58" t="str">
        <f>+MID(Table8[[#This Row],[CPGC]],1,3)</f>
        <v>661</v>
      </c>
      <c r="H58" t="s">
        <v>1649</v>
      </c>
      <c r="I58" t="str">
        <f>+CONCATENATE(MID(Table8[[#This Row],[Nombre Cuenta]],1,3)," - ", ,MID(Table8[[#This Row],[Nombre Cuenta]],6,144))</f>
        <v>661 -  Intereses de obligaciones y bonos a corto plazo, empresas del grupo</v>
      </c>
    </row>
    <row r="59" spans="1:9">
      <c r="A59" t="s">
        <v>1623</v>
      </c>
      <c r="B59" t="s">
        <v>1644</v>
      </c>
      <c r="C59" t="s">
        <v>760</v>
      </c>
      <c r="D59">
        <v>6616</v>
      </c>
      <c r="E59" t="str">
        <f>+MID(Table8[[#This Row],[CPGC]],1,2)</f>
        <v>66</v>
      </c>
      <c r="F59" t="str">
        <f>+MID(Table8[[#This Row],[CPGC]],1,3)</f>
        <v>661</v>
      </c>
      <c r="H59" t="s">
        <v>1650</v>
      </c>
      <c r="I59" t="str">
        <f>+CONCATENATE(MID(Table8[[#This Row],[Nombre Cuenta]],1,3)," - ", ,MID(Table8[[#This Row],[Nombre Cuenta]],6,144))</f>
        <v>661 -  Intereses de obligaciones y bonos a corto plazo, empresas asociadas</v>
      </c>
    </row>
    <row r="60" spans="1:9">
      <c r="A60" t="s">
        <v>1623</v>
      </c>
      <c r="B60" t="s">
        <v>1644</v>
      </c>
      <c r="C60" t="s">
        <v>760</v>
      </c>
      <c r="D60">
        <v>6617</v>
      </c>
      <c r="E60" t="str">
        <f>+MID(Table8[[#This Row],[CPGC]],1,2)</f>
        <v>66</v>
      </c>
      <c r="F60" t="str">
        <f>+MID(Table8[[#This Row],[CPGC]],1,3)</f>
        <v>661</v>
      </c>
      <c r="H60" t="s">
        <v>1651</v>
      </c>
      <c r="I60" t="str">
        <f>+CONCATENATE(MID(Table8[[#This Row],[Nombre Cuenta]],1,3)," - ", ,MID(Table8[[#This Row],[Nombre Cuenta]],6,144))</f>
        <v>661 -  Intereses de obligaciones y bonos a corto plazo, otras partes vinculadas</v>
      </c>
    </row>
    <row r="61" spans="1:9">
      <c r="A61" t="s">
        <v>1623</v>
      </c>
      <c r="B61" t="s">
        <v>1644</v>
      </c>
      <c r="C61" t="s">
        <v>760</v>
      </c>
      <c r="D61">
        <v>6618</v>
      </c>
      <c r="E61" t="str">
        <f>+MID(Table8[[#This Row],[CPGC]],1,2)</f>
        <v>66</v>
      </c>
      <c r="F61" t="str">
        <f>+MID(Table8[[#This Row],[CPGC]],1,3)</f>
        <v>661</v>
      </c>
      <c r="H61" t="s">
        <v>1652</v>
      </c>
      <c r="I61" t="str">
        <f>+CONCATENATE(MID(Table8[[#This Row],[Nombre Cuenta]],1,3)," - ", ,MID(Table8[[#This Row],[Nombre Cuenta]],6,144))</f>
        <v>661 -  Intereses de obligaciones y bonos a corto plazo, otras empresas</v>
      </c>
    </row>
    <row r="62" spans="1:9">
      <c r="A62" t="s">
        <v>1623</v>
      </c>
      <c r="B62" t="s">
        <v>1644</v>
      </c>
      <c r="C62" t="s">
        <v>760</v>
      </c>
      <c r="D62">
        <v>6620</v>
      </c>
      <c r="E62" t="str">
        <f>+MID(Table8[[#This Row],[CPGC]],1,2)</f>
        <v>66</v>
      </c>
      <c r="F62" t="str">
        <f>+MID(Table8[[#This Row],[CPGC]],1,3)</f>
        <v>662</v>
      </c>
      <c r="H62" t="s">
        <v>1499</v>
      </c>
      <c r="I62" t="str">
        <f>+CONCATENATE(MID(Table8[[#This Row],[Nombre Cuenta]],1,3)," - ", ,MID(Table8[[#This Row],[Nombre Cuenta]],6,144))</f>
        <v>662 -   Intereses de deudas</v>
      </c>
    </row>
    <row r="63" spans="1:9">
      <c r="A63" t="s">
        <v>1623</v>
      </c>
      <c r="B63" t="s">
        <v>1644</v>
      </c>
      <c r="C63" t="s">
        <v>760</v>
      </c>
      <c r="D63">
        <v>6620</v>
      </c>
      <c r="E63" t="str">
        <f>+MID(Table8[[#This Row],[CPGC]],1,2)</f>
        <v>66</v>
      </c>
      <c r="F63" t="str">
        <f>+MID(Table8[[#This Row],[CPGC]],1,3)</f>
        <v>662</v>
      </c>
      <c r="H63" t="s">
        <v>1653</v>
      </c>
      <c r="I63" t="str">
        <f>+CONCATENATE(MID(Table8[[#This Row],[Nombre Cuenta]],1,3)," - ", ,MID(Table8[[#This Row],[Nombre Cuenta]],6,144))</f>
        <v>662 -  Intereses de deudas , empresas del grupo</v>
      </c>
    </row>
    <row r="64" spans="1:9">
      <c r="A64" t="s">
        <v>1623</v>
      </c>
      <c r="B64" t="s">
        <v>1644</v>
      </c>
      <c r="C64" t="s">
        <v>760</v>
      </c>
      <c r="D64">
        <v>6621</v>
      </c>
      <c r="E64" t="str">
        <f>+MID(Table8[[#This Row],[CPGC]],1,2)</f>
        <v>66</v>
      </c>
      <c r="F64" t="str">
        <f>+MID(Table8[[#This Row],[CPGC]],1,3)</f>
        <v>662</v>
      </c>
      <c r="H64" t="s">
        <v>1654</v>
      </c>
      <c r="I64" t="str">
        <f>+CONCATENATE(MID(Table8[[#This Row],[Nombre Cuenta]],1,3)," - ", ,MID(Table8[[#This Row],[Nombre Cuenta]],6,144))</f>
        <v>662 -  Intereses de deudas, empresas asociadas</v>
      </c>
    </row>
    <row r="65" spans="1:9">
      <c r="A65" t="s">
        <v>1623</v>
      </c>
      <c r="B65" t="s">
        <v>1644</v>
      </c>
      <c r="C65" t="s">
        <v>760</v>
      </c>
      <c r="D65">
        <v>6622</v>
      </c>
      <c r="E65" t="str">
        <f>+MID(Table8[[#This Row],[CPGC]],1,2)</f>
        <v>66</v>
      </c>
      <c r="F65" t="str">
        <f>+MID(Table8[[#This Row],[CPGC]],1,3)</f>
        <v>662</v>
      </c>
      <c r="H65" t="s">
        <v>1655</v>
      </c>
      <c r="I65" t="str">
        <f>+CONCATENATE(MID(Table8[[#This Row],[Nombre Cuenta]],1,3)," - ", ,MID(Table8[[#This Row],[Nombre Cuenta]],6,144))</f>
        <v>662 -  Intereses de deudas, otras partes vinculadas</v>
      </c>
    </row>
    <row r="66" spans="1:9">
      <c r="A66" t="s">
        <v>1623</v>
      </c>
      <c r="B66" t="s">
        <v>1644</v>
      </c>
      <c r="C66" t="s">
        <v>760</v>
      </c>
      <c r="D66">
        <v>6623</v>
      </c>
      <c r="E66" t="str">
        <f>+MID(Table8[[#This Row],[CPGC]],1,2)</f>
        <v>66</v>
      </c>
      <c r="F66" t="str">
        <f>+MID(Table8[[#This Row],[CPGC]],1,3)</f>
        <v>662</v>
      </c>
      <c r="H66" t="s">
        <v>1656</v>
      </c>
      <c r="I66" t="str">
        <f>+CONCATENATE(MID(Table8[[#This Row],[Nombre Cuenta]],1,3)," - ", ,MID(Table8[[#This Row],[Nombre Cuenta]],6,144))</f>
        <v>662 -  Intereses de deudas con entidades de crédito</v>
      </c>
    </row>
    <row r="67" spans="1:9">
      <c r="A67" t="s">
        <v>1623</v>
      </c>
      <c r="B67" t="s">
        <v>1644</v>
      </c>
      <c r="C67" t="s">
        <v>760</v>
      </c>
      <c r="D67">
        <v>6624</v>
      </c>
      <c r="E67" t="str">
        <f>+MID(Table8[[#This Row],[CPGC]],1,2)</f>
        <v>66</v>
      </c>
      <c r="F67" t="str">
        <f>+MID(Table8[[#This Row],[CPGC]],1,3)</f>
        <v>662</v>
      </c>
      <c r="H67" t="s">
        <v>1657</v>
      </c>
      <c r="I67" t="str">
        <f>+CONCATENATE(MID(Table8[[#This Row],[Nombre Cuenta]],1,3)," - ", ,MID(Table8[[#This Row],[Nombre Cuenta]],6,144))</f>
        <v>662 -  Intereses de deudas, otras empresas</v>
      </c>
    </row>
    <row r="68" spans="1:9">
      <c r="A68" t="s">
        <v>1623</v>
      </c>
      <c r="B68" t="s">
        <v>1644</v>
      </c>
      <c r="C68" t="s">
        <v>761</v>
      </c>
      <c r="D68">
        <v>6630</v>
      </c>
      <c r="E68" t="str">
        <f>+MID(Table8[[#This Row],[CPGC]],1,2)</f>
        <v>66</v>
      </c>
      <c r="F68" t="str">
        <f>+MID(Table8[[#This Row],[CPGC]],1,3)</f>
        <v>663</v>
      </c>
      <c r="H68" t="s">
        <v>1500</v>
      </c>
      <c r="I68" t="str">
        <f>+CONCATENATE(MID(Table8[[#This Row],[Nombre Cuenta]],1,3)," - ", ,MID(Table8[[#This Row],[Nombre Cuenta]],6,144))</f>
        <v>663 -  Pérdidas por valoración de instrumentos financieros por su valor razonable</v>
      </c>
    </row>
    <row r="69" spans="1:9">
      <c r="A69" t="s">
        <v>1623</v>
      </c>
      <c r="B69" t="s">
        <v>1644</v>
      </c>
      <c r="C69" t="s">
        <v>761</v>
      </c>
      <c r="D69">
        <v>6631</v>
      </c>
      <c r="E69" t="str">
        <f>+MID(Table8[[#This Row],[CPGC]],1,2)</f>
        <v>66</v>
      </c>
      <c r="F69" t="str">
        <f>+MID(Table8[[#This Row],[CPGC]],1,3)</f>
        <v>663</v>
      </c>
      <c r="H69" t="s">
        <v>1658</v>
      </c>
      <c r="I69" t="str">
        <f>+CONCATENATE(MID(Table8[[#This Row],[Nombre Cuenta]],1,3)," - ", ,MID(Table8[[#This Row],[Nombre Cuenta]],6,144))</f>
        <v>663 -  Pérdidas de designados por la empresa</v>
      </c>
    </row>
    <row r="70" spans="1:9">
      <c r="A70" t="s">
        <v>1623</v>
      </c>
      <c r="B70" t="s">
        <v>1644</v>
      </c>
      <c r="C70" t="s">
        <v>761</v>
      </c>
      <c r="D70">
        <v>6632</v>
      </c>
      <c r="E70" t="str">
        <f>+MID(Table8[[#This Row],[CPGC]],1,2)</f>
        <v>66</v>
      </c>
      <c r="F70" t="str">
        <f>+MID(Table8[[#This Row],[CPGC]],1,3)</f>
        <v>663</v>
      </c>
      <c r="H70" t="s">
        <v>1659</v>
      </c>
      <c r="I70" t="str">
        <f>+CONCATENATE(MID(Table8[[#This Row],[Nombre Cuenta]],1,3)," - ", ,MID(Table8[[#This Row],[Nombre Cuenta]],6,144))</f>
        <v>663 -  Pérdidas de disponibles para la venta</v>
      </c>
    </row>
    <row r="71" spans="1:9">
      <c r="A71" t="s">
        <v>1623</v>
      </c>
      <c r="B71" t="s">
        <v>1644</v>
      </c>
      <c r="C71" t="s">
        <v>761</v>
      </c>
      <c r="D71">
        <v>6633</v>
      </c>
      <c r="E71" t="str">
        <f>+MID(Table8[[#This Row],[CPGC]],1,2)</f>
        <v>66</v>
      </c>
      <c r="F71" t="str">
        <f>+MID(Table8[[#This Row],[CPGC]],1,3)</f>
        <v>663</v>
      </c>
      <c r="H71" t="s">
        <v>1660</v>
      </c>
      <c r="I71" t="str">
        <f>+CONCATENATE(MID(Table8[[#This Row],[Nombre Cuenta]],1,3)," - ", ,MID(Table8[[#This Row],[Nombre Cuenta]],6,144))</f>
        <v>663 -  Pérdidas de instrumentos de cobertura</v>
      </c>
    </row>
    <row r="72" spans="1:9">
      <c r="A72" t="s">
        <v>1623</v>
      </c>
      <c r="B72" t="s">
        <v>1644</v>
      </c>
      <c r="C72" t="s">
        <v>760</v>
      </c>
      <c r="D72">
        <v>6640</v>
      </c>
      <c r="E72" t="str">
        <f>+MID(Table8[[#This Row],[CPGC]],1,2)</f>
        <v>66</v>
      </c>
      <c r="F72" t="str">
        <f>+MID(Table8[[#This Row],[CPGC]],1,3)</f>
        <v>664</v>
      </c>
      <c r="H72" t="s">
        <v>1661</v>
      </c>
      <c r="I72" t="str">
        <f>+CONCATENATE(MID(Table8[[#This Row],[Nombre Cuenta]],1,3)," - ", ,MID(Table8[[#This Row],[Nombre Cuenta]],6,144))</f>
        <v>664 -  Dividendos de pasivos, empresas del grupo</v>
      </c>
    </row>
    <row r="73" spans="1:9">
      <c r="A73" t="s">
        <v>1623</v>
      </c>
      <c r="B73" t="s">
        <v>1644</v>
      </c>
      <c r="C73" t="s">
        <v>760</v>
      </c>
      <c r="D73">
        <v>6641</v>
      </c>
      <c r="E73" t="str">
        <f>+MID(Table8[[#This Row],[CPGC]],1,2)</f>
        <v>66</v>
      </c>
      <c r="F73" t="str">
        <f>+MID(Table8[[#This Row],[CPGC]],1,3)</f>
        <v>664</v>
      </c>
      <c r="H73" t="s">
        <v>1662</v>
      </c>
      <c r="I73" t="str">
        <f>+CONCATENATE(MID(Table8[[#This Row],[Nombre Cuenta]],1,3)," - ", ,MID(Table8[[#This Row],[Nombre Cuenta]],6,144))</f>
        <v>664 -  Dividendos de pasivos, empresas asociadas</v>
      </c>
    </row>
    <row r="74" spans="1:9">
      <c r="A74" t="s">
        <v>1623</v>
      </c>
      <c r="B74" t="s">
        <v>1644</v>
      </c>
      <c r="C74" t="s">
        <v>760</v>
      </c>
      <c r="D74">
        <v>6642</v>
      </c>
      <c r="E74" t="str">
        <f>+MID(Table8[[#This Row],[CPGC]],1,2)</f>
        <v>66</v>
      </c>
      <c r="F74" t="str">
        <f>+MID(Table8[[#This Row],[CPGC]],1,3)</f>
        <v>664</v>
      </c>
      <c r="H74" t="s">
        <v>1663</v>
      </c>
      <c r="I74" t="str">
        <f>+CONCATENATE(MID(Table8[[#This Row],[Nombre Cuenta]],1,3)," - ", ,MID(Table8[[#This Row],[Nombre Cuenta]],6,144))</f>
        <v>664 -  Dividendos de pasivos, otras partes vinculadas</v>
      </c>
    </row>
    <row r="75" spans="1:9">
      <c r="A75" t="s">
        <v>1623</v>
      </c>
      <c r="B75" t="s">
        <v>1644</v>
      </c>
      <c r="C75" t="s">
        <v>760</v>
      </c>
      <c r="D75">
        <v>6643</v>
      </c>
      <c r="E75" t="str">
        <f>+MID(Table8[[#This Row],[CPGC]],1,2)</f>
        <v>66</v>
      </c>
      <c r="F75" t="str">
        <f>+MID(Table8[[#This Row],[CPGC]],1,3)</f>
        <v>664</v>
      </c>
      <c r="H75" t="s">
        <v>1664</v>
      </c>
      <c r="I75" t="str">
        <f>+CONCATENATE(MID(Table8[[#This Row],[Nombre Cuenta]],1,3)," - ", ,MID(Table8[[#This Row],[Nombre Cuenta]],6,144))</f>
        <v>664 -  Dividendos de pasivos, otras empresas</v>
      </c>
    </row>
    <row r="76" spans="1:9">
      <c r="A76" t="s">
        <v>1623</v>
      </c>
      <c r="B76" t="s">
        <v>1644</v>
      </c>
      <c r="C76" t="s">
        <v>760</v>
      </c>
      <c r="D76">
        <v>6650</v>
      </c>
      <c r="E76" t="str">
        <f>+MID(Table8[[#This Row],[CPGC]],1,2)</f>
        <v>66</v>
      </c>
      <c r="F76" t="str">
        <f>+MID(Table8[[#This Row],[CPGC]],1,3)</f>
        <v>665</v>
      </c>
      <c r="H76" t="s">
        <v>1665</v>
      </c>
      <c r="I76" t="str">
        <f>+CONCATENATE(MID(Table8[[#This Row],[Nombre Cuenta]],1,3)," - ", ,MID(Table8[[#This Row],[Nombre Cuenta]],6,144))</f>
        <v>665 -  Intereses por descuentos de efectos en entidades de crédito del grupo</v>
      </c>
    </row>
    <row r="77" spans="1:9">
      <c r="A77" t="s">
        <v>1623</v>
      </c>
      <c r="B77" t="s">
        <v>1644</v>
      </c>
      <c r="C77" t="s">
        <v>760</v>
      </c>
      <c r="D77">
        <v>6651</v>
      </c>
      <c r="E77" t="str">
        <f>+MID(Table8[[#This Row],[CPGC]],1,2)</f>
        <v>66</v>
      </c>
      <c r="F77" t="str">
        <f>+MID(Table8[[#This Row],[CPGC]],1,3)</f>
        <v>665</v>
      </c>
      <c r="H77" t="s">
        <v>1666</v>
      </c>
      <c r="I77" t="str">
        <f>+CONCATENATE(MID(Table8[[#This Row],[Nombre Cuenta]],1,3)," - ", ,MID(Table8[[#This Row],[Nombre Cuenta]],6,144))</f>
        <v>665 -  Intereses por descuento de efectos en entidades de crédito asociadas</v>
      </c>
    </row>
    <row r="78" spans="1:9">
      <c r="A78" t="s">
        <v>1623</v>
      </c>
      <c r="B78" t="s">
        <v>1644</v>
      </c>
      <c r="C78" t="s">
        <v>760</v>
      </c>
      <c r="D78">
        <v>6652</v>
      </c>
      <c r="E78" t="str">
        <f>+MID(Table8[[#This Row],[CPGC]],1,2)</f>
        <v>66</v>
      </c>
      <c r="F78" t="str">
        <f>+MID(Table8[[#This Row],[CPGC]],1,3)</f>
        <v>665</v>
      </c>
      <c r="H78" t="s">
        <v>1667</v>
      </c>
      <c r="I78" t="str">
        <f>+CONCATENATE(MID(Table8[[#This Row],[Nombre Cuenta]],1,3)," - ", ,MID(Table8[[#This Row],[Nombre Cuenta]],6,144))</f>
        <v>665 -  Intereses por descuento de efectos en otras entidades de crédito vinculadas</v>
      </c>
    </row>
    <row r="79" spans="1:9">
      <c r="A79" t="s">
        <v>1623</v>
      </c>
      <c r="B79" t="s">
        <v>1644</v>
      </c>
      <c r="C79" t="s">
        <v>760</v>
      </c>
      <c r="D79">
        <v>6653</v>
      </c>
      <c r="E79" t="str">
        <f>+MID(Table8[[#This Row],[CPGC]],1,2)</f>
        <v>66</v>
      </c>
      <c r="F79" t="str">
        <f>+MID(Table8[[#This Row],[CPGC]],1,3)</f>
        <v>665</v>
      </c>
      <c r="H79" t="s">
        <v>1668</v>
      </c>
      <c r="I79" t="str">
        <f>+CONCATENATE(MID(Table8[[#This Row],[Nombre Cuenta]],1,3)," - ", ,MID(Table8[[#This Row],[Nombre Cuenta]],6,144))</f>
        <v>665 -  Intereses por descuento de efectos en otras entidades de crédito</v>
      </c>
    </row>
    <row r="80" spans="1:9">
      <c r="A80" t="s">
        <v>1623</v>
      </c>
      <c r="B80" t="s">
        <v>1644</v>
      </c>
      <c r="C80" t="s">
        <v>760</v>
      </c>
      <c r="D80">
        <v>6654</v>
      </c>
      <c r="E80" t="str">
        <f>+MID(Table8[[#This Row],[CPGC]],1,2)</f>
        <v>66</v>
      </c>
      <c r="F80" t="str">
        <f>+MID(Table8[[#This Row],[CPGC]],1,3)</f>
        <v>665</v>
      </c>
      <c r="H80" t="s">
        <v>1669</v>
      </c>
      <c r="I80" t="str">
        <f>+CONCATENATE(MID(Table8[[#This Row],[Nombre Cuenta]],1,3)," - ", ,MID(Table8[[#This Row],[Nombre Cuenta]],6,144))</f>
        <v>665 -  Intereses por operaciones de "factoring" con entidades de crédito del grupo</v>
      </c>
    </row>
    <row r="81" spans="1:9">
      <c r="A81" t="s">
        <v>1623</v>
      </c>
      <c r="B81" t="s">
        <v>1644</v>
      </c>
      <c r="C81" t="s">
        <v>760</v>
      </c>
      <c r="D81">
        <v>6655</v>
      </c>
      <c r="E81" t="str">
        <f>+MID(Table8[[#This Row],[CPGC]],1,2)</f>
        <v>66</v>
      </c>
      <c r="F81" t="str">
        <f>+MID(Table8[[#This Row],[CPGC]],1,3)</f>
        <v>665</v>
      </c>
      <c r="H81" t="s">
        <v>1670</v>
      </c>
      <c r="I81" t="str">
        <f>+CONCATENATE(MID(Table8[[#This Row],[Nombre Cuenta]],1,3)," - ", ,MID(Table8[[#This Row],[Nombre Cuenta]],6,144))</f>
        <v>665 -  Intereses por operaciones de “factoring” con entidades de crédito asociadas</v>
      </c>
    </row>
    <row r="82" spans="1:9">
      <c r="A82" t="s">
        <v>1623</v>
      </c>
      <c r="B82" t="s">
        <v>1644</v>
      </c>
      <c r="C82" t="s">
        <v>760</v>
      </c>
      <c r="D82">
        <v>6656</v>
      </c>
      <c r="E82" t="str">
        <f>+MID(Table8[[#This Row],[CPGC]],1,2)</f>
        <v>66</v>
      </c>
      <c r="F82" t="str">
        <f>+MID(Table8[[#This Row],[CPGC]],1,3)</f>
        <v>665</v>
      </c>
      <c r="H82" t="s">
        <v>1671</v>
      </c>
      <c r="I82" t="str">
        <f>+CONCATENATE(MID(Table8[[#This Row],[Nombre Cuenta]],1,3)," - ", ,MID(Table8[[#This Row],[Nombre Cuenta]],6,144))</f>
        <v>665 -  Intereses por operaciones de “factoring” con otras entidades de crédito vinculadas</v>
      </c>
    </row>
    <row r="83" spans="1:9">
      <c r="A83" t="s">
        <v>1623</v>
      </c>
      <c r="B83" t="s">
        <v>1644</v>
      </c>
      <c r="C83" t="s">
        <v>760</v>
      </c>
      <c r="D83">
        <v>6657</v>
      </c>
      <c r="E83" t="str">
        <f>+MID(Table8[[#This Row],[CPGC]],1,2)</f>
        <v>66</v>
      </c>
      <c r="F83" t="str">
        <f>+MID(Table8[[#This Row],[CPGC]],1,3)</f>
        <v>665</v>
      </c>
      <c r="H83" t="s">
        <v>1672</v>
      </c>
      <c r="I83" t="str">
        <f>+CONCATENATE(MID(Table8[[#This Row],[Nombre Cuenta]],1,3)," - ", ,MID(Table8[[#This Row],[Nombre Cuenta]],6,144))</f>
        <v>665 -  Intereses por operaciones de “factoring” con otras entidades de crédito</v>
      </c>
    </row>
    <row r="84" spans="1:9">
      <c r="A84" t="s">
        <v>1623</v>
      </c>
      <c r="B84" t="s">
        <v>1644</v>
      </c>
      <c r="C84" t="s">
        <v>763</v>
      </c>
      <c r="D84">
        <v>6660</v>
      </c>
      <c r="E84" t="str">
        <f>+MID(Table8[[#This Row],[CPGC]],1,2)</f>
        <v>66</v>
      </c>
      <c r="F84" t="str">
        <f>+MID(Table8[[#This Row],[CPGC]],1,3)</f>
        <v>666</v>
      </c>
      <c r="H84" t="s">
        <v>1503</v>
      </c>
      <c r="I84" t="str">
        <f>+CONCATENATE(MID(Table8[[#This Row],[Nombre Cuenta]],1,3)," - ", ,MID(Table8[[#This Row],[Nombre Cuenta]],6,144))</f>
        <v>666 -  Pérdidas en participaciones y valores representativos de deuda</v>
      </c>
    </row>
    <row r="85" spans="1:9">
      <c r="A85" t="s">
        <v>1623</v>
      </c>
      <c r="B85" t="s">
        <v>1644</v>
      </c>
      <c r="C85" t="s">
        <v>763</v>
      </c>
      <c r="D85">
        <v>6661</v>
      </c>
      <c r="E85" t="str">
        <f>+MID(Table8[[#This Row],[CPGC]],1,2)</f>
        <v>66</v>
      </c>
      <c r="F85" t="str">
        <f>+MID(Table8[[#This Row],[CPGC]],1,3)</f>
        <v>666</v>
      </c>
      <c r="H85" t="s">
        <v>1673</v>
      </c>
      <c r="I85" t="str">
        <f>+CONCATENATE(MID(Table8[[#This Row],[Nombre Cuenta]],1,3)," - ", ,MID(Table8[[#This Row],[Nombre Cuenta]],6,144))</f>
        <v>666 -  Pérdidas en valores representativos de deuda a largo plazo, empresas asociadas</v>
      </c>
    </row>
    <row r="86" spans="1:9">
      <c r="A86" t="s">
        <v>1623</v>
      </c>
      <c r="B86" t="s">
        <v>1644</v>
      </c>
      <c r="C86" t="s">
        <v>763</v>
      </c>
      <c r="D86">
        <v>6662</v>
      </c>
      <c r="E86" t="str">
        <f>+MID(Table8[[#This Row],[CPGC]],1,2)</f>
        <v>66</v>
      </c>
      <c r="F86" t="str">
        <f>+MID(Table8[[#This Row],[CPGC]],1,3)</f>
        <v>666</v>
      </c>
      <c r="H86" t="s">
        <v>1674</v>
      </c>
      <c r="I86" t="str">
        <f>+CONCATENATE(MID(Table8[[#This Row],[Nombre Cuenta]],1,3)," - ", ,MID(Table8[[#This Row],[Nombre Cuenta]],6,144))</f>
        <v>666 -  Pérdidas en valores representativos de deuda a largo plazo, otras partes vinculadas</v>
      </c>
    </row>
    <row r="87" spans="1:9">
      <c r="A87" t="s">
        <v>1623</v>
      </c>
      <c r="B87" t="s">
        <v>1644</v>
      </c>
      <c r="C87" t="s">
        <v>763</v>
      </c>
      <c r="D87">
        <v>6663</v>
      </c>
      <c r="E87" t="str">
        <f>+MID(Table8[[#This Row],[CPGC]],1,2)</f>
        <v>66</v>
      </c>
      <c r="F87" t="str">
        <f>+MID(Table8[[#This Row],[CPGC]],1,3)</f>
        <v>666</v>
      </c>
      <c r="H87" t="s">
        <v>1675</v>
      </c>
      <c r="I87" t="str">
        <f>+CONCATENATE(MID(Table8[[#This Row],[Nombre Cuenta]],1,3)," - ", ,MID(Table8[[#This Row],[Nombre Cuenta]],6,144))</f>
        <v>666 -  Pérdidas en valores representativos de deuda a largo plazo, otras empresas</v>
      </c>
    </row>
    <row r="88" spans="1:9">
      <c r="A88" t="s">
        <v>1623</v>
      </c>
      <c r="B88" t="s">
        <v>1644</v>
      </c>
      <c r="C88" t="s">
        <v>763</v>
      </c>
      <c r="D88">
        <v>6665</v>
      </c>
      <c r="E88" t="str">
        <f>+MID(Table8[[#This Row],[CPGC]],1,2)</f>
        <v>66</v>
      </c>
      <c r="F88" t="str">
        <f>+MID(Table8[[#This Row],[CPGC]],1,3)</f>
        <v>666</v>
      </c>
      <c r="H88" t="s">
        <v>1676</v>
      </c>
      <c r="I88" t="str">
        <f>+CONCATENATE(MID(Table8[[#This Row],[Nombre Cuenta]],1,3)," - ", ,MID(Table8[[#This Row],[Nombre Cuenta]],6,144))</f>
        <v>666 -  Pérdidas en valores representativos de deuda a corto plazo, empresas del grupo</v>
      </c>
    </row>
    <row r="89" spans="1:9">
      <c r="A89" t="s">
        <v>1623</v>
      </c>
      <c r="B89" t="s">
        <v>1644</v>
      </c>
      <c r="C89" t="s">
        <v>763</v>
      </c>
      <c r="D89">
        <v>6666</v>
      </c>
      <c r="E89" t="str">
        <f>+MID(Table8[[#This Row],[CPGC]],1,2)</f>
        <v>66</v>
      </c>
      <c r="F89" t="str">
        <f>+MID(Table8[[#This Row],[CPGC]],1,3)</f>
        <v>666</v>
      </c>
      <c r="H89" t="s">
        <v>1677</v>
      </c>
      <c r="I89" t="str">
        <f>+CONCATENATE(MID(Table8[[#This Row],[Nombre Cuenta]],1,3)," - ", ,MID(Table8[[#This Row],[Nombre Cuenta]],6,144))</f>
        <v>666 -  Pérdidas en valores representativos de deuda a corto plazo, empresas asociadas</v>
      </c>
    </row>
    <row r="90" spans="1:9">
      <c r="A90" t="s">
        <v>1623</v>
      </c>
      <c r="B90" t="s">
        <v>1644</v>
      </c>
      <c r="C90" t="s">
        <v>763</v>
      </c>
      <c r="D90">
        <v>6667</v>
      </c>
      <c r="E90" t="str">
        <f>+MID(Table8[[#This Row],[CPGC]],1,2)</f>
        <v>66</v>
      </c>
      <c r="F90" t="str">
        <f>+MID(Table8[[#This Row],[CPGC]],1,3)</f>
        <v>666</v>
      </c>
      <c r="H90" t="s">
        <v>1678</v>
      </c>
      <c r="I90" t="str">
        <f>+CONCATENATE(MID(Table8[[#This Row],[Nombre Cuenta]],1,3)," - ", ,MID(Table8[[#This Row],[Nombre Cuenta]],6,144))</f>
        <v>666 -  Pérdidas en valores representativos de deuda a corto plazo, otras partes vinculadas</v>
      </c>
    </row>
    <row r="91" spans="1:9">
      <c r="A91" t="s">
        <v>1623</v>
      </c>
      <c r="B91" t="s">
        <v>1644</v>
      </c>
      <c r="C91" t="s">
        <v>763</v>
      </c>
      <c r="D91">
        <v>6668</v>
      </c>
      <c r="E91" t="str">
        <f>+MID(Table8[[#This Row],[CPGC]],1,2)</f>
        <v>66</v>
      </c>
      <c r="F91" t="str">
        <f>+MID(Table8[[#This Row],[CPGC]],1,3)</f>
        <v>666</v>
      </c>
      <c r="H91" t="s">
        <v>1679</v>
      </c>
      <c r="I91" t="str">
        <f>+CONCATENATE(MID(Table8[[#This Row],[Nombre Cuenta]],1,3)," - ", ,MID(Table8[[#This Row],[Nombre Cuenta]],6,144))</f>
        <v>666 -  Pérdidas en valores representativos de deuda a corto plazo, otras empresas</v>
      </c>
    </row>
    <row r="92" spans="1:9">
      <c r="A92" t="s">
        <v>1623</v>
      </c>
      <c r="B92" t="s">
        <v>1644</v>
      </c>
      <c r="C92" t="s">
        <v>763</v>
      </c>
      <c r="D92">
        <v>6670</v>
      </c>
      <c r="E92" t="str">
        <f>+MID(Table8[[#This Row],[CPGC]],1,2)</f>
        <v>66</v>
      </c>
      <c r="F92" t="str">
        <f>+MID(Table8[[#This Row],[CPGC]],1,3)</f>
        <v>667</v>
      </c>
      <c r="H92" t="s">
        <v>1680</v>
      </c>
      <c r="I92" t="str">
        <f>+CONCATENATE(MID(Table8[[#This Row],[Nombre Cuenta]],1,3)," - ", ,MID(Table8[[#This Row],[Nombre Cuenta]],6,144))</f>
        <v>667 -  Pérdidas de créditos a largo plazo, empresas del grupo</v>
      </c>
    </row>
    <row r="93" spans="1:9">
      <c r="A93" t="s">
        <v>1623</v>
      </c>
      <c r="B93" t="s">
        <v>1644</v>
      </c>
      <c r="C93" t="s">
        <v>763</v>
      </c>
      <c r="D93">
        <v>6671</v>
      </c>
      <c r="E93" t="str">
        <f>+MID(Table8[[#This Row],[CPGC]],1,2)</f>
        <v>66</v>
      </c>
      <c r="F93" t="str">
        <f>+MID(Table8[[#This Row],[CPGC]],1,3)</f>
        <v>667</v>
      </c>
      <c r="H93" t="s">
        <v>1681</v>
      </c>
      <c r="I93" t="str">
        <f>+CONCATENATE(MID(Table8[[#This Row],[Nombre Cuenta]],1,3)," - ", ,MID(Table8[[#This Row],[Nombre Cuenta]],6,144))</f>
        <v>667 -  Pérdidas de créditos a largo plazo, empresas asociadas</v>
      </c>
    </row>
    <row r="94" spans="1:9">
      <c r="A94" t="s">
        <v>1623</v>
      </c>
      <c r="B94" t="s">
        <v>1644</v>
      </c>
      <c r="C94" t="s">
        <v>763</v>
      </c>
      <c r="D94">
        <v>6672</v>
      </c>
      <c r="E94" t="str">
        <f>+MID(Table8[[#This Row],[CPGC]],1,2)</f>
        <v>66</v>
      </c>
      <c r="F94" t="str">
        <f>+MID(Table8[[#This Row],[CPGC]],1,3)</f>
        <v>667</v>
      </c>
      <c r="H94" t="s">
        <v>1682</v>
      </c>
      <c r="I94" t="str">
        <f>+CONCATENATE(MID(Table8[[#This Row],[Nombre Cuenta]],1,3)," - ", ,MID(Table8[[#This Row],[Nombre Cuenta]],6,144))</f>
        <v>667 -  Pérdidas de créditos a largo plazo, otras partes vinculadas</v>
      </c>
    </row>
    <row r="95" spans="1:9">
      <c r="A95" t="s">
        <v>1623</v>
      </c>
      <c r="B95" t="s">
        <v>1644</v>
      </c>
      <c r="C95" t="s">
        <v>763</v>
      </c>
      <c r="D95">
        <v>6673</v>
      </c>
      <c r="E95" t="str">
        <f>+MID(Table8[[#This Row],[CPGC]],1,2)</f>
        <v>66</v>
      </c>
      <c r="F95" t="str">
        <f>+MID(Table8[[#This Row],[CPGC]],1,3)</f>
        <v>667</v>
      </c>
      <c r="H95" t="s">
        <v>1683</v>
      </c>
      <c r="I95" t="str">
        <f>+CONCATENATE(MID(Table8[[#This Row],[Nombre Cuenta]],1,3)," - ", ,MID(Table8[[#This Row],[Nombre Cuenta]],6,144))</f>
        <v>667 -  Pérdidas de créditos a largo plazo, otras empresas</v>
      </c>
    </row>
    <row r="96" spans="1:9">
      <c r="A96" t="s">
        <v>1623</v>
      </c>
      <c r="B96" t="s">
        <v>1644</v>
      </c>
      <c r="C96" t="s">
        <v>763</v>
      </c>
      <c r="D96">
        <v>6675</v>
      </c>
      <c r="E96" t="str">
        <f>+MID(Table8[[#This Row],[CPGC]],1,2)</f>
        <v>66</v>
      </c>
      <c r="F96" t="str">
        <f>+MID(Table8[[#This Row],[CPGC]],1,3)</f>
        <v>667</v>
      </c>
      <c r="H96" t="s">
        <v>1684</v>
      </c>
      <c r="I96" t="str">
        <f>+CONCATENATE(MID(Table8[[#This Row],[Nombre Cuenta]],1,3)," - ", ,MID(Table8[[#This Row],[Nombre Cuenta]],6,144))</f>
        <v>667 -  Pérdidas de créditos a corto plazo, empresas del grupo</v>
      </c>
    </row>
    <row r="97" spans="1:9">
      <c r="A97" t="s">
        <v>1623</v>
      </c>
      <c r="B97" t="s">
        <v>1644</v>
      </c>
      <c r="C97" t="s">
        <v>763</v>
      </c>
      <c r="D97">
        <v>6676</v>
      </c>
      <c r="E97" t="str">
        <f>+MID(Table8[[#This Row],[CPGC]],1,2)</f>
        <v>66</v>
      </c>
      <c r="F97" t="str">
        <f>+MID(Table8[[#This Row],[CPGC]],1,3)</f>
        <v>667</v>
      </c>
      <c r="H97" t="s">
        <v>1685</v>
      </c>
      <c r="I97" t="str">
        <f>+CONCATENATE(MID(Table8[[#This Row],[Nombre Cuenta]],1,3)," - ", ,MID(Table8[[#This Row],[Nombre Cuenta]],6,144))</f>
        <v>667 -  Pérdidas de créditos a corto plazo, empresas asociadas</v>
      </c>
    </row>
    <row r="98" spans="1:9">
      <c r="A98" t="s">
        <v>1623</v>
      </c>
      <c r="B98" t="s">
        <v>1644</v>
      </c>
      <c r="C98" t="s">
        <v>763</v>
      </c>
      <c r="D98">
        <v>6677</v>
      </c>
      <c r="E98" t="str">
        <f>+MID(Table8[[#This Row],[CPGC]],1,2)</f>
        <v>66</v>
      </c>
      <c r="F98" t="str">
        <f>+MID(Table8[[#This Row],[CPGC]],1,3)</f>
        <v>667</v>
      </c>
      <c r="H98" t="s">
        <v>1686</v>
      </c>
      <c r="I98" t="str">
        <f>+CONCATENATE(MID(Table8[[#This Row],[Nombre Cuenta]],1,3)," - ", ,MID(Table8[[#This Row],[Nombre Cuenta]],6,144))</f>
        <v>667 -  Pérdidas de créditos a corto plazo, otras partes vinculadas</v>
      </c>
    </row>
    <row r="99" spans="1:9">
      <c r="A99" t="s">
        <v>1623</v>
      </c>
      <c r="B99" t="s">
        <v>1644</v>
      </c>
      <c r="C99" t="s">
        <v>763</v>
      </c>
      <c r="D99">
        <v>6678</v>
      </c>
      <c r="E99" t="str">
        <f>+MID(Table8[[#This Row],[CPGC]],1,2)</f>
        <v>66</v>
      </c>
      <c r="F99" t="str">
        <f>+MID(Table8[[#This Row],[CPGC]],1,3)</f>
        <v>667</v>
      </c>
      <c r="H99" t="s">
        <v>1687</v>
      </c>
      <c r="I99" t="str">
        <f>+CONCATENATE(MID(Table8[[#This Row],[Nombre Cuenta]],1,3)," - ", ,MID(Table8[[#This Row],[Nombre Cuenta]],6,144))</f>
        <v>667 -  Pérdidas de créditos a corto plazo, otras empresas</v>
      </c>
    </row>
    <row r="100" spans="1:9">
      <c r="A100" t="s">
        <v>1623</v>
      </c>
      <c r="B100" t="s">
        <v>1644</v>
      </c>
      <c r="C100" t="s">
        <v>762</v>
      </c>
      <c r="D100">
        <v>6680</v>
      </c>
      <c r="E100" t="str">
        <f>+MID(Table8[[#This Row],[CPGC]],1,2)</f>
        <v>66</v>
      </c>
      <c r="F100" t="str">
        <f>+MID(Table8[[#This Row],[CPGC]],1,3)</f>
        <v>668</v>
      </c>
      <c r="H100" t="s">
        <v>1505</v>
      </c>
      <c r="I100" t="str">
        <f>+CONCATENATE(MID(Table8[[#This Row],[Nombre Cuenta]],1,3)," - ", ,MID(Table8[[#This Row],[Nombre Cuenta]],6,144))</f>
        <v>668 -  Diferencias negativas de cambio</v>
      </c>
    </row>
    <row r="101" spans="1:9">
      <c r="A101" t="s">
        <v>1623</v>
      </c>
      <c r="B101" t="s">
        <v>1644</v>
      </c>
      <c r="C101" t="s">
        <v>760</v>
      </c>
      <c r="D101">
        <v>6690</v>
      </c>
      <c r="E101" t="str">
        <f>+MID(Table8[[#This Row],[CPGC]],1,2)</f>
        <v>66</v>
      </c>
      <c r="F101" t="str">
        <f>+MID(Table8[[#This Row],[CPGC]],1,3)</f>
        <v>669</v>
      </c>
      <c r="H101" t="s">
        <v>1506</v>
      </c>
      <c r="I101" t="str">
        <f>+CONCATENATE(MID(Table8[[#This Row],[Nombre Cuenta]],1,3)," - ", ,MID(Table8[[#This Row],[Nombre Cuenta]],6,144))</f>
        <v>669 -  Otros gastos financieros</v>
      </c>
    </row>
    <row r="102" spans="1:9">
      <c r="A102" t="s">
        <v>1623</v>
      </c>
      <c r="B102" t="s">
        <v>1624</v>
      </c>
      <c r="C102" t="s">
        <v>756</v>
      </c>
      <c r="D102">
        <v>6700</v>
      </c>
      <c r="E102" t="str">
        <f>+MID(Table8[[#This Row],[CPGC]],1,2)</f>
        <v>67</v>
      </c>
      <c r="F102" t="str">
        <f>+MID(Table8[[#This Row],[CPGC]],1,3)</f>
        <v>670</v>
      </c>
      <c r="H102" t="s">
        <v>1507</v>
      </c>
      <c r="I102" t="str">
        <f>+CONCATENATE(MID(Table8[[#This Row],[Nombre Cuenta]],1,3)," - ", ,MID(Table8[[#This Row],[Nombre Cuenta]],6,144))</f>
        <v>670 -  Pérdidas procedentes del inmovilizado intangible</v>
      </c>
    </row>
    <row r="103" spans="1:9">
      <c r="A103" t="s">
        <v>1623</v>
      </c>
      <c r="B103" t="s">
        <v>1624</v>
      </c>
      <c r="C103" t="s">
        <v>756</v>
      </c>
      <c r="D103">
        <v>6710</v>
      </c>
      <c r="E103" t="str">
        <f>+MID(Table8[[#This Row],[CPGC]],1,2)</f>
        <v>67</v>
      </c>
      <c r="F103" t="str">
        <f>+MID(Table8[[#This Row],[CPGC]],1,3)</f>
        <v>671</v>
      </c>
      <c r="H103" t="s">
        <v>1510</v>
      </c>
      <c r="I103" t="str">
        <f>+CONCATENATE(MID(Table8[[#This Row],[Nombre Cuenta]],1,3)," - ", ,MID(Table8[[#This Row],[Nombre Cuenta]],6,144))</f>
        <v>671 -  Pérdidas procedentes del inmovilizado material</v>
      </c>
    </row>
    <row r="104" spans="1:9">
      <c r="A104" t="s">
        <v>1623</v>
      </c>
      <c r="B104" t="s">
        <v>1624</v>
      </c>
      <c r="C104" t="s">
        <v>756</v>
      </c>
      <c r="D104">
        <v>6720</v>
      </c>
      <c r="E104" t="str">
        <f>+MID(Table8[[#This Row],[CPGC]],1,2)</f>
        <v>67</v>
      </c>
      <c r="F104" t="str">
        <f>+MID(Table8[[#This Row],[CPGC]],1,3)</f>
        <v>672</v>
      </c>
      <c r="H104" t="s">
        <v>1512</v>
      </c>
      <c r="I104" t="str">
        <f>+CONCATENATE(MID(Table8[[#This Row],[Nombre Cuenta]],1,3)," - ", ,MID(Table8[[#This Row],[Nombre Cuenta]],6,144))</f>
        <v>672 -  Pérdidas procedentes de las inversiones inmobiliarias</v>
      </c>
    </row>
    <row r="105" spans="1:9">
      <c r="A105" t="s">
        <v>1623</v>
      </c>
      <c r="B105" t="s">
        <v>1644</v>
      </c>
      <c r="C105" t="s">
        <v>763</v>
      </c>
      <c r="D105">
        <v>6730</v>
      </c>
      <c r="E105" t="str">
        <f>+MID(Table8[[#This Row],[CPGC]],1,2)</f>
        <v>67</v>
      </c>
      <c r="F105" t="str">
        <f>+MID(Table8[[#This Row],[CPGC]],1,3)</f>
        <v>673</v>
      </c>
      <c r="H105" t="s">
        <v>1514</v>
      </c>
      <c r="I105" t="str">
        <f>+CONCATENATE(MID(Table8[[#This Row],[Nombre Cuenta]],1,3)," - ", ,MID(Table8[[#This Row],[Nombre Cuenta]],6,144))</f>
        <v>673 -  Pérdidas procedentes de participaciones a largo plazo en partes vinculadas</v>
      </c>
    </row>
    <row r="106" spans="1:9">
      <c r="A106" t="s">
        <v>1623</v>
      </c>
      <c r="B106" t="s">
        <v>1644</v>
      </c>
      <c r="C106" t="s">
        <v>763</v>
      </c>
      <c r="D106">
        <v>6733</v>
      </c>
      <c r="E106" t="str">
        <f>+MID(Table8[[#This Row],[CPGC]],1,2)</f>
        <v>67</v>
      </c>
      <c r="F106" t="str">
        <f>+MID(Table8[[#This Row],[CPGC]],1,3)</f>
        <v>673</v>
      </c>
      <c r="H106" t="s">
        <v>1688</v>
      </c>
      <c r="I106" t="str">
        <f>+CONCATENATE(MID(Table8[[#This Row],[Nombre Cuenta]],1,3)," - ", ,MID(Table8[[#This Row],[Nombre Cuenta]],6,144))</f>
        <v>673 -  Pérdidas procedentes de participaciones a largo plazo, empresas del grupo</v>
      </c>
    </row>
    <row r="107" spans="1:9">
      <c r="A107" t="s">
        <v>1623</v>
      </c>
      <c r="B107" t="s">
        <v>1644</v>
      </c>
      <c r="C107" t="s">
        <v>763</v>
      </c>
      <c r="D107">
        <v>6734</v>
      </c>
      <c r="E107" t="str">
        <f>+MID(Table8[[#This Row],[CPGC]],1,2)</f>
        <v>67</v>
      </c>
      <c r="F107" t="str">
        <f>+MID(Table8[[#This Row],[CPGC]],1,3)</f>
        <v>673</v>
      </c>
      <c r="H107" t="s">
        <v>1689</v>
      </c>
      <c r="I107" t="str">
        <f>+CONCATENATE(MID(Table8[[#This Row],[Nombre Cuenta]],1,3)," - ", ,MID(Table8[[#This Row],[Nombre Cuenta]],6,144))</f>
        <v>673 -  Pérdidas procedentes de participaciones a largo plazo, empresas asociadas</v>
      </c>
    </row>
    <row r="108" spans="1:9">
      <c r="A108" t="s">
        <v>1623</v>
      </c>
      <c r="B108" t="s">
        <v>1644</v>
      </c>
      <c r="C108" t="s">
        <v>763</v>
      </c>
      <c r="D108">
        <v>6735</v>
      </c>
      <c r="E108" t="str">
        <f>+MID(Table8[[#This Row],[CPGC]],1,2)</f>
        <v>67</v>
      </c>
      <c r="F108" t="str">
        <f>+MID(Table8[[#This Row],[CPGC]],1,3)</f>
        <v>673</v>
      </c>
      <c r="H108" t="s">
        <v>1690</v>
      </c>
      <c r="I108" t="str">
        <f>+CONCATENATE(MID(Table8[[#This Row],[Nombre Cuenta]],1,3)," - ", ,MID(Table8[[#This Row],[Nombre Cuenta]],6,144))</f>
        <v>673 -  Pérdidas procedentes de participaciones a largo plazo, otras partes vinculadas</v>
      </c>
    </row>
    <row r="109" spans="1:9">
      <c r="A109" t="s">
        <v>1623</v>
      </c>
      <c r="B109" t="s">
        <v>1644</v>
      </c>
      <c r="C109" t="s">
        <v>763</v>
      </c>
      <c r="D109">
        <v>6750</v>
      </c>
      <c r="E109" t="str">
        <f>+MID(Table8[[#This Row],[CPGC]],1,2)</f>
        <v>67</v>
      </c>
      <c r="F109" t="str">
        <f>+MID(Table8[[#This Row],[CPGC]],1,3)</f>
        <v>675</v>
      </c>
      <c r="H109" t="s">
        <v>1516</v>
      </c>
      <c r="I109" t="str">
        <f>+CONCATENATE(MID(Table8[[#This Row],[Nombre Cuenta]],1,3)," - ", ,MID(Table8[[#This Row],[Nombre Cuenta]],6,144))</f>
        <v>675 -  Pérdidas por operaciones con obligaciones propias</v>
      </c>
    </row>
    <row r="110" spans="1:9">
      <c r="A110" t="s">
        <v>1623</v>
      </c>
      <c r="B110" t="s">
        <v>1624</v>
      </c>
      <c r="C110" t="s">
        <v>757</v>
      </c>
      <c r="D110">
        <v>6780</v>
      </c>
      <c r="E110" t="str">
        <f>+MID(Table8[[#This Row],[CPGC]],1,2)</f>
        <v>67</v>
      </c>
      <c r="F110" t="str">
        <f>+MID(Table8[[#This Row],[CPGC]],1,3)</f>
        <v>678</v>
      </c>
      <c r="H110" t="s">
        <v>1518</v>
      </c>
      <c r="I110" t="str">
        <f>+CONCATENATE(MID(Table8[[#This Row],[Nombre Cuenta]],1,3)," - ", ,MID(Table8[[#This Row],[Nombre Cuenta]],6,144))</f>
        <v>678 -  Gastos excepcionales</v>
      </c>
    </row>
    <row r="111" spans="1:9">
      <c r="A111" t="s">
        <v>1623</v>
      </c>
      <c r="B111" t="s">
        <v>1624</v>
      </c>
      <c r="C111" t="s">
        <v>753</v>
      </c>
      <c r="D111">
        <v>6800</v>
      </c>
      <c r="E111" t="str">
        <f>+MID(Table8[[#This Row],[CPGC]],1,2)</f>
        <v>68</v>
      </c>
      <c r="F111" t="str">
        <f>+MID(Table8[[#This Row],[CPGC]],1,3)</f>
        <v>680</v>
      </c>
      <c r="H111" t="s">
        <v>1519</v>
      </c>
      <c r="I111" t="str">
        <f>+CONCATENATE(MID(Table8[[#This Row],[Nombre Cuenta]],1,3)," - ", ,MID(Table8[[#This Row],[Nombre Cuenta]],6,144))</f>
        <v>680 -  Amortización del inmovilizado intangible</v>
      </c>
    </row>
    <row r="112" spans="1:9">
      <c r="A112" t="s">
        <v>1623</v>
      </c>
      <c r="B112" t="s">
        <v>1624</v>
      </c>
      <c r="C112" t="s">
        <v>753</v>
      </c>
      <c r="D112">
        <v>6810</v>
      </c>
      <c r="E112" t="str">
        <f>+MID(Table8[[#This Row],[CPGC]],1,2)</f>
        <v>68</v>
      </c>
      <c r="F112" t="str">
        <f>+MID(Table8[[#This Row],[CPGC]],1,3)</f>
        <v>681</v>
      </c>
      <c r="H112" t="s">
        <v>1520</v>
      </c>
      <c r="I112" t="str">
        <f>+CONCATENATE(MID(Table8[[#This Row],[Nombre Cuenta]],1,3)," - ", ,MID(Table8[[#This Row],[Nombre Cuenta]],6,144))</f>
        <v>681 -  Amortización del inmovilizado material</v>
      </c>
    </row>
    <row r="113" spans="1:9">
      <c r="A113" t="s">
        <v>1623</v>
      </c>
      <c r="B113" t="s">
        <v>1624</v>
      </c>
      <c r="C113" t="s">
        <v>753</v>
      </c>
      <c r="D113">
        <v>6820</v>
      </c>
      <c r="E113" t="str">
        <f>+MID(Table8[[#This Row],[CPGC]],1,2)</f>
        <v>68</v>
      </c>
      <c r="F113" t="str">
        <f>+MID(Table8[[#This Row],[CPGC]],1,3)</f>
        <v>682</v>
      </c>
      <c r="H113" t="s">
        <v>1521</v>
      </c>
      <c r="I113" t="str">
        <f>+CONCATENATE(MID(Table8[[#This Row],[Nombre Cuenta]],1,3)," - ", ,MID(Table8[[#This Row],[Nombre Cuenta]],6,144))</f>
        <v>682 -  Amortización de las inversiones inmobiliarias</v>
      </c>
    </row>
    <row r="114" spans="1:9">
      <c r="A114" t="s">
        <v>1623</v>
      </c>
      <c r="B114" t="s">
        <v>1624</v>
      </c>
      <c r="C114" t="s">
        <v>756</v>
      </c>
      <c r="D114">
        <v>6900</v>
      </c>
      <c r="E114" t="str">
        <f>+MID(Table8[[#This Row],[CPGC]],1,2)</f>
        <v>69</v>
      </c>
      <c r="F114" t="str">
        <f>+MID(Table8[[#This Row],[CPGC]],1,3)</f>
        <v>690</v>
      </c>
      <c r="H114" t="s">
        <v>1524</v>
      </c>
      <c r="I114" t="str">
        <f>+CONCATENATE(MID(Table8[[#This Row],[Nombre Cuenta]],1,3)," - ", ,MID(Table8[[#This Row],[Nombre Cuenta]],6,144))</f>
        <v>690 -  Pérdidas por deterioro de inmovilizado intangible</v>
      </c>
    </row>
    <row r="115" spans="1:9">
      <c r="A115" t="s">
        <v>1623</v>
      </c>
      <c r="B115" t="s">
        <v>1624</v>
      </c>
      <c r="C115" t="s">
        <v>756</v>
      </c>
      <c r="D115">
        <v>6910</v>
      </c>
      <c r="E115" t="str">
        <f>+MID(Table8[[#This Row],[CPGC]],1,2)</f>
        <v>69</v>
      </c>
      <c r="F115" t="str">
        <f>+MID(Table8[[#This Row],[CPGC]],1,3)</f>
        <v>691</v>
      </c>
      <c r="H115" t="s">
        <v>1526</v>
      </c>
      <c r="I115" t="str">
        <f>+CONCATENATE(MID(Table8[[#This Row],[Nombre Cuenta]],1,3)," - ", ,MID(Table8[[#This Row],[Nombre Cuenta]],6,144))</f>
        <v>691 -  Pérdidas por deterioro del inmovilizado material</v>
      </c>
    </row>
    <row r="116" spans="1:9">
      <c r="A116" t="s">
        <v>1623</v>
      </c>
      <c r="B116" t="s">
        <v>1624</v>
      </c>
      <c r="C116" t="s">
        <v>756</v>
      </c>
      <c r="D116">
        <v>6920</v>
      </c>
      <c r="E116" t="str">
        <f>+MID(Table8[[#This Row],[CPGC]],1,2)</f>
        <v>69</v>
      </c>
      <c r="F116" t="str">
        <f>+MID(Table8[[#This Row],[CPGC]],1,3)</f>
        <v>692</v>
      </c>
      <c r="H116" t="s">
        <v>1528</v>
      </c>
      <c r="I116" t="str">
        <f>+CONCATENATE(MID(Table8[[#This Row],[Nombre Cuenta]],1,3)," - ", ,MID(Table8[[#This Row],[Nombre Cuenta]],6,144))</f>
        <v>692 -  Pérdidas por deterioro de las inversiones inmobiliarias</v>
      </c>
    </row>
    <row r="117" spans="1:9">
      <c r="A117" t="s">
        <v>1623</v>
      </c>
      <c r="B117" t="s">
        <v>1624</v>
      </c>
      <c r="C117" t="s">
        <v>747</v>
      </c>
      <c r="D117">
        <v>6930</v>
      </c>
      <c r="E117" t="str">
        <f>+MID(Table8[[#This Row],[CPGC]],1,2)</f>
        <v>69</v>
      </c>
      <c r="F117" t="str">
        <f>+MID(Table8[[#This Row],[CPGC]],1,3)</f>
        <v>693</v>
      </c>
      <c r="H117" t="s">
        <v>1691</v>
      </c>
      <c r="I117" t="str">
        <f>+CONCATENATE(MID(Table8[[#This Row],[Nombre Cuenta]],1,3)," - ", ,MID(Table8[[#This Row],[Nombre Cuenta]],6,144))</f>
        <v>693 -  Pérdidas por deterioro de productos terminados y en curso de fabricación</v>
      </c>
    </row>
    <row r="118" spans="1:9">
      <c r="A118" t="s">
        <v>1623</v>
      </c>
      <c r="B118" t="s">
        <v>1624</v>
      </c>
      <c r="C118" t="s">
        <v>749</v>
      </c>
      <c r="D118">
        <v>6931</v>
      </c>
      <c r="E118" t="str">
        <f>+MID(Table8[[#This Row],[CPGC]],1,2)</f>
        <v>69</v>
      </c>
      <c r="F118" t="str">
        <f>+MID(Table8[[#This Row],[CPGC]],1,3)</f>
        <v>693</v>
      </c>
      <c r="H118" t="s">
        <v>1692</v>
      </c>
      <c r="I118" t="str">
        <f>+CONCATENATE(MID(Table8[[#This Row],[Nombre Cuenta]],1,3)," - ", ,MID(Table8[[#This Row],[Nombre Cuenta]],6,144))</f>
        <v>693 -  Pérdidas por deterioro de mercaderías</v>
      </c>
    </row>
    <row r="119" spans="1:9">
      <c r="A119" t="s">
        <v>1623</v>
      </c>
      <c r="B119" t="s">
        <v>1624</v>
      </c>
      <c r="C119" t="s">
        <v>749</v>
      </c>
      <c r="D119">
        <v>6932</v>
      </c>
      <c r="E119" t="str">
        <f>+MID(Table8[[#This Row],[CPGC]],1,2)</f>
        <v>69</v>
      </c>
      <c r="F119" t="str">
        <f>+MID(Table8[[#This Row],[CPGC]],1,3)</f>
        <v>693</v>
      </c>
      <c r="H119" t="s">
        <v>1693</v>
      </c>
      <c r="I119" t="str">
        <f>+CONCATENATE(MID(Table8[[#This Row],[Nombre Cuenta]],1,3)," - ", ,MID(Table8[[#This Row],[Nombre Cuenta]],6,144))</f>
        <v>693 -  Pérdidas por deterioro de materias primas</v>
      </c>
    </row>
    <row r="120" spans="1:9">
      <c r="A120" t="s">
        <v>1623</v>
      </c>
      <c r="B120" t="s">
        <v>1624</v>
      </c>
      <c r="C120" t="s">
        <v>749</v>
      </c>
      <c r="D120">
        <v>6933</v>
      </c>
      <c r="E120" t="str">
        <f>+MID(Table8[[#This Row],[CPGC]],1,2)</f>
        <v>69</v>
      </c>
      <c r="F120" t="str">
        <f>+MID(Table8[[#This Row],[CPGC]],1,3)</f>
        <v>693</v>
      </c>
      <c r="H120" t="s">
        <v>1694</v>
      </c>
      <c r="I120" t="str">
        <f>+CONCATENATE(MID(Table8[[#This Row],[Nombre Cuenta]],1,3)," - ", ,MID(Table8[[#This Row],[Nombre Cuenta]],6,144))</f>
        <v>693 -  Pérdidas por deterioro de otros aprovisionamientos</v>
      </c>
    </row>
    <row r="121" spans="1:9">
      <c r="A121" t="s">
        <v>1623</v>
      </c>
      <c r="B121" t="s">
        <v>1624</v>
      </c>
      <c r="C121" t="s">
        <v>752</v>
      </c>
      <c r="D121">
        <v>6940</v>
      </c>
      <c r="E121" t="str">
        <f>+MID(Table8[[#This Row],[CPGC]],1,2)</f>
        <v>69</v>
      </c>
      <c r="F121" t="str">
        <f>+MID(Table8[[#This Row],[CPGC]],1,3)</f>
        <v>694</v>
      </c>
      <c r="H121" t="s">
        <v>1532</v>
      </c>
      <c r="I121" t="str">
        <f>+CONCATENATE(MID(Table8[[#This Row],[Nombre Cuenta]],1,3)," - ", ,MID(Table8[[#This Row],[Nombre Cuenta]],6,144))</f>
        <v>694 -  Pérdidas por deterioro de créditos por operaciones comerciales</v>
      </c>
    </row>
    <row r="122" spans="1:9">
      <c r="A122" t="s">
        <v>1623</v>
      </c>
      <c r="B122" t="s">
        <v>1624</v>
      </c>
      <c r="C122" t="s">
        <v>752</v>
      </c>
      <c r="D122">
        <v>6950</v>
      </c>
      <c r="E122" t="str">
        <f>+MID(Table8[[#This Row],[CPGC]],1,2)</f>
        <v>69</v>
      </c>
      <c r="F122" t="str">
        <f>+MID(Table8[[#This Row],[CPGC]],1,3)</f>
        <v>695</v>
      </c>
      <c r="H122" t="s">
        <v>1534</v>
      </c>
      <c r="I122" t="str">
        <f>+CONCATENATE(MID(Table8[[#This Row],[Nombre Cuenta]],1,3)," - ", ,MID(Table8[[#This Row],[Nombre Cuenta]],6,144))</f>
        <v>695 -  Dotación a la provisión por operaciones comerciales</v>
      </c>
    </row>
    <row r="123" spans="1:9">
      <c r="A123" t="s">
        <v>1623</v>
      </c>
      <c r="B123" t="s">
        <v>1624</v>
      </c>
      <c r="C123" t="s">
        <v>752</v>
      </c>
      <c r="D123">
        <v>6954</v>
      </c>
      <c r="E123" t="str">
        <f>+MID(Table8[[#This Row],[CPGC]],1,2)</f>
        <v>69</v>
      </c>
      <c r="F123" t="str">
        <f>+MID(Table8[[#This Row],[CPGC]],1,3)</f>
        <v>695</v>
      </c>
      <c r="H123" t="s">
        <v>1695</v>
      </c>
      <c r="I123" t="str">
        <f>+CONCATENATE(MID(Table8[[#This Row],[Nombre Cuenta]],1,3)," - ", ,MID(Table8[[#This Row],[Nombre Cuenta]],6,144))</f>
        <v>695 -  Dotación a la provisión por contratos onerosos</v>
      </c>
    </row>
    <row r="124" spans="1:9">
      <c r="A124" t="s">
        <v>1623</v>
      </c>
      <c r="B124" t="s">
        <v>1624</v>
      </c>
      <c r="C124" t="s">
        <v>752</v>
      </c>
      <c r="D124">
        <v>6959</v>
      </c>
      <c r="E124" t="str">
        <f>+MID(Table8[[#This Row],[CPGC]],1,2)</f>
        <v>69</v>
      </c>
      <c r="F124" t="str">
        <f>+MID(Table8[[#This Row],[CPGC]],1,3)</f>
        <v>695</v>
      </c>
      <c r="H124" t="s">
        <v>1535</v>
      </c>
      <c r="I124" t="str">
        <f>+CONCATENATE(MID(Table8[[#This Row],[Nombre Cuenta]],1,3)," - ", ,MID(Table8[[#This Row],[Nombre Cuenta]],6,144))</f>
        <v>695 -  Dotación a la provisión para otras operaciones comerciales</v>
      </c>
    </row>
    <row r="125" spans="1:9">
      <c r="A125" t="s">
        <v>1623</v>
      </c>
      <c r="B125" t="s">
        <v>1644</v>
      </c>
      <c r="C125" t="s">
        <v>763</v>
      </c>
      <c r="D125">
        <v>6960</v>
      </c>
      <c r="E125" t="str">
        <f>+MID(Table8[[#This Row],[CPGC]],1,2)</f>
        <v>69</v>
      </c>
      <c r="F125" t="str">
        <f>+MID(Table8[[#This Row],[CPGC]],1,3)</f>
        <v>696</v>
      </c>
      <c r="H125" t="s">
        <v>1696</v>
      </c>
      <c r="I125" t="str">
        <f>+CONCATENATE(MID(Table8[[#This Row],[Nombre Cuenta]],1,3)," - ", ,MID(Table8[[#This Row],[Nombre Cuenta]],6,144))</f>
        <v>696 -  Pérdidas por deterioro de participaciones en instrumentos de patrimonio neto a largo plazo, empresas del grupo</v>
      </c>
    </row>
    <row r="126" spans="1:9">
      <c r="A126" t="s">
        <v>1623</v>
      </c>
      <c r="B126" t="s">
        <v>1644</v>
      </c>
      <c r="C126" t="s">
        <v>763</v>
      </c>
      <c r="D126">
        <v>6961</v>
      </c>
      <c r="E126" t="str">
        <f>+MID(Table8[[#This Row],[CPGC]],1,2)</f>
        <v>69</v>
      </c>
      <c r="F126" t="str">
        <f>+MID(Table8[[#This Row],[CPGC]],1,3)</f>
        <v>696</v>
      </c>
      <c r="H126" t="s">
        <v>1697</v>
      </c>
      <c r="I126" t="str">
        <f>+CONCATENATE(MID(Table8[[#This Row],[Nombre Cuenta]],1,3)," - ", ,MID(Table8[[#This Row],[Nombre Cuenta]],6,144))</f>
        <v>696 -  Pérdidas por deterioro de participaciones en instrumentos de patrimonio neto a largo plazo, empresas asociadas</v>
      </c>
    </row>
    <row r="127" spans="1:9">
      <c r="A127" t="s">
        <v>1623</v>
      </c>
      <c r="B127" t="s">
        <v>1644</v>
      </c>
      <c r="C127" t="s">
        <v>763</v>
      </c>
      <c r="D127">
        <v>6962</v>
      </c>
      <c r="E127" t="str">
        <f>+MID(Table8[[#This Row],[CPGC]],1,2)</f>
        <v>69</v>
      </c>
      <c r="F127" t="str">
        <f>+MID(Table8[[#This Row],[CPGC]],1,3)</f>
        <v>696</v>
      </c>
      <c r="H127" t="s">
        <v>1698</v>
      </c>
      <c r="I127" t="str">
        <f>+CONCATENATE(MID(Table8[[#This Row],[Nombre Cuenta]],1,3)," - ", ,MID(Table8[[#This Row],[Nombre Cuenta]],6,144))</f>
        <v>696 -  Pérdidas por deterioro de participaciones en instrumentos de patrimonio neto a largo plazo, otras partes vinculadas</v>
      </c>
    </row>
    <row r="128" spans="1:9">
      <c r="A128" t="s">
        <v>1623</v>
      </c>
      <c r="B128" t="s">
        <v>1644</v>
      </c>
      <c r="C128" t="s">
        <v>763</v>
      </c>
      <c r="D128">
        <v>6963</v>
      </c>
      <c r="E128" t="str">
        <f>+MID(Table8[[#This Row],[CPGC]],1,2)</f>
        <v>69</v>
      </c>
      <c r="F128" t="str">
        <f>+MID(Table8[[#This Row],[CPGC]],1,3)</f>
        <v>696</v>
      </c>
      <c r="H128" t="s">
        <v>1699</v>
      </c>
      <c r="I128" t="str">
        <f>+CONCATENATE(MID(Table8[[#This Row],[Nombre Cuenta]],1,3)," - ", ,MID(Table8[[#This Row],[Nombre Cuenta]],6,144))</f>
        <v>696 -  Pérdidas por deterioro de participaciones en instrumentos de patrimonio neto a largo plazo, otras empresas</v>
      </c>
    </row>
    <row r="129" spans="1:9">
      <c r="A129" t="s">
        <v>1623</v>
      </c>
      <c r="B129" t="s">
        <v>1644</v>
      </c>
      <c r="C129" t="s">
        <v>763</v>
      </c>
      <c r="D129">
        <v>6965</v>
      </c>
      <c r="E129" t="str">
        <f>+MID(Table8[[#This Row],[CPGC]],1,2)</f>
        <v>69</v>
      </c>
      <c r="F129" t="str">
        <f>+MID(Table8[[#This Row],[CPGC]],1,3)</f>
        <v>696</v>
      </c>
      <c r="H129" t="s">
        <v>1700</v>
      </c>
      <c r="I129" t="str">
        <f>+CONCATENATE(MID(Table8[[#This Row],[Nombre Cuenta]],1,3)," - ", ,MID(Table8[[#This Row],[Nombre Cuenta]],6,144))</f>
        <v>696 -  Pérdidas por deterioro de participaciones en instrumentos de patrimonio neto a corto plazo, empresas del grupo</v>
      </c>
    </row>
    <row r="130" spans="1:9">
      <c r="A130" t="s">
        <v>1623</v>
      </c>
      <c r="B130" t="s">
        <v>1644</v>
      </c>
      <c r="C130" t="s">
        <v>763</v>
      </c>
      <c r="D130">
        <v>6966</v>
      </c>
      <c r="E130" t="str">
        <f>+MID(Table8[[#This Row],[CPGC]],1,2)</f>
        <v>69</v>
      </c>
      <c r="F130" t="str">
        <f>+MID(Table8[[#This Row],[CPGC]],1,3)</f>
        <v>696</v>
      </c>
      <c r="H130" t="s">
        <v>1701</v>
      </c>
      <c r="I130" t="str">
        <f>+CONCATENATE(MID(Table8[[#This Row],[Nombre Cuenta]],1,3)," - ", ,MID(Table8[[#This Row],[Nombre Cuenta]],6,144))</f>
        <v>696 -  Pérdidas por deterioro de participaciones en instrumentos de patrimonio neto a corto plazo, empresas asociadas</v>
      </c>
    </row>
    <row r="131" spans="1:9">
      <c r="A131" t="s">
        <v>1623</v>
      </c>
      <c r="B131" t="s">
        <v>1644</v>
      </c>
      <c r="C131" t="s">
        <v>763</v>
      </c>
      <c r="D131">
        <v>6967</v>
      </c>
      <c r="E131" t="str">
        <f>+MID(Table8[[#This Row],[CPGC]],1,2)</f>
        <v>69</v>
      </c>
      <c r="F131" t="str">
        <f>+MID(Table8[[#This Row],[CPGC]],1,3)</f>
        <v>696</v>
      </c>
      <c r="H131" t="s">
        <v>1702</v>
      </c>
      <c r="I131" t="str">
        <f>+CONCATENATE(MID(Table8[[#This Row],[Nombre Cuenta]],1,3)," - ", ,MID(Table8[[#This Row],[Nombre Cuenta]],6,144))</f>
        <v>696 -  Pérdidas por deterioro de participaciones en instrumentos de patrimonio neto a corto plazo, otras partes vinculadas</v>
      </c>
    </row>
    <row r="132" spans="1:9">
      <c r="A132" t="s">
        <v>1623</v>
      </c>
      <c r="B132" t="s">
        <v>1644</v>
      </c>
      <c r="C132" t="s">
        <v>763</v>
      </c>
      <c r="D132">
        <v>6968</v>
      </c>
      <c r="E132" t="str">
        <f>+MID(Table8[[#This Row],[CPGC]],1,2)</f>
        <v>69</v>
      </c>
      <c r="F132" t="str">
        <f>+MID(Table8[[#This Row],[CPGC]],1,3)</f>
        <v>696</v>
      </c>
      <c r="H132" t="s">
        <v>1703</v>
      </c>
      <c r="I132" t="str">
        <f>+CONCATENATE(MID(Table8[[#This Row],[Nombre Cuenta]],1,3)," - ", ,MID(Table8[[#This Row],[Nombre Cuenta]],6,144))</f>
        <v>696 -  Pérdidas por deterioro de participaciones en instrumentos de patrimonio neto a corto plazo, otras empresas</v>
      </c>
    </row>
    <row r="133" spans="1:9">
      <c r="A133" t="s">
        <v>1623</v>
      </c>
      <c r="B133" t="s">
        <v>1644</v>
      </c>
      <c r="C133" t="s">
        <v>763</v>
      </c>
      <c r="D133">
        <v>6970</v>
      </c>
      <c r="E133" t="str">
        <f>+MID(Table8[[#This Row],[CPGC]],1,2)</f>
        <v>69</v>
      </c>
      <c r="F133" t="str">
        <f>+MID(Table8[[#This Row],[CPGC]],1,3)</f>
        <v>697</v>
      </c>
      <c r="H133" t="s">
        <v>1704</v>
      </c>
      <c r="I133" t="str">
        <f>+CONCATENATE(MID(Table8[[#This Row],[Nombre Cuenta]],1,3)," - ", ,MID(Table8[[#This Row],[Nombre Cuenta]],6,144))</f>
        <v>697 -  Pérdidas por deterioro de créditos a largo plazo, empresas del grupo</v>
      </c>
    </row>
    <row r="134" spans="1:9">
      <c r="A134" t="s">
        <v>1623</v>
      </c>
      <c r="B134" t="s">
        <v>1644</v>
      </c>
      <c r="C134" t="s">
        <v>763</v>
      </c>
      <c r="D134">
        <v>6971</v>
      </c>
      <c r="E134" t="str">
        <f>+MID(Table8[[#This Row],[CPGC]],1,2)</f>
        <v>69</v>
      </c>
      <c r="F134" t="str">
        <f>+MID(Table8[[#This Row],[CPGC]],1,3)</f>
        <v>697</v>
      </c>
      <c r="H134" t="s">
        <v>1705</v>
      </c>
      <c r="I134" t="str">
        <f>+CONCATENATE(MID(Table8[[#This Row],[Nombre Cuenta]],1,3)," - ", ,MID(Table8[[#This Row],[Nombre Cuenta]],6,144))</f>
        <v>697 -  Pérdidas por deterioro de créditos a largo plazo, empresas asociadas</v>
      </c>
    </row>
    <row r="135" spans="1:9">
      <c r="A135" t="s">
        <v>1623</v>
      </c>
      <c r="B135" t="s">
        <v>1644</v>
      </c>
      <c r="C135" t="s">
        <v>763</v>
      </c>
      <c r="D135">
        <v>6972</v>
      </c>
      <c r="E135" t="str">
        <f>+MID(Table8[[#This Row],[CPGC]],1,2)</f>
        <v>69</v>
      </c>
      <c r="F135" t="str">
        <f>+MID(Table8[[#This Row],[CPGC]],1,3)</f>
        <v>697</v>
      </c>
      <c r="H135" t="s">
        <v>1706</v>
      </c>
      <c r="I135" t="str">
        <f>+CONCATENATE(MID(Table8[[#This Row],[Nombre Cuenta]],1,3)," - ", ,MID(Table8[[#This Row],[Nombre Cuenta]],6,144))</f>
        <v>697 -  Pérdidas por deterioro de créditos a largo plazo, otras partes vinculadas</v>
      </c>
    </row>
    <row r="136" spans="1:9">
      <c r="A136" t="s">
        <v>1623</v>
      </c>
      <c r="B136" t="s">
        <v>1644</v>
      </c>
      <c r="C136" t="s">
        <v>763</v>
      </c>
      <c r="D136">
        <v>6973</v>
      </c>
      <c r="E136" t="str">
        <f>+MID(Table8[[#This Row],[CPGC]],1,2)</f>
        <v>69</v>
      </c>
      <c r="F136" t="str">
        <f>+MID(Table8[[#This Row],[CPGC]],1,3)</f>
        <v>697</v>
      </c>
      <c r="H136" t="s">
        <v>1707</v>
      </c>
      <c r="I136" t="str">
        <f>+CONCATENATE(MID(Table8[[#This Row],[Nombre Cuenta]],1,3)," - ", ,MID(Table8[[#This Row],[Nombre Cuenta]],6,144))</f>
        <v>697 -  Pérdidas por deterioro de créditos a largo plazo, otras empresas</v>
      </c>
    </row>
    <row r="137" spans="1:9">
      <c r="A137" t="s">
        <v>1623</v>
      </c>
      <c r="B137" t="s">
        <v>1644</v>
      </c>
      <c r="C137" t="s">
        <v>763</v>
      </c>
      <c r="D137">
        <v>6980</v>
      </c>
      <c r="E137" t="str">
        <f>+MID(Table8[[#This Row],[CPGC]],1,2)</f>
        <v>69</v>
      </c>
      <c r="F137" t="str">
        <f>+MID(Table8[[#This Row],[CPGC]],1,3)</f>
        <v>698</v>
      </c>
      <c r="H137" t="s">
        <v>1708</v>
      </c>
      <c r="I137" t="str">
        <f>+CONCATENATE(MID(Table8[[#This Row],[Nombre Cuenta]],1,3)," - ", ,MID(Table8[[#This Row],[Nombre Cuenta]],6,144))</f>
        <v>698 -  Pérdidas por deterioro de participaciones en instrumentos de patrimonio neto a corto plazo, empresas del grupo</v>
      </c>
    </row>
    <row r="138" spans="1:9">
      <c r="A138" t="s">
        <v>1623</v>
      </c>
      <c r="B138" t="s">
        <v>1644</v>
      </c>
      <c r="C138" t="s">
        <v>763</v>
      </c>
      <c r="D138">
        <v>6981</v>
      </c>
      <c r="E138" t="str">
        <f>+MID(Table8[[#This Row],[CPGC]],1,2)</f>
        <v>69</v>
      </c>
      <c r="F138" t="str">
        <f>+MID(Table8[[#This Row],[CPGC]],1,3)</f>
        <v>698</v>
      </c>
      <c r="H138" t="s">
        <v>1709</v>
      </c>
      <c r="I138" t="str">
        <f>+CONCATENATE(MID(Table8[[#This Row],[Nombre Cuenta]],1,3)," - ", ,MID(Table8[[#This Row],[Nombre Cuenta]],6,144))</f>
        <v>698 -  Pérdidas por deterioro de participaciones en instrumentos de patrimonio neto a corto plazo, empresas asociadas</v>
      </c>
    </row>
    <row r="139" spans="1:9">
      <c r="A139" t="s">
        <v>1623</v>
      </c>
      <c r="B139" t="s">
        <v>1644</v>
      </c>
      <c r="C139" t="s">
        <v>763</v>
      </c>
      <c r="D139">
        <v>6985</v>
      </c>
      <c r="E139" t="str">
        <f>+MID(Table8[[#This Row],[CPGC]],1,2)</f>
        <v>69</v>
      </c>
      <c r="F139" t="str">
        <f>+MID(Table8[[#This Row],[CPGC]],1,3)</f>
        <v>698</v>
      </c>
      <c r="H139" t="s">
        <v>1710</v>
      </c>
      <c r="I139" t="str">
        <f>+CONCATENATE(MID(Table8[[#This Row],[Nombre Cuenta]],1,3)," - ", ,MID(Table8[[#This Row],[Nombre Cuenta]],6,144))</f>
        <v>698 -  Pérdidas por deterioro en valores representativos de deuda a corto plazo, empresas del grupo</v>
      </c>
    </row>
    <row r="140" spans="1:9">
      <c r="A140" t="s">
        <v>1623</v>
      </c>
      <c r="B140" t="s">
        <v>1644</v>
      </c>
      <c r="C140" t="s">
        <v>763</v>
      </c>
      <c r="D140">
        <v>6986</v>
      </c>
      <c r="E140" t="str">
        <f>+MID(Table8[[#This Row],[CPGC]],1,2)</f>
        <v>69</v>
      </c>
      <c r="F140" t="str">
        <f>+MID(Table8[[#This Row],[CPGC]],1,3)</f>
        <v>698</v>
      </c>
      <c r="H140" t="s">
        <v>1711</v>
      </c>
      <c r="I140" t="str">
        <f>+CONCATENATE(MID(Table8[[#This Row],[Nombre Cuenta]],1,3)," - ", ,MID(Table8[[#This Row],[Nombre Cuenta]],6,144))</f>
        <v>698 -  Pérdidas por deterioro en valores representativos de deuda a corto plazo, empresas asociadas</v>
      </c>
    </row>
    <row r="141" spans="1:9">
      <c r="A141" t="s">
        <v>1623</v>
      </c>
      <c r="B141" t="s">
        <v>1644</v>
      </c>
      <c r="C141" t="s">
        <v>763</v>
      </c>
      <c r="D141">
        <v>6987</v>
      </c>
      <c r="E141" t="str">
        <f>+MID(Table8[[#This Row],[CPGC]],1,2)</f>
        <v>69</v>
      </c>
      <c r="F141" t="str">
        <f>+MID(Table8[[#This Row],[CPGC]],1,3)</f>
        <v>698</v>
      </c>
      <c r="H141" t="s">
        <v>1712</v>
      </c>
      <c r="I141" t="str">
        <f>+CONCATENATE(MID(Table8[[#This Row],[Nombre Cuenta]],1,3)," - ", ,MID(Table8[[#This Row],[Nombre Cuenta]],6,144))</f>
        <v>698 -  Pérdidas por deterioro en valores representativos de deuda a corto plazo, otras partes vinculadas</v>
      </c>
    </row>
    <row r="142" spans="1:9">
      <c r="A142" t="s">
        <v>1623</v>
      </c>
      <c r="B142" t="s">
        <v>1644</v>
      </c>
      <c r="C142" t="s">
        <v>763</v>
      </c>
      <c r="D142">
        <v>6988</v>
      </c>
      <c r="E142" t="str">
        <f>+MID(Table8[[#This Row],[CPGC]],1,2)</f>
        <v>69</v>
      </c>
      <c r="F142" t="str">
        <f>+MID(Table8[[#This Row],[CPGC]],1,3)</f>
        <v>698</v>
      </c>
      <c r="H142" t="s">
        <v>1713</v>
      </c>
      <c r="I142" t="str">
        <f>+CONCATENATE(MID(Table8[[#This Row],[Nombre Cuenta]],1,3)," - ", ,MID(Table8[[#This Row],[Nombre Cuenta]],6,144))</f>
        <v>698 -  Pérdidas por deterioro en valores representativos de deuda a corto plazo, otras empresas</v>
      </c>
    </row>
    <row r="143" spans="1:9">
      <c r="A143" t="s">
        <v>1623</v>
      </c>
      <c r="B143" t="s">
        <v>1644</v>
      </c>
      <c r="C143" t="s">
        <v>763</v>
      </c>
      <c r="D143">
        <v>6990</v>
      </c>
      <c r="E143" t="str">
        <f>+MID(Table8[[#This Row],[CPGC]],1,2)</f>
        <v>69</v>
      </c>
      <c r="F143" t="str">
        <f>+MID(Table8[[#This Row],[CPGC]],1,3)</f>
        <v>699</v>
      </c>
      <c r="H143" t="s">
        <v>1714</v>
      </c>
      <c r="I143" t="str">
        <f>+CONCATENATE(MID(Table8[[#This Row],[Nombre Cuenta]],1,3)," - ", ,MID(Table8[[#This Row],[Nombre Cuenta]],6,144))</f>
        <v>699 -  Pérdidas por deterioro de créditos a corto plazo, empresas del grupo</v>
      </c>
    </row>
    <row r="144" spans="1:9">
      <c r="A144" t="s">
        <v>1623</v>
      </c>
      <c r="B144" t="s">
        <v>1644</v>
      </c>
      <c r="C144" t="s">
        <v>763</v>
      </c>
      <c r="D144">
        <v>6991</v>
      </c>
      <c r="E144" t="str">
        <f>+MID(Table8[[#This Row],[CPGC]],1,2)</f>
        <v>69</v>
      </c>
      <c r="F144" t="str">
        <f>+MID(Table8[[#This Row],[CPGC]],1,3)</f>
        <v>699</v>
      </c>
      <c r="H144" t="s">
        <v>1715</v>
      </c>
      <c r="I144" t="str">
        <f>+CONCATENATE(MID(Table8[[#This Row],[Nombre Cuenta]],1,3)," - ", ,MID(Table8[[#This Row],[Nombre Cuenta]],6,144))</f>
        <v>699 -  Pérdidas por deterioro de créditos a corto plazo, empresas asociadas</v>
      </c>
    </row>
    <row r="145" spans="1:9">
      <c r="A145" t="s">
        <v>1623</v>
      </c>
      <c r="B145" t="s">
        <v>1644</v>
      </c>
      <c r="C145" t="s">
        <v>763</v>
      </c>
      <c r="D145">
        <v>6992</v>
      </c>
      <c r="E145" t="str">
        <f>+MID(Table8[[#This Row],[CPGC]],1,2)</f>
        <v>69</v>
      </c>
      <c r="F145" t="str">
        <f>+MID(Table8[[#This Row],[CPGC]],1,3)</f>
        <v>699</v>
      </c>
      <c r="H145" t="s">
        <v>1716</v>
      </c>
      <c r="I145" t="str">
        <f>+CONCATENATE(MID(Table8[[#This Row],[Nombre Cuenta]],1,3)," - ", ,MID(Table8[[#This Row],[Nombre Cuenta]],6,144))</f>
        <v>699 -  Pérdidas por deterioro de créditos a corto plazo, otras partes vinculadas</v>
      </c>
    </row>
    <row r="146" spans="1:9">
      <c r="A146" t="s">
        <v>1623</v>
      </c>
      <c r="B146" t="s">
        <v>1644</v>
      </c>
      <c r="C146" t="s">
        <v>763</v>
      </c>
      <c r="D146">
        <v>6993</v>
      </c>
      <c r="E146" t="str">
        <f>+MID(Table8[[#This Row],[CPGC]],1,2)</f>
        <v>69</v>
      </c>
      <c r="F146" t="str">
        <f>+MID(Table8[[#This Row],[CPGC]],1,3)</f>
        <v>699</v>
      </c>
      <c r="H146" t="s">
        <v>1717</v>
      </c>
      <c r="I146" t="str">
        <f>+CONCATENATE(MID(Table8[[#This Row],[Nombre Cuenta]],1,3)," - ", ,MID(Table8[[#This Row],[Nombre Cuenta]],6,144))</f>
        <v>699 -  Pérdidas por deterioro de créditos a corto plazo, otras empresas</v>
      </c>
    </row>
    <row r="147" spans="1:9">
      <c r="A147" t="s">
        <v>1623</v>
      </c>
      <c r="B147" t="s">
        <v>1624</v>
      </c>
      <c r="C147" t="s">
        <v>746</v>
      </c>
      <c r="D147">
        <v>7000</v>
      </c>
      <c r="E147" t="str">
        <f>+MID(Table8[[#This Row],[CPGC]],1,2)</f>
        <v>70</v>
      </c>
      <c r="F147" t="str">
        <f>+MID(Table8[[#This Row],[CPGC]],1,3)</f>
        <v>700</v>
      </c>
      <c r="H147" t="s">
        <v>1541</v>
      </c>
      <c r="I147" t="str">
        <f>+CONCATENATE(MID(Table8[[#This Row],[Nombre Cuenta]],1,3)," - ", ,MID(Table8[[#This Row],[Nombre Cuenta]],6,144))</f>
        <v>700 -  Ventas de mercaderías</v>
      </c>
    </row>
    <row r="148" spans="1:9">
      <c r="A148" t="s">
        <v>1623</v>
      </c>
      <c r="B148" t="s">
        <v>1624</v>
      </c>
      <c r="C148" t="s">
        <v>746</v>
      </c>
      <c r="D148">
        <v>7010</v>
      </c>
      <c r="E148" t="str">
        <f>+MID(Table8[[#This Row],[CPGC]],1,2)</f>
        <v>70</v>
      </c>
      <c r="F148" t="str">
        <f>+MID(Table8[[#This Row],[CPGC]],1,3)</f>
        <v>701</v>
      </c>
      <c r="H148" t="s">
        <v>1543</v>
      </c>
      <c r="I148" t="str">
        <f>+CONCATENATE(MID(Table8[[#This Row],[Nombre Cuenta]],1,3)," - ", ,MID(Table8[[#This Row],[Nombre Cuenta]],6,144))</f>
        <v>701 -  Ventas de productos terminados</v>
      </c>
    </row>
    <row r="149" spans="1:9">
      <c r="A149" t="s">
        <v>1623</v>
      </c>
      <c r="B149" t="s">
        <v>1624</v>
      </c>
      <c r="C149" t="s">
        <v>746</v>
      </c>
      <c r="D149">
        <v>7020</v>
      </c>
      <c r="E149" t="str">
        <f>+MID(Table8[[#This Row],[CPGC]],1,2)</f>
        <v>70</v>
      </c>
      <c r="F149" t="str">
        <f>+MID(Table8[[#This Row],[CPGC]],1,3)</f>
        <v>702</v>
      </c>
      <c r="H149" t="s">
        <v>1544</v>
      </c>
      <c r="I149" t="str">
        <f>+CONCATENATE(MID(Table8[[#This Row],[Nombre Cuenta]],1,3)," - ", ,MID(Table8[[#This Row],[Nombre Cuenta]],6,144))</f>
        <v>702 -  Ventas de productos semiterminados</v>
      </c>
    </row>
    <row r="150" spans="1:9">
      <c r="A150" t="s">
        <v>1623</v>
      </c>
      <c r="B150" t="s">
        <v>1624</v>
      </c>
      <c r="C150" t="s">
        <v>746</v>
      </c>
      <c r="D150">
        <v>7030</v>
      </c>
      <c r="E150" t="str">
        <f>+MID(Table8[[#This Row],[CPGC]],1,2)</f>
        <v>70</v>
      </c>
      <c r="F150" t="str">
        <f>+MID(Table8[[#This Row],[CPGC]],1,3)</f>
        <v>703</v>
      </c>
      <c r="H150" t="s">
        <v>1548</v>
      </c>
      <c r="I150" t="str">
        <f>+CONCATENATE(MID(Table8[[#This Row],[Nombre Cuenta]],1,3)," - ", ,MID(Table8[[#This Row],[Nombre Cuenta]],6,144))</f>
        <v>703 -  Ventas de subproductos y residuos</v>
      </c>
    </row>
    <row r="151" spans="1:9">
      <c r="A151" t="s">
        <v>1623</v>
      </c>
      <c r="B151" t="s">
        <v>1624</v>
      </c>
      <c r="C151" t="s">
        <v>746</v>
      </c>
      <c r="D151">
        <v>7040</v>
      </c>
      <c r="E151" t="str">
        <f>+MID(Table8[[#This Row],[CPGC]],1,2)</f>
        <v>70</v>
      </c>
      <c r="F151" t="str">
        <f>+MID(Table8[[#This Row],[CPGC]],1,3)</f>
        <v>704</v>
      </c>
      <c r="H151" t="s">
        <v>1550</v>
      </c>
      <c r="I151" t="str">
        <f>+CONCATENATE(MID(Table8[[#This Row],[Nombre Cuenta]],1,3)," - ", ,MID(Table8[[#This Row],[Nombre Cuenta]],6,144))</f>
        <v>704 -  Ventas de envases y embalajes</v>
      </c>
    </row>
    <row r="152" spans="1:9">
      <c r="A152" t="s">
        <v>1623</v>
      </c>
      <c r="B152" t="s">
        <v>1624</v>
      </c>
      <c r="C152" t="s">
        <v>746</v>
      </c>
      <c r="D152">
        <v>7050</v>
      </c>
      <c r="E152" t="str">
        <f>+MID(Table8[[#This Row],[CPGC]],1,2)</f>
        <v>70</v>
      </c>
      <c r="F152" t="str">
        <f>+MID(Table8[[#This Row],[CPGC]],1,3)</f>
        <v>705</v>
      </c>
      <c r="H152" t="s">
        <v>1551</v>
      </c>
      <c r="I152" t="str">
        <f>+CONCATENATE(MID(Table8[[#This Row],[Nombre Cuenta]],1,3)," - ", ,MID(Table8[[#This Row],[Nombre Cuenta]],6,144))</f>
        <v>705 -  Prestaciones de servicios</v>
      </c>
    </row>
    <row r="153" spans="1:9">
      <c r="A153" t="s">
        <v>1623</v>
      </c>
      <c r="B153" t="s">
        <v>1624</v>
      </c>
      <c r="C153" t="s">
        <v>746</v>
      </c>
      <c r="D153">
        <v>7060</v>
      </c>
      <c r="E153" t="str">
        <f>+MID(Table8[[#This Row],[CPGC]],1,2)</f>
        <v>70</v>
      </c>
      <c r="F153" t="str">
        <f>+MID(Table8[[#This Row],[CPGC]],1,3)</f>
        <v>706</v>
      </c>
      <c r="H153" t="s">
        <v>1552</v>
      </c>
      <c r="I153" t="str">
        <f>+CONCATENATE(MID(Table8[[#This Row],[Nombre Cuenta]],1,3)," - ", ,MID(Table8[[#This Row],[Nombre Cuenta]],6,144))</f>
        <v>706 -  Descuentos sobre ventas por pronto pago</v>
      </c>
    </row>
    <row r="154" spans="1:9">
      <c r="A154" t="s">
        <v>1623</v>
      </c>
      <c r="B154" t="s">
        <v>1624</v>
      </c>
      <c r="C154" t="s">
        <v>746</v>
      </c>
      <c r="D154">
        <v>7061</v>
      </c>
      <c r="E154" t="str">
        <f>+MID(Table8[[#This Row],[CPGC]],1,2)</f>
        <v>70</v>
      </c>
      <c r="F154" t="str">
        <f>+MID(Table8[[#This Row],[CPGC]],1,3)</f>
        <v>706</v>
      </c>
      <c r="H154" t="s">
        <v>1718</v>
      </c>
      <c r="I154" t="str">
        <f>+CONCATENATE(MID(Table8[[#This Row],[Nombre Cuenta]],1,3)," - ", ,MID(Table8[[#This Row],[Nombre Cuenta]],6,144))</f>
        <v>706 -  Descuentos sobre ventas por pronto pago de productos terminados</v>
      </c>
    </row>
    <row r="155" spans="1:9">
      <c r="A155" t="s">
        <v>1623</v>
      </c>
      <c r="B155" t="s">
        <v>1624</v>
      </c>
      <c r="C155" t="s">
        <v>746</v>
      </c>
      <c r="D155">
        <v>7062</v>
      </c>
      <c r="E155" t="str">
        <f>+MID(Table8[[#This Row],[CPGC]],1,2)</f>
        <v>70</v>
      </c>
      <c r="F155" t="str">
        <f>+MID(Table8[[#This Row],[CPGC]],1,3)</f>
        <v>706</v>
      </c>
      <c r="H155" t="s">
        <v>1719</v>
      </c>
      <c r="I155" t="str">
        <f>+CONCATENATE(MID(Table8[[#This Row],[Nombre Cuenta]],1,3)," - ", ,MID(Table8[[#This Row],[Nombre Cuenta]],6,144))</f>
        <v>706 -  Descuentos sobre ventas por pronto pago de productos semiterminados</v>
      </c>
    </row>
    <row r="156" spans="1:9">
      <c r="A156" t="s">
        <v>1623</v>
      </c>
      <c r="B156" t="s">
        <v>1624</v>
      </c>
      <c r="C156" t="s">
        <v>746</v>
      </c>
      <c r="D156">
        <v>7063</v>
      </c>
      <c r="E156" t="str">
        <f>+MID(Table8[[#This Row],[CPGC]],1,2)</f>
        <v>70</v>
      </c>
      <c r="F156" t="str">
        <f>+MID(Table8[[#This Row],[CPGC]],1,3)</f>
        <v>706</v>
      </c>
      <c r="H156" t="s">
        <v>1720</v>
      </c>
      <c r="I156" t="str">
        <f>+CONCATENATE(MID(Table8[[#This Row],[Nombre Cuenta]],1,3)," - ", ,MID(Table8[[#This Row],[Nombre Cuenta]],6,144))</f>
        <v>706 -  Descuentos sobre ventas por pronto pago de subproductos y residuos</v>
      </c>
    </row>
    <row r="157" spans="1:9">
      <c r="A157" t="s">
        <v>1623</v>
      </c>
      <c r="B157" t="s">
        <v>1624</v>
      </c>
      <c r="C157" t="s">
        <v>746</v>
      </c>
      <c r="D157">
        <v>7080</v>
      </c>
      <c r="E157" t="str">
        <f>+MID(Table8[[#This Row],[CPGC]],1,2)</f>
        <v>70</v>
      </c>
      <c r="F157" t="str">
        <f>+MID(Table8[[#This Row],[CPGC]],1,3)</f>
        <v>708</v>
      </c>
      <c r="H157" t="s">
        <v>1553</v>
      </c>
      <c r="I157" t="str">
        <f>+CONCATENATE(MID(Table8[[#This Row],[Nombre Cuenta]],1,3)," - ", ,MID(Table8[[#This Row],[Nombre Cuenta]],6,144))</f>
        <v>708 -  Devoluciones de ventas y operaciones similares</v>
      </c>
    </row>
    <row r="158" spans="1:9">
      <c r="A158" t="s">
        <v>1623</v>
      </c>
      <c r="B158" t="s">
        <v>1624</v>
      </c>
      <c r="C158" t="s">
        <v>746</v>
      </c>
      <c r="D158">
        <v>7081</v>
      </c>
      <c r="E158" t="str">
        <f>+MID(Table8[[#This Row],[CPGC]],1,2)</f>
        <v>70</v>
      </c>
      <c r="F158" t="str">
        <f>+MID(Table8[[#This Row],[CPGC]],1,3)</f>
        <v>708</v>
      </c>
      <c r="H158" t="s">
        <v>1721</v>
      </c>
      <c r="I158" t="str">
        <f>+CONCATENATE(MID(Table8[[#This Row],[Nombre Cuenta]],1,3)," - ", ,MID(Table8[[#This Row],[Nombre Cuenta]],6,144))</f>
        <v>708 -  Devoluciones de ventas de productos terminados</v>
      </c>
    </row>
    <row r="159" spans="1:9">
      <c r="A159" t="s">
        <v>1623</v>
      </c>
      <c r="B159" t="s">
        <v>1624</v>
      </c>
      <c r="C159" t="s">
        <v>746</v>
      </c>
      <c r="D159">
        <v>7082</v>
      </c>
      <c r="E159" t="str">
        <f>+MID(Table8[[#This Row],[CPGC]],1,2)</f>
        <v>70</v>
      </c>
      <c r="F159" t="str">
        <f>+MID(Table8[[#This Row],[CPGC]],1,3)</f>
        <v>708</v>
      </c>
      <c r="H159" t="s">
        <v>1722</v>
      </c>
      <c r="I159" t="str">
        <f>+CONCATENATE(MID(Table8[[#This Row],[Nombre Cuenta]],1,3)," - ", ,MID(Table8[[#This Row],[Nombre Cuenta]],6,144))</f>
        <v>708 -  Devoluciones de ventas de productos semiterminados</v>
      </c>
    </row>
    <row r="160" spans="1:9">
      <c r="A160" t="s">
        <v>1623</v>
      </c>
      <c r="B160" t="s">
        <v>1624</v>
      </c>
      <c r="C160" t="s">
        <v>746</v>
      </c>
      <c r="D160">
        <v>7083</v>
      </c>
      <c r="E160" t="str">
        <f>+MID(Table8[[#This Row],[CPGC]],1,2)</f>
        <v>70</v>
      </c>
      <c r="F160" t="str">
        <f>+MID(Table8[[#This Row],[CPGC]],1,3)</f>
        <v>708</v>
      </c>
      <c r="H160" t="s">
        <v>1723</v>
      </c>
      <c r="I160" t="str">
        <f>+CONCATENATE(MID(Table8[[#This Row],[Nombre Cuenta]],1,3)," - ", ,MID(Table8[[#This Row],[Nombre Cuenta]],6,144))</f>
        <v>708 -  Devoluciones de ventas de subproductos y residuos</v>
      </c>
    </row>
    <row r="161" spans="1:9">
      <c r="A161" t="s">
        <v>1623</v>
      </c>
      <c r="B161" t="s">
        <v>1624</v>
      </c>
      <c r="C161" t="s">
        <v>746</v>
      </c>
      <c r="D161">
        <v>7084</v>
      </c>
      <c r="E161" t="str">
        <f>+MID(Table8[[#This Row],[CPGC]],1,2)</f>
        <v>70</v>
      </c>
      <c r="F161" t="str">
        <f>+MID(Table8[[#This Row],[CPGC]],1,3)</f>
        <v>708</v>
      </c>
      <c r="H161" t="s">
        <v>1724</v>
      </c>
      <c r="I161" t="str">
        <f>+CONCATENATE(MID(Table8[[#This Row],[Nombre Cuenta]],1,3)," - ", ,MID(Table8[[#This Row],[Nombre Cuenta]],6,144))</f>
        <v>708 -  Devoluciones de ventas de envases y embalajes</v>
      </c>
    </row>
    <row r="162" spans="1:9">
      <c r="A162" t="s">
        <v>1623</v>
      </c>
      <c r="B162" t="s">
        <v>1624</v>
      </c>
      <c r="C162" t="s">
        <v>746</v>
      </c>
      <c r="D162">
        <v>7090</v>
      </c>
      <c r="E162" t="str">
        <f>+MID(Table8[[#This Row],[CPGC]],1,2)</f>
        <v>70</v>
      </c>
      <c r="F162" t="str">
        <f>+MID(Table8[[#This Row],[CPGC]],1,3)</f>
        <v>709</v>
      </c>
      <c r="H162" t="s">
        <v>1725</v>
      </c>
      <c r="I162" t="str">
        <f>+CONCATENATE(MID(Table8[[#This Row],[Nombre Cuenta]],1,3)," - ", ,MID(Table8[[#This Row],[Nombre Cuenta]],6,144))</f>
        <v>709 -  Rappels sobre ventas de mercaderías</v>
      </c>
    </row>
    <row r="163" spans="1:9">
      <c r="A163" t="s">
        <v>1623</v>
      </c>
      <c r="B163" t="s">
        <v>1624</v>
      </c>
      <c r="C163" t="s">
        <v>746</v>
      </c>
      <c r="D163">
        <v>7091</v>
      </c>
      <c r="E163" t="str">
        <f>+MID(Table8[[#This Row],[CPGC]],1,2)</f>
        <v>70</v>
      </c>
      <c r="F163" t="str">
        <f>+MID(Table8[[#This Row],[CPGC]],1,3)</f>
        <v>709</v>
      </c>
      <c r="H163" t="s">
        <v>1726</v>
      </c>
      <c r="I163" t="str">
        <f>+CONCATENATE(MID(Table8[[#This Row],[Nombre Cuenta]],1,3)," - ", ,MID(Table8[[#This Row],[Nombre Cuenta]],6,144))</f>
        <v>709 -  Rappels sobre ventas de productos terminados</v>
      </c>
    </row>
    <row r="164" spans="1:9">
      <c r="A164" t="s">
        <v>1623</v>
      </c>
      <c r="B164" t="s">
        <v>1624</v>
      </c>
      <c r="C164" t="s">
        <v>746</v>
      </c>
      <c r="D164">
        <v>7092</v>
      </c>
      <c r="E164" t="str">
        <f>+MID(Table8[[#This Row],[CPGC]],1,2)</f>
        <v>70</v>
      </c>
      <c r="F164" t="str">
        <f>+MID(Table8[[#This Row],[CPGC]],1,3)</f>
        <v>709</v>
      </c>
      <c r="H164" t="s">
        <v>1727</v>
      </c>
      <c r="I164" t="str">
        <f>+CONCATENATE(MID(Table8[[#This Row],[Nombre Cuenta]],1,3)," - ", ,MID(Table8[[#This Row],[Nombre Cuenta]],6,144))</f>
        <v>709 -  Rappels sobre ventas de productos semiterminados</v>
      </c>
    </row>
    <row r="165" spans="1:9">
      <c r="A165" t="s">
        <v>1623</v>
      </c>
      <c r="B165" t="s">
        <v>1624</v>
      </c>
      <c r="C165" t="s">
        <v>746</v>
      </c>
      <c r="D165">
        <v>7093</v>
      </c>
      <c r="E165" t="str">
        <f>+MID(Table8[[#This Row],[CPGC]],1,2)</f>
        <v>70</v>
      </c>
      <c r="F165" t="str">
        <f>+MID(Table8[[#This Row],[CPGC]],1,3)</f>
        <v>709</v>
      </c>
      <c r="H165" t="s">
        <v>1728</v>
      </c>
      <c r="I165" t="str">
        <f>+CONCATENATE(MID(Table8[[#This Row],[Nombre Cuenta]],1,3)," - ", ,MID(Table8[[#This Row],[Nombre Cuenta]],6,144))</f>
        <v>709 -  Rappels sobre ventas de subproductos y residuos</v>
      </c>
    </row>
    <row r="166" spans="1:9">
      <c r="A166" t="s">
        <v>1623</v>
      </c>
      <c r="B166" t="s">
        <v>1624</v>
      </c>
      <c r="C166" t="s">
        <v>746</v>
      </c>
      <c r="D166">
        <v>7094</v>
      </c>
      <c r="E166" t="str">
        <f>+MID(Table8[[#This Row],[CPGC]],1,2)</f>
        <v>70</v>
      </c>
      <c r="F166" t="str">
        <f>+MID(Table8[[#This Row],[CPGC]],1,3)</f>
        <v>709</v>
      </c>
      <c r="H166" t="s">
        <v>1729</v>
      </c>
      <c r="I166" t="str">
        <f>+CONCATENATE(MID(Table8[[#This Row],[Nombre Cuenta]],1,3)," - ", ,MID(Table8[[#This Row],[Nombre Cuenta]],6,144))</f>
        <v>709 -  Rappels sobre ventas de envases y embalajes</v>
      </c>
    </row>
    <row r="167" spans="1:9">
      <c r="A167" t="s">
        <v>1623</v>
      </c>
      <c r="B167" t="s">
        <v>1624</v>
      </c>
      <c r="C167" t="s">
        <v>747</v>
      </c>
      <c r="D167">
        <v>7100</v>
      </c>
      <c r="E167" t="str">
        <f>+MID(Table8[[#This Row],[CPGC]],1,2)</f>
        <v>71</v>
      </c>
      <c r="F167" t="str">
        <f>+MID(Table8[[#This Row],[CPGC]],1,3)</f>
        <v>710</v>
      </c>
      <c r="H167" t="s">
        <v>1555</v>
      </c>
      <c r="I167" t="str">
        <f>+CONCATENATE(MID(Table8[[#This Row],[Nombre Cuenta]],1,3)," - ", ,MID(Table8[[#This Row],[Nombre Cuenta]],6,144))</f>
        <v>710 -  Variación de existencias de productos en curso</v>
      </c>
    </row>
    <row r="168" spans="1:9">
      <c r="A168" t="s">
        <v>1623</v>
      </c>
      <c r="B168" t="s">
        <v>1624</v>
      </c>
      <c r="C168" t="s">
        <v>747</v>
      </c>
      <c r="D168">
        <v>7110</v>
      </c>
      <c r="E168" t="str">
        <f>+MID(Table8[[#This Row],[CPGC]],1,2)</f>
        <v>71</v>
      </c>
      <c r="F168" t="str">
        <f>+MID(Table8[[#This Row],[CPGC]],1,3)</f>
        <v>711</v>
      </c>
      <c r="H168" t="s">
        <v>1556</v>
      </c>
      <c r="I168" t="str">
        <f>+CONCATENATE(MID(Table8[[#This Row],[Nombre Cuenta]],1,3)," - ", ,MID(Table8[[#This Row],[Nombre Cuenta]],6,144))</f>
        <v>711 -  Variación de existencias de productos semiterminados</v>
      </c>
    </row>
    <row r="169" spans="1:9">
      <c r="A169" t="s">
        <v>1623</v>
      </c>
      <c r="B169" t="s">
        <v>1624</v>
      </c>
      <c r="C169" t="s">
        <v>747</v>
      </c>
      <c r="D169">
        <v>7120</v>
      </c>
      <c r="E169" t="str">
        <f>+MID(Table8[[#This Row],[CPGC]],1,2)</f>
        <v>71</v>
      </c>
      <c r="F169" t="str">
        <f>+MID(Table8[[#This Row],[CPGC]],1,3)</f>
        <v>712</v>
      </c>
      <c r="H169" t="s">
        <v>1557</v>
      </c>
      <c r="I169" t="str">
        <f>+CONCATENATE(MID(Table8[[#This Row],[Nombre Cuenta]],1,3)," - ", ,MID(Table8[[#This Row],[Nombre Cuenta]],6,144))</f>
        <v>712 -  Variación de existencias de productos terminados</v>
      </c>
    </row>
    <row r="170" spans="1:9">
      <c r="A170" t="s">
        <v>1623</v>
      </c>
      <c r="B170" t="s">
        <v>1624</v>
      </c>
      <c r="C170" t="s">
        <v>747</v>
      </c>
      <c r="D170">
        <v>7130</v>
      </c>
      <c r="E170" t="str">
        <f>+MID(Table8[[#This Row],[CPGC]],1,2)</f>
        <v>71</v>
      </c>
      <c r="F170" t="str">
        <f>+MID(Table8[[#This Row],[CPGC]],1,3)</f>
        <v>713</v>
      </c>
      <c r="H170" t="s">
        <v>1558</v>
      </c>
      <c r="I170" t="str">
        <f>+CONCATENATE(MID(Table8[[#This Row],[Nombre Cuenta]],1,3)," - ", ,MID(Table8[[#This Row],[Nombre Cuenta]],6,144))</f>
        <v>713 -  Variación de existencias de subproductos, residuos y materiales recuperados</v>
      </c>
    </row>
    <row r="171" spans="1:9">
      <c r="A171" t="s">
        <v>1623</v>
      </c>
      <c r="B171" t="s">
        <v>1624</v>
      </c>
      <c r="C171" t="s">
        <v>748</v>
      </c>
      <c r="D171">
        <v>7300</v>
      </c>
      <c r="E171" t="str">
        <f>+MID(Table8[[#This Row],[CPGC]],1,2)</f>
        <v>73</v>
      </c>
      <c r="F171" t="str">
        <f>+MID(Table8[[#This Row],[CPGC]],1,3)</f>
        <v>730</v>
      </c>
      <c r="H171" t="s">
        <v>1559</v>
      </c>
      <c r="I171" t="str">
        <f>+CONCATENATE(MID(Table8[[#This Row],[Nombre Cuenta]],1,3)," - ", ,MID(Table8[[#This Row],[Nombre Cuenta]],6,144))</f>
        <v>730 -  Trabajos realizados para el inmovilizado intangible</v>
      </c>
    </row>
    <row r="172" spans="1:9">
      <c r="A172" t="s">
        <v>1623</v>
      </c>
      <c r="B172" t="s">
        <v>1624</v>
      </c>
      <c r="C172" t="s">
        <v>748</v>
      </c>
      <c r="D172">
        <v>7310</v>
      </c>
      <c r="E172" t="str">
        <f>+MID(Table8[[#This Row],[CPGC]],1,2)</f>
        <v>73</v>
      </c>
      <c r="F172" t="str">
        <f>+MID(Table8[[#This Row],[CPGC]],1,3)</f>
        <v>731</v>
      </c>
      <c r="H172" t="s">
        <v>1560</v>
      </c>
      <c r="I172" t="str">
        <f>+CONCATENATE(MID(Table8[[#This Row],[Nombre Cuenta]],1,3)," - ", ,MID(Table8[[#This Row],[Nombre Cuenta]],6,144))</f>
        <v>731 -  Trabajos realizados para el inmovilizado material</v>
      </c>
    </row>
    <row r="173" spans="1:9">
      <c r="A173" t="s">
        <v>1623</v>
      </c>
      <c r="B173" t="s">
        <v>1624</v>
      </c>
      <c r="C173" t="s">
        <v>748</v>
      </c>
      <c r="D173">
        <v>7320</v>
      </c>
      <c r="E173" t="str">
        <f>+MID(Table8[[#This Row],[CPGC]],1,2)</f>
        <v>73</v>
      </c>
      <c r="F173" t="str">
        <f>+MID(Table8[[#This Row],[CPGC]],1,3)</f>
        <v>732</v>
      </c>
      <c r="H173" t="s">
        <v>1561</v>
      </c>
      <c r="I173" t="str">
        <f>+CONCATENATE(MID(Table8[[#This Row],[Nombre Cuenta]],1,3)," - ", ,MID(Table8[[#This Row],[Nombre Cuenta]],6,144))</f>
        <v>732 -  Trabajos realizados en inversiones inmobiliarias</v>
      </c>
    </row>
    <row r="174" spans="1:9">
      <c r="A174" t="s">
        <v>1623</v>
      </c>
      <c r="B174" t="s">
        <v>1624</v>
      </c>
      <c r="C174" t="s">
        <v>748</v>
      </c>
      <c r="D174">
        <v>7330</v>
      </c>
      <c r="E174" t="str">
        <f>+MID(Table8[[#This Row],[CPGC]],1,2)</f>
        <v>73</v>
      </c>
      <c r="F174" t="str">
        <f>+MID(Table8[[#This Row],[CPGC]],1,3)</f>
        <v>733</v>
      </c>
      <c r="H174" t="s">
        <v>1562</v>
      </c>
      <c r="I174" t="str">
        <f>+CONCATENATE(MID(Table8[[#This Row],[Nombre Cuenta]],1,3)," - ", ,MID(Table8[[#This Row],[Nombre Cuenta]],6,144))</f>
        <v>733 -  Trabajos realizados para el inmovilizado material en curso</v>
      </c>
    </row>
    <row r="175" spans="1:9">
      <c r="A175" t="s">
        <v>1623</v>
      </c>
      <c r="B175" t="s">
        <v>1624</v>
      </c>
      <c r="C175" t="s">
        <v>750</v>
      </c>
      <c r="D175">
        <v>7400</v>
      </c>
      <c r="E175" t="str">
        <f>+MID(Table8[[#This Row],[CPGC]],1,2)</f>
        <v>74</v>
      </c>
      <c r="F175" t="str">
        <f>+MID(Table8[[#This Row],[CPGC]],1,3)</f>
        <v>740</v>
      </c>
      <c r="H175" t="s">
        <v>1563</v>
      </c>
      <c r="I175" t="str">
        <f>+CONCATENATE(MID(Table8[[#This Row],[Nombre Cuenta]],1,3)," - ", ,MID(Table8[[#This Row],[Nombre Cuenta]],6,144))</f>
        <v>740 -  Subvenciones, donaciones y legados a la explotación</v>
      </c>
    </row>
    <row r="176" spans="1:9">
      <c r="A176" t="s">
        <v>1623</v>
      </c>
      <c r="B176" t="s">
        <v>1624</v>
      </c>
      <c r="C176" t="s">
        <v>754</v>
      </c>
      <c r="D176">
        <v>7460</v>
      </c>
      <c r="E176" t="str">
        <f>+MID(Table8[[#This Row],[CPGC]],1,2)</f>
        <v>74</v>
      </c>
      <c r="F176" t="str">
        <f>+MID(Table8[[#This Row],[CPGC]],1,3)</f>
        <v>746</v>
      </c>
      <c r="H176" t="s">
        <v>1564</v>
      </c>
      <c r="I176" t="str">
        <f>+CONCATENATE(MID(Table8[[#This Row],[Nombre Cuenta]],1,3)," - ", ,MID(Table8[[#This Row],[Nombre Cuenta]],6,144))</f>
        <v>746 -  Subvenciones, donaciones y legados de capital transferidas al resultado del ejercicio</v>
      </c>
    </row>
    <row r="177" spans="1:9">
      <c r="A177" t="s">
        <v>1623</v>
      </c>
      <c r="B177" t="s">
        <v>1624</v>
      </c>
      <c r="C177" t="s">
        <v>750</v>
      </c>
      <c r="D177">
        <v>7470</v>
      </c>
      <c r="E177" t="str">
        <f>+MID(Table8[[#This Row],[CPGC]],1,2)</f>
        <v>74</v>
      </c>
      <c r="F177" t="str">
        <f>+MID(Table8[[#This Row],[CPGC]],1,3)</f>
        <v>747</v>
      </c>
      <c r="H177" t="s">
        <v>1565</v>
      </c>
      <c r="I177" t="str">
        <f>+CONCATENATE(MID(Table8[[#This Row],[Nombre Cuenta]],1,3)," - ", ,MID(Table8[[#This Row],[Nombre Cuenta]],6,144))</f>
        <v>747 -  Otras subvenciones, donaciones y legados transferidos al resultado del ejercicio</v>
      </c>
    </row>
    <row r="178" spans="1:9">
      <c r="A178" t="s">
        <v>1623</v>
      </c>
      <c r="B178" t="s">
        <v>1624</v>
      </c>
      <c r="C178" t="s">
        <v>750</v>
      </c>
      <c r="D178">
        <v>7510</v>
      </c>
      <c r="E178" t="str">
        <f>+MID(Table8[[#This Row],[CPGC]],1,2)</f>
        <v>75</v>
      </c>
      <c r="F178" t="str">
        <f>+MID(Table8[[#This Row],[CPGC]],1,3)</f>
        <v>751</v>
      </c>
      <c r="H178" t="s">
        <v>1730</v>
      </c>
      <c r="I178" t="str">
        <f>+CONCATENATE(MID(Table8[[#This Row],[Nombre Cuenta]],1,3)," - ", ,MID(Table8[[#This Row],[Nombre Cuenta]],6,144))</f>
        <v>751 -  Pérdida transferida (gestor)</v>
      </c>
    </row>
    <row r="179" spans="1:9">
      <c r="A179" t="s">
        <v>1623</v>
      </c>
      <c r="B179" t="s">
        <v>1624</v>
      </c>
      <c r="C179" t="s">
        <v>750</v>
      </c>
      <c r="D179">
        <v>7511</v>
      </c>
      <c r="E179" t="str">
        <f>+MID(Table8[[#This Row],[CPGC]],1,2)</f>
        <v>75</v>
      </c>
      <c r="F179" t="str">
        <f>+MID(Table8[[#This Row],[CPGC]],1,3)</f>
        <v>751</v>
      </c>
      <c r="H179" t="s">
        <v>1731</v>
      </c>
      <c r="I179" t="str">
        <f>+CONCATENATE(MID(Table8[[#This Row],[Nombre Cuenta]],1,3)," - ", ,MID(Table8[[#This Row],[Nombre Cuenta]],6,144))</f>
        <v>751 -  Beneficio atribuido (partícipe o asociado no gestor)</v>
      </c>
    </row>
    <row r="180" spans="1:9">
      <c r="A180" t="s">
        <v>1623</v>
      </c>
      <c r="B180" t="s">
        <v>1624</v>
      </c>
      <c r="C180" t="s">
        <v>750</v>
      </c>
      <c r="D180">
        <v>7520</v>
      </c>
      <c r="E180" t="str">
        <f>+MID(Table8[[#This Row],[CPGC]],1,2)</f>
        <v>75</v>
      </c>
      <c r="F180" t="str">
        <f>+MID(Table8[[#This Row],[CPGC]],1,3)</f>
        <v>752</v>
      </c>
      <c r="H180" t="s">
        <v>1567</v>
      </c>
      <c r="I180" t="str">
        <f>+CONCATENATE(MID(Table8[[#This Row],[Nombre Cuenta]],1,3)," - ", ,MID(Table8[[#This Row],[Nombre Cuenta]],6,144))</f>
        <v>752 -  Ingresos por arrendamientos</v>
      </c>
    </row>
    <row r="181" spans="1:9">
      <c r="A181" t="s">
        <v>1623</v>
      </c>
      <c r="B181" t="s">
        <v>1624</v>
      </c>
      <c r="C181" t="s">
        <v>750</v>
      </c>
      <c r="D181">
        <v>7530</v>
      </c>
      <c r="E181" t="str">
        <f>+MID(Table8[[#This Row],[CPGC]],1,2)</f>
        <v>75</v>
      </c>
      <c r="F181" t="str">
        <f>+MID(Table8[[#This Row],[CPGC]],1,3)</f>
        <v>753</v>
      </c>
      <c r="H181" t="s">
        <v>1570</v>
      </c>
      <c r="I181" t="str">
        <f>+CONCATENATE(MID(Table8[[#This Row],[Nombre Cuenta]],1,3)," - ", ,MID(Table8[[#This Row],[Nombre Cuenta]],6,144))</f>
        <v>753 -  Ingresos de propiedad industrial cedida en explotación</v>
      </c>
    </row>
    <row r="182" spans="1:9">
      <c r="A182" t="s">
        <v>1623</v>
      </c>
      <c r="B182" t="s">
        <v>1624</v>
      </c>
      <c r="C182" t="s">
        <v>750</v>
      </c>
      <c r="D182">
        <v>7540</v>
      </c>
      <c r="E182" t="str">
        <f>+MID(Table8[[#This Row],[CPGC]],1,2)</f>
        <v>75</v>
      </c>
      <c r="F182" t="str">
        <f>+MID(Table8[[#This Row],[CPGC]],1,3)</f>
        <v>754</v>
      </c>
      <c r="H182" t="s">
        <v>1572</v>
      </c>
      <c r="I182" t="str">
        <f>+CONCATENATE(MID(Table8[[#This Row],[Nombre Cuenta]],1,3)," - ", ,MID(Table8[[#This Row],[Nombre Cuenta]],6,144))</f>
        <v>754 -  Ingresos por comisiones</v>
      </c>
    </row>
    <row r="183" spans="1:9">
      <c r="A183" t="s">
        <v>1623</v>
      </c>
      <c r="B183" t="s">
        <v>1624</v>
      </c>
      <c r="C183" t="s">
        <v>750</v>
      </c>
      <c r="D183">
        <v>7550</v>
      </c>
      <c r="E183" t="str">
        <f>+MID(Table8[[#This Row],[CPGC]],1,2)</f>
        <v>75</v>
      </c>
      <c r="F183" t="str">
        <f>+MID(Table8[[#This Row],[CPGC]],1,3)</f>
        <v>755</v>
      </c>
      <c r="H183" t="s">
        <v>1574</v>
      </c>
      <c r="I183" t="str">
        <f>+CONCATENATE(MID(Table8[[#This Row],[Nombre Cuenta]],1,3)," - ", ,MID(Table8[[#This Row],[Nombre Cuenta]],6,144))</f>
        <v>755 -  Ingresos por servicios al personal</v>
      </c>
    </row>
    <row r="184" spans="1:9">
      <c r="A184" t="s">
        <v>1623</v>
      </c>
      <c r="B184" t="s">
        <v>1624</v>
      </c>
      <c r="C184" t="s">
        <v>750</v>
      </c>
      <c r="D184">
        <v>7590</v>
      </c>
      <c r="E184" t="str">
        <f>+MID(Table8[[#This Row],[CPGC]],1,2)</f>
        <v>75</v>
      </c>
      <c r="F184" t="str">
        <f>+MID(Table8[[#This Row],[CPGC]],1,3)</f>
        <v>759</v>
      </c>
      <c r="H184" t="s">
        <v>1575</v>
      </c>
      <c r="I184" t="str">
        <f>+CONCATENATE(MID(Table8[[#This Row],[Nombre Cuenta]],1,3)," - ", ,MID(Table8[[#This Row],[Nombre Cuenta]],6,144))</f>
        <v>759 -  Ingresos por servicios diversos</v>
      </c>
    </row>
    <row r="185" spans="1:9">
      <c r="A185" t="s">
        <v>1623</v>
      </c>
      <c r="B185" t="s">
        <v>1644</v>
      </c>
      <c r="C185" t="s">
        <v>759</v>
      </c>
      <c r="D185">
        <v>7600</v>
      </c>
      <c r="E185" t="str">
        <f>+MID(Table8[[#This Row],[CPGC]],1,2)</f>
        <v>76</v>
      </c>
      <c r="F185" t="str">
        <f>+MID(Table8[[#This Row],[CPGC]],1,3)</f>
        <v>760</v>
      </c>
      <c r="H185" t="s">
        <v>1576</v>
      </c>
      <c r="I185" t="str">
        <f>+CONCATENATE(MID(Table8[[#This Row],[Nombre Cuenta]],1,3)," - ", ,MID(Table8[[#This Row],[Nombre Cuenta]],6,144))</f>
        <v>760 -  Ingresos de participaciones en instrumentos de patrimonio, empresas del grupo</v>
      </c>
    </row>
    <row r="186" spans="1:9">
      <c r="A186" t="s">
        <v>1623</v>
      </c>
      <c r="B186" t="s">
        <v>1644</v>
      </c>
      <c r="C186" t="s">
        <v>759</v>
      </c>
      <c r="D186">
        <v>7601</v>
      </c>
      <c r="E186" t="str">
        <f>+MID(Table8[[#This Row],[CPGC]],1,2)</f>
        <v>76</v>
      </c>
      <c r="F186" t="str">
        <f>+MID(Table8[[#This Row],[CPGC]],1,3)</f>
        <v>760</v>
      </c>
      <c r="H186" t="s">
        <v>1732</v>
      </c>
      <c r="I186" t="str">
        <f>+CONCATENATE(MID(Table8[[#This Row],[Nombre Cuenta]],1,3)," - ", ,MID(Table8[[#This Row],[Nombre Cuenta]],6,144))</f>
        <v>760 -  Ingresos de participaciones en instrumentos de patrimonio, empresas asociadas</v>
      </c>
    </row>
    <row r="187" spans="1:9">
      <c r="A187" t="s">
        <v>1623</v>
      </c>
      <c r="B187" t="s">
        <v>1644</v>
      </c>
      <c r="C187" t="s">
        <v>759</v>
      </c>
      <c r="D187">
        <v>7602</v>
      </c>
      <c r="E187" t="str">
        <f>+MID(Table8[[#This Row],[CPGC]],1,2)</f>
        <v>76</v>
      </c>
      <c r="F187" t="str">
        <f>+MID(Table8[[#This Row],[CPGC]],1,3)</f>
        <v>760</v>
      </c>
      <c r="H187" t="s">
        <v>1733</v>
      </c>
      <c r="I187" t="str">
        <f>+CONCATENATE(MID(Table8[[#This Row],[Nombre Cuenta]],1,3)," - ", ,MID(Table8[[#This Row],[Nombre Cuenta]],6,144))</f>
        <v>760 -  Ingresos de participaciones en instrumentos de patrimonio, otras partes vinculadas</v>
      </c>
    </row>
    <row r="188" spans="1:9">
      <c r="A188" t="s">
        <v>1623</v>
      </c>
      <c r="B188" t="s">
        <v>1644</v>
      </c>
      <c r="C188" t="s">
        <v>759</v>
      </c>
      <c r="D188">
        <v>7603</v>
      </c>
      <c r="E188" t="str">
        <f>+MID(Table8[[#This Row],[CPGC]],1,2)</f>
        <v>76</v>
      </c>
      <c r="F188" t="str">
        <f>+MID(Table8[[#This Row],[CPGC]],1,3)</f>
        <v>760</v>
      </c>
      <c r="H188" t="s">
        <v>1734</v>
      </c>
      <c r="I188" t="str">
        <f>+CONCATENATE(MID(Table8[[#This Row],[Nombre Cuenta]],1,3)," - ", ,MID(Table8[[#This Row],[Nombre Cuenta]],6,144))</f>
        <v>760 -  Ingresos de participaciones en instrumentos de patrimonio, otras empresas</v>
      </c>
    </row>
    <row r="189" spans="1:9">
      <c r="A189" t="s">
        <v>1623</v>
      </c>
      <c r="B189" t="s">
        <v>1644</v>
      </c>
      <c r="C189" t="s">
        <v>759</v>
      </c>
      <c r="D189">
        <v>7610</v>
      </c>
      <c r="E189" t="str">
        <f>+MID(Table8[[#This Row],[CPGC]],1,2)</f>
        <v>76</v>
      </c>
      <c r="F189" t="str">
        <f>+MID(Table8[[#This Row],[CPGC]],1,3)</f>
        <v>761</v>
      </c>
      <c r="H189" t="s">
        <v>1735</v>
      </c>
      <c r="I189" t="str">
        <f>+CONCATENATE(MID(Table8[[#This Row],[Nombre Cuenta]],1,3)," - ", ,MID(Table8[[#This Row],[Nombre Cuenta]],6,144))</f>
        <v>761 -  Ingresos de valores representativos de deuda, empresas del grupo</v>
      </c>
    </row>
    <row r="190" spans="1:9">
      <c r="A190" t="s">
        <v>1623</v>
      </c>
      <c r="B190" t="s">
        <v>1644</v>
      </c>
      <c r="C190" t="s">
        <v>759</v>
      </c>
      <c r="D190">
        <v>7611</v>
      </c>
      <c r="E190" t="str">
        <f>+MID(Table8[[#This Row],[CPGC]],1,2)</f>
        <v>76</v>
      </c>
      <c r="F190" t="str">
        <f>+MID(Table8[[#This Row],[CPGC]],1,3)</f>
        <v>761</v>
      </c>
      <c r="H190" t="s">
        <v>1736</v>
      </c>
      <c r="I190" t="str">
        <f>+CONCATENATE(MID(Table8[[#This Row],[Nombre Cuenta]],1,3)," - ", ,MID(Table8[[#This Row],[Nombre Cuenta]],6,144))</f>
        <v>761 -  Ingresos de valores representativos de deuda, empresas asociadas</v>
      </c>
    </row>
    <row r="191" spans="1:9">
      <c r="A191" t="s">
        <v>1623</v>
      </c>
      <c r="B191" t="s">
        <v>1644</v>
      </c>
      <c r="C191" t="s">
        <v>759</v>
      </c>
      <c r="D191">
        <v>7612</v>
      </c>
      <c r="E191" t="str">
        <f>+MID(Table8[[#This Row],[CPGC]],1,2)</f>
        <v>76</v>
      </c>
      <c r="F191" t="str">
        <f>+MID(Table8[[#This Row],[CPGC]],1,3)</f>
        <v>761</v>
      </c>
      <c r="H191" t="s">
        <v>1737</v>
      </c>
      <c r="I191" t="str">
        <f>+CONCATENATE(MID(Table8[[#This Row],[Nombre Cuenta]],1,3)," - ", ,MID(Table8[[#This Row],[Nombre Cuenta]],6,144))</f>
        <v>761 -  Ingresos de valores representativos de deuda, otras partes vinculadas</v>
      </c>
    </row>
    <row r="192" spans="1:9">
      <c r="A192" t="s">
        <v>1623</v>
      </c>
      <c r="B192" t="s">
        <v>1644</v>
      </c>
      <c r="C192" t="s">
        <v>759</v>
      </c>
      <c r="D192">
        <v>7613</v>
      </c>
      <c r="E192" t="str">
        <f>+MID(Table8[[#This Row],[CPGC]],1,2)</f>
        <v>76</v>
      </c>
      <c r="F192" t="str">
        <f>+MID(Table8[[#This Row],[CPGC]],1,3)</f>
        <v>761</v>
      </c>
      <c r="H192" t="s">
        <v>1738</v>
      </c>
      <c r="I192" t="str">
        <f>+CONCATENATE(MID(Table8[[#This Row],[Nombre Cuenta]],1,3)," - ", ,MID(Table8[[#This Row],[Nombre Cuenta]],6,144))</f>
        <v>761 -  Ingresos de valores representativos de deuda, otras empresas</v>
      </c>
    </row>
    <row r="193" spans="1:9">
      <c r="A193" t="s">
        <v>1623</v>
      </c>
      <c r="B193" t="s">
        <v>1644</v>
      </c>
      <c r="C193" t="s">
        <v>759</v>
      </c>
      <c r="D193">
        <v>7620</v>
      </c>
      <c r="E193" t="str">
        <f>+MID(Table8[[#This Row],[CPGC]],1,2)</f>
        <v>76</v>
      </c>
      <c r="F193" t="str">
        <f>+MID(Table8[[#This Row],[CPGC]],1,3)</f>
        <v>762</v>
      </c>
      <c r="H193" t="s">
        <v>1580</v>
      </c>
      <c r="I193" t="str">
        <f>+CONCATENATE(MID(Table8[[#This Row],[Nombre Cuenta]],1,3)," - ", ,MID(Table8[[#This Row],[Nombre Cuenta]],6,144))</f>
        <v>762 -   Ingresos de créditos</v>
      </c>
    </row>
    <row r="194" spans="1:9">
      <c r="A194" t="s">
        <v>1623</v>
      </c>
      <c r="B194" t="s">
        <v>1644</v>
      </c>
      <c r="C194" t="s">
        <v>759</v>
      </c>
      <c r="D194">
        <v>7620</v>
      </c>
      <c r="E194" t="str">
        <f>+MID(Table8[[#This Row],[CPGC]],1,2)</f>
        <v>76</v>
      </c>
      <c r="F194" t="str">
        <f>+MID(Table8[[#This Row],[CPGC]],1,3)</f>
        <v>762</v>
      </c>
      <c r="H194" t="s">
        <v>1739</v>
      </c>
      <c r="I194" t="str">
        <f>+CONCATENATE(MID(Table8[[#This Row],[Nombre Cuenta]],1,3)," - ", ,MID(Table8[[#This Row],[Nombre Cuenta]],6,144))</f>
        <v>762 -  Ingresos de créditos a largo plazo</v>
      </c>
    </row>
    <row r="195" spans="1:9">
      <c r="A195" t="s">
        <v>1623</v>
      </c>
      <c r="B195" t="s">
        <v>1644</v>
      </c>
      <c r="C195" t="s">
        <v>759</v>
      </c>
      <c r="D195">
        <v>7621</v>
      </c>
      <c r="E195" t="str">
        <f>+MID(Table8[[#This Row],[CPGC]],1,2)</f>
        <v>76</v>
      </c>
      <c r="F195" t="str">
        <f>+MID(Table8[[#This Row],[CPGC]],1,3)</f>
        <v>762</v>
      </c>
      <c r="H195" t="s">
        <v>1740</v>
      </c>
      <c r="I195" t="str">
        <f>+CONCATENATE(MID(Table8[[#This Row],[Nombre Cuenta]],1,3)," - ", ,MID(Table8[[#This Row],[Nombre Cuenta]],6,144))</f>
        <v>762 -  Ingresos de créditos a corto plazo</v>
      </c>
    </row>
    <row r="196" spans="1:9">
      <c r="A196" t="s">
        <v>1623</v>
      </c>
      <c r="B196" t="s">
        <v>1644</v>
      </c>
      <c r="C196" t="s">
        <v>761</v>
      </c>
      <c r="D196">
        <v>7630</v>
      </c>
      <c r="E196" t="str">
        <f>+MID(Table8[[#This Row],[CPGC]],1,2)</f>
        <v>76</v>
      </c>
      <c r="F196" t="str">
        <f>+MID(Table8[[#This Row],[CPGC]],1,3)</f>
        <v>763</v>
      </c>
      <c r="H196" t="s">
        <v>1741</v>
      </c>
      <c r="I196" t="str">
        <f>+CONCATENATE(MID(Table8[[#This Row],[Nombre Cuenta]],1,3)," - ", ,MID(Table8[[#This Row],[Nombre Cuenta]],6,144))</f>
        <v>763 -  Beneficios de cartera de negociación</v>
      </c>
    </row>
    <row r="197" spans="1:9">
      <c r="A197" t="s">
        <v>1623</v>
      </c>
      <c r="B197" t="s">
        <v>1644</v>
      </c>
      <c r="C197" t="s">
        <v>761</v>
      </c>
      <c r="D197">
        <v>7631</v>
      </c>
      <c r="E197" t="str">
        <f>+MID(Table8[[#This Row],[CPGC]],1,2)</f>
        <v>76</v>
      </c>
      <c r="F197" t="str">
        <f>+MID(Table8[[#This Row],[CPGC]],1,3)</f>
        <v>763</v>
      </c>
      <c r="H197" t="s">
        <v>1742</v>
      </c>
      <c r="I197" t="str">
        <f>+CONCATENATE(MID(Table8[[#This Row],[Nombre Cuenta]],1,3)," - ", ,MID(Table8[[#This Row],[Nombre Cuenta]],6,144))</f>
        <v>763 -  Beneficios de designados por la empresa</v>
      </c>
    </row>
    <row r="198" spans="1:9">
      <c r="A198" t="s">
        <v>1623</v>
      </c>
      <c r="B198" t="s">
        <v>1644</v>
      </c>
      <c r="C198" t="s">
        <v>761</v>
      </c>
      <c r="D198">
        <v>7632</v>
      </c>
      <c r="E198" t="str">
        <f>+MID(Table8[[#This Row],[CPGC]],1,2)</f>
        <v>76</v>
      </c>
      <c r="F198" t="str">
        <f>+MID(Table8[[#This Row],[CPGC]],1,3)</f>
        <v>763</v>
      </c>
      <c r="H198" t="s">
        <v>1743</v>
      </c>
      <c r="I198" t="str">
        <f>+CONCATENATE(MID(Table8[[#This Row],[Nombre Cuenta]],1,3)," - ", ,MID(Table8[[#This Row],[Nombre Cuenta]],6,144))</f>
        <v>763 -  Beneficios de disponibles para la venta</v>
      </c>
    </row>
    <row r="199" spans="1:9">
      <c r="A199" t="s">
        <v>1623</v>
      </c>
      <c r="B199" t="s">
        <v>1644</v>
      </c>
      <c r="C199" t="s">
        <v>761</v>
      </c>
      <c r="D199">
        <v>7633</v>
      </c>
      <c r="E199" t="str">
        <f>+MID(Table8[[#This Row],[CPGC]],1,2)</f>
        <v>76</v>
      </c>
      <c r="F199" t="str">
        <f>+MID(Table8[[#This Row],[CPGC]],1,3)</f>
        <v>763</v>
      </c>
      <c r="H199" t="s">
        <v>1744</v>
      </c>
      <c r="I199" t="str">
        <f>+CONCATENATE(MID(Table8[[#This Row],[Nombre Cuenta]],1,3)," - ", ,MID(Table8[[#This Row],[Nombre Cuenta]],6,144))</f>
        <v>763 -  Beneficios de instrumentos de cobertura</v>
      </c>
    </row>
    <row r="200" spans="1:9">
      <c r="A200" t="s">
        <v>1623</v>
      </c>
      <c r="B200" t="s">
        <v>1644</v>
      </c>
      <c r="C200" t="s">
        <v>763</v>
      </c>
      <c r="D200">
        <v>7660</v>
      </c>
      <c r="E200" t="str">
        <f>+MID(Table8[[#This Row],[CPGC]],1,2)</f>
        <v>76</v>
      </c>
      <c r="F200" t="str">
        <f>+MID(Table8[[#This Row],[CPGC]],1,3)</f>
        <v>766</v>
      </c>
      <c r="H200" t="s">
        <v>1745</v>
      </c>
      <c r="I200" t="str">
        <f>+CONCATENATE(MID(Table8[[#This Row],[Nombre Cuenta]],1,3)," - ", ,MID(Table8[[#This Row],[Nombre Cuenta]],6,144))</f>
        <v>766 -  Beneficios en valores representativos de deuda a largo plazo, empresas del grupo</v>
      </c>
    </row>
    <row r="201" spans="1:9">
      <c r="A201" t="s">
        <v>1623</v>
      </c>
      <c r="B201" t="s">
        <v>1644</v>
      </c>
      <c r="C201" t="s">
        <v>763</v>
      </c>
      <c r="D201">
        <v>7661</v>
      </c>
      <c r="E201" t="str">
        <f>+MID(Table8[[#This Row],[CPGC]],1,2)</f>
        <v>76</v>
      </c>
      <c r="F201" t="str">
        <f>+MID(Table8[[#This Row],[CPGC]],1,3)</f>
        <v>766</v>
      </c>
      <c r="H201" t="s">
        <v>1746</v>
      </c>
      <c r="I201" t="str">
        <f>+CONCATENATE(MID(Table8[[#This Row],[Nombre Cuenta]],1,3)," - ", ,MID(Table8[[#This Row],[Nombre Cuenta]],6,144))</f>
        <v>766 -  Beneficios en valores representativos de deuda a largo plazo, empresas asociadas</v>
      </c>
    </row>
    <row r="202" spans="1:9">
      <c r="A202" t="s">
        <v>1623</v>
      </c>
      <c r="B202" t="s">
        <v>1644</v>
      </c>
      <c r="C202" t="s">
        <v>763</v>
      </c>
      <c r="D202">
        <v>7662</v>
      </c>
      <c r="E202" t="str">
        <f>+MID(Table8[[#This Row],[CPGC]],1,2)</f>
        <v>76</v>
      </c>
      <c r="F202" t="str">
        <f>+MID(Table8[[#This Row],[CPGC]],1,3)</f>
        <v>766</v>
      </c>
      <c r="H202" t="s">
        <v>1747</v>
      </c>
      <c r="I202" t="str">
        <f>+CONCATENATE(MID(Table8[[#This Row],[Nombre Cuenta]],1,3)," - ", ,MID(Table8[[#This Row],[Nombre Cuenta]],6,144))</f>
        <v>766 -  Beneficios en valores representativos de deuda a largo plazo, otras partes vinculadas</v>
      </c>
    </row>
    <row r="203" spans="1:9">
      <c r="A203" t="s">
        <v>1623</v>
      </c>
      <c r="B203" t="s">
        <v>1644</v>
      </c>
      <c r="C203" t="s">
        <v>763</v>
      </c>
      <c r="D203">
        <v>7663</v>
      </c>
      <c r="E203" t="str">
        <f>+MID(Table8[[#This Row],[CPGC]],1,2)</f>
        <v>76</v>
      </c>
      <c r="F203" t="str">
        <f>+MID(Table8[[#This Row],[CPGC]],1,3)</f>
        <v>766</v>
      </c>
      <c r="H203" t="s">
        <v>1748</v>
      </c>
      <c r="I203" t="str">
        <f>+CONCATENATE(MID(Table8[[#This Row],[Nombre Cuenta]],1,3)," - ", ,MID(Table8[[#This Row],[Nombre Cuenta]],6,144))</f>
        <v>766 -  Beneficios en valores representativos de deuda a largo plazo, otras empresas</v>
      </c>
    </row>
    <row r="204" spans="1:9">
      <c r="A204" t="s">
        <v>1623</v>
      </c>
      <c r="B204" t="s">
        <v>1644</v>
      </c>
      <c r="C204" t="s">
        <v>763</v>
      </c>
      <c r="D204">
        <v>7665</v>
      </c>
      <c r="E204" t="str">
        <f>+MID(Table8[[#This Row],[CPGC]],1,2)</f>
        <v>76</v>
      </c>
      <c r="F204" t="str">
        <f>+MID(Table8[[#This Row],[CPGC]],1,3)</f>
        <v>766</v>
      </c>
      <c r="H204" t="s">
        <v>1749</v>
      </c>
      <c r="I204" t="str">
        <f>+CONCATENATE(MID(Table8[[#This Row],[Nombre Cuenta]],1,3)," - ", ,MID(Table8[[#This Row],[Nombre Cuenta]],6,144))</f>
        <v>766 -  Beneficios en valores representativos de deuda a corto plazo, empresas del grupo</v>
      </c>
    </row>
    <row r="205" spans="1:9">
      <c r="A205" t="s">
        <v>1623</v>
      </c>
      <c r="B205" t="s">
        <v>1644</v>
      </c>
      <c r="C205" t="s">
        <v>763</v>
      </c>
      <c r="D205">
        <v>7666</v>
      </c>
      <c r="E205" t="str">
        <f>+MID(Table8[[#This Row],[CPGC]],1,2)</f>
        <v>76</v>
      </c>
      <c r="F205" t="str">
        <f>+MID(Table8[[#This Row],[CPGC]],1,3)</f>
        <v>766</v>
      </c>
      <c r="H205" t="s">
        <v>1750</v>
      </c>
      <c r="I205" t="str">
        <f>+CONCATENATE(MID(Table8[[#This Row],[Nombre Cuenta]],1,3)," - ", ,MID(Table8[[#This Row],[Nombre Cuenta]],6,144))</f>
        <v>766 -  Beneficios en valores representativos de deuda a corto plazo, empresas asociadas</v>
      </c>
    </row>
    <row r="206" spans="1:9">
      <c r="A206" t="s">
        <v>1623</v>
      </c>
      <c r="B206" t="s">
        <v>1644</v>
      </c>
      <c r="C206" t="s">
        <v>763</v>
      </c>
      <c r="D206">
        <v>7667</v>
      </c>
      <c r="E206" t="str">
        <f>+MID(Table8[[#This Row],[CPGC]],1,2)</f>
        <v>76</v>
      </c>
      <c r="F206" t="str">
        <f>+MID(Table8[[#This Row],[CPGC]],1,3)</f>
        <v>766</v>
      </c>
      <c r="H206" t="s">
        <v>1751</v>
      </c>
      <c r="I206" t="str">
        <f>+CONCATENATE(MID(Table8[[#This Row],[Nombre Cuenta]],1,3)," - ", ,MID(Table8[[#This Row],[Nombre Cuenta]],6,144))</f>
        <v>766 -  Beneficios en valores representativos de deuda a corto plazo, otras partes vinculadas</v>
      </c>
    </row>
    <row r="207" spans="1:9">
      <c r="A207" t="s">
        <v>1623</v>
      </c>
      <c r="B207" t="s">
        <v>1644</v>
      </c>
      <c r="C207" t="s">
        <v>763</v>
      </c>
      <c r="D207">
        <v>7668</v>
      </c>
      <c r="E207" t="str">
        <f>+MID(Table8[[#This Row],[CPGC]],1,2)</f>
        <v>76</v>
      </c>
      <c r="F207" t="str">
        <f>+MID(Table8[[#This Row],[CPGC]],1,3)</f>
        <v>766</v>
      </c>
      <c r="H207" t="s">
        <v>1752</v>
      </c>
      <c r="I207" t="str">
        <f>+CONCATENATE(MID(Table8[[#This Row],[Nombre Cuenta]],1,3)," - ", ,MID(Table8[[#This Row],[Nombre Cuenta]],6,144))</f>
        <v>766 -  Beneficios en valores representativos de deuda a corto plazo, otras empresas</v>
      </c>
    </row>
    <row r="208" spans="1:9">
      <c r="A208" t="s">
        <v>1623</v>
      </c>
      <c r="B208" t="s">
        <v>1644</v>
      </c>
      <c r="C208" t="s">
        <v>759</v>
      </c>
      <c r="D208">
        <v>7670</v>
      </c>
      <c r="E208" t="str">
        <f>+MID(Table8[[#This Row],[CPGC]],1,2)</f>
        <v>76</v>
      </c>
      <c r="F208" t="str">
        <f>+MID(Table8[[#This Row],[CPGC]],1,3)</f>
        <v>767</v>
      </c>
      <c r="H208" t="s">
        <v>1753</v>
      </c>
      <c r="I208" t="str">
        <f>+CONCATENATE(MID(Table8[[#This Row],[Nombre Cuenta]],1,3)," - ", ,MID(Table8[[#This Row],[Nombre Cuenta]],6,144))</f>
        <v>767 -  Ingresos de activos afectos y de derechos de reembolso relativos a retribuciones a largo plazo</v>
      </c>
    </row>
    <row r="209" spans="1:9">
      <c r="A209" t="s">
        <v>1623</v>
      </c>
      <c r="B209" t="s">
        <v>1644</v>
      </c>
      <c r="C209" t="s">
        <v>762</v>
      </c>
      <c r="D209">
        <v>7680</v>
      </c>
      <c r="E209" t="str">
        <f>+MID(Table8[[#This Row],[CPGC]],1,2)</f>
        <v>76</v>
      </c>
      <c r="F209" t="str">
        <f>+MID(Table8[[#This Row],[CPGC]],1,3)</f>
        <v>768</v>
      </c>
      <c r="H209" t="s">
        <v>1754</v>
      </c>
      <c r="I209" t="str">
        <f>+CONCATENATE(MID(Table8[[#This Row],[Nombre Cuenta]],1,3)," - ", ,MID(Table8[[#This Row],[Nombre Cuenta]],6,144))</f>
        <v>768 -  Diferencias positivas de cambio</v>
      </c>
    </row>
    <row r="210" spans="1:9">
      <c r="A210" t="s">
        <v>1623</v>
      </c>
      <c r="B210" t="s">
        <v>1644</v>
      </c>
      <c r="C210" t="s">
        <v>759</v>
      </c>
      <c r="D210">
        <v>7690</v>
      </c>
      <c r="E210" t="str">
        <f>+MID(Table8[[#This Row],[CPGC]],1,2)</f>
        <v>76</v>
      </c>
      <c r="F210" t="str">
        <f>+MID(Table8[[#This Row],[CPGC]],1,3)</f>
        <v>769</v>
      </c>
      <c r="H210" t="s">
        <v>1755</v>
      </c>
      <c r="I210" t="str">
        <f>+CONCATENATE(MID(Table8[[#This Row],[Nombre Cuenta]],1,3)," - ", ,MID(Table8[[#This Row],[Nombre Cuenta]],6,144))</f>
        <v>769 -  Otros ingresos financieros</v>
      </c>
    </row>
    <row r="211" spans="1:9">
      <c r="A211" t="s">
        <v>1623</v>
      </c>
      <c r="B211" t="s">
        <v>1624</v>
      </c>
      <c r="C211" t="s">
        <v>756</v>
      </c>
      <c r="D211">
        <v>7700</v>
      </c>
      <c r="E211" t="str">
        <f>+MID(Table8[[#This Row],[CPGC]],1,2)</f>
        <v>77</v>
      </c>
      <c r="F211" t="str">
        <f>+MID(Table8[[#This Row],[CPGC]],1,3)</f>
        <v>770</v>
      </c>
      <c r="H211" t="s">
        <v>1588</v>
      </c>
      <c r="I211" t="str">
        <f>+CONCATENATE(MID(Table8[[#This Row],[Nombre Cuenta]],1,3)," - ", ,MID(Table8[[#This Row],[Nombre Cuenta]],6,144))</f>
        <v>770 -  Beneficios procedentes del inmovilizado intangible</v>
      </c>
    </row>
    <row r="212" spans="1:9">
      <c r="A212" t="s">
        <v>1623</v>
      </c>
      <c r="B212" t="s">
        <v>1624</v>
      </c>
      <c r="C212" t="s">
        <v>756</v>
      </c>
      <c r="D212">
        <v>7710</v>
      </c>
      <c r="E212" t="str">
        <f>+MID(Table8[[#This Row],[CPGC]],1,2)</f>
        <v>77</v>
      </c>
      <c r="F212" t="str">
        <f>+MID(Table8[[#This Row],[CPGC]],1,3)</f>
        <v>771</v>
      </c>
      <c r="H212" t="s">
        <v>1590</v>
      </c>
      <c r="I212" t="str">
        <f>+CONCATENATE(MID(Table8[[#This Row],[Nombre Cuenta]],1,3)," - ", ,MID(Table8[[#This Row],[Nombre Cuenta]],6,144))</f>
        <v>771 -  Beneficios procedentes del inmovilizado material</v>
      </c>
    </row>
    <row r="213" spans="1:9">
      <c r="A213" t="s">
        <v>1623</v>
      </c>
      <c r="B213" t="s">
        <v>1624</v>
      </c>
      <c r="C213" t="s">
        <v>756</v>
      </c>
      <c r="D213">
        <v>7720</v>
      </c>
      <c r="E213" t="str">
        <f>+MID(Table8[[#This Row],[CPGC]],1,2)</f>
        <v>77</v>
      </c>
      <c r="F213" t="str">
        <f>+MID(Table8[[#This Row],[CPGC]],1,3)</f>
        <v>772</v>
      </c>
      <c r="H213" t="s">
        <v>1592</v>
      </c>
      <c r="I213" t="str">
        <f>+CONCATENATE(MID(Table8[[#This Row],[Nombre Cuenta]],1,3)," - ", ,MID(Table8[[#This Row],[Nombre Cuenta]],6,144))</f>
        <v>772 -  Beneficios procedentes de las inversiones inmobiliarias</v>
      </c>
    </row>
    <row r="214" spans="1:9">
      <c r="A214" t="s">
        <v>1623</v>
      </c>
      <c r="B214" t="s">
        <v>1644</v>
      </c>
      <c r="C214" t="s">
        <v>763</v>
      </c>
      <c r="D214">
        <v>7730</v>
      </c>
      <c r="E214" t="str">
        <f>+MID(Table8[[#This Row],[CPGC]],1,2)</f>
        <v>77</v>
      </c>
      <c r="F214" t="str">
        <f>+MID(Table8[[#This Row],[CPGC]],1,3)</f>
        <v>773</v>
      </c>
      <c r="H214" t="s">
        <v>1594</v>
      </c>
      <c r="I214" t="str">
        <f>+CONCATENATE(MID(Table8[[#This Row],[Nombre Cuenta]],1,3)," - ", ,MID(Table8[[#This Row],[Nombre Cuenta]],6,144))</f>
        <v>773 -  Beneficios procedentes de participaciones a largo plazo en partes vinculadas</v>
      </c>
    </row>
    <row r="215" spans="1:9">
      <c r="A215" t="s">
        <v>1623</v>
      </c>
      <c r="B215" t="s">
        <v>1644</v>
      </c>
      <c r="C215" t="s">
        <v>763</v>
      </c>
      <c r="D215">
        <v>7733</v>
      </c>
      <c r="E215" t="str">
        <f>+MID(Table8[[#This Row],[CPGC]],1,2)</f>
        <v>77</v>
      </c>
      <c r="F215" t="str">
        <f>+MID(Table8[[#This Row],[CPGC]],1,3)</f>
        <v>773</v>
      </c>
      <c r="H215" t="s">
        <v>1756</v>
      </c>
      <c r="I215" t="str">
        <f>+CONCATENATE(MID(Table8[[#This Row],[Nombre Cuenta]],1,3)," - ", ,MID(Table8[[#This Row],[Nombre Cuenta]],6,144))</f>
        <v>773 -  Beneficios procedentes de participaciones a largo plazo, empresas del grupo</v>
      </c>
    </row>
    <row r="216" spans="1:9">
      <c r="A216" t="s">
        <v>1623</v>
      </c>
      <c r="B216" t="s">
        <v>1644</v>
      </c>
      <c r="C216" t="s">
        <v>763</v>
      </c>
      <c r="D216">
        <v>7734</v>
      </c>
      <c r="E216" t="str">
        <f>+MID(Table8[[#This Row],[CPGC]],1,2)</f>
        <v>77</v>
      </c>
      <c r="F216" t="str">
        <f>+MID(Table8[[#This Row],[CPGC]],1,3)</f>
        <v>773</v>
      </c>
      <c r="H216" t="s">
        <v>1757</v>
      </c>
      <c r="I216" t="str">
        <f>+CONCATENATE(MID(Table8[[#This Row],[Nombre Cuenta]],1,3)," - ", ,MID(Table8[[#This Row],[Nombre Cuenta]],6,144))</f>
        <v>773 -  Beneficios procedentes de participaciones a largo plazo, empresas asociadas</v>
      </c>
    </row>
    <row r="217" spans="1:9">
      <c r="A217" t="s">
        <v>1623</v>
      </c>
      <c r="B217" t="s">
        <v>1644</v>
      </c>
      <c r="C217" t="s">
        <v>763</v>
      </c>
      <c r="D217">
        <v>7735</v>
      </c>
      <c r="E217" t="str">
        <f>+MID(Table8[[#This Row],[CPGC]],1,2)</f>
        <v>77</v>
      </c>
      <c r="F217" t="str">
        <f>+MID(Table8[[#This Row],[CPGC]],1,3)</f>
        <v>773</v>
      </c>
      <c r="H217" t="s">
        <v>1758</v>
      </c>
      <c r="I217" t="str">
        <f>+CONCATENATE(MID(Table8[[#This Row],[Nombre Cuenta]],1,3)," - ", ,MID(Table8[[#This Row],[Nombre Cuenta]],6,144))</f>
        <v>773 -  Beneficios procedentes de participaciones a largo plazo, otras partes vinculadas</v>
      </c>
    </row>
    <row r="218" spans="1:9">
      <c r="A218" t="s">
        <v>1623</v>
      </c>
      <c r="B218" t="s">
        <v>1644</v>
      </c>
      <c r="C218" t="s">
        <v>763</v>
      </c>
      <c r="D218">
        <v>7740</v>
      </c>
      <c r="E218" t="str">
        <f>+MID(Table8[[#This Row],[CPGC]],1,2)</f>
        <v>77</v>
      </c>
      <c r="F218" t="str">
        <f>+MID(Table8[[#This Row],[CPGC]],1,3)</f>
        <v>774</v>
      </c>
      <c r="H218" t="s">
        <v>1596</v>
      </c>
      <c r="I218" t="str">
        <f>+CONCATENATE(MID(Table8[[#This Row],[Nombre Cuenta]],1,3)," - ", ,MID(Table8[[#This Row],[Nombre Cuenta]],6,144))</f>
        <v>774 -  Diferencia negativa en combinaciones de negocios</v>
      </c>
    </row>
    <row r="219" spans="1:9">
      <c r="A219" t="s">
        <v>1623</v>
      </c>
      <c r="B219" t="s">
        <v>1644</v>
      </c>
      <c r="C219" t="s">
        <v>763</v>
      </c>
      <c r="D219">
        <v>7750</v>
      </c>
      <c r="E219" t="str">
        <f>+MID(Table8[[#This Row],[CPGC]],1,2)</f>
        <v>77</v>
      </c>
      <c r="F219" t="str">
        <f>+MID(Table8[[#This Row],[CPGC]],1,3)</f>
        <v>775</v>
      </c>
      <c r="H219" t="s">
        <v>1598</v>
      </c>
      <c r="I219" t="str">
        <f>+CONCATENATE(MID(Table8[[#This Row],[Nombre Cuenta]],1,3)," - ", ,MID(Table8[[#This Row],[Nombre Cuenta]],6,144))</f>
        <v>775 -  Beneficios por operaciones con obligaciones propias</v>
      </c>
    </row>
    <row r="220" spans="1:9">
      <c r="A220" t="s">
        <v>1623</v>
      </c>
      <c r="B220" t="s">
        <v>1624</v>
      </c>
      <c r="C220" t="s">
        <v>757</v>
      </c>
      <c r="D220">
        <v>7780</v>
      </c>
      <c r="E220" t="str">
        <f>+MID(Table8[[#This Row],[CPGC]],1,2)</f>
        <v>77</v>
      </c>
      <c r="F220" t="str">
        <f>+MID(Table8[[#This Row],[CPGC]],1,3)</f>
        <v>778</v>
      </c>
      <c r="H220" t="s">
        <v>1600</v>
      </c>
      <c r="I220" t="str">
        <f>+CONCATENATE(MID(Table8[[#This Row],[Nombre Cuenta]],1,3)," - ", ,MID(Table8[[#This Row],[Nombre Cuenta]],6,144))</f>
        <v>778 -  Ingresos excepcionales</v>
      </c>
    </row>
    <row r="221" spans="1:9">
      <c r="A221" t="s">
        <v>1623</v>
      </c>
      <c r="B221" t="s">
        <v>1624</v>
      </c>
      <c r="C221" t="s">
        <v>756</v>
      </c>
      <c r="D221">
        <v>7900</v>
      </c>
      <c r="E221" t="str">
        <f>+MID(Table8[[#This Row],[CPGC]],1,2)</f>
        <v>79</v>
      </c>
      <c r="F221" t="str">
        <f>+MID(Table8[[#This Row],[CPGC]],1,3)</f>
        <v>790</v>
      </c>
      <c r="H221" t="s">
        <v>1603</v>
      </c>
      <c r="I221" t="str">
        <f>+CONCATENATE(MID(Table8[[#This Row],[Nombre Cuenta]],1,3)," - ", ,MID(Table8[[#This Row],[Nombre Cuenta]],6,144))</f>
        <v>790 -  Reversión del deterioro del inmovilizado intangible</v>
      </c>
    </row>
    <row r="222" spans="1:9">
      <c r="A222" t="s">
        <v>1623</v>
      </c>
      <c r="B222" t="s">
        <v>1624</v>
      </c>
      <c r="C222" t="s">
        <v>756</v>
      </c>
      <c r="D222">
        <v>7910</v>
      </c>
      <c r="E222" t="str">
        <f>+MID(Table8[[#This Row],[CPGC]],1,2)</f>
        <v>79</v>
      </c>
      <c r="F222" t="str">
        <f>+MID(Table8[[#This Row],[CPGC]],1,3)</f>
        <v>791</v>
      </c>
      <c r="H222" t="s">
        <v>1605</v>
      </c>
      <c r="I222" t="str">
        <f>+CONCATENATE(MID(Table8[[#This Row],[Nombre Cuenta]],1,3)," - ", ,MID(Table8[[#This Row],[Nombre Cuenta]],6,144))</f>
        <v>791 -  Reversión del deterioro del inmovilizado material</v>
      </c>
    </row>
    <row r="223" spans="1:9">
      <c r="A223" t="s">
        <v>1623</v>
      </c>
      <c r="B223" t="s">
        <v>1624</v>
      </c>
      <c r="C223" t="s">
        <v>756</v>
      </c>
      <c r="D223">
        <v>7920</v>
      </c>
      <c r="E223" t="str">
        <f>+MID(Table8[[#This Row],[CPGC]],1,2)</f>
        <v>79</v>
      </c>
      <c r="F223" t="str">
        <f>+MID(Table8[[#This Row],[CPGC]],1,3)</f>
        <v>792</v>
      </c>
      <c r="H223" t="s">
        <v>1607</v>
      </c>
      <c r="I223" t="str">
        <f>+CONCATENATE(MID(Table8[[#This Row],[Nombre Cuenta]],1,3)," - ", ,MID(Table8[[#This Row],[Nombre Cuenta]],6,144))</f>
        <v>792 -  Reversión del deterioro de las inversiones inmobiliarias</v>
      </c>
    </row>
    <row r="224" spans="1:9">
      <c r="A224" t="s">
        <v>1623</v>
      </c>
      <c r="B224" t="s">
        <v>1624</v>
      </c>
      <c r="C224" t="s">
        <v>747</v>
      </c>
      <c r="D224">
        <v>7930</v>
      </c>
      <c r="E224" t="str">
        <f>+MID(Table8[[#This Row],[CPGC]],1,2)</f>
        <v>79</v>
      </c>
      <c r="F224" t="str">
        <f>+MID(Table8[[#This Row],[CPGC]],1,3)</f>
        <v>793</v>
      </c>
      <c r="H224" t="s">
        <v>1759</v>
      </c>
      <c r="I224" t="str">
        <f>+CONCATENATE(MID(Table8[[#This Row],[Nombre Cuenta]],1,3)," - ", ,MID(Table8[[#This Row],[Nombre Cuenta]],6,144))</f>
        <v>793 -  Reversión del deterioro de productos terminados y en curso de fabricación</v>
      </c>
    </row>
    <row r="225" spans="1:9">
      <c r="A225" t="s">
        <v>1623</v>
      </c>
      <c r="B225" t="s">
        <v>1624</v>
      </c>
      <c r="C225" t="s">
        <v>749</v>
      </c>
      <c r="D225">
        <v>7931</v>
      </c>
      <c r="E225" t="str">
        <f>+MID(Table8[[#This Row],[CPGC]],1,2)</f>
        <v>79</v>
      </c>
      <c r="F225" t="str">
        <f>+MID(Table8[[#This Row],[CPGC]],1,3)</f>
        <v>793</v>
      </c>
      <c r="H225" t="s">
        <v>1760</v>
      </c>
      <c r="I225" t="str">
        <f>+CONCATENATE(MID(Table8[[#This Row],[Nombre Cuenta]],1,3)," - ", ,MID(Table8[[#This Row],[Nombre Cuenta]],6,144))</f>
        <v>793 -  Reversión del deterioro de existencias</v>
      </c>
    </row>
    <row r="226" spans="1:9">
      <c r="A226" t="s">
        <v>1623</v>
      </c>
      <c r="B226" t="s">
        <v>1624</v>
      </c>
      <c r="C226" t="s">
        <v>749</v>
      </c>
      <c r="D226">
        <v>7932</v>
      </c>
      <c r="E226" t="str">
        <f>+MID(Table8[[#This Row],[CPGC]],1,2)</f>
        <v>79</v>
      </c>
      <c r="F226" t="str">
        <f>+MID(Table8[[#This Row],[CPGC]],1,3)</f>
        <v>793</v>
      </c>
      <c r="H226" t="s">
        <v>1761</v>
      </c>
      <c r="I226" t="str">
        <f>+CONCATENATE(MID(Table8[[#This Row],[Nombre Cuenta]],1,3)," - ", ,MID(Table8[[#This Row],[Nombre Cuenta]],6,144))</f>
        <v>793 -  Reversión del deterioro de materias primas</v>
      </c>
    </row>
    <row r="227" spans="1:9">
      <c r="A227" t="s">
        <v>1623</v>
      </c>
      <c r="B227" t="s">
        <v>1624</v>
      </c>
      <c r="C227" t="s">
        <v>749</v>
      </c>
      <c r="D227">
        <v>7933</v>
      </c>
      <c r="E227" t="str">
        <f>+MID(Table8[[#This Row],[CPGC]],1,2)</f>
        <v>79</v>
      </c>
      <c r="F227" t="str">
        <f>+MID(Table8[[#This Row],[CPGC]],1,3)</f>
        <v>793</v>
      </c>
      <c r="H227" t="s">
        <v>1762</v>
      </c>
      <c r="I227" t="str">
        <f>+CONCATENATE(MID(Table8[[#This Row],[Nombre Cuenta]],1,3)," - ", ,MID(Table8[[#This Row],[Nombre Cuenta]],6,144))</f>
        <v>793 -  Reversión del deterioro de otros aprovisionamientos</v>
      </c>
    </row>
    <row r="228" spans="1:9">
      <c r="A228" t="s">
        <v>1623</v>
      </c>
      <c r="B228" t="s">
        <v>1624</v>
      </c>
      <c r="C228" t="s">
        <v>752</v>
      </c>
      <c r="D228">
        <v>7940</v>
      </c>
      <c r="E228" t="str">
        <f>+MID(Table8[[#This Row],[CPGC]],1,2)</f>
        <v>79</v>
      </c>
      <c r="F228" t="str">
        <f>+MID(Table8[[#This Row],[CPGC]],1,3)</f>
        <v>794</v>
      </c>
      <c r="H228" t="s">
        <v>1611</v>
      </c>
      <c r="I228" t="str">
        <f>+CONCATENATE(MID(Table8[[#This Row],[Nombre Cuenta]],1,3)," - ", ,MID(Table8[[#This Row],[Nombre Cuenta]],6,144))</f>
        <v>794 -  Reversión del deterioro de créditos por operaciones comerciales</v>
      </c>
    </row>
    <row r="229" spans="1:9">
      <c r="A229" t="s">
        <v>1623</v>
      </c>
      <c r="B229" t="s">
        <v>1624</v>
      </c>
      <c r="C229" t="s">
        <v>755</v>
      </c>
      <c r="D229">
        <v>7950</v>
      </c>
      <c r="E229" t="str">
        <f>+MID(Table8[[#This Row],[CPGC]],1,2)</f>
        <v>79</v>
      </c>
      <c r="F229" t="str">
        <f>+MID(Table8[[#This Row],[CPGC]],1,3)</f>
        <v>795</v>
      </c>
      <c r="H229" t="s">
        <v>1613</v>
      </c>
      <c r="I229" t="str">
        <f>+CONCATENATE(MID(Table8[[#This Row],[Nombre Cuenta]],1,3)," - ", ,MID(Table8[[#This Row],[Nombre Cuenta]],6,144))</f>
        <v>795 -  Exceso de provisiones</v>
      </c>
    </row>
    <row r="230" spans="1:9">
      <c r="A230" t="s">
        <v>1623</v>
      </c>
      <c r="B230" t="s">
        <v>1624</v>
      </c>
      <c r="C230" t="s">
        <v>755</v>
      </c>
      <c r="D230">
        <v>7951</v>
      </c>
      <c r="E230" t="str">
        <f>+MID(Table8[[#This Row],[CPGC]],1,2)</f>
        <v>79</v>
      </c>
      <c r="F230" t="str">
        <f>+MID(Table8[[#This Row],[CPGC]],1,3)</f>
        <v>795</v>
      </c>
      <c r="H230" t="s">
        <v>1763</v>
      </c>
      <c r="I230" t="str">
        <f>+CONCATENATE(MID(Table8[[#This Row],[Nombre Cuenta]],1,3)," - ", ,MID(Table8[[#This Row],[Nombre Cuenta]],6,144))</f>
        <v>795 -  Exceso de provisión para impuestos</v>
      </c>
    </row>
    <row r="231" spans="1:9">
      <c r="A231" t="s">
        <v>1623</v>
      </c>
      <c r="B231" t="s">
        <v>1624</v>
      </c>
      <c r="C231" t="s">
        <v>755</v>
      </c>
      <c r="D231">
        <v>7952</v>
      </c>
      <c r="E231" t="str">
        <f>+MID(Table8[[#This Row],[CPGC]],1,2)</f>
        <v>79</v>
      </c>
      <c r="F231" t="str">
        <f>+MID(Table8[[#This Row],[CPGC]],1,3)</f>
        <v>795</v>
      </c>
      <c r="H231" t="s">
        <v>1764</v>
      </c>
      <c r="I231" t="str">
        <f>+CONCATENATE(MID(Table8[[#This Row],[Nombre Cuenta]],1,3)," - ", ,MID(Table8[[#This Row],[Nombre Cuenta]],6,144))</f>
        <v>795 -  Exceso de provisión para otras responsabilidades</v>
      </c>
    </row>
    <row r="232" spans="1:9">
      <c r="A232" t="s">
        <v>1623</v>
      </c>
      <c r="B232" t="s">
        <v>1624</v>
      </c>
      <c r="C232" t="s">
        <v>752</v>
      </c>
      <c r="D232">
        <v>7954</v>
      </c>
      <c r="E232" t="str">
        <f>+MID(Table8[[#This Row],[CPGC]],1,2)</f>
        <v>79</v>
      </c>
      <c r="F232" t="str">
        <f>+MID(Table8[[#This Row],[CPGC]],1,3)</f>
        <v>795</v>
      </c>
      <c r="H232" t="s">
        <v>1765</v>
      </c>
      <c r="I232" t="str">
        <f>+CONCATENATE(MID(Table8[[#This Row],[Nombre Cuenta]],1,3)," - ", ,MID(Table8[[#This Row],[Nombre Cuenta]],6,144))</f>
        <v>795 -  Exceso de provisión por operaciones comerciales</v>
      </c>
    </row>
    <row r="233" spans="1:9">
      <c r="A233" t="s">
        <v>1623</v>
      </c>
      <c r="B233" t="s">
        <v>1624</v>
      </c>
      <c r="C233" t="s">
        <v>755</v>
      </c>
      <c r="D233">
        <v>7955</v>
      </c>
      <c r="E233" t="str">
        <f>+MID(Table8[[#This Row],[CPGC]],1,2)</f>
        <v>79</v>
      </c>
      <c r="F233" t="str">
        <f>+MID(Table8[[#This Row],[CPGC]],1,3)</f>
        <v>795</v>
      </c>
      <c r="H233" t="s">
        <v>1766</v>
      </c>
      <c r="I233" t="str">
        <f>+CONCATENATE(MID(Table8[[#This Row],[Nombre Cuenta]],1,3)," - ", ,MID(Table8[[#This Row],[Nombre Cuenta]],6,144))</f>
        <v>795 -  Exceso de provisión para actuaciones medioambientales</v>
      </c>
    </row>
    <row r="234" spans="1:9">
      <c r="A234" t="s">
        <v>1623</v>
      </c>
      <c r="B234" t="s">
        <v>1624</v>
      </c>
      <c r="C234" t="s">
        <v>755</v>
      </c>
      <c r="D234">
        <v>7956</v>
      </c>
      <c r="E234" t="str">
        <f>+MID(Table8[[#This Row],[CPGC]],1,2)</f>
        <v>79</v>
      </c>
      <c r="F234" t="str">
        <f>+MID(Table8[[#This Row],[CPGC]],1,3)</f>
        <v>795</v>
      </c>
      <c r="H234" t="s">
        <v>1767</v>
      </c>
      <c r="I234" t="str">
        <f>+CONCATENATE(MID(Table8[[#This Row],[Nombre Cuenta]],1,3)," - ", ,MID(Table8[[#This Row],[Nombre Cuenta]],6,144))</f>
        <v>795 -  Exceso de provisión para reestructuraciones</v>
      </c>
    </row>
    <row r="235" spans="1:9">
      <c r="A235" t="s">
        <v>1623</v>
      </c>
      <c r="B235" t="s">
        <v>1624</v>
      </c>
      <c r="C235" t="s">
        <v>751</v>
      </c>
      <c r="D235">
        <v>7957</v>
      </c>
      <c r="E235" t="str">
        <f>+MID(Table8[[#This Row],[CPGC]],1,2)</f>
        <v>79</v>
      </c>
      <c r="F235" t="str">
        <f>+MID(Table8[[#This Row],[CPGC]],1,3)</f>
        <v>795</v>
      </c>
      <c r="H235" t="s">
        <v>1768</v>
      </c>
      <c r="I235" t="str">
        <f>+CONCATENATE(MID(Table8[[#This Row],[Nombre Cuenta]],1,3)," - ", ,MID(Table8[[#This Row],[Nombre Cuenta]],6,144))</f>
        <v>795 -  Exceso de provisión por transacciones con pagos basados en instrumentos de patrimonio</v>
      </c>
    </row>
    <row r="236" spans="1:9">
      <c r="A236" t="s">
        <v>1623</v>
      </c>
      <c r="B236" t="s">
        <v>1644</v>
      </c>
      <c r="C236" t="s">
        <v>763</v>
      </c>
      <c r="D236">
        <v>7960</v>
      </c>
      <c r="E236" t="str">
        <f>+MID(Table8[[#This Row],[CPGC]],1,2)</f>
        <v>79</v>
      </c>
      <c r="F236" t="str">
        <f>+MID(Table8[[#This Row],[CPGC]],1,3)</f>
        <v>796</v>
      </c>
      <c r="H236" t="s">
        <v>1769</v>
      </c>
      <c r="I236" t="str">
        <f>+CONCATENATE(MID(Table8[[#This Row],[Nombre Cuenta]],1,3)," - ", ,MID(Table8[[#This Row],[Nombre Cuenta]],6,144))</f>
        <v>796 -  Reversión del deterioro de participaciones en instrumentos de patrimonio neto a largo plazo, empresas del grupo</v>
      </c>
    </row>
    <row r="237" spans="1:9">
      <c r="A237" t="s">
        <v>1623</v>
      </c>
      <c r="B237" t="s">
        <v>1644</v>
      </c>
      <c r="C237" t="s">
        <v>763</v>
      </c>
      <c r="D237">
        <v>7961</v>
      </c>
      <c r="E237" t="str">
        <f>+MID(Table8[[#This Row],[CPGC]],1,2)</f>
        <v>79</v>
      </c>
      <c r="F237" t="str">
        <f>+MID(Table8[[#This Row],[CPGC]],1,3)</f>
        <v>796</v>
      </c>
      <c r="H237" t="s">
        <v>1770</v>
      </c>
      <c r="I237" t="str">
        <f>+CONCATENATE(MID(Table8[[#This Row],[Nombre Cuenta]],1,3)," - ", ,MID(Table8[[#This Row],[Nombre Cuenta]],6,144))</f>
        <v>796 -  Reversión del deterioro de participaciones en instrumentos de patrimonio neto a largo plazo, otras partes vinculadas</v>
      </c>
    </row>
    <row r="238" spans="1:9">
      <c r="A238" t="s">
        <v>1623</v>
      </c>
      <c r="B238" t="s">
        <v>1644</v>
      </c>
      <c r="C238" t="s">
        <v>763</v>
      </c>
      <c r="D238">
        <v>7965</v>
      </c>
      <c r="E238" t="str">
        <f>+MID(Table8[[#This Row],[CPGC]],1,2)</f>
        <v>79</v>
      </c>
      <c r="F238" t="str">
        <f>+MID(Table8[[#This Row],[CPGC]],1,3)</f>
        <v>796</v>
      </c>
      <c r="H238" t="s">
        <v>1771</v>
      </c>
      <c r="I238" t="str">
        <f>+CONCATENATE(MID(Table8[[#This Row],[Nombre Cuenta]],1,3)," - ", ,MID(Table8[[#This Row],[Nombre Cuenta]],6,144))</f>
        <v>796 -  Reversión del deterioro de valores representativos de deuda a largo plazo, empresas del grupo</v>
      </c>
    </row>
    <row r="239" spans="1:9">
      <c r="A239" t="s">
        <v>1623</v>
      </c>
      <c r="B239" t="s">
        <v>1644</v>
      </c>
      <c r="C239" t="s">
        <v>763</v>
      </c>
      <c r="D239">
        <v>7966</v>
      </c>
      <c r="E239" t="str">
        <f>+MID(Table8[[#This Row],[CPGC]],1,2)</f>
        <v>79</v>
      </c>
      <c r="F239" t="str">
        <f>+MID(Table8[[#This Row],[CPGC]],1,3)</f>
        <v>796</v>
      </c>
      <c r="H239" t="s">
        <v>1772</v>
      </c>
      <c r="I239" t="str">
        <f>+CONCATENATE(MID(Table8[[#This Row],[Nombre Cuenta]],1,3)," - ", ,MID(Table8[[#This Row],[Nombre Cuenta]],6,144))</f>
        <v>796 -  Reversión del deterioro de valores representativos de deuda a largo plazo, empresas asociadas</v>
      </c>
    </row>
    <row r="240" spans="1:9">
      <c r="A240" t="s">
        <v>1623</v>
      </c>
      <c r="B240" t="s">
        <v>1644</v>
      </c>
      <c r="C240" t="s">
        <v>763</v>
      </c>
      <c r="D240">
        <v>7967</v>
      </c>
      <c r="E240" t="str">
        <f>+MID(Table8[[#This Row],[CPGC]],1,2)</f>
        <v>79</v>
      </c>
      <c r="F240" t="str">
        <f>+MID(Table8[[#This Row],[CPGC]],1,3)</f>
        <v>796</v>
      </c>
      <c r="H240" t="s">
        <v>1773</v>
      </c>
      <c r="I240" t="str">
        <f>+CONCATENATE(MID(Table8[[#This Row],[Nombre Cuenta]],1,3)," - ", ,MID(Table8[[#This Row],[Nombre Cuenta]],6,144))</f>
        <v>796 -  Reversión del deterioro de valores representativos de deuda a largo plazo, otras partes vinculadas</v>
      </c>
    </row>
    <row r="241" spans="1:9">
      <c r="A241" t="s">
        <v>1623</v>
      </c>
      <c r="B241" t="s">
        <v>1644</v>
      </c>
      <c r="C241" t="s">
        <v>763</v>
      </c>
      <c r="D241">
        <v>7968</v>
      </c>
      <c r="E241" t="str">
        <f>+MID(Table8[[#This Row],[CPGC]],1,2)</f>
        <v>79</v>
      </c>
      <c r="F241" t="str">
        <f>+MID(Table8[[#This Row],[CPGC]],1,3)</f>
        <v>796</v>
      </c>
      <c r="H241" t="s">
        <v>1774</v>
      </c>
      <c r="I241" t="str">
        <f>+CONCATENATE(MID(Table8[[#This Row],[Nombre Cuenta]],1,3)," - ", ,MID(Table8[[#This Row],[Nombre Cuenta]],6,144))</f>
        <v>796 -  Reversión del deterioro de valores representativos de deuda a largo plazo, otras empresas</v>
      </c>
    </row>
    <row r="242" spans="1:9">
      <c r="A242" t="s">
        <v>1623</v>
      </c>
      <c r="B242" t="s">
        <v>1644</v>
      </c>
      <c r="C242" t="s">
        <v>763</v>
      </c>
      <c r="D242">
        <v>7970</v>
      </c>
      <c r="E242" t="str">
        <f>+MID(Table8[[#This Row],[CPGC]],1,2)</f>
        <v>79</v>
      </c>
      <c r="F242" t="str">
        <f>+MID(Table8[[#This Row],[CPGC]],1,3)</f>
        <v>797</v>
      </c>
      <c r="H242" t="s">
        <v>1775</v>
      </c>
      <c r="I242" t="str">
        <f>+CONCATENATE(MID(Table8[[#This Row],[Nombre Cuenta]],1,3)," - ", ,MID(Table8[[#This Row],[Nombre Cuenta]],6,144))</f>
        <v>797 -  Reversión del deterioro de créditos a largo plazo, empresas del grupo</v>
      </c>
    </row>
    <row r="243" spans="1:9">
      <c r="A243" t="s">
        <v>1623</v>
      </c>
      <c r="B243" t="s">
        <v>1644</v>
      </c>
      <c r="C243" t="s">
        <v>763</v>
      </c>
      <c r="D243">
        <v>7971</v>
      </c>
      <c r="E243" t="str">
        <f>+MID(Table8[[#This Row],[CPGC]],1,2)</f>
        <v>79</v>
      </c>
      <c r="F243" t="str">
        <f>+MID(Table8[[#This Row],[CPGC]],1,3)</f>
        <v>797</v>
      </c>
      <c r="H243" t="s">
        <v>1776</v>
      </c>
      <c r="I243" t="str">
        <f>+CONCATENATE(MID(Table8[[#This Row],[Nombre Cuenta]],1,3)," - ", ,MID(Table8[[#This Row],[Nombre Cuenta]],6,144))</f>
        <v>797 -  Reversión del deterioro de créditos a largo plazo, empresas asociadas</v>
      </c>
    </row>
    <row r="244" spans="1:9">
      <c r="A244" t="s">
        <v>1623</v>
      </c>
      <c r="B244" t="s">
        <v>1644</v>
      </c>
      <c r="C244" t="s">
        <v>763</v>
      </c>
      <c r="D244">
        <v>7972</v>
      </c>
      <c r="E244" t="str">
        <f>+MID(Table8[[#This Row],[CPGC]],1,2)</f>
        <v>79</v>
      </c>
      <c r="F244" t="str">
        <f>+MID(Table8[[#This Row],[CPGC]],1,3)</f>
        <v>797</v>
      </c>
      <c r="H244" t="s">
        <v>1777</v>
      </c>
      <c r="I244" t="str">
        <f>+CONCATENATE(MID(Table8[[#This Row],[Nombre Cuenta]],1,3)," - ", ,MID(Table8[[#This Row],[Nombre Cuenta]],6,144))</f>
        <v>797 -  Reversión del deterioro de créditos a largo plazo, otras partes vinculadas</v>
      </c>
    </row>
    <row r="245" spans="1:9">
      <c r="A245" t="s">
        <v>1623</v>
      </c>
      <c r="B245" t="s">
        <v>1644</v>
      </c>
      <c r="C245" t="s">
        <v>763</v>
      </c>
      <c r="D245">
        <v>7973</v>
      </c>
      <c r="E245" t="str">
        <f>+MID(Table8[[#This Row],[CPGC]],1,2)</f>
        <v>79</v>
      </c>
      <c r="F245" t="str">
        <f>+MID(Table8[[#This Row],[CPGC]],1,3)</f>
        <v>797</v>
      </c>
      <c r="H245" t="s">
        <v>1778</v>
      </c>
      <c r="I245" t="str">
        <f>+CONCATENATE(MID(Table8[[#This Row],[Nombre Cuenta]],1,3)," - ", ,MID(Table8[[#This Row],[Nombre Cuenta]],6,144))</f>
        <v>797 -  Reversión del deterioro de créditos a largo plazo, otras empresas</v>
      </c>
    </row>
    <row r="246" spans="1:9">
      <c r="A246" t="s">
        <v>1623</v>
      </c>
      <c r="B246" t="s">
        <v>1644</v>
      </c>
      <c r="C246" t="s">
        <v>763</v>
      </c>
      <c r="D246">
        <v>7980</v>
      </c>
      <c r="E246" t="str">
        <f>+MID(Table8[[#This Row],[CPGC]],1,2)</f>
        <v>79</v>
      </c>
      <c r="F246" t="str">
        <f>+MID(Table8[[#This Row],[CPGC]],1,3)</f>
        <v>798</v>
      </c>
      <c r="H246" t="s">
        <v>1779</v>
      </c>
      <c r="I246" t="str">
        <f>+CONCATENATE(MID(Table8[[#This Row],[Nombre Cuenta]],1,3)," - ", ,MID(Table8[[#This Row],[Nombre Cuenta]],6,144))</f>
        <v>798 -  Reversión del deterioro de participaciones en instrumentos de patrimonio neto a corto plazo, empresas del grupo</v>
      </c>
    </row>
    <row r="247" spans="1:9">
      <c r="A247" t="s">
        <v>1623</v>
      </c>
      <c r="B247" t="s">
        <v>1644</v>
      </c>
      <c r="C247" t="s">
        <v>763</v>
      </c>
      <c r="D247">
        <v>7981</v>
      </c>
      <c r="E247" t="str">
        <f>+MID(Table8[[#This Row],[CPGC]],1,2)</f>
        <v>79</v>
      </c>
      <c r="F247" t="str">
        <f>+MID(Table8[[#This Row],[CPGC]],1,3)</f>
        <v>798</v>
      </c>
      <c r="H247" t="s">
        <v>1780</v>
      </c>
      <c r="I247" t="str">
        <f>+CONCATENATE(MID(Table8[[#This Row],[Nombre Cuenta]],1,3)," - ", ,MID(Table8[[#This Row],[Nombre Cuenta]],6,144))</f>
        <v>798 -  Reversión del deterioro de participaciones en instrumentos de patrimonio neto a corto plazo, empresas asociadas</v>
      </c>
    </row>
    <row r="248" spans="1:9">
      <c r="A248" t="s">
        <v>1623</v>
      </c>
      <c r="B248" t="s">
        <v>1644</v>
      </c>
      <c r="C248" t="s">
        <v>763</v>
      </c>
      <c r="D248">
        <v>7985</v>
      </c>
      <c r="E248" t="str">
        <f>+MID(Table8[[#This Row],[CPGC]],1,2)</f>
        <v>79</v>
      </c>
      <c r="F248" t="str">
        <f>+MID(Table8[[#This Row],[CPGC]],1,3)</f>
        <v>798</v>
      </c>
      <c r="H248" t="s">
        <v>1781</v>
      </c>
      <c r="I248" t="str">
        <f>+CONCATENATE(MID(Table8[[#This Row],[Nombre Cuenta]],1,3)," - ", ,MID(Table8[[#This Row],[Nombre Cuenta]],6,144))</f>
        <v>798 -  Reversión del deterioro en valores representativos de deuda a corto plazo, empresas del grupo</v>
      </c>
    </row>
    <row r="249" spans="1:9">
      <c r="A249" t="s">
        <v>1623</v>
      </c>
      <c r="B249" t="s">
        <v>1644</v>
      </c>
      <c r="C249" t="s">
        <v>763</v>
      </c>
      <c r="D249">
        <v>7986</v>
      </c>
      <c r="E249" t="str">
        <f>+MID(Table8[[#This Row],[CPGC]],1,2)</f>
        <v>79</v>
      </c>
      <c r="F249" t="str">
        <f>+MID(Table8[[#This Row],[CPGC]],1,3)</f>
        <v>798</v>
      </c>
      <c r="H249" t="s">
        <v>1782</v>
      </c>
      <c r="I249" t="str">
        <f>+CONCATENATE(MID(Table8[[#This Row],[Nombre Cuenta]],1,3)," - ", ,MID(Table8[[#This Row],[Nombre Cuenta]],6,144))</f>
        <v>798 -  Reversión del deterioro en valores representativos de deuda a corto plazo, empresas asociadas</v>
      </c>
    </row>
    <row r="250" spans="1:9">
      <c r="A250" t="s">
        <v>1623</v>
      </c>
      <c r="B250" t="s">
        <v>1644</v>
      </c>
      <c r="C250" t="s">
        <v>763</v>
      </c>
      <c r="D250">
        <v>7987</v>
      </c>
      <c r="E250" t="str">
        <f>+MID(Table8[[#This Row],[CPGC]],1,2)</f>
        <v>79</v>
      </c>
      <c r="F250" t="str">
        <f>+MID(Table8[[#This Row],[CPGC]],1,3)</f>
        <v>798</v>
      </c>
      <c r="H250" t="s">
        <v>1783</v>
      </c>
      <c r="I250" t="str">
        <f>+CONCATENATE(MID(Table8[[#This Row],[Nombre Cuenta]],1,3)," - ", ,MID(Table8[[#This Row],[Nombre Cuenta]],6,144))</f>
        <v>798 -  Reversión del deterioro en valores representativos de deuda a corto plazo, otras partes vinculadas</v>
      </c>
    </row>
    <row r="251" spans="1:9">
      <c r="A251" t="s">
        <v>1623</v>
      </c>
      <c r="B251" t="s">
        <v>1644</v>
      </c>
      <c r="C251" t="s">
        <v>763</v>
      </c>
      <c r="D251">
        <v>7988</v>
      </c>
      <c r="E251" t="str">
        <f>+MID(Table8[[#This Row],[CPGC]],1,2)</f>
        <v>79</v>
      </c>
      <c r="F251" t="str">
        <f>+MID(Table8[[#This Row],[CPGC]],1,3)</f>
        <v>798</v>
      </c>
      <c r="H251" t="s">
        <v>1784</v>
      </c>
      <c r="I251" t="str">
        <f>+CONCATENATE(MID(Table8[[#This Row],[Nombre Cuenta]],1,3)," - ", ,MID(Table8[[#This Row],[Nombre Cuenta]],6,144))</f>
        <v>798 -  Reversión del deterioro en valores representativos de deuda a corto plazo, otras empresas</v>
      </c>
    </row>
    <row r="252" spans="1:9">
      <c r="A252" t="s">
        <v>1623</v>
      </c>
      <c r="B252" t="s">
        <v>1644</v>
      </c>
      <c r="C252" t="s">
        <v>763</v>
      </c>
      <c r="D252">
        <v>7990</v>
      </c>
      <c r="E252" t="str">
        <f>+MID(Table8[[#This Row],[CPGC]],1,2)</f>
        <v>79</v>
      </c>
      <c r="F252" t="str">
        <f>+MID(Table8[[#This Row],[CPGC]],1,3)</f>
        <v>799</v>
      </c>
      <c r="H252" t="s">
        <v>1785</v>
      </c>
      <c r="I252" t="str">
        <f>+CONCATENATE(MID(Table8[[#This Row],[Nombre Cuenta]],1,3)," - ", ,MID(Table8[[#This Row],[Nombre Cuenta]],6,144))</f>
        <v>799 -  Reversión del deterioro de créditos a corto plazo, empresas del grupo</v>
      </c>
    </row>
    <row r="253" spans="1:9">
      <c r="A253" t="s">
        <v>1623</v>
      </c>
      <c r="B253" t="s">
        <v>1644</v>
      </c>
      <c r="C253" t="s">
        <v>763</v>
      </c>
      <c r="D253">
        <v>7991</v>
      </c>
      <c r="E253" t="str">
        <f>+MID(Table8[[#This Row],[CPGC]],1,2)</f>
        <v>79</v>
      </c>
      <c r="F253" t="str">
        <f>+MID(Table8[[#This Row],[CPGC]],1,3)</f>
        <v>799</v>
      </c>
      <c r="H253" t="s">
        <v>1786</v>
      </c>
      <c r="I253" t="str">
        <f>+CONCATENATE(MID(Table8[[#This Row],[Nombre Cuenta]],1,3)," - ", ,MID(Table8[[#This Row],[Nombre Cuenta]],6,144))</f>
        <v>799 -  Reversión del deterioro de créditos a corto plazo, empresas asociadas</v>
      </c>
    </row>
    <row r="254" spans="1:9">
      <c r="A254" t="s">
        <v>1623</v>
      </c>
      <c r="B254" t="s">
        <v>1644</v>
      </c>
      <c r="C254" t="s">
        <v>763</v>
      </c>
      <c r="D254">
        <v>7992</v>
      </c>
      <c r="E254" t="str">
        <f>+MID(Table8[[#This Row],[CPGC]],1,2)</f>
        <v>79</v>
      </c>
      <c r="F254" t="str">
        <f>+MID(Table8[[#This Row],[CPGC]],1,3)</f>
        <v>799</v>
      </c>
      <c r="H254" t="s">
        <v>1787</v>
      </c>
      <c r="I254" t="str">
        <f>+CONCATENATE(MID(Table8[[#This Row],[Nombre Cuenta]],1,3)," - ", ,MID(Table8[[#This Row],[Nombre Cuenta]],6,144))</f>
        <v>799 -  Reversión del deterioro de créditos a corto plazo, otras partes vinculadas</v>
      </c>
    </row>
    <row r="255" spans="1:9">
      <c r="A255" t="s">
        <v>1623</v>
      </c>
      <c r="B255" t="s">
        <v>1644</v>
      </c>
      <c r="C255" t="s">
        <v>763</v>
      </c>
      <c r="D255">
        <v>7993</v>
      </c>
      <c r="E255" t="str">
        <f>+MID(Table8[[#This Row],[CPGC]],1,2)</f>
        <v>79</v>
      </c>
      <c r="F255" t="str">
        <f>+MID(Table8[[#This Row],[CPGC]],1,3)</f>
        <v>799</v>
      </c>
      <c r="H255" t="s">
        <v>1788</v>
      </c>
      <c r="I255" t="str">
        <f>+CONCATENATE(MID(Table8[[#This Row],[Nombre Cuenta]],1,3)," - ", ,MID(Table8[[#This Row],[Nombre Cuenta]],6,144))</f>
        <v>799 -  Reversión del deterioro de créditos a corto plazo, otras empresas</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3:AN458"/>
  <sheetViews>
    <sheetView showGridLines="0" showRowColHeaders="0" zoomScaleNormal="100" workbookViewId="0">
      <selection activeCell="B9" sqref="B9:C9"/>
    </sheetView>
  </sheetViews>
  <sheetFormatPr defaultColWidth="26.5703125" defaultRowHeight="17.100000000000001" customHeight="1"/>
  <cols>
    <col min="1" max="1" width="7.7109375" style="1" customWidth="1"/>
    <col min="2" max="2" width="25.140625" style="2" customWidth="1"/>
    <col min="3" max="3" width="67.85546875" style="1" customWidth="1"/>
    <col min="4" max="5" width="11.85546875" style="2" bestFit="1" customWidth="1"/>
    <col min="6" max="6" width="20.7109375" style="29" customWidth="1"/>
    <col min="7" max="7" width="19.42578125" style="29" customWidth="1"/>
    <col min="8" max="8" width="26.5703125" style="29"/>
    <col min="9" max="40" width="26.5703125" style="30"/>
    <col min="41" max="16384" width="26.5703125" style="1"/>
  </cols>
  <sheetData>
    <row r="3" spans="1:6" ht="23.25" customHeight="1"/>
    <row r="4" spans="1:6" ht="17.100000000000001" customHeight="1">
      <c r="B4" s="367"/>
      <c r="C4" s="367"/>
      <c r="D4" s="367"/>
      <c r="E4" s="367"/>
      <c r="F4" s="367"/>
    </row>
    <row r="5" spans="1:6" ht="17.100000000000001" customHeight="1">
      <c r="B5" s="367"/>
      <c r="C5" s="367"/>
      <c r="D5" s="367"/>
      <c r="E5" s="367"/>
      <c r="F5" s="367"/>
    </row>
    <row r="6" spans="1:6" ht="17.100000000000001" customHeight="1">
      <c r="B6" s="367"/>
      <c r="C6" s="367"/>
      <c r="D6" s="367"/>
      <c r="E6" s="367"/>
      <c r="F6" s="367"/>
    </row>
    <row r="7" spans="1:6" ht="17.100000000000001" customHeight="1">
      <c r="B7" s="367"/>
      <c r="C7" s="367"/>
      <c r="D7" s="367"/>
      <c r="E7" s="367"/>
      <c r="F7" s="367"/>
    </row>
    <row r="8" spans="1:6" ht="7.5" customHeight="1">
      <c r="A8" s="29"/>
      <c r="B8" s="29"/>
      <c r="C8" s="29"/>
      <c r="D8" s="29"/>
      <c r="E8" s="29"/>
    </row>
    <row r="9" spans="1:6" ht="17.100000000000001" customHeight="1">
      <c r="B9" s="380" t="s">
        <v>162</v>
      </c>
      <c r="C9" s="381"/>
      <c r="D9" s="371" t="s">
        <v>163</v>
      </c>
      <c r="E9" s="372"/>
      <c r="F9" s="365" t="s">
        <v>164</v>
      </c>
    </row>
    <row r="10" spans="1:6" ht="17.100000000000001" customHeight="1">
      <c r="B10" s="218" t="s">
        <v>1</v>
      </c>
      <c r="C10" s="289" t="s">
        <v>3</v>
      </c>
      <c r="D10" s="289" t="s">
        <v>4</v>
      </c>
      <c r="E10" s="289" t="s">
        <v>5</v>
      </c>
      <c r="F10" s="366"/>
    </row>
    <row r="11" spans="1:6" ht="17.100000000000001" customHeight="1">
      <c r="B11" s="373" t="s">
        <v>165</v>
      </c>
      <c r="C11" s="312" t="s">
        <v>166</v>
      </c>
      <c r="D11" s="313"/>
      <c r="E11" s="313"/>
      <c r="F11" s="313"/>
    </row>
    <row r="12" spans="1:6" ht="17.100000000000001" customHeight="1">
      <c r="B12" s="373"/>
      <c r="C12" s="312" t="s">
        <v>167</v>
      </c>
      <c r="D12" s="313"/>
      <c r="E12" s="313"/>
      <c r="F12" s="313"/>
    </row>
    <row r="13" spans="1:6" ht="17.100000000000001" customHeight="1">
      <c r="B13" s="373"/>
      <c r="C13" s="312" t="s">
        <v>168</v>
      </c>
      <c r="D13" s="313"/>
      <c r="E13" s="313"/>
      <c r="F13" s="313"/>
    </row>
    <row r="14" spans="1:6" ht="17.100000000000001" customHeight="1">
      <c r="B14" s="373"/>
      <c r="C14" s="312" t="s">
        <v>169</v>
      </c>
      <c r="D14" s="313"/>
      <c r="E14" s="313"/>
      <c r="F14" s="313"/>
    </row>
    <row r="15" spans="1:6" ht="17.100000000000001" customHeight="1">
      <c r="B15" s="373"/>
      <c r="C15" s="312" t="s">
        <v>170</v>
      </c>
      <c r="D15" s="313"/>
      <c r="E15" s="313"/>
      <c r="F15" s="313"/>
    </row>
    <row r="16" spans="1:6" ht="17.100000000000001" customHeight="1">
      <c r="B16" s="374" t="s">
        <v>171</v>
      </c>
      <c r="C16" s="314" t="s">
        <v>172</v>
      </c>
      <c r="D16" s="315"/>
      <c r="E16" s="315"/>
      <c r="F16" s="315"/>
    </row>
    <row r="17" spans="2:6" ht="17.100000000000001" customHeight="1">
      <c r="B17" s="375"/>
      <c r="C17" s="314" t="s">
        <v>173</v>
      </c>
      <c r="D17" s="315"/>
      <c r="E17" s="315"/>
      <c r="F17" s="315"/>
    </row>
    <row r="18" spans="2:6" ht="17.100000000000001" customHeight="1">
      <c r="B18" s="375"/>
      <c r="C18" s="314" t="s">
        <v>174</v>
      </c>
      <c r="D18" s="315"/>
      <c r="E18" s="315"/>
      <c r="F18" s="315"/>
    </row>
    <row r="19" spans="2:6" ht="17.100000000000001" customHeight="1">
      <c r="B19" s="375"/>
      <c r="C19" s="314" t="s">
        <v>175</v>
      </c>
      <c r="D19" s="315"/>
      <c r="E19" s="315"/>
      <c r="F19" s="315"/>
    </row>
    <row r="20" spans="2:6" ht="17.100000000000001" customHeight="1">
      <c r="B20" s="375"/>
      <c r="C20" s="314" t="s">
        <v>176</v>
      </c>
      <c r="D20" s="315"/>
      <c r="E20" s="315"/>
      <c r="F20" s="315"/>
    </row>
    <row r="21" spans="2:6" ht="17.100000000000001" customHeight="1">
      <c r="B21" s="375"/>
      <c r="C21" s="314" t="s">
        <v>177</v>
      </c>
      <c r="D21" s="315"/>
      <c r="E21" s="315"/>
      <c r="F21" s="315"/>
    </row>
    <row r="22" spans="2:6" ht="17.100000000000001" customHeight="1">
      <c r="B22" s="375"/>
      <c r="C22" s="314" t="s">
        <v>178</v>
      </c>
      <c r="D22" s="315"/>
      <c r="E22" s="315"/>
      <c r="F22" s="315"/>
    </row>
    <row r="23" spans="2:6" ht="17.100000000000001" customHeight="1">
      <c r="B23" s="375"/>
      <c r="C23" s="314" t="s">
        <v>179</v>
      </c>
      <c r="D23" s="315"/>
      <c r="E23" s="315"/>
      <c r="F23" s="315"/>
    </row>
    <row r="24" spans="2:6" ht="17.100000000000001" customHeight="1">
      <c r="B24" s="375"/>
      <c r="C24" s="314" t="s">
        <v>180</v>
      </c>
      <c r="D24" s="315"/>
      <c r="E24" s="315"/>
      <c r="F24" s="315"/>
    </row>
    <row r="25" spans="2:6" ht="17.100000000000001" customHeight="1">
      <c r="B25" s="375"/>
      <c r="C25" s="314" t="s">
        <v>181</v>
      </c>
      <c r="D25" s="315"/>
      <c r="E25" s="315"/>
      <c r="F25" s="315"/>
    </row>
    <row r="26" spans="2:6" ht="17.100000000000001" customHeight="1">
      <c r="B26" s="375"/>
      <c r="C26" s="314" t="s">
        <v>182</v>
      </c>
      <c r="D26" s="315"/>
      <c r="E26" s="315"/>
      <c r="F26" s="315"/>
    </row>
    <row r="27" spans="2:6" ht="17.100000000000001" customHeight="1">
      <c r="B27" s="375"/>
      <c r="C27" s="314" t="s">
        <v>183</v>
      </c>
      <c r="D27" s="315"/>
      <c r="E27" s="315"/>
      <c r="F27" s="315"/>
    </row>
    <row r="28" spans="2:6" ht="17.100000000000001" customHeight="1">
      <c r="B28" s="375"/>
      <c r="C28" s="314" t="s">
        <v>184</v>
      </c>
      <c r="D28" s="315"/>
      <c r="E28" s="315"/>
      <c r="F28" s="315"/>
    </row>
    <row r="29" spans="2:6" ht="17.100000000000001" customHeight="1">
      <c r="B29" s="375"/>
      <c r="C29" s="314" t="s">
        <v>185</v>
      </c>
      <c r="D29" s="315"/>
      <c r="E29" s="315"/>
      <c r="F29" s="315"/>
    </row>
    <row r="30" spans="2:6" ht="17.100000000000001" customHeight="1">
      <c r="B30" s="376" t="s">
        <v>186</v>
      </c>
      <c r="C30" s="316" t="s">
        <v>187</v>
      </c>
      <c r="D30" s="317"/>
      <c r="E30" s="317"/>
      <c r="F30" s="317"/>
    </row>
    <row r="31" spans="2:6" ht="17.100000000000001" customHeight="1">
      <c r="B31" s="376"/>
      <c r="C31" s="316" t="s">
        <v>188</v>
      </c>
      <c r="D31" s="317"/>
      <c r="E31" s="317"/>
      <c r="F31" s="317"/>
    </row>
    <row r="32" spans="2:6" ht="17.100000000000001" customHeight="1">
      <c r="B32" s="377"/>
      <c r="C32" s="316" t="s">
        <v>189</v>
      </c>
      <c r="D32" s="317"/>
      <c r="E32" s="317"/>
      <c r="F32" s="317"/>
    </row>
    <row r="33" spans="2:7" ht="17.100000000000001" customHeight="1">
      <c r="B33" s="377"/>
      <c r="C33" s="316" t="s">
        <v>190</v>
      </c>
      <c r="D33" s="317"/>
      <c r="E33" s="317"/>
      <c r="F33" s="317"/>
    </row>
    <row r="34" spans="2:7" ht="17.100000000000001" customHeight="1">
      <c r="B34" s="378" t="s">
        <v>191</v>
      </c>
      <c r="C34" s="318" t="s">
        <v>192</v>
      </c>
      <c r="D34" s="319"/>
      <c r="E34" s="319"/>
      <c r="F34" s="319"/>
    </row>
    <row r="35" spans="2:7" ht="17.100000000000001" customHeight="1">
      <c r="B35" s="379"/>
      <c r="C35" s="318" t="s">
        <v>193</v>
      </c>
      <c r="D35" s="319"/>
      <c r="E35" s="319"/>
      <c r="F35" s="319"/>
    </row>
    <row r="36" spans="2:7" ht="17.100000000000001" customHeight="1">
      <c r="B36" s="379"/>
      <c r="C36" s="318" t="s">
        <v>194</v>
      </c>
      <c r="D36" s="319"/>
      <c r="E36" s="319"/>
      <c r="F36" s="319"/>
    </row>
    <row r="37" spans="2:7" ht="17.100000000000001" customHeight="1">
      <c r="B37" s="379"/>
      <c r="C37" s="318" t="s">
        <v>195</v>
      </c>
      <c r="D37" s="319"/>
      <c r="E37" s="319"/>
      <c r="F37" s="319"/>
    </row>
    <row r="38" spans="2:7" ht="17.100000000000001" customHeight="1">
      <c r="B38" s="379"/>
      <c r="C38" s="318" t="s">
        <v>196</v>
      </c>
      <c r="D38" s="319"/>
      <c r="E38" s="319"/>
      <c r="F38" s="319"/>
    </row>
    <row r="39" spans="2:7" ht="17.100000000000001" customHeight="1">
      <c r="B39" s="379"/>
      <c r="C39" s="318" t="s">
        <v>197</v>
      </c>
      <c r="D39" s="319"/>
      <c r="E39" s="319"/>
      <c r="F39" s="319"/>
      <c r="G39" s="31"/>
    </row>
    <row r="40" spans="2:7" ht="17.100000000000001" customHeight="1">
      <c r="B40" s="379"/>
      <c r="C40" s="318" t="s">
        <v>198</v>
      </c>
      <c r="D40" s="319"/>
      <c r="E40" s="319"/>
      <c r="F40" s="319"/>
    </row>
    <row r="41" spans="2:7" ht="17.100000000000001" customHeight="1">
      <c r="B41" s="368" t="s">
        <v>199</v>
      </c>
      <c r="C41" s="320" t="s">
        <v>200</v>
      </c>
      <c r="D41" s="321"/>
      <c r="E41" s="321"/>
      <c r="F41" s="321"/>
    </row>
    <row r="42" spans="2:7" ht="17.100000000000001" customHeight="1">
      <c r="B42" s="368"/>
      <c r="C42" s="320" t="s">
        <v>201</v>
      </c>
      <c r="D42" s="321"/>
      <c r="E42" s="321"/>
      <c r="F42" s="321"/>
    </row>
    <row r="43" spans="2:7" ht="17.100000000000001" customHeight="1">
      <c r="B43" s="368"/>
      <c r="C43" s="320" t="s">
        <v>202</v>
      </c>
      <c r="D43" s="321"/>
      <c r="E43" s="321"/>
      <c r="F43" s="321"/>
    </row>
    <row r="44" spans="2:7" ht="17.100000000000001" customHeight="1">
      <c r="B44" s="368"/>
      <c r="C44" s="320" t="s">
        <v>203</v>
      </c>
      <c r="D44" s="321"/>
      <c r="E44" s="321"/>
      <c r="F44" s="321"/>
    </row>
    <row r="45" spans="2:7" ht="17.100000000000001" customHeight="1">
      <c r="B45" s="368"/>
      <c r="C45" s="320" t="s">
        <v>204</v>
      </c>
      <c r="D45" s="321"/>
      <c r="E45" s="321"/>
      <c r="F45" s="321"/>
    </row>
    <row r="46" spans="2:7" ht="17.100000000000001" customHeight="1">
      <c r="B46" s="369"/>
      <c r="C46" s="320" t="s">
        <v>205</v>
      </c>
      <c r="D46" s="321"/>
      <c r="E46" s="321"/>
      <c r="F46" s="321"/>
    </row>
    <row r="47" spans="2:7" ht="17.100000000000001" customHeight="1">
      <c r="B47" s="369"/>
      <c r="C47" s="320" t="s">
        <v>206</v>
      </c>
      <c r="D47" s="321"/>
      <c r="E47" s="321"/>
      <c r="F47" s="321"/>
    </row>
    <row r="48" spans="2:7" ht="17.100000000000001" customHeight="1">
      <c r="B48" s="369"/>
      <c r="C48" s="320" t="s">
        <v>207</v>
      </c>
      <c r="D48" s="321"/>
      <c r="E48" s="321"/>
      <c r="F48" s="321"/>
    </row>
    <row r="49" spans="2:7" ht="17.100000000000001" customHeight="1">
      <c r="B49" s="370" t="s">
        <v>208</v>
      </c>
      <c r="C49" s="370"/>
      <c r="D49" s="28">
        <f>SUM(D11:D48)</f>
        <v>0</v>
      </c>
      <c r="E49" s="28">
        <f>SUM(E11:E48)</f>
        <v>0</v>
      </c>
      <c r="F49" s="28"/>
    </row>
    <row r="50" spans="2:7" ht="17.100000000000001" customHeight="1">
      <c r="B50" s="29"/>
      <c r="C50" s="30"/>
      <c r="D50" s="29"/>
      <c r="E50" s="29"/>
      <c r="G50" s="32"/>
    </row>
    <row r="51" spans="2:7" ht="17.100000000000001" customHeight="1">
      <c r="B51" s="29"/>
      <c r="C51" s="30"/>
      <c r="D51" s="29"/>
      <c r="E51" s="29"/>
      <c r="G51" s="32"/>
    </row>
    <row r="52" spans="2:7" ht="17.100000000000001" customHeight="1">
      <c r="B52" s="29"/>
      <c r="C52" s="30"/>
      <c r="D52" s="29"/>
      <c r="E52" s="29"/>
      <c r="G52" s="32"/>
    </row>
    <row r="53" spans="2:7" ht="17.100000000000001" customHeight="1">
      <c r="B53" s="29"/>
      <c r="C53" s="30"/>
      <c r="D53" s="29"/>
      <c r="E53" s="29"/>
      <c r="G53" s="32"/>
    </row>
    <row r="54" spans="2:7" ht="17.100000000000001" customHeight="1">
      <c r="B54" s="29"/>
      <c r="C54" s="30"/>
      <c r="D54" s="29"/>
      <c r="E54" s="29"/>
      <c r="G54" s="32"/>
    </row>
    <row r="55" spans="2:7" ht="17.100000000000001" customHeight="1">
      <c r="B55" s="29"/>
      <c r="C55" s="30"/>
      <c r="D55" s="29"/>
      <c r="E55" s="29"/>
    </row>
    <row r="56" spans="2:7" ht="17.100000000000001" customHeight="1">
      <c r="B56" s="29"/>
      <c r="C56" s="30"/>
      <c r="D56" s="29"/>
      <c r="E56" s="29"/>
    </row>
    <row r="57" spans="2:7" ht="17.100000000000001" customHeight="1">
      <c r="B57" s="29"/>
      <c r="C57" s="30"/>
      <c r="D57" s="29"/>
      <c r="E57" s="29"/>
    </row>
    <row r="58" spans="2:7" ht="17.100000000000001" customHeight="1">
      <c r="B58" s="29"/>
      <c r="C58" s="30"/>
      <c r="D58" s="29"/>
      <c r="E58" s="29"/>
    </row>
    <row r="59" spans="2:7" ht="17.100000000000001" customHeight="1">
      <c r="B59" s="29"/>
      <c r="C59" s="30"/>
      <c r="D59" s="29"/>
      <c r="E59" s="29"/>
    </row>
    <row r="60" spans="2:7" ht="17.100000000000001" customHeight="1">
      <c r="B60" s="29"/>
      <c r="C60" s="30"/>
      <c r="D60" s="29"/>
      <c r="E60" s="29"/>
    </row>
    <row r="61" spans="2:7" ht="17.100000000000001" customHeight="1">
      <c r="B61" s="29"/>
      <c r="C61" s="30"/>
      <c r="D61" s="29"/>
      <c r="E61" s="29"/>
    </row>
    <row r="62" spans="2:7" ht="17.100000000000001" customHeight="1">
      <c r="B62" s="29"/>
      <c r="C62" s="30"/>
      <c r="D62" s="29"/>
      <c r="E62" s="29"/>
    </row>
    <row r="63" spans="2:7" ht="17.100000000000001" customHeight="1">
      <c r="B63" s="29"/>
      <c r="C63" s="30"/>
      <c r="D63" s="29"/>
      <c r="E63" s="29"/>
    </row>
    <row r="64" spans="2:7" ht="17.100000000000001" customHeight="1">
      <c r="B64" s="29"/>
      <c r="C64" s="30"/>
      <c r="D64" s="29"/>
      <c r="E64" s="29"/>
    </row>
    <row r="65" spans="2:5" ht="17.100000000000001" customHeight="1">
      <c r="B65" s="29"/>
      <c r="C65" s="30"/>
      <c r="D65" s="29"/>
      <c r="E65" s="29"/>
    </row>
    <row r="66" spans="2:5" ht="17.100000000000001" customHeight="1">
      <c r="B66" s="29"/>
      <c r="C66" s="30"/>
      <c r="D66" s="29"/>
      <c r="E66" s="29"/>
    </row>
    <row r="67" spans="2:5" ht="17.100000000000001" customHeight="1">
      <c r="B67" s="29"/>
      <c r="C67" s="30"/>
      <c r="D67" s="29"/>
      <c r="E67" s="29"/>
    </row>
    <row r="68" spans="2:5" ht="17.100000000000001" customHeight="1">
      <c r="B68" s="29"/>
      <c r="C68" s="30"/>
      <c r="D68" s="29"/>
      <c r="E68" s="29"/>
    </row>
    <row r="69" spans="2:5" ht="17.100000000000001" customHeight="1">
      <c r="B69" s="29"/>
      <c r="C69" s="30"/>
      <c r="D69" s="29"/>
      <c r="E69" s="29"/>
    </row>
    <row r="70" spans="2:5" ht="17.100000000000001" customHeight="1">
      <c r="B70" s="29"/>
      <c r="C70" s="30"/>
      <c r="D70" s="29"/>
      <c r="E70" s="29"/>
    </row>
    <row r="71" spans="2:5" ht="17.100000000000001" customHeight="1">
      <c r="B71" s="29"/>
      <c r="C71" s="30"/>
      <c r="D71" s="29"/>
      <c r="E71" s="29"/>
    </row>
    <row r="72" spans="2:5" ht="17.100000000000001" customHeight="1">
      <c r="B72" s="29"/>
      <c r="C72" s="30"/>
      <c r="D72" s="29"/>
      <c r="E72" s="29"/>
    </row>
    <row r="73" spans="2:5" ht="17.100000000000001" customHeight="1">
      <c r="B73" s="29"/>
      <c r="C73" s="30"/>
      <c r="D73" s="29"/>
      <c r="E73" s="29"/>
    </row>
    <row r="74" spans="2:5" ht="17.100000000000001" customHeight="1">
      <c r="B74" s="29"/>
      <c r="C74" s="30"/>
      <c r="D74" s="29"/>
      <c r="E74" s="29"/>
    </row>
    <row r="75" spans="2:5" ht="17.100000000000001" customHeight="1">
      <c r="B75" s="29"/>
      <c r="C75" s="30"/>
      <c r="D75" s="29"/>
      <c r="E75" s="29"/>
    </row>
    <row r="76" spans="2:5" ht="17.100000000000001" customHeight="1">
      <c r="B76" s="29"/>
      <c r="C76" s="30"/>
      <c r="D76" s="29"/>
      <c r="E76" s="29"/>
    </row>
    <row r="77" spans="2:5" ht="17.100000000000001" customHeight="1">
      <c r="B77" s="29"/>
      <c r="C77" s="30"/>
      <c r="D77" s="29"/>
      <c r="E77" s="29"/>
    </row>
    <row r="78" spans="2:5" ht="17.100000000000001" customHeight="1">
      <c r="B78" s="29"/>
      <c r="C78" s="30"/>
      <c r="D78" s="29"/>
      <c r="E78" s="29"/>
    </row>
    <row r="79" spans="2:5" ht="17.100000000000001" customHeight="1">
      <c r="B79" s="29"/>
      <c r="C79" s="30"/>
      <c r="D79" s="29"/>
      <c r="E79" s="29"/>
    </row>
    <row r="80" spans="2:5" ht="17.100000000000001" customHeight="1">
      <c r="B80" s="29"/>
      <c r="C80" s="30"/>
      <c r="D80" s="29"/>
      <c r="E80" s="29"/>
    </row>
    <row r="81" spans="2:5" ht="17.100000000000001" customHeight="1">
      <c r="B81" s="29"/>
      <c r="C81" s="30"/>
      <c r="D81" s="29"/>
      <c r="E81" s="29"/>
    </row>
    <row r="82" spans="2:5" ht="17.100000000000001" customHeight="1">
      <c r="B82" s="29"/>
      <c r="C82" s="30"/>
      <c r="D82" s="29"/>
      <c r="E82" s="29"/>
    </row>
    <row r="83" spans="2:5" ht="17.100000000000001" customHeight="1">
      <c r="B83" s="29"/>
      <c r="C83" s="30"/>
      <c r="D83" s="29"/>
      <c r="E83" s="29"/>
    </row>
    <row r="84" spans="2:5" ht="17.100000000000001" customHeight="1">
      <c r="B84" s="29"/>
      <c r="C84" s="30"/>
      <c r="D84" s="29"/>
      <c r="E84" s="29"/>
    </row>
    <row r="85" spans="2:5" ht="17.100000000000001" customHeight="1">
      <c r="B85" s="29"/>
      <c r="C85" s="30"/>
      <c r="D85" s="29"/>
      <c r="E85" s="29"/>
    </row>
    <row r="86" spans="2:5" ht="17.100000000000001" customHeight="1">
      <c r="B86" s="29"/>
      <c r="C86" s="30"/>
      <c r="D86" s="29"/>
      <c r="E86" s="29"/>
    </row>
    <row r="87" spans="2:5" ht="17.100000000000001" customHeight="1">
      <c r="B87" s="29"/>
      <c r="C87" s="30"/>
      <c r="D87" s="29"/>
      <c r="E87" s="29"/>
    </row>
    <row r="88" spans="2:5" ht="17.100000000000001" customHeight="1">
      <c r="B88" s="29"/>
      <c r="C88" s="30"/>
      <c r="D88" s="29"/>
      <c r="E88" s="29"/>
    </row>
    <row r="89" spans="2:5" ht="17.100000000000001" customHeight="1">
      <c r="B89" s="29"/>
      <c r="C89" s="30"/>
      <c r="D89" s="29"/>
      <c r="E89" s="29"/>
    </row>
    <row r="90" spans="2:5" ht="17.100000000000001" customHeight="1">
      <c r="B90" s="29"/>
      <c r="C90" s="30"/>
      <c r="D90" s="29"/>
      <c r="E90" s="29"/>
    </row>
    <row r="91" spans="2:5" ht="17.100000000000001" customHeight="1">
      <c r="B91" s="29"/>
      <c r="C91" s="30"/>
      <c r="D91" s="29"/>
      <c r="E91" s="29"/>
    </row>
    <row r="92" spans="2:5" ht="17.100000000000001" customHeight="1">
      <c r="B92" s="29"/>
      <c r="C92" s="30"/>
      <c r="D92" s="29"/>
      <c r="E92" s="29"/>
    </row>
    <row r="93" spans="2:5" ht="17.100000000000001" customHeight="1">
      <c r="B93" s="29"/>
      <c r="C93" s="30"/>
      <c r="D93" s="29"/>
      <c r="E93" s="29"/>
    </row>
    <row r="94" spans="2:5" ht="17.100000000000001" customHeight="1">
      <c r="B94" s="29"/>
      <c r="C94" s="30"/>
      <c r="D94" s="29"/>
      <c r="E94" s="29"/>
    </row>
    <row r="95" spans="2:5" ht="17.100000000000001" customHeight="1">
      <c r="B95" s="29"/>
      <c r="C95" s="30"/>
      <c r="D95" s="29"/>
      <c r="E95" s="29"/>
    </row>
    <row r="96" spans="2:5" ht="17.100000000000001" customHeight="1">
      <c r="B96" s="29"/>
      <c r="C96" s="30"/>
      <c r="D96" s="29"/>
      <c r="E96" s="29"/>
    </row>
    <row r="97" spans="2:5" ht="17.100000000000001" customHeight="1">
      <c r="B97" s="29"/>
      <c r="C97" s="30"/>
      <c r="D97" s="29"/>
      <c r="E97" s="29"/>
    </row>
    <row r="98" spans="2:5" ht="17.100000000000001" customHeight="1">
      <c r="B98" s="29"/>
      <c r="C98" s="30"/>
      <c r="D98" s="29"/>
      <c r="E98" s="29"/>
    </row>
    <row r="99" spans="2:5" ht="17.100000000000001" customHeight="1">
      <c r="B99" s="29"/>
      <c r="C99" s="30"/>
      <c r="D99" s="29"/>
      <c r="E99" s="29"/>
    </row>
    <row r="100" spans="2:5" ht="17.100000000000001" customHeight="1">
      <c r="B100" s="29"/>
      <c r="C100" s="30"/>
      <c r="D100" s="29"/>
      <c r="E100" s="29"/>
    </row>
    <row r="101" spans="2:5" ht="17.100000000000001" customHeight="1">
      <c r="B101" s="29"/>
      <c r="C101" s="30"/>
      <c r="D101" s="29"/>
      <c r="E101" s="29"/>
    </row>
    <row r="102" spans="2:5" ht="17.100000000000001" customHeight="1">
      <c r="B102" s="29"/>
      <c r="C102" s="30"/>
      <c r="D102" s="29"/>
      <c r="E102" s="29"/>
    </row>
    <row r="103" spans="2:5" ht="17.100000000000001" customHeight="1">
      <c r="B103" s="29"/>
      <c r="C103" s="30"/>
      <c r="D103" s="29"/>
      <c r="E103" s="29"/>
    </row>
    <row r="104" spans="2:5" ht="17.100000000000001" customHeight="1">
      <c r="B104" s="29"/>
      <c r="C104" s="30"/>
      <c r="D104" s="29"/>
      <c r="E104" s="29"/>
    </row>
    <row r="105" spans="2:5" ht="17.100000000000001" customHeight="1">
      <c r="B105" s="29"/>
      <c r="C105" s="30"/>
      <c r="D105" s="29"/>
      <c r="E105" s="29"/>
    </row>
    <row r="106" spans="2:5" ht="17.100000000000001" customHeight="1">
      <c r="B106" s="29"/>
      <c r="C106" s="30"/>
      <c r="D106" s="29"/>
      <c r="E106" s="29"/>
    </row>
    <row r="107" spans="2:5" ht="17.100000000000001" customHeight="1">
      <c r="B107" s="29"/>
      <c r="C107" s="30"/>
      <c r="D107" s="29"/>
      <c r="E107" s="29"/>
    </row>
    <row r="108" spans="2:5" ht="17.100000000000001" customHeight="1">
      <c r="B108" s="29"/>
      <c r="C108" s="30"/>
      <c r="D108" s="29"/>
      <c r="E108" s="29"/>
    </row>
    <row r="109" spans="2:5" ht="17.100000000000001" customHeight="1">
      <c r="B109" s="29"/>
      <c r="C109" s="30"/>
      <c r="D109" s="29"/>
      <c r="E109" s="29"/>
    </row>
    <row r="110" spans="2:5" ht="17.100000000000001" customHeight="1">
      <c r="B110" s="29"/>
      <c r="C110" s="30"/>
      <c r="D110" s="29"/>
      <c r="E110" s="29"/>
    </row>
    <row r="111" spans="2:5" ht="17.100000000000001" customHeight="1">
      <c r="B111" s="29"/>
      <c r="C111" s="30"/>
      <c r="D111" s="29"/>
      <c r="E111" s="29"/>
    </row>
    <row r="112" spans="2:5" ht="17.100000000000001" customHeight="1">
      <c r="B112" s="29"/>
      <c r="C112" s="30"/>
      <c r="D112" s="29"/>
      <c r="E112" s="29"/>
    </row>
    <row r="113" spans="2:5" ht="17.100000000000001" customHeight="1">
      <c r="B113" s="29"/>
      <c r="C113" s="30"/>
      <c r="D113" s="29"/>
      <c r="E113" s="29"/>
    </row>
    <row r="114" spans="2:5" ht="17.100000000000001" customHeight="1">
      <c r="B114" s="29"/>
      <c r="C114" s="30"/>
      <c r="D114" s="29"/>
      <c r="E114" s="29"/>
    </row>
    <row r="115" spans="2:5" ht="17.100000000000001" customHeight="1">
      <c r="B115" s="29"/>
      <c r="C115" s="30"/>
      <c r="D115" s="29"/>
      <c r="E115" s="29"/>
    </row>
    <row r="116" spans="2:5" ht="17.100000000000001" customHeight="1">
      <c r="B116" s="29"/>
      <c r="C116" s="30"/>
      <c r="D116" s="29"/>
      <c r="E116" s="29"/>
    </row>
    <row r="117" spans="2:5" ht="17.100000000000001" customHeight="1">
      <c r="B117" s="29"/>
      <c r="C117" s="30"/>
      <c r="D117" s="29"/>
      <c r="E117" s="29"/>
    </row>
    <row r="118" spans="2:5" ht="17.100000000000001" customHeight="1">
      <c r="B118" s="29"/>
      <c r="C118" s="30"/>
      <c r="D118" s="29"/>
      <c r="E118" s="29"/>
    </row>
    <row r="119" spans="2:5" ht="17.100000000000001" customHeight="1">
      <c r="B119" s="29"/>
      <c r="C119" s="30"/>
      <c r="D119" s="29"/>
      <c r="E119" s="29"/>
    </row>
    <row r="120" spans="2:5" ht="17.100000000000001" customHeight="1">
      <c r="B120" s="29"/>
      <c r="C120" s="30"/>
      <c r="D120" s="29"/>
      <c r="E120" s="29"/>
    </row>
    <row r="121" spans="2:5" ht="17.100000000000001" customHeight="1">
      <c r="B121" s="29"/>
      <c r="C121" s="30"/>
      <c r="D121" s="29"/>
      <c r="E121" s="29"/>
    </row>
    <row r="122" spans="2:5" ht="17.100000000000001" customHeight="1">
      <c r="B122" s="29"/>
      <c r="C122" s="30"/>
      <c r="D122" s="29"/>
      <c r="E122" s="29"/>
    </row>
    <row r="123" spans="2:5" ht="17.100000000000001" customHeight="1">
      <c r="B123" s="29"/>
      <c r="C123" s="30"/>
      <c r="D123" s="29"/>
      <c r="E123" s="29"/>
    </row>
    <row r="124" spans="2:5" ht="17.100000000000001" customHeight="1">
      <c r="B124" s="29"/>
      <c r="C124" s="30"/>
      <c r="D124" s="29"/>
      <c r="E124" s="29"/>
    </row>
    <row r="125" spans="2:5" ht="17.100000000000001" customHeight="1">
      <c r="B125" s="29"/>
      <c r="C125" s="30"/>
      <c r="D125" s="29"/>
      <c r="E125" s="29"/>
    </row>
    <row r="126" spans="2:5" ht="17.100000000000001" customHeight="1">
      <c r="B126" s="29"/>
      <c r="C126" s="30"/>
      <c r="D126" s="29"/>
      <c r="E126" s="29"/>
    </row>
    <row r="127" spans="2:5" ht="17.100000000000001" customHeight="1">
      <c r="B127" s="29"/>
      <c r="C127" s="30"/>
      <c r="D127" s="29"/>
      <c r="E127" s="29"/>
    </row>
    <row r="128" spans="2:5" ht="17.100000000000001" customHeight="1">
      <c r="B128" s="29"/>
      <c r="C128" s="30"/>
      <c r="D128" s="29"/>
      <c r="E128" s="29"/>
    </row>
    <row r="129" spans="2:5" ht="17.100000000000001" customHeight="1">
      <c r="B129" s="29"/>
      <c r="C129" s="30"/>
      <c r="D129" s="29"/>
      <c r="E129" s="29"/>
    </row>
    <row r="130" spans="2:5" ht="17.100000000000001" customHeight="1">
      <c r="B130" s="29"/>
      <c r="C130" s="30"/>
      <c r="D130" s="29"/>
      <c r="E130" s="29"/>
    </row>
    <row r="131" spans="2:5" ht="17.100000000000001" customHeight="1">
      <c r="B131" s="29"/>
      <c r="C131" s="30"/>
      <c r="D131" s="29"/>
      <c r="E131" s="29"/>
    </row>
    <row r="132" spans="2:5" ht="17.100000000000001" customHeight="1">
      <c r="B132" s="29"/>
      <c r="C132" s="30"/>
      <c r="D132" s="29"/>
      <c r="E132" s="29"/>
    </row>
    <row r="133" spans="2:5" ht="17.100000000000001" customHeight="1">
      <c r="B133" s="29"/>
      <c r="C133" s="30"/>
      <c r="D133" s="29"/>
      <c r="E133" s="29"/>
    </row>
    <row r="134" spans="2:5" ht="17.100000000000001" customHeight="1">
      <c r="B134" s="29"/>
      <c r="C134" s="30"/>
      <c r="D134" s="29"/>
      <c r="E134" s="29"/>
    </row>
    <row r="135" spans="2:5" ht="17.100000000000001" customHeight="1">
      <c r="B135" s="29"/>
      <c r="C135" s="30"/>
      <c r="D135" s="29"/>
      <c r="E135" s="29"/>
    </row>
    <row r="136" spans="2:5" ht="17.100000000000001" customHeight="1">
      <c r="B136" s="29"/>
      <c r="C136" s="30"/>
      <c r="D136" s="29"/>
      <c r="E136" s="29"/>
    </row>
    <row r="137" spans="2:5" ht="17.100000000000001" customHeight="1">
      <c r="B137" s="29"/>
      <c r="C137" s="30"/>
      <c r="D137" s="29"/>
      <c r="E137" s="29"/>
    </row>
    <row r="138" spans="2:5" ht="17.100000000000001" customHeight="1">
      <c r="B138" s="29"/>
      <c r="C138" s="30"/>
      <c r="D138" s="29"/>
      <c r="E138" s="29"/>
    </row>
    <row r="139" spans="2:5" ht="17.100000000000001" customHeight="1">
      <c r="B139" s="29"/>
      <c r="C139" s="30"/>
      <c r="D139" s="29"/>
      <c r="E139" s="29"/>
    </row>
    <row r="140" spans="2:5" ht="17.100000000000001" customHeight="1">
      <c r="B140" s="29"/>
      <c r="C140" s="30"/>
      <c r="D140" s="29"/>
      <c r="E140" s="29"/>
    </row>
    <row r="141" spans="2:5" ht="17.100000000000001" customHeight="1">
      <c r="B141" s="29"/>
      <c r="C141" s="30"/>
      <c r="D141" s="29"/>
      <c r="E141" s="29"/>
    </row>
    <row r="142" spans="2:5" ht="17.100000000000001" customHeight="1">
      <c r="B142" s="29"/>
      <c r="C142" s="30"/>
      <c r="D142" s="29"/>
      <c r="E142" s="29"/>
    </row>
    <row r="143" spans="2:5" ht="17.100000000000001" customHeight="1">
      <c r="B143" s="29"/>
      <c r="C143" s="30"/>
      <c r="D143" s="29"/>
      <c r="E143" s="29"/>
    </row>
    <row r="144" spans="2:5" ht="17.100000000000001" customHeight="1">
      <c r="B144" s="29"/>
      <c r="C144" s="30"/>
      <c r="D144" s="29"/>
      <c r="E144" s="29"/>
    </row>
    <row r="145" spans="2:5" ht="17.100000000000001" customHeight="1">
      <c r="B145" s="29"/>
      <c r="C145" s="30"/>
      <c r="D145" s="29"/>
      <c r="E145" s="29"/>
    </row>
    <row r="146" spans="2:5" ht="17.100000000000001" customHeight="1">
      <c r="B146" s="29"/>
      <c r="C146" s="30"/>
      <c r="D146" s="29"/>
      <c r="E146" s="29"/>
    </row>
    <row r="147" spans="2:5" ht="17.100000000000001" customHeight="1">
      <c r="B147" s="29"/>
      <c r="C147" s="30"/>
      <c r="D147" s="29"/>
      <c r="E147" s="29"/>
    </row>
    <row r="148" spans="2:5" ht="17.100000000000001" customHeight="1">
      <c r="B148" s="29"/>
      <c r="C148" s="30"/>
      <c r="D148" s="29"/>
      <c r="E148" s="29"/>
    </row>
    <row r="149" spans="2:5" ht="17.100000000000001" customHeight="1">
      <c r="B149" s="29"/>
      <c r="C149" s="30"/>
      <c r="D149" s="29"/>
      <c r="E149" s="29"/>
    </row>
    <row r="150" spans="2:5" ht="17.100000000000001" customHeight="1">
      <c r="B150" s="29"/>
      <c r="C150" s="30"/>
      <c r="D150" s="29"/>
      <c r="E150" s="29"/>
    </row>
    <row r="151" spans="2:5" ht="17.100000000000001" customHeight="1">
      <c r="B151" s="29"/>
      <c r="C151" s="30"/>
      <c r="D151" s="29"/>
      <c r="E151" s="29"/>
    </row>
    <row r="152" spans="2:5" ht="17.100000000000001" customHeight="1">
      <c r="B152" s="29"/>
      <c r="C152" s="30"/>
      <c r="D152" s="29"/>
      <c r="E152" s="29"/>
    </row>
    <row r="153" spans="2:5" ht="17.100000000000001" customHeight="1">
      <c r="B153" s="29"/>
      <c r="C153" s="30"/>
      <c r="D153" s="29"/>
      <c r="E153" s="29"/>
    </row>
    <row r="154" spans="2:5" ht="17.100000000000001" customHeight="1">
      <c r="B154" s="29"/>
      <c r="C154" s="30"/>
      <c r="D154" s="29"/>
      <c r="E154" s="29"/>
    </row>
    <row r="155" spans="2:5" ht="17.100000000000001" customHeight="1">
      <c r="B155" s="29"/>
      <c r="C155" s="30"/>
      <c r="D155" s="29"/>
      <c r="E155" s="29"/>
    </row>
    <row r="156" spans="2:5" ht="17.100000000000001" customHeight="1">
      <c r="B156" s="29"/>
      <c r="C156" s="30"/>
      <c r="D156" s="29"/>
      <c r="E156" s="29"/>
    </row>
    <row r="157" spans="2:5" ht="17.100000000000001" customHeight="1">
      <c r="B157" s="29"/>
      <c r="C157" s="30"/>
      <c r="D157" s="29"/>
      <c r="E157" s="29"/>
    </row>
    <row r="158" spans="2:5" ht="17.100000000000001" customHeight="1">
      <c r="B158" s="29"/>
      <c r="C158" s="30"/>
      <c r="D158" s="29"/>
      <c r="E158" s="29"/>
    </row>
    <row r="159" spans="2:5" ht="17.100000000000001" customHeight="1">
      <c r="B159" s="29"/>
      <c r="C159" s="30"/>
      <c r="D159" s="29"/>
      <c r="E159" s="29"/>
    </row>
    <row r="160" spans="2:5" ht="17.100000000000001" customHeight="1">
      <c r="B160" s="29"/>
      <c r="C160" s="30"/>
      <c r="D160" s="29"/>
      <c r="E160" s="29"/>
    </row>
    <row r="161" spans="2:5" ht="17.100000000000001" customHeight="1">
      <c r="B161" s="29"/>
      <c r="C161" s="30"/>
      <c r="D161" s="29"/>
      <c r="E161" s="29"/>
    </row>
    <row r="162" spans="2:5" ht="17.100000000000001" customHeight="1">
      <c r="B162" s="29"/>
      <c r="C162" s="30"/>
      <c r="D162" s="29"/>
      <c r="E162" s="29"/>
    </row>
    <row r="163" spans="2:5" ht="17.100000000000001" customHeight="1">
      <c r="B163" s="29"/>
      <c r="C163" s="30"/>
      <c r="D163" s="29"/>
      <c r="E163" s="29"/>
    </row>
    <row r="164" spans="2:5" ht="17.100000000000001" customHeight="1">
      <c r="B164" s="29"/>
      <c r="C164" s="30"/>
      <c r="D164" s="29"/>
      <c r="E164" s="29"/>
    </row>
    <row r="165" spans="2:5" ht="17.100000000000001" customHeight="1">
      <c r="B165" s="29"/>
      <c r="C165" s="30"/>
      <c r="D165" s="29"/>
      <c r="E165" s="29"/>
    </row>
    <row r="166" spans="2:5" ht="17.100000000000001" customHeight="1">
      <c r="B166" s="29"/>
      <c r="C166" s="30"/>
      <c r="D166" s="29"/>
      <c r="E166" s="29"/>
    </row>
    <row r="167" spans="2:5" ht="17.100000000000001" customHeight="1">
      <c r="B167" s="29"/>
      <c r="C167" s="30"/>
      <c r="D167" s="29"/>
      <c r="E167" s="29"/>
    </row>
    <row r="168" spans="2:5" ht="17.100000000000001" customHeight="1">
      <c r="B168" s="29"/>
      <c r="C168" s="30"/>
      <c r="D168" s="29"/>
      <c r="E168" s="29"/>
    </row>
    <row r="169" spans="2:5" ht="17.100000000000001" customHeight="1">
      <c r="B169" s="29"/>
      <c r="C169" s="30"/>
      <c r="D169" s="29"/>
      <c r="E169" s="29"/>
    </row>
    <row r="170" spans="2:5" ht="17.100000000000001" customHeight="1">
      <c r="B170" s="29"/>
      <c r="C170" s="30"/>
      <c r="D170" s="29"/>
      <c r="E170" s="29"/>
    </row>
    <row r="171" spans="2:5" ht="17.100000000000001" customHeight="1">
      <c r="B171" s="29"/>
      <c r="C171" s="30"/>
      <c r="D171" s="29"/>
      <c r="E171" s="29"/>
    </row>
    <row r="172" spans="2:5" ht="17.100000000000001" customHeight="1">
      <c r="B172" s="29"/>
      <c r="C172" s="30"/>
      <c r="D172" s="29"/>
      <c r="E172" s="29"/>
    </row>
    <row r="173" spans="2:5" ht="17.100000000000001" customHeight="1">
      <c r="B173" s="29"/>
      <c r="C173" s="30"/>
      <c r="D173" s="29"/>
      <c r="E173" s="29"/>
    </row>
    <row r="174" spans="2:5" ht="17.100000000000001" customHeight="1">
      <c r="B174" s="29"/>
      <c r="C174" s="30"/>
      <c r="D174" s="29"/>
      <c r="E174" s="29"/>
    </row>
    <row r="175" spans="2:5" ht="17.100000000000001" customHeight="1">
      <c r="B175" s="29"/>
      <c r="C175" s="30"/>
      <c r="D175" s="29"/>
      <c r="E175" s="29"/>
    </row>
    <row r="176" spans="2:5" ht="17.100000000000001" customHeight="1">
      <c r="B176" s="29"/>
      <c r="C176" s="30"/>
      <c r="D176" s="29"/>
      <c r="E176" s="29"/>
    </row>
    <row r="177" spans="2:5" ht="17.100000000000001" customHeight="1">
      <c r="B177" s="29"/>
      <c r="C177" s="30"/>
      <c r="D177" s="29"/>
      <c r="E177" s="29"/>
    </row>
    <row r="178" spans="2:5" ht="17.100000000000001" customHeight="1">
      <c r="B178" s="29"/>
      <c r="C178" s="30"/>
      <c r="D178" s="29"/>
      <c r="E178" s="29"/>
    </row>
    <row r="179" spans="2:5" ht="17.100000000000001" customHeight="1">
      <c r="B179" s="29"/>
      <c r="C179" s="30"/>
      <c r="D179" s="29"/>
      <c r="E179" s="29"/>
    </row>
    <row r="180" spans="2:5" ht="17.100000000000001" customHeight="1">
      <c r="B180" s="29"/>
      <c r="C180" s="30"/>
      <c r="D180" s="29"/>
      <c r="E180" s="29"/>
    </row>
    <row r="181" spans="2:5" ht="17.100000000000001" customHeight="1">
      <c r="B181" s="29"/>
      <c r="C181" s="30"/>
      <c r="D181" s="29"/>
      <c r="E181" s="29"/>
    </row>
    <row r="182" spans="2:5" ht="17.100000000000001" customHeight="1">
      <c r="B182" s="29"/>
      <c r="C182" s="30"/>
      <c r="D182" s="29"/>
      <c r="E182" s="29"/>
    </row>
    <row r="183" spans="2:5" ht="17.100000000000001" customHeight="1">
      <c r="B183" s="29"/>
      <c r="C183" s="30"/>
      <c r="D183" s="29"/>
      <c r="E183" s="29"/>
    </row>
    <row r="184" spans="2:5" ht="17.100000000000001" customHeight="1">
      <c r="B184" s="29"/>
      <c r="C184" s="30"/>
      <c r="D184" s="29"/>
      <c r="E184" s="29"/>
    </row>
    <row r="185" spans="2:5" ht="17.100000000000001" customHeight="1">
      <c r="B185" s="29"/>
      <c r="C185" s="30"/>
      <c r="D185" s="29"/>
      <c r="E185" s="29"/>
    </row>
    <row r="186" spans="2:5" ht="17.100000000000001" customHeight="1">
      <c r="B186" s="29"/>
      <c r="C186" s="30"/>
      <c r="D186" s="29"/>
      <c r="E186" s="29"/>
    </row>
    <row r="187" spans="2:5" ht="17.100000000000001" customHeight="1">
      <c r="B187" s="29"/>
      <c r="C187" s="30"/>
      <c r="D187" s="29"/>
      <c r="E187" s="29"/>
    </row>
    <row r="188" spans="2:5" ht="17.100000000000001" customHeight="1">
      <c r="B188" s="29"/>
      <c r="C188" s="30"/>
      <c r="D188" s="29"/>
      <c r="E188" s="29"/>
    </row>
    <row r="189" spans="2:5" ht="17.100000000000001" customHeight="1">
      <c r="B189" s="29"/>
      <c r="C189" s="30"/>
      <c r="D189" s="29"/>
      <c r="E189" s="29"/>
    </row>
    <row r="190" spans="2:5" ht="17.100000000000001" customHeight="1">
      <c r="B190" s="29"/>
      <c r="C190" s="30"/>
      <c r="D190" s="29"/>
      <c r="E190" s="29"/>
    </row>
    <row r="191" spans="2:5" ht="17.100000000000001" customHeight="1">
      <c r="B191" s="29"/>
      <c r="C191" s="30"/>
      <c r="D191" s="29"/>
      <c r="E191" s="29"/>
    </row>
    <row r="192" spans="2:5" ht="17.100000000000001" customHeight="1">
      <c r="B192" s="29"/>
      <c r="C192" s="30"/>
      <c r="D192" s="29"/>
      <c r="E192" s="29"/>
    </row>
    <row r="193" spans="2:5" ht="17.100000000000001" customHeight="1">
      <c r="B193" s="29"/>
      <c r="C193" s="30"/>
      <c r="D193" s="29"/>
      <c r="E193" s="29"/>
    </row>
    <row r="194" spans="2:5" ht="17.100000000000001" customHeight="1">
      <c r="B194" s="29"/>
      <c r="C194" s="30"/>
      <c r="D194" s="29"/>
      <c r="E194" s="29"/>
    </row>
    <row r="195" spans="2:5" ht="17.100000000000001" customHeight="1">
      <c r="B195" s="29"/>
      <c r="C195" s="30"/>
      <c r="D195" s="29"/>
      <c r="E195" s="29"/>
    </row>
    <row r="196" spans="2:5" ht="17.100000000000001" customHeight="1">
      <c r="B196" s="29"/>
      <c r="C196" s="30"/>
      <c r="D196" s="29"/>
      <c r="E196" s="29"/>
    </row>
    <row r="197" spans="2:5" ht="17.100000000000001" customHeight="1">
      <c r="B197" s="29"/>
      <c r="C197" s="30"/>
      <c r="D197" s="29"/>
      <c r="E197" s="29"/>
    </row>
    <row r="198" spans="2:5" ht="17.100000000000001" customHeight="1">
      <c r="B198" s="29"/>
      <c r="C198" s="30"/>
      <c r="D198" s="29"/>
      <c r="E198" s="29"/>
    </row>
    <row r="199" spans="2:5" ht="17.100000000000001" customHeight="1">
      <c r="B199" s="29"/>
      <c r="C199" s="30"/>
      <c r="D199" s="29"/>
      <c r="E199" s="29"/>
    </row>
    <row r="200" spans="2:5" ht="17.100000000000001" customHeight="1">
      <c r="B200" s="29"/>
      <c r="C200" s="30"/>
      <c r="D200" s="29"/>
      <c r="E200" s="29"/>
    </row>
    <row r="201" spans="2:5" ht="17.100000000000001" customHeight="1">
      <c r="B201" s="29"/>
      <c r="C201" s="30"/>
      <c r="D201" s="29"/>
      <c r="E201" s="29"/>
    </row>
    <row r="202" spans="2:5" ht="17.100000000000001" customHeight="1">
      <c r="B202" s="29"/>
      <c r="C202" s="30"/>
      <c r="D202" s="29"/>
      <c r="E202" s="29"/>
    </row>
    <row r="203" spans="2:5" ht="17.100000000000001" customHeight="1">
      <c r="B203" s="29"/>
      <c r="C203" s="30"/>
      <c r="D203" s="29"/>
      <c r="E203" s="29"/>
    </row>
    <row r="204" spans="2:5" ht="17.100000000000001" customHeight="1">
      <c r="B204" s="29"/>
      <c r="C204" s="30"/>
      <c r="D204" s="29"/>
      <c r="E204" s="29"/>
    </row>
    <row r="205" spans="2:5" ht="17.100000000000001" customHeight="1">
      <c r="B205" s="29"/>
      <c r="C205" s="30"/>
      <c r="D205" s="29"/>
      <c r="E205" s="29"/>
    </row>
    <row r="206" spans="2:5" ht="17.100000000000001" customHeight="1">
      <c r="B206" s="29"/>
      <c r="C206" s="30"/>
      <c r="D206" s="29"/>
      <c r="E206" s="29"/>
    </row>
    <row r="207" spans="2:5" ht="17.100000000000001" customHeight="1">
      <c r="B207" s="29"/>
      <c r="C207" s="30"/>
      <c r="D207" s="29"/>
      <c r="E207" s="29"/>
    </row>
    <row r="208" spans="2:5" ht="17.100000000000001" customHeight="1">
      <c r="B208" s="29"/>
      <c r="C208" s="30"/>
      <c r="D208" s="29"/>
      <c r="E208" s="29"/>
    </row>
    <row r="209" spans="2:5" ht="17.100000000000001" customHeight="1">
      <c r="B209" s="29"/>
      <c r="C209" s="30"/>
      <c r="D209" s="29"/>
      <c r="E209" s="29"/>
    </row>
    <row r="210" spans="2:5" ht="17.100000000000001" customHeight="1">
      <c r="B210" s="29"/>
      <c r="C210" s="30"/>
      <c r="D210" s="29"/>
      <c r="E210" s="29"/>
    </row>
    <row r="211" spans="2:5" ht="17.100000000000001" customHeight="1">
      <c r="B211" s="29"/>
      <c r="C211" s="30"/>
      <c r="D211" s="29"/>
      <c r="E211" s="29"/>
    </row>
    <row r="212" spans="2:5" ht="17.100000000000001" customHeight="1">
      <c r="B212" s="29"/>
      <c r="C212" s="30"/>
      <c r="D212" s="29"/>
      <c r="E212" s="29"/>
    </row>
    <row r="213" spans="2:5" ht="17.100000000000001" customHeight="1">
      <c r="B213" s="29"/>
      <c r="C213" s="30"/>
      <c r="D213" s="29"/>
      <c r="E213" s="29"/>
    </row>
    <row r="214" spans="2:5" ht="17.100000000000001" customHeight="1">
      <c r="B214" s="29"/>
      <c r="C214" s="30"/>
      <c r="D214" s="29"/>
      <c r="E214" s="29"/>
    </row>
    <row r="215" spans="2:5" ht="17.100000000000001" customHeight="1">
      <c r="B215" s="29"/>
      <c r="C215" s="30"/>
      <c r="D215" s="29"/>
      <c r="E215" s="29"/>
    </row>
    <row r="216" spans="2:5" ht="17.100000000000001" customHeight="1">
      <c r="B216" s="29"/>
      <c r="C216" s="30"/>
      <c r="D216" s="29"/>
      <c r="E216" s="29"/>
    </row>
    <row r="217" spans="2:5" ht="17.100000000000001" customHeight="1">
      <c r="B217" s="29"/>
      <c r="C217" s="30"/>
      <c r="D217" s="29"/>
      <c r="E217" s="29"/>
    </row>
    <row r="218" spans="2:5" ht="17.100000000000001" customHeight="1">
      <c r="B218" s="29"/>
      <c r="C218" s="30"/>
      <c r="D218" s="29"/>
      <c r="E218" s="29"/>
    </row>
    <row r="219" spans="2:5" ht="17.100000000000001" customHeight="1">
      <c r="B219" s="29"/>
      <c r="C219" s="30"/>
      <c r="D219" s="29"/>
      <c r="E219" s="29"/>
    </row>
    <row r="220" spans="2:5" ht="17.100000000000001" customHeight="1">
      <c r="B220" s="29"/>
      <c r="C220" s="30"/>
      <c r="D220" s="29"/>
      <c r="E220" s="29"/>
    </row>
    <row r="221" spans="2:5" ht="17.100000000000001" customHeight="1">
      <c r="B221" s="29"/>
      <c r="C221" s="30"/>
      <c r="D221" s="29"/>
      <c r="E221" s="29"/>
    </row>
    <row r="222" spans="2:5" ht="17.100000000000001" customHeight="1">
      <c r="B222" s="29"/>
      <c r="C222" s="30"/>
      <c r="D222" s="29"/>
      <c r="E222" s="29"/>
    </row>
    <row r="223" spans="2:5" ht="17.100000000000001" customHeight="1">
      <c r="B223" s="29"/>
      <c r="C223" s="30"/>
      <c r="D223" s="29"/>
      <c r="E223" s="29"/>
    </row>
    <row r="224" spans="2:5" ht="17.100000000000001" customHeight="1">
      <c r="B224" s="29"/>
      <c r="C224" s="30"/>
      <c r="D224" s="29"/>
      <c r="E224" s="29"/>
    </row>
    <row r="225" spans="2:5" ht="17.100000000000001" customHeight="1">
      <c r="B225" s="29"/>
      <c r="C225" s="30"/>
      <c r="D225" s="29"/>
      <c r="E225" s="29"/>
    </row>
    <row r="226" spans="2:5" ht="17.100000000000001" customHeight="1">
      <c r="B226" s="29"/>
      <c r="C226" s="30"/>
      <c r="D226" s="29"/>
      <c r="E226" s="29"/>
    </row>
    <row r="227" spans="2:5" ht="17.100000000000001" customHeight="1">
      <c r="B227" s="29"/>
      <c r="C227" s="30"/>
      <c r="D227" s="29"/>
      <c r="E227" s="29"/>
    </row>
    <row r="228" spans="2:5" ht="17.100000000000001" customHeight="1">
      <c r="B228" s="29"/>
      <c r="C228" s="30"/>
      <c r="D228" s="29"/>
      <c r="E228" s="29"/>
    </row>
    <row r="229" spans="2:5" ht="17.100000000000001" customHeight="1">
      <c r="B229" s="29"/>
      <c r="C229" s="30"/>
      <c r="D229" s="29"/>
      <c r="E229" s="29"/>
    </row>
    <row r="230" spans="2:5" ht="17.100000000000001" customHeight="1">
      <c r="B230" s="29"/>
      <c r="C230" s="30"/>
      <c r="D230" s="29"/>
      <c r="E230" s="29"/>
    </row>
    <row r="231" spans="2:5" ht="17.100000000000001" customHeight="1">
      <c r="B231" s="29"/>
      <c r="C231" s="30"/>
      <c r="D231" s="29"/>
      <c r="E231" s="29"/>
    </row>
    <row r="232" spans="2:5" ht="17.100000000000001" customHeight="1">
      <c r="B232" s="29"/>
      <c r="C232" s="30"/>
      <c r="D232" s="29"/>
      <c r="E232" s="29"/>
    </row>
    <row r="233" spans="2:5" ht="17.100000000000001" customHeight="1">
      <c r="B233" s="29"/>
      <c r="C233" s="30"/>
      <c r="D233" s="29"/>
      <c r="E233" s="29"/>
    </row>
    <row r="234" spans="2:5" ht="17.100000000000001" customHeight="1">
      <c r="B234" s="29"/>
      <c r="C234" s="30"/>
      <c r="D234" s="29"/>
      <c r="E234" s="29"/>
    </row>
    <row r="235" spans="2:5" ht="17.100000000000001" customHeight="1">
      <c r="B235" s="29"/>
      <c r="C235" s="30"/>
      <c r="D235" s="29"/>
      <c r="E235" s="29"/>
    </row>
    <row r="236" spans="2:5" ht="17.100000000000001" customHeight="1">
      <c r="B236" s="29"/>
      <c r="C236" s="30"/>
      <c r="D236" s="29"/>
      <c r="E236" s="29"/>
    </row>
    <row r="237" spans="2:5" ht="17.100000000000001" customHeight="1">
      <c r="B237" s="29"/>
      <c r="C237" s="30"/>
      <c r="D237" s="29"/>
      <c r="E237" s="29"/>
    </row>
    <row r="238" spans="2:5" ht="17.100000000000001" customHeight="1">
      <c r="B238" s="29"/>
      <c r="C238" s="30"/>
      <c r="D238" s="29"/>
      <c r="E238" s="29"/>
    </row>
    <row r="239" spans="2:5" ht="17.100000000000001" customHeight="1">
      <c r="B239" s="29"/>
      <c r="C239" s="30"/>
      <c r="D239" s="29"/>
      <c r="E239" s="29"/>
    </row>
    <row r="240" spans="2:5" ht="17.100000000000001" customHeight="1">
      <c r="B240" s="29"/>
      <c r="C240" s="30"/>
      <c r="D240" s="29"/>
      <c r="E240" s="29"/>
    </row>
    <row r="241" spans="2:5" ht="17.100000000000001" customHeight="1">
      <c r="B241" s="29"/>
      <c r="C241" s="30"/>
      <c r="D241" s="29"/>
      <c r="E241" s="29"/>
    </row>
    <row r="242" spans="2:5" ht="17.100000000000001" customHeight="1">
      <c r="B242" s="29"/>
      <c r="C242" s="30"/>
      <c r="D242" s="29"/>
      <c r="E242" s="29"/>
    </row>
    <row r="243" spans="2:5" ht="17.100000000000001" customHeight="1">
      <c r="B243" s="29"/>
      <c r="C243" s="30"/>
      <c r="D243" s="29"/>
      <c r="E243" s="29"/>
    </row>
    <row r="244" spans="2:5" ht="17.100000000000001" customHeight="1">
      <c r="B244" s="29"/>
      <c r="C244" s="30"/>
      <c r="D244" s="29"/>
      <c r="E244" s="29"/>
    </row>
    <row r="245" spans="2:5" ht="17.100000000000001" customHeight="1">
      <c r="B245" s="29"/>
      <c r="C245" s="30"/>
      <c r="D245" s="29"/>
      <c r="E245" s="29"/>
    </row>
    <row r="246" spans="2:5" ht="17.100000000000001" customHeight="1">
      <c r="B246" s="29"/>
      <c r="C246" s="30"/>
      <c r="D246" s="29"/>
      <c r="E246" s="29"/>
    </row>
    <row r="247" spans="2:5" ht="17.100000000000001" customHeight="1">
      <c r="B247" s="29"/>
      <c r="C247" s="30"/>
      <c r="D247" s="29"/>
      <c r="E247" s="29"/>
    </row>
    <row r="248" spans="2:5" ht="17.100000000000001" customHeight="1">
      <c r="B248" s="29"/>
      <c r="C248" s="30"/>
      <c r="D248" s="29"/>
      <c r="E248" s="29"/>
    </row>
    <row r="249" spans="2:5" ht="17.100000000000001" customHeight="1">
      <c r="B249" s="29"/>
      <c r="C249" s="30"/>
      <c r="D249" s="29"/>
      <c r="E249" s="29"/>
    </row>
    <row r="250" spans="2:5" ht="17.100000000000001" customHeight="1">
      <c r="B250" s="29"/>
      <c r="C250" s="30"/>
      <c r="D250" s="29"/>
      <c r="E250" s="29"/>
    </row>
    <row r="251" spans="2:5" ht="17.100000000000001" customHeight="1">
      <c r="B251" s="29"/>
      <c r="C251" s="30"/>
      <c r="D251" s="29"/>
      <c r="E251" s="29"/>
    </row>
    <row r="252" spans="2:5" ht="17.100000000000001" customHeight="1">
      <c r="B252" s="29"/>
      <c r="C252" s="30"/>
      <c r="D252" s="29"/>
      <c r="E252" s="29"/>
    </row>
    <row r="253" spans="2:5" ht="17.100000000000001" customHeight="1">
      <c r="B253" s="29"/>
      <c r="C253" s="30"/>
      <c r="D253" s="29"/>
      <c r="E253" s="29"/>
    </row>
    <row r="254" spans="2:5" ht="17.100000000000001" customHeight="1">
      <c r="B254" s="29"/>
      <c r="C254" s="30"/>
      <c r="D254" s="29"/>
      <c r="E254" s="29"/>
    </row>
    <row r="255" spans="2:5" ht="17.100000000000001" customHeight="1">
      <c r="B255" s="29"/>
      <c r="C255" s="30"/>
      <c r="D255" s="29"/>
      <c r="E255" s="29"/>
    </row>
    <row r="256" spans="2:5" ht="17.100000000000001" customHeight="1">
      <c r="B256" s="29"/>
      <c r="C256" s="30"/>
      <c r="D256" s="29"/>
      <c r="E256" s="29"/>
    </row>
    <row r="257" spans="2:5" ht="17.100000000000001" customHeight="1">
      <c r="B257" s="29"/>
      <c r="C257" s="30"/>
      <c r="D257" s="29"/>
      <c r="E257" s="29"/>
    </row>
    <row r="258" spans="2:5" ht="17.100000000000001" customHeight="1">
      <c r="B258" s="29"/>
      <c r="C258" s="30"/>
      <c r="D258" s="29"/>
      <c r="E258" s="29"/>
    </row>
    <row r="259" spans="2:5" ht="17.100000000000001" customHeight="1">
      <c r="B259" s="29"/>
      <c r="C259" s="30"/>
      <c r="D259" s="29"/>
      <c r="E259" s="29"/>
    </row>
    <row r="260" spans="2:5" ht="17.100000000000001" customHeight="1">
      <c r="B260" s="29"/>
      <c r="C260" s="30"/>
      <c r="D260" s="29"/>
      <c r="E260" s="29"/>
    </row>
    <row r="261" spans="2:5" ht="17.100000000000001" customHeight="1">
      <c r="B261" s="29"/>
      <c r="C261" s="30"/>
      <c r="D261" s="29"/>
      <c r="E261" s="29"/>
    </row>
    <row r="262" spans="2:5" ht="17.100000000000001" customHeight="1">
      <c r="B262" s="29"/>
      <c r="C262" s="30"/>
      <c r="D262" s="29"/>
      <c r="E262" s="29"/>
    </row>
    <row r="263" spans="2:5" ht="17.100000000000001" customHeight="1">
      <c r="B263" s="29"/>
      <c r="C263" s="30"/>
      <c r="D263" s="29"/>
      <c r="E263" s="29"/>
    </row>
    <row r="264" spans="2:5" ht="17.100000000000001" customHeight="1">
      <c r="B264" s="29"/>
      <c r="C264" s="30"/>
      <c r="D264" s="29"/>
      <c r="E264" s="29"/>
    </row>
    <row r="265" spans="2:5" ht="17.100000000000001" customHeight="1">
      <c r="B265" s="29"/>
      <c r="C265" s="30"/>
      <c r="D265" s="29"/>
      <c r="E265" s="29"/>
    </row>
    <row r="266" spans="2:5" ht="17.100000000000001" customHeight="1">
      <c r="B266" s="29"/>
      <c r="C266" s="30"/>
      <c r="D266" s="29"/>
      <c r="E266" s="29"/>
    </row>
    <row r="267" spans="2:5" ht="17.100000000000001" customHeight="1">
      <c r="B267" s="29"/>
      <c r="C267" s="30"/>
      <c r="D267" s="29"/>
      <c r="E267" s="29"/>
    </row>
    <row r="268" spans="2:5" ht="17.100000000000001" customHeight="1">
      <c r="B268" s="29"/>
      <c r="C268" s="30"/>
      <c r="D268" s="29"/>
      <c r="E268" s="29"/>
    </row>
    <row r="269" spans="2:5" ht="17.100000000000001" customHeight="1">
      <c r="B269" s="29"/>
      <c r="C269" s="30"/>
      <c r="D269" s="29"/>
      <c r="E269" s="29"/>
    </row>
    <row r="270" spans="2:5" ht="17.100000000000001" customHeight="1">
      <c r="B270" s="29"/>
      <c r="C270" s="30"/>
      <c r="D270" s="29"/>
      <c r="E270" s="29"/>
    </row>
    <row r="271" spans="2:5" ht="17.100000000000001" customHeight="1">
      <c r="B271" s="29"/>
      <c r="C271" s="30"/>
      <c r="D271" s="29"/>
      <c r="E271" s="29"/>
    </row>
    <row r="272" spans="2:5" ht="17.100000000000001" customHeight="1">
      <c r="B272" s="29"/>
      <c r="C272" s="30"/>
      <c r="D272" s="29"/>
      <c r="E272" s="29"/>
    </row>
    <row r="273" spans="2:5" ht="17.100000000000001" customHeight="1">
      <c r="B273" s="29"/>
      <c r="C273" s="30"/>
      <c r="D273" s="29"/>
      <c r="E273" s="29"/>
    </row>
    <row r="274" spans="2:5" ht="17.100000000000001" customHeight="1">
      <c r="B274" s="29"/>
      <c r="C274" s="30"/>
      <c r="D274" s="29"/>
      <c r="E274" s="29"/>
    </row>
    <row r="275" spans="2:5" ht="17.100000000000001" customHeight="1">
      <c r="B275" s="29"/>
      <c r="C275" s="30"/>
      <c r="D275" s="29"/>
      <c r="E275" s="29"/>
    </row>
    <row r="276" spans="2:5" ht="17.100000000000001" customHeight="1">
      <c r="B276" s="29"/>
      <c r="C276" s="30"/>
      <c r="D276" s="29"/>
      <c r="E276" s="29"/>
    </row>
    <row r="277" spans="2:5" ht="17.100000000000001" customHeight="1">
      <c r="B277" s="29"/>
      <c r="C277" s="30"/>
      <c r="D277" s="29"/>
      <c r="E277" s="29"/>
    </row>
    <row r="278" spans="2:5" ht="17.100000000000001" customHeight="1">
      <c r="B278" s="29"/>
      <c r="C278" s="30"/>
      <c r="D278" s="29"/>
      <c r="E278" s="29"/>
    </row>
    <row r="279" spans="2:5" ht="17.100000000000001" customHeight="1">
      <c r="B279" s="29"/>
      <c r="C279" s="30"/>
      <c r="D279" s="29"/>
      <c r="E279" s="29"/>
    </row>
    <row r="280" spans="2:5" ht="17.100000000000001" customHeight="1">
      <c r="B280" s="29"/>
      <c r="C280" s="30"/>
      <c r="D280" s="29"/>
      <c r="E280" s="29"/>
    </row>
    <row r="281" spans="2:5" ht="17.100000000000001" customHeight="1">
      <c r="B281" s="29"/>
      <c r="C281" s="30"/>
      <c r="D281" s="29"/>
      <c r="E281" s="29"/>
    </row>
    <row r="282" spans="2:5" ht="17.100000000000001" customHeight="1">
      <c r="B282" s="29"/>
      <c r="C282" s="30"/>
      <c r="D282" s="29"/>
      <c r="E282" s="29"/>
    </row>
    <row r="283" spans="2:5" ht="17.100000000000001" customHeight="1">
      <c r="B283" s="29"/>
      <c r="C283" s="30"/>
      <c r="D283" s="29"/>
      <c r="E283" s="29"/>
    </row>
    <row r="284" spans="2:5" ht="17.100000000000001" customHeight="1">
      <c r="B284" s="29"/>
      <c r="C284" s="30"/>
      <c r="D284" s="29"/>
      <c r="E284" s="29"/>
    </row>
    <row r="285" spans="2:5" ht="17.100000000000001" customHeight="1">
      <c r="B285" s="29"/>
      <c r="C285" s="30"/>
      <c r="D285" s="29"/>
      <c r="E285" s="29"/>
    </row>
    <row r="286" spans="2:5" ht="17.100000000000001" customHeight="1">
      <c r="B286" s="29"/>
      <c r="C286" s="30"/>
      <c r="D286" s="29"/>
      <c r="E286" s="29"/>
    </row>
    <row r="287" spans="2:5" ht="17.100000000000001" customHeight="1">
      <c r="B287" s="29"/>
      <c r="C287" s="30"/>
      <c r="D287" s="29"/>
      <c r="E287" s="29"/>
    </row>
    <row r="288" spans="2:5" ht="17.100000000000001" customHeight="1">
      <c r="B288" s="29"/>
      <c r="C288" s="30"/>
      <c r="D288" s="29"/>
      <c r="E288" s="29"/>
    </row>
    <row r="289" spans="2:5" ht="17.100000000000001" customHeight="1">
      <c r="B289" s="29"/>
      <c r="C289" s="30"/>
      <c r="D289" s="29"/>
      <c r="E289" s="29"/>
    </row>
    <row r="290" spans="2:5" ht="17.100000000000001" customHeight="1">
      <c r="B290" s="29"/>
      <c r="C290" s="30"/>
      <c r="D290" s="29"/>
      <c r="E290" s="29"/>
    </row>
    <row r="291" spans="2:5" ht="17.100000000000001" customHeight="1">
      <c r="B291" s="29"/>
      <c r="C291" s="30"/>
      <c r="D291" s="29"/>
      <c r="E291" s="29"/>
    </row>
    <row r="292" spans="2:5" ht="17.100000000000001" customHeight="1">
      <c r="B292" s="29"/>
      <c r="C292" s="30"/>
      <c r="D292" s="29"/>
      <c r="E292" s="29"/>
    </row>
    <row r="293" spans="2:5" ht="17.100000000000001" customHeight="1">
      <c r="B293" s="29"/>
      <c r="C293" s="30"/>
      <c r="D293" s="29"/>
      <c r="E293" s="29"/>
    </row>
    <row r="294" spans="2:5" ht="17.100000000000001" customHeight="1">
      <c r="B294" s="29"/>
      <c r="C294" s="30"/>
      <c r="D294" s="29"/>
      <c r="E294" s="29"/>
    </row>
    <row r="295" spans="2:5" ht="17.100000000000001" customHeight="1">
      <c r="B295" s="29"/>
      <c r="C295" s="30"/>
      <c r="D295" s="29"/>
      <c r="E295" s="29"/>
    </row>
    <row r="296" spans="2:5" ht="17.100000000000001" customHeight="1">
      <c r="B296" s="29"/>
      <c r="C296" s="30"/>
      <c r="D296" s="29"/>
      <c r="E296" s="29"/>
    </row>
    <row r="297" spans="2:5" ht="17.100000000000001" customHeight="1">
      <c r="B297" s="29"/>
      <c r="C297" s="30"/>
      <c r="D297" s="29"/>
      <c r="E297" s="29"/>
    </row>
    <row r="298" spans="2:5" ht="17.100000000000001" customHeight="1">
      <c r="B298" s="29"/>
      <c r="C298" s="30"/>
      <c r="D298" s="29"/>
      <c r="E298" s="29"/>
    </row>
    <row r="299" spans="2:5" ht="17.100000000000001" customHeight="1">
      <c r="B299" s="29"/>
      <c r="C299" s="30"/>
      <c r="D299" s="29"/>
      <c r="E299" s="29"/>
    </row>
    <row r="300" spans="2:5" ht="17.100000000000001" customHeight="1">
      <c r="B300" s="29"/>
      <c r="C300" s="30"/>
      <c r="D300" s="29"/>
      <c r="E300" s="29"/>
    </row>
    <row r="301" spans="2:5" ht="17.100000000000001" customHeight="1">
      <c r="B301" s="29"/>
      <c r="C301" s="30"/>
      <c r="D301" s="29"/>
      <c r="E301" s="29"/>
    </row>
    <row r="302" spans="2:5" ht="17.100000000000001" customHeight="1">
      <c r="B302" s="29"/>
      <c r="C302" s="30"/>
      <c r="D302" s="29"/>
      <c r="E302" s="29"/>
    </row>
    <row r="303" spans="2:5" ht="17.100000000000001" customHeight="1">
      <c r="B303" s="29"/>
      <c r="C303" s="30"/>
      <c r="D303" s="29"/>
      <c r="E303" s="29"/>
    </row>
    <row r="304" spans="2:5" ht="17.100000000000001" customHeight="1">
      <c r="B304" s="29"/>
      <c r="C304" s="30"/>
      <c r="D304" s="29"/>
      <c r="E304" s="29"/>
    </row>
    <row r="305" spans="2:5" ht="17.100000000000001" customHeight="1">
      <c r="B305" s="29"/>
      <c r="C305" s="30"/>
      <c r="D305" s="29"/>
      <c r="E305" s="29"/>
    </row>
    <row r="306" spans="2:5" ht="17.100000000000001" customHeight="1">
      <c r="B306" s="29"/>
      <c r="C306" s="30"/>
      <c r="D306" s="29"/>
      <c r="E306" s="29"/>
    </row>
    <row r="307" spans="2:5" ht="17.100000000000001" customHeight="1">
      <c r="B307" s="29"/>
      <c r="C307" s="30"/>
      <c r="D307" s="29"/>
      <c r="E307" s="29"/>
    </row>
    <row r="308" spans="2:5" ht="17.100000000000001" customHeight="1">
      <c r="B308" s="29"/>
      <c r="C308" s="30"/>
      <c r="D308" s="29"/>
      <c r="E308" s="29"/>
    </row>
    <row r="309" spans="2:5" ht="17.100000000000001" customHeight="1">
      <c r="B309" s="29"/>
      <c r="C309" s="30"/>
      <c r="D309" s="29"/>
      <c r="E309" s="29"/>
    </row>
    <row r="310" spans="2:5" ht="17.100000000000001" customHeight="1">
      <c r="B310" s="29"/>
      <c r="C310" s="30"/>
      <c r="D310" s="29"/>
      <c r="E310" s="29"/>
    </row>
    <row r="311" spans="2:5" ht="17.100000000000001" customHeight="1">
      <c r="B311" s="29"/>
      <c r="C311" s="30"/>
      <c r="D311" s="29"/>
      <c r="E311" s="29"/>
    </row>
    <row r="312" spans="2:5" ht="17.100000000000001" customHeight="1">
      <c r="B312" s="29"/>
      <c r="C312" s="30"/>
      <c r="D312" s="29"/>
      <c r="E312" s="29"/>
    </row>
    <row r="313" spans="2:5" ht="17.100000000000001" customHeight="1">
      <c r="B313" s="29"/>
      <c r="C313" s="30"/>
      <c r="D313" s="29"/>
      <c r="E313" s="29"/>
    </row>
    <row r="314" spans="2:5" ht="17.100000000000001" customHeight="1">
      <c r="B314" s="29"/>
      <c r="C314" s="30"/>
      <c r="D314" s="29"/>
      <c r="E314" s="29"/>
    </row>
    <row r="315" spans="2:5" ht="17.100000000000001" customHeight="1">
      <c r="B315" s="29"/>
      <c r="C315" s="30"/>
      <c r="D315" s="29"/>
      <c r="E315" s="29"/>
    </row>
    <row r="316" spans="2:5" ht="17.100000000000001" customHeight="1">
      <c r="B316" s="29"/>
      <c r="C316" s="30"/>
      <c r="D316" s="29"/>
      <c r="E316" s="29"/>
    </row>
    <row r="317" spans="2:5" ht="17.100000000000001" customHeight="1">
      <c r="B317" s="29"/>
      <c r="C317" s="30"/>
      <c r="D317" s="29"/>
      <c r="E317" s="29"/>
    </row>
    <row r="318" spans="2:5" ht="17.100000000000001" customHeight="1">
      <c r="B318" s="29"/>
      <c r="C318" s="30"/>
      <c r="D318" s="29"/>
      <c r="E318" s="29"/>
    </row>
    <row r="319" spans="2:5" ht="17.100000000000001" customHeight="1">
      <c r="B319" s="29"/>
      <c r="C319" s="30"/>
      <c r="D319" s="29"/>
      <c r="E319" s="29"/>
    </row>
    <row r="320" spans="2:5" ht="17.100000000000001" customHeight="1">
      <c r="B320" s="29"/>
      <c r="C320" s="30"/>
      <c r="D320" s="29"/>
      <c r="E320" s="29"/>
    </row>
    <row r="321" spans="2:5" ht="17.100000000000001" customHeight="1">
      <c r="B321" s="29"/>
      <c r="C321" s="30"/>
      <c r="D321" s="29"/>
      <c r="E321" s="29"/>
    </row>
    <row r="322" spans="2:5" ht="17.100000000000001" customHeight="1">
      <c r="B322" s="29"/>
      <c r="C322" s="30"/>
      <c r="D322" s="29"/>
      <c r="E322" s="29"/>
    </row>
    <row r="323" spans="2:5" ht="17.100000000000001" customHeight="1">
      <c r="B323" s="29"/>
      <c r="C323" s="30"/>
      <c r="D323" s="29"/>
      <c r="E323" s="29"/>
    </row>
    <row r="324" spans="2:5" ht="17.100000000000001" customHeight="1">
      <c r="B324" s="29"/>
      <c r="C324" s="30"/>
      <c r="D324" s="29"/>
      <c r="E324" s="29"/>
    </row>
    <row r="325" spans="2:5" ht="17.100000000000001" customHeight="1">
      <c r="B325" s="29"/>
      <c r="C325" s="30"/>
      <c r="D325" s="29"/>
      <c r="E325" s="29"/>
    </row>
    <row r="326" spans="2:5" ht="17.100000000000001" customHeight="1">
      <c r="B326" s="29"/>
      <c r="C326" s="30"/>
      <c r="D326" s="29"/>
      <c r="E326" s="29"/>
    </row>
    <row r="327" spans="2:5" ht="17.100000000000001" customHeight="1">
      <c r="B327" s="29"/>
      <c r="C327" s="30"/>
      <c r="D327" s="29"/>
      <c r="E327" s="29"/>
    </row>
    <row r="328" spans="2:5" ht="17.100000000000001" customHeight="1">
      <c r="B328" s="29"/>
      <c r="C328" s="30"/>
      <c r="D328" s="29"/>
      <c r="E328" s="29"/>
    </row>
    <row r="329" spans="2:5" ht="17.100000000000001" customHeight="1">
      <c r="B329" s="29"/>
      <c r="C329" s="30"/>
      <c r="D329" s="29"/>
      <c r="E329" s="29"/>
    </row>
    <row r="330" spans="2:5" ht="17.100000000000001" customHeight="1">
      <c r="B330" s="29"/>
      <c r="C330" s="30"/>
      <c r="D330" s="29"/>
      <c r="E330" s="29"/>
    </row>
    <row r="331" spans="2:5" ht="17.100000000000001" customHeight="1">
      <c r="B331" s="29"/>
      <c r="C331" s="30"/>
      <c r="D331" s="29"/>
      <c r="E331" s="29"/>
    </row>
    <row r="332" spans="2:5" ht="17.100000000000001" customHeight="1">
      <c r="B332" s="29"/>
      <c r="C332" s="30"/>
      <c r="D332" s="29"/>
      <c r="E332" s="29"/>
    </row>
    <row r="333" spans="2:5" ht="17.100000000000001" customHeight="1">
      <c r="B333" s="29"/>
      <c r="C333" s="30"/>
      <c r="D333" s="29"/>
      <c r="E333" s="29"/>
    </row>
    <row r="334" spans="2:5" ht="17.100000000000001" customHeight="1">
      <c r="B334" s="29"/>
      <c r="C334" s="30"/>
      <c r="D334" s="29"/>
      <c r="E334" s="29"/>
    </row>
    <row r="335" spans="2:5" ht="17.100000000000001" customHeight="1">
      <c r="B335" s="29"/>
      <c r="C335" s="30"/>
      <c r="D335" s="29"/>
      <c r="E335" s="29"/>
    </row>
    <row r="336" spans="2:5" ht="17.100000000000001" customHeight="1">
      <c r="B336" s="29"/>
      <c r="C336" s="30"/>
      <c r="D336" s="29"/>
      <c r="E336" s="29"/>
    </row>
    <row r="337" spans="2:5" ht="17.100000000000001" customHeight="1">
      <c r="B337" s="29"/>
      <c r="C337" s="30"/>
      <c r="D337" s="29"/>
      <c r="E337" s="29"/>
    </row>
    <row r="338" spans="2:5" ht="17.100000000000001" customHeight="1">
      <c r="B338" s="29"/>
      <c r="C338" s="30"/>
      <c r="D338" s="29"/>
      <c r="E338" s="29"/>
    </row>
    <row r="339" spans="2:5" ht="17.100000000000001" customHeight="1">
      <c r="B339" s="29"/>
      <c r="C339" s="30"/>
      <c r="D339" s="29"/>
      <c r="E339" s="29"/>
    </row>
    <row r="340" spans="2:5" ht="17.100000000000001" customHeight="1">
      <c r="B340" s="29"/>
      <c r="C340" s="30"/>
      <c r="D340" s="29"/>
      <c r="E340" s="29"/>
    </row>
    <row r="341" spans="2:5" ht="17.100000000000001" customHeight="1">
      <c r="B341" s="29"/>
      <c r="C341" s="30"/>
      <c r="D341" s="29"/>
      <c r="E341" s="29"/>
    </row>
    <row r="342" spans="2:5" ht="17.100000000000001" customHeight="1">
      <c r="B342" s="29"/>
      <c r="C342" s="30"/>
      <c r="D342" s="29"/>
      <c r="E342" s="29"/>
    </row>
    <row r="343" spans="2:5" ht="17.100000000000001" customHeight="1">
      <c r="B343" s="29"/>
      <c r="C343" s="30"/>
      <c r="D343" s="29"/>
      <c r="E343" s="29"/>
    </row>
    <row r="344" spans="2:5" ht="17.100000000000001" customHeight="1">
      <c r="B344" s="29"/>
      <c r="C344" s="30"/>
      <c r="D344" s="29"/>
      <c r="E344" s="29"/>
    </row>
    <row r="345" spans="2:5" ht="17.100000000000001" customHeight="1">
      <c r="B345" s="29"/>
      <c r="C345" s="30"/>
      <c r="D345" s="29"/>
      <c r="E345" s="29"/>
    </row>
    <row r="346" spans="2:5" ht="17.100000000000001" customHeight="1">
      <c r="B346" s="29"/>
      <c r="C346" s="30"/>
      <c r="D346" s="29"/>
      <c r="E346" s="29"/>
    </row>
    <row r="347" spans="2:5" ht="17.100000000000001" customHeight="1">
      <c r="B347" s="29"/>
      <c r="C347" s="30"/>
      <c r="D347" s="29"/>
      <c r="E347" s="29"/>
    </row>
    <row r="348" spans="2:5" ht="17.100000000000001" customHeight="1">
      <c r="B348" s="29"/>
      <c r="C348" s="30"/>
      <c r="D348" s="29"/>
      <c r="E348" s="29"/>
    </row>
    <row r="349" spans="2:5" ht="17.100000000000001" customHeight="1">
      <c r="B349" s="29"/>
      <c r="C349" s="30"/>
      <c r="D349" s="29"/>
      <c r="E349" s="29"/>
    </row>
    <row r="350" spans="2:5" ht="17.100000000000001" customHeight="1">
      <c r="B350" s="29"/>
      <c r="C350" s="30"/>
      <c r="D350" s="29"/>
      <c r="E350" s="29"/>
    </row>
    <row r="351" spans="2:5" ht="17.100000000000001" customHeight="1">
      <c r="B351" s="29"/>
      <c r="C351" s="30"/>
      <c r="D351" s="29"/>
      <c r="E351" s="29"/>
    </row>
    <row r="352" spans="2:5" ht="17.100000000000001" customHeight="1">
      <c r="B352" s="29"/>
      <c r="C352" s="30"/>
      <c r="D352" s="29"/>
      <c r="E352" s="29"/>
    </row>
    <row r="353" spans="2:5" ht="17.100000000000001" customHeight="1">
      <c r="B353" s="29"/>
      <c r="C353" s="30"/>
      <c r="D353" s="29"/>
      <c r="E353" s="29"/>
    </row>
    <row r="354" spans="2:5" ht="17.100000000000001" customHeight="1">
      <c r="B354" s="29"/>
      <c r="C354" s="30"/>
      <c r="D354" s="29"/>
      <c r="E354" s="29"/>
    </row>
    <row r="355" spans="2:5" ht="17.100000000000001" customHeight="1">
      <c r="B355" s="29"/>
      <c r="C355" s="30"/>
      <c r="D355" s="29"/>
      <c r="E355" s="29"/>
    </row>
    <row r="356" spans="2:5" ht="17.100000000000001" customHeight="1">
      <c r="B356" s="29"/>
      <c r="C356" s="30"/>
      <c r="D356" s="29"/>
      <c r="E356" s="29"/>
    </row>
    <row r="357" spans="2:5" ht="17.100000000000001" customHeight="1">
      <c r="B357" s="29"/>
      <c r="C357" s="30"/>
      <c r="D357" s="29"/>
      <c r="E357" s="29"/>
    </row>
    <row r="358" spans="2:5" ht="17.100000000000001" customHeight="1">
      <c r="B358" s="29"/>
      <c r="C358" s="30"/>
      <c r="D358" s="29"/>
      <c r="E358" s="29"/>
    </row>
    <row r="359" spans="2:5" ht="17.100000000000001" customHeight="1">
      <c r="B359" s="29"/>
      <c r="C359" s="30"/>
      <c r="D359" s="29"/>
      <c r="E359" s="29"/>
    </row>
    <row r="360" spans="2:5" ht="17.100000000000001" customHeight="1">
      <c r="B360" s="29"/>
      <c r="C360" s="30"/>
      <c r="D360" s="29"/>
      <c r="E360" s="29"/>
    </row>
    <row r="361" spans="2:5" ht="17.100000000000001" customHeight="1">
      <c r="B361" s="29"/>
      <c r="C361" s="30"/>
      <c r="D361" s="29"/>
      <c r="E361" s="29"/>
    </row>
    <row r="362" spans="2:5" ht="17.100000000000001" customHeight="1">
      <c r="B362" s="29"/>
      <c r="C362" s="30"/>
      <c r="D362" s="29"/>
      <c r="E362" s="29"/>
    </row>
    <row r="363" spans="2:5" ht="17.100000000000001" customHeight="1">
      <c r="B363" s="29"/>
      <c r="C363" s="30"/>
      <c r="D363" s="29"/>
      <c r="E363" s="29"/>
    </row>
    <row r="364" spans="2:5" ht="17.100000000000001" customHeight="1">
      <c r="B364" s="29"/>
      <c r="C364" s="30"/>
      <c r="D364" s="29"/>
      <c r="E364" s="29"/>
    </row>
    <row r="365" spans="2:5" ht="17.100000000000001" customHeight="1">
      <c r="B365" s="29"/>
      <c r="C365" s="30"/>
      <c r="D365" s="29"/>
      <c r="E365" s="29"/>
    </row>
    <row r="366" spans="2:5" ht="17.100000000000001" customHeight="1">
      <c r="B366" s="29"/>
      <c r="C366" s="30"/>
      <c r="D366" s="29"/>
      <c r="E366" s="29"/>
    </row>
    <row r="367" spans="2:5" ht="17.100000000000001" customHeight="1">
      <c r="B367" s="29"/>
      <c r="C367" s="30"/>
      <c r="D367" s="29"/>
      <c r="E367" s="29"/>
    </row>
    <row r="368" spans="2:5" ht="17.100000000000001" customHeight="1">
      <c r="B368" s="29"/>
      <c r="C368" s="30"/>
      <c r="D368" s="29"/>
      <c r="E368" s="29"/>
    </row>
    <row r="369" spans="2:5" ht="17.100000000000001" customHeight="1">
      <c r="B369" s="29"/>
      <c r="C369" s="30"/>
      <c r="D369" s="29"/>
      <c r="E369" s="29"/>
    </row>
    <row r="370" spans="2:5" ht="17.100000000000001" customHeight="1">
      <c r="B370" s="29"/>
      <c r="C370" s="30"/>
      <c r="D370" s="29"/>
      <c r="E370" s="29"/>
    </row>
    <row r="371" spans="2:5" ht="17.100000000000001" customHeight="1">
      <c r="B371" s="29"/>
      <c r="C371" s="30"/>
      <c r="D371" s="29"/>
      <c r="E371" s="29"/>
    </row>
    <row r="372" spans="2:5" ht="17.100000000000001" customHeight="1">
      <c r="B372" s="29"/>
      <c r="C372" s="30"/>
      <c r="D372" s="29"/>
      <c r="E372" s="29"/>
    </row>
    <row r="373" spans="2:5" ht="17.100000000000001" customHeight="1">
      <c r="B373" s="29"/>
      <c r="C373" s="30"/>
      <c r="D373" s="29"/>
      <c r="E373" s="29"/>
    </row>
    <row r="374" spans="2:5" ht="17.100000000000001" customHeight="1">
      <c r="B374" s="29"/>
      <c r="C374" s="30"/>
      <c r="D374" s="29"/>
      <c r="E374" s="29"/>
    </row>
    <row r="375" spans="2:5" ht="17.100000000000001" customHeight="1">
      <c r="B375" s="29"/>
      <c r="C375" s="30"/>
      <c r="D375" s="29"/>
      <c r="E375" s="29"/>
    </row>
    <row r="376" spans="2:5" ht="17.100000000000001" customHeight="1">
      <c r="B376" s="29"/>
      <c r="C376" s="30"/>
      <c r="D376" s="29"/>
      <c r="E376" s="29"/>
    </row>
    <row r="377" spans="2:5" ht="17.100000000000001" customHeight="1">
      <c r="B377" s="29"/>
      <c r="C377" s="30"/>
      <c r="D377" s="29"/>
      <c r="E377" s="29"/>
    </row>
    <row r="378" spans="2:5" ht="17.100000000000001" customHeight="1">
      <c r="B378" s="29"/>
      <c r="C378" s="30"/>
      <c r="D378" s="29"/>
      <c r="E378" s="29"/>
    </row>
    <row r="379" spans="2:5" ht="17.100000000000001" customHeight="1">
      <c r="B379" s="29"/>
      <c r="C379" s="30"/>
      <c r="D379" s="29"/>
      <c r="E379" s="29"/>
    </row>
    <row r="380" spans="2:5" ht="17.100000000000001" customHeight="1">
      <c r="B380" s="29"/>
      <c r="C380" s="30"/>
      <c r="D380" s="29"/>
      <c r="E380" s="29"/>
    </row>
    <row r="381" spans="2:5" ht="17.100000000000001" customHeight="1">
      <c r="B381" s="29"/>
      <c r="C381" s="30"/>
      <c r="D381" s="29"/>
      <c r="E381" s="29"/>
    </row>
    <row r="382" spans="2:5" ht="17.100000000000001" customHeight="1">
      <c r="B382" s="29"/>
      <c r="C382" s="30"/>
      <c r="D382" s="29"/>
      <c r="E382" s="29"/>
    </row>
    <row r="383" spans="2:5" ht="17.100000000000001" customHeight="1">
      <c r="B383" s="29"/>
      <c r="C383" s="30"/>
      <c r="D383" s="29"/>
      <c r="E383" s="29"/>
    </row>
    <row r="384" spans="2:5" ht="17.100000000000001" customHeight="1">
      <c r="B384" s="29"/>
      <c r="C384" s="30"/>
      <c r="D384" s="29"/>
      <c r="E384" s="29"/>
    </row>
    <row r="385" spans="2:5" ht="17.100000000000001" customHeight="1">
      <c r="B385" s="29"/>
      <c r="C385" s="30"/>
      <c r="D385" s="29"/>
      <c r="E385" s="29"/>
    </row>
    <row r="386" spans="2:5" ht="17.100000000000001" customHeight="1">
      <c r="B386" s="29"/>
      <c r="C386" s="30"/>
      <c r="D386" s="29"/>
      <c r="E386" s="29"/>
    </row>
    <row r="387" spans="2:5" ht="17.100000000000001" customHeight="1">
      <c r="B387" s="29"/>
      <c r="C387" s="30"/>
      <c r="D387" s="29"/>
      <c r="E387" s="29"/>
    </row>
    <row r="388" spans="2:5" ht="17.100000000000001" customHeight="1">
      <c r="B388" s="29"/>
      <c r="C388" s="30"/>
      <c r="D388" s="29"/>
      <c r="E388" s="29"/>
    </row>
    <row r="389" spans="2:5" ht="17.100000000000001" customHeight="1">
      <c r="B389" s="29"/>
      <c r="C389" s="30"/>
      <c r="D389" s="29"/>
      <c r="E389" s="29"/>
    </row>
    <row r="390" spans="2:5" ht="17.100000000000001" customHeight="1">
      <c r="B390" s="29"/>
      <c r="C390" s="30"/>
      <c r="D390" s="29"/>
      <c r="E390" s="29"/>
    </row>
    <row r="391" spans="2:5" ht="17.100000000000001" customHeight="1">
      <c r="B391" s="29"/>
      <c r="C391" s="30"/>
      <c r="D391" s="29"/>
      <c r="E391" s="29"/>
    </row>
    <row r="392" spans="2:5" ht="17.100000000000001" customHeight="1">
      <c r="B392" s="29"/>
      <c r="C392" s="30"/>
      <c r="D392" s="29"/>
      <c r="E392" s="29"/>
    </row>
    <row r="393" spans="2:5" ht="17.100000000000001" customHeight="1">
      <c r="B393" s="29"/>
      <c r="C393" s="30"/>
      <c r="D393" s="29"/>
      <c r="E393" s="29"/>
    </row>
    <row r="394" spans="2:5" ht="17.100000000000001" customHeight="1">
      <c r="B394" s="29"/>
      <c r="C394" s="30"/>
      <c r="D394" s="29"/>
      <c r="E394" s="29"/>
    </row>
    <row r="395" spans="2:5" ht="17.100000000000001" customHeight="1">
      <c r="B395" s="29"/>
      <c r="C395" s="30"/>
      <c r="D395" s="29"/>
      <c r="E395" s="29"/>
    </row>
    <row r="396" spans="2:5" ht="17.100000000000001" customHeight="1">
      <c r="B396" s="29"/>
      <c r="C396" s="30"/>
      <c r="D396" s="29"/>
      <c r="E396" s="29"/>
    </row>
    <row r="397" spans="2:5" ht="17.100000000000001" customHeight="1">
      <c r="B397" s="29"/>
      <c r="C397" s="30"/>
      <c r="D397" s="29"/>
      <c r="E397" s="29"/>
    </row>
    <row r="398" spans="2:5" ht="17.100000000000001" customHeight="1">
      <c r="B398" s="29"/>
      <c r="C398" s="30"/>
      <c r="D398" s="29"/>
      <c r="E398" s="29"/>
    </row>
    <row r="399" spans="2:5" ht="17.100000000000001" customHeight="1">
      <c r="B399" s="29"/>
      <c r="C399" s="30"/>
      <c r="D399" s="29"/>
      <c r="E399" s="29"/>
    </row>
    <row r="400" spans="2:5" ht="17.100000000000001" customHeight="1">
      <c r="B400" s="29"/>
      <c r="C400" s="30"/>
      <c r="D400" s="29"/>
      <c r="E400" s="29"/>
    </row>
    <row r="401" spans="2:5" ht="17.100000000000001" customHeight="1">
      <c r="B401" s="29"/>
      <c r="C401" s="30"/>
      <c r="D401" s="29"/>
      <c r="E401" s="29"/>
    </row>
    <row r="402" spans="2:5" ht="17.100000000000001" customHeight="1">
      <c r="B402" s="29"/>
      <c r="C402" s="30"/>
      <c r="D402" s="29"/>
      <c r="E402" s="29"/>
    </row>
    <row r="403" spans="2:5" ht="17.100000000000001" customHeight="1">
      <c r="B403" s="29"/>
      <c r="C403" s="30"/>
      <c r="D403" s="29"/>
      <c r="E403" s="29"/>
    </row>
    <row r="404" spans="2:5" ht="17.100000000000001" customHeight="1">
      <c r="B404" s="29"/>
      <c r="C404" s="30"/>
      <c r="D404" s="29"/>
      <c r="E404" s="29"/>
    </row>
    <row r="405" spans="2:5" ht="17.100000000000001" customHeight="1">
      <c r="B405" s="29"/>
      <c r="C405" s="30"/>
      <c r="D405" s="29"/>
      <c r="E405" s="29"/>
    </row>
    <row r="406" spans="2:5" ht="17.100000000000001" customHeight="1">
      <c r="B406" s="29"/>
      <c r="C406" s="30"/>
      <c r="D406" s="29"/>
      <c r="E406" s="29"/>
    </row>
    <row r="407" spans="2:5" ht="17.100000000000001" customHeight="1">
      <c r="B407" s="29"/>
      <c r="C407" s="30"/>
      <c r="D407" s="29"/>
      <c r="E407" s="29"/>
    </row>
    <row r="408" spans="2:5" ht="17.100000000000001" customHeight="1">
      <c r="B408" s="29"/>
      <c r="C408" s="30"/>
      <c r="D408" s="29"/>
      <c r="E408" s="29"/>
    </row>
    <row r="409" spans="2:5" ht="17.100000000000001" customHeight="1">
      <c r="B409" s="29"/>
      <c r="C409" s="30"/>
      <c r="D409" s="29"/>
      <c r="E409" s="29"/>
    </row>
    <row r="410" spans="2:5" ht="17.100000000000001" customHeight="1">
      <c r="B410" s="29"/>
      <c r="C410" s="30"/>
      <c r="D410" s="29"/>
      <c r="E410" s="29"/>
    </row>
    <row r="411" spans="2:5" ht="17.100000000000001" customHeight="1">
      <c r="B411" s="29"/>
      <c r="C411" s="30"/>
      <c r="D411" s="29"/>
      <c r="E411" s="29"/>
    </row>
    <row r="412" spans="2:5" ht="17.100000000000001" customHeight="1">
      <c r="B412" s="29"/>
      <c r="C412" s="30"/>
      <c r="D412" s="29"/>
      <c r="E412" s="29"/>
    </row>
    <row r="413" spans="2:5" ht="17.100000000000001" customHeight="1">
      <c r="B413" s="29"/>
      <c r="C413" s="30"/>
      <c r="D413" s="29"/>
      <c r="E413" s="29"/>
    </row>
    <row r="414" spans="2:5" ht="17.100000000000001" customHeight="1">
      <c r="B414" s="29"/>
      <c r="C414" s="30"/>
      <c r="D414" s="29"/>
      <c r="E414" s="29"/>
    </row>
    <row r="415" spans="2:5" ht="17.100000000000001" customHeight="1">
      <c r="B415" s="29"/>
      <c r="C415" s="30"/>
      <c r="D415" s="29"/>
      <c r="E415" s="29"/>
    </row>
    <row r="416" spans="2:5" ht="17.100000000000001" customHeight="1">
      <c r="B416" s="29"/>
      <c r="C416" s="30"/>
      <c r="D416" s="29"/>
      <c r="E416" s="29"/>
    </row>
    <row r="417" spans="2:5" ht="17.100000000000001" customHeight="1">
      <c r="B417" s="29"/>
      <c r="C417" s="30"/>
      <c r="D417" s="29"/>
      <c r="E417" s="29"/>
    </row>
    <row r="418" spans="2:5" ht="17.100000000000001" customHeight="1">
      <c r="B418" s="29"/>
      <c r="C418" s="30"/>
      <c r="D418" s="29"/>
      <c r="E418" s="29"/>
    </row>
    <row r="419" spans="2:5" ht="17.100000000000001" customHeight="1">
      <c r="B419" s="29"/>
      <c r="C419" s="30"/>
      <c r="D419" s="29"/>
      <c r="E419" s="29"/>
    </row>
    <row r="420" spans="2:5" ht="17.100000000000001" customHeight="1">
      <c r="B420" s="29"/>
      <c r="C420" s="30"/>
      <c r="D420" s="29"/>
      <c r="E420" s="29"/>
    </row>
    <row r="421" spans="2:5" ht="17.100000000000001" customHeight="1">
      <c r="B421" s="29"/>
      <c r="C421" s="30"/>
      <c r="D421" s="29"/>
      <c r="E421" s="29"/>
    </row>
    <row r="422" spans="2:5" ht="17.100000000000001" customHeight="1">
      <c r="B422" s="29"/>
      <c r="C422" s="30"/>
      <c r="D422" s="29"/>
      <c r="E422" s="29"/>
    </row>
    <row r="423" spans="2:5" ht="17.100000000000001" customHeight="1">
      <c r="B423" s="29"/>
      <c r="C423" s="30"/>
      <c r="D423" s="29"/>
      <c r="E423" s="29"/>
    </row>
    <row r="424" spans="2:5" ht="17.100000000000001" customHeight="1">
      <c r="B424" s="29"/>
      <c r="C424" s="30"/>
      <c r="D424" s="29"/>
      <c r="E424" s="29"/>
    </row>
    <row r="425" spans="2:5" ht="17.100000000000001" customHeight="1">
      <c r="B425" s="29"/>
      <c r="C425" s="30"/>
      <c r="D425" s="29"/>
      <c r="E425" s="29"/>
    </row>
    <row r="426" spans="2:5" ht="17.100000000000001" customHeight="1">
      <c r="B426" s="29"/>
      <c r="C426" s="30"/>
      <c r="D426" s="29"/>
      <c r="E426" s="29"/>
    </row>
    <row r="427" spans="2:5" ht="17.100000000000001" customHeight="1">
      <c r="B427" s="29"/>
      <c r="C427" s="30"/>
      <c r="D427" s="29"/>
      <c r="E427" s="29"/>
    </row>
    <row r="428" spans="2:5" ht="17.100000000000001" customHeight="1">
      <c r="B428" s="29"/>
      <c r="C428" s="30"/>
      <c r="D428" s="29"/>
      <c r="E428" s="29"/>
    </row>
    <row r="429" spans="2:5" ht="17.100000000000001" customHeight="1">
      <c r="B429" s="29"/>
      <c r="C429" s="30"/>
      <c r="D429" s="29"/>
      <c r="E429" s="29"/>
    </row>
    <row r="430" spans="2:5" ht="17.100000000000001" customHeight="1">
      <c r="B430" s="29"/>
      <c r="C430" s="30"/>
      <c r="D430" s="29"/>
      <c r="E430" s="29"/>
    </row>
    <row r="431" spans="2:5" ht="17.100000000000001" customHeight="1">
      <c r="B431" s="29"/>
      <c r="C431" s="30"/>
      <c r="D431" s="29"/>
      <c r="E431" s="29"/>
    </row>
    <row r="432" spans="2:5" ht="17.100000000000001" customHeight="1">
      <c r="B432" s="29"/>
      <c r="C432" s="30"/>
      <c r="D432" s="29"/>
      <c r="E432" s="29"/>
    </row>
    <row r="433" spans="2:5" ht="17.100000000000001" customHeight="1">
      <c r="B433" s="29"/>
      <c r="C433" s="30"/>
      <c r="D433" s="29"/>
      <c r="E433" s="29"/>
    </row>
    <row r="434" spans="2:5" ht="17.100000000000001" customHeight="1">
      <c r="B434" s="29"/>
      <c r="C434" s="30"/>
      <c r="D434" s="29"/>
      <c r="E434" s="29"/>
    </row>
    <row r="435" spans="2:5" ht="17.100000000000001" customHeight="1">
      <c r="B435" s="29"/>
      <c r="C435" s="30"/>
      <c r="D435" s="29"/>
      <c r="E435" s="29"/>
    </row>
    <row r="436" spans="2:5" ht="17.100000000000001" customHeight="1">
      <c r="B436" s="29"/>
      <c r="C436" s="30"/>
      <c r="D436" s="29"/>
      <c r="E436" s="29"/>
    </row>
    <row r="437" spans="2:5" ht="17.100000000000001" customHeight="1">
      <c r="B437" s="29"/>
      <c r="C437" s="30"/>
      <c r="D437" s="29"/>
      <c r="E437" s="29"/>
    </row>
    <row r="438" spans="2:5" ht="17.100000000000001" customHeight="1">
      <c r="B438" s="29"/>
      <c r="C438" s="30"/>
      <c r="D438" s="29"/>
      <c r="E438" s="29"/>
    </row>
    <row r="439" spans="2:5" ht="17.100000000000001" customHeight="1">
      <c r="B439" s="29"/>
      <c r="C439" s="30"/>
      <c r="D439" s="29"/>
      <c r="E439" s="29"/>
    </row>
    <row r="440" spans="2:5" ht="17.100000000000001" customHeight="1">
      <c r="B440" s="29"/>
      <c r="C440" s="30"/>
      <c r="D440" s="29"/>
      <c r="E440" s="29"/>
    </row>
    <row r="441" spans="2:5" ht="17.100000000000001" customHeight="1">
      <c r="B441" s="29"/>
      <c r="C441" s="30"/>
      <c r="D441" s="29"/>
      <c r="E441" s="29"/>
    </row>
    <row r="442" spans="2:5" ht="17.100000000000001" customHeight="1">
      <c r="B442" s="29"/>
      <c r="C442" s="30"/>
      <c r="D442" s="29"/>
      <c r="E442" s="29"/>
    </row>
    <row r="443" spans="2:5" ht="17.100000000000001" customHeight="1">
      <c r="B443" s="29"/>
      <c r="C443" s="30"/>
      <c r="D443" s="29"/>
      <c r="E443" s="29"/>
    </row>
    <row r="444" spans="2:5" ht="17.100000000000001" customHeight="1">
      <c r="B444" s="29"/>
      <c r="C444" s="30"/>
      <c r="D444" s="29"/>
      <c r="E444" s="29"/>
    </row>
    <row r="445" spans="2:5" ht="17.100000000000001" customHeight="1">
      <c r="B445" s="29"/>
      <c r="C445" s="30"/>
      <c r="D445" s="29"/>
      <c r="E445" s="29"/>
    </row>
    <row r="446" spans="2:5" ht="17.100000000000001" customHeight="1">
      <c r="B446" s="29"/>
      <c r="C446" s="30"/>
      <c r="D446" s="29"/>
      <c r="E446" s="29"/>
    </row>
    <row r="447" spans="2:5" ht="17.100000000000001" customHeight="1">
      <c r="B447" s="29"/>
      <c r="C447" s="30"/>
      <c r="D447" s="29"/>
      <c r="E447" s="29"/>
    </row>
    <row r="448" spans="2:5" ht="17.100000000000001" customHeight="1">
      <c r="B448" s="29"/>
      <c r="C448" s="30"/>
      <c r="D448" s="29"/>
      <c r="E448" s="29"/>
    </row>
    <row r="449" spans="2:5" ht="17.100000000000001" customHeight="1">
      <c r="B449" s="29"/>
      <c r="C449" s="30"/>
      <c r="D449" s="29"/>
      <c r="E449" s="29"/>
    </row>
    <row r="450" spans="2:5" ht="17.100000000000001" customHeight="1">
      <c r="B450" s="29"/>
      <c r="C450" s="30"/>
      <c r="D450" s="29"/>
      <c r="E450" s="29"/>
    </row>
    <row r="451" spans="2:5" ht="17.100000000000001" customHeight="1">
      <c r="B451" s="29"/>
      <c r="C451" s="30"/>
      <c r="D451" s="29"/>
      <c r="E451" s="29"/>
    </row>
    <row r="452" spans="2:5" ht="17.100000000000001" customHeight="1">
      <c r="B452" s="29"/>
      <c r="C452" s="30"/>
      <c r="D452" s="29"/>
      <c r="E452" s="29"/>
    </row>
    <row r="453" spans="2:5" ht="17.100000000000001" customHeight="1">
      <c r="B453" s="29"/>
      <c r="C453" s="30"/>
      <c r="D453" s="29"/>
      <c r="E453" s="29"/>
    </row>
    <row r="454" spans="2:5" ht="17.100000000000001" customHeight="1">
      <c r="B454" s="29"/>
      <c r="C454" s="30"/>
      <c r="D454" s="29"/>
      <c r="E454" s="29"/>
    </row>
    <row r="455" spans="2:5" ht="17.100000000000001" customHeight="1">
      <c r="B455" s="29"/>
      <c r="C455" s="30"/>
      <c r="D455" s="29"/>
      <c r="E455" s="29"/>
    </row>
    <row r="456" spans="2:5" ht="17.100000000000001" customHeight="1">
      <c r="B456" s="29"/>
      <c r="C456" s="30"/>
      <c r="D456" s="29"/>
      <c r="E456" s="29"/>
    </row>
    <row r="457" spans="2:5" ht="17.100000000000001" customHeight="1">
      <c r="B457" s="29"/>
      <c r="C457" s="30"/>
      <c r="D457" s="29"/>
      <c r="E457" s="29"/>
    </row>
    <row r="458" spans="2:5" ht="17.100000000000001" customHeight="1">
      <c r="B458" s="29"/>
      <c r="C458" s="30"/>
      <c r="D458" s="29"/>
      <c r="E458" s="29"/>
    </row>
  </sheetData>
  <sheetProtection autoFilter="0" pivotTables="0"/>
  <mergeCells count="10">
    <mergeCell ref="F9:F10"/>
    <mergeCell ref="B4:F7"/>
    <mergeCell ref="B41:B48"/>
    <mergeCell ref="B49:C49"/>
    <mergeCell ref="D9:E9"/>
    <mergeCell ref="B11:B15"/>
    <mergeCell ref="B16:B29"/>
    <mergeCell ref="B30:B33"/>
    <mergeCell ref="B34:B40"/>
    <mergeCell ref="B9:C9"/>
  </mergeCells>
  <dataValidations count="1">
    <dataValidation type="list" allowBlank="1" showInputMessage="1" showErrorMessage="1" errorTitle="Cuenta no inlcuida en el Plan" error="Seleccione una cuenta de la lista_x000a_Puede filtrar por código o por nombre de cuenta." sqref="C11:C48" xr:uid="{00000000-0002-0000-0200-000000000000}">
      <formula1>Cuentas</formula1>
    </dataValidation>
  </dataValidations>
  <pageMargins left="0.70866141732283472" right="0.70866141732283472" top="0.74803149606299213" bottom="0.74803149606299213" header="0.31496062992125984" footer="0.31496062992125984"/>
  <pageSetup paperSize="9" scale="1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A3:N753"/>
  <sheetViews>
    <sheetView showGridLines="0" showRowColHeaders="0" zoomScale="98" zoomScaleNormal="98" workbookViewId="0">
      <selection activeCell="A59" sqref="A59"/>
    </sheetView>
  </sheetViews>
  <sheetFormatPr defaultColWidth="26.140625" defaultRowHeight="15" customHeight="1" outlineLevelRow="1" outlineLevelCol="1"/>
  <cols>
    <col min="1" max="1" width="6.5703125" style="33" customWidth="1"/>
    <col min="2" max="2" width="17.140625" style="54" customWidth="1"/>
    <col min="3" max="4" width="36.42578125" style="52" customWidth="1"/>
    <col min="5" max="5" width="15.5703125" style="54" bestFit="1" customWidth="1"/>
    <col min="6" max="6" width="5.7109375" style="54" hidden="1" customWidth="1" outlineLevel="1"/>
    <col min="7" max="7" width="10.42578125" style="192" hidden="1" customWidth="1" outlineLevel="1"/>
    <col min="8" max="9" width="32.42578125" style="54" hidden="1" customWidth="1" outlineLevel="1"/>
    <col min="10" max="10" width="40.5703125" style="77" customWidth="1" collapsed="1"/>
    <col min="11" max="11" width="26.140625" style="1"/>
    <col min="12" max="12" width="9.7109375" style="1" bestFit="1" customWidth="1"/>
    <col min="13" max="13" width="25" style="1" bestFit="1" customWidth="1"/>
    <col min="14" max="14" width="26.85546875" style="1" bestFit="1" customWidth="1"/>
    <col min="15" max="15" width="9.7109375" style="1" bestFit="1" customWidth="1"/>
    <col min="16" max="16384" width="26.140625" style="1"/>
  </cols>
  <sheetData>
    <row r="3" spans="2:10" ht="15" customHeight="1">
      <c r="J3" s="221"/>
    </row>
    <row r="5" spans="2:10" ht="18.75" customHeight="1">
      <c r="J5" s="1"/>
    </row>
    <row r="6" spans="2:10">
      <c r="J6" s="1"/>
    </row>
    <row r="7" spans="2:10" ht="18" customHeight="1">
      <c r="J7" s="1"/>
    </row>
    <row r="8" spans="2:10" ht="15.75" thickBot="1">
      <c r="B8" s="212"/>
      <c r="C8" s="213"/>
      <c r="D8" s="213"/>
      <c r="E8" s="212"/>
      <c r="F8" s="212"/>
      <c r="G8" s="214"/>
      <c r="H8" s="212"/>
      <c r="I8" s="212"/>
      <c r="J8" s="215"/>
    </row>
    <row r="9" spans="2:10" ht="4.5" customHeight="1">
      <c r="B9" s="394" t="s">
        <v>209</v>
      </c>
      <c r="C9" s="394"/>
      <c r="D9" s="394"/>
      <c r="E9" s="394"/>
    </row>
    <row r="10" spans="2:10" ht="15" customHeight="1" thickBot="1">
      <c r="B10" s="395"/>
      <c r="C10" s="395"/>
      <c r="D10" s="395"/>
      <c r="E10" s="395"/>
      <c r="F10" s="216"/>
      <c r="G10" s="217"/>
      <c r="H10" s="216"/>
      <c r="I10" s="216"/>
      <c r="J10" s="216"/>
    </row>
    <row r="11" spans="2:10" ht="16.5" thickTop="1" thickBot="1">
      <c r="B11" s="77"/>
      <c r="E11" s="77"/>
      <c r="F11" s="77"/>
      <c r="G11" s="193"/>
      <c r="H11" s="77"/>
      <c r="I11" s="77"/>
    </row>
    <row r="12" spans="2:10" hidden="1" outlineLevel="1">
      <c r="B12" s="170" t="s">
        <v>210</v>
      </c>
      <c r="C12" s="171"/>
      <c r="D12" s="171"/>
      <c r="E12" s="172" t="s">
        <v>211</v>
      </c>
      <c r="F12" s="77"/>
      <c r="G12" s="193"/>
      <c r="H12" s="77"/>
      <c r="I12" s="77"/>
    </row>
    <row r="13" spans="2:10" ht="15.75" hidden="1" outlineLevel="1" thickBot="1">
      <c r="B13" s="396">
        <v>45658</v>
      </c>
      <c r="C13" s="397"/>
      <c r="D13" s="397"/>
      <c r="E13" s="398"/>
      <c r="F13" s="77"/>
      <c r="G13" s="193"/>
      <c r="H13" s="77"/>
      <c r="I13" s="77"/>
    </row>
    <row r="14" spans="2:10" hidden="1" outlineLevel="1">
      <c r="B14" s="173"/>
      <c r="C14" s="174" t="s">
        <v>212</v>
      </c>
      <c r="D14" s="174" t="s">
        <v>166</v>
      </c>
      <c r="E14" s="173"/>
      <c r="F14" s="141">
        <v>0</v>
      </c>
      <c r="G14" s="194">
        <f>+B13</f>
        <v>45658</v>
      </c>
      <c r="H14" s="156" t="str">
        <f>+B53</f>
        <v>Estructura Balance y PyG</v>
      </c>
      <c r="I14" s="156" t="str">
        <f>+D53</f>
        <v>Saldo Inicial</v>
      </c>
    </row>
    <row r="15" spans="2:10" hidden="1" outlineLevel="1">
      <c r="B15" s="142"/>
      <c r="C15" s="143" t="s">
        <v>174</v>
      </c>
      <c r="D15" s="143" t="s">
        <v>213</v>
      </c>
      <c r="E15" s="142"/>
      <c r="F15" s="141">
        <f>+F14</f>
        <v>0</v>
      </c>
      <c r="G15" s="194">
        <f>+G14</f>
        <v>45658</v>
      </c>
      <c r="H15" s="156" t="str">
        <f>+H14</f>
        <v>Estructura Balance y PyG</v>
      </c>
      <c r="I15" s="156" t="str">
        <f>+I14</f>
        <v>Saldo Inicial</v>
      </c>
    </row>
    <row r="16" spans="2:10" ht="28.5" hidden="1" outlineLevel="1">
      <c r="B16" s="142"/>
      <c r="C16" s="143" t="s">
        <v>214</v>
      </c>
      <c r="D16" s="143" t="s">
        <v>215</v>
      </c>
      <c r="E16" s="142"/>
      <c r="F16" s="141">
        <f t="shared" ref="F16:F50" si="0">+F15</f>
        <v>0</v>
      </c>
      <c r="G16" s="194">
        <f t="shared" ref="G16:H50" si="1">+G15</f>
        <v>45658</v>
      </c>
      <c r="H16" s="156" t="str">
        <f t="shared" si="1"/>
        <v>Estructura Balance y PyG</v>
      </c>
      <c r="I16" s="156" t="str">
        <f t="shared" ref="I16:I52" si="2">+I15</f>
        <v>Saldo Inicial</v>
      </c>
    </row>
    <row r="17" spans="2:9" ht="28.5" hidden="1" outlineLevel="1">
      <c r="B17" s="142"/>
      <c r="C17" s="143" t="s">
        <v>216</v>
      </c>
      <c r="D17" s="143" t="s">
        <v>217</v>
      </c>
      <c r="E17" s="142"/>
      <c r="F17" s="141">
        <f t="shared" si="0"/>
        <v>0</v>
      </c>
      <c r="G17" s="194">
        <f t="shared" si="1"/>
        <v>45658</v>
      </c>
      <c r="H17" s="156" t="str">
        <f t="shared" si="1"/>
        <v>Estructura Balance y PyG</v>
      </c>
      <c r="I17" s="156" t="str">
        <f t="shared" si="2"/>
        <v>Saldo Inicial</v>
      </c>
    </row>
    <row r="18" spans="2:9" ht="28.5" hidden="1" outlineLevel="1">
      <c r="B18" s="142"/>
      <c r="C18" s="143" t="s">
        <v>218</v>
      </c>
      <c r="D18" s="143" t="s">
        <v>219</v>
      </c>
      <c r="E18" s="142"/>
      <c r="F18" s="141">
        <f t="shared" si="0"/>
        <v>0</v>
      </c>
      <c r="G18" s="194">
        <f t="shared" si="1"/>
        <v>45658</v>
      </c>
      <c r="H18" s="156" t="str">
        <f t="shared" si="1"/>
        <v>Estructura Balance y PyG</v>
      </c>
      <c r="I18" s="156" t="str">
        <f t="shared" si="2"/>
        <v>Saldo Inicial</v>
      </c>
    </row>
    <row r="19" spans="2:9" ht="28.5" hidden="1" outlineLevel="1">
      <c r="B19" s="142"/>
      <c r="C19" s="143" t="s">
        <v>220</v>
      </c>
      <c r="D19" s="143" t="s">
        <v>221</v>
      </c>
      <c r="E19" s="142"/>
      <c r="F19" s="141">
        <f t="shared" si="0"/>
        <v>0</v>
      </c>
      <c r="G19" s="194">
        <f t="shared" si="1"/>
        <v>45658</v>
      </c>
      <c r="H19" s="156" t="str">
        <f t="shared" si="1"/>
        <v>Estructura Balance y PyG</v>
      </c>
      <c r="I19" s="156" t="str">
        <f t="shared" si="2"/>
        <v>Saldo Inicial</v>
      </c>
    </row>
    <row r="20" spans="2:9" hidden="1" outlineLevel="1">
      <c r="B20" s="142"/>
      <c r="C20" s="143" t="s">
        <v>222</v>
      </c>
      <c r="D20" s="151" t="s">
        <v>168</v>
      </c>
      <c r="E20" s="142"/>
      <c r="F20" s="141">
        <f t="shared" si="0"/>
        <v>0</v>
      </c>
      <c r="G20" s="194">
        <f t="shared" si="1"/>
        <v>45658</v>
      </c>
      <c r="H20" s="156" t="str">
        <f t="shared" si="1"/>
        <v>Estructura Balance y PyG</v>
      </c>
      <c r="I20" s="156" t="str">
        <f t="shared" si="2"/>
        <v>Saldo Inicial</v>
      </c>
    </row>
    <row r="21" spans="2:9" hidden="1" outlineLevel="1">
      <c r="B21" s="142"/>
      <c r="C21" s="143" t="s">
        <v>187</v>
      </c>
      <c r="D21" s="143" t="s">
        <v>223</v>
      </c>
      <c r="E21" s="142"/>
      <c r="F21" s="141">
        <f t="shared" si="0"/>
        <v>0</v>
      </c>
      <c r="G21" s="194">
        <f t="shared" si="1"/>
        <v>45658</v>
      </c>
      <c r="H21" s="156" t="str">
        <f t="shared" si="1"/>
        <v>Estructura Balance y PyG</v>
      </c>
      <c r="I21" s="156" t="str">
        <f t="shared" si="2"/>
        <v>Saldo Inicial</v>
      </c>
    </row>
    <row r="22" spans="2:9" ht="28.5" hidden="1" outlineLevel="1">
      <c r="B22" s="142"/>
      <c r="C22" s="143" t="s">
        <v>194</v>
      </c>
      <c r="D22" s="143" t="s">
        <v>224</v>
      </c>
      <c r="E22" s="142"/>
      <c r="F22" s="141">
        <f t="shared" si="0"/>
        <v>0</v>
      </c>
      <c r="G22" s="194">
        <f t="shared" si="1"/>
        <v>45658</v>
      </c>
      <c r="H22" s="156" t="str">
        <f t="shared" si="1"/>
        <v>Estructura Balance y PyG</v>
      </c>
      <c r="I22" s="156" t="str">
        <f t="shared" si="2"/>
        <v>Saldo Inicial</v>
      </c>
    </row>
    <row r="23" spans="2:9" ht="28.5" hidden="1" outlineLevel="1">
      <c r="B23" s="142"/>
      <c r="C23" s="143" t="s">
        <v>225</v>
      </c>
      <c r="D23" s="143" t="s">
        <v>226</v>
      </c>
      <c r="E23" s="142"/>
      <c r="F23" s="141">
        <f t="shared" si="0"/>
        <v>0</v>
      </c>
      <c r="G23" s="194">
        <f t="shared" si="1"/>
        <v>45658</v>
      </c>
      <c r="H23" s="156" t="str">
        <f t="shared" si="1"/>
        <v>Estructura Balance y PyG</v>
      </c>
      <c r="I23" s="156" t="str">
        <f t="shared" si="2"/>
        <v>Saldo Inicial</v>
      </c>
    </row>
    <row r="24" spans="2:9" ht="42.75" hidden="1" outlineLevel="1">
      <c r="B24" s="142"/>
      <c r="C24" s="143" t="s">
        <v>227</v>
      </c>
      <c r="D24" s="143" t="s">
        <v>228</v>
      </c>
      <c r="E24" s="142"/>
      <c r="F24" s="141">
        <f t="shared" si="0"/>
        <v>0</v>
      </c>
      <c r="G24" s="194">
        <f t="shared" si="1"/>
        <v>45658</v>
      </c>
      <c r="H24" s="156" t="str">
        <f t="shared" si="1"/>
        <v>Estructura Balance y PyG</v>
      </c>
      <c r="I24" s="156" t="str">
        <f t="shared" si="2"/>
        <v>Saldo Inicial</v>
      </c>
    </row>
    <row r="25" spans="2:9" ht="28.5" hidden="1" outlineLevel="1">
      <c r="B25" s="142"/>
      <c r="C25" s="143" t="s">
        <v>229</v>
      </c>
      <c r="D25" s="143" t="s">
        <v>230</v>
      </c>
      <c r="E25" s="142"/>
      <c r="F25" s="141">
        <f t="shared" si="0"/>
        <v>0</v>
      </c>
      <c r="G25" s="194">
        <f t="shared" si="1"/>
        <v>45658</v>
      </c>
      <c r="H25" s="156" t="str">
        <f t="shared" si="1"/>
        <v>Estructura Balance y PyG</v>
      </c>
      <c r="I25" s="156" t="str">
        <f t="shared" si="2"/>
        <v>Saldo Inicial</v>
      </c>
    </row>
    <row r="26" spans="2:9" ht="28.5" hidden="1" outlineLevel="1">
      <c r="B26" s="142"/>
      <c r="C26" s="143" t="s">
        <v>206</v>
      </c>
      <c r="D26" s="143" t="s">
        <v>231</v>
      </c>
      <c r="E26" s="142"/>
      <c r="F26" s="141">
        <f t="shared" si="0"/>
        <v>0</v>
      </c>
      <c r="G26" s="194">
        <f t="shared" si="1"/>
        <v>45658</v>
      </c>
      <c r="H26" s="156" t="str">
        <f t="shared" si="1"/>
        <v>Estructura Balance y PyG</v>
      </c>
      <c r="I26" s="156" t="str">
        <f t="shared" si="2"/>
        <v>Saldo Inicial</v>
      </c>
    </row>
    <row r="27" spans="2:9" ht="42.75" hidden="1" outlineLevel="1">
      <c r="B27" s="142"/>
      <c r="C27" s="143"/>
      <c r="D27" s="143" t="s">
        <v>232</v>
      </c>
      <c r="E27" s="142"/>
      <c r="F27" s="141">
        <f t="shared" si="0"/>
        <v>0</v>
      </c>
      <c r="G27" s="194">
        <f t="shared" si="1"/>
        <v>45658</v>
      </c>
      <c r="H27" s="156" t="str">
        <f t="shared" si="1"/>
        <v>Estructura Balance y PyG</v>
      </c>
      <c r="I27" s="156" t="str">
        <f t="shared" si="2"/>
        <v>Saldo Inicial</v>
      </c>
    </row>
    <row r="28" spans="2:9" hidden="1" outlineLevel="1">
      <c r="B28" s="142"/>
      <c r="C28" s="143"/>
      <c r="D28" s="143" t="s">
        <v>233</v>
      </c>
      <c r="E28" s="142"/>
      <c r="F28" s="141">
        <f t="shared" si="0"/>
        <v>0</v>
      </c>
      <c r="G28" s="194">
        <f t="shared" si="1"/>
        <v>45658</v>
      </c>
      <c r="H28" s="156" t="str">
        <f t="shared" si="1"/>
        <v>Estructura Balance y PyG</v>
      </c>
      <c r="I28" s="156" t="str">
        <f t="shared" si="2"/>
        <v>Saldo Inicial</v>
      </c>
    </row>
    <row r="29" spans="2:9" ht="28.5" hidden="1" outlineLevel="1">
      <c r="B29" s="142"/>
      <c r="C29" s="143"/>
      <c r="D29" s="143" t="s">
        <v>234</v>
      </c>
      <c r="E29" s="142"/>
      <c r="F29" s="141">
        <f t="shared" si="0"/>
        <v>0</v>
      </c>
      <c r="G29" s="194">
        <f t="shared" si="1"/>
        <v>45658</v>
      </c>
      <c r="H29" s="156" t="str">
        <f t="shared" si="1"/>
        <v>Estructura Balance y PyG</v>
      </c>
      <c r="I29" s="156" t="str">
        <f t="shared" si="2"/>
        <v>Saldo Inicial</v>
      </c>
    </row>
    <row r="30" spans="2:9" ht="28.5" hidden="1" outlineLevel="1">
      <c r="B30" s="142"/>
      <c r="C30" s="143"/>
      <c r="D30" s="143" t="s">
        <v>235</v>
      </c>
      <c r="E30" s="142"/>
      <c r="F30" s="141">
        <f t="shared" si="0"/>
        <v>0</v>
      </c>
      <c r="G30" s="194">
        <f t="shared" si="1"/>
        <v>45658</v>
      </c>
      <c r="H30" s="156" t="str">
        <f t="shared" si="1"/>
        <v>Estructura Balance y PyG</v>
      </c>
      <c r="I30" s="156" t="str">
        <f t="shared" si="2"/>
        <v>Saldo Inicial</v>
      </c>
    </row>
    <row r="31" spans="2:9" ht="28.5" hidden="1" outlineLevel="1">
      <c r="B31" s="142"/>
      <c r="C31" s="143"/>
      <c r="D31" s="143" t="s">
        <v>236</v>
      </c>
      <c r="E31" s="142"/>
      <c r="F31" s="141">
        <f t="shared" si="0"/>
        <v>0</v>
      </c>
      <c r="G31" s="194">
        <f t="shared" si="1"/>
        <v>45658</v>
      </c>
      <c r="H31" s="156" t="str">
        <f t="shared" si="1"/>
        <v>Estructura Balance y PyG</v>
      </c>
      <c r="I31" s="156" t="str">
        <f t="shared" si="2"/>
        <v>Saldo Inicial</v>
      </c>
    </row>
    <row r="32" spans="2:9" hidden="1" outlineLevel="1">
      <c r="B32" s="142"/>
      <c r="C32" s="143"/>
      <c r="D32" s="143" t="s">
        <v>192</v>
      </c>
      <c r="E32" s="142"/>
      <c r="F32" s="141">
        <f t="shared" si="0"/>
        <v>0</v>
      </c>
      <c r="G32" s="194">
        <f t="shared" si="1"/>
        <v>45658</v>
      </c>
      <c r="H32" s="156" t="str">
        <f t="shared" si="1"/>
        <v>Estructura Balance y PyG</v>
      </c>
      <c r="I32" s="156" t="str">
        <f t="shared" si="2"/>
        <v>Saldo Inicial</v>
      </c>
    </row>
    <row r="33" spans="2:9" hidden="1" outlineLevel="1">
      <c r="B33" s="142"/>
      <c r="C33" s="143"/>
      <c r="D33" s="149"/>
      <c r="E33" s="142"/>
      <c r="F33" s="141">
        <f t="shared" si="0"/>
        <v>0</v>
      </c>
      <c r="G33" s="194">
        <f t="shared" si="1"/>
        <v>45658</v>
      </c>
      <c r="H33" s="156" t="str">
        <f t="shared" si="1"/>
        <v>Estructura Balance y PyG</v>
      </c>
      <c r="I33" s="156" t="str">
        <f t="shared" si="2"/>
        <v>Saldo Inicial</v>
      </c>
    </row>
    <row r="34" spans="2:9" hidden="1" outlineLevel="1">
      <c r="B34" s="142"/>
      <c r="C34" s="143"/>
      <c r="D34" s="149" t="s">
        <v>237</v>
      </c>
      <c r="E34" s="142"/>
      <c r="F34" s="141">
        <f t="shared" si="0"/>
        <v>0</v>
      </c>
      <c r="G34" s="194">
        <f t="shared" si="1"/>
        <v>45658</v>
      </c>
      <c r="H34" s="156" t="str">
        <f t="shared" si="1"/>
        <v>Estructura Balance y PyG</v>
      </c>
      <c r="I34" s="156" t="str">
        <f t="shared" si="2"/>
        <v>Saldo Inicial</v>
      </c>
    </row>
    <row r="35" spans="2:9" hidden="1" outlineLevel="1">
      <c r="B35" s="142"/>
      <c r="C35" s="143"/>
      <c r="D35" s="143" t="s">
        <v>238</v>
      </c>
      <c r="E35" s="142"/>
      <c r="F35" s="141">
        <f t="shared" si="0"/>
        <v>0</v>
      </c>
      <c r="G35" s="194">
        <f t="shared" si="1"/>
        <v>45658</v>
      </c>
      <c r="H35" s="156" t="str">
        <f t="shared" si="1"/>
        <v>Estructura Balance y PyG</v>
      </c>
      <c r="I35" s="156" t="str">
        <f t="shared" si="2"/>
        <v>Saldo Inicial</v>
      </c>
    </row>
    <row r="36" spans="2:9" ht="28.5" hidden="1" outlineLevel="1">
      <c r="B36" s="142"/>
      <c r="C36" s="143"/>
      <c r="D36" s="143" t="s">
        <v>239</v>
      </c>
      <c r="E36" s="142"/>
      <c r="F36" s="141">
        <f t="shared" si="0"/>
        <v>0</v>
      </c>
      <c r="G36" s="194">
        <f t="shared" si="1"/>
        <v>45658</v>
      </c>
      <c r="H36" s="156" t="str">
        <f t="shared" si="1"/>
        <v>Estructura Balance y PyG</v>
      </c>
      <c r="I36" s="156" t="str">
        <f t="shared" si="2"/>
        <v>Saldo Inicial</v>
      </c>
    </row>
    <row r="37" spans="2:9" ht="28.5" hidden="1" outlineLevel="1">
      <c r="B37" s="142"/>
      <c r="C37" s="143"/>
      <c r="D37" s="143" t="s">
        <v>240</v>
      </c>
      <c r="E37" s="142"/>
      <c r="F37" s="141">
        <f t="shared" si="0"/>
        <v>0</v>
      </c>
      <c r="G37" s="194">
        <f t="shared" si="1"/>
        <v>45658</v>
      </c>
      <c r="H37" s="156" t="str">
        <f t="shared" si="1"/>
        <v>Estructura Balance y PyG</v>
      </c>
      <c r="I37" s="156" t="str">
        <f t="shared" si="2"/>
        <v>Saldo Inicial</v>
      </c>
    </row>
    <row r="38" spans="2:9" hidden="1" outlineLevel="1">
      <c r="B38" s="142"/>
      <c r="C38" s="143"/>
      <c r="D38" s="143" t="s">
        <v>241</v>
      </c>
      <c r="E38" s="142"/>
      <c r="F38" s="141">
        <f t="shared" si="0"/>
        <v>0</v>
      </c>
      <c r="G38" s="194">
        <f t="shared" si="1"/>
        <v>45658</v>
      </c>
      <c r="H38" s="156" t="str">
        <f t="shared" si="1"/>
        <v>Estructura Balance y PyG</v>
      </c>
      <c r="I38" s="156" t="str">
        <f t="shared" si="2"/>
        <v>Saldo Inicial</v>
      </c>
    </row>
    <row r="39" spans="2:9" ht="28.5" hidden="1" outlineLevel="1">
      <c r="B39" s="142"/>
      <c r="C39" s="143"/>
      <c r="D39" s="143" t="s">
        <v>242</v>
      </c>
      <c r="E39" s="142"/>
      <c r="F39" s="141">
        <f t="shared" si="0"/>
        <v>0</v>
      </c>
      <c r="G39" s="194">
        <f t="shared" si="1"/>
        <v>45658</v>
      </c>
      <c r="H39" s="156" t="str">
        <f t="shared" si="1"/>
        <v>Estructura Balance y PyG</v>
      </c>
      <c r="I39" s="156" t="str">
        <f t="shared" si="2"/>
        <v>Saldo Inicial</v>
      </c>
    </row>
    <row r="40" spans="2:9" hidden="1" outlineLevel="1">
      <c r="B40" s="142"/>
      <c r="C40" s="143"/>
      <c r="D40" s="143" t="s">
        <v>243</v>
      </c>
      <c r="E40" s="142"/>
      <c r="F40" s="141">
        <f t="shared" si="0"/>
        <v>0</v>
      </c>
      <c r="G40" s="194">
        <f t="shared" si="1"/>
        <v>45658</v>
      </c>
      <c r="H40" s="156" t="str">
        <f t="shared" si="1"/>
        <v>Estructura Balance y PyG</v>
      </c>
      <c r="I40" s="156" t="str">
        <f t="shared" si="2"/>
        <v>Saldo Inicial</v>
      </c>
    </row>
    <row r="41" spans="2:9" ht="28.5" hidden="1" outlineLevel="1">
      <c r="B41" s="142"/>
      <c r="C41" s="143"/>
      <c r="D41" s="143" t="s">
        <v>244</v>
      </c>
      <c r="E41" s="142"/>
      <c r="F41" s="141">
        <f t="shared" si="0"/>
        <v>0</v>
      </c>
      <c r="G41" s="194">
        <f t="shared" si="1"/>
        <v>45658</v>
      </c>
      <c r="H41" s="156" t="str">
        <f t="shared" si="1"/>
        <v>Estructura Balance y PyG</v>
      </c>
      <c r="I41" s="156" t="str">
        <f t="shared" si="2"/>
        <v>Saldo Inicial</v>
      </c>
    </row>
    <row r="42" spans="2:9" ht="28.5" hidden="1" outlineLevel="1">
      <c r="B42" s="142"/>
      <c r="C42" s="143"/>
      <c r="D42" s="143" t="s">
        <v>245</v>
      </c>
      <c r="E42" s="142"/>
      <c r="F42" s="141">
        <f t="shared" si="0"/>
        <v>0</v>
      </c>
      <c r="G42" s="194">
        <f t="shared" si="1"/>
        <v>45658</v>
      </c>
      <c r="H42" s="156" t="str">
        <f t="shared" si="1"/>
        <v>Estructura Balance y PyG</v>
      </c>
      <c r="I42" s="156" t="str">
        <f t="shared" si="2"/>
        <v>Saldo Inicial</v>
      </c>
    </row>
    <row r="43" spans="2:9" ht="42.75" hidden="1" outlineLevel="1">
      <c r="B43" s="142"/>
      <c r="C43" s="143"/>
      <c r="D43" s="143" t="s">
        <v>246</v>
      </c>
      <c r="E43" s="142"/>
      <c r="F43" s="141">
        <f t="shared" si="0"/>
        <v>0</v>
      </c>
      <c r="G43" s="194">
        <f t="shared" si="1"/>
        <v>45658</v>
      </c>
      <c r="H43" s="156" t="str">
        <f t="shared" si="1"/>
        <v>Estructura Balance y PyG</v>
      </c>
      <c r="I43" s="156" t="str">
        <f t="shared" si="2"/>
        <v>Saldo Inicial</v>
      </c>
    </row>
    <row r="44" spans="2:9" hidden="1" outlineLevel="1">
      <c r="B44" s="142"/>
      <c r="C44" s="143"/>
      <c r="D44" s="143" t="s">
        <v>247</v>
      </c>
      <c r="E44" s="142"/>
      <c r="F44" s="141">
        <f t="shared" si="0"/>
        <v>0</v>
      </c>
      <c r="G44" s="194">
        <f t="shared" si="1"/>
        <v>45658</v>
      </c>
      <c r="H44" s="156" t="str">
        <f t="shared" si="1"/>
        <v>Estructura Balance y PyG</v>
      </c>
      <c r="I44" s="156" t="str">
        <f t="shared" si="2"/>
        <v>Saldo Inicial</v>
      </c>
    </row>
    <row r="45" spans="2:9" ht="28.5" hidden="1" outlineLevel="1">
      <c r="B45" s="142"/>
      <c r="C45" s="143"/>
      <c r="D45" s="143" t="s">
        <v>248</v>
      </c>
      <c r="E45" s="142"/>
      <c r="F45" s="141">
        <f t="shared" si="0"/>
        <v>0</v>
      </c>
      <c r="G45" s="194">
        <f t="shared" si="1"/>
        <v>45658</v>
      </c>
      <c r="H45" s="156" t="str">
        <f t="shared" si="1"/>
        <v>Estructura Balance y PyG</v>
      </c>
      <c r="I45" s="156" t="str">
        <f t="shared" si="2"/>
        <v>Saldo Inicial</v>
      </c>
    </row>
    <row r="46" spans="2:9" hidden="1" outlineLevel="1">
      <c r="B46" s="142"/>
      <c r="C46" s="143"/>
      <c r="D46" s="143" t="s">
        <v>249</v>
      </c>
      <c r="E46" s="142"/>
      <c r="F46" s="141">
        <f t="shared" si="0"/>
        <v>0</v>
      </c>
      <c r="G46" s="194">
        <f t="shared" si="1"/>
        <v>45658</v>
      </c>
      <c r="H46" s="156" t="str">
        <f t="shared" si="1"/>
        <v>Estructura Balance y PyG</v>
      </c>
      <c r="I46" s="156" t="str">
        <f t="shared" si="2"/>
        <v>Saldo Inicial</v>
      </c>
    </row>
    <row r="47" spans="2:9" ht="42.75" hidden="1" outlineLevel="1">
      <c r="B47" s="142"/>
      <c r="C47" s="143"/>
      <c r="D47" s="143" t="s">
        <v>250</v>
      </c>
      <c r="E47" s="142"/>
      <c r="F47" s="141">
        <f t="shared" si="0"/>
        <v>0</v>
      </c>
      <c r="G47" s="194">
        <f t="shared" si="1"/>
        <v>45658</v>
      </c>
      <c r="H47" s="156" t="str">
        <f t="shared" si="1"/>
        <v>Estructura Balance y PyG</v>
      </c>
      <c r="I47" s="156" t="str">
        <f t="shared" si="2"/>
        <v>Saldo Inicial</v>
      </c>
    </row>
    <row r="48" spans="2:9" ht="28.5" hidden="1" outlineLevel="1">
      <c r="B48" s="142"/>
      <c r="C48" s="143"/>
      <c r="D48" s="143" t="s">
        <v>251</v>
      </c>
      <c r="E48" s="142"/>
      <c r="F48" s="141">
        <f t="shared" si="0"/>
        <v>0</v>
      </c>
      <c r="G48" s="194">
        <f t="shared" si="1"/>
        <v>45658</v>
      </c>
      <c r="H48" s="156" t="str">
        <f t="shared" si="1"/>
        <v>Estructura Balance y PyG</v>
      </c>
      <c r="I48" s="156" t="str">
        <f t="shared" si="2"/>
        <v>Saldo Inicial</v>
      </c>
    </row>
    <row r="49" spans="2:14" ht="42.75" hidden="1" outlineLevel="1">
      <c r="B49" s="142"/>
      <c r="C49" s="143"/>
      <c r="D49" s="143" t="s">
        <v>252</v>
      </c>
      <c r="E49" s="142"/>
      <c r="F49" s="141">
        <f t="shared" si="0"/>
        <v>0</v>
      </c>
      <c r="G49" s="194">
        <f t="shared" si="1"/>
        <v>45658</v>
      </c>
      <c r="H49" s="156" t="str">
        <f t="shared" si="1"/>
        <v>Estructura Balance y PyG</v>
      </c>
      <c r="I49" s="156" t="str">
        <f t="shared" si="2"/>
        <v>Saldo Inicial</v>
      </c>
    </row>
    <row r="50" spans="2:14" ht="28.5" hidden="1" outlineLevel="1">
      <c r="B50" s="148"/>
      <c r="C50" s="149"/>
      <c r="D50" s="149" t="s">
        <v>253</v>
      </c>
      <c r="E50" s="148"/>
      <c r="F50" s="141">
        <f t="shared" si="0"/>
        <v>0</v>
      </c>
      <c r="G50" s="194">
        <f t="shared" si="1"/>
        <v>45658</v>
      </c>
      <c r="H50" s="156" t="str">
        <f t="shared" si="1"/>
        <v>Estructura Balance y PyG</v>
      </c>
      <c r="I50" s="156" t="str">
        <f t="shared" si="2"/>
        <v>Saldo Inicial</v>
      </c>
    </row>
    <row r="51" spans="2:14" ht="28.5" hidden="1" outlineLevel="1">
      <c r="B51" s="148"/>
      <c r="C51" s="149"/>
      <c r="D51" s="149" t="s">
        <v>254</v>
      </c>
      <c r="E51" s="148"/>
      <c r="F51" s="141">
        <f>+F50</f>
        <v>0</v>
      </c>
      <c r="G51" s="194">
        <f>+G50</f>
        <v>45658</v>
      </c>
      <c r="H51" s="156" t="str">
        <f t="shared" ref="H51:H52" si="3">+H50</f>
        <v>Estructura Balance y PyG</v>
      </c>
      <c r="I51" s="156" t="str">
        <f t="shared" si="2"/>
        <v>Saldo Inicial</v>
      </c>
    </row>
    <row r="52" spans="2:14" ht="15.75" hidden="1" outlineLevel="1" thickBot="1">
      <c r="B52" s="148"/>
      <c r="C52" s="149"/>
      <c r="D52" s="149" t="s">
        <v>255</v>
      </c>
      <c r="E52" s="148"/>
      <c r="F52" s="141">
        <f>+F50</f>
        <v>0</v>
      </c>
      <c r="G52" s="194">
        <f>+G50</f>
        <v>45658</v>
      </c>
      <c r="H52" s="156" t="str">
        <f t="shared" si="3"/>
        <v>Estructura Balance y PyG</v>
      </c>
      <c r="I52" s="156" t="str">
        <f t="shared" si="2"/>
        <v>Saldo Inicial</v>
      </c>
    </row>
    <row r="53" spans="2:14" ht="14.45" hidden="1" customHeight="1" outlineLevel="1" thickBot="1">
      <c r="B53" s="392" t="s">
        <v>256</v>
      </c>
      <c r="C53" s="393"/>
      <c r="D53" s="392" t="s">
        <v>257</v>
      </c>
      <c r="E53" s="393"/>
      <c r="F53" s="141"/>
      <c r="G53" s="194"/>
      <c r="H53" s="140"/>
      <c r="I53" s="140"/>
    </row>
    <row r="54" spans="2:14" ht="14.45" hidden="1" customHeight="1" outlineLevel="1" thickBot="1">
      <c r="B54" s="382" t="str">
        <f>+IF(SUM(B14:B52)=SUM(E14:E52),"Asiento Cuadrado","Asiento Descuadrado")</f>
        <v>Asiento Cuadrado</v>
      </c>
      <c r="C54" s="383"/>
      <c r="D54" s="383"/>
      <c r="E54" s="191">
        <f>+SUM(B14:B52)-SUM(E14:E52)</f>
        <v>0</v>
      </c>
      <c r="F54" s="141"/>
      <c r="G54" s="194"/>
      <c r="H54" s="140"/>
      <c r="I54" s="140"/>
    </row>
    <row r="55" spans="2:14" hidden="1" outlineLevel="1">
      <c r="B55" s="77"/>
      <c r="E55" s="77"/>
      <c r="F55" s="77"/>
      <c r="G55" s="193"/>
      <c r="H55" s="77"/>
      <c r="I55" s="77"/>
    </row>
    <row r="56" spans="2:14" ht="15.75" hidden="1" outlineLevel="1" thickBot="1">
      <c r="B56" s="77"/>
      <c r="E56" s="77"/>
      <c r="F56" s="77"/>
      <c r="G56" s="193"/>
      <c r="H56" s="77"/>
      <c r="I56" s="77"/>
    </row>
    <row r="57" spans="2:14" collapsed="1">
      <c r="B57" s="322" t="s">
        <v>210</v>
      </c>
      <c r="C57" s="389" t="s">
        <v>258</v>
      </c>
      <c r="D57" s="389"/>
      <c r="E57" s="323" t="s">
        <v>211</v>
      </c>
      <c r="F57" s="77"/>
      <c r="G57" s="193"/>
      <c r="H57" s="77"/>
      <c r="I57" s="77"/>
      <c r="J57" s="276" t="s">
        <v>259</v>
      </c>
      <c r="K57" s="276"/>
      <c r="L57" s="277"/>
      <c r="M57" s="277"/>
      <c r="N57" s="277"/>
    </row>
    <row r="58" spans="2:14" ht="15" customHeight="1" thickBot="1">
      <c r="B58" s="324">
        <f>+SUM(B59:B77)</f>
        <v>0</v>
      </c>
      <c r="C58" s="388">
        <v>45658</v>
      </c>
      <c r="D58" s="388"/>
      <c r="E58" s="325">
        <f>+SUM(E59:E77)</f>
        <v>0</v>
      </c>
      <c r="F58" s="77"/>
      <c r="G58" s="193"/>
      <c r="H58" s="77"/>
      <c r="I58" s="77"/>
      <c r="J58" s="278" t="s">
        <v>260</v>
      </c>
      <c r="K58" s="277"/>
      <c r="L58" s="277"/>
      <c r="M58" s="277"/>
      <c r="N58" s="277"/>
    </row>
    <row r="59" spans="2:14">
      <c r="B59" s="255"/>
      <c r="C59" s="256"/>
      <c r="D59" s="256"/>
      <c r="E59" s="255"/>
      <c r="F59" s="141">
        <v>1</v>
      </c>
      <c r="G59" s="194">
        <f>+C58</f>
        <v>45658</v>
      </c>
      <c r="H59" s="156" t="str">
        <f>+B78</f>
        <v>Asiento de Apertura</v>
      </c>
      <c r="I59" s="156">
        <f>+D78</f>
        <v>0</v>
      </c>
      <c r="J59" s="277"/>
      <c r="K59" s="277"/>
      <c r="L59" s="277"/>
      <c r="M59" s="277"/>
      <c r="N59" s="277"/>
    </row>
    <row r="60" spans="2:14">
      <c r="B60" s="257"/>
      <c r="C60" s="258"/>
      <c r="D60" s="258"/>
      <c r="E60" s="257"/>
      <c r="F60" s="141">
        <f>+F59</f>
        <v>1</v>
      </c>
      <c r="G60" s="194">
        <f>+G59</f>
        <v>45658</v>
      </c>
      <c r="H60" s="156" t="str">
        <f>+H59</f>
        <v>Asiento de Apertura</v>
      </c>
      <c r="I60" s="156">
        <f>+I59</f>
        <v>0</v>
      </c>
      <c r="J60" s="277"/>
      <c r="K60" s="277"/>
      <c r="L60" s="277"/>
      <c r="M60" s="277"/>
      <c r="N60" s="277"/>
    </row>
    <row r="61" spans="2:14">
      <c r="B61" s="257"/>
      <c r="C61" s="258"/>
      <c r="D61" s="258"/>
      <c r="E61" s="257"/>
      <c r="F61" s="141">
        <f t="shared" ref="F61:F77" si="4">+F60</f>
        <v>1</v>
      </c>
      <c r="G61" s="194">
        <f t="shared" ref="G61:I77" si="5">+G60</f>
        <v>45658</v>
      </c>
      <c r="H61" s="156" t="str">
        <f t="shared" si="5"/>
        <v>Asiento de Apertura</v>
      </c>
      <c r="I61" s="156">
        <f t="shared" si="5"/>
        <v>0</v>
      </c>
      <c r="J61" s="277"/>
      <c r="K61" s="277"/>
      <c r="L61" s="277"/>
      <c r="M61" s="277"/>
      <c r="N61" s="277"/>
    </row>
    <row r="62" spans="2:14">
      <c r="B62" s="257"/>
      <c r="C62" s="258"/>
      <c r="D62" s="258"/>
      <c r="E62" s="257"/>
      <c r="F62" s="141">
        <f t="shared" si="4"/>
        <v>1</v>
      </c>
      <c r="G62" s="194">
        <f t="shared" si="5"/>
        <v>45658</v>
      </c>
      <c r="H62" s="156" t="str">
        <f t="shared" si="5"/>
        <v>Asiento de Apertura</v>
      </c>
      <c r="I62" s="156">
        <f t="shared" si="5"/>
        <v>0</v>
      </c>
      <c r="J62" s="277"/>
      <c r="K62" s="277"/>
      <c r="L62" s="277"/>
      <c r="M62" s="277"/>
      <c r="N62" s="277"/>
    </row>
    <row r="63" spans="2:14">
      <c r="B63" s="257"/>
      <c r="C63" s="258"/>
      <c r="D63" s="258"/>
      <c r="E63" s="257"/>
      <c r="F63" s="141">
        <f t="shared" si="4"/>
        <v>1</v>
      </c>
      <c r="G63" s="194">
        <f t="shared" si="5"/>
        <v>45658</v>
      </c>
      <c r="H63" s="156" t="str">
        <f t="shared" si="5"/>
        <v>Asiento de Apertura</v>
      </c>
      <c r="I63" s="156">
        <f t="shared" si="5"/>
        <v>0</v>
      </c>
      <c r="J63" s="277"/>
      <c r="K63" s="277"/>
      <c r="L63" s="277"/>
      <c r="M63" s="277"/>
      <c r="N63" s="277"/>
    </row>
    <row r="64" spans="2:14">
      <c r="B64" s="257"/>
      <c r="C64" s="258"/>
      <c r="D64" s="258"/>
      <c r="E64" s="257"/>
      <c r="F64" s="141">
        <f t="shared" si="4"/>
        <v>1</v>
      </c>
      <c r="G64" s="194">
        <f t="shared" si="5"/>
        <v>45658</v>
      </c>
      <c r="H64" s="156" t="str">
        <f t="shared" si="5"/>
        <v>Asiento de Apertura</v>
      </c>
      <c r="I64" s="156">
        <f t="shared" si="5"/>
        <v>0</v>
      </c>
      <c r="J64" s="277"/>
      <c r="K64" s="277"/>
      <c r="L64" s="277"/>
      <c r="M64" s="277"/>
      <c r="N64" s="277"/>
    </row>
    <row r="65" spans="2:14">
      <c r="B65" s="257"/>
      <c r="C65" s="258"/>
      <c r="D65" s="259"/>
      <c r="E65" s="257"/>
      <c r="F65" s="141">
        <f t="shared" si="4"/>
        <v>1</v>
      </c>
      <c r="G65" s="194">
        <f t="shared" si="5"/>
        <v>45658</v>
      </c>
      <c r="H65" s="156" t="str">
        <f t="shared" si="5"/>
        <v>Asiento de Apertura</v>
      </c>
      <c r="I65" s="156">
        <f t="shared" si="5"/>
        <v>0</v>
      </c>
      <c r="J65" s="277"/>
      <c r="K65" s="277"/>
      <c r="L65" s="277"/>
      <c r="M65" s="277"/>
      <c r="N65" s="277"/>
    </row>
    <row r="66" spans="2:14">
      <c r="B66" s="257"/>
      <c r="C66" s="258"/>
      <c r="D66" s="258"/>
      <c r="E66" s="257"/>
      <c r="F66" s="141">
        <f t="shared" si="4"/>
        <v>1</v>
      </c>
      <c r="G66" s="194">
        <f t="shared" si="5"/>
        <v>45658</v>
      </c>
      <c r="H66" s="156" t="str">
        <f t="shared" si="5"/>
        <v>Asiento de Apertura</v>
      </c>
      <c r="I66" s="156">
        <f t="shared" si="5"/>
        <v>0</v>
      </c>
      <c r="J66" s="277"/>
      <c r="K66" s="277"/>
      <c r="L66" s="277"/>
      <c r="M66" s="277"/>
      <c r="N66" s="277"/>
    </row>
    <row r="67" spans="2:14">
      <c r="B67" s="257"/>
      <c r="C67" s="258"/>
      <c r="D67" s="258"/>
      <c r="E67" s="257"/>
      <c r="F67" s="141">
        <f t="shared" si="4"/>
        <v>1</v>
      </c>
      <c r="G67" s="194">
        <f t="shared" si="5"/>
        <v>45658</v>
      </c>
      <c r="H67" s="156" t="str">
        <f t="shared" si="5"/>
        <v>Asiento de Apertura</v>
      </c>
      <c r="I67" s="156">
        <f t="shared" si="5"/>
        <v>0</v>
      </c>
      <c r="J67" s="277"/>
      <c r="K67" s="277"/>
      <c r="L67" s="277"/>
      <c r="M67" s="277"/>
      <c r="N67" s="277"/>
    </row>
    <row r="68" spans="2:14">
      <c r="B68" s="257"/>
      <c r="C68" s="258"/>
      <c r="D68" s="258"/>
      <c r="E68" s="257"/>
      <c r="F68" s="141">
        <f t="shared" si="4"/>
        <v>1</v>
      </c>
      <c r="G68" s="194">
        <f t="shared" si="5"/>
        <v>45658</v>
      </c>
      <c r="H68" s="156" t="str">
        <f t="shared" si="5"/>
        <v>Asiento de Apertura</v>
      </c>
      <c r="I68" s="156">
        <f t="shared" si="5"/>
        <v>0</v>
      </c>
      <c r="J68" s="277"/>
      <c r="K68" s="277"/>
      <c r="L68" s="277"/>
      <c r="M68" s="277"/>
      <c r="N68" s="277"/>
    </row>
    <row r="69" spans="2:14">
      <c r="B69" s="257"/>
      <c r="C69" s="258"/>
      <c r="D69" s="258"/>
      <c r="E69" s="257"/>
      <c r="F69" s="141">
        <f t="shared" si="4"/>
        <v>1</v>
      </c>
      <c r="G69" s="194">
        <f t="shared" si="5"/>
        <v>45658</v>
      </c>
      <c r="H69" s="156" t="str">
        <f t="shared" si="5"/>
        <v>Asiento de Apertura</v>
      </c>
      <c r="I69" s="156">
        <f t="shared" si="5"/>
        <v>0</v>
      </c>
      <c r="J69" s="277"/>
      <c r="K69" s="277"/>
      <c r="L69" s="277"/>
      <c r="M69" s="277"/>
      <c r="N69" s="277"/>
    </row>
    <row r="70" spans="2:14">
      <c r="B70" s="257"/>
      <c r="C70" s="258"/>
      <c r="D70" s="258"/>
      <c r="E70" s="257"/>
      <c r="F70" s="141">
        <f t="shared" si="4"/>
        <v>1</v>
      </c>
      <c r="G70" s="194">
        <f t="shared" si="5"/>
        <v>45658</v>
      </c>
      <c r="H70" s="156" t="str">
        <f t="shared" si="5"/>
        <v>Asiento de Apertura</v>
      </c>
      <c r="I70" s="156">
        <f t="shared" si="5"/>
        <v>0</v>
      </c>
      <c r="J70" s="277"/>
      <c r="K70" s="277"/>
      <c r="L70" s="277"/>
      <c r="M70" s="277"/>
      <c r="N70" s="277"/>
    </row>
    <row r="71" spans="2:14">
      <c r="B71" s="257"/>
      <c r="C71" s="258"/>
      <c r="D71" s="258"/>
      <c r="E71" s="257"/>
      <c r="F71" s="141">
        <f t="shared" si="4"/>
        <v>1</v>
      </c>
      <c r="G71" s="194">
        <f t="shared" si="5"/>
        <v>45658</v>
      </c>
      <c r="H71" s="156" t="str">
        <f t="shared" si="5"/>
        <v>Asiento de Apertura</v>
      </c>
      <c r="I71" s="156">
        <f t="shared" si="5"/>
        <v>0</v>
      </c>
      <c r="J71" s="277"/>
      <c r="K71" s="277"/>
      <c r="L71" s="277"/>
      <c r="M71" s="277"/>
      <c r="N71" s="277"/>
    </row>
    <row r="72" spans="2:14">
      <c r="B72" s="257"/>
      <c r="C72" s="258"/>
      <c r="D72" s="258"/>
      <c r="E72" s="257"/>
      <c r="F72" s="141">
        <f t="shared" si="4"/>
        <v>1</v>
      </c>
      <c r="G72" s="194">
        <f t="shared" si="5"/>
        <v>45658</v>
      </c>
      <c r="H72" s="156" t="str">
        <f t="shared" si="5"/>
        <v>Asiento de Apertura</v>
      </c>
      <c r="I72" s="156">
        <f t="shared" si="5"/>
        <v>0</v>
      </c>
      <c r="J72" s="277"/>
      <c r="K72" s="277"/>
      <c r="L72" s="277"/>
      <c r="M72" s="277"/>
      <c r="N72" s="277"/>
    </row>
    <row r="73" spans="2:14">
      <c r="B73" s="257"/>
      <c r="C73" s="258"/>
      <c r="D73" s="258"/>
      <c r="E73" s="257"/>
      <c r="F73" s="141">
        <f t="shared" si="4"/>
        <v>1</v>
      </c>
      <c r="G73" s="194">
        <f t="shared" si="5"/>
        <v>45658</v>
      </c>
      <c r="H73" s="156" t="str">
        <f t="shared" si="5"/>
        <v>Asiento de Apertura</v>
      </c>
      <c r="I73" s="156">
        <f t="shared" si="5"/>
        <v>0</v>
      </c>
      <c r="J73" s="277"/>
      <c r="K73" s="277"/>
      <c r="L73" s="277"/>
      <c r="M73" s="277"/>
      <c r="N73" s="277"/>
    </row>
    <row r="74" spans="2:14">
      <c r="B74" s="257"/>
      <c r="C74" s="258"/>
      <c r="D74" s="258"/>
      <c r="E74" s="257"/>
      <c r="F74" s="141">
        <f t="shared" si="4"/>
        <v>1</v>
      </c>
      <c r="G74" s="194">
        <f t="shared" si="5"/>
        <v>45658</v>
      </c>
      <c r="H74" s="156" t="str">
        <f t="shared" si="5"/>
        <v>Asiento de Apertura</v>
      </c>
      <c r="I74" s="156">
        <f t="shared" si="5"/>
        <v>0</v>
      </c>
      <c r="J74" s="277"/>
      <c r="K74" s="277"/>
      <c r="L74" s="277"/>
      <c r="M74" s="277"/>
      <c r="N74" s="277"/>
    </row>
    <row r="75" spans="2:14">
      <c r="B75" s="257"/>
      <c r="C75" s="258"/>
      <c r="D75" s="258"/>
      <c r="E75" s="257"/>
      <c r="F75" s="141">
        <f t="shared" si="4"/>
        <v>1</v>
      </c>
      <c r="G75" s="194">
        <f t="shared" si="5"/>
        <v>45658</v>
      </c>
      <c r="H75" s="156" t="str">
        <f t="shared" si="5"/>
        <v>Asiento de Apertura</v>
      </c>
      <c r="I75" s="156">
        <f t="shared" si="5"/>
        <v>0</v>
      </c>
      <c r="J75" s="277"/>
      <c r="K75" s="277"/>
      <c r="L75" s="277"/>
      <c r="M75" s="277"/>
      <c r="N75" s="277"/>
    </row>
    <row r="76" spans="2:14">
      <c r="B76" s="257"/>
      <c r="C76" s="258"/>
      <c r="D76" s="258"/>
      <c r="E76" s="257"/>
      <c r="F76" s="141">
        <f t="shared" si="4"/>
        <v>1</v>
      </c>
      <c r="G76" s="194">
        <f t="shared" si="5"/>
        <v>45658</v>
      </c>
      <c r="H76" s="156" t="str">
        <f t="shared" si="5"/>
        <v>Asiento de Apertura</v>
      </c>
      <c r="I76" s="156">
        <f t="shared" si="5"/>
        <v>0</v>
      </c>
      <c r="J76" s="277"/>
      <c r="K76" s="277"/>
      <c r="L76" s="277"/>
      <c r="M76" s="277"/>
      <c r="N76" s="277"/>
    </row>
    <row r="77" spans="2:14">
      <c r="B77" s="260"/>
      <c r="C77" s="261"/>
      <c r="D77" s="261"/>
      <c r="E77" s="287"/>
      <c r="F77" s="141">
        <f t="shared" si="4"/>
        <v>1</v>
      </c>
      <c r="G77" s="194">
        <f t="shared" si="5"/>
        <v>45658</v>
      </c>
      <c r="H77" s="156" t="str">
        <f t="shared" si="5"/>
        <v>Asiento de Apertura</v>
      </c>
      <c r="I77" s="156">
        <f t="shared" si="5"/>
        <v>0</v>
      </c>
      <c r="J77" s="277"/>
      <c r="K77" s="277"/>
      <c r="L77" s="277"/>
      <c r="M77" s="277"/>
      <c r="N77" s="277"/>
    </row>
    <row r="78" spans="2:14" ht="14.45" customHeight="1">
      <c r="B78" s="386" t="s">
        <v>261</v>
      </c>
      <c r="C78" s="387"/>
      <c r="D78" s="386"/>
      <c r="E78" s="387"/>
      <c r="F78" s="141"/>
      <c r="G78" s="200"/>
      <c r="H78" s="194"/>
      <c r="I78" s="140"/>
      <c r="J78" s="277"/>
      <c r="K78" s="277"/>
      <c r="L78" s="277"/>
      <c r="M78" s="277"/>
      <c r="N78" s="277"/>
    </row>
    <row r="79" spans="2:14" ht="15" customHeight="1" thickBot="1">
      <c r="B79" s="382" t="str">
        <f>+IF(SUM(B59:B77)=SUM(E59:E77),"Asiento Cuadrado","Asiento Descuadrado")</f>
        <v>Asiento Cuadrado</v>
      </c>
      <c r="C79" s="383"/>
      <c r="D79" s="383"/>
      <c r="E79" s="191">
        <f>+SUM(B59:B77)-SUM(E59:E77)</f>
        <v>0</v>
      </c>
      <c r="F79" s="141"/>
      <c r="G79" s="201"/>
      <c r="H79" s="199"/>
      <c r="I79" s="140"/>
      <c r="J79" s="277"/>
      <c r="K79" s="277"/>
      <c r="L79" s="277"/>
      <c r="M79" s="277"/>
      <c r="N79" s="277"/>
    </row>
    <row r="80" spans="2:14" ht="15.75" thickBot="1">
      <c r="B80" s="50"/>
      <c r="C80" s="27"/>
      <c r="D80" s="27"/>
      <c r="E80" s="50"/>
      <c r="F80" s="138"/>
      <c r="G80" s="195"/>
      <c r="H80" s="138"/>
      <c r="I80" s="138"/>
      <c r="J80" s="277"/>
      <c r="K80" s="277"/>
      <c r="L80" s="277"/>
      <c r="M80" s="277"/>
      <c r="N80" s="277"/>
    </row>
    <row r="81" spans="2:14">
      <c r="B81" s="322" t="s">
        <v>210</v>
      </c>
      <c r="C81" s="389" t="s">
        <v>262</v>
      </c>
      <c r="D81" s="389"/>
      <c r="E81" s="323" t="s">
        <v>211</v>
      </c>
      <c r="F81" s="135"/>
      <c r="G81" s="196"/>
      <c r="H81" s="135"/>
      <c r="I81" s="135"/>
      <c r="J81" s="277"/>
      <c r="K81" s="277"/>
      <c r="L81" s="277"/>
      <c r="M81" s="277"/>
      <c r="N81" s="277"/>
    </row>
    <row r="82" spans="2:14" ht="15" customHeight="1" thickBot="1">
      <c r="B82" s="324">
        <f>+SUM(B83:B84)</f>
        <v>0</v>
      </c>
      <c r="C82" s="388">
        <v>45667</v>
      </c>
      <c r="D82" s="388"/>
      <c r="E82" s="325">
        <f>+SUM(E83:E84)</f>
        <v>0</v>
      </c>
      <c r="F82" s="136"/>
      <c r="G82" s="197"/>
      <c r="H82" s="136"/>
      <c r="I82" s="136"/>
      <c r="J82" s="278" t="s">
        <v>263</v>
      </c>
      <c r="K82" s="277"/>
      <c r="L82" s="277"/>
      <c r="M82" s="277"/>
      <c r="N82" s="277"/>
    </row>
    <row r="83" spans="2:14" ht="15.75" thickBot="1">
      <c r="B83" s="262"/>
      <c r="C83" s="263"/>
      <c r="D83" s="256"/>
      <c r="E83" s="255"/>
      <c r="F83" s="141">
        <v>2</v>
      </c>
      <c r="G83" s="194">
        <f>+C82</f>
        <v>45667</v>
      </c>
      <c r="H83" s="156" t="str">
        <f>+B85</f>
        <v>Operaciones del Ejercicio</v>
      </c>
      <c r="I83" s="156">
        <f>+D85</f>
        <v>0</v>
      </c>
      <c r="J83" s="277"/>
      <c r="K83" s="277"/>
      <c r="L83" s="277"/>
      <c r="M83" s="277"/>
      <c r="N83" s="277"/>
    </row>
    <row r="84" spans="2:14" ht="15.75" hidden="1" thickBot="1">
      <c r="B84" s="264"/>
      <c r="C84" s="265"/>
      <c r="D84" s="258"/>
      <c r="E84" s="257"/>
      <c r="F84" s="141">
        <f>+F83</f>
        <v>2</v>
      </c>
      <c r="G84" s="194">
        <f>+G83</f>
        <v>45667</v>
      </c>
      <c r="H84" s="156" t="str">
        <f>+H83</f>
        <v>Operaciones del Ejercicio</v>
      </c>
      <c r="I84" s="156">
        <f>+I83</f>
        <v>0</v>
      </c>
      <c r="J84" s="277"/>
      <c r="K84" s="277"/>
      <c r="L84" s="277"/>
      <c r="M84" s="277"/>
      <c r="N84" s="277"/>
    </row>
    <row r="85" spans="2:14" ht="14.45" customHeight="1" thickBot="1">
      <c r="B85" s="386" t="s">
        <v>264</v>
      </c>
      <c r="C85" s="387"/>
      <c r="D85" s="386"/>
      <c r="E85" s="387"/>
      <c r="F85" s="141"/>
      <c r="G85" s="194"/>
      <c r="H85" s="140"/>
      <c r="I85" s="140"/>
      <c r="J85" s="277"/>
      <c r="K85" s="277"/>
      <c r="L85" s="277"/>
      <c r="M85" s="277"/>
      <c r="N85" s="277"/>
    </row>
    <row r="86" spans="2:14" ht="14.45" customHeight="1" thickBot="1">
      <c r="B86" s="382" t="str">
        <f>+IF(SUM(B83:B84)=SUM(E83:E84),"Asiento Cuadrado","Asiento Descuadrado")</f>
        <v>Asiento Cuadrado</v>
      </c>
      <c r="C86" s="383"/>
      <c r="D86" s="383"/>
      <c r="E86" s="191">
        <f>+SUM(B83:B84)-SUM(E83:E84)</f>
        <v>0</v>
      </c>
      <c r="F86" s="141"/>
      <c r="G86" s="194"/>
      <c r="H86" s="140"/>
      <c r="I86" s="140"/>
      <c r="J86" s="277"/>
      <c r="K86" s="277"/>
      <c r="L86" s="277"/>
      <c r="M86" s="277"/>
      <c r="N86" s="277"/>
    </row>
    <row r="87" spans="2:14" ht="15.75" thickBot="1">
      <c r="B87" s="50"/>
      <c r="C87" s="27"/>
      <c r="D87" s="27"/>
      <c r="E87" s="50"/>
      <c r="F87" s="141"/>
      <c r="G87" s="194"/>
      <c r="H87" s="140"/>
      <c r="I87" s="140"/>
      <c r="J87" s="277"/>
      <c r="K87" s="277"/>
      <c r="L87" s="277"/>
      <c r="M87" s="277"/>
      <c r="N87" s="277"/>
    </row>
    <row r="88" spans="2:14" ht="14.45" customHeight="1">
      <c r="B88" s="322" t="s">
        <v>210</v>
      </c>
      <c r="C88" s="389" t="s">
        <v>265</v>
      </c>
      <c r="D88" s="389"/>
      <c r="E88" s="323" t="s">
        <v>211</v>
      </c>
      <c r="F88" s="135"/>
      <c r="G88" s="196"/>
      <c r="H88" s="135"/>
      <c r="I88" s="135"/>
      <c r="J88" s="277"/>
      <c r="K88" s="277"/>
      <c r="L88" s="277"/>
      <c r="M88" s="277"/>
      <c r="N88" s="277"/>
    </row>
    <row r="89" spans="2:14" ht="15" customHeight="1">
      <c r="B89" s="324">
        <f>+SUM(B90:B91)</f>
        <v>0</v>
      </c>
      <c r="C89" s="388">
        <v>45672</v>
      </c>
      <c r="D89" s="388"/>
      <c r="E89" s="325">
        <f>+SUM(E90:E91)</f>
        <v>0</v>
      </c>
      <c r="F89" s="136"/>
      <c r="G89" s="197"/>
      <c r="H89" s="136"/>
      <c r="I89" s="136"/>
      <c r="J89" s="278" t="s">
        <v>266</v>
      </c>
      <c r="K89" s="277"/>
      <c r="L89" s="277"/>
      <c r="M89" s="277"/>
      <c r="N89" s="277"/>
    </row>
    <row r="90" spans="2:14" ht="15.75" thickBot="1">
      <c r="B90" s="262"/>
      <c r="C90" s="263"/>
      <c r="D90" s="263"/>
      <c r="E90" s="262"/>
      <c r="F90" s="141">
        <v>3</v>
      </c>
      <c r="G90" s="194">
        <f>+C89</f>
        <v>45672</v>
      </c>
      <c r="H90" s="156" t="str">
        <f>+B92</f>
        <v>Operaciones del Ejercicio</v>
      </c>
      <c r="I90" s="156">
        <f>+D92</f>
        <v>0</v>
      </c>
      <c r="J90" s="277"/>
      <c r="K90" s="277"/>
      <c r="L90" s="277"/>
      <c r="M90" s="277"/>
      <c r="N90" s="277"/>
    </row>
    <row r="91" spans="2:14" ht="15.75" hidden="1" thickBot="1">
      <c r="B91" s="264"/>
      <c r="C91" s="265"/>
      <c r="D91" s="265"/>
      <c r="E91" s="264"/>
      <c r="F91" s="141">
        <f>+F90</f>
        <v>3</v>
      </c>
      <c r="G91" s="194">
        <f>+G90</f>
        <v>45672</v>
      </c>
      <c r="H91" s="156" t="str">
        <f>+H90</f>
        <v>Operaciones del Ejercicio</v>
      </c>
      <c r="I91" s="156">
        <f>+I90</f>
        <v>0</v>
      </c>
      <c r="J91" s="277"/>
      <c r="K91" s="277"/>
      <c r="L91" s="277"/>
      <c r="M91" s="277"/>
      <c r="N91" s="277"/>
    </row>
    <row r="92" spans="2:14" ht="14.45" customHeight="1" thickBot="1">
      <c r="B92" s="386" t="s">
        <v>264</v>
      </c>
      <c r="C92" s="387"/>
      <c r="D92" s="386"/>
      <c r="E92" s="387"/>
      <c r="F92" s="141"/>
      <c r="G92" s="194"/>
      <c r="H92" s="140"/>
      <c r="I92" s="140"/>
      <c r="J92" s="277"/>
      <c r="K92" s="277"/>
      <c r="L92" s="277"/>
      <c r="M92" s="277"/>
      <c r="N92" s="277"/>
    </row>
    <row r="93" spans="2:14" ht="14.45" customHeight="1" thickBot="1">
      <c r="B93" s="382" t="str">
        <f>+IF(SUM(B90:B91)=SUM(E90:E91),"Asiento Cuadrado","Asiento Descuadrado")</f>
        <v>Asiento Cuadrado</v>
      </c>
      <c r="C93" s="383"/>
      <c r="D93" s="383"/>
      <c r="E93" s="191">
        <f>+SUM(B90:B91)-SUM(E90:E91)</f>
        <v>0</v>
      </c>
      <c r="F93" s="141"/>
      <c r="G93" s="194"/>
      <c r="H93" s="140"/>
      <c r="I93" s="140"/>
      <c r="J93" s="277"/>
      <c r="K93" s="277"/>
      <c r="L93" s="277"/>
      <c r="M93" s="277"/>
      <c r="N93" s="277"/>
    </row>
    <row r="94" spans="2:14" ht="15.75" thickBot="1">
      <c r="B94" s="50"/>
      <c r="C94" s="27"/>
      <c r="D94" s="27"/>
      <c r="E94" s="50"/>
      <c r="F94" s="138"/>
      <c r="G94" s="195"/>
      <c r="H94" s="138"/>
      <c r="I94" s="138"/>
      <c r="J94" s="277"/>
      <c r="K94" s="277"/>
      <c r="L94" s="277"/>
      <c r="M94" s="277"/>
      <c r="N94" s="277"/>
    </row>
    <row r="95" spans="2:14">
      <c r="B95" s="322" t="s">
        <v>210</v>
      </c>
      <c r="C95" s="389" t="s">
        <v>267</v>
      </c>
      <c r="D95" s="389"/>
      <c r="E95" s="323" t="s">
        <v>211</v>
      </c>
      <c r="F95" s="135"/>
      <c r="G95" s="196"/>
      <c r="H95" s="135"/>
      <c r="I95" s="135"/>
      <c r="J95" s="277"/>
      <c r="K95" s="277"/>
      <c r="L95" s="277"/>
      <c r="M95" s="277"/>
      <c r="N95" s="277"/>
    </row>
    <row r="96" spans="2:14" ht="15" customHeight="1">
      <c r="B96" s="324">
        <f>+SUM(B97:B98)</f>
        <v>0</v>
      </c>
      <c r="C96" s="388">
        <v>45677</v>
      </c>
      <c r="D96" s="388"/>
      <c r="E96" s="325">
        <f>+SUM(E97:E98)</f>
        <v>0</v>
      </c>
      <c r="F96" s="136"/>
      <c r="G96" s="197"/>
      <c r="H96" s="136"/>
      <c r="I96" s="136"/>
      <c r="J96" s="278" t="s">
        <v>268</v>
      </c>
      <c r="K96" s="277"/>
      <c r="L96" s="277"/>
      <c r="M96" s="277"/>
      <c r="N96" s="277"/>
    </row>
    <row r="97" spans="2:14">
      <c r="B97" s="262"/>
      <c r="C97" s="263"/>
      <c r="D97" s="263"/>
      <c r="E97" s="262"/>
      <c r="F97" s="141">
        <v>4</v>
      </c>
      <c r="G97" s="194">
        <f>+C96</f>
        <v>45677</v>
      </c>
      <c r="H97" s="156" t="str">
        <f>+B99</f>
        <v>Operaciones del Ejercicio</v>
      </c>
      <c r="I97" s="156">
        <f>+D99</f>
        <v>0</v>
      </c>
      <c r="J97" s="277"/>
      <c r="K97" s="277"/>
      <c r="L97" s="277"/>
      <c r="M97" s="277"/>
      <c r="N97" s="277"/>
    </row>
    <row r="98" spans="2:14">
      <c r="B98" s="264"/>
      <c r="C98" s="265"/>
      <c r="D98" s="265"/>
      <c r="E98" s="264"/>
      <c r="F98" s="141">
        <f>+F97</f>
        <v>4</v>
      </c>
      <c r="G98" s="194">
        <f>+G97</f>
        <v>45677</v>
      </c>
      <c r="H98" s="156" t="str">
        <f>+H97</f>
        <v>Operaciones del Ejercicio</v>
      </c>
      <c r="I98" s="156">
        <f>+I97</f>
        <v>0</v>
      </c>
      <c r="J98" s="277"/>
      <c r="K98" s="277"/>
      <c r="L98" s="277"/>
      <c r="M98" s="277"/>
      <c r="N98" s="277"/>
    </row>
    <row r="99" spans="2:14" ht="14.45" customHeight="1">
      <c r="B99" s="386" t="s">
        <v>264</v>
      </c>
      <c r="C99" s="387"/>
      <c r="D99" s="386"/>
      <c r="E99" s="387"/>
      <c r="F99" s="141"/>
      <c r="G99" s="194"/>
      <c r="H99" s="140"/>
      <c r="I99" s="140"/>
      <c r="J99" s="277"/>
      <c r="K99" s="277"/>
      <c r="L99" s="277"/>
      <c r="M99" s="277"/>
      <c r="N99" s="277"/>
    </row>
    <row r="100" spans="2:14" ht="14.45" customHeight="1" thickBot="1">
      <c r="B100" s="382" t="str">
        <f>+IF(SUM(B97:B98)=SUM(E97:E98),"Asiento Cuadrado","Asiento Descuadrado")</f>
        <v>Asiento Cuadrado</v>
      </c>
      <c r="C100" s="383"/>
      <c r="D100" s="383"/>
      <c r="E100" s="191">
        <f>+SUM(B97:B98)-SUM(E97:E98)</f>
        <v>0</v>
      </c>
      <c r="F100" s="141"/>
      <c r="G100" s="194"/>
      <c r="H100" s="140"/>
      <c r="I100" s="140"/>
      <c r="J100" s="277"/>
      <c r="K100" s="277"/>
      <c r="L100" s="277"/>
      <c r="M100" s="277"/>
      <c r="N100" s="277"/>
    </row>
    <row r="101" spans="2:14" ht="15.75" thickBot="1">
      <c r="B101" s="50"/>
      <c r="C101" s="27"/>
      <c r="D101" s="27"/>
      <c r="E101" s="50"/>
      <c r="F101" s="138"/>
      <c r="G101" s="195"/>
      <c r="H101" s="138"/>
      <c r="I101" s="138"/>
      <c r="J101" s="277"/>
      <c r="K101" s="277"/>
      <c r="L101" s="277"/>
      <c r="M101" s="277"/>
      <c r="N101" s="277"/>
    </row>
    <row r="102" spans="2:14">
      <c r="B102" s="322" t="s">
        <v>210</v>
      </c>
      <c r="C102" s="389" t="s">
        <v>269</v>
      </c>
      <c r="D102" s="389"/>
      <c r="E102" s="323" t="s">
        <v>211</v>
      </c>
      <c r="F102" s="135"/>
      <c r="G102" s="196"/>
      <c r="H102" s="135"/>
      <c r="I102" s="135"/>
      <c r="J102" s="277"/>
      <c r="K102" s="277"/>
      <c r="L102" s="277"/>
      <c r="M102" s="277"/>
      <c r="N102" s="277"/>
    </row>
    <row r="103" spans="2:14" ht="15" customHeight="1">
      <c r="B103" s="324">
        <f>+SUM(B104:B106)</f>
        <v>0</v>
      </c>
      <c r="C103" s="388">
        <v>45682</v>
      </c>
      <c r="D103" s="388"/>
      <c r="E103" s="325">
        <f>+SUM(E104:E106)</f>
        <v>0</v>
      </c>
      <c r="F103" s="136"/>
      <c r="G103" s="197"/>
      <c r="H103" s="136"/>
      <c r="I103" s="136"/>
      <c r="J103" s="278" t="s">
        <v>270</v>
      </c>
      <c r="K103" s="277"/>
      <c r="L103" s="277"/>
      <c r="M103" s="277"/>
      <c r="N103" s="277"/>
    </row>
    <row r="104" spans="2:14">
      <c r="B104" s="262"/>
      <c r="C104" s="263"/>
      <c r="D104" s="263"/>
      <c r="E104" s="262"/>
      <c r="F104" s="141">
        <v>5</v>
      </c>
      <c r="G104" s="194">
        <f>+C103</f>
        <v>45682</v>
      </c>
      <c r="H104" s="156" t="str">
        <f>+B107</f>
        <v>Operaciones del Ejercicio</v>
      </c>
      <c r="I104" s="156">
        <f>+D107</f>
        <v>0</v>
      </c>
      <c r="J104" s="277"/>
      <c r="K104" s="277"/>
      <c r="L104" s="277"/>
      <c r="M104" s="277"/>
      <c r="N104" s="277"/>
    </row>
    <row r="105" spans="2:14">
      <c r="B105" s="262"/>
      <c r="C105" s="263"/>
      <c r="D105" s="263"/>
      <c r="E105" s="262"/>
      <c r="F105" s="141">
        <v>5</v>
      </c>
      <c r="G105" s="194">
        <f>+G104</f>
        <v>45682</v>
      </c>
      <c r="H105" s="156" t="str">
        <f>+H104</f>
        <v>Operaciones del Ejercicio</v>
      </c>
      <c r="I105" s="156"/>
      <c r="J105" s="277"/>
      <c r="K105" s="277"/>
      <c r="L105" s="277"/>
      <c r="M105" s="277"/>
      <c r="N105" s="277"/>
    </row>
    <row r="106" spans="2:14">
      <c r="B106" s="264"/>
      <c r="C106" s="265"/>
      <c r="D106" s="258"/>
      <c r="E106" s="264"/>
      <c r="F106" s="141">
        <f>+F104</f>
        <v>5</v>
      </c>
      <c r="G106" s="194">
        <f>+G105</f>
        <v>45682</v>
      </c>
      <c r="H106" s="156" t="str">
        <f>+H105</f>
        <v>Operaciones del Ejercicio</v>
      </c>
      <c r="I106" s="156">
        <f>+I104</f>
        <v>0</v>
      </c>
      <c r="J106" s="277"/>
      <c r="K106" s="277"/>
      <c r="L106" s="277"/>
      <c r="M106" s="277"/>
      <c r="N106" s="277"/>
    </row>
    <row r="107" spans="2:14" ht="14.45" customHeight="1">
      <c r="B107" s="386" t="s">
        <v>264</v>
      </c>
      <c r="C107" s="387"/>
      <c r="D107" s="386"/>
      <c r="E107" s="387"/>
      <c r="F107" s="141"/>
      <c r="G107" s="194"/>
      <c r="H107" s="140"/>
      <c r="I107" s="140"/>
      <c r="J107" s="277"/>
      <c r="K107" s="277"/>
      <c r="L107" s="277"/>
      <c r="M107" s="277"/>
      <c r="N107" s="277"/>
    </row>
    <row r="108" spans="2:14" ht="14.45" customHeight="1" thickBot="1">
      <c r="B108" s="382" t="str">
        <f>+IF(SUM(B104:B106)=SUM(E104:E106),"Asiento Cuadrado","Asiento Descuadrado")</f>
        <v>Asiento Cuadrado</v>
      </c>
      <c r="C108" s="383"/>
      <c r="D108" s="383"/>
      <c r="E108" s="191">
        <f>+SUM(B104:B106)-SUM(E104:E106)</f>
        <v>0</v>
      </c>
      <c r="F108" s="141"/>
      <c r="G108" s="194"/>
      <c r="H108" s="140"/>
      <c r="I108" s="140"/>
      <c r="J108" s="277"/>
      <c r="K108" s="277"/>
      <c r="L108" s="277"/>
      <c r="M108" s="277"/>
      <c r="N108" s="277"/>
    </row>
    <row r="109" spans="2:14" ht="15.75" thickBot="1">
      <c r="B109" s="50"/>
      <c r="C109" s="27"/>
      <c r="D109" s="27"/>
      <c r="E109" s="50"/>
      <c r="F109" s="138"/>
      <c r="G109" s="195"/>
      <c r="H109" s="138"/>
      <c r="I109" s="138"/>
      <c r="J109" s="277"/>
      <c r="K109" s="277"/>
      <c r="L109" s="277"/>
      <c r="M109" s="277"/>
      <c r="N109" s="277"/>
    </row>
    <row r="110" spans="2:14">
      <c r="B110" s="322" t="s">
        <v>210</v>
      </c>
      <c r="C110" s="389" t="s">
        <v>271</v>
      </c>
      <c r="D110" s="389"/>
      <c r="E110" s="323" t="s">
        <v>211</v>
      </c>
      <c r="F110" s="135"/>
      <c r="G110" s="196"/>
      <c r="H110" s="135"/>
      <c r="I110" s="135"/>
      <c r="J110" s="277"/>
      <c r="K110" s="277"/>
      <c r="L110" s="277"/>
      <c r="M110" s="277"/>
      <c r="N110" s="277"/>
    </row>
    <row r="111" spans="2:14" ht="15" customHeight="1">
      <c r="B111" s="324">
        <f>+SUM(B112:B114)</f>
        <v>0</v>
      </c>
      <c r="C111" s="388">
        <v>45688</v>
      </c>
      <c r="D111" s="388"/>
      <c r="E111" s="325">
        <f>+SUM(E112:E114)</f>
        <v>0</v>
      </c>
      <c r="F111" s="136"/>
      <c r="G111" s="197"/>
      <c r="H111" s="136"/>
      <c r="I111" s="136"/>
      <c r="J111" s="279" t="s">
        <v>272</v>
      </c>
      <c r="K111" s="277"/>
      <c r="L111" s="277"/>
      <c r="M111" s="277"/>
      <c r="N111" s="277"/>
    </row>
    <row r="112" spans="2:14">
      <c r="B112" s="262"/>
      <c r="C112" s="256"/>
      <c r="D112" s="256"/>
      <c r="E112" s="262"/>
      <c r="F112" s="141">
        <v>6</v>
      </c>
      <c r="G112" s="194">
        <f>+C111</f>
        <v>45688</v>
      </c>
      <c r="H112" s="156" t="str">
        <f>+B115</f>
        <v>Operaciones del Ejercicio</v>
      </c>
      <c r="I112" s="156">
        <f>+D115</f>
        <v>0</v>
      </c>
      <c r="J112" s="277"/>
      <c r="K112" s="277"/>
      <c r="L112" s="277"/>
      <c r="M112" s="277"/>
      <c r="N112" s="277"/>
    </row>
    <row r="113" spans="2:14" ht="15.75" thickBot="1">
      <c r="B113" s="262"/>
      <c r="C113" s="256"/>
      <c r="D113" s="256"/>
      <c r="E113" s="262"/>
      <c r="F113" s="141">
        <f t="shared" ref="F113:H114" si="6">+F112</f>
        <v>6</v>
      </c>
      <c r="G113" s="194">
        <f t="shared" si="6"/>
        <v>45688</v>
      </c>
      <c r="H113" s="156" t="str">
        <f t="shared" si="6"/>
        <v>Operaciones del Ejercicio</v>
      </c>
      <c r="I113" s="156">
        <f>+I112</f>
        <v>0</v>
      </c>
      <c r="J113" s="277"/>
      <c r="K113" s="277"/>
      <c r="L113" s="277"/>
      <c r="M113" s="277"/>
      <c r="N113" s="277"/>
    </row>
    <row r="114" spans="2:14" ht="15.75" hidden="1" thickBot="1">
      <c r="B114" s="262"/>
      <c r="C114" s="256"/>
      <c r="D114" s="256"/>
      <c r="E114" s="262"/>
      <c r="F114" s="141">
        <f t="shared" si="6"/>
        <v>6</v>
      </c>
      <c r="G114" s="194">
        <f t="shared" si="6"/>
        <v>45688</v>
      </c>
      <c r="H114" s="156" t="str">
        <f t="shared" si="6"/>
        <v>Operaciones del Ejercicio</v>
      </c>
      <c r="I114" s="156">
        <f>+I113</f>
        <v>0</v>
      </c>
      <c r="J114" s="277"/>
      <c r="K114" s="277"/>
      <c r="L114" s="277"/>
      <c r="M114" s="277"/>
      <c r="N114" s="277"/>
    </row>
    <row r="115" spans="2:14" ht="14.45" customHeight="1" thickBot="1">
      <c r="B115" s="386" t="s">
        <v>264</v>
      </c>
      <c r="C115" s="387"/>
      <c r="D115" s="386"/>
      <c r="E115" s="387"/>
      <c r="F115" s="141"/>
      <c r="G115" s="194"/>
      <c r="H115" s="140"/>
      <c r="I115" s="140"/>
      <c r="J115" s="277"/>
      <c r="K115" s="277"/>
      <c r="L115" s="277"/>
      <c r="M115" s="277"/>
      <c r="N115" s="277"/>
    </row>
    <row r="116" spans="2:14" ht="14.45" customHeight="1" thickBot="1">
      <c r="B116" s="382" t="str">
        <f>+IF(SUM(B112:B114)=SUM(E112:E114),"Asiento Cuadrado","Asiento Descuadrado")</f>
        <v>Asiento Cuadrado</v>
      </c>
      <c r="C116" s="383"/>
      <c r="D116" s="383"/>
      <c r="E116" s="191">
        <f>+SUM(B112:B114)-SUM(E112:E114)</f>
        <v>0</v>
      </c>
      <c r="F116" s="141"/>
      <c r="G116" s="194"/>
      <c r="H116" s="140"/>
      <c r="I116" s="140"/>
      <c r="J116" s="277"/>
      <c r="K116" s="277"/>
      <c r="L116" s="277"/>
      <c r="M116" s="277"/>
      <c r="N116" s="277"/>
    </row>
    <row r="117" spans="2:14" ht="15.75" thickBot="1">
      <c r="B117" s="80"/>
      <c r="D117" s="27"/>
      <c r="E117" s="50"/>
      <c r="F117" s="138"/>
      <c r="G117" s="195"/>
      <c r="H117" s="138"/>
      <c r="I117" s="138"/>
      <c r="J117" s="277"/>
      <c r="K117" s="277"/>
      <c r="L117" s="277"/>
      <c r="M117" s="277"/>
      <c r="N117" s="277"/>
    </row>
    <row r="118" spans="2:14">
      <c r="B118" s="322" t="s">
        <v>210</v>
      </c>
      <c r="C118" s="389" t="s">
        <v>273</v>
      </c>
      <c r="D118" s="389"/>
      <c r="E118" s="323" t="s">
        <v>211</v>
      </c>
      <c r="F118" s="135"/>
      <c r="G118" s="196"/>
      <c r="H118" s="135"/>
      <c r="I118" s="135"/>
      <c r="J118" s="277"/>
      <c r="K118" s="277"/>
      <c r="L118" s="277"/>
      <c r="M118" s="277"/>
      <c r="N118" s="277"/>
    </row>
    <row r="119" spans="2:14" ht="15" customHeight="1">
      <c r="B119" s="324">
        <f>+SUM(B120:B121)</f>
        <v>0</v>
      </c>
      <c r="C119" s="388">
        <v>45703</v>
      </c>
      <c r="D119" s="388"/>
      <c r="E119" s="325">
        <f>+SUM(E120:E121)</f>
        <v>0</v>
      </c>
      <c r="F119" s="136"/>
      <c r="G119" s="197"/>
      <c r="H119" s="136"/>
      <c r="I119" s="136"/>
      <c r="J119" s="278" t="s">
        <v>274</v>
      </c>
      <c r="K119" s="277"/>
      <c r="L119" s="277"/>
      <c r="M119" s="277"/>
      <c r="N119" s="277"/>
    </row>
    <row r="120" spans="2:14">
      <c r="B120" s="262"/>
      <c r="C120" s="256"/>
      <c r="D120" s="256"/>
      <c r="E120" s="262"/>
      <c r="F120" s="141">
        <v>7</v>
      </c>
      <c r="G120" s="194">
        <f>+C119</f>
        <v>45703</v>
      </c>
      <c r="H120" s="156" t="str">
        <f>+B122</f>
        <v>Operaciones del Ejercicio</v>
      </c>
      <c r="I120" s="156">
        <f>+D122</f>
        <v>0</v>
      </c>
      <c r="J120" s="277"/>
      <c r="K120" s="277"/>
      <c r="L120" s="277"/>
      <c r="M120" s="277"/>
      <c r="N120" s="277"/>
    </row>
    <row r="121" spans="2:14">
      <c r="B121" s="264"/>
      <c r="C121" s="265"/>
      <c r="D121" s="265"/>
      <c r="E121" s="264"/>
      <c r="F121" s="141">
        <f>+F120</f>
        <v>7</v>
      </c>
      <c r="G121" s="194">
        <f>+G120</f>
        <v>45703</v>
      </c>
      <c r="H121" s="156" t="str">
        <f>+H120</f>
        <v>Operaciones del Ejercicio</v>
      </c>
      <c r="I121" s="156">
        <f>+I120</f>
        <v>0</v>
      </c>
      <c r="J121" s="277"/>
      <c r="K121" s="277"/>
      <c r="L121" s="277"/>
      <c r="M121" s="277"/>
      <c r="N121" s="277"/>
    </row>
    <row r="122" spans="2:14" ht="14.45" customHeight="1">
      <c r="B122" s="386" t="s">
        <v>264</v>
      </c>
      <c r="C122" s="387"/>
      <c r="D122" s="386"/>
      <c r="E122" s="387"/>
      <c r="F122" s="141"/>
      <c r="G122" s="194"/>
      <c r="H122" s="140"/>
      <c r="I122" s="140"/>
      <c r="J122" s="277"/>
      <c r="K122" s="277"/>
      <c r="L122" s="277"/>
      <c r="M122" s="277"/>
      <c r="N122" s="277"/>
    </row>
    <row r="123" spans="2:14" ht="14.45" customHeight="1" thickBot="1">
      <c r="B123" s="382" t="str">
        <f>+IF(SUM(B120:B121)=SUM(E120:E121),"Asiento Cuadrado","Asiento Descuadrado")</f>
        <v>Asiento Cuadrado</v>
      </c>
      <c r="C123" s="383"/>
      <c r="D123" s="383"/>
      <c r="E123" s="191">
        <f>+SUM(B120:B121)-SUM(E120:E121)</f>
        <v>0</v>
      </c>
      <c r="F123" s="141"/>
      <c r="G123" s="194"/>
      <c r="H123" s="140"/>
      <c r="I123" s="140"/>
      <c r="J123" s="277"/>
      <c r="K123" s="277"/>
      <c r="L123" s="277"/>
      <c r="M123" s="277"/>
      <c r="N123" s="277"/>
    </row>
    <row r="124" spans="2:14" ht="15.75" thickBot="1">
      <c r="B124" s="50"/>
      <c r="C124" s="27"/>
      <c r="D124" s="27"/>
      <c r="E124" s="50"/>
      <c r="F124" s="138"/>
      <c r="G124" s="195"/>
      <c r="H124" s="138"/>
      <c r="I124" s="138"/>
      <c r="J124" s="277"/>
      <c r="K124" s="277"/>
      <c r="L124" s="277"/>
      <c r="M124" s="277"/>
      <c r="N124" s="277"/>
    </row>
    <row r="125" spans="2:14">
      <c r="B125" s="322" t="s">
        <v>210</v>
      </c>
      <c r="C125" s="389" t="s">
        <v>275</v>
      </c>
      <c r="D125" s="389"/>
      <c r="E125" s="323" t="s">
        <v>211</v>
      </c>
      <c r="F125" s="135"/>
      <c r="G125" s="196"/>
      <c r="H125" s="135"/>
      <c r="I125" s="135"/>
      <c r="J125" s="277"/>
      <c r="K125" s="277"/>
      <c r="L125" s="277"/>
      <c r="M125" s="277"/>
      <c r="N125" s="277"/>
    </row>
    <row r="126" spans="2:14" ht="15" customHeight="1">
      <c r="B126" s="324">
        <f>+SUM(B127:B128)</f>
        <v>0</v>
      </c>
      <c r="C126" s="388">
        <v>45708</v>
      </c>
      <c r="D126" s="388"/>
      <c r="E126" s="325">
        <f>+SUM(E127:E128)</f>
        <v>0</v>
      </c>
      <c r="F126" s="136"/>
      <c r="G126" s="197"/>
      <c r="H126" s="136"/>
      <c r="I126" s="136"/>
      <c r="J126" s="278" t="s">
        <v>276</v>
      </c>
      <c r="K126" s="277"/>
      <c r="L126" s="277"/>
      <c r="M126" s="277"/>
      <c r="N126" s="277"/>
    </row>
    <row r="127" spans="2:14">
      <c r="B127" s="262"/>
      <c r="C127" s="263"/>
      <c r="D127" s="263"/>
      <c r="E127" s="262"/>
      <c r="F127" s="141">
        <v>8</v>
      </c>
      <c r="G127" s="194">
        <f>+C126</f>
        <v>45708</v>
      </c>
      <c r="H127" s="156" t="str">
        <f>+B129</f>
        <v>Operaciones del Ejercicio</v>
      </c>
      <c r="I127" s="156">
        <f>+D129</f>
        <v>0</v>
      </c>
      <c r="J127" s="277"/>
      <c r="K127" s="277"/>
      <c r="L127" s="277"/>
      <c r="M127" s="277"/>
      <c r="N127" s="277"/>
    </row>
    <row r="128" spans="2:14">
      <c r="B128" s="264"/>
      <c r="C128" s="265"/>
      <c r="D128" s="265"/>
      <c r="E128" s="264"/>
      <c r="F128" s="141">
        <f>+F127</f>
        <v>8</v>
      </c>
      <c r="G128" s="194">
        <f>+G127</f>
        <v>45708</v>
      </c>
      <c r="H128" s="156" t="str">
        <f>+H127</f>
        <v>Operaciones del Ejercicio</v>
      </c>
      <c r="I128" s="156">
        <f>+I127</f>
        <v>0</v>
      </c>
      <c r="J128" s="277"/>
      <c r="K128" s="277"/>
      <c r="L128" s="277"/>
      <c r="M128" s="277"/>
      <c r="N128" s="277"/>
    </row>
    <row r="129" spans="2:14" ht="14.45" customHeight="1">
      <c r="B129" s="386" t="s">
        <v>264</v>
      </c>
      <c r="C129" s="387"/>
      <c r="D129" s="386"/>
      <c r="E129" s="387"/>
      <c r="F129" s="141"/>
      <c r="G129" s="194"/>
      <c r="H129" s="140"/>
      <c r="I129" s="140"/>
      <c r="J129" s="277"/>
      <c r="K129" s="277"/>
      <c r="L129" s="277"/>
      <c r="M129" s="277"/>
      <c r="N129" s="277"/>
    </row>
    <row r="130" spans="2:14" ht="14.45" customHeight="1" thickBot="1">
      <c r="B130" s="382" t="str">
        <f>+IF(SUM(B127:B128)=SUM(E127:E128),"Asiento Cuadrado","Asiento Descuadrado")</f>
        <v>Asiento Cuadrado</v>
      </c>
      <c r="C130" s="383"/>
      <c r="D130" s="383"/>
      <c r="E130" s="191">
        <f>+SUM(B127:B128)-SUM(E127:E128)</f>
        <v>0</v>
      </c>
      <c r="F130" s="141"/>
      <c r="G130" s="194"/>
      <c r="H130" s="140"/>
      <c r="I130" s="140"/>
      <c r="J130" s="277"/>
      <c r="K130" s="277"/>
      <c r="L130" s="277"/>
      <c r="M130" s="277"/>
      <c r="N130" s="277"/>
    </row>
    <row r="131" spans="2:14" ht="15.75" thickBot="1">
      <c r="B131" s="50"/>
      <c r="C131" s="27"/>
      <c r="D131" s="27"/>
      <c r="E131" s="50"/>
      <c r="F131" s="138"/>
      <c r="G131" s="195"/>
      <c r="H131" s="138"/>
      <c r="I131" s="138"/>
      <c r="J131" s="277"/>
      <c r="K131" s="277"/>
      <c r="L131" s="277"/>
      <c r="M131" s="277"/>
      <c r="N131" s="277"/>
    </row>
    <row r="132" spans="2:14">
      <c r="B132" s="322" t="s">
        <v>210</v>
      </c>
      <c r="C132" s="389" t="s">
        <v>277</v>
      </c>
      <c r="D132" s="389"/>
      <c r="E132" s="323" t="s">
        <v>211</v>
      </c>
      <c r="F132" s="135"/>
      <c r="G132" s="196"/>
      <c r="H132" s="135"/>
      <c r="I132" s="135"/>
      <c r="J132" s="277"/>
      <c r="K132" s="277"/>
      <c r="L132" s="277"/>
      <c r="M132" s="277"/>
      <c r="N132" s="277"/>
    </row>
    <row r="133" spans="2:14" ht="15" customHeight="1">
      <c r="B133" s="324">
        <f>+SUM(B134:B135)</f>
        <v>0</v>
      </c>
      <c r="C133" s="388">
        <v>45713</v>
      </c>
      <c r="D133" s="388"/>
      <c r="E133" s="325">
        <f>+SUM(E134:E135)</f>
        <v>0</v>
      </c>
      <c r="F133" s="136"/>
      <c r="G133" s="197"/>
      <c r="H133" s="136"/>
      <c r="I133" s="136"/>
      <c r="J133" s="278" t="s">
        <v>278</v>
      </c>
      <c r="K133" s="277"/>
      <c r="L133" s="277"/>
      <c r="M133" s="277"/>
      <c r="N133" s="277"/>
    </row>
    <row r="134" spans="2:14">
      <c r="B134" s="262"/>
      <c r="C134" s="263"/>
      <c r="D134" s="263"/>
      <c r="E134" s="262"/>
      <c r="F134" s="141">
        <v>9</v>
      </c>
      <c r="G134" s="194">
        <f>+C133</f>
        <v>45713</v>
      </c>
      <c r="H134" s="156" t="str">
        <f>+B136</f>
        <v>Operaciones del Ejercicio</v>
      </c>
      <c r="I134" s="156">
        <f>+D136</f>
        <v>0</v>
      </c>
      <c r="J134" s="277"/>
      <c r="K134" s="277"/>
      <c r="L134" s="277"/>
      <c r="M134" s="277"/>
      <c r="N134" s="277"/>
    </row>
    <row r="135" spans="2:14">
      <c r="B135" s="264"/>
      <c r="C135" s="265"/>
      <c r="D135" s="265"/>
      <c r="E135" s="264"/>
      <c r="F135" s="141">
        <f>+F134</f>
        <v>9</v>
      </c>
      <c r="G135" s="194">
        <f>+G134</f>
        <v>45713</v>
      </c>
      <c r="H135" s="156" t="str">
        <f>+H134</f>
        <v>Operaciones del Ejercicio</v>
      </c>
      <c r="I135" s="156">
        <f>+I134</f>
        <v>0</v>
      </c>
      <c r="J135" s="277"/>
      <c r="K135" s="277"/>
      <c r="L135" s="277"/>
      <c r="M135" s="277"/>
      <c r="N135" s="277"/>
    </row>
    <row r="136" spans="2:14" ht="14.45" customHeight="1">
      <c r="B136" s="386" t="s">
        <v>264</v>
      </c>
      <c r="C136" s="387"/>
      <c r="D136" s="386"/>
      <c r="E136" s="387"/>
      <c r="F136" s="141"/>
      <c r="G136" s="194"/>
      <c r="H136" s="140"/>
      <c r="I136" s="140"/>
      <c r="J136" s="277"/>
      <c r="K136" s="277"/>
      <c r="L136" s="277"/>
      <c r="M136" s="277"/>
      <c r="N136" s="277"/>
    </row>
    <row r="137" spans="2:14" ht="14.45" customHeight="1" thickBot="1">
      <c r="B137" s="382" t="str">
        <f>+IF(SUM(B134:B135)=SUM(E134:E135),"Asiento Cuadrado","Asiento Descuadrado")</f>
        <v>Asiento Cuadrado</v>
      </c>
      <c r="C137" s="383"/>
      <c r="D137" s="383"/>
      <c r="E137" s="191">
        <f>+SUM(B134:B135)-SUM(E134:E135)</f>
        <v>0</v>
      </c>
      <c r="F137" s="141"/>
      <c r="G137" s="194"/>
      <c r="H137" s="140"/>
      <c r="I137" s="140"/>
      <c r="J137" s="277"/>
      <c r="K137" s="277"/>
      <c r="L137" s="277"/>
      <c r="M137" s="277"/>
      <c r="N137" s="277"/>
    </row>
    <row r="138" spans="2:14" ht="15.75" thickBot="1">
      <c r="B138" s="50"/>
      <c r="C138" s="27"/>
      <c r="D138" s="27"/>
      <c r="E138" s="50"/>
      <c r="F138" s="138"/>
      <c r="G138" s="195"/>
      <c r="H138" s="138"/>
      <c r="I138" s="138"/>
      <c r="J138" s="277"/>
      <c r="K138" s="277"/>
      <c r="L138" s="277"/>
      <c r="M138" s="277"/>
      <c r="N138" s="277"/>
    </row>
    <row r="139" spans="2:14">
      <c r="B139" s="322" t="s">
        <v>210</v>
      </c>
      <c r="C139" s="389" t="s">
        <v>279</v>
      </c>
      <c r="D139" s="389"/>
      <c r="E139" s="323" t="s">
        <v>211</v>
      </c>
      <c r="F139" s="135"/>
      <c r="G139" s="196"/>
      <c r="H139" s="135"/>
      <c r="I139" s="135"/>
      <c r="J139" s="277"/>
      <c r="K139" s="277"/>
      <c r="L139" s="277"/>
      <c r="M139" s="277"/>
      <c r="N139" s="277"/>
    </row>
    <row r="140" spans="2:14" ht="15" customHeight="1">
      <c r="B140" s="324">
        <f>+SUM(B141:B142)</f>
        <v>0</v>
      </c>
      <c r="C140" s="388">
        <v>45717</v>
      </c>
      <c r="D140" s="388"/>
      <c r="E140" s="325">
        <f>+SUM(E141:E142)</f>
        <v>0</v>
      </c>
      <c r="F140" s="136"/>
      <c r="G140" s="197"/>
      <c r="H140" s="136"/>
      <c r="I140" s="136"/>
      <c r="J140" s="278" t="s">
        <v>280</v>
      </c>
      <c r="K140" s="277"/>
      <c r="L140" s="277"/>
      <c r="M140" s="277"/>
      <c r="N140" s="277"/>
    </row>
    <row r="141" spans="2:14">
      <c r="B141" s="262"/>
      <c r="C141" s="263"/>
      <c r="D141" s="263"/>
      <c r="E141" s="262"/>
      <c r="F141" s="141">
        <v>10</v>
      </c>
      <c r="G141" s="194">
        <f>+C140</f>
        <v>45717</v>
      </c>
      <c r="H141" s="156" t="str">
        <f>+B143</f>
        <v>Operaciones del Ejercicio</v>
      </c>
      <c r="I141" s="156">
        <f>+D143</f>
        <v>0</v>
      </c>
      <c r="J141" s="277"/>
      <c r="K141" s="277"/>
      <c r="L141" s="277"/>
      <c r="M141" s="277"/>
      <c r="N141" s="277"/>
    </row>
    <row r="142" spans="2:14">
      <c r="B142" s="264"/>
      <c r="C142" s="265"/>
      <c r="D142" s="265"/>
      <c r="E142" s="264"/>
      <c r="F142" s="141">
        <f>+F141</f>
        <v>10</v>
      </c>
      <c r="G142" s="194">
        <f>+G141</f>
        <v>45717</v>
      </c>
      <c r="H142" s="156" t="str">
        <f>+H141</f>
        <v>Operaciones del Ejercicio</v>
      </c>
      <c r="I142" s="156">
        <f>+I141</f>
        <v>0</v>
      </c>
      <c r="J142" s="277"/>
      <c r="K142" s="277"/>
      <c r="L142" s="277"/>
      <c r="M142" s="277"/>
      <c r="N142" s="277"/>
    </row>
    <row r="143" spans="2:14" ht="14.45" customHeight="1">
      <c r="B143" s="386" t="s">
        <v>264</v>
      </c>
      <c r="C143" s="387"/>
      <c r="D143" s="386"/>
      <c r="E143" s="387"/>
      <c r="F143" s="141"/>
      <c r="G143" s="194"/>
      <c r="H143" s="140"/>
      <c r="I143" s="140"/>
      <c r="J143" s="277"/>
      <c r="K143" s="277"/>
      <c r="L143" s="277"/>
      <c r="M143" s="277"/>
      <c r="N143" s="277"/>
    </row>
    <row r="144" spans="2:14" ht="14.45" customHeight="1" thickBot="1">
      <c r="B144" s="382" t="str">
        <f>+IF(SUM(B141:B142)=SUM(E141:E142),"Asiento Cuadrado","Asiento Descuadrado")</f>
        <v>Asiento Cuadrado</v>
      </c>
      <c r="C144" s="383"/>
      <c r="D144" s="383"/>
      <c r="E144" s="191">
        <f>+SUM(B141:B142)-SUM(E141:E142)</f>
        <v>0</v>
      </c>
      <c r="F144" s="141"/>
      <c r="G144" s="194"/>
      <c r="H144" s="140"/>
      <c r="I144" s="140"/>
      <c r="J144" s="277"/>
      <c r="K144" s="277"/>
      <c r="L144" s="277"/>
      <c r="M144" s="277"/>
      <c r="N144" s="277"/>
    </row>
    <row r="145" spans="2:14" ht="15.75" thickBot="1">
      <c r="B145" s="50"/>
      <c r="C145" s="27"/>
      <c r="D145" s="27"/>
      <c r="E145" s="50"/>
      <c r="F145" s="138"/>
      <c r="G145" s="195"/>
      <c r="H145" s="138"/>
      <c r="I145" s="138"/>
      <c r="J145" s="277"/>
      <c r="K145" s="277"/>
      <c r="L145" s="277"/>
      <c r="M145" s="277"/>
      <c r="N145" s="277"/>
    </row>
    <row r="146" spans="2:14">
      <c r="B146" s="322" t="s">
        <v>210</v>
      </c>
      <c r="C146" s="389" t="s">
        <v>281</v>
      </c>
      <c r="D146" s="389"/>
      <c r="E146" s="323" t="s">
        <v>211</v>
      </c>
      <c r="F146" s="135"/>
      <c r="G146" s="196"/>
      <c r="H146" s="135"/>
      <c r="I146" s="135"/>
      <c r="J146" s="277"/>
      <c r="K146" s="277"/>
      <c r="L146" s="277"/>
      <c r="M146" s="277"/>
      <c r="N146" s="277"/>
    </row>
    <row r="147" spans="2:14" ht="15" customHeight="1">
      <c r="B147" s="324">
        <f>+SUM(B148:B149)</f>
        <v>0</v>
      </c>
      <c r="C147" s="388">
        <v>45726</v>
      </c>
      <c r="D147" s="388"/>
      <c r="E147" s="325">
        <f>+SUM(E148:E149)</f>
        <v>0</v>
      </c>
      <c r="F147" s="136"/>
      <c r="G147" s="197"/>
      <c r="H147" s="136"/>
      <c r="I147" s="136"/>
      <c r="J147" s="278" t="s">
        <v>282</v>
      </c>
      <c r="K147" s="277"/>
      <c r="L147" s="277"/>
      <c r="M147" s="277"/>
      <c r="N147" s="277"/>
    </row>
    <row r="148" spans="2:14">
      <c r="B148" s="262"/>
      <c r="C148" s="263"/>
      <c r="D148" s="263"/>
      <c r="E148" s="262"/>
      <c r="F148" s="141">
        <v>11</v>
      </c>
      <c r="G148" s="194">
        <f>+C147</f>
        <v>45726</v>
      </c>
      <c r="H148" s="156" t="str">
        <f>+B150</f>
        <v>Operaciones del Ejercicio</v>
      </c>
      <c r="I148" s="156">
        <f>+D150</f>
        <v>0</v>
      </c>
      <c r="J148" s="277"/>
      <c r="K148" s="277"/>
      <c r="L148" s="277"/>
      <c r="M148" s="277"/>
      <c r="N148" s="277"/>
    </row>
    <row r="149" spans="2:14">
      <c r="B149" s="264"/>
      <c r="C149" s="265"/>
      <c r="D149" s="265"/>
      <c r="E149" s="264"/>
      <c r="F149" s="141">
        <f>+F148</f>
        <v>11</v>
      </c>
      <c r="G149" s="194">
        <f>+G148</f>
        <v>45726</v>
      </c>
      <c r="H149" s="156" t="str">
        <f>+H148</f>
        <v>Operaciones del Ejercicio</v>
      </c>
      <c r="I149" s="156">
        <f>+I148</f>
        <v>0</v>
      </c>
      <c r="J149" s="277"/>
      <c r="K149" s="277"/>
      <c r="L149" s="277"/>
      <c r="M149" s="277"/>
      <c r="N149" s="277"/>
    </row>
    <row r="150" spans="2:14" ht="14.45" customHeight="1">
      <c r="B150" s="386" t="s">
        <v>264</v>
      </c>
      <c r="C150" s="387"/>
      <c r="D150" s="386"/>
      <c r="E150" s="387"/>
      <c r="F150" s="141"/>
      <c r="G150" s="194"/>
      <c r="H150" s="140"/>
      <c r="I150" s="140"/>
      <c r="J150" s="277"/>
      <c r="K150" s="277"/>
      <c r="L150" s="277"/>
      <c r="M150" s="277"/>
      <c r="N150" s="277"/>
    </row>
    <row r="151" spans="2:14" ht="14.45" customHeight="1" thickBot="1">
      <c r="B151" s="382" t="str">
        <f>+IF(SUM(B148:B149)=SUM(E148:E149),"Asiento Cuadrado","Asiento Descuadrado")</f>
        <v>Asiento Cuadrado</v>
      </c>
      <c r="C151" s="383"/>
      <c r="D151" s="383"/>
      <c r="E151" s="191">
        <f>+SUM(B148:B149)-SUM(E148:E149)</f>
        <v>0</v>
      </c>
      <c r="F151" s="141"/>
      <c r="G151" s="194"/>
      <c r="H151" s="140"/>
      <c r="I151" s="140"/>
      <c r="J151" s="277"/>
      <c r="K151" s="277"/>
      <c r="L151" s="277"/>
      <c r="M151" s="277"/>
      <c r="N151" s="277"/>
    </row>
    <row r="152" spans="2:14" ht="15.75" thickBot="1">
      <c r="B152" s="50"/>
      <c r="C152" s="27"/>
      <c r="D152" s="27"/>
      <c r="E152" s="50"/>
      <c r="F152" s="138"/>
      <c r="G152" s="195"/>
      <c r="H152" s="138"/>
      <c r="I152" s="138"/>
      <c r="J152" s="277"/>
      <c r="K152" s="277"/>
      <c r="L152" s="277"/>
      <c r="M152" s="277"/>
      <c r="N152" s="277"/>
    </row>
    <row r="153" spans="2:14">
      <c r="B153" s="322" t="s">
        <v>210</v>
      </c>
      <c r="C153" s="389" t="s">
        <v>283</v>
      </c>
      <c r="D153" s="389"/>
      <c r="E153" s="323" t="s">
        <v>211</v>
      </c>
      <c r="F153" s="135"/>
      <c r="G153" s="196"/>
      <c r="H153" s="135"/>
      <c r="I153" s="135"/>
      <c r="J153" s="277"/>
      <c r="K153" s="277"/>
      <c r="L153" s="277"/>
      <c r="M153" s="277"/>
      <c r="N153" s="277"/>
    </row>
    <row r="154" spans="2:14" ht="15" customHeight="1">
      <c r="B154" s="324">
        <f>+SUM(B155:B156)</f>
        <v>0</v>
      </c>
      <c r="C154" s="388">
        <v>45727</v>
      </c>
      <c r="D154" s="388"/>
      <c r="E154" s="325">
        <f>+SUM(E155:E156)</f>
        <v>0</v>
      </c>
      <c r="F154" s="136"/>
      <c r="G154" s="197"/>
      <c r="H154" s="136"/>
      <c r="I154" s="136"/>
      <c r="J154" s="278" t="s">
        <v>284</v>
      </c>
      <c r="K154" s="277"/>
      <c r="L154" s="277"/>
      <c r="M154" s="277"/>
      <c r="N154" s="277"/>
    </row>
    <row r="155" spans="2:14">
      <c r="B155" s="262"/>
      <c r="C155" s="263"/>
      <c r="D155" s="263"/>
      <c r="E155" s="262"/>
      <c r="F155" s="141">
        <v>12</v>
      </c>
      <c r="G155" s="194">
        <f>+C154</f>
        <v>45727</v>
      </c>
      <c r="H155" s="156" t="str">
        <f>+B157</f>
        <v>Operaciones del Ejercicio</v>
      </c>
      <c r="I155" s="156">
        <f>+D157</f>
        <v>0</v>
      </c>
      <c r="J155" s="277"/>
      <c r="K155" s="277"/>
      <c r="L155" s="277"/>
      <c r="M155" s="277"/>
      <c r="N155" s="277"/>
    </row>
    <row r="156" spans="2:14">
      <c r="B156" s="264"/>
      <c r="C156" s="265"/>
      <c r="D156" s="265"/>
      <c r="E156" s="264"/>
      <c r="F156" s="141">
        <f>+F155</f>
        <v>12</v>
      </c>
      <c r="G156" s="194">
        <f>+G155</f>
        <v>45727</v>
      </c>
      <c r="H156" s="156" t="str">
        <f>+H155</f>
        <v>Operaciones del Ejercicio</v>
      </c>
      <c r="I156" s="156">
        <f>+I155</f>
        <v>0</v>
      </c>
      <c r="J156" s="277"/>
      <c r="K156" s="277"/>
      <c r="L156" s="277"/>
      <c r="M156" s="277"/>
      <c r="N156" s="277"/>
    </row>
    <row r="157" spans="2:14" ht="14.45" customHeight="1">
      <c r="B157" s="386" t="s">
        <v>264</v>
      </c>
      <c r="C157" s="387"/>
      <c r="D157" s="386"/>
      <c r="E157" s="387"/>
      <c r="F157" s="141"/>
      <c r="G157" s="194"/>
      <c r="H157" s="140"/>
      <c r="I157" s="140"/>
      <c r="J157" s="277"/>
      <c r="K157" s="277"/>
      <c r="L157" s="277"/>
      <c r="M157" s="277"/>
      <c r="N157" s="277"/>
    </row>
    <row r="158" spans="2:14" ht="14.45" customHeight="1" thickBot="1">
      <c r="B158" s="382" t="str">
        <f>+IF(SUM(B155:B156)=SUM(E155:E156),"Asiento Cuadrado","Asiento Descuadrado")</f>
        <v>Asiento Cuadrado</v>
      </c>
      <c r="C158" s="383"/>
      <c r="D158" s="383"/>
      <c r="E158" s="191">
        <f>+SUM(B155:B156)-SUM(E155:E156)</f>
        <v>0</v>
      </c>
      <c r="F158" s="141"/>
      <c r="G158" s="194"/>
      <c r="H158" s="140"/>
      <c r="I158" s="140"/>
      <c r="J158" s="277"/>
      <c r="K158" s="277"/>
      <c r="L158" s="277"/>
      <c r="M158" s="277"/>
      <c r="N158" s="277"/>
    </row>
    <row r="159" spans="2:14" ht="15.75" thickBot="1">
      <c r="B159" s="50"/>
      <c r="C159" s="27"/>
      <c r="D159" s="27"/>
      <c r="E159" s="50"/>
      <c r="F159" s="138"/>
      <c r="G159" s="195"/>
      <c r="H159" s="138"/>
      <c r="I159" s="138"/>
      <c r="J159" s="277"/>
      <c r="K159" s="277"/>
      <c r="L159" s="277"/>
      <c r="M159" s="277"/>
      <c r="N159" s="277"/>
    </row>
    <row r="160" spans="2:14">
      <c r="B160" s="322" t="s">
        <v>210</v>
      </c>
      <c r="C160" s="389" t="s">
        <v>285</v>
      </c>
      <c r="D160" s="389"/>
      <c r="E160" s="323" t="s">
        <v>211</v>
      </c>
      <c r="F160" s="135"/>
      <c r="G160" s="196"/>
      <c r="H160" s="135"/>
      <c r="I160" s="135"/>
      <c r="J160" s="277"/>
      <c r="K160" s="277"/>
      <c r="L160" s="277"/>
      <c r="M160" s="277"/>
      <c r="N160" s="277"/>
    </row>
    <row r="161" spans="2:14" ht="15" customHeight="1">
      <c r="B161" s="324">
        <f>+SUM(B162:B164)</f>
        <v>0</v>
      </c>
      <c r="C161" s="388">
        <v>45743</v>
      </c>
      <c r="D161" s="388"/>
      <c r="E161" s="325">
        <f>+SUM(E162:E164)</f>
        <v>0</v>
      </c>
      <c r="F161" s="136"/>
      <c r="G161" s="197"/>
      <c r="H161" s="136"/>
      <c r="I161" s="136"/>
      <c r="J161" s="278" t="s">
        <v>286</v>
      </c>
      <c r="K161" s="277"/>
      <c r="L161" s="277"/>
      <c r="M161" s="277"/>
      <c r="N161" s="277"/>
    </row>
    <row r="162" spans="2:14">
      <c r="B162" s="262"/>
      <c r="C162" s="263"/>
      <c r="D162" s="263"/>
      <c r="E162" s="262"/>
      <c r="F162" s="141">
        <v>13</v>
      </c>
      <c r="G162" s="194">
        <f>+C161</f>
        <v>45743</v>
      </c>
      <c r="H162" s="156" t="str">
        <f>+B165</f>
        <v>Operaciones del Ejercicio</v>
      </c>
      <c r="I162" s="156">
        <f>+D165</f>
        <v>0</v>
      </c>
      <c r="J162" s="277"/>
      <c r="K162" s="277"/>
      <c r="L162" s="277"/>
      <c r="M162" s="277"/>
      <c r="N162" s="277"/>
    </row>
    <row r="163" spans="2:14">
      <c r="B163" s="262"/>
      <c r="C163" s="263"/>
      <c r="D163" s="263"/>
      <c r="E163" s="262"/>
      <c r="F163" s="141">
        <f t="shared" ref="F163:H164" si="7">+F162</f>
        <v>13</v>
      </c>
      <c r="G163" s="194">
        <f t="shared" si="7"/>
        <v>45743</v>
      </c>
      <c r="H163" s="156" t="str">
        <f t="shared" si="7"/>
        <v>Operaciones del Ejercicio</v>
      </c>
      <c r="I163" s="156">
        <f>+I162</f>
        <v>0</v>
      </c>
      <c r="J163" s="277"/>
      <c r="K163" s="277"/>
      <c r="L163" s="277"/>
      <c r="M163" s="277"/>
      <c r="N163" s="277"/>
    </row>
    <row r="164" spans="2:14">
      <c r="B164" s="262"/>
      <c r="C164" s="263"/>
      <c r="D164" s="263"/>
      <c r="E164" s="262"/>
      <c r="F164" s="141">
        <f t="shared" si="7"/>
        <v>13</v>
      </c>
      <c r="G164" s="194">
        <f t="shared" si="7"/>
        <v>45743</v>
      </c>
      <c r="H164" s="156" t="str">
        <f t="shared" si="7"/>
        <v>Operaciones del Ejercicio</v>
      </c>
      <c r="I164" s="156">
        <f>+I163</f>
        <v>0</v>
      </c>
      <c r="J164" s="277"/>
      <c r="K164" s="277"/>
      <c r="L164" s="277"/>
      <c r="M164" s="277"/>
      <c r="N164" s="277"/>
    </row>
    <row r="165" spans="2:14" ht="14.45" customHeight="1">
      <c r="B165" s="386" t="s">
        <v>264</v>
      </c>
      <c r="C165" s="387"/>
      <c r="D165" s="386"/>
      <c r="E165" s="387"/>
      <c r="F165" s="141"/>
      <c r="G165" s="194"/>
      <c r="H165" s="140"/>
      <c r="I165" s="140"/>
      <c r="J165" s="277"/>
      <c r="K165" s="277"/>
      <c r="L165" s="277"/>
      <c r="M165" s="277"/>
      <c r="N165" s="277"/>
    </row>
    <row r="166" spans="2:14" ht="14.45" customHeight="1" thickBot="1">
      <c r="B166" s="382" t="str">
        <f>+IF(SUM(B162:B164)=SUM(E162:E164),"Asiento Cuadrado","Asiento Descuadrado")</f>
        <v>Asiento Cuadrado</v>
      </c>
      <c r="C166" s="383"/>
      <c r="D166" s="383"/>
      <c r="E166" s="191">
        <f>+SUM(B162:B164)-SUM(E162:E164)</f>
        <v>0</v>
      </c>
      <c r="F166" s="141"/>
      <c r="G166" s="194"/>
      <c r="H166" s="140"/>
      <c r="I166" s="140"/>
      <c r="J166" s="277"/>
      <c r="K166" s="277"/>
      <c r="L166" s="277"/>
      <c r="M166" s="277"/>
      <c r="N166" s="277"/>
    </row>
    <row r="167" spans="2:14" ht="15.75" thickBot="1">
      <c r="B167" s="50"/>
      <c r="C167" s="27"/>
      <c r="D167" s="27"/>
      <c r="E167" s="50"/>
      <c r="F167" s="138"/>
      <c r="G167" s="195"/>
      <c r="H167" s="138"/>
      <c r="I167" s="138"/>
      <c r="J167" s="277"/>
      <c r="K167" s="277"/>
      <c r="L167" s="277"/>
      <c r="M167" s="277"/>
      <c r="N167" s="277"/>
    </row>
    <row r="168" spans="2:14">
      <c r="B168" s="322" t="s">
        <v>210</v>
      </c>
      <c r="C168" s="389" t="s">
        <v>287</v>
      </c>
      <c r="D168" s="389"/>
      <c r="E168" s="323" t="s">
        <v>211</v>
      </c>
      <c r="F168" s="135"/>
      <c r="G168" s="196"/>
      <c r="H168" s="135"/>
      <c r="I168" s="135"/>
      <c r="J168" s="277"/>
      <c r="K168" s="277"/>
      <c r="L168" s="277"/>
      <c r="M168" s="277"/>
      <c r="N168" s="277"/>
    </row>
    <row r="169" spans="2:14" ht="15" customHeight="1">
      <c r="B169" s="324">
        <f>+SUM(B170:B171)</f>
        <v>0</v>
      </c>
      <c r="C169" s="388">
        <v>45747</v>
      </c>
      <c r="D169" s="388"/>
      <c r="E169" s="325">
        <f>+SUM(E170:E171)</f>
        <v>0</v>
      </c>
      <c r="F169" s="136"/>
      <c r="G169" s="197"/>
      <c r="H169" s="136"/>
      <c r="I169" s="136"/>
      <c r="J169" s="278" t="s">
        <v>288</v>
      </c>
      <c r="K169" s="277"/>
      <c r="L169" s="277"/>
      <c r="M169" s="277"/>
      <c r="N169" s="277"/>
    </row>
    <row r="170" spans="2:14">
      <c r="B170" s="262"/>
      <c r="C170" s="263"/>
      <c r="D170" s="263"/>
      <c r="E170" s="262"/>
      <c r="F170" s="141">
        <v>14</v>
      </c>
      <c r="G170" s="194">
        <f>+C169</f>
        <v>45747</v>
      </c>
      <c r="H170" s="156" t="str">
        <f>+B172</f>
        <v>Operaciones del Ejercicio</v>
      </c>
      <c r="I170" s="156">
        <f>+D172</f>
        <v>0</v>
      </c>
      <c r="J170" s="277"/>
      <c r="K170" s="277"/>
      <c r="L170" s="277"/>
      <c r="M170" s="277"/>
      <c r="N170" s="277"/>
    </row>
    <row r="171" spans="2:14">
      <c r="B171" s="264"/>
      <c r="C171" s="265"/>
      <c r="D171" s="265"/>
      <c r="E171" s="264"/>
      <c r="F171" s="141">
        <f>+F170</f>
        <v>14</v>
      </c>
      <c r="G171" s="194">
        <f>+G170</f>
        <v>45747</v>
      </c>
      <c r="H171" s="156" t="str">
        <f>+H170</f>
        <v>Operaciones del Ejercicio</v>
      </c>
      <c r="I171" s="156">
        <f>+I170</f>
        <v>0</v>
      </c>
      <c r="J171" s="277"/>
      <c r="K171" s="277"/>
      <c r="L171" s="277"/>
      <c r="M171" s="277"/>
      <c r="N171" s="277"/>
    </row>
    <row r="172" spans="2:14" ht="14.45" customHeight="1">
      <c r="B172" s="386" t="s">
        <v>264</v>
      </c>
      <c r="C172" s="387"/>
      <c r="D172" s="386"/>
      <c r="E172" s="387"/>
      <c r="F172" s="141"/>
      <c r="G172" s="194"/>
      <c r="H172" s="140"/>
      <c r="I172" s="140"/>
      <c r="J172" s="277"/>
      <c r="K172" s="277"/>
      <c r="L172" s="277"/>
      <c r="M172" s="277"/>
      <c r="N172" s="277"/>
    </row>
    <row r="173" spans="2:14" ht="14.45" customHeight="1" thickBot="1">
      <c r="B173" s="382" t="str">
        <f>+IF(SUM(B170:B171)=SUM(E170:E171),"Asiento Cuadrado","Asiento Descuadrado")</f>
        <v>Asiento Cuadrado</v>
      </c>
      <c r="C173" s="383"/>
      <c r="D173" s="383"/>
      <c r="E173" s="191">
        <f>+SUM(B170:B171)-SUM(E170:E171)</f>
        <v>0</v>
      </c>
      <c r="F173" s="141"/>
      <c r="G173" s="194"/>
      <c r="H173" s="140"/>
      <c r="I173" s="140"/>
      <c r="J173" s="277"/>
      <c r="K173" s="277"/>
      <c r="L173" s="277"/>
      <c r="M173" s="277"/>
      <c r="N173" s="277"/>
    </row>
    <row r="174" spans="2:14" ht="15.75" thickBot="1">
      <c r="B174" s="50"/>
      <c r="C174" s="27"/>
      <c r="D174" s="27"/>
      <c r="E174" s="50"/>
      <c r="F174" s="138"/>
      <c r="G174" s="195"/>
      <c r="H174" s="138"/>
      <c r="I174" s="138"/>
      <c r="J174" s="277"/>
      <c r="K174" s="277"/>
      <c r="L174" s="277"/>
      <c r="M174" s="277"/>
      <c r="N174" s="277"/>
    </row>
    <row r="175" spans="2:14">
      <c r="B175" s="322" t="s">
        <v>210</v>
      </c>
      <c r="C175" s="389" t="s">
        <v>289</v>
      </c>
      <c r="D175" s="389"/>
      <c r="E175" s="323" t="s">
        <v>211</v>
      </c>
      <c r="F175" s="135"/>
      <c r="G175" s="196"/>
      <c r="H175" s="135"/>
      <c r="I175" s="135"/>
      <c r="J175" s="277"/>
      <c r="K175" s="277"/>
      <c r="L175" s="277"/>
      <c r="M175" s="277"/>
      <c r="N175" s="277"/>
    </row>
    <row r="176" spans="2:14" ht="15" customHeight="1">
      <c r="B176" s="324">
        <f>+SUM(B177:B178)</f>
        <v>0</v>
      </c>
      <c r="C176" s="388">
        <v>45756</v>
      </c>
      <c r="D176" s="388"/>
      <c r="E176" s="325">
        <f>+SUM(E177:E178)</f>
        <v>0</v>
      </c>
      <c r="F176" s="136"/>
      <c r="G176" s="197"/>
      <c r="H176" s="136"/>
      <c r="I176" s="136"/>
      <c r="J176" s="278" t="s">
        <v>290</v>
      </c>
      <c r="K176" s="277"/>
      <c r="L176" s="277"/>
      <c r="M176" s="277"/>
      <c r="N176" s="277"/>
    </row>
    <row r="177" spans="2:14">
      <c r="B177" s="262"/>
      <c r="C177" s="263"/>
      <c r="D177" s="263"/>
      <c r="E177" s="262"/>
      <c r="F177" s="141">
        <v>15</v>
      </c>
      <c r="G177" s="194">
        <f>+C176</f>
        <v>45756</v>
      </c>
      <c r="H177" s="156" t="str">
        <f>+B179</f>
        <v>Operaciones del Ejercicio</v>
      </c>
      <c r="I177" s="156">
        <f>+D179</f>
        <v>0</v>
      </c>
      <c r="J177" s="277"/>
      <c r="K177" s="277"/>
      <c r="L177" s="277"/>
      <c r="M177" s="277"/>
      <c r="N177" s="277"/>
    </row>
    <row r="178" spans="2:14">
      <c r="B178" s="264"/>
      <c r="C178" s="265"/>
      <c r="D178" s="265"/>
      <c r="E178" s="264"/>
      <c r="F178" s="141">
        <f>+F177</f>
        <v>15</v>
      </c>
      <c r="G178" s="194">
        <f>+G177</f>
        <v>45756</v>
      </c>
      <c r="H178" s="156" t="str">
        <f>+H177</f>
        <v>Operaciones del Ejercicio</v>
      </c>
      <c r="I178" s="156">
        <f>+I177</f>
        <v>0</v>
      </c>
      <c r="J178" s="277"/>
      <c r="K178" s="277"/>
      <c r="L178" s="277"/>
      <c r="M178" s="277"/>
      <c r="N178" s="277"/>
    </row>
    <row r="179" spans="2:14" ht="14.45" customHeight="1">
      <c r="B179" s="386" t="s">
        <v>264</v>
      </c>
      <c r="C179" s="387"/>
      <c r="D179" s="386"/>
      <c r="E179" s="387"/>
      <c r="F179" s="141"/>
      <c r="G179" s="194"/>
      <c r="H179" s="140"/>
      <c r="I179" s="140"/>
      <c r="J179" s="277"/>
      <c r="K179" s="277"/>
      <c r="L179" s="277"/>
      <c r="M179" s="277"/>
      <c r="N179" s="277"/>
    </row>
    <row r="180" spans="2:14" ht="14.45" customHeight="1" thickBot="1">
      <c r="B180" s="382" t="str">
        <f>+IF(SUM(B177:B178)=SUM(E177:E178),"Asiento Cuadrado","Asiento Descuadrado")</f>
        <v>Asiento Cuadrado</v>
      </c>
      <c r="C180" s="383"/>
      <c r="D180" s="383"/>
      <c r="E180" s="191">
        <f>+SUM(B177:B178)-SUM(E177:E178)</f>
        <v>0</v>
      </c>
      <c r="F180" s="141"/>
      <c r="G180" s="194"/>
      <c r="H180" s="140"/>
      <c r="I180" s="140"/>
      <c r="J180" s="277"/>
      <c r="K180" s="277"/>
      <c r="L180" s="277"/>
      <c r="M180" s="277"/>
      <c r="N180" s="277"/>
    </row>
    <row r="181" spans="2:14" ht="15.75" thickBot="1">
      <c r="B181" s="50"/>
      <c r="C181" s="27"/>
      <c r="D181" s="27"/>
      <c r="E181" s="50"/>
      <c r="F181" s="138"/>
      <c r="G181" s="195"/>
      <c r="H181" s="138"/>
      <c r="I181" s="138"/>
      <c r="J181" s="277"/>
      <c r="K181" s="277"/>
      <c r="L181" s="277"/>
      <c r="M181" s="277"/>
      <c r="N181" s="277"/>
    </row>
    <row r="182" spans="2:14">
      <c r="B182" s="322" t="s">
        <v>210</v>
      </c>
      <c r="C182" s="389" t="s">
        <v>291</v>
      </c>
      <c r="D182" s="389"/>
      <c r="E182" s="323" t="s">
        <v>211</v>
      </c>
      <c r="F182" s="135"/>
      <c r="G182" s="196"/>
      <c r="H182" s="135"/>
      <c r="I182" s="135"/>
      <c r="J182" s="278" t="s">
        <v>292</v>
      </c>
      <c r="K182" s="277"/>
      <c r="L182" s="277"/>
      <c r="M182" s="277"/>
      <c r="N182" s="277"/>
    </row>
    <row r="183" spans="2:14" ht="15" customHeight="1" thickBot="1">
      <c r="B183" s="324">
        <f>+SUM(B184:B185)</f>
        <v>0</v>
      </c>
      <c r="C183" s="388">
        <v>45766</v>
      </c>
      <c r="D183" s="388"/>
      <c r="E183" s="325">
        <f>+SUM(E184:E185)</f>
        <v>0</v>
      </c>
      <c r="F183" s="136"/>
      <c r="G183" s="197"/>
      <c r="H183" s="136"/>
      <c r="I183" s="136"/>
      <c r="K183" s="277"/>
      <c r="L183" s="277"/>
      <c r="M183" s="277"/>
      <c r="N183" s="277"/>
    </row>
    <row r="184" spans="2:14">
      <c r="B184" s="262"/>
      <c r="C184" s="263"/>
      <c r="D184" s="263"/>
      <c r="E184" s="262"/>
      <c r="F184" s="141">
        <v>16</v>
      </c>
      <c r="G184" s="194">
        <f>+C183</f>
        <v>45766</v>
      </c>
      <c r="H184" s="156" t="str">
        <f>+B186</f>
        <v>Operaciones del Ejercicio</v>
      </c>
      <c r="I184" s="156">
        <f>+D186</f>
        <v>0</v>
      </c>
      <c r="J184" s="277"/>
      <c r="K184" s="277"/>
      <c r="L184" s="277"/>
      <c r="M184" s="277"/>
      <c r="N184" s="277"/>
    </row>
    <row r="185" spans="2:14">
      <c r="B185" s="264"/>
      <c r="C185" s="265"/>
      <c r="D185" s="265"/>
      <c r="E185" s="264"/>
      <c r="F185" s="141">
        <f>+F184</f>
        <v>16</v>
      </c>
      <c r="G185" s="194">
        <f>+G184</f>
        <v>45766</v>
      </c>
      <c r="H185" s="156" t="str">
        <f>+H184</f>
        <v>Operaciones del Ejercicio</v>
      </c>
      <c r="I185" s="156">
        <f>+I184</f>
        <v>0</v>
      </c>
      <c r="J185" s="277"/>
      <c r="K185" s="277"/>
      <c r="L185" s="277"/>
      <c r="M185" s="277"/>
      <c r="N185" s="277"/>
    </row>
    <row r="186" spans="2:14" ht="14.45" customHeight="1">
      <c r="B186" s="386" t="s">
        <v>264</v>
      </c>
      <c r="C186" s="387"/>
      <c r="D186" s="386"/>
      <c r="E186" s="387"/>
      <c r="F186" s="141"/>
      <c r="G186" s="194"/>
      <c r="H186" s="140"/>
      <c r="I186" s="140"/>
      <c r="J186" s="277"/>
      <c r="K186" s="277"/>
      <c r="L186" s="277"/>
      <c r="M186" s="277"/>
      <c r="N186" s="277"/>
    </row>
    <row r="187" spans="2:14" ht="14.45" customHeight="1" thickBot="1">
      <c r="B187" s="382" t="str">
        <f>+IF(SUM(B184:B185)=SUM(E184:E185),"Asiento Cuadrado","Asiento Descuadrado")</f>
        <v>Asiento Cuadrado</v>
      </c>
      <c r="C187" s="383"/>
      <c r="D187" s="383"/>
      <c r="E187" s="191">
        <f>+SUM(B184:B185)-SUM(E184:E185)</f>
        <v>0</v>
      </c>
      <c r="F187" s="141"/>
      <c r="G187" s="194"/>
      <c r="H187" s="140"/>
      <c r="I187" s="140"/>
      <c r="J187" s="277"/>
      <c r="K187" s="277"/>
      <c r="L187" s="277"/>
      <c r="M187" s="277"/>
      <c r="N187" s="277"/>
    </row>
    <row r="188" spans="2:14" ht="15.75" thickBot="1">
      <c r="B188" s="50"/>
      <c r="C188" s="27"/>
      <c r="D188" s="27"/>
      <c r="E188" s="50"/>
      <c r="F188" s="138"/>
      <c r="G188" s="195"/>
      <c r="H188" s="138"/>
      <c r="I188" s="138"/>
      <c r="J188" s="277"/>
      <c r="K188" s="277"/>
      <c r="L188" s="277"/>
      <c r="M188" s="277"/>
      <c r="N188" s="277"/>
    </row>
    <row r="189" spans="2:14">
      <c r="B189" s="322" t="s">
        <v>210</v>
      </c>
      <c r="C189" s="389" t="s">
        <v>293</v>
      </c>
      <c r="D189" s="389"/>
      <c r="E189" s="323" t="s">
        <v>211</v>
      </c>
      <c r="F189" s="135"/>
      <c r="G189" s="196"/>
      <c r="H189" s="135"/>
      <c r="I189" s="135"/>
      <c r="J189" s="277"/>
      <c r="K189" s="277"/>
      <c r="L189" s="277"/>
      <c r="M189" s="277"/>
      <c r="N189" s="277"/>
    </row>
    <row r="190" spans="2:14" ht="15" customHeight="1">
      <c r="B190" s="324">
        <f>+SUM(B191:B192)</f>
        <v>0</v>
      </c>
      <c r="C190" s="388">
        <v>45767</v>
      </c>
      <c r="D190" s="388"/>
      <c r="E190" s="325">
        <f>+SUM(E191:E192)</f>
        <v>0</v>
      </c>
      <c r="F190" s="136"/>
      <c r="G190" s="197"/>
      <c r="H190" s="136"/>
      <c r="I190" s="136"/>
      <c r="J190" s="278" t="s">
        <v>294</v>
      </c>
      <c r="K190" s="277"/>
      <c r="L190" s="277"/>
      <c r="M190" s="277"/>
      <c r="N190" s="277"/>
    </row>
    <row r="191" spans="2:14">
      <c r="B191" s="262"/>
      <c r="C191" s="263"/>
      <c r="D191" s="263"/>
      <c r="E191" s="262"/>
      <c r="F191" s="141">
        <v>17</v>
      </c>
      <c r="G191" s="194">
        <f>+C190</f>
        <v>45767</v>
      </c>
      <c r="H191" s="156" t="str">
        <f>+B193</f>
        <v>Operaciones del Ejercicio</v>
      </c>
      <c r="I191" s="156">
        <f>+D193</f>
        <v>0</v>
      </c>
      <c r="J191" s="277"/>
      <c r="K191" s="277"/>
      <c r="L191" s="277"/>
      <c r="M191" s="277"/>
      <c r="N191" s="277"/>
    </row>
    <row r="192" spans="2:14">
      <c r="B192" s="264"/>
      <c r="C192" s="265"/>
      <c r="D192" s="265"/>
      <c r="E192" s="264"/>
      <c r="F192" s="141">
        <f>+F191</f>
        <v>17</v>
      </c>
      <c r="G192" s="194">
        <f>+G191</f>
        <v>45767</v>
      </c>
      <c r="H192" s="156" t="str">
        <f>+H191</f>
        <v>Operaciones del Ejercicio</v>
      </c>
      <c r="I192" s="156">
        <f>+I191</f>
        <v>0</v>
      </c>
      <c r="J192" s="277"/>
      <c r="K192" s="277"/>
      <c r="L192" s="277"/>
      <c r="M192" s="277"/>
      <c r="N192" s="277"/>
    </row>
    <row r="193" spans="2:14" ht="14.45" customHeight="1">
      <c r="B193" s="386" t="s">
        <v>264</v>
      </c>
      <c r="C193" s="387"/>
      <c r="D193" s="386"/>
      <c r="E193" s="387"/>
      <c r="F193" s="141"/>
      <c r="G193" s="194"/>
      <c r="H193" s="140"/>
      <c r="I193" s="140"/>
      <c r="J193" s="277"/>
      <c r="K193" s="277"/>
      <c r="L193" s="277"/>
      <c r="M193" s="277"/>
      <c r="N193" s="277"/>
    </row>
    <row r="194" spans="2:14" ht="14.45" customHeight="1" thickBot="1">
      <c r="B194" s="382" t="str">
        <f>+IF(SUM(B191:B192)=SUM(E191:E192),"Asiento Cuadrado","Asiento Descuadrado")</f>
        <v>Asiento Cuadrado</v>
      </c>
      <c r="C194" s="383"/>
      <c r="D194" s="383"/>
      <c r="E194" s="191">
        <f>+SUM(B191:B192)-SUM(E191:E192)</f>
        <v>0</v>
      </c>
      <c r="F194" s="141"/>
      <c r="G194" s="194"/>
      <c r="H194" s="140"/>
      <c r="I194" s="140"/>
      <c r="J194" s="277"/>
      <c r="K194" s="277"/>
      <c r="L194" s="277"/>
      <c r="M194" s="277"/>
      <c r="N194" s="277"/>
    </row>
    <row r="195" spans="2:14" ht="15.75" thickBot="1">
      <c r="B195" s="50"/>
      <c r="C195" s="27"/>
      <c r="D195" s="27"/>
      <c r="E195" s="50"/>
      <c r="F195" s="138"/>
      <c r="G195" s="195"/>
      <c r="H195" s="138"/>
      <c r="I195" s="138"/>
      <c r="J195" s="277"/>
      <c r="K195" s="277"/>
      <c r="L195" s="277"/>
      <c r="M195" s="277"/>
      <c r="N195" s="277"/>
    </row>
    <row r="196" spans="2:14">
      <c r="B196" s="322" t="s">
        <v>210</v>
      </c>
      <c r="C196" s="389" t="s">
        <v>295</v>
      </c>
      <c r="D196" s="389"/>
      <c r="E196" s="323" t="s">
        <v>211</v>
      </c>
      <c r="F196" s="135"/>
      <c r="G196" s="196"/>
      <c r="H196" s="135"/>
      <c r="I196" s="135"/>
      <c r="J196" s="277" t="s">
        <v>296</v>
      </c>
      <c r="K196" s="277"/>
      <c r="L196" s="277"/>
      <c r="M196" s="277"/>
      <c r="N196" s="277"/>
    </row>
    <row r="197" spans="2:14" ht="15" customHeight="1">
      <c r="B197" s="324">
        <f>+SUM(B198:B201)</f>
        <v>0</v>
      </c>
      <c r="C197" s="388">
        <v>45777</v>
      </c>
      <c r="D197" s="388"/>
      <c r="E197" s="325">
        <f>+SUM(E198:E201)</f>
        <v>0</v>
      </c>
      <c r="F197" s="136"/>
      <c r="G197" s="197"/>
      <c r="H197" s="136"/>
      <c r="I197" s="136"/>
      <c r="J197" s="286"/>
      <c r="K197" s="280"/>
      <c r="L197" s="277"/>
      <c r="M197" s="277"/>
      <c r="N197" s="277"/>
    </row>
    <row r="198" spans="2:14">
      <c r="B198" s="262"/>
      <c r="C198" s="263"/>
      <c r="D198" s="263"/>
      <c r="E198" s="262"/>
      <c r="F198" s="141">
        <v>18</v>
      </c>
      <c r="G198" s="194">
        <f>+C197</f>
        <v>45777</v>
      </c>
      <c r="H198" s="156" t="str">
        <f>+B202</f>
        <v>Operaciones del Ejercicio</v>
      </c>
      <c r="I198" s="156">
        <f>+D202</f>
        <v>0</v>
      </c>
      <c r="J198" s="277"/>
      <c r="K198" s="277"/>
      <c r="L198" s="277"/>
      <c r="M198" s="277"/>
      <c r="N198" s="277"/>
    </row>
    <row r="199" spans="2:14">
      <c r="B199" s="264"/>
      <c r="C199" s="265"/>
      <c r="D199" s="265"/>
      <c r="E199" s="264"/>
      <c r="F199" s="141">
        <f>+F198</f>
        <v>18</v>
      </c>
      <c r="G199" s="194">
        <f>+G198</f>
        <v>45777</v>
      </c>
      <c r="H199" s="156" t="str">
        <f>+H198</f>
        <v>Operaciones del Ejercicio</v>
      </c>
      <c r="I199" s="156">
        <f>+I198</f>
        <v>0</v>
      </c>
      <c r="J199" s="277"/>
      <c r="K199" s="277"/>
      <c r="L199" s="277"/>
      <c r="M199" s="277"/>
      <c r="N199" s="277"/>
    </row>
    <row r="200" spans="2:14">
      <c r="B200" s="264"/>
      <c r="C200" s="265"/>
      <c r="D200" s="265"/>
      <c r="E200" s="264"/>
      <c r="F200" s="141">
        <f>+F199</f>
        <v>18</v>
      </c>
      <c r="G200" s="194">
        <f t="shared" ref="G200:I201" si="8">+G199</f>
        <v>45777</v>
      </c>
      <c r="H200" s="156" t="str">
        <f t="shared" si="8"/>
        <v>Operaciones del Ejercicio</v>
      </c>
      <c r="I200" s="156">
        <f t="shared" si="8"/>
        <v>0</v>
      </c>
      <c r="J200" s="277"/>
      <c r="K200" s="277"/>
      <c r="L200" s="277"/>
      <c r="M200" s="277"/>
      <c r="N200" s="277"/>
    </row>
    <row r="201" spans="2:14">
      <c r="B201" s="264"/>
      <c r="C201" s="265"/>
      <c r="D201" s="265"/>
      <c r="E201" s="264"/>
      <c r="F201" s="141">
        <f>+F200</f>
        <v>18</v>
      </c>
      <c r="G201" s="194">
        <f t="shared" si="8"/>
        <v>45777</v>
      </c>
      <c r="H201" s="156" t="str">
        <f t="shared" si="8"/>
        <v>Operaciones del Ejercicio</v>
      </c>
      <c r="I201" s="156">
        <f t="shared" si="8"/>
        <v>0</v>
      </c>
      <c r="J201" s="277"/>
      <c r="K201" s="277"/>
      <c r="L201" s="277"/>
      <c r="M201" s="277"/>
      <c r="N201" s="277"/>
    </row>
    <row r="202" spans="2:14" ht="14.45" customHeight="1">
      <c r="B202" s="386" t="s">
        <v>264</v>
      </c>
      <c r="C202" s="387"/>
      <c r="D202" s="386"/>
      <c r="E202" s="387"/>
      <c r="F202" s="141"/>
      <c r="G202" s="194"/>
      <c r="H202" s="140"/>
      <c r="I202" s="140"/>
      <c r="J202" s="277"/>
      <c r="K202" s="277"/>
      <c r="L202" s="277"/>
      <c r="M202" s="277"/>
      <c r="N202" s="277"/>
    </row>
    <row r="203" spans="2:14" ht="14.45" customHeight="1" thickBot="1">
      <c r="B203" s="382" t="str">
        <f>+IF(SUM(B198:B201)=SUM(E198:E201),"Asiento Cuadrado","Asiento Descuadrado")</f>
        <v>Asiento Cuadrado</v>
      </c>
      <c r="C203" s="383"/>
      <c r="D203" s="383"/>
      <c r="E203" s="191">
        <f>+SUM(B198:B201)-SUM(E198:E201)</f>
        <v>0</v>
      </c>
      <c r="F203" s="141"/>
      <c r="G203" s="194"/>
      <c r="H203" s="140"/>
      <c r="I203" s="140"/>
      <c r="J203" s="277"/>
      <c r="K203" s="277"/>
      <c r="L203" s="277"/>
      <c r="M203" s="277"/>
      <c r="N203" s="277"/>
    </row>
    <row r="204" spans="2:14" ht="15.75" thickBot="1">
      <c r="B204" s="50"/>
      <c r="C204" s="27"/>
      <c r="D204" s="27"/>
      <c r="E204" s="50"/>
      <c r="F204" s="138"/>
      <c r="G204" s="195"/>
      <c r="H204" s="138"/>
      <c r="I204" s="138"/>
      <c r="J204" s="277"/>
      <c r="K204" s="277"/>
      <c r="L204" s="277"/>
      <c r="M204" s="277"/>
      <c r="N204" s="277"/>
    </row>
    <row r="205" spans="2:14">
      <c r="B205" s="322" t="s">
        <v>210</v>
      </c>
      <c r="C205" s="389" t="s">
        <v>297</v>
      </c>
      <c r="D205" s="389"/>
      <c r="E205" s="323" t="s">
        <v>211</v>
      </c>
      <c r="F205" s="135"/>
      <c r="G205" s="196"/>
      <c r="H205" s="135"/>
      <c r="I205" s="135"/>
      <c r="J205" s="277"/>
      <c r="K205" s="277"/>
      <c r="L205" s="277"/>
      <c r="M205" s="277"/>
      <c r="N205" s="277"/>
    </row>
    <row r="206" spans="2:14" ht="15" customHeight="1">
      <c r="B206" s="324">
        <f>+SUM(B207:B208)</f>
        <v>0</v>
      </c>
      <c r="C206" s="388">
        <v>45782</v>
      </c>
      <c r="D206" s="388"/>
      <c r="E206" s="325">
        <f>+SUM(E207:E208)</f>
        <v>0</v>
      </c>
      <c r="F206" s="136"/>
      <c r="G206" s="197"/>
      <c r="H206" s="136"/>
      <c r="I206" s="136"/>
      <c r="J206" s="278" t="s">
        <v>298</v>
      </c>
      <c r="K206" s="277"/>
      <c r="L206" s="277"/>
      <c r="M206" s="277"/>
      <c r="N206" s="277"/>
    </row>
    <row r="207" spans="2:14" ht="15.75" thickBot="1">
      <c r="B207" s="262"/>
      <c r="C207" s="263"/>
      <c r="D207" s="263"/>
      <c r="E207" s="262"/>
      <c r="F207" s="141">
        <v>19</v>
      </c>
      <c r="G207" s="194">
        <f>+C206</f>
        <v>45782</v>
      </c>
      <c r="H207" s="156" t="str">
        <f>+B209</f>
        <v>Operaciones del Ejercicio</v>
      </c>
      <c r="I207" s="156">
        <f>+D209</f>
        <v>0</v>
      </c>
      <c r="J207" s="277"/>
      <c r="K207" s="277"/>
      <c r="L207" s="277"/>
      <c r="M207" s="277"/>
      <c r="N207" s="277"/>
    </row>
    <row r="208" spans="2:14" ht="15.75" hidden="1" thickBot="1">
      <c r="B208" s="264"/>
      <c r="C208" s="265"/>
      <c r="D208" s="265"/>
      <c r="E208" s="264"/>
      <c r="F208" s="141">
        <f>+F207</f>
        <v>19</v>
      </c>
      <c r="G208" s="194">
        <f>+G207</f>
        <v>45782</v>
      </c>
      <c r="H208" s="156" t="str">
        <f>+H207</f>
        <v>Operaciones del Ejercicio</v>
      </c>
      <c r="I208" s="156">
        <f>+I207</f>
        <v>0</v>
      </c>
      <c r="J208" s="277"/>
      <c r="K208" s="277"/>
      <c r="L208" s="277"/>
      <c r="M208" s="277"/>
      <c r="N208" s="277"/>
    </row>
    <row r="209" spans="2:14" ht="14.45" customHeight="1" thickBot="1">
      <c r="B209" s="386" t="s">
        <v>264</v>
      </c>
      <c r="C209" s="387"/>
      <c r="D209" s="386"/>
      <c r="E209" s="387"/>
      <c r="F209" s="141"/>
      <c r="G209" s="194"/>
      <c r="H209" s="140"/>
      <c r="I209" s="140"/>
      <c r="J209" s="277"/>
      <c r="K209" s="277"/>
      <c r="L209" s="277"/>
      <c r="M209" s="277"/>
      <c r="N209" s="277"/>
    </row>
    <row r="210" spans="2:14" ht="14.45" customHeight="1" thickBot="1">
      <c r="B210" s="382" t="str">
        <f>+IF(SUM(B207:B208)=SUM(E207:E208),"Asiento Cuadrado","Asiento Descuadrado")</f>
        <v>Asiento Cuadrado</v>
      </c>
      <c r="C210" s="383"/>
      <c r="D210" s="383"/>
      <c r="E210" s="191">
        <f>+SUM(B207:B208)-SUM(E207:E208)</f>
        <v>0</v>
      </c>
      <c r="F210" s="141"/>
      <c r="G210" s="194"/>
      <c r="H210" s="140"/>
      <c r="I210" s="140"/>
      <c r="J210" s="277"/>
      <c r="K210" s="277"/>
      <c r="L210" s="277"/>
      <c r="M210" s="277"/>
      <c r="N210" s="277"/>
    </row>
    <row r="211" spans="2:14" ht="15.75" thickBot="1">
      <c r="B211" s="50"/>
      <c r="C211" s="27"/>
      <c r="D211" s="27"/>
      <c r="E211" s="50"/>
      <c r="F211" s="138"/>
      <c r="G211" s="195"/>
      <c r="H211" s="138"/>
      <c r="I211" s="138"/>
      <c r="J211" s="277"/>
      <c r="K211" s="277"/>
      <c r="L211" s="277"/>
      <c r="M211" s="277"/>
      <c r="N211" s="277"/>
    </row>
    <row r="212" spans="2:14">
      <c r="B212" s="322" t="s">
        <v>210</v>
      </c>
      <c r="C212" s="389" t="s">
        <v>299</v>
      </c>
      <c r="D212" s="389"/>
      <c r="E212" s="323" t="s">
        <v>211</v>
      </c>
      <c r="F212" s="135"/>
      <c r="G212" s="196"/>
      <c r="H212" s="135"/>
      <c r="I212" s="135"/>
      <c r="J212" s="277"/>
      <c r="K212" s="277"/>
      <c r="L212" s="277"/>
      <c r="M212" s="277"/>
      <c r="N212" s="277"/>
    </row>
    <row r="213" spans="2:14" ht="15" customHeight="1">
      <c r="B213" s="324">
        <f>+SUM(B214:B215)</f>
        <v>0</v>
      </c>
      <c r="C213" s="388">
        <v>45784</v>
      </c>
      <c r="D213" s="388"/>
      <c r="E213" s="325">
        <f>+SUM(E214:E215)</f>
        <v>0</v>
      </c>
      <c r="F213" s="136"/>
      <c r="G213" s="197"/>
      <c r="H213" s="136"/>
      <c r="I213" s="136"/>
      <c r="J213" s="278" t="s">
        <v>300</v>
      </c>
      <c r="K213" s="277"/>
      <c r="L213" s="277"/>
      <c r="M213" s="277"/>
      <c r="N213" s="277"/>
    </row>
    <row r="214" spans="2:14">
      <c r="B214" s="262"/>
      <c r="C214" s="263"/>
      <c r="D214" s="263"/>
      <c r="E214" s="262"/>
      <c r="F214" s="141">
        <v>20</v>
      </c>
      <c r="G214" s="194">
        <f>+C213</f>
        <v>45784</v>
      </c>
      <c r="H214" s="156" t="str">
        <f>+B216</f>
        <v>Operaciones del Ejercicio</v>
      </c>
      <c r="I214" s="156">
        <f>+D216</f>
        <v>0</v>
      </c>
      <c r="J214" s="277"/>
      <c r="K214" s="277"/>
      <c r="L214" s="277"/>
      <c r="M214" s="277"/>
      <c r="N214" s="277"/>
    </row>
    <row r="215" spans="2:14">
      <c r="B215" s="264"/>
      <c r="C215" s="265"/>
      <c r="D215" s="265"/>
      <c r="E215" s="264"/>
      <c r="F215" s="141">
        <f>+F214</f>
        <v>20</v>
      </c>
      <c r="G215" s="194">
        <f>+G214</f>
        <v>45784</v>
      </c>
      <c r="H215" s="156" t="str">
        <f>+H214</f>
        <v>Operaciones del Ejercicio</v>
      </c>
      <c r="I215" s="156">
        <f>+I214</f>
        <v>0</v>
      </c>
      <c r="J215" s="277"/>
      <c r="K215" s="277"/>
      <c r="L215" s="277"/>
      <c r="M215" s="277"/>
      <c r="N215" s="277"/>
    </row>
    <row r="216" spans="2:14" ht="14.45" customHeight="1">
      <c r="B216" s="386" t="s">
        <v>264</v>
      </c>
      <c r="C216" s="387"/>
      <c r="D216" s="386"/>
      <c r="E216" s="387"/>
      <c r="F216" s="141"/>
      <c r="G216" s="194"/>
      <c r="H216" s="140"/>
      <c r="I216" s="140"/>
      <c r="J216" s="277"/>
      <c r="K216" s="277"/>
      <c r="L216" s="277"/>
      <c r="M216" s="277"/>
      <c r="N216" s="277"/>
    </row>
    <row r="217" spans="2:14" ht="14.45" customHeight="1" thickBot="1">
      <c r="B217" s="382" t="str">
        <f>+IF(SUM(B214:B215)=SUM(E214:E215),"Asiento Cuadrado","Asiento Descuadrado")</f>
        <v>Asiento Cuadrado</v>
      </c>
      <c r="C217" s="383"/>
      <c r="D217" s="383"/>
      <c r="E217" s="191">
        <f>+SUM(B214:B215)-SUM(E214:E215)</f>
        <v>0</v>
      </c>
      <c r="F217" s="141"/>
      <c r="G217" s="194"/>
      <c r="H217" s="140"/>
      <c r="I217" s="140"/>
      <c r="J217" s="277"/>
      <c r="K217" s="277"/>
      <c r="L217" s="277"/>
      <c r="M217" s="277"/>
      <c r="N217" s="277"/>
    </row>
    <row r="218" spans="2:14" ht="15.75" thickBot="1">
      <c r="B218" s="50"/>
      <c r="C218" s="27"/>
      <c r="D218" s="27"/>
      <c r="E218" s="50"/>
      <c r="F218" s="138"/>
      <c r="G218" s="195"/>
      <c r="H218" s="138"/>
      <c r="I218" s="138"/>
      <c r="J218" s="277"/>
      <c r="K218" s="277"/>
      <c r="L218" s="277"/>
      <c r="M218" s="277"/>
      <c r="N218" s="277"/>
    </row>
    <row r="219" spans="2:14">
      <c r="B219" s="322" t="s">
        <v>210</v>
      </c>
      <c r="C219" s="389" t="s">
        <v>301</v>
      </c>
      <c r="D219" s="389"/>
      <c r="E219" s="323" t="s">
        <v>211</v>
      </c>
      <c r="F219" s="135"/>
      <c r="G219" s="196"/>
      <c r="H219" s="135"/>
      <c r="I219" s="135"/>
      <c r="J219" s="277"/>
      <c r="K219" s="277"/>
      <c r="L219" s="277"/>
      <c r="M219" s="277"/>
      <c r="N219" s="277"/>
    </row>
    <row r="220" spans="2:14" ht="15" customHeight="1">
      <c r="B220" s="324">
        <f>+SUM(B221:B222)</f>
        <v>0</v>
      </c>
      <c r="C220" s="388">
        <v>45829</v>
      </c>
      <c r="D220" s="388"/>
      <c r="E220" s="325">
        <f>+SUM(E221:E222)</f>
        <v>0</v>
      </c>
      <c r="F220" s="136"/>
      <c r="G220" s="197"/>
      <c r="H220" s="136"/>
      <c r="I220" s="136"/>
      <c r="J220" s="278" t="s">
        <v>302</v>
      </c>
      <c r="K220" s="277"/>
      <c r="L220" s="277"/>
      <c r="M220" s="277"/>
      <c r="N220" s="277"/>
    </row>
    <row r="221" spans="2:14">
      <c r="B221" s="262"/>
      <c r="C221" s="263"/>
      <c r="D221" s="263"/>
      <c r="E221" s="262"/>
      <c r="F221" s="141">
        <v>21</v>
      </c>
      <c r="G221" s="194">
        <f>+C220</f>
        <v>45829</v>
      </c>
      <c r="H221" s="156" t="str">
        <f>+B223</f>
        <v>Operaciones del Ejercicio</v>
      </c>
      <c r="I221" s="156">
        <f>+D223</f>
        <v>0</v>
      </c>
      <c r="J221" s="281" t="s">
        <v>303</v>
      </c>
      <c r="K221" s="281"/>
      <c r="L221" s="277"/>
      <c r="M221" s="277"/>
      <c r="N221" s="277"/>
    </row>
    <row r="222" spans="2:14">
      <c r="B222" s="264"/>
      <c r="C222" s="265"/>
      <c r="D222" s="265"/>
      <c r="E222" s="264"/>
      <c r="F222" s="141">
        <f>+F221</f>
        <v>21</v>
      </c>
      <c r="G222" s="194">
        <f>+G221</f>
        <v>45829</v>
      </c>
      <c r="H222" s="156" t="str">
        <f>+H221</f>
        <v>Operaciones del Ejercicio</v>
      </c>
      <c r="I222" s="156">
        <f>+I221</f>
        <v>0</v>
      </c>
      <c r="J222" s="277"/>
      <c r="K222" s="277"/>
      <c r="L222" s="277"/>
      <c r="M222" s="277"/>
      <c r="N222" s="277"/>
    </row>
    <row r="223" spans="2:14" ht="14.45" customHeight="1">
      <c r="B223" s="386" t="s">
        <v>264</v>
      </c>
      <c r="C223" s="387"/>
      <c r="D223" s="386"/>
      <c r="E223" s="387"/>
      <c r="F223" s="141"/>
      <c r="G223" s="194"/>
      <c r="H223" s="140"/>
      <c r="I223" s="140"/>
      <c r="J223" s="277"/>
      <c r="K223" s="277"/>
      <c r="L223" s="277"/>
      <c r="M223" s="277"/>
      <c r="N223" s="277"/>
    </row>
    <row r="224" spans="2:14" ht="14.45" customHeight="1" thickBot="1">
      <c r="B224" s="382" t="str">
        <f>+IF(SUM(B221:B222)=SUM(E221:E222),"Asiento Cuadrado","Asiento Descuadrado")</f>
        <v>Asiento Cuadrado</v>
      </c>
      <c r="C224" s="383"/>
      <c r="D224" s="383"/>
      <c r="E224" s="191">
        <f>+SUM(B221:B222)-SUM(E221:E222)</f>
        <v>0</v>
      </c>
      <c r="F224" s="141"/>
      <c r="G224" s="194"/>
      <c r="H224" s="140"/>
      <c r="I224" s="140"/>
      <c r="J224" s="277"/>
      <c r="K224" s="277"/>
      <c r="L224" s="277"/>
      <c r="M224" s="277"/>
      <c r="N224" s="277"/>
    </row>
    <row r="225" spans="2:14" ht="15.75" thickBot="1">
      <c r="B225" s="50"/>
      <c r="C225" s="27"/>
      <c r="D225" s="27"/>
      <c r="E225" s="50"/>
      <c r="F225" s="138"/>
      <c r="G225" s="195"/>
      <c r="H225" s="138"/>
      <c r="I225" s="138"/>
      <c r="J225" s="277"/>
      <c r="K225" s="277"/>
      <c r="L225" s="277"/>
      <c r="M225" s="277"/>
      <c r="N225" s="277"/>
    </row>
    <row r="226" spans="2:14">
      <c r="B226" s="322" t="s">
        <v>210</v>
      </c>
      <c r="C226" s="389" t="s">
        <v>304</v>
      </c>
      <c r="D226" s="389"/>
      <c r="E226" s="323" t="s">
        <v>211</v>
      </c>
      <c r="F226" s="135"/>
      <c r="G226" s="196"/>
      <c r="H226" s="135"/>
      <c r="I226" s="135"/>
      <c r="J226" s="277"/>
      <c r="K226" s="277"/>
      <c r="L226" s="277"/>
      <c r="M226" s="277"/>
      <c r="N226" s="277"/>
    </row>
    <row r="227" spans="2:14">
      <c r="B227" s="324">
        <f>+SUM(B228:B229)</f>
        <v>0</v>
      </c>
      <c r="C227" s="388">
        <v>45829</v>
      </c>
      <c r="D227" s="388"/>
      <c r="E227" s="325">
        <f>+SUM(E228:E229)</f>
        <v>0</v>
      </c>
      <c r="F227" s="136"/>
      <c r="G227" s="197"/>
      <c r="H227" s="136"/>
      <c r="I227" s="136"/>
      <c r="J227" s="278" t="s">
        <v>305</v>
      </c>
      <c r="K227" s="282"/>
      <c r="L227" s="277"/>
      <c r="M227" s="277"/>
      <c r="N227" s="277"/>
    </row>
    <row r="228" spans="2:14" ht="15.75" thickBot="1">
      <c r="B228" s="266"/>
      <c r="C228" s="263"/>
      <c r="D228" s="263"/>
      <c r="E228" s="266"/>
      <c r="F228" s="141">
        <v>22</v>
      </c>
      <c r="G228" s="194">
        <f>+C227</f>
        <v>45829</v>
      </c>
      <c r="H228" s="156" t="str">
        <f>+B230</f>
        <v>Operaciones del Ejercicio</v>
      </c>
      <c r="I228" s="156">
        <f>+D230</f>
        <v>0</v>
      </c>
      <c r="J228" s="281" t="s">
        <v>306</v>
      </c>
      <c r="K228" s="277"/>
      <c r="L228" s="277"/>
      <c r="M228" s="277"/>
      <c r="N228" s="277"/>
    </row>
    <row r="229" spans="2:14" ht="15.75" hidden="1" thickBot="1">
      <c r="B229" s="267"/>
      <c r="C229" s="265"/>
      <c r="D229" s="265"/>
      <c r="E229" s="267"/>
      <c r="F229" s="141">
        <f>+F228</f>
        <v>22</v>
      </c>
      <c r="G229" s="194">
        <f>+G228</f>
        <v>45829</v>
      </c>
      <c r="H229" s="156" t="str">
        <f>+H228</f>
        <v>Operaciones del Ejercicio</v>
      </c>
      <c r="I229" s="156">
        <f>+I228</f>
        <v>0</v>
      </c>
      <c r="J229" s="277"/>
      <c r="K229" s="277"/>
      <c r="L229" s="277"/>
      <c r="M229" s="277"/>
      <c r="N229" s="277"/>
    </row>
    <row r="230" spans="2:14" ht="14.45" customHeight="1" thickBot="1">
      <c r="B230" s="390" t="s">
        <v>264</v>
      </c>
      <c r="C230" s="391"/>
      <c r="D230" s="390"/>
      <c r="E230" s="391"/>
      <c r="F230" s="141"/>
      <c r="G230" s="194"/>
      <c r="H230" s="140"/>
      <c r="I230" s="140"/>
      <c r="J230" s="277"/>
      <c r="K230" s="277"/>
      <c r="L230" s="277"/>
      <c r="M230" s="277"/>
      <c r="N230" s="277"/>
    </row>
    <row r="231" spans="2:14" ht="14.45" customHeight="1" thickBot="1">
      <c r="B231" s="382" t="str">
        <f>+IF(SUM(B228:B229)=SUM(E228:E229),"Asiento Cuadrado","Asiento Descuadrado")</f>
        <v>Asiento Cuadrado</v>
      </c>
      <c r="C231" s="383"/>
      <c r="D231" s="383"/>
      <c r="E231" s="191">
        <f>+SUM(B228:B229)-SUM(E228:E229)</f>
        <v>0</v>
      </c>
      <c r="F231" s="141"/>
      <c r="G231" s="194"/>
      <c r="H231" s="140"/>
      <c r="I231" s="140"/>
      <c r="J231" s="277"/>
      <c r="K231" s="277"/>
      <c r="L231" s="277"/>
      <c r="M231" s="277"/>
      <c r="N231" s="277"/>
    </row>
    <row r="232" spans="2:14" ht="15.75" thickBot="1">
      <c r="B232" s="50"/>
      <c r="C232" s="27"/>
      <c r="E232" s="50"/>
      <c r="F232" s="138"/>
      <c r="G232" s="195"/>
      <c r="H232" s="138"/>
      <c r="I232" s="138"/>
      <c r="J232" s="277"/>
      <c r="K232" s="277"/>
      <c r="L232" s="277"/>
      <c r="M232" s="277"/>
      <c r="N232" s="277"/>
    </row>
    <row r="233" spans="2:14">
      <c r="B233" s="322" t="s">
        <v>210</v>
      </c>
      <c r="C233" s="389" t="s">
        <v>307</v>
      </c>
      <c r="D233" s="389"/>
      <c r="E233" s="323" t="s">
        <v>211</v>
      </c>
      <c r="F233" s="135"/>
      <c r="G233" s="196"/>
      <c r="H233" s="135"/>
      <c r="I233" s="135"/>
      <c r="J233" s="277"/>
      <c r="K233" s="277"/>
      <c r="L233" s="277"/>
      <c r="M233" s="277"/>
      <c r="N233" s="277"/>
    </row>
    <row r="234" spans="2:14" ht="15" customHeight="1">
      <c r="B234" s="324">
        <f>+SUM(B235:B236)</f>
        <v>0</v>
      </c>
      <c r="C234" s="388">
        <v>45839</v>
      </c>
      <c r="D234" s="388"/>
      <c r="E234" s="325">
        <f>+SUM(E235:E236)</f>
        <v>0</v>
      </c>
      <c r="F234" s="136"/>
      <c r="G234" s="197"/>
      <c r="H234" s="136"/>
      <c r="I234" s="136"/>
      <c r="J234" s="278" t="s">
        <v>308</v>
      </c>
      <c r="K234" s="277"/>
      <c r="L234" s="277"/>
      <c r="M234" s="277"/>
      <c r="N234" s="277"/>
    </row>
    <row r="235" spans="2:14" ht="15.75" thickBot="1">
      <c r="B235" s="262"/>
      <c r="C235" s="263"/>
      <c r="D235" s="263"/>
      <c r="E235" s="262"/>
      <c r="F235" s="141">
        <v>23</v>
      </c>
      <c r="G235" s="194">
        <f>+C234</f>
        <v>45839</v>
      </c>
      <c r="H235" s="156" t="str">
        <f>+B237</f>
        <v>Operaciones del Ejercicio</v>
      </c>
      <c r="I235" s="156">
        <f>+D237</f>
        <v>0</v>
      </c>
      <c r="J235" s="281" t="s">
        <v>309</v>
      </c>
      <c r="K235" s="281"/>
      <c r="L235" s="277"/>
      <c r="M235" s="277"/>
      <c r="N235" s="277"/>
    </row>
    <row r="236" spans="2:14" ht="15.75" hidden="1" thickBot="1">
      <c r="B236" s="264"/>
      <c r="C236" s="265"/>
      <c r="D236" s="265"/>
      <c r="E236" s="264"/>
      <c r="F236" s="141">
        <f>+F235</f>
        <v>23</v>
      </c>
      <c r="G236" s="194">
        <f>+G235</f>
        <v>45839</v>
      </c>
      <c r="H236" s="156" t="str">
        <f>+H235</f>
        <v>Operaciones del Ejercicio</v>
      </c>
      <c r="I236" s="156">
        <f>+I235</f>
        <v>0</v>
      </c>
      <c r="J236" s="277"/>
      <c r="K236" s="277"/>
      <c r="L236" s="277"/>
      <c r="M236" s="277"/>
      <c r="N236" s="277"/>
    </row>
    <row r="237" spans="2:14" ht="14.45" customHeight="1" thickBot="1">
      <c r="B237" s="386" t="s">
        <v>264</v>
      </c>
      <c r="C237" s="387"/>
      <c r="D237" s="386"/>
      <c r="E237" s="387"/>
      <c r="F237" s="141"/>
      <c r="G237" s="194"/>
      <c r="H237" s="140"/>
      <c r="I237" s="140"/>
      <c r="J237" s="277"/>
      <c r="K237" s="277"/>
      <c r="L237" s="277"/>
      <c r="M237" s="277"/>
      <c r="N237" s="277"/>
    </row>
    <row r="238" spans="2:14" ht="14.45" customHeight="1" thickBot="1">
      <c r="B238" s="382" t="str">
        <f>+IF(SUM(B235:B236)=SUM(E235:E236),"Asiento Cuadrado","Asiento Descuadrado")</f>
        <v>Asiento Cuadrado</v>
      </c>
      <c r="C238" s="383"/>
      <c r="D238" s="383"/>
      <c r="E238" s="191">
        <f>+SUM(B235:B236)-SUM(E235:E236)</f>
        <v>0</v>
      </c>
      <c r="F238" s="141"/>
      <c r="G238" s="194"/>
      <c r="H238" s="140"/>
      <c r="I238" s="140"/>
      <c r="J238" s="277"/>
      <c r="K238" s="277"/>
      <c r="L238" s="277"/>
      <c r="M238" s="277"/>
      <c r="N238" s="277"/>
    </row>
    <row r="239" spans="2:14" ht="15.75" thickBot="1">
      <c r="B239" s="50"/>
      <c r="C239" s="27"/>
      <c r="D239" s="27"/>
      <c r="E239" s="50"/>
      <c r="F239" s="138"/>
      <c r="G239" s="195"/>
      <c r="H239" s="138"/>
      <c r="I239" s="138"/>
      <c r="J239" s="277"/>
      <c r="K239" s="277"/>
      <c r="L239" s="277"/>
      <c r="M239" s="277"/>
      <c r="N239" s="277"/>
    </row>
    <row r="240" spans="2:14">
      <c r="B240" s="322" t="s">
        <v>210</v>
      </c>
      <c r="C240" s="389" t="s">
        <v>310</v>
      </c>
      <c r="D240" s="389"/>
      <c r="E240" s="323" t="s">
        <v>211</v>
      </c>
      <c r="F240" s="135"/>
      <c r="G240" s="196"/>
      <c r="H240" s="135"/>
      <c r="I240" s="135"/>
      <c r="J240" s="277"/>
      <c r="K240" s="277"/>
      <c r="L240" s="277"/>
      <c r="M240" s="277"/>
      <c r="N240" s="277"/>
    </row>
    <row r="241" spans="2:14">
      <c r="B241" s="324">
        <f>+SUM(B242:B243)</f>
        <v>0</v>
      </c>
      <c r="C241" s="388">
        <v>45853</v>
      </c>
      <c r="D241" s="388"/>
      <c r="E241" s="325">
        <f>+SUM(E242:E243)</f>
        <v>0</v>
      </c>
      <c r="F241" s="136"/>
      <c r="G241" s="197"/>
      <c r="H241" s="136"/>
      <c r="I241" s="136"/>
      <c r="J241" s="278" t="s">
        <v>311</v>
      </c>
      <c r="K241" s="282"/>
      <c r="L241" s="277"/>
      <c r="M241" s="277"/>
      <c r="N241" s="277"/>
    </row>
    <row r="242" spans="2:14">
      <c r="B242" s="262"/>
      <c r="C242" s="263"/>
      <c r="D242" s="263"/>
      <c r="E242" s="262"/>
      <c r="F242" s="141">
        <v>24</v>
      </c>
      <c r="G242" s="194">
        <f>+C241</f>
        <v>45853</v>
      </c>
      <c r="H242" s="156" t="str">
        <f>+B244</f>
        <v>Operaciones del Ejercicio</v>
      </c>
      <c r="I242" s="156">
        <f>+D244</f>
        <v>0</v>
      </c>
      <c r="J242" s="277"/>
      <c r="K242" s="277"/>
      <c r="L242" s="277"/>
      <c r="M242" s="277"/>
      <c r="N242" s="277"/>
    </row>
    <row r="243" spans="2:14">
      <c r="B243" s="264"/>
      <c r="C243" s="265"/>
      <c r="D243" s="265"/>
      <c r="E243" s="264"/>
      <c r="F243" s="141">
        <f>+F242</f>
        <v>24</v>
      </c>
      <c r="G243" s="194">
        <f>+G242</f>
        <v>45853</v>
      </c>
      <c r="H243" s="156" t="str">
        <f>+H242</f>
        <v>Operaciones del Ejercicio</v>
      </c>
      <c r="I243" s="156">
        <f>+I242</f>
        <v>0</v>
      </c>
      <c r="J243" s="277"/>
      <c r="K243" s="277"/>
      <c r="L243" s="277"/>
      <c r="M243" s="277"/>
      <c r="N243" s="277"/>
    </row>
    <row r="244" spans="2:14" ht="14.45" customHeight="1">
      <c r="B244" s="386" t="s">
        <v>264</v>
      </c>
      <c r="C244" s="387"/>
      <c r="D244" s="386"/>
      <c r="E244" s="387"/>
      <c r="F244" s="141"/>
      <c r="G244" s="194"/>
      <c r="H244" s="140"/>
      <c r="I244" s="140"/>
      <c r="J244" s="277"/>
      <c r="K244" s="277"/>
      <c r="L244" s="277"/>
      <c r="M244" s="277"/>
      <c r="N244" s="277"/>
    </row>
    <row r="245" spans="2:14" ht="14.45" customHeight="1" thickBot="1">
      <c r="B245" s="382" t="str">
        <f>+IF(SUM(B242:B243)=SUM(E242:E243),"Asiento Cuadrado","Asiento Descuadrado")</f>
        <v>Asiento Cuadrado</v>
      </c>
      <c r="C245" s="383"/>
      <c r="D245" s="383"/>
      <c r="E245" s="191">
        <f>+SUM(B242:B243)-SUM(E242:E243)</f>
        <v>0</v>
      </c>
      <c r="F245" s="141"/>
      <c r="G245" s="194"/>
      <c r="H245" s="140"/>
      <c r="I245" s="140"/>
      <c r="J245" s="277"/>
      <c r="K245" s="277"/>
      <c r="L245" s="277"/>
      <c r="M245" s="277"/>
      <c r="N245" s="277"/>
    </row>
    <row r="246" spans="2:14" ht="15.75" thickBot="1">
      <c r="B246" s="50"/>
      <c r="E246" s="50"/>
      <c r="F246" s="138"/>
      <c r="G246" s="195"/>
      <c r="H246" s="138"/>
      <c r="I246" s="138"/>
      <c r="J246" s="277"/>
      <c r="K246" s="277"/>
      <c r="L246" s="277"/>
      <c r="M246" s="277"/>
      <c r="N246" s="277"/>
    </row>
    <row r="247" spans="2:14">
      <c r="B247" s="322" t="s">
        <v>210</v>
      </c>
      <c r="C247" s="389" t="s">
        <v>312</v>
      </c>
      <c r="D247" s="389"/>
      <c r="E247" s="323" t="s">
        <v>211</v>
      </c>
      <c r="F247" s="135"/>
      <c r="G247" s="196"/>
      <c r="H247" s="135"/>
      <c r="I247" s="135"/>
      <c r="J247" s="277"/>
      <c r="K247" s="277"/>
      <c r="L247" s="277"/>
      <c r="M247" s="277"/>
      <c r="N247" s="277"/>
    </row>
    <row r="248" spans="2:14" ht="15" customHeight="1">
      <c r="B248" s="324">
        <f>+SUM(B249:B250)</f>
        <v>0</v>
      </c>
      <c r="C248" s="388">
        <v>45870</v>
      </c>
      <c r="D248" s="388"/>
      <c r="E248" s="325">
        <f>+SUM(E249:E250)</f>
        <v>0</v>
      </c>
      <c r="F248" s="136"/>
      <c r="G248" s="197"/>
      <c r="H248" s="136"/>
      <c r="I248" s="136"/>
      <c r="J248" s="278" t="s">
        <v>313</v>
      </c>
      <c r="K248" s="277"/>
      <c r="L248" s="277"/>
      <c r="M248" s="277"/>
      <c r="N248" s="277"/>
    </row>
    <row r="249" spans="2:14">
      <c r="B249" s="262"/>
      <c r="C249" s="263"/>
      <c r="D249" s="263"/>
      <c r="E249" s="262"/>
      <c r="F249" s="141">
        <v>25</v>
      </c>
      <c r="G249" s="194">
        <f>+C248</f>
        <v>45870</v>
      </c>
      <c r="H249" s="156" t="str">
        <f>+B251</f>
        <v>Operaciones del Ejercicio</v>
      </c>
      <c r="I249" s="156">
        <f>+D251</f>
        <v>0</v>
      </c>
      <c r="J249" s="281" t="s">
        <v>314</v>
      </c>
      <c r="K249" s="281"/>
      <c r="L249" s="277"/>
      <c r="M249" s="277"/>
      <c r="N249" s="277"/>
    </row>
    <row r="250" spans="2:14">
      <c r="B250" s="264"/>
      <c r="C250" s="265"/>
      <c r="D250" s="265"/>
      <c r="E250" s="264"/>
      <c r="F250" s="141">
        <f>+F249</f>
        <v>25</v>
      </c>
      <c r="G250" s="194">
        <f>+G249</f>
        <v>45870</v>
      </c>
      <c r="H250" s="156" t="str">
        <f>+H249</f>
        <v>Operaciones del Ejercicio</v>
      </c>
      <c r="I250" s="156">
        <f>+I249</f>
        <v>0</v>
      </c>
      <c r="J250" s="277"/>
      <c r="K250" s="277"/>
      <c r="L250" s="277"/>
      <c r="M250" s="277"/>
      <c r="N250" s="277"/>
    </row>
    <row r="251" spans="2:14" ht="14.45" customHeight="1">
      <c r="B251" s="386" t="s">
        <v>264</v>
      </c>
      <c r="C251" s="387"/>
      <c r="D251" s="386"/>
      <c r="E251" s="387"/>
      <c r="F251" s="141"/>
      <c r="G251" s="194"/>
      <c r="H251" s="140"/>
      <c r="I251" s="140"/>
      <c r="J251" s="277"/>
      <c r="K251" s="277"/>
      <c r="L251" s="277"/>
      <c r="M251" s="277"/>
      <c r="N251" s="277"/>
    </row>
    <row r="252" spans="2:14" ht="14.45" customHeight="1" thickBot="1">
      <c r="B252" s="382" t="str">
        <f>+IF(SUM(B249:B250)=SUM(E249:E250),"Asiento Cuadrado","Asiento Descuadrado")</f>
        <v>Asiento Cuadrado</v>
      </c>
      <c r="C252" s="383"/>
      <c r="D252" s="383"/>
      <c r="E252" s="191">
        <f>+SUM(B249:B250)-SUM(E249:E250)</f>
        <v>0</v>
      </c>
      <c r="F252" s="141"/>
      <c r="G252" s="194"/>
      <c r="H252" s="140"/>
      <c r="I252" s="140"/>
      <c r="J252" s="277"/>
      <c r="K252" s="277"/>
      <c r="L252" s="277"/>
      <c r="M252" s="277"/>
      <c r="N252" s="277"/>
    </row>
    <row r="253" spans="2:14" ht="15.75" thickBot="1">
      <c r="B253" s="50"/>
      <c r="C253" s="27"/>
      <c r="D253" s="27"/>
      <c r="E253" s="50"/>
      <c r="F253" s="138"/>
      <c r="G253" s="195"/>
      <c r="H253" s="138"/>
      <c r="I253" s="138"/>
      <c r="J253" s="277"/>
      <c r="K253" s="277"/>
      <c r="L253" s="277"/>
      <c r="M253" s="277"/>
      <c r="N253" s="277"/>
    </row>
    <row r="254" spans="2:14">
      <c r="B254" s="322" t="s">
        <v>210</v>
      </c>
      <c r="C254" s="389" t="s">
        <v>315</v>
      </c>
      <c r="D254" s="389"/>
      <c r="E254" s="323" t="s">
        <v>211</v>
      </c>
      <c r="F254" s="135"/>
      <c r="G254" s="196"/>
      <c r="H254" s="135"/>
      <c r="I254" s="135"/>
      <c r="J254" s="277"/>
      <c r="K254" s="277"/>
      <c r="L254" s="277"/>
      <c r="M254" s="277"/>
      <c r="N254" s="277"/>
    </row>
    <row r="255" spans="2:14" ht="15" customHeight="1">
      <c r="B255" s="324">
        <f>+SUM(B256:B257)</f>
        <v>0</v>
      </c>
      <c r="C255" s="388">
        <v>45870</v>
      </c>
      <c r="D255" s="388"/>
      <c r="E255" s="325">
        <f>+SUM(E256:E257)</f>
        <v>0</v>
      </c>
      <c r="F255" s="136"/>
      <c r="G255" s="197"/>
      <c r="H255" s="136"/>
      <c r="I255" s="136"/>
      <c r="J255" s="278" t="s">
        <v>316</v>
      </c>
      <c r="K255" s="277"/>
      <c r="L255" s="277"/>
      <c r="M255" s="277"/>
      <c r="N255" s="277"/>
    </row>
    <row r="256" spans="2:14" ht="15.75" thickBot="1">
      <c r="B256" s="262"/>
      <c r="C256" s="263"/>
      <c r="D256" s="263"/>
      <c r="E256" s="262"/>
      <c r="F256" s="141">
        <v>26</v>
      </c>
      <c r="G256" s="194">
        <f>+C255</f>
        <v>45870</v>
      </c>
      <c r="H256" s="156" t="str">
        <f>+B258</f>
        <v>Operaciones del Ejercicio</v>
      </c>
      <c r="I256" s="156">
        <f>+D258</f>
        <v>0</v>
      </c>
      <c r="J256" s="277"/>
      <c r="K256" s="277"/>
      <c r="L256" s="277"/>
      <c r="M256" s="277"/>
      <c r="N256" s="277"/>
    </row>
    <row r="257" spans="2:14" ht="15.75" hidden="1" thickBot="1">
      <c r="B257" s="264"/>
      <c r="C257" s="265"/>
      <c r="D257" s="265"/>
      <c r="E257" s="264"/>
      <c r="F257" s="141">
        <f>+F256</f>
        <v>26</v>
      </c>
      <c r="G257" s="194">
        <f>+G256</f>
        <v>45870</v>
      </c>
      <c r="H257" s="156" t="str">
        <f>+H256</f>
        <v>Operaciones del Ejercicio</v>
      </c>
      <c r="I257" s="156">
        <f>+I256</f>
        <v>0</v>
      </c>
      <c r="J257" s="277"/>
      <c r="K257" s="277"/>
      <c r="L257" s="277"/>
      <c r="M257" s="277"/>
      <c r="N257" s="277"/>
    </row>
    <row r="258" spans="2:14" ht="14.45" customHeight="1" thickBot="1">
      <c r="B258" s="386" t="s">
        <v>264</v>
      </c>
      <c r="C258" s="387"/>
      <c r="D258" s="386"/>
      <c r="E258" s="387"/>
      <c r="F258" s="141"/>
      <c r="G258" s="194"/>
      <c r="H258" s="140"/>
      <c r="I258" s="140"/>
      <c r="J258" s="277"/>
      <c r="K258" s="277"/>
      <c r="L258" s="277"/>
      <c r="M258" s="277"/>
      <c r="N258" s="277"/>
    </row>
    <row r="259" spans="2:14" ht="14.45" customHeight="1" thickBot="1">
      <c r="B259" s="382" t="str">
        <f>+IF(SUM(B256:B257)=SUM(E256:E257),"Asiento Cuadrado","Asiento Descuadrado")</f>
        <v>Asiento Cuadrado</v>
      </c>
      <c r="C259" s="383"/>
      <c r="D259" s="383"/>
      <c r="E259" s="191">
        <f>+SUM(B256:B257)-SUM(E256:E257)</f>
        <v>0</v>
      </c>
      <c r="F259" s="141"/>
      <c r="G259" s="194"/>
      <c r="H259" s="140"/>
      <c r="I259" s="140"/>
      <c r="J259" s="277"/>
      <c r="K259" s="277"/>
      <c r="L259" s="277"/>
      <c r="M259" s="277"/>
      <c r="N259" s="277"/>
    </row>
    <row r="260" spans="2:14" ht="15.75" thickBot="1">
      <c r="B260" s="50"/>
      <c r="C260" s="27"/>
      <c r="D260" s="27"/>
      <c r="E260" s="50"/>
      <c r="F260" s="138"/>
      <c r="G260" s="195"/>
      <c r="H260" s="138"/>
      <c r="I260" s="138"/>
      <c r="J260" s="277"/>
      <c r="K260" s="277"/>
      <c r="L260" s="277"/>
      <c r="M260" s="277"/>
      <c r="N260" s="277"/>
    </row>
    <row r="261" spans="2:14">
      <c r="B261" s="322" t="s">
        <v>210</v>
      </c>
      <c r="C261" s="389" t="s">
        <v>317</v>
      </c>
      <c r="D261" s="389"/>
      <c r="E261" s="323" t="s">
        <v>211</v>
      </c>
      <c r="F261" s="135"/>
      <c r="G261" s="196"/>
      <c r="H261" s="135"/>
      <c r="I261" s="135"/>
      <c r="J261" s="277"/>
      <c r="K261" s="277"/>
      <c r="L261" s="277"/>
      <c r="M261" s="277"/>
      <c r="N261" s="277"/>
    </row>
    <row r="262" spans="2:14" ht="15" customHeight="1">
      <c r="B262" s="324">
        <f>+SUM(B263:B264)</f>
        <v>0</v>
      </c>
      <c r="C262" s="388">
        <v>45884</v>
      </c>
      <c r="D262" s="388"/>
      <c r="E262" s="325">
        <f>+SUM(E263:E264)</f>
        <v>0</v>
      </c>
      <c r="F262" s="136"/>
      <c r="G262" s="197"/>
      <c r="H262" s="136"/>
      <c r="I262" s="136"/>
      <c r="J262" s="278" t="s">
        <v>318</v>
      </c>
      <c r="K262" s="277"/>
      <c r="L262" s="277"/>
      <c r="M262" s="277"/>
      <c r="N262" s="277"/>
    </row>
    <row r="263" spans="2:14" ht="15.75" thickBot="1">
      <c r="B263" s="262"/>
      <c r="C263" s="263"/>
      <c r="D263" s="263"/>
      <c r="E263" s="262"/>
      <c r="F263" s="141">
        <v>27</v>
      </c>
      <c r="G263" s="194">
        <f>+C262</f>
        <v>45884</v>
      </c>
      <c r="H263" s="156" t="str">
        <f>+B265</f>
        <v>Operaciones del Ejercicio</v>
      </c>
      <c r="I263" s="156">
        <f>+D265</f>
        <v>0</v>
      </c>
      <c r="J263" s="283" t="s">
        <v>319</v>
      </c>
      <c r="K263" s="281"/>
      <c r="L263" s="277"/>
      <c r="M263" s="277"/>
      <c r="N263" s="277"/>
    </row>
    <row r="264" spans="2:14" ht="15.75" hidden="1" thickBot="1">
      <c r="B264" s="264"/>
      <c r="C264" s="265"/>
      <c r="D264" s="265"/>
      <c r="E264" s="264"/>
      <c r="F264" s="141">
        <f>+F263</f>
        <v>27</v>
      </c>
      <c r="G264" s="194">
        <f>+G263</f>
        <v>45884</v>
      </c>
      <c r="H264" s="156" t="str">
        <f>+H263</f>
        <v>Operaciones del Ejercicio</v>
      </c>
      <c r="I264" s="156">
        <f>+I263</f>
        <v>0</v>
      </c>
      <c r="J264" s="277"/>
      <c r="K264" s="277"/>
      <c r="L264" s="277"/>
      <c r="M264" s="277"/>
      <c r="N264" s="277"/>
    </row>
    <row r="265" spans="2:14" ht="14.45" customHeight="1" thickBot="1">
      <c r="B265" s="386" t="s">
        <v>264</v>
      </c>
      <c r="C265" s="387"/>
      <c r="D265" s="386"/>
      <c r="E265" s="387"/>
      <c r="F265" s="141"/>
      <c r="G265" s="194"/>
      <c r="H265" s="140"/>
      <c r="I265" s="140"/>
      <c r="J265" s="277"/>
      <c r="K265" s="277"/>
      <c r="L265" s="277"/>
      <c r="M265" s="277"/>
      <c r="N265" s="277"/>
    </row>
    <row r="266" spans="2:14" ht="14.45" customHeight="1" thickBot="1">
      <c r="B266" s="382" t="str">
        <f>+IF(SUM(B263:B264)=SUM(E263:E264),"Asiento Cuadrado","Asiento Descuadrado")</f>
        <v>Asiento Cuadrado</v>
      </c>
      <c r="C266" s="383"/>
      <c r="D266" s="383"/>
      <c r="E266" s="191">
        <f>+SUM(B263:B264)-SUM(E263:E264)</f>
        <v>0</v>
      </c>
      <c r="F266" s="141"/>
      <c r="G266" s="194"/>
      <c r="H266" s="140"/>
      <c r="I266" s="140"/>
      <c r="J266" s="277"/>
      <c r="K266" s="277"/>
      <c r="L266" s="277"/>
      <c r="M266" s="277"/>
      <c r="N266" s="277"/>
    </row>
    <row r="267" spans="2:14" ht="15.75" thickBot="1">
      <c r="B267" s="50"/>
      <c r="C267" s="27"/>
      <c r="D267" s="27"/>
      <c r="E267" s="50"/>
      <c r="F267" s="138"/>
      <c r="G267" s="195"/>
      <c r="H267" s="138"/>
      <c r="I267" s="138"/>
      <c r="J267" s="277"/>
      <c r="K267" s="277"/>
      <c r="L267" s="277"/>
      <c r="M267" s="277"/>
      <c r="N267" s="277"/>
    </row>
    <row r="268" spans="2:14">
      <c r="B268" s="322" t="s">
        <v>210</v>
      </c>
      <c r="C268" s="389" t="s">
        <v>320</v>
      </c>
      <c r="D268" s="389"/>
      <c r="E268" s="323" t="s">
        <v>211</v>
      </c>
      <c r="F268" s="135"/>
      <c r="G268" s="196"/>
      <c r="H268" s="135"/>
      <c r="I268" s="135"/>
      <c r="J268" s="277"/>
      <c r="K268" s="277"/>
      <c r="L268" s="277"/>
      <c r="M268" s="277"/>
      <c r="N268" s="277"/>
    </row>
    <row r="269" spans="2:14" ht="15" customHeight="1">
      <c r="B269" s="324">
        <f>+SUM(B270:B271)</f>
        <v>0</v>
      </c>
      <c r="C269" s="388">
        <v>45884</v>
      </c>
      <c r="D269" s="388"/>
      <c r="E269" s="325">
        <f>+SUM(E270:E271)</f>
        <v>0</v>
      </c>
      <c r="F269" s="136"/>
      <c r="G269" s="197"/>
      <c r="H269" s="136"/>
      <c r="I269" s="136"/>
      <c r="J269" s="283" t="s">
        <v>321</v>
      </c>
      <c r="K269" s="277"/>
      <c r="L269" s="277"/>
      <c r="M269" s="277"/>
      <c r="N269" s="277"/>
    </row>
    <row r="270" spans="2:14">
      <c r="B270" s="262"/>
      <c r="C270" s="263"/>
      <c r="D270" s="263"/>
      <c r="E270" s="262"/>
      <c r="F270" s="141">
        <v>28</v>
      </c>
      <c r="G270" s="194">
        <f>+C269</f>
        <v>45884</v>
      </c>
      <c r="H270" s="156" t="str">
        <f>+B272</f>
        <v>Operaciones del Ejercicio</v>
      </c>
      <c r="I270" s="156">
        <f>+D272</f>
        <v>0</v>
      </c>
      <c r="J270" s="277"/>
      <c r="K270" s="277"/>
      <c r="L270" s="277"/>
      <c r="M270" s="277"/>
      <c r="N270" s="277"/>
    </row>
    <row r="271" spans="2:14">
      <c r="B271" s="264"/>
      <c r="C271" s="265"/>
      <c r="D271" s="265"/>
      <c r="E271" s="264"/>
      <c r="F271" s="141">
        <f>+F270</f>
        <v>28</v>
      </c>
      <c r="G271" s="194">
        <f>+G270</f>
        <v>45884</v>
      </c>
      <c r="H271" s="156" t="str">
        <f>+H270</f>
        <v>Operaciones del Ejercicio</v>
      </c>
      <c r="I271" s="156">
        <f>+I270</f>
        <v>0</v>
      </c>
      <c r="J271" s="277"/>
      <c r="K271" s="277"/>
      <c r="L271" s="277"/>
      <c r="M271" s="277"/>
      <c r="N271" s="277"/>
    </row>
    <row r="272" spans="2:14" ht="14.45" customHeight="1">
      <c r="B272" s="386" t="s">
        <v>264</v>
      </c>
      <c r="C272" s="387"/>
      <c r="D272" s="386"/>
      <c r="E272" s="387"/>
      <c r="F272" s="141"/>
      <c r="G272" s="194"/>
      <c r="H272" s="140"/>
      <c r="I272" s="140"/>
      <c r="J272" s="277"/>
      <c r="K272" s="277"/>
      <c r="L272" s="277"/>
      <c r="M272" s="277"/>
      <c r="N272" s="277"/>
    </row>
    <row r="273" spans="2:14" ht="14.45" customHeight="1" thickBot="1">
      <c r="B273" s="382" t="str">
        <f>+IF(SUM(B270:B271)=SUM(E270:E271),"Asiento Cuadrado","Asiento Descuadrado")</f>
        <v>Asiento Cuadrado</v>
      </c>
      <c r="C273" s="383"/>
      <c r="D273" s="383"/>
      <c r="E273" s="191">
        <f>+SUM(B270:B271)-SUM(E270:E271)</f>
        <v>0</v>
      </c>
      <c r="F273" s="141"/>
      <c r="G273" s="194"/>
      <c r="H273" s="140"/>
      <c r="I273" s="140"/>
      <c r="J273" s="277"/>
      <c r="K273" s="277"/>
      <c r="L273" s="277"/>
      <c r="M273" s="277"/>
      <c r="N273" s="277"/>
    </row>
    <row r="274" spans="2:14" ht="15.75" thickBot="1">
      <c r="B274" s="50"/>
      <c r="C274" s="27"/>
      <c r="D274" s="27"/>
      <c r="E274" s="50"/>
      <c r="F274" s="138"/>
      <c r="G274" s="195"/>
      <c r="H274" s="138"/>
      <c r="I274" s="138"/>
      <c r="J274" s="277"/>
      <c r="K274" s="277"/>
      <c r="L274" s="277"/>
      <c r="M274" s="277"/>
      <c r="N274" s="277"/>
    </row>
    <row r="275" spans="2:14">
      <c r="B275" s="322" t="s">
        <v>210</v>
      </c>
      <c r="C275" s="389" t="s">
        <v>322</v>
      </c>
      <c r="D275" s="389"/>
      <c r="E275" s="323" t="s">
        <v>211</v>
      </c>
      <c r="F275" s="135"/>
      <c r="G275" s="196"/>
      <c r="H275" s="135"/>
      <c r="I275" s="135"/>
      <c r="J275" s="277"/>
      <c r="K275" s="277"/>
      <c r="L275" s="277"/>
      <c r="M275" s="277"/>
      <c r="N275" s="277"/>
    </row>
    <row r="276" spans="2:14" ht="15" customHeight="1">
      <c r="B276" s="324">
        <f>+SUM(B277:B278)</f>
        <v>0</v>
      </c>
      <c r="C276" s="388">
        <v>45900</v>
      </c>
      <c r="D276" s="388"/>
      <c r="E276" s="325">
        <f>+SUM(E277:E278)</f>
        <v>0</v>
      </c>
      <c r="F276" s="136"/>
      <c r="G276" s="197"/>
      <c r="H276" s="136"/>
      <c r="I276" s="136"/>
      <c r="J276" s="278" t="s">
        <v>323</v>
      </c>
      <c r="K276" s="277"/>
      <c r="L276" s="277"/>
      <c r="M276" s="277"/>
      <c r="N276" s="277"/>
    </row>
    <row r="277" spans="2:14" ht="15.75" thickBot="1">
      <c r="B277" s="262"/>
      <c r="C277" s="263"/>
      <c r="D277" s="263"/>
      <c r="E277" s="262"/>
      <c r="F277" s="141">
        <v>29</v>
      </c>
      <c r="G277" s="194">
        <f>+C276</f>
        <v>45900</v>
      </c>
      <c r="H277" s="156" t="str">
        <f>+B279</f>
        <v>Operaciones del Ejercicio</v>
      </c>
      <c r="I277" s="156">
        <f>+D279</f>
        <v>0</v>
      </c>
      <c r="J277" s="283" t="s">
        <v>324</v>
      </c>
      <c r="K277" s="277"/>
      <c r="L277" s="277"/>
      <c r="M277" s="277"/>
      <c r="N277" s="277"/>
    </row>
    <row r="278" spans="2:14" ht="15.75" hidden="1" thickBot="1">
      <c r="B278" s="264"/>
      <c r="C278" s="265"/>
      <c r="D278" s="265"/>
      <c r="E278" s="264"/>
      <c r="F278" s="141">
        <f>+F277</f>
        <v>29</v>
      </c>
      <c r="G278" s="194">
        <f>+G277</f>
        <v>45900</v>
      </c>
      <c r="H278" s="156" t="str">
        <f>+H277</f>
        <v>Operaciones del Ejercicio</v>
      </c>
      <c r="I278" s="156">
        <f>+I277</f>
        <v>0</v>
      </c>
      <c r="J278" s="282" t="s">
        <v>325</v>
      </c>
      <c r="K278" s="282"/>
      <c r="L278" s="277"/>
      <c r="M278" s="277"/>
      <c r="N278" s="277"/>
    </row>
    <row r="279" spans="2:14" ht="14.45" customHeight="1" thickBot="1">
      <c r="B279" s="386" t="s">
        <v>264</v>
      </c>
      <c r="C279" s="387"/>
      <c r="D279" s="386"/>
      <c r="E279" s="387"/>
      <c r="F279" s="141"/>
      <c r="G279" s="194"/>
      <c r="H279" s="140"/>
      <c r="I279" s="140"/>
      <c r="J279" s="277"/>
      <c r="K279" s="277"/>
      <c r="L279" s="277"/>
      <c r="M279" s="277"/>
      <c r="N279" s="277"/>
    </row>
    <row r="280" spans="2:14" ht="15" customHeight="1" thickBot="1">
      <c r="B280" s="382" t="str">
        <f>+IF(SUM(B277:B278)=SUM(E277:E278),"Asiento Cuadrado","Asiento Descuadrado")</f>
        <v>Asiento Cuadrado</v>
      </c>
      <c r="C280" s="383"/>
      <c r="D280" s="383"/>
      <c r="E280" s="191">
        <f>+SUM(B277:B278)-SUM(E277:E278)</f>
        <v>0</v>
      </c>
      <c r="F280" s="141"/>
      <c r="G280" s="194"/>
      <c r="H280" s="140"/>
      <c r="I280" s="140"/>
      <c r="J280" s="282"/>
      <c r="K280" s="282"/>
      <c r="L280" s="277"/>
      <c r="M280" s="277"/>
      <c r="N280" s="277"/>
    </row>
    <row r="281" spans="2:14" ht="15.75" thickBot="1">
      <c r="B281" s="50"/>
      <c r="C281" s="27"/>
      <c r="D281" s="27"/>
      <c r="E281" s="50"/>
      <c r="F281" s="138"/>
      <c r="G281" s="195"/>
      <c r="H281" s="138"/>
      <c r="I281" s="138"/>
      <c r="J281" s="277"/>
      <c r="K281" s="277"/>
      <c r="L281" s="277"/>
      <c r="M281" s="277"/>
      <c r="N281" s="277"/>
    </row>
    <row r="282" spans="2:14">
      <c r="B282" s="322" t="s">
        <v>210</v>
      </c>
      <c r="C282" s="389" t="s">
        <v>326</v>
      </c>
      <c r="D282" s="389"/>
      <c r="E282" s="323" t="s">
        <v>211</v>
      </c>
      <c r="F282" s="135"/>
      <c r="G282" s="196"/>
      <c r="H282" s="135"/>
      <c r="I282" s="135"/>
      <c r="J282" s="277"/>
      <c r="K282" s="277"/>
      <c r="L282" s="277"/>
      <c r="M282" s="277"/>
      <c r="N282" s="277"/>
    </row>
    <row r="283" spans="2:14" ht="15" customHeight="1">
      <c r="B283" s="324">
        <f>+SUM(B284:B285)</f>
        <v>0</v>
      </c>
      <c r="C283" s="388"/>
      <c r="D283" s="388"/>
      <c r="E283" s="325">
        <f>+SUM(E284:E285)</f>
        <v>0</v>
      </c>
      <c r="F283" s="136"/>
      <c r="G283" s="197"/>
      <c r="H283" s="136"/>
      <c r="I283" s="136"/>
      <c r="J283" s="277"/>
      <c r="K283" s="277"/>
      <c r="L283" s="277"/>
      <c r="M283" s="277"/>
      <c r="N283" s="277"/>
    </row>
    <row r="284" spans="2:14">
      <c r="B284" s="262"/>
      <c r="C284" s="263"/>
      <c r="D284" s="263"/>
      <c r="E284" s="262"/>
      <c r="F284" s="141">
        <v>30</v>
      </c>
      <c r="G284" s="194">
        <f>+C283</f>
        <v>0</v>
      </c>
      <c r="H284" s="156" t="str">
        <f>+B286</f>
        <v>Operaciones del Ejercicio</v>
      </c>
      <c r="I284" s="156">
        <f>+D286</f>
        <v>0</v>
      </c>
      <c r="J284" s="283" t="s">
        <v>327</v>
      </c>
      <c r="K284" s="282"/>
      <c r="L284" s="277"/>
      <c r="M284" s="277"/>
      <c r="N284" s="277"/>
    </row>
    <row r="285" spans="2:14">
      <c r="B285" s="264"/>
      <c r="C285" s="265"/>
      <c r="D285" s="268"/>
      <c r="E285" s="269"/>
      <c r="F285" s="141">
        <f>+F284</f>
        <v>30</v>
      </c>
      <c r="G285" s="194">
        <f>+G284</f>
        <v>0</v>
      </c>
      <c r="H285" s="156" t="str">
        <f>+H284</f>
        <v>Operaciones del Ejercicio</v>
      </c>
      <c r="I285" s="156">
        <f>+I284</f>
        <v>0</v>
      </c>
      <c r="J285" s="277"/>
      <c r="K285" s="277"/>
      <c r="L285" s="277"/>
      <c r="M285" s="277"/>
      <c r="N285" s="277"/>
    </row>
    <row r="286" spans="2:14" ht="14.45" customHeight="1">
      <c r="B286" s="386" t="s">
        <v>264</v>
      </c>
      <c r="C286" s="387"/>
      <c r="D286" s="386"/>
      <c r="E286" s="387"/>
      <c r="F286" s="141"/>
      <c r="G286" s="194"/>
      <c r="H286" s="140"/>
      <c r="I286" s="140"/>
      <c r="J286" s="277"/>
      <c r="K286" s="277"/>
      <c r="L286" s="277"/>
      <c r="M286" s="277"/>
      <c r="N286" s="277"/>
    </row>
    <row r="287" spans="2:14" ht="14.45" customHeight="1" thickBot="1">
      <c r="B287" s="382" t="str">
        <f>+IF(SUM(B284:B285)=SUM(E284:E285),"Asiento Cuadrado","Asiento Descuadrado")</f>
        <v>Asiento Cuadrado</v>
      </c>
      <c r="C287" s="383"/>
      <c r="D287" s="383"/>
      <c r="E287" s="191">
        <f>+SUM(B284:B285)-SUM(E284:E285)</f>
        <v>0</v>
      </c>
      <c r="F287" s="141"/>
      <c r="G287" s="194"/>
      <c r="H287" s="140"/>
      <c r="I287" s="140"/>
      <c r="J287" s="277"/>
      <c r="K287" s="277"/>
      <c r="L287" s="277"/>
      <c r="M287" s="277"/>
      <c r="N287" s="277"/>
    </row>
    <row r="288" spans="2:14" ht="15.75" thickBot="1">
      <c r="B288" s="50"/>
      <c r="C288" s="27"/>
      <c r="D288" s="27"/>
      <c r="E288" s="50"/>
      <c r="F288" s="138"/>
      <c r="G288" s="195"/>
      <c r="H288" s="138"/>
      <c r="I288" s="138"/>
      <c r="J288" s="277"/>
      <c r="K288" s="277"/>
      <c r="L288" s="277"/>
      <c r="M288" s="277"/>
      <c r="N288" s="277"/>
    </row>
    <row r="289" spans="2:14">
      <c r="B289" s="322" t="s">
        <v>210</v>
      </c>
      <c r="C289" s="389" t="s">
        <v>328</v>
      </c>
      <c r="D289" s="389"/>
      <c r="E289" s="323" t="s">
        <v>211</v>
      </c>
      <c r="F289" s="135"/>
      <c r="G289" s="196"/>
      <c r="H289" s="135"/>
      <c r="I289" s="135"/>
      <c r="J289" s="277"/>
      <c r="K289" s="277"/>
      <c r="L289" s="277"/>
      <c r="M289" s="277"/>
      <c r="N289" s="277"/>
    </row>
    <row r="290" spans="2:14" ht="15" customHeight="1">
      <c r="B290" s="324">
        <f>+SUM(B291:B292)</f>
        <v>0</v>
      </c>
      <c r="C290" s="388">
        <v>45915</v>
      </c>
      <c r="D290" s="388"/>
      <c r="E290" s="325">
        <f>+SUM(E291:E292)</f>
        <v>0</v>
      </c>
      <c r="F290" s="136"/>
      <c r="G290" s="197"/>
      <c r="H290" s="136"/>
      <c r="I290" s="136"/>
      <c r="J290" s="278" t="s">
        <v>329</v>
      </c>
      <c r="K290" s="277"/>
      <c r="L290" s="277"/>
      <c r="M290" s="277"/>
      <c r="N290" s="277"/>
    </row>
    <row r="291" spans="2:14" ht="15.75" thickBot="1">
      <c r="B291" s="262"/>
      <c r="C291" s="263"/>
      <c r="D291" s="263"/>
      <c r="E291" s="262"/>
      <c r="F291" s="141">
        <v>31</v>
      </c>
      <c r="G291" s="194">
        <f>+C290</f>
        <v>45915</v>
      </c>
      <c r="H291" s="156" t="str">
        <f>+B293</f>
        <v>Operaciones del Ejercicio</v>
      </c>
      <c r="I291" s="156">
        <f>+D293</f>
        <v>0</v>
      </c>
      <c r="J291" s="283" t="s">
        <v>330</v>
      </c>
      <c r="K291" s="282"/>
      <c r="L291" s="277"/>
      <c r="M291" s="277"/>
      <c r="N291" s="277"/>
    </row>
    <row r="292" spans="2:14" ht="15.75" hidden="1" thickBot="1">
      <c r="B292" s="264"/>
      <c r="C292" s="265"/>
      <c r="D292" s="265"/>
      <c r="E292" s="264"/>
      <c r="F292" s="141">
        <f>+F291</f>
        <v>31</v>
      </c>
      <c r="G292" s="194">
        <f>+G291</f>
        <v>45915</v>
      </c>
      <c r="H292" s="156" t="str">
        <f>+H291</f>
        <v>Operaciones del Ejercicio</v>
      </c>
      <c r="I292" s="156">
        <f>+I291</f>
        <v>0</v>
      </c>
      <c r="J292" s="282"/>
      <c r="K292" s="282"/>
      <c r="L292" s="277"/>
      <c r="M292" s="277"/>
      <c r="N292" s="277"/>
    </row>
    <row r="293" spans="2:14" ht="15" customHeight="1" thickBot="1">
      <c r="B293" s="386" t="s">
        <v>264</v>
      </c>
      <c r="C293" s="387"/>
      <c r="D293" s="386"/>
      <c r="E293" s="387"/>
      <c r="F293" s="141"/>
      <c r="G293" s="194"/>
      <c r="H293" s="140"/>
      <c r="I293" s="140"/>
      <c r="J293" s="282"/>
      <c r="K293" s="282"/>
      <c r="L293" s="277"/>
      <c r="M293" s="277"/>
      <c r="N293" s="277"/>
    </row>
    <row r="294" spans="2:14" ht="15" customHeight="1" thickBot="1">
      <c r="B294" s="382" t="str">
        <f>+IF(SUM(B291:B292)=SUM(E291:E292),"Asiento Cuadrado","Asiento Descuadrado")</f>
        <v>Asiento Cuadrado</v>
      </c>
      <c r="C294" s="383"/>
      <c r="D294" s="383"/>
      <c r="E294" s="191">
        <f>+SUM(B291:B292)-SUM(E291:E292)</f>
        <v>0</v>
      </c>
      <c r="F294" s="141"/>
      <c r="G294" s="194"/>
      <c r="H294" s="140"/>
      <c r="I294" s="140"/>
      <c r="J294" s="282"/>
      <c r="K294" s="282"/>
      <c r="L294" s="277"/>
      <c r="M294" s="277"/>
      <c r="N294" s="277"/>
    </row>
    <row r="295" spans="2:14" ht="15.75" thickBot="1">
      <c r="B295" s="50"/>
      <c r="C295" s="27"/>
      <c r="D295" s="27"/>
      <c r="E295" s="50"/>
      <c r="F295" s="138"/>
      <c r="G295" s="195"/>
      <c r="H295" s="138"/>
      <c r="I295" s="138"/>
      <c r="J295" s="277"/>
      <c r="K295" s="277"/>
      <c r="L295" s="277"/>
      <c r="M295" s="277"/>
      <c r="N295" s="277"/>
    </row>
    <row r="296" spans="2:14">
      <c r="B296" s="322" t="s">
        <v>210</v>
      </c>
      <c r="C296" s="389" t="s">
        <v>331</v>
      </c>
      <c r="D296" s="389"/>
      <c r="E296" s="323" t="s">
        <v>211</v>
      </c>
      <c r="F296" s="135"/>
      <c r="G296" s="196"/>
      <c r="H296" s="135"/>
      <c r="I296" s="135"/>
      <c r="J296" s="277"/>
      <c r="K296" s="277"/>
      <c r="L296" s="277"/>
      <c r="M296" s="277"/>
      <c r="N296" s="277"/>
    </row>
    <row r="297" spans="2:14" ht="15" customHeight="1">
      <c r="B297" s="324">
        <f>+SUM(B298:B299)</f>
        <v>0</v>
      </c>
      <c r="C297" s="388">
        <v>45915</v>
      </c>
      <c r="D297" s="388"/>
      <c r="E297" s="325">
        <f>+SUM(E298:E299)</f>
        <v>0</v>
      </c>
      <c r="F297" s="136"/>
      <c r="G297" s="197"/>
      <c r="H297" s="136"/>
      <c r="I297" s="136"/>
      <c r="J297" s="277"/>
      <c r="K297" s="277"/>
      <c r="L297" s="277"/>
      <c r="M297" s="277"/>
      <c r="N297" s="277"/>
    </row>
    <row r="298" spans="2:14" ht="15.75" thickBot="1">
      <c r="B298" s="262"/>
      <c r="C298" s="263"/>
      <c r="D298" s="263"/>
      <c r="E298" s="262"/>
      <c r="F298" s="141">
        <v>32</v>
      </c>
      <c r="G298" s="194">
        <f>+C297</f>
        <v>45915</v>
      </c>
      <c r="H298" s="156" t="str">
        <f>+B300</f>
        <v>Operaciones del Ejercicio</v>
      </c>
      <c r="I298" s="156">
        <f>+D300</f>
        <v>0</v>
      </c>
      <c r="J298" s="284" t="s">
        <v>332</v>
      </c>
      <c r="K298" s="282"/>
      <c r="L298" s="277"/>
      <c r="M298" s="277"/>
      <c r="N298" s="277"/>
    </row>
    <row r="299" spans="2:14" ht="15.75" hidden="1" thickBot="1">
      <c r="B299" s="264"/>
      <c r="C299" s="265"/>
      <c r="D299" s="268"/>
      <c r="E299" s="264"/>
      <c r="F299" s="141">
        <f>+F298</f>
        <v>32</v>
      </c>
      <c r="G299" s="194">
        <f>+G298</f>
        <v>45915</v>
      </c>
      <c r="H299" s="156" t="str">
        <f>+H298</f>
        <v>Operaciones del Ejercicio</v>
      </c>
      <c r="I299" s="156">
        <f>+I298</f>
        <v>0</v>
      </c>
      <c r="J299" s="277"/>
      <c r="K299" s="277"/>
      <c r="L299" s="277"/>
      <c r="M299" s="277"/>
      <c r="N299" s="277"/>
    </row>
    <row r="300" spans="2:14" ht="14.45" customHeight="1" thickBot="1">
      <c r="B300" s="386" t="s">
        <v>264</v>
      </c>
      <c r="C300" s="387"/>
      <c r="D300" s="386"/>
      <c r="E300" s="387"/>
      <c r="F300" s="141"/>
      <c r="G300" s="194"/>
      <c r="H300" s="140"/>
      <c r="I300" s="140"/>
      <c r="J300" s="277"/>
      <c r="K300" s="277"/>
      <c r="L300" s="277"/>
      <c r="M300" s="277"/>
      <c r="N300" s="277"/>
    </row>
    <row r="301" spans="2:14" ht="14.45" customHeight="1" thickBot="1">
      <c r="B301" s="382" t="str">
        <f>+IF(SUM(B298:B299)=SUM(E298:E299),"Asiento Cuadrado","Asiento Descuadrado")</f>
        <v>Asiento Cuadrado</v>
      </c>
      <c r="C301" s="383"/>
      <c r="D301" s="383"/>
      <c r="E301" s="191">
        <f>+SUM(B298:B299)-SUM(E298:E299)</f>
        <v>0</v>
      </c>
      <c r="F301" s="141"/>
      <c r="G301" s="194"/>
      <c r="H301" s="140"/>
      <c r="I301" s="140"/>
      <c r="J301" s="277"/>
      <c r="K301" s="277"/>
      <c r="L301" s="277"/>
      <c r="M301" s="277"/>
      <c r="N301" s="277"/>
    </row>
    <row r="302" spans="2:14" ht="15.75" thickBot="1">
      <c r="B302" s="50"/>
      <c r="C302" s="27"/>
      <c r="D302" s="27"/>
      <c r="E302" s="50"/>
      <c r="F302" s="138"/>
      <c r="G302" s="195"/>
      <c r="H302" s="138"/>
      <c r="I302" s="138"/>
      <c r="J302" s="277"/>
      <c r="K302" s="277"/>
      <c r="L302" s="277"/>
      <c r="M302" s="277"/>
      <c r="N302" s="277"/>
    </row>
    <row r="303" spans="2:14">
      <c r="B303" s="322" t="s">
        <v>210</v>
      </c>
      <c r="C303" s="389" t="s">
        <v>333</v>
      </c>
      <c r="D303" s="389"/>
      <c r="E303" s="323" t="s">
        <v>211</v>
      </c>
      <c r="F303" s="135"/>
      <c r="G303" s="196"/>
      <c r="H303" s="135"/>
      <c r="I303" s="135"/>
      <c r="J303" s="277"/>
      <c r="K303" s="277"/>
      <c r="L303" s="277"/>
      <c r="M303" s="277"/>
      <c r="N303" s="277"/>
    </row>
    <row r="304" spans="2:14" ht="15" customHeight="1">
      <c r="B304" s="324">
        <f>+SUM(B305:B306)</f>
        <v>0</v>
      </c>
      <c r="C304" s="388">
        <v>45921</v>
      </c>
      <c r="D304" s="388"/>
      <c r="E304" s="325">
        <f>+SUM(E305:E306)</f>
        <v>0</v>
      </c>
      <c r="F304" s="136"/>
      <c r="G304" s="197"/>
      <c r="H304" s="136"/>
      <c r="I304" s="136"/>
      <c r="J304" s="281" t="s">
        <v>334</v>
      </c>
      <c r="K304" s="277"/>
      <c r="L304" s="277"/>
      <c r="M304" s="277"/>
      <c r="N304" s="277"/>
    </row>
    <row r="305" spans="2:14" ht="15.75" thickBot="1">
      <c r="B305" s="262"/>
      <c r="C305" s="270"/>
      <c r="D305" s="263"/>
      <c r="E305" s="262"/>
      <c r="F305" s="141">
        <v>33</v>
      </c>
      <c r="G305" s="194">
        <f>+C304</f>
        <v>45921</v>
      </c>
      <c r="H305" s="156" t="str">
        <f>+B307</f>
        <v>Operaciones del Ejercicio</v>
      </c>
      <c r="I305" s="156">
        <f>+D307</f>
        <v>0</v>
      </c>
      <c r="J305" s="282"/>
      <c r="K305" s="282"/>
      <c r="L305" s="277"/>
      <c r="M305" s="277"/>
      <c r="N305" s="277"/>
    </row>
    <row r="306" spans="2:14" ht="15.75" hidden="1" thickBot="1">
      <c r="B306" s="264"/>
      <c r="C306" s="268"/>
      <c r="D306" s="265"/>
      <c r="E306" s="264"/>
      <c r="F306" s="141">
        <f>+F305</f>
        <v>33</v>
      </c>
      <c r="G306" s="194">
        <f>+G305</f>
        <v>45921</v>
      </c>
      <c r="H306" s="156" t="str">
        <f>+H305</f>
        <v>Operaciones del Ejercicio</v>
      </c>
      <c r="I306" s="156">
        <f>+I305</f>
        <v>0</v>
      </c>
      <c r="J306" s="282"/>
      <c r="K306" s="282"/>
      <c r="L306" s="277"/>
      <c r="M306" s="277"/>
      <c r="N306" s="277"/>
    </row>
    <row r="307" spans="2:14" ht="15" customHeight="1" thickBot="1">
      <c r="B307" s="386" t="s">
        <v>264</v>
      </c>
      <c r="C307" s="387"/>
      <c r="D307" s="386"/>
      <c r="E307" s="387"/>
      <c r="F307" s="141"/>
      <c r="G307" s="194"/>
      <c r="H307" s="140"/>
      <c r="I307" s="140"/>
      <c r="J307" s="282"/>
      <c r="K307" s="282"/>
      <c r="L307" s="277"/>
      <c r="M307" s="277"/>
      <c r="N307" s="277"/>
    </row>
    <row r="308" spans="2:14" ht="15" customHeight="1" thickBot="1">
      <c r="B308" s="382" t="str">
        <f>+IF(SUM(B305:B306)=SUM(E305:E306),"Asiento Cuadrado","Asiento Descuadrado")</f>
        <v>Asiento Cuadrado</v>
      </c>
      <c r="C308" s="383"/>
      <c r="D308" s="383"/>
      <c r="E308" s="191">
        <f>+SUM(B305:B306)-SUM(E305:E306)</f>
        <v>0</v>
      </c>
      <c r="F308" s="141"/>
      <c r="G308" s="194"/>
      <c r="H308" s="140"/>
      <c r="I308" s="140"/>
      <c r="J308" s="282"/>
      <c r="K308" s="282"/>
      <c r="L308" s="277"/>
      <c r="M308" s="277"/>
      <c r="N308" s="277"/>
    </row>
    <row r="309" spans="2:14" ht="15.75" thickBot="1">
      <c r="B309" s="50"/>
      <c r="D309" s="27"/>
      <c r="E309" s="50"/>
      <c r="F309" s="138"/>
      <c r="G309" s="195"/>
      <c r="H309" s="138"/>
      <c r="I309" s="138"/>
      <c r="J309" s="277"/>
      <c r="K309" s="277"/>
      <c r="L309" s="277"/>
      <c r="M309" s="277"/>
      <c r="N309" s="277"/>
    </row>
    <row r="310" spans="2:14">
      <c r="B310" s="322" t="s">
        <v>210</v>
      </c>
      <c r="C310" s="389" t="s">
        <v>335</v>
      </c>
      <c r="D310" s="389"/>
      <c r="E310" s="323" t="s">
        <v>211</v>
      </c>
      <c r="F310" s="135"/>
      <c r="G310" s="196"/>
      <c r="H310" s="135"/>
      <c r="I310" s="135"/>
      <c r="J310" s="277"/>
      <c r="K310" s="277"/>
      <c r="L310" s="277"/>
      <c r="M310" s="277"/>
      <c r="N310" s="277"/>
    </row>
    <row r="311" spans="2:14" ht="15" customHeight="1">
      <c r="B311" s="324">
        <f>+SUM(B312:B313)</f>
        <v>0</v>
      </c>
      <c r="C311" s="388">
        <v>45921</v>
      </c>
      <c r="D311" s="388"/>
      <c r="E311" s="325">
        <f>+SUM(E312:E313)</f>
        <v>0</v>
      </c>
      <c r="F311" s="136"/>
      <c r="G311" s="197"/>
      <c r="H311" s="136"/>
      <c r="I311" s="136"/>
      <c r="J311" s="281" t="s">
        <v>336</v>
      </c>
      <c r="K311" s="277"/>
      <c r="L311" s="277"/>
      <c r="M311" s="277"/>
      <c r="N311" s="277"/>
    </row>
    <row r="312" spans="2:14" ht="15.75" thickBot="1">
      <c r="B312" s="262"/>
      <c r="C312" s="270"/>
      <c r="D312" s="263"/>
      <c r="E312" s="262"/>
      <c r="F312" s="141">
        <v>34</v>
      </c>
      <c r="G312" s="194">
        <f>+C311</f>
        <v>45921</v>
      </c>
      <c r="H312" s="156" t="str">
        <f>+B314</f>
        <v>Operaciones del Ejercicio</v>
      </c>
      <c r="I312" s="156">
        <f>+D314</f>
        <v>0</v>
      </c>
      <c r="J312" s="282"/>
      <c r="K312" s="282"/>
      <c r="L312" s="277"/>
      <c r="M312" s="277"/>
      <c r="N312" s="277"/>
    </row>
    <row r="313" spans="2:14" ht="15.75" hidden="1" thickBot="1">
      <c r="B313" s="264"/>
      <c r="C313" s="268"/>
      <c r="D313" s="265"/>
      <c r="E313" s="264"/>
      <c r="F313" s="141">
        <f>+F312</f>
        <v>34</v>
      </c>
      <c r="G313" s="194">
        <f>+G312</f>
        <v>45921</v>
      </c>
      <c r="H313" s="156" t="str">
        <f>+H312</f>
        <v>Operaciones del Ejercicio</v>
      </c>
      <c r="I313" s="156">
        <f>+I312</f>
        <v>0</v>
      </c>
      <c r="J313" s="282"/>
      <c r="K313" s="282"/>
      <c r="L313" s="277"/>
      <c r="M313" s="277"/>
      <c r="N313" s="277"/>
    </row>
    <row r="314" spans="2:14" ht="15" customHeight="1" thickBot="1">
      <c r="B314" s="386" t="s">
        <v>264</v>
      </c>
      <c r="C314" s="387"/>
      <c r="D314" s="386"/>
      <c r="E314" s="387"/>
      <c r="F314" s="141"/>
      <c r="G314" s="194"/>
      <c r="H314" s="140"/>
      <c r="I314" s="140"/>
      <c r="J314" s="282"/>
      <c r="K314" s="282"/>
      <c r="L314" s="277"/>
      <c r="M314" s="277"/>
      <c r="N314" s="277"/>
    </row>
    <row r="315" spans="2:14" ht="15" customHeight="1" thickBot="1">
      <c r="B315" s="382" t="str">
        <f>+IF(SUM(B312:B313)=SUM(E312:E313),"Asiento Cuadrado","Asiento Descuadrado")</f>
        <v>Asiento Cuadrado</v>
      </c>
      <c r="C315" s="383"/>
      <c r="D315" s="383"/>
      <c r="E315" s="191">
        <f>+SUM(B312:B313)-SUM(E312:E313)</f>
        <v>0</v>
      </c>
      <c r="F315" s="141"/>
      <c r="G315" s="194"/>
      <c r="H315" s="140"/>
      <c r="I315" s="140"/>
      <c r="J315" s="282"/>
      <c r="K315" s="282"/>
      <c r="L315" s="277"/>
      <c r="M315" s="277"/>
      <c r="N315" s="277"/>
    </row>
    <row r="316" spans="2:14" ht="15.75" thickBot="1">
      <c r="B316" s="50"/>
      <c r="C316" s="27"/>
      <c r="D316" s="27"/>
      <c r="E316" s="50"/>
      <c r="F316" s="138"/>
      <c r="G316" s="195"/>
      <c r="H316" s="138"/>
      <c r="I316" s="138"/>
      <c r="J316" s="277"/>
      <c r="K316" s="277"/>
      <c r="L316" s="277"/>
      <c r="M316" s="277"/>
      <c r="N316" s="277"/>
    </row>
    <row r="317" spans="2:14">
      <c r="B317" s="322" t="s">
        <v>210</v>
      </c>
      <c r="C317" s="389" t="s">
        <v>337</v>
      </c>
      <c r="D317" s="389"/>
      <c r="E317" s="323" t="s">
        <v>211</v>
      </c>
      <c r="F317" s="135"/>
      <c r="G317" s="196"/>
      <c r="H317" s="135"/>
      <c r="I317" s="135"/>
      <c r="J317" s="277"/>
      <c r="K317" s="277"/>
      <c r="L317" s="277"/>
      <c r="M317" s="277"/>
      <c r="N317" s="277"/>
    </row>
    <row r="318" spans="2:14" ht="15" customHeight="1">
      <c r="B318" s="324">
        <f>+SUM(B319:B320)</f>
        <v>0</v>
      </c>
      <c r="C318" s="388">
        <v>45930</v>
      </c>
      <c r="D318" s="388"/>
      <c r="E318" s="325">
        <f>+SUM(E319:E320)</f>
        <v>0</v>
      </c>
      <c r="F318" s="136"/>
      <c r="G318" s="197"/>
      <c r="H318" s="136"/>
      <c r="I318" s="136"/>
      <c r="J318" s="278" t="s">
        <v>338</v>
      </c>
      <c r="K318" s="277"/>
      <c r="L318" s="277"/>
      <c r="M318" s="277"/>
      <c r="N318" s="277"/>
    </row>
    <row r="319" spans="2:14" ht="15.75" thickBot="1">
      <c r="B319" s="262"/>
      <c r="C319" s="263"/>
      <c r="D319" s="263"/>
      <c r="E319" s="262"/>
      <c r="F319" s="141">
        <v>35</v>
      </c>
      <c r="G319" s="194">
        <f>+C318</f>
        <v>45930</v>
      </c>
      <c r="H319" s="156" t="str">
        <f>+B321</f>
        <v>Operaciones del Ejercicio</v>
      </c>
      <c r="I319" s="156">
        <f>+D321</f>
        <v>0</v>
      </c>
      <c r="J319" s="284" t="s">
        <v>339</v>
      </c>
      <c r="K319" s="282"/>
      <c r="L319" s="277"/>
      <c r="M319" s="277"/>
      <c r="N319" s="277"/>
    </row>
    <row r="320" spans="2:14" ht="15.75" hidden="1" thickBot="1">
      <c r="B320" s="264"/>
      <c r="C320" s="265"/>
      <c r="D320" s="265"/>
      <c r="E320" s="264"/>
      <c r="F320" s="141">
        <f>+F319</f>
        <v>35</v>
      </c>
      <c r="G320" s="194">
        <f>+G319</f>
        <v>45930</v>
      </c>
      <c r="H320" s="156" t="str">
        <f>+H319</f>
        <v>Operaciones del Ejercicio</v>
      </c>
      <c r="I320" s="156">
        <f>+I319</f>
        <v>0</v>
      </c>
      <c r="J320" s="282"/>
      <c r="K320" s="282"/>
      <c r="L320" s="277"/>
      <c r="M320" s="277"/>
      <c r="N320" s="277"/>
    </row>
    <row r="321" spans="2:14" ht="15" customHeight="1" thickBot="1">
      <c r="B321" s="386" t="s">
        <v>264</v>
      </c>
      <c r="C321" s="387"/>
      <c r="D321" s="386"/>
      <c r="E321" s="387"/>
      <c r="F321" s="141"/>
      <c r="G321" s="194"/>
      <c r="H321" s="140"/>
      <c r="I321" s="140"/>
      <c r="J321" s="282"/>
      <c r="K321" s="282"/>
      <c r="L321" s="277"/>
      <c r="M321" s="277"/>
      <c r="N321" s="277"/>
    </row>
    <row r="322" spans="2:14" ht="15" customHeight="1" thickBot="1">
      <c r="B322" s="382" t="str">
        <f>+IF(SUM(B319:B320)=SUM(E319:E320),"Asiento Cuadrado","Asiento Descuadrado")</f>
        <v>Asiento Cuadrado</v>
      </c>
      <c r="C322" s="383"/>
      <c r="D322" s="383"/>
      <c r="E322" s="191">
        <f>+SUM(B319:B320)-SUM(E319:E320)</f>
        <v>0</v>
      </c>
      <c r="F322" s="141"/>
      <c r="G322" s="194"/>
      <c r="H322" s="140"/>
      <c r="I322" s="140"/>
      <c r="J322" s="282"/>
      <c r="K322" s="282"/>
      <c r="L322" s="277"/>
      <c r="M322" s="277"/>
      <c r="N322" s="277"/>
    </row>
    <row r="323" spans="2:14" ht="15.75" thickBot="1">
      <c r="B323" s="50"/>
      <c r="C323" s="27"/>
      <c r="D323" s="27"/>
      <c r="E323" s="50"/>
      <c r="F323" s="138"/>
      <c r="G323" s="195"/>
      <c r="H323" s="138"/>
      <c r="I323" s="138"/>
      <c r="J323" s="277"/>
      <c r="K323" s="277"/>
      <c r="L323" s="277"/>
      <c r="M323" s="277"/>
      <c r="N323" s="277"/>
    </row>
    <row r="324" spans="2:14">
      <c r="B324" s="322" t="s">
        <v>210</v>
      </c>
      <c r="C324" s="389" t="s">
        <v>340</v>
      </c>
      <c r="D324" s="389"/>
      <c r="E324" s="323" t="s">
        <v>211</v>
      </c>
      <c r="F324" s="135"/>
      <c r="G324" s="196"/>
      <c r="H324" s="135"/>
      <c r="I324" s="135"/>
      <c r="J324" s="277"/>
      <c r="K324" s="277"/>
      <c r="L324" s="277"/>
      <c r="M324" s="277"/>
      <c r="N324" s="277"/>
    </row>
    <row r="325" spans="2:14" ht="15" customHeight="1">
      <c r="B325" s="324">
        <f>+SUM(B326:B327)</f>
        <v>0</v>
      </c>
      <c r="C325" s="388"/>
      <c r="D325" s="388"/>
      <c r="E325" s="325">
        <f>+SUM(E326:E327)</f>
        <v>0</v>
      </c>
      <c r="F325" s="136"/>
      <c r="G325" s="197"/>
      <c r="H325" s="136"/>
      <c r="I325" s="136"/>
      <c r="J325" s="277"/>
      <c r="K325" s="277"/>
      <c r="L325" s="277"/>
      <c r="M325" s="277"/>
      <c r="N325" s="277"/>
    </row>
    <row r="326" spans="2:14">
      <c r="B326" s="262"/>
      <c r="C326" s="270"/>
      <c r="D326" s="263"/>
      <c r="E326" s="262"/>
      <c r="F326" s="141">
        <v>36</v>
      </c>
      <c r="G326" s="194">
        <f>+C325</f>
        <v>0</v>
      </c>
      <c r="H326" s="156" t="str">
        <f>+B328</f>
        <v>Operaciones del Ejercicio</v>
      </c>
      <c r="I326" s="156">
        <f>+D328</f>
        <v>0</v>
      </c>
      <c r="J326" s="283" t="s">
        <v>341</v>
      </c>
      <c r="K326" s="282"/>
      <c r="L326" s="277"/>
      <c r="M326" s="277"/>
      <c r="N326" s="277"/>
    </row>
    <row r="327" spans="2:14">
      <c r="B327" s="264"/>
      <c r="C327" s="265"/>
      <c r="D327" s="265"/>
      <c r="E327" s="264"/>
      <c r="F327" s="141">
        <f>+F326</f>
        <v>36</v>
      </c>
      <c r="G327" s="194">
        <f>+G326</f>
        <v>0</v>
      </c>
      <c r="H327" s="156" t="str">
        <f>+H326</f>
        <v>Operaciones del Ejercicio</v>
      </c>
      <c r="I327" s="156">
        <f>+I326</f>
        <v>0</v>
      </c>
      <c r="J327" s="277"/>
      <c r="K327" s="277"/>
      <c r="L327" s="277"/>
      <c r="M327" s="277"/>
      <c r="N327" s="277"/>
    </row>
    <row r="328" spans="2:14" ht="14.45" customHeight="1">
      <c r="B328" s="386" t="s">
        <v>264</v>
      </c>
      <c r="C328" s="387"/>
      <c r="D328" s="386"/>
      <c r="E328" s="387"/>
      <c r="F328" s="141"/>
      <c r="G328" s="194"/>
      <c r="H328" s="140"/>
      <c r="I328" s="140"/>
      <c r="J328" s="277"/>
      <c r="K328" s="277"/>
      <c r="L328" s="277"/>
      <c r="M328" s="277"/>
      <c r="N328" s="277"/>
    </row>
    <row r="329" spans="2:14" ht="14.45" customHeight="1" thickBot="1">
      <c r="B329" s="382" t="str">
        <f>+IF(SUM(B326:B327)=SUM(E326:E327),"Asiento Cuadrado","Asiento Descuadrado")</f>
        <v>Asiento Cuadrado</v>
      </c>
      <c r="C329" s="383"/>
      <c r="D329" s="383"/>
      <c r="E329" s="191">
        <f>+SUM(B326:B327)-SUM(E326:E327)</f>
        <v>0</v>
      </c>
      <c r="F329" s="141"/>
      <c r="G329" s="194"/>
      <c r="H329" s="140"/>
      <c r="I329" s="140"/>
      <c r="J329" s="277"/>
      <c r="K329" s="277"/>
      <c r="L329" s="277"/>
      <c r="M329" s="277"/>
      <c r="N329" s="277"/>
    </row>
    <row r="330" spans="2:14" ht="15.75" thickBot="1">
      <c r="B330" s="50"/>
      <c r="C330" s="27"/>
      <c r="D330" s="27"/>
      <c r="E330" s="50"/>
      <c r="F330" s="138"/>
      <c r="G330" s="195"/>
      <c r="H330" s="138"/>
      <c r="I330" s="138"/>
      <c r="J330" s="277"/>
      <c r="K330" s="277"/>
      <c r="L330" s="277"/>
      <c r="M330" s="277"/>
      <c r="N330" s="277"/>
    </row>
    <row r="331" spans="2:14">
      <c r="B331" s="322" t="s">
        <v>210</v>
      </c>
      <c r="C331" s="389" t="s">
        <v>342</v>
      </c>
      <c r="D331" s="389"/>
      <c r="E331" s="323" t="s">
        <v>211</v>
      </c>
      <c r="F331" s="135"/>
      <c r="G331" s="196"/>
      <c r="H331" s="135"/>
      <c r="I331" s="135"/>
      <c r="J331" s="277"/>
      <c r="K331" s="277"/>
      <c r="L331" s="277"/>
      <c r="M331" s="277"/>
      <c r="N331" s="277"/>
    </row>
    <row r="332" spans="2:14" ht="15" customHeight="1">
      <c r="B332" s="324">
        <f>+SUM(B333:B335)</f>
        <v>0</v>
      </c>
      <c r="C332" s="388">
        <v>45931</v>
      </c>
      <c r="D332" s="388"/>
      <c r="E332" s="325">
        <f>+SUM(E333:E335)</f>
        <v>0</v>
      </c>
      <c r="F332" s="136"/>
      <c r="G332" s="197"/>
      <c r="H332" s="136"/>
      <c r="I332" s="136"/>
      <c r="J332" s="278" t="s">
        <v>343</v>
      </c>
      <c r="K332" s="277"/>
      <c r="L332" s="277"/>
      <c r="M332" s="277"/>
      <c r="N332" s="277"/>
    </row>
    <row r="333" spans="2:14">
      <c r="B333" s="262"/>
      <c r="C333" s="263"/>
      <c r="D333" s="263"/>
      <c r="E333" s="262"/>
      <c r="F333" s="141">
        <v>37</v>
      </c>
      <c r="G333" s="194">
        <f>+C332</f>
        <v>45931</v>
      </c>
      <c r="H333" s="156" t="str">
        <f>+B336</f>
        <v>Operaciones del Ejercicio</v>
      </c>
      <c r="I333" s="156">
        <f>+D336</f>
        <v>0</v>
      </c>
      <c r="J333" s="281" t="s">
        <v>344</v>
      </c>
      <c r="K333" s="281"/>
      <c r="L333" s="277"/>
      <c r="M333" s="277"/>
      <c r="N333" s="277"/>
    </row>
    <row r="334" spans="2:14">
      <c r="B334" s="264"/>
      <c r="C334" s="265"/>
      <c r="D334" s="265"/>
      <c r="E334" s="264"/>
      <c r="F334" s="141">
        <f t="shared" ref="F334:H335" si="9">+F333</f>
        <v>37</v>
      </c>
      <c r="G334" s="194">
        <f t="shared" si="9"/>
        <v>45931</v>
      </c>
      <c r="H334" s="156" t="str">
        <f t="shared" si="9"/>
        <v>Operaciones del Ejercicio</v>
      </c>
      <c r="I334" s="156">
        <f>+I333</f>
        <v>0</v>
      </c>
      <c r="J334" s="277"/>
      <c r="K334" s="277"/>
      <c r="L334" s="277"/>
      <c r="M334" s="277"/>
      <c r="N334" s="277"/>
    </row>
    <row r="335" spans="2:14">
      <c r="B335" s="264"/>
      <c r="C335" s="270"/>
      <c r="D335" s="265"/>
      <c r="E335" s="264"/>
      <c r="F335" s="141">
        <f t="shared" si="9"/>
        <v>37</v>
      </c>
      <c r="G335" s="194">
        <f t="shared" si="9"/>
        <v>45931</v>
      </c>
      <c r="H335" s="156" t="str">
        <f t="shared" si="9"/>
        <v>Operaciones del Ejercicio</v>
      </c>
      <c r="I335" s="156">
        <f>+I334</f>
        <v>0</v>
      </c>
      <c r="J335" s="277"/>
      <c r="K335" s="277"/>
      <c r="L335" s="277"/>
      <c r="M335" s="277"/>
      <c r="N335" s="277"/>
    </row>
    <row r="336" spans="2:14" ht="14.45" customHeight="1">
      <c r="B336" s="386" t="s">
        <v>264</v>
      </c>
      <c r="C336" s="387"/>
      <c r="D336" s="386"/>
      <c r="E336" s="387"/>
      <c r="F336" s="141"/>
      <c r="G336" s="194"/>
      <c r="H336" s="140"/>
      <c r="I336" s="140"/>
      <c r="J336" s="277"/>
      <c r="K336" s="277"/>
      <c r="L336" s="277"/>
      <c r="M336" s="277"/>
      <c r="N336" s="277"/>
    </row>
    <row r="337" spans="2:14" ht="14.45" customHeight="1" thickBot="1">
      <c r="B337" s="382" t="str">
        <f>+IF(SUM(B333:B335)=SUM(E333:E335),"Asiento Cuadrado","Asiento Descuadrado")</f>
        <v>Asiento Cuadrado</v>
      </c>
      <c r="C337" s="383"/>
      <c r="D337" s="383"/>
      <c r="E337" s="191">
        <f>+SUM(B333:B335)-SUM(E333:E335)</f>
        <v>0</v>
      </c>
      <c r="F337" s="141"/>
      <c r="G337" s="194"/>
      <c r="H337" s="140"/>
      <c r="I337" s="140"/>
      <c r="J337" s="277"/>
      <c r="K337" s="277"/>
      <c r="L337" s="277"/>
      <c r="M337" s="277"/>
      <c r="N337" s="277"/>
    </row>
    <row r="338" spans="2:14" ht="15.75" thickBot="1">
      <c r="B338" s="50"/>
      <c r="C338" s="27"/>
      <c r="D338" s="27"/>
      <c r="E338" s="50"/>
      <c r="F338" s="138"/>
      <c r="G338" s="195"/>
      <c r="H338" s="138"/>
      <c r="I338" s="138"/>
      <c r="J338" s="277"/>
      <c r="K338" s="277"/>
      <c r="L338" s="277"/>
      <c r="M338" s="277"/>
      <c r="N338" s="277"/>
    </row>
    <row r="339" spans="2:14">
      <c r="B339" s="322" t="s">
        <v>210</v>
      </c>
      <c r="C339" s="389" t="s">
        <v>345</v>
      </c>
      <c r="D339" s="389"/>
      <c r="E339" s="323" t="s">
        <v>211</v>
      </c>
      <c r="F339" s="135"/>
      <c r="G339" s="196"/>
      <c r="H339" s="135"/>
      <c r="I339" s="135"/>
      <c r="J339" s="277"/>
      <c r="K339" s="277"/>
      <c r="L339" s="277"/>
      <c r="M339" s="277"/>
      <c r="N339" s="277"/>
    </row>
    <row r="340" spans="2:14" ht="15" customHeight="1">
      <c r="B340" s="324">
        <f>+SUM(B341:B342)</f>
        <v>0</v>
      </c>
      <c r="C340" s="388">
        <v>45961</v>
      </c>
      <c r="D340" s="388"/>
      <c r="E340" s="325">
        <f>+SUM(E341:E342)</f>
        <v>0</v>
      </c>
      <c r="F340" s="136"/>
      <c r="G340" s="197"/>
      <c r="H340" s="136"/>
      <c r="I340" s="136"/>
      <c r="J340" s="278" t="s">
        <v>346</v>
      </c>
      <c r="K340" s="277"/>
      <c r="L340" s="277"/>
      <c r="M340" s="277"/>
      <c r="N340" s="277"/>
    </row>
    <row r="341" spans="2:14" ht="15.75" thickBot="1">
      <c r="B341" s="271"/>
      <c r="C341" s="270"/>
      <c r="D341" s="270"/>
      <c r="E341" s="271"/>
      <c r="F341" s="141">
        <v>38</v>
      </c>
      <c r="G341" s="194">
        <f>+C340</f>
        <v>45961</v>
      </c>
      <c r="H341" s="156" t="str">
        <f>+B343</f>
        <v>Operaciones del Ejercicio</v>
      </c>
      <c r="I341" s="156">
        <f>+D343</f>
        <v>0</v>
      </c>
      <c r="J341" s="281" t="s">
        <v>347</v>
      </c>
      <c r="K341" s="281"/>
      <c r="L341" s="277"/>
      <c r="M341" s="277"/>
      <c r="N341" s="277"/>
    </row>
    <row r="342" spans="2:14" ht="15.75" hidden="1" thickBot="1">
      <c r="B342" s="272"/>
      <c r="C342" s="268"/>
      <c r="D342" s="268"/>
      <c r="E342" s="272"/>
      <c r="F342" s="141">
        <f>+F341</f>
        <v>38</v>
      </c>
      <c r="G342" s="194">
        <f>+G341</f>
        <v>45961</v>
      </c>
      <c r="H342" s="156" t="str">
        <f>+H341</f>
        <v>Operaciones del Ejercicio</v>
      </c>
      <c r="I342" s="156">
        <f>+I341</f>
        <v>0</v>
      </c>
      <c r="J342" s="277"/>
      <c r="K342" s="277"/>
      <c r="L342" s="277"/>
      <c r="M342" s="277"/>
      <c r="N342" s="277"/>
    </row>
    <row r="343" spans="2:14" ht="14.45" customHeight="1" thickBot="1">
      <c r="B343" s="386" t="s">
        <v>264</v>
      </c>
      <c r="C343" s="387"/>
      <c r="D343" s="386"/>
      <c r="E343" s="387"/>
      <c r="F343" s="141"/>
      <c r="G343" s="194"/>
      <c r="H343" s="140"/>
      <c r="I343" s="140"/>
      <c r="J343" s="277"/>
      <c r="K343" s="277"/>
      <c r="L343" s="277"/>
      <c r="M343" s="277"/>
      <c r="N343" s="277"/>
    </row>
    <row r="344" spans="2:14" ht="14.45" customHeight="1" thickBot="1">
      <c r="B344" s="382" t="str">
        <f>+IF(SUM(B341:B342)=SUM(E341:E342),"Asiento Cuadrado","Asiento Descuadrado")</f>
        <v>Asiento Cuadrado</v>
      </c>
      <c r="C344" s="383"/>
      <c r="D344" s="383"/>
      <c r="E344" s="191">
        <f>+SUM(B341:B342)-SUM(E341:E342)</f>
        <v>0</v>
      </c>
      <c r="F344" s="141"/>
      <c r="G344" s="194"/>
      <c r="H344" s="140"/>
      <c r="I344" s="140"/>
      <c r="J344" s="277"/>
      <c r="K344" s="277"/>
      <c r="L344" s="277"/>
      <c r="M344" s="277"/>
      <c r="N344" s="277"/>
    </row>
    <row r="345" spans="2:14" ht="15.75" thickBot="1">
      <c r="F345" s="77"/>
      <c r="G345" s="193"/>
      <c r="H345" s="77"/>
      <c r="I345" s="77"/>
      <c r="J345" s="277"/>
      <c r="K345" s="277"/>
      <c r="L345" s="277"/>
      <c r="M345" s="277"/>
      <c r="N345" s="277"/>
    </row>
    <row r="346" spans="2:14">
      <c r="B346" s="322" t="s">
        <v>210</v>
      </c>
      <c r="C346" s="389" t="s">
        <v>348</v>
      </c>
      <c r="D346" s="389"/>
      <c r="E346" s="323" t="s">
        <v>211</v>
      </c>
      <c r="F346" s="135"/>
      <c r="G346" s="196"/>
      <c r="H346" s="135"/>
      <c r="I346" s="135"/>
      <c r="J346" s="277"/>
      <c r="K346" s="277"/>
      <c r="L346" s="277"/>
      <c r="M346" s="277"/>
      <c r="N346" s="277"/>
    </row>
    <row r="347" spans="2:14" ht="15" customHeight="1">
      <c r="B347" s="324">
        <f>+SUM(B348:B349)</f>
        <v>0</v>
      </c>
      <c r="C347" s="388">
        <v>45991</v>
      </c>
      <c r="D347" s="388"/>
      <c r="E347" s="325">
        <f>+SUM(E348:E349)</f>
        <v>0</v>
      </c>
      <c r="F347" s="136"/>
      <c r="G347" s="197"/>
      <c r="H347" s="136"/>
      <c r="I347" s="136"/>
      <c r="J347" s="278" t="s">
        <v>349</v>
      </c>
      <c r="K347" s="277"/>
      <c r="L347" s="277"/>
      <c r="M347" s="277"/>
      <c r="N347" s="277"/>
    </row>
    <row r="348" spans="2:14" ht="15.75" thickBot="1">
      <c r="B348" s="273"/>
      <c r="C348" s="270"/>
      <c r="D348" s="270"/>
      <c r="E348" s="273"/>
      <c r="F348" s="141">
        <v>39</v>
      </c>
      <c r="G348" s="194">
        <f>+C347</f>
        <v>45991</v>
      </c>
      <c r="H348" s="156" t="str">
        <f>+B350</f>
        <v>Operaciones del Ejercicio</v>
      </c>
      <c r="I348" s="156">
        <f>+D350</f>
        <v>0</v>
      </c>
      <c r="J348" s="283" t="s">
        <v>350</v>
      </c>
      <c r="K348" s="277"/>
      <c r="L348" s="277"/>
      <c r="M348" s="277"/>
      <c r="N348" s="277"/>
    </row>
    <row r="349" spans="2:14" ht="15.75" hidden="1" thickBot="1">
      <c r="B349" s="274"/>
      <c r="C349" s="268"/>
      <c r="D349" s="268"/>
      <c r="E349" s="274"/>
      <c r="F349" s="141">
        <f>+F348</f>
        <v>39</v>
      </c>
      <c r="G349" s="194">
        <f>+G348</f>
        <v>45991</v>
      </c>
      <c r="H349" s="156" t="str">
        <f>+H348</f>
        <v>Operaciones del Ejercicio</v>
      </c>
      <c r="I349" s="156">
        <f>+I348</f>
        <v>0</v>
      </c>
      <c r="J349" s="277"/>
      <c r="K349" s="277"/>
      <c r="L349" s="277"/>
      <c r="M349" s="277"/>
      <c r="N349" s="277"/>
    </row>
    <row r="350" spans="2:14" ht="14.45" customHeight="1" thickBot="1">
      <c r="B350" s="386" t="s">
        <v>264</v>
      </c>
      <c r="C350" s="387"/>
      <c r="D350" s="386"/>
      <c r="E350" s="387"/>
      <c r="F350" s="141"/>
      <c r="G350" s="194"/>
      <c r="H350" s="140"/>
      <c r="I350" s="140"/>
      <c r="J350" s="277"/>
      <c r="K350" s="277"/>
      <c r="L350" s="277"/>
      <c r="M350" s="277"/>
      <c r="N350" s="277"/>
    </row>
    <row r="351" spans="2:14" ht="14.45" customHeight="1" thickBot="1">
      <c r="B351" s="382" t="str">
        <f>+IF(SUM(B348:B349)=SUM(E348:E349),"Asiento Cuadrado","Asiento Descuadrado")</f>
        <v>Asiento Cuadrado</v>
      </c>
      <c r="C351" s="383"/>
      <c r="D351" s="383"/>
      <c r="E351" s="191">
        <f>+SUM(B348:B349)-SUM(E348:E349)</f>
        <v>0</v>
      </c>
      <c r="F351" s="141"/>
      <c r="G351" s="194"/>
      <c r="H351" s="140"/>
      <c r="I351" s="140"/>
      <c r="J351" s="277"/>
      <c r="K351" s="277"/>
      <c r="L351" s="277"/>
      <c r="M351" s="277"/>
      <c r="N351" s="277"/>
    </row>
    <row r="352" spans="2:14" ht="15.75" thickBot="1">
      <c r="B352" s="82"/>
      <c r="C352" s="43"/>
      <c r="D352" s="43"/>
      <c r="E352" s="82"/>
      <c r="F352" s="135"/>
      <c r="G352" s="196"/>
      <c r="H352" s="135"/>
      <c r="I352" s="135"/>
      <c r="J352" s="277"/>
      <c r="K352" s="277"/>
      <c r="L352" s="277"/>
      <c r="M352" s="277"/>
      <c r="N352" s="277"/>
    </row>
    <row r="353" spans="1:14">
      <c r="B353" s="322" t="s">
        <v>210</v>
      </c>
      <c r="C353" s="389" t="s">
        <v>351</v>
      </c>
      <c r="D353" s="389"/>
      <c r="E353" s="323" t="s">
        <v>211</v>
      </c>
      <c r="F353" s="135"/>
      <c r="G353" s="196"/>
      <c r="H353" s="135"/>
      <c r="I353" s="135"/>
      <c r="J353" s="277"/>
      <c r="K353" s="277"/>
      <c r="L353" s="277"/>
      <c r="M353" s="277"/>
      <c r="N353" s="277"/>
    </row>
    <row r="354" spans="1:14">
      <c r="B354" s="324">
        <f>+SUM(B355:B357)</f>
        <v>0</v>
      </c>
      <c r="C354" s="388">
        <v>45991</v>
      </c>
      <c r="D354" s="388"/>
      <c r="E354" s="325">
        <f>+SUM(E355:E357)</f>
        <v>0</v>
      </c>
      <c r="F354" s="136"/>
      <c r="G354" s="197"/>
      <c r="H354" s="136"/>
      <c r="I354" s="136"/>
      <c r="J354" s="277"/>
      <c r="K354" s="277"/>
      <c r="L354" s="277"/>
      <c r="M354" s="277"/>
      <c r="N354" s="277"/>
    </row>
    <row r="355" spans="1:14">
      <c r="B355" s="271"/>
      <c r="C355" s="270"/>
      <c r="D355" s="270"/>
      <c r="E355" s="271"/>
      <c r="F355" s="141">
        <v>40</v>
      </c>
      <c r="G355" s="194">
        <f>+C354</f>
        <v>45991</v>
      </c>
      <c r="H355" s="156" t="str">
        <f>+B358</f>
        <v>Operaciones del Ejercicio</v>
      </c>
      <c r="I355" s="156">
        <f>+D358</f>
        <v>0</v>
      </c>
      <c r="J355" s="281" t="s">
        <v>352</v>
      </c>
      <c r="K355" s="281"/>
      <c r="L355" s="277"/>
      <c r="M355" s="277"/>
      <c r="N355" s="277"/>
    </row>
    <row r="356" spans="1:14">
      <c r="B356" s="272"/>
      <c r="C356" s="268"/>
      <c r="D356" s="268"/>
      <c r="E356" s="272"/>
      <c r="F356" s="141">
        <f t="shared" ref="F356:H357" si="10">+F355</f>
        <v>40</v>
      </c>
      <c r="G356" s="194">
        <f t="shared" si="10"/>
        <v>45991</v>
      </c>
      <c r="H356" s="156" t="str">
        <f t="shared" si="10"/>
        <v>Operaciones del Ejercicio</v>
      </c>
      <c r="I356" s="156">
        <f>+I355</f>
        <v>0</v>
      </c>
      <c r="J356" s="277"/>
      <c r="K356" s="277"/>
      <c r="L356" s="277"/>
      <c r="M356" s="277"/>
      <c r="N356" s="277"/>
    </row>
    <row r="357" spans="1:14">
      <c r="B357" s="272"/>
      <c r="C357" s="268"/>
      <c r="D357" s="268"/>
      <c r="E357" s="272"/>
      <c r="F357" s="141">
        <f t="shared" si="10"/>
        <v>40</v>
      </c>
      <c r="G357" s="194">
        <f t="shared" si="10"/>
        <v>45991</v>
      </c>
      <c r="H357" s="156" t="str">
        <f t="shared" si="10"/>
        <v>Operaciones del Ejercicio</v>
      </c>
      <c r="I357" s="156">
        <f>+I356</f>
        <v>0</v>
      </c>
      <c r="J357" s="277"/>
      <c r="K357" s="277"/>
      <c r="L357" s="277"/>
      <c r="M357" s="277"/>
      <c r="N357" s="277"/>
    </row>
    <row r="358" spans="1:14" ht="14.45" customHeight="1">
      <c r="B358" s="386" t="s">
        <v>264</v>
      </c>
      <c r="C358" s="387"/>
      <c r="D358" s="386"/>
      <c r="E358" s="387"/>
      <c r="F358" s="141"/>
      <c r="G358" s="194"/>
      <c r="H358" s="140"/>
      <c r="I358" s="140"/>
      <c r="J358" s="277"/>
      <c r="K358" s="277"/>
      <c r="L358" s="277"/>
      <c r="M358" s="277"/>
      <c r="N358" s="277"/>
    </row>
    <row r="359" spans="1:14" ht="14.45" customHeight="1" thickBot="1">
      <c r="B359" s="382" t="str">
        <f>+IF(SUM(B355:B357)=SUM(E355:E357),"Asiento Cuadrado","Asiento Descuadrado")</f>
        <v>Asiento Cuadrado</v>
      </c>
      <c r="C359" s="383"/>
      <c r="D359" s="383"/>
      <c r="E359" s="191">
        <f>+SUM(B355:B357)-SUM(E355:E357)</f>
        <v>0</v>
      </c>
      <c r="F359" s="141"/>
      <c r="G359" s="194"/>
      <c r="H359" s="140"/>
      <c r="I359" s="140"/>
      <c r="J359" s="277"/>
      <c r="K359" s="277"/>
      <c r="L359" s="277"/>
      <c r="M359" s="277"/>
      <c r="N359" s="277"/>
    </row>
    <row r="360" spans="1:14" ht="15.75" thickBot="1">
      <c r="F360" s="77"/>
      <c r="G360" s="193"/>
      <c r="H360" s="77"/>
      <c r="I360" s="77"/>
      <c r="J360" s="277"/>
      <c r="K360" s="277"/>
      <c r="L360" s="277"/>
      <c r="M360" s="277"/>
      <c r="N360" s="277"/>
    </row>
    <row r="361" spans="1:14">
      <c r="B361" s="322" t="s">
        <v>210</v>
      </c>
      <c r="C361" s="389" t="s">
        <v>353</v>
      </c>
      <c r="D361" s="389"/>
      <c r="E361" s="323" t="s">
        <v>211</v>
      </c>
      <c r="F361" s="135"/>
      <c r="G361" s="196"/>
      <c r="H361" s="135"/>
      <c r="I361" s="135"/>
      <c r="J361" s="277"/>
      <c r="K361" s="277"/>
      <c r="L361" s="277"/>
      <c r="M361" s="277"/>
      <c r="N361" s="277"/>
    </row>
    <row r="362" spans="1:14" ht="15" customHeight="1">
      <c r="B362" s="324">
        <f>+SUM(B363:B364)</f>
        <v>0</v>
      </c>
      <c r="C362" s="388">
        <v>46011</v>
      </c>
      <c r="D362" s="388"/>
      <c r="E362" s="325">
        <f>+SUM(E363:E364)</f>
        <v>0</v>
      </c>
      <c r="F362" s="136"/>
      <c r="G362" s="197"/>
      <c r="H362" s="136"/>
      <c r="I362" s="136"/>
      <c r="J362" s="278" t="s">
        <v>354</v>
      </c>
      <c r="K362" s="277"/>
      <c r="L362" s="277"/>
      <c r="M362" s="277"/>
      <c r="N362" s="277"/>
    </row>
    <row r="363" spans="1:14" ht="15.75" thickBot="1">
      <c r="B363" s="271"/>
      <c r="C363" s="270"/>
      <c r="D363" s="270"/>
      <c r="E363" s="271"/>
      <c r="F363" s="141">
        <v>41</v>
      </c>
      <c r="G363" s="194">
        <f>+C362</f>
        <v>46011</v>
      </c>
      <c r="H363" s="156" t="str">
        <f>+B365</f>
        <v>Operaciones del Ejercicio</v>
      </c>
      <c r="I363" s="156">
        <f>+D365</f>
        <v>0</v>
      </c>
      <c r="J363" s="277"/>
      <c r="K363" s="277"/>
      <c r="L363" s="277"/>
      <c r="M363" s="277"/>
      <c r="N363" s="277"/>
    </row>
    <row r="364" spans="1:14" ht="15.75" hidden="1" thickBot="1">
      <c r="B364" s="272"/>
      <c r="C364" s="268"/>
      <c r="D364" s="268"/>
      <c r="E364" s="272"/>
      <c r="F364" s="141">
        <f>+F363</f>
        <v>41</v>
      </c>
      <c r="G364" s="194">
        <f>+G363</f>
        <v>46011</v>
      </c>
      <c r="H364" s="156" t="str">
        <f>+H363</f>
        <v>Operaciones del Ejercicio</v>
      </c>
      <c r="I364" s="156">
        <f>+I363</f>
        <v>0</v>
      </c>
      <c r="J364" s="277"/>
      <c r="K364" s="277"/>
      <c r="L364" s="277"/>
      <c r="M364" s="277"/>
      <c r="N364" s="277"/>
    </row>
    <row r="365" spans="1:14" ht="14.45" customHeight="1" thickBot="1">
      <c r="B365" s="386" t="s">
        <v>264</v>
      </c>
      <c r="C365" s="387"/>
      <c r="D365" s="386"/>
      <c r="E365" s="387"/>
      <c r="F365" s="141"/>
      <c r="G365" s="194"/>
      <c r="H365" s="140"/>
      <c r="I365" s="140"/>
      <c r="J365" s="277"/>
      <c r="K365" s="277"/>
      <c r="L365" s="277"/>
      <c r="M365" s="277"/>
      <c r="N365" s="277"/>
    </row>
    <row r="366" spans="1:14" ht="14.45" customHeight="1" thickBot="1">
      <c r="B366" s="382" t="str">
        <f>+IF(SUM(B363:B364)=SUM(E363:E364),"Asiento Cuadrado","Asiento Descuadrado")</f>
        <v>Asiento Cuadrado</v>
      </c>
      <c r="C366" s="383"/>
      <c r="D366" s="383"/>
      <c r="E366" s="191">
        <f>+SUM(B363:B364)-SUM(E363:E364)</f>
        <v>0</v>
      </c>
      <c r="F366" s="141"/>
      <c r="G366" s="194"/>
      <c r="H366" s="140"/>
      <c r="I366" s="140"/>
      <c r="J366" s="277"/>
      <c r="K366" s="277"/>
      <c r="L366" s="277"/>
      <c r="M366" s="277"/>
      <c r="N366" s="277"/>
    </row>
    <row r="367" spans="1:14" ht="15.75" thickBot="1">
      <c r="F367" s="77"/>
      <c r="G367" s="193"/>
      <c r="H367" s="77"/>
      <c r="I367" s="77"/>
      <c r="J367" s="277"/>
      <c r="K367" s="277"/>
      <c r="L367" s="277"/>
      <c r="M367" s="277"/>
      <c r="N367" s="277"/>
    </row>
    <row r="368" spans="1:14">
      <c r="A368" s="1"/>
      <c r="B368" s="322" t="s">
        <v>210</v>
      </c>
      <c r="C368" s="389" t="s">
        <v>355</v>
      </c>
      <c r="D368" s="389"/>
      <c r="E368" s="323" t="s">
        <v>211</v>
      </c>
      <c r="F368" s="135"/>
      <c r="G368" s="196"/>
      <c r="H368" s="135"/>
      <c r="I368" s="135"/>
      <c r="J368" s="277"/>
      <c r="K368" s="277"/>
      <c r="L368" s="277"/>
      <c r="M368" s="277"/>
      <c r="N368" s="277"/>
    </row>
    <row r="369" spans="2:14" ht="15" customHeight="1">
      <c r="B369" s="324">
        <f>+SUM(B370:B374)</f>
        <v>0</v>
      </c>
      <c r="C369" s="388">
        <v>46018</v>
      </c>
      <c r="D369" s="388"/>
      <c r="E369" s="325">
        <f>+SUM(E370:E374)</f>
        <v>0</v>
      </c>
      <c r="F369" s="136"/>
      <c r="G369" s="197"/>
      <c r="H369" s="136"/>
      <c r="I369" s="136"/>
      <c r="J369" s="278" t="s">
        <v>356</v>
      </c>
      <c r="K369" s="277"/>
      <c r="L369" s="277"/>
      <c r="M369" s="277"/>
      <c r="N369" s="277"/>
    </row>
    <row r="370" spans="2:14">
      <c r="B370" s="271"/>
      <c r="C370" s="270"/>
      <c r="D370" s="270"/>
      <c r="E370" s="271"/>
      <c r="F370" s="141">
        <v>42</v>
      </c>
      <c r="G370" s="194">
        <f>+C369</f>
        <v>46018</v>
      </c>
      <c r="H370" s="156" t="str">
        <f>+B375</f>
        <v>Operaciones del Ejercicio</v>
      </c>
      <c r="I370" s="156">
        <f>+D375</f>
        <v>0</v>
      </c>
      <c r="J370" s="277"/>
      <c r="K370" s="277"/>
      <c r="L370" s="277"/>
      <c r="M370" s="277"/>
      <c r="N370" s="277"/>
    </row>
    <row r="371" spans="2:14">
      <c r="B371" s="272"/>
      <c r="C371" s="268"/>
      <c r="D371" s="268"/>
      <c r="E371" s="272"/>
      <c r="F371" s="141">
        <f>+F370</f>
        <v>42</v>
      </c>
      <c r="G371" s="194">
        <f>+G370</f>
        <v>46018</v>
      </c>
      <c r="H371" s="156" t="str">
        <f>+H370</f>
        <v>Operaciones del Ejercicio</v>
      </c>
      <c r="I371" s="156">
        <f>+I370</f>
        <v>0</v>
      </c>
      <c r="J371" s="277"/>
      <c r="K371" s="277"/>
      <c r="L371" s="277"/>
      <c r="M371" s="277"/>
      <c r="N371" s="277"/>
    </row>
    <row r="372" spans="2:14">
      <c r="B372" s="272"/>
      <c r="C372" s="268"/>
      <c r="D372" s="268"/>
      <c r="E372" s="272"/>
      <c r="F372" s="141">
        <f>+F371</f>
        <v>42</v>
      </c>
      <c r="G372" s="194">
        <f t="shared" ref="G372:I374" si="11">+G371</f>
        <v>46018</v>
      </c>
      <c r="H372" s="156" t="str">
        <f t="shared" si="11"/>
        <v>Operaciones del Ejercicio</v>
      </c>
      <c r="I372" s="156">
        <f t="shared" si="11"/>
        <v>0</v>
      </c>
      <c r="J372" s="277"/>
      <c r="K372" s="277"/>
      <c r="L372" s="277"/>
      <c r="M372" s="277"/>
      <c r="N372" s="277"/>
    </row>
    <row r="373" spans="2:14">
      <c r="B373" s="272"/>
      <c r="C373" s="268"/>
      <c r="D373" s="268"/>
      <c r="E373" s="272"/>
      <c r="F373" s="141">
        <f>+F372</f>
        <v>42</v>
      </c>
      <c r="G373" s="194">
        <f t="shared" si="11"/>
        <v>46018</v>
      </c>
      <c r="H373" s="156" t="str">
        <f t="shared" si="11"/>
        <v>Operaciones del Ejercicio</v>
      </c>
      <c r="I373" s="156">
        <f t="shared" si="11"/>
        <v>0</v>
      </c>
      <c r="J373" s="277"/>
      <c r="K373" s="277"/>
      <c r="L373" s="277"/>
      <c r="M373" s="277"/>
      <c r="N373" s="277"/>
    </row>
    <row r="374" spans="2:14">
      <c r="B374" s="272"/>
      <c r="C374" s="268"/>
      <c r="D374" s="268"/>
      <c r="E374" s="272"/>
      <c r="F374" s="141">
        <f>+F373</f>
        <v>42</v>
      </c>
      <c r="G374" s="194">
        <f t="shared" si="11"/>
        <v>46018</v>
      </c>
      <c r="H374" s="156" t="str">
        <f t="shared" si="11"/>
        <v>Operaciones del Ejercicio</v>
      </c>
      <c r="I374" s="156">
        <f t="shared" si="11"/>
        <v>0</v>
      </c>
      <c r="J374" s="277"/>
      <c r="K374" s="277"/>
      <c r="L374" s="277"/>
      <c r="M374" s="277"/>
      <c r="N374" s="277"/>
    </row>
    <row r="375" spans="2:14" ht="14.45" customHeight="1">
      <c r="B375" s="386" t="s">
        <v>264</v>
      </c>
      <c r="C375" s="387"/>
      <c r="D375" s="386"/>
      <c r="E375" s="387"/>
      <c r="F375" s="141"/>
      <c r="G375" s="194"/>
      <c r="H375" s="140"/>
      <c r="I375" s="140"/>
      <c r="J375" s="277"/>
      <c r="K375" s="277"/>
      <c r="L375" s="277"/>
      <c r="M375" s="277"/>
      <c r="N375" s="277"/>
    </row>
    <row r="376" spans="2:14" ht="14.45" customHeight="1" thickBot="1">
      <c r="B376" s="382" t="str">
        <f>+IF(SUM(B370:B374)=SUM(E370:E374),"Asiento Cuadrado","Asiento Descuadrado")</f>
        <v>Asiento Cuadrado</v>
      </c>
      <c r="C376" s="383"/>
      <c r="D376" s="383"/>
      <c r="E376" s="191">
        <f>+SUM(B370:B374)-SUM(E370:E374)</f>
        <v>0</v>
      </c>
      <c r="F376" s="141"/>
      <c r="G376" s="194"/>
      <c r="H376" s="140"/>
      <c r="I376" s="140"/>
      <c r="J376" s="277"/>
      <c r="K376" s="277"/>
      <c r="L376" s="277"/>
      <c r="M376" s="277"/>
      <c r="N376" s="277"/>
    </row>
    <row r="377" spans="2:14" ht="15.75" thickBot="1">
      <c r="F377" s="77"/>
      <c r="G377" s="193"/>
      <c r="H377" s="77"/>
      <c r="I377" s="77"/>
      <c r="J377" s="277"/>
      <c r="K377" s="277"/>
      <c r="L377" s="277"/>
      <c r="M377" s="277"/>
      <c r="N377" s="277"/>
    </row>
    <row r="378" spans="2:14">
      <c r="B378" s="322" t="s">
        <v>210</v>
      </c>
      <c r="C378" s="389" t="s">
        <v>357</v>
      </c>
      <c r="D378" s="389"/>
      <c r="E378" s="323" t="s">
        <v>211</v>
      </c>
      <c r="F378" s="135"/>
      <c r="G378" s="196"/>
      <c r="H378" s="135"/>
      <c r="I378" s="135"/>
      <c r="J378" s="277"/>
      <c r="K378" s="277"/>
      <c r="L378" s="277"/>
      <c r="M378" s="277"/>
      <c r="N378" s="277"/>
    </row>
    <row r="379" spans="2:14" ht="15" customHeight="1">
      <c r="B379" s="324">
        <f>+SUM(B380:B381)</f>
        <v>0</v>
      </c>
      <c r="C379" s="388">
        <v>46022</v>
      </c>
      <c r="D379" s="388"/>
      <c r="E379" s="325">
        <f>+SUM(E380:E381)</f>
        <v>0</v>
      </c>
      <c r="F379" s="136"/>
      <c r="G379" s="197"/>
      <c r="H379" s="136"/>
      <c r="I379" s="136"/>
      <c r="J379" s="278" t="s">
        <v>358</v>
      </c>
      <c r="K379" s="277"/>
      <c r="L379" s="277"/>
      <c r="M379" s="277"/>
      <c r="N379" s="277"/>
    </row>
    <row r="380" spans="2:14">
      <c r="B380" s="271"/>
      <c r="C380" s="270"/>
      <c r="D380" s="263"/>
      <c r="E380" s="271"/>
      <c r="F380" s="141">
        <v>43</v>
      </c>
      <c r="G380" s="194">
        <f>+C379</f>
        <v>46022</v>
      </c>
      <c r="H380" s="156" t="str">
        <f>+B382</f>
        <v>Operaciones del Ejercicio</v>
      </c>
      <c r="I380" s="156">
        <f>+D382</f>
        <v>0</v>
      </c>
      <c r="J380" s="277"/>
      <c r="K380" s="277"/>
      <c r="L380" s="277"/>
      <c r="M380" s="277"/>
      <c r="N380" s="277"/>
    </row>
    <row r="381" spans="2:14">
      <c r="B381" s="272"/>
      <c r="C381" s="268"/>
      <c r="D381" s="268"/>
      <c r="E381" s="272"/>
      <c r="F381" s="141">
        <f>+F380</f>
        <v>43</v>
      </c>
      <c r="G381" s="194">
        <f>+G380</f>
        <v>46022</v>
      </c>
      <c r="H381" s="156" t="str">
        <f>+H380</f>
        <v>Operaciones del Ejercicio</v>
      </c>
      <c r="I381" s="156">
        <f>+I380</f>
        <v>0</v>
      </c>
      <c r="J381" s="277"/>
      <c r="K381" s="277"/>
      <c r="L381" s="277"/>
      <c r="M381" s="277"/>
      <c r="N381" s="277"/>
    </row>
    <row r="382" spans="2:14" ht="14.45" customHeight="1">
      <c r="B382" s="386" t="s">
        <v>264</v>
      </c>
      <c r="C382" s="387"/>
      <c r="D382" s="386"/>
      <c r="E382" s="387"/>
      <c r="F382" s="141"/>
      <c r="G382" s="194"/>
      <c r="H382" s="140"/>
      <c r="I382" s="140"/>
      <c r="J382" s="277"/>
      <c r="K382" s="277"/>
      <c r="L382" s="277"/>
      <c r="M382" s="277"/>
      <c r="N382" s="277"/>
    </row>
    <row r="383" spans="2:14" ht="14.45" customHeight="1" thickBot="1">
      <c r="B383" s="382" t="str">
        <f>+IF(SUM(B380:B381)=SUM(E380:E381),"Asiento Cuadrado","Asiento Descuadrado")</f>
        <v>Asiento Cuadrado</v>
      </c>
      <c r="C383" s="383"/>
      <c r="D383" s="383"/>
      <c r="E383" s="191">
        <f>+SUM(B380:B381)-SUM(E380:E381)</f>
        <v>0</v>
      </c>
      <c r="F383" s="141"/>
      <c r="G383" s="194"/>
      <c r="H383" s="140"/>
      <c r="I383" s="140"/>
      <c r="J383" s="277"/>
      <c r="K383" s="277"/>
      <c r="L383" s="277"/>
      <c r="M383" s="277"/>
      <c r="N383" s="277"/>
    </row>
    <row r="384" spans="2:14" ht="15.75" thickBot="1">
      <c r="F384" s="77"/>
      <c r="G384" s="193"/>
      <c r="H384" s="77"/>
      <c r="I384" s="77"/>
      <c r="J384" s="277"/>
      <c r="K384" s="277"/>
      <c r="L384" s="277"/>
      <c r="M384" s="277"/>
      <c r="N384" s="277"/>
    </row>
    <row r="385" spans="2:14">
      <c r="B385" s="322" t="s">
        <v>210</v>
      </c>
      <c r="C385" s="389" t="s">
        <v>359</v>
      </c>
      <c r="D385" s="389"/>
      <c r="E385" s="323" t="s">
        <v>211</v>
      </c>
      <c r="F385" s="135"/>
      <c r="G385" s="196"/>
      <c r="H385" s="135"/>
      <c r="I385" s="135"/>
      <c r="J385" s="277"/>
      <c r="K385" s="277"/>
      <c r="L385" s="277"/>
      <c r="M385" s="277"/>
      <c r="N385" s="277"/>
    </row>
    <row r="386" spans="2:14" ht="15" customHeight="1">
      <c r="B386" s="324">
        <f>+SUM(B387:B388)</f>
        <v>0</v>
      </c>
      <c r="C386" s="388">
        <v>46022</v>
      </c>
      <c r="D386" s="388"/>
      <c r="E386" s="325">
        <f>+SUM(E387:E388)</f>
        <v>0</v>
      </c>
      <c r="F386" s="136"/>
      <c r="G386" s="197"/>
      <c r="H386" s="136"/>
      <c r="I386" s="136"/>
      <c r="J386" s="278" t="s">
        <v>360</v>
      </c>
      <c r="K386" s="277"/>
      <c r="L386" s="277"/>
      <c r="M386" s="277"/>
      <c r="N386" s="277"/>
    </row>
    <row r="387" spans="2:14" ht="15.75" thickBot="1">
      <c r="B387" s="271"/>
      <c r="C387" s="270"/>
      <c r="D387" s="263"/>
      <c r="E387" s="271"/>
      <c r="F387" s="141">
        <v>44</v>
      </c>
      <c r="G387" s="194">
        <f>+C386</f>
        <v>46022</v>
      </c>
      <c r="H387" s="156" t="str">
        <f>+B389</f>
        <v>Ajuste por Periodificación</v>
      </c>
      <c r="I387" s="156">
        <f>+D389</f>
        <v>0</v>
      </c>
      <c r="J387" s="283" t="s">
        <v>361</v>
      </c>
      <c r="K387" s="277"/>
      <c r="L387" s="277"/>
      <c r="M387" s="277"/>
      <c r="N387" s="277"/>
    </row>
    <row r="388" spans="2:14" ht="15.75" hidden="1" thickBot="1">
      <c r="B388" s="272"/>
      <c r="C388" s="268"/>
      <c r="D388" s="265"/>
      <c r="E388" s="272"/>
      <c r="F388" s="141">
        <f>+F387</f>
        <v>44</v>
      </c>
      <c r="G388" s="194">
        <f>+G387</f>
        <v>46022</v>
      </c>
      <c r="H388" s="156" t="str">
        <f>+H387</f>
        <v>Ajuste por Periodificación</v>
      </c>
      <c r="I388" s="156">
        <f>+I387</f>
        <v>0</v>
      </c>
      <c r="J388" s="277"/>
      <c r="K388" s="277"/>
      <c r="L388" s="277"/>
      <c r="M388" s="277"/>
      <c r="N388" s="277"/>
    </row>
    <row r="389" spans="2:14" ht="14.45" customHeight="1" thickBot="1">
      <c r="B389" s="386" t="s">
        <v>362</v>
      </c>
      <c r="C389" s="387"/>
      <c r="D389" s="386"/>
      <c r="E389" s="387"/>
      <c r="F389" s="141"/>
      <c r="G389" s="194"/>
      <c r="H389" s="140"/>
      <c r="I389" s="140"/>
      <c r="J389" s="277"/>
      <c r="K389" s="277"/>
      <c r="L389" s="277"/>
      <c r="M389" s="277"/>
      <c r="N389" s="277"/>
    </row>
    <row r="390" spans="2:14" ht="14.45" customHeight="1" thickBot="1">
      <c r="B390" s="382" t="str">
        <f>+IF(SUM(B387:B388)=SUM(E387:E388),"Asiento Cuadrado","Asiento Descuadrado")</f>
        <v>Asiento Cuadrado</v>
      </c>
      <c r="C390" s="383"/>
      <c r="D390" s="383"/>
      <c r="E390" s="191">
        <f>+SUM(B387:B388)-SUM(E387:E388)</f>
        <v>0</v>
      </c>
      <c r="F390" s="141"/>
      <c r="G390" s="194"/>
      <c r="H390" s="140"/>
      <c r="I390" s="140"/>
      <c r="J390" s="277"/>
      <c r="K390" s="277"/>
      <c r="L390" s="277"/>
      <c r="M390" s="277"/>
      <c r="N390" s="277"/>
    </row>
    <row r="391" spans="2:14" ht="15.75" thickBot="1">
      <c r="F391" s="77"/>
      <c r="G391" s="193"/>
      <c r="H391" s="77"/>
      <c r="I391" s="77"/>
      <c r="J391" s="277"/>
      <c r="K391" s="277"/>
      <c r="L391" s="277"/>
      <c r="M391" s="277"/>
      <c r="N391" s="277"/>
    </row>
    <row r="392" spans="2:14">
      <c r="B392" s="322" t="s">
        <v>210</v>
      </c>
      <c r="C392" s="389" t="s">
        <v>363</v>
      </c>
      <c r="D392" s="389"/>
      <c r="E392" s="323" t="s">
        <v>211</v>
      </c>
      <c r="F392" s="135"/>
      <c r="G392" s="196"/>
      <c r="H392" s="135"/>
      <c r="I392" s="135"/>
      <c r="J392" s="277"/>
      <c r="K392" s="277"/>
      <c r="L392" s="277"/>
      <c r="M392" s="277"/>
      <c r="N392" s="277"/>
    </row>
    <row r="393" spans="2:14" ht="15" customHeight="1">
      <c r="B393" s="324">
        <f>+SUM(B394:B395)</f>
        <v>0</v>
      </c>
      <c r="C393" s="388">
        <v>46022</v>
      </c>
      <c r="D393" s="388"/>
      <c r="E393" s="325">
        <f>+SUM(E394:E395)</f>
        <v>0</v>
      </c>
      <c r="F393" s="136"/>
      <c r="G393" s="197"/>
      <c r="H393" s="136"/>
      <c r="I393" s="136"/>
      <c r="J393" s="284" t="s">
        <v>364</v>
      </c>
      <c r="K393" s="277"/>
      <c r="L393" s="277"/>
      <c r="M393" s="277"/>
      <c r="N393" s="277"/>
    </row>
    <row r="394" spans="2:14" ht="15.75" thickBot="1">
      <c r="B394" s="271"/>
      <c r="C394" s="263"/>
      <c r="D394" s="270"/>
      <c r="E394" s="271"/>
      <c r="F394" s="141">
        <v>45</v>
      </c>
      <c r="G394" s="194">
        <f>+C393</f>
        <v>46022</v>
      </c>
      <c r="H394" s="156" t="str">
        <f>+B396</f>
        <v>Ajuste por Periodificación</v>
      </c>
      <c r="I394" s="156">
        <f>+D396</f>
        <v>0</v>
      </c>
      <c r="J394" s="277"/>
      <c r="K394" s="277"/>
      <c r="L394" s="277"/>
      <c r="M394" s="277"/>
      <c r="N394" s="277"/>
    </row>
    <row r="395" spans="2:14" ht="15.75" hidden="1" thickBot="1">
      <c r="B395" s="272"/>
      <c r="C395" s="265"/>
      <c r="D395" s="268"/>
      <c r="E395" s="272"/>
      <c r="F395" s="141">
        <f>+F394</f>
        <v>45</v>
      </c>
      <c r="G395" s="194">
        <f>+G394</f>
        <v>46022</v>
      </c>
      <c r="H395" s="156" t="str">
        <f>+H394</f>
        <v>Ajuste por Periodificación</v>
      </c>
      <c r="I395" s="156">
        <f>+I394</f>
        <v>0</v>
      </c>
      <c r="J395" s="277"/>
      <c r="K395" s="277"/>
      <c r="L395" s="277"/>
      <c r="M395" s="277"/>
      <c r="N395" s="277"/>
    </row>
    <row r="396" spans="2:14" ht="14.45" customHeight="1" thickBot="1">
      <c r="B396" s="386" t="s">
        <v>362</v>
      </c>
      <c r="C396" s="387"/>
      <c r="D396" s="386"/>
      <c r="E396" s="387"/>
      <c r="F396" s="141"/>
      <c r="G396" s="194"/>
      <c r="H396" s="140"/>
      <c r="I396" s="140"/>
      <c r="J396" s="277"/>
      <c r="K396" s="277"/>
      <c r="L396" s="277"/>
      <c r="M396" s="277"/>
      <c r="N396" s="277"/>
    </row>
    <row r="397" spans="2:14" ht="14.45" customHeight="1" thickBot="1">
      <c r="B397" s="382" t="str">
        <f>+IF(SUM(B394:B395)=SUM(E394:E395),"Asiento Cuadrado","Asiento Descuadrado")</f>
        <v>Asiento Cuadrado</v>
      </c>
      <c r="C397" s="383"/>
      <c r="D397" s="383"/>
      <c r="E397" s="191">
        <f>+SUM(B394:B395)-SUM(E394:E395)</f>
        <v>0</v>
      </c>
      <c r="F397" s="141"/>
      <c r="G397" s="194"/>
      <c r="H397" s="140"/>
      <c r="I397" s="140"/>
      <c r="J397" s="277"/>
      <c r="K397" s="277"/>
      <c r="L397" s="277"/>
      <c r="M397" s="277"/>
      <c r="N397" s="277"/>
    </row>
    <row r="398" spans="2:14" ht="15.75" thickBot="1">
      <c r="F398" s="77"/>
      <c r="G398" s="193"/>
      <c r="H398" s="77"/>
      <c r="I398" s="77"/>
      <c r="J398" s="277"/>
      <c r="K398" s="277"/>
      <c r="L398" s="277"/>
      <c r="M398" s="277"/>
      <c r="N398" s="277"/>
    </row>
    <row r="399" spans="2:14">
      <c r="B399" s="322" t="s">
        <v>210</v>
      </c>
      <c r="C399" s="389" t="s">
        <v>365</v>
      </c>
      <c r="D399" s="389"/>
      <c r="E399" s="323" t="s">
        <v>211</v>
      </c>
      <c r="F399" s="135"/>
      <c r="G399" s="196"/>
      <c r="H399" s="135"/>
      <c r="I399" s="135"/>
      <c r="J399" s="277"/>
      <c r="K399" s="277"/>
      <c r="L399" s="277"/>
      <c r="M399" s="277"/>
      <c r="N399" s="277"/>
    </row>
    <row r="400" spans="2:14" ht="15" customHeight="1">
      <c r="B400" s="324">
        <f>+SUM(B401:B402)</f>
        <v>0</v>
      </c>
      <c r="C400" s="388">
        <v>46022</v>
      </c>
      <c r="D400" s="388"/>
      <c r="E400" s="325">
        <f>+SUM(E401:E402)</f>
        <v>0</v>
      </c>
      <c r="F400" s="136"/>
      <c r="G400" s="197"/>
      <c r="H400" s="136"/>
      <c r="I400" s="136"/>
      <c r="J400" s="283" t="s">
        <v>366</v>
      </c>
      <c r="K400" s="277"/>
      <c r="L400" s="277"/>
      <c r="M400" s="277"/>
      <c r="N400" s="277"/>
    </row>
    <row r="401" spans="2:14" ht="15.75" thickBot="1">
      <c r="B401" s="271"/>
      <c r="C401" s="270"/>
      <c r="D401" s="270"/>
      <c r="E401" s="271"/>
      <c r="F401" s="141">
        <v>46</v>
      </c>
      <c r="G401" s="194">
        <f>+C400</f>
        <v>46022</v>
      </c>
      <c r="H401" s="156" t="str">
        <f>+B403</f>
        <v>Ajuste por Periodificación</v>
      </c>
      <c r="I401" s="156">
        <f>+D403</f>
        <v>0</v>
      </c>
      <c r="J401" s="277"/>
      <c r="K401" s="277"/>
      <c r="L401" s="277"/>
      <c r="M401" s="277"/>
      <c r="N401" s="277"/>
    </row>
    <row r="402" spans="2:14" ht="15.75" hidden="1" thickBot="1">
      <c r="B402" s="272"/>
      <c r="C402" s="268"/>
      <c r="D402" s="268"/>
      <c r="E402" s="272"/>
      <c r="F402" s="141">
        <f>+F401</f>
        <v>46</v>
      </c>
      <c r="G402" s="194">
        <f>+G401</f>
        <v>46022</v>
      </c>
      <c r="H402" s="156" t="str">
        <f>+H401</f>
        <v>Ajuste por Periodificación</v>
      </c>
      <c r="I402" s="156">
        <f>+I401</f>
        <v>0</v>
      </c>
      <c r="J402" s="277"/>
      <c r="K402" s="277"/>
      <c r="L402" s="277"/>
      <c r="M402" s="277"/>
      <c r="N402" s="277"/>
    </row>
    <row r="403" spans="2:14" ht="14.45" customHeight="1" thickBot="1">
      <c r="B403" s="386" t="s">
        <v>362</v>
      </c>
      <c r="C403" s="387"/>
      <c r="D403" s="386"/>
      <c r="E403" s="387"/>
      <c r="F403" s="141"/>
      <c r="G403" s="194"/>
      <c r="H403" s="140"/>
      <c r="I403" s="140"/>
      <c r="J403" s="277"/>
      <c r="K403" s="277"/>
      <c r="L403" s="277"/>
      <c r="M403" s="277"/>
      <c r="N403" s="277"/>
    </row>
    <row r="404" spans="2:14" ht="14.45" customHeight="1" thickBot="1">
      <c r="B404" s="382" t="str">
        <f>+IF(SUM(B401:B402)=SUM(E401:E402),"Asiento Cuadrado","Asiento Descuadrado")</f>
        <v>Asiento Cuadrado</v>
      </c>
      <c r="C404" s="383"/>
      <c r="D404" s="383"/>
      <c r="E404" s="191">
        <f>+SUM(B401:B402)-SUM(E401:E402)</f>
        <v>0</v>
      </c>
      <c r="F404" s="141"/>
      <c r="G404" s="194"/>
      <c r="H404" s="140"/>
      <c r="I404" s="140"/>
      <c r="J404" s="277"/>
      <c r="K404" s="277"/>
      <c r="L404" s="277"/>
      <c r="M404" s="277"/>
      <c r="N404" s="277"/>
    </row>
    <row r="405" spans="2:14" ht="15.75" thickBot="1">
      <c r="F405" s="77"/>
      <c r="G405" s="193"/>
      <c r="H405" s="77"/>
      <c r="I405" s="77"/>
      <c r="J405" s="277"/>
      <c r="K405" s="277"/>
      <c r="L405" s="277"/>
      <c r="M405" s="277"/>
      <c r="N405" s="277"/>
    </row>
    <row r="406" spans="2:14">
      <c r="B406" s="322" t="s">
        <v>210</v>
      </c>
      <c r="C406" s="389" t="s">
        <v>367</v>
      </c>
      <c r="D406" s="389"/>
      <c r="E406" s="323" t="s">
        <v>211</v>
      </c>
      <c r="F406" s="135"/>
      <c r="G406" s="196"/>
      <c r="H406" s="135"/>
      <c r="I406" s="135"/>
      <c r="J406" s="277"/>
      <c r="K406" s="277"/>
      <c r="L406" s="277"/>
      <c r="M406" s="277"/>
      <c r="N406" s="277"/>
    </row>
    <row r="407" spans="2:14" ht="15" customHeight="1">
      <c r="B407" s="324">
        <f>+SUM(B408:B409)</f>
        <v>0</v>
      </c>
      <c r="C407" s="388">
        <v>46022</v>
      </c>
      <c r="D407" s="388"/>
      <c r="E407" s="325">
        <f>+SUM(E408:E409)</f>
        <v>0</v>
      </c>
      <c r="F407" s="136"/>
      <c r="G407" s="197"/>
      <c r="H407" s="136"/>
      <c r="I407" s="136"/>
      <c r="J407" s="278" t="s">
        <v>368</v>
      </c>
      <c r="K407" s="277"/>
      <c r="L407" s="277"/>
      <c r="M407" s="277"/>
      <c r="N407" s="277"/>
    </row>
    <row r="408" spans="2:14" ht="15.75" thickBot="1">
      <c r="B408" s="271"/>
      <c r="C408" s="270"/>
      <c r="D408" s="270"/>
      <c r="E408" s="271"/>
      <c r="F408" s="141">
        <v>47</v>
      </c>
      <c r="G408" s="194">
        <f>+C407</f>
        <v>46022</v>
      </c>
      <c r="H408" s="156" t="str">
        <f>+B410</f>
        <v>Ajuste por Reclasificación</v>
      </c>
      <c r="I408" s="156">
        <f>+D410</f>
        <v>0</v>
      </c>
      <c r="J408" s="277"/>
      <c r="K408" s="277"/>
      <c r="L408" s="277"/>
      <c r="M408" s="277"/>
      <c r="N408" s="277"/>
    </row>
    <row r="409" spans="2:14" ht="15.75" hidden="1" thickBot="1">
      <c r="B409" s="272"/>
      <c r="C409" s="268"/>
      <c r="D409" s="268"/>
      <c r="E409" s="272"/>
      <c r="F409" s="141">
        <f>+F408</f>
        <v>47</v>
      </c>
      <c r="G409" s="194">
        <f>+G408</f>
        <v>46022</v>
      </c>
      <c r="H409" s="156" t="str">
        <f>+H408</f>
        <v>Ajuste por Reclasificación</v>
      </c>
      <c r="I409" s="156">
        <f>+I408</f>
        <v>0</v>
      </c>
      <c r="J409" s="277"/>
      <c r="K409" s="277"/>
      <c r="L409" s="277"/>
      <c r="M409" s="277"/>
      <c r="N409" s="277"/>
    </row>
    <row r="410" spans="2:14" ht="14.45" customHeight="1" thickBot="1">
      <c r="B410" s="386" t="s">
        <v>369</v>
      </c>
      <c r="C410" s="387"/>
      <c r="D410" s="386"/>
      <c r="E410" s="387"/>
      <c r="F410" s="141"/>
      <c r="G410" s="194"/>
      <c r="H410" s="140"/>
      <c r="I410" s="140"/>
      <c r="J410" s="277"/>
      <c r="K410" s="277"/>
      <c r="L410" s="277"/>
      <c r="M410" s="277"/>
      <c r="N410" s="277"/>
    </row>
    <row r="411" spans="2:14" ht="14.45" customHeight="1" thickBot="1">
      <c r="B411" s="382" t="str">
        <f>+IF(SUM(B408:B409)=SUM(E408:E409),"Asiento Cuadrado","Asiento Descuadrado")</f>
        <v>Asiento Cuadrado</v>
      </c>
      <c r="C411" s="383"/>
      <c r="D411" s="383"/>
      <c r="E411" s="191">
        <f>+SUM(B408:B409)-SUM(E408:E409)</f>
        <v>0</v>
      </c>
      <c r="F411" s="141"/>
      <c r="G411" s="194"/>
      <c r="H411" s="140"/>
      <c r="I411" s="140"/>
      <c r="J411" s="277"/>
      <c r="K411" s="277"/>
      <c r="L411" s="277"/>
      <c r="M411" s="277"/>
      <c r="N411" s="277"/>
    </row>
    <row r="412" spans="2:14" ht="15.75" thickBot="1">
      <c r="F412" s="77"/>
      <c r="G412" s="193"/>
      <c r="H412" s="77"/>
      <c r="I412" s="77"/>
      <c r="J412" s="277"/>
      <c r="K412" s="277"/>
      <c r="L412" s="277"/>
      <c r="M412" s="277"/>
      <c r="N412" s="277"/>
    </row>
    <row r="413" spans="2:14">
      <c r="B413" s="322" t="s">
        <v>210</v>
      </c>
      <c r="C413" s="389" t="s">
        <v>370</v>
      </c>
      <c r="D413" s="389"/>
      <c r="E413" s="323" t="s">
        <v>211</v>
      </c>
      <c r="F413" s="135"/>
      <c r="G413" s="196"/>
      <c r="H413" s="135"/>
      <c r="I413" s="135"/>
      <c r="J413" s="277"/>
      <c r="K413" s="277"/>
      <c r="L413" s="277"/>
      <c r="M413" s="277"/>
      <c r="N413" s="277"/>
    </row>
    <row r="414" spans="2:14" ht="15" customHeight="1">
      <c r="B414" s="324">
        <f>+SUM(B415:B416)</f>
        <v>0</v>
      </c>
      <c r="C414" s="388">
        <v>46022</v>
      </c>
      <c r="D414" s="388"/>
      <c r="E414" s="325">
        <f>+SUM(E415:E416)</f>
        <v>0</v>
      </c>
      <c r="F414" s="136"/>
      <c r="G414" s="197"/>
      <c r="H414" s="136"/>
      <c r="I414" s="136"/>
      <c r="J414" s="278" t="s">
        <v>371</v>
      </c>
      <c r="K414" s="277"/>
      <c r="L414" s="277"/>
      <c r="M414" s="277"/>
      <c r="N414" s="277"/>
    </row>
    <row r="415" spans="2:14" ht="15.75" thickBot="1">
      <c r="B415" s="271"/>
      <c r="C415" s="270"/>
      <c r="D415" s="270"/>
      <c r="E415" s="271"/>
      <c r="F415" s="141">
        <v>48</v>
      </c>
      <c r="G415" s="194">
        <f>+C414</f>
        <v>46022</v>
      </c>
      <c r="H415" s="156" t="str">
        <f>+B417</f>
        <v>Ajuste por Reclasificación</v>
      </c>
      <c r="I415" s="156">
        <f>+D417</f>
        <v>0</v>
      </c>
      <c r="J415" s="277"/>
      <c r="K415" s="277"/>
      <c r="L415" s="277"/>
      <c r="M415" s="277"/>
      <c r="N415" s="277"/>
    </row>
    <row r="416" spans="2:14" ht="15.75" hidden="1" thickBot="1">
      <c r="B416" s="272"/>
      <c r="C416" s="268"/>
      <c r="D416" s="268"/>
      <c r="E416" s="272"/>
      <c r="F416" s="141">
        <f>+F415</f>
        <v>48</v>
      </c>
      <c r="G416" s="194">
        <f>+G415</f>
        <v>46022</v>
      </c>
      <c r="H416" s="156" t="str">
        <f>+H415</f>
        <v>Ajuste por Reclasificación</v>
      </c>
      <c r="I416" s="156">
        <f>+I415</f>
        <v>0</v>
      </c>
      <c r="J416" s="277"/>
      <c r="K416" s="277"/>
      <c r="L416" s="277"/>
      <c r="M416" s="277"/>
      <c r="N416" s="277"/>
    </row>
    <row r="417" spans="2:14" ht="14.45" customHeight="1" thickBot="1">
      <c r="B417" s="386" t="s">
        <v>369</v>
      </c>
      <c r="C417" s="387"/>
      <c r="D417" s="386"/>
      <c r="E417" s="387"/>
      <c r="F417" s="141"/>
      <c r="G417" s="194"/>
      <c r="H417" s="140"/>
      <c r="I417" s="140"/>
      <c r="J417" s="277"/>
      <c r="K417" s="277"/>
      <c r="L417" s="277"/>
      <c r="M417" s="277"/>
      <c r="N417" s="277"/>
    </row>
    <row r="418" spans="2:14" ht="14.45" customHeight="1" thickBot="1">
      <c r="B418" s="382" t="str">
        <f>+IF(SUM(B415:B416)=SUM(E415:E416),"Asiento Cuadrado","Asiento Descuadrado")</f>
        <v>Asiento Cuadrado</v>
      </c>
      <c r="C418" s="383"/>
      <c r="D418" s="383"/>
      <c r="E418" s="191">
        <f>+SUM(B415:B416)-SUM(E415:E416)</f>
        <v>0</v>
      </c>
      <c r="F418" s="141"/>
      <c r="G418" s="194"/>
      <c r="H418" s="140"/>
      <c r="I418" s="140"/>
      <c r="J418" s="277"/>
      <c r="K418" s="277"/>
      <c r="L418" s="277"/>
      <c r="M418" s="277"/>
      <c r="N418" s="277"/>
    </row>
    <row r="419" spans="2:14" ht="15.75" thickBot="1">
      <c r="F419" s="77"/>
      <c r="G419" s="193"/>
      <c r="H419" s="77"/>
      <c r="I419" s="77"/>
      <c r="J419" s="277"/>
      <c r="K419" s="277"/>
      <c r="L419" s="277"/>
      <c r="M419" s="277"/>
      <c r="N419" s="277"/>
    </row>
    <row r="420" spans="2:14">
      <c r="B420" s="322" t="s">
        <v>210</v>
      </c>
      <c r="C420" s="389" t="s">
        <v>372</v>
      </c>
      <c r="D420" s="389"/>
      <c r="E420" s="323" t="s">
        <v>211</v>
      </c>
      <c r="F420" s="135"/>
      <c r="G420" s="196"/>
      <c r="H420" s="135"/>
      <c r="I420" s="135"/>
      <c r="J420" s="277"/>
      <c r="K420" s="277"/>
      <c r="L420" s="277"/>
      <c r="M420" s="277"/>
      <c r="N420" s="277"/>
    </row>
    <row r="421" spans="2:14" ht="15" customHeight="1">
      <c r="B421" s="324">
        <f>+SUM(B422:B423)</f>
        <v>0</v>
      </c>
      <c r="C421" s="388">
        <v>46022</v>
      </c>
      <c r="D421" s="388"/>
      <c r="E421" s="325">
        <f>+SUM(E422:E423)</f>
        <v>0</v>
      </c>
      <c r="F421" s="136"/>
      <c r="G421" s="197"/>
      <c r="H421" s="136"/>
      <c r="I421" s="136"/>
      <c r="J421" s="278" t="s">
        <v>373</v>
      </c>
      <c r="K421" s="277"/>
      <c r="L421" s="277"/>
      <c r="M421" s="277"/>
      <c r="N421" s="277"/>
    </row>
    <row r="422" spans="2:14" ht="15.75" thickBot="1">
      <c r="B422" s="271"/>
      <c r="C422" s="270"/>
      <c r="D422" s="270"/>
      <c r="E422" s="271"/>
      <c r="F422" s="141">
        <v>49</v>
      </c>
      <c r="G422" s="194">
        <f>+C421</f>
        <v>46022</v>
      </c>
      <c r="H422" s="156" t="str">
        <f>+B424</f>
        <v>Corrección Valorativa - Amortización</v>
      </c>
      <c r="I422" s="156">
        <f>+D424</f>
        <v>0</v>
      </c>
      <c r="J422" s="281" t="s">
        <v>374</v>
      </c>
      <c r="K422" s="281"/>
      <c r="L422" s="277"/>
      <c r="M422" s="277"/>
      <c r="N422" s="277"/>
    </row>
    <row r="423" spans="2:14" ht="15.75" hidden="1" thickBot="1">
      <c r="B423" s="272"/>
      <c r="C423" s="268"/>
      <c r="D423" s="268"/>
      <c r="E423" s="272"/>
      <c r="F423" s="141">
        <f>+F422</f>
        <v>49</v>
      </c>
      <c r="G423" s="194">
        <f>+G422</f>
        <v>46022</v>
      </c>
      <c r="H423" s="156" t="str">
        <f>+H422</f>
        <v>Corrección Valorativa - Amortización</v>
      </c>
      <c r="I423" s="156">
        <f>+I422</f>
        <v>0</v>
      </c>
      <c r="J423" s="277"/>
      <c r="K423" s="277"/>
      <c r="L423" s="277"/>
      <c r="M423" s="277"/>
      <c r="N423" s="277"/>
    </row>
    <row r="424" spans="2:14" ht="14.45" customHeight="1" thickBot="1">
      <c r="B424" s="386" t="s">
        <v>375</v>
      </c>
      <c r="C424" s="387"/>
      <c r="D424" s="386"/>
      <c r="E424" s="387"/>
      <c r="F424" s="141"/>
      <c r="G424" s="194"/>
      <c r="H424" s="140"/>
      <c r="I424" s="140"/>
      <c r="J424" s="277"/>
      <c r="K424" s="277"/>
      <c r="L424" s="277"/>
      <c r="M424" s="277"/>
      <c r="N424" s="277"/>
    </row>
    <row r="425" spans="2:14" ht="14.45" customHeight="1" thickBot="1">
      <c r="B425" s="382" t="str">
        <f>+IF(SUM(B422:B423)=SUM(E422:E423),"Asiento Cuadrado","Asiento Descuadrado")</f>
        <v>Asiento Cuadrado</v>
      </c>
      <c r="C425" s="383"/>
      <c r="D425" s="383"/>
      <c r="E425" s="191">
        <f>+SUM(B422:B423)-SUM(E422:E423)</f>
        <v>0</v>
      </c>
      <c r="F425" s="141"/>
      <c r="G425" s="194"/>
      <c r="H425" s="140"/>
      <c r="I425" s="140"/>
      <c r="J425" s="277"/>
      <c r="K425" s="277"/>
      <c r="L425" s="277"/>
      <c r="M425" s="277"/>
      <c r="N425" s="277"/>
    </row>
    <row r="426" spans="2:14" ht="15.75" thickBot="1">
      <c r="F426" s="77"/>
      <c r="G426" s="193"/>
      <c r="H426" s="77"/>
      <c r="I426" s="77"/>
      <c r="J426" s="277"/>
      <c r="K426" s="277"/>
      <c r="L426" s="277"/>
      <c r="M426" s="277"/>
      <c r="N426" s="277"/>
    </row>
    <row r="427" spans="2:14">
      <c r="B427" s="322" t="s">
        <v>210</v>
      </c>
      <c r="C427" s="389" t="s">
        <v>376</v>
      </c>
      <c r="D427" s="389"/>
      <c r="E427" s="323" t="s">
        <v>211</v>
      </c>
      <c r="F427" s="135"/>
      <c r="G427" s="196"/>
      <c r="H427" s="135"/>
      <c r="I427" s="135"/>
      <c r="J427" s="277"/>
      <c r="K427" s="277"/>
      <c r="L427" s="277"/>
      <c r="M427" s="277"/>
      <c r="N427" s="277"/>
    </row>
    <row r="428" spans="2:14" ht="15" customHeight="1">
      <c r="B428" s="324">
        <f>+SUM(B429:B430)</f>
        <v>0</v>
      </c>
      <c r="C428" s="388">
        <v>46022</v>
      </c>
      <c r="D428" s="388"/>
      <c r="E428" s="325">
        <f>+SUM(E429:E430)</f>
        <v>0</v>
      </c>
      <c r="F428" s="136"/>
      <c r="G428" s="197"/>
      <c r="H428" s="136"/>
      <c r="I428" s="136"/>
      <c r="J428" s="278" t="s">
        <v>377</v>
      </c>
      <c r="K428" s="277"/>
      <c r="L428" s="277"/>
      <c r="M428" s="277"/>
      <c r="N428" s="277"/>
    </row>
    <row r="429" spans="2:14" ht="15.75" thickBot="1">
      <c r="B429" s="271"/>
      <c r="C429" s="270"/>
      <c r="D429" s="270"/>
      <c r="E429" s="271"/>
      <c r="F429" s="141">
        <v>50</v>
      </c>
      <c r="G429" s="194">
        <f>+C428</f>
        <v>46022</v>
      </c>
      <c r="H429" s="156" t="str">
        <f>+B431</f>
        <v>Corrección Valorativa - Amortización</v>
      </c>
      <c r="I429" s="156">
        <f>+D431</f>
        <v>0</v>
      </c>
      <c r="J429" s="281" t="s">
        <v>378</v>
      </c>
      <c r="K429" s="281"/>
      <c r="L429" s="277"/>
      <c r="M429" s="277"/>
      <c r="N429" s="277"/>
    </row>
    <row r="430" spans="2:14" ht="15.75" hidden="1" thickBot="1">
      <c r="B430" s="272"/>
      <c r="C430" s="268"/>
      <c r="D430" s="268"/>
      <c r="E430" s="272"/>
      <c r="F430" s="141">
        <f>+F429</f>
        <v>50</v>
      </c>
      <c r="G430" s="194">
        <f>+G429</f>
        <v>46022</v>
      </c>
      <c r="H430" s="156" t="str">
        <f>+H429</f>
        <v>Corrección Valorativa - Amortización</v>
      </c>
      <c r="I430" s="156">
        <f>+I429</f>
        <v>0</v>
      </c>
      <c r="J430" s="277"/>
      <c r="K430" s="277"/>
      <c r="L430" s="277"/>
      <c r="M430" s="277"/>
      <c r="N430" s="277"/>
    </row>
    <row r="431" spans="2:14" ht="14.45" customHeight="1" thickBot="1">
      <c r="B431" s="386" t="s">
        <v>375</v>
      </c>
      <c r="C431" s="387"/>
      <c r="D431" s="386"/>
      <c r="E431" s="387"/>
      <c r="F431" s="141"/>
      <c r="G431" s="194"/>
      <c r="H431" s="140"/>
      <c r="I431" s="140"/>
      <c r="J431" s="277"/>
      <c r="K431" s="277"/>
      <c r="L431" s="277"/>
      <c r="M431" s="277"/>
      <c r="N431" s="277"/>
    </row>
    <row r="432" spans="2:14" ht="14.45" customHeight="1" thickBot="1">
      <c r="B432" s="382" t="str">
        <f>+IF(SUM(B429:B430)=SUM(E429:E430),"Asiento Cuadrado","Asiento Descuadrado")</f>
        <v>Asiento Cuadrado</v>
      </c>
      <c r="C432" s="383"/>
      <c r="D432" s="383"/>
      <c r="E432" s="191">
        <f>+SUM(B429:B430)-SUM(E429:E430)</f>
        <v>0</v>
      </c>
      <c r="F432" s="141"/>
      <c r="G432" s="194"/>
      <c r="H432" s="140"/>
      <c r="I432" s="140"/>
      <c r="J432" s="277"/>
      <c r="K432" s="277"/>
      <c r="L432" s="277"/>
      <c r="M432" s="277"/>
      <c r="N432" s="277"/>
    </row>
    <row r="433" spans="2:14" ht="15.75" thickBot="1">
      <c r="B433" s="326"/>
      <c r="C433" s="327"/>
      <c r="D433" s="327"/>
      <c r="E433" s="326"/>
      <c r="F433" s="77"/>
      <c r="G433" s="193"/>
      <c r="H433" s="77"/>
      <c r="I433" s="77"/>
      <c r="J433" s="277"/>
      <c r="K433" s="277"/>
      <c r="L433" s="277"/>
      <c r="M433" s="277"/>
      <c r="N433" s="277"/>
    </row>
    <row r="434" spans="2:14">
      <c r="B434" s="322" t="s">
        <v>210</v>
      </c>
      <c r="C434" s="389" t="s">
        <v>379</v>
      </c>
      <c r="D434" s="389"/>
      <c r="E434" s="323" t="s">
        <v>211</v>
      </c>
      <c r="F434" s="135"/>
      <c r="G434" s="196"/>
      <c r="H434" s="135"/>
      <c r="I434" s="135"/>
      <c r="J434" s="277"/>
      <c r="K434" s="277"/>
      <c r="L434" s="277"/>
      <c r="M434" s="277"/>
      <c r="N434" s="277"/>
    </row>
    <row r="435" spans="2:14" ht="15" customHeight="1">
      <c r="B435" s="324">
        <f>+SUM(B436:B437)</f>
        <v>0</v>
      </c>
      <c r="C435" s="388">
        <v>46022</v>
      </c>
      <c r="D435" s="388"/>
      <c r="E435" s="325">
        <f>+SUM(E436:E437)</f>
        <v>0</v>
      </c>
      <c r="F435" s="136"/>
      <c r="G435" s="197"/>
      <c r="H435" s="136"/>
      <c r="I435" s="136"/>
      <c r="J435" s="278" t="s">
        <v>380</v>
      </c>
      <c r="K435" s="277"/>
      <c r="L435" s="277"/>
      <c r="M435" s="277"/>
      <c r="N435" s="277"/>
    </row>
    <row r="436" spans="2:14" ht="15.75" thickBot="1">
      <c r="B436" s="271"/>
      <c r="C436" s="270"/>
      <c r="D436" s="270"/>
      <c r="E436" s="271"/>
      <c r="F436" s="141">
        <v>51</v>
      </c>
      <c r="G436" s="194">
        <f>+C435</f>
        <v>46022</v>
      </c>
      <c r="H436" s="156" t="str">
        <f>+B438</f>
        <v>Corrección Valorativa - Amortización</v>
      </c>
      <c r="I436" s="156">
        <f>+D438</f>
        <v>0</v>
      </c>
      <c r="J436" s="281" t="s">
        <v>381</v>
      </c>
      <c r="K436" s="281"/>
      <c r="L436" s="277"/>
      <c r="M436" s="277"/>
      <c r="N436" s="277"/>
    </row>
    <row r="437" spans="2:14" ht="15.75" hidden="1" thickBot="1">
      <c r="B437" s="272"/>
      <c r="C437" s="268"/>
      <c r="D437" s="268"/>
      <c r="E437" s="272"/>
      <c r="F437" s="141">
        <f>+F436</f>
        <v>51</v>
      </c>
      <c r="G437" s="194">
        <f>+G436</f>
        <v>46022</v>
      </c>
      <c r="H437" s="156" t="str">
        <f>+H436</f>
        <v>Corrección Valorativa - Amortización</v>
      </c>
      <c r="I437" s="156">
        <f>+I436</f>
        <v>0</v>
      </c>
      <c r="J437" s="277"/>
      <c r="K437" s="277"/>
      <c r="L437" s="277"/>
      <c r="M437" s="277"/>
      <c r="N437" s="277"/>
    </row>
    <row r="438" spans="2:14" ht="14.45" customHeight="1" thickBot="1">
      <c r="B438" s="386" t="s">
        <v>375</v>
      </c>
      <c r="C438" s="387"/>
      <c r="D438" s="386"/>
      <c r="E438" s="387"/>
      <c r="F438" s="141"/>
      <c r="G438" s="194"/>
      <c r="H438" s="140"/>
      <c r="I438" s="140"/>
      <c r="J438" s="277"/>
      <c r="K438" s="277"/>
      <c r="L438" s="277"/>
      <c r="M438" s="277"/>
      <c r="N438" s="277"/>
    </row>
    <row r="439" spans="2:14" ht="14.45" customHeight="1" thickBot="1">
      <c r="B439" s="382" t="str">
        <f>+IF(SUM(B436:B437)=SUM(E436:E437),"Asiento Cuadrado","Asiento Descuadrado")</f>
        <v>Asiento Cuadrado</v>
      </c>
      <c r="C439" s="383"/>
      <c r="D439" s="383"/>
      <c r="E439" s="191">
        <f>+SUM(B436:B437)-SUM(E436:E437)</f>
        <v>0</v>
      </c>
      <c r="F439" s="141"/>
      <c r="G439" s="194"/>
      <c r="H439" s="140"/>
      <c r="I439" s="140"/>
      <c r="J439" s="277"/>
      <c r="K439" s="277"/>
      <c r="L439" s="277"/>
      <c r="M439" s="277"/>
      <c r="N439" s="277"/>
    </row>
    <row r="440" spans="2:14" ht="15.75" thickBot="1">
      <c r="F440" s="77"/>
      <c r="G440" s="193"/>
      <c r="H440" s="77"/>
      <c r="I440" s="77"/>
      <c r="J440" s="277"/>
      <c r="K440" s="277"/>
      <c r="L440" s="277"/>
      <c r="M440" s="277"/>
      <c r="N440" s="277"/>
    </row>
    <row r="441" spans="2:14">
      <c r="B441" s="322" t="s">
        <v>210</v>
      </c>
      <c r="C441" s="389" t="s">
        <v>382</v>
      </c>
      <c r="D441" s="389"/>
      <c r="E441" s="323" t="s">
        <v>211</v>
      </c>
      <c r="F441" s="135"/>
      <c r="G441" s="196"/>
      <c r="H441" s="135"/>
      <c r="I441" s="135"/>
      <c r="J441" s="277"/>
      <c r="K441" s="277"/>
      <c r="L441" s="277"/>
      <c r="M441" s="277"/>
      <c r="N441" s="277"/>
    </row>
    <row r="442" spans="2:14" ht="15" customHeight="1">
      <c r="B442" s="324">
        <f>+SUM(B443:B444)</f>
        <v>0</v>
      </c>
      <c r="C442" s="388">
        <v>46022</v>
      </c>
      <c r="D442" s="388"/>
      <c r="E442" s="325">
        <f>+SUM(E443:E444)</f>
        <v>0</v>
      </c>
      <c r="F442" s="136"/>
      <c r="G442" s="197"/>
      <c r="H442" s="136"/>
      <c r="I442" s="136"/>
      <c r="J442" s="278" t="s">
        <v>383</v>
      </c>
      <c r="K442" s="277"/>
      <c r="L442" s="277"/>
      <c r="M442" s="277"/>
      <c r="N442" s="277"/>
    </row>
    <row r="443" spans="2:14" ht="15.75" thickBot="1">
      <c r="B443" s="271"/>
      <c r="C443" s="270"/>
      <c r="D443" s="270"/>
      <c r="E443" s="271"/>
      <c r="F443" s="141">
        <v>52</v>
      </c>
      <c r="G443" s="194">
        <f>+C442</f>
        <v>46022</v>
      </c>
      <c r="H443" s="156" t="str">
        <f>+B445</f>
        <v>Corrección Valorativa - Deterioro de Valor</v>
      </c>
      <c r="I443" s="156">
        <f>+D445</f>
        <v>0</v>
      </c>
      <c r="J443" s="277"/>
      <c r="K443" s="277"/>
      <c r="L443" s="277"/>
      <c r="M443" s="277"/>
      <c r="N443" s="277"/>
    </row>
    <row r="444" spans="2:14" hidden="1">
      <c r="B444" s="272"/>
      <c r="C444" s="268"/>
      <c r="D444" s="268"/>
      <c r="E444" s="272"/>
      <c r="F444" s="141">
        <f>+F443</f>
        <v>52</v>
      </c>
      <c r="G444" s="194">
        <f>+G443</f>
        <v>46022</v>
      </c>
      <c r="H444" s="156" t="str">
        <f>+H443</f>
        <v>Corrección Valorativa - Deterioro de Valor</v>
      </c>
      <c r="I444" s="156">
        <f>+I443</f>
        <v>0</v>
      </c>
      <c r="J444" s="277"/>
      <c r="K444" s="277"/>
      <c r="L444" s="277"/>
      <c r="M444" s="277"/>
      <c r="N444" s="277"/>
    </row>
    <row r="445" spans="2:14" ht="14.45" customHeight="1" thickBot="1">
      <c r="B445" s="386" t="s">
        <v>384</v>
      </c>
      <c r="C445" s="387"/>
      <c r="D445" s="386"/>
      <c r="E445" s="387"/>
      <c r="F445" s="141"/>
      <c r="G445" s="194"/>
      <c r="H445" s="140"/>
      <c r="I445" s="140"/>
      <c r="J445" s="277"/>
      <c r="K445" s="277"/>
      <c r="L445" s="277"/>
      <c r="M445" s="277"/>
      <c r="N445" s="277"/>
    </row>
    <row r="446" spans="2:14" ht="14.45" customHeight="1" thickBot="1">
      <c r="B446" s="382" t="str">
        <f>+IF(SUM(B443:B444)=SUM(E443:E444),"Asiento Cuadrado","Asiento Descuadrado")</f>
        <v>Asiento Cuadrado</v>
      </c>
      <c r="C446" s="383"/>
      <c r="D446" s="383"/>
      <c r="E446" s="191">
        <f>+SUM(B443:B444)-SUM(E443:E444)</f>
        <v>0</v>
      </c>
      <c r="F446" s="141"/>
      <c r="G446" s="194"/>
      <c r="H446" s="140"/>
      <c r="I446" s="140"/>
      <c r="J446" s="277"/>
      <c r="K446" s="277"/>
      <c r="L446" s="277"/>
      <c r="M446" s="277"/>
      <c r="N446" s="277"/>
    </row>
    <row r="447" spans="2:14" ht="15.75" thickBot="1">
      <c r="F447" s="77"/>
      <c r="G447" s="193"/>
      <c r="H447" s="77"/>
      <c r="I447" s="77"/>
      <c r="J447" s="277"/>
      <c r="K447" s="277"/>
      <c r="L447" s="277"/>
      <c r="M447" s="277"/>
      <c r="N447" s="277"/>
    </row>
    <row r="448" spans="2:14">
      <c r="B448" s="322" t="s">
        <v>210</v>
      </c>
      <c r="C448" s="389" t="s">
        <v>385</v>
      </c>
      <c r="D448" s="389"/>
      <c r="E448" s="323" t="s">
        <v>211</v>
      </c>
      <c r="F448" s="135"/>
      <c r="G448" s="196"/>
      <c r="H448" s="135"/>
      <c r="I448" s="135"/>
      <c r="J448" s="277"/>
      <c r="K448" s="277"/>
      <c r="L448" s="277"/>
      <c r="M448" s="277"/>
      <c r="N448" s="277"/>
    </row>
    <row r="449" spans="2:14" ht="15" customHeight="1">
      <c r="B449" s="324">
        <f>+SUM(B450:B451)</f>
        <v>0</v>
      </c>
      <c r="C449" s="388">
        <v>46022</v>
      </c>
      <c r="D449" s="388"/>
      <c r="E449" s="325">
        <f>+SUM(E450:E451)</f>
        <v>0</v>
      </c>
      <c r="F449" s="136"/>
      <c r="G449" s="197"/>
      <c r="H449" s="136"/>
      <c r="I449" s="136"/>
      <c r="J449" s="278" t="s">
        <v>386</v>
      </c>
      <c r="K449" s="277"/>
      <c r="L449" s="277"/>
      <c r="M449" s="277"/>
      <c r="N449" s="277"/>
    </row>
    <row r="450" spans="2:14" ht="15.75" thickBot="1">
      <c r="B450" s="271"/>
      <c r="C450" s="270"/>
      <c r="D450" s="270"/>
      <c r="E450" s="271"/>
      <c r="F450" s="141">
        <v>53</v>
      </c>
      <c r="G450" s="194">
        <f>+C449</f>
        <v>46022</v>
      </c>
      <c r="H450" s="156" t="str">
        <f>+B452</f>
        <v>Corrección Valorativa - Deterioro de Valor</v>
      </c>
      <c r="I450" s="156">
        <f>+D452</f>
        <v>0</v>
      </c>
      <c r="J450" s="283" t="s">
        <v>387</v>
      </c>
      <c r="K450" s="277"/>
      <c r="L450" s="277"/>
      <c r="M450" s="277"/>
      <c r="N450" s="277"/>
    </row>
    <row r="451" spans="2:14" hidden="1">
      <c r="B451" s="272"/>
      <c r="C451" s="268"/>
      <c r="D451" s="268"/>
      <c r="E451" s="272"/>
      <c r="F451" s="141">
        <f>+F450</f>
        <v>53</v>
      </c>
      <c r="G451" s="194">
        <f>+G450</f>
        <v>46022</v>
      </c>
      <c r="H451" s="156" t="str">
        <f>+H450</f>
        <v>Corrección Valorativa - Deterioro de Valor</v>
      </c>
      <c r="I451" s="156">
        <f>+I450</f>
        <v>0</v>
      </c>
      <c r="J451" s="277"/>
      <c r="K451" s="277"/>
      <c r="L451" s="277"/>
      <c r="M451" s="277"/>
      <c r="N451" s="277"/>
    </row>
    <row r="452" spans="2:14" ht="14.45" customHeight="1" thickBot="1">
      <c r="B452" s="386" t="s">
        <v>384</v>
      </c>
      <c r="C452" s="387"/>
      <c r="D452" s="386"/>
      <c r="E452" s="387"/>
      <c r="F452" s="141"/>
      <c r="G452" s="194"/>
      <c r="H452" s="140"/>
      <c r="I452" s="140"/>
      <c r="J452" s="277"/>
      <c r="K452" s="277"/>
      <c r="L452" s="277"/>
      <c r="M452" s="277"/>
      <c r="N452" s="277"/>
    </row>
    <row r="453" spans="2:14" ht="14.45" customHeight="1" thickBot="1">
      <c r="B453" s="382" t="str">
        <f>+IF(SUM(B450:B451)=SUM(E450:E451),"Asiento Cuadrado","Asiento Descuadrado")</f>
        <v>Asiento Cuadrado</v>
      </c>
      <c r="C453" s="383"/>
      <c r="D453" s="383"/>
      <c r="E453" s="191">
        <f>+SUM(B450:B451)-SUM(E450:E451)</f>
        <v>0</v>
      </c>
      <c r="F453" s="141"/>
      <c r="G453" s="194"/>
      <c r="H453" s="140"/>
      <c r="I453" s="140"/>
      <c r="J453" s="277"/>
      <c r="K453" s="277"/>
      <c r="L453" s="277"/>
      <c r="M453" s="277"/>
      <c r="N453" s="277"/>
    </row>
    <row r="454" spans="2:14" ht="15.75" thickBot="1">
      <c r="F454" s="77"/>
      <c r="G454" s="193"/>
      <c r="H454" s="77"/>
      <c r="I454" s="77"/>
      <c r="J454" s="277"/>
      <c r="K454" s="277"/>
      <c r="L454" s="277"/>
      <c r="M454" s="277"/>
      <c r="N454" s="277"/>
    </row>
    <row r="455" spans="2:14">
      <c r="B455" s="322" t="s">
        <v>210</v>
      </c>
      <c r="C455" s="389" t="s">
        <v>388</v>
      </c>
      <c r="D455" s="389"/>
      <c r="E455" s="323" t="s">
        <v>211</v>
      </c>
      <c r="F455" s="135"/>
      <c r="G455" s="196"/>
      <c r="H455" s="135"/>
      <c r="I455" s="135"/>
      <c r="J455" s="277"/>
      <c r="K455" s="277"/>
      <c r="L455" s="277"/>
      <c r="M455" s="277"/>
      <c r="N455" s="277"/>
    </row>
    <row r="456" spans="2:14" ht="15" customHeight="1">
      <c r="B456" s="324">
        <f>+SUM(B457:B458)</f>
        <v>0</v>
      </c>
      <c r="C456" s="388">
        <v>46022</v>
      </c>
      <c r="D456" s="388"/>
      <c r="E456" s="325">
        <f>+SUM(E457:E458)</f>
        <v>0</v>
      </c>
      <c r="F456" s="136"/>
      <c r="G456" s="197"/>
      <c r="H456" s="136"/>
      <c r="I456" s="136"/>
      <c r="J456" s="277"/>
      <c r="K456" s="277"/>
      <c r="L456" s="277"/>
      <c r="M456" s="277"/>
      <c r="N456" s="277"/>
    </row>
    <row r="457" spans="2:14" ht="15.75" thickBot="1">
      <c r="B457" s="271"/>
      <c r="C457" s="270"/>
      <c r="D457" s="270"/>
      <c r="E457" s="271"/>
      <c r="F457" s="141">
        <v>54</v>
      </c>
      <c r="G457" s="194">
        <f>+C456</f>
        <v>46022</v>
      </c>
      <c r="H457" s="156" t="str">
        <f>+B459</f>
        <v>Corrección Valorativa - Deterioro de Valor</v>
      </c>
      <c r="I457" s="156">
        <f>+D459</f>
        <v>0</v>
      </c>
      <c r="J457" s="284" t="s">
        <v>389</v>
      </c>
      <c r="K457" s="277"/>
      <c r="L457" s="277"/>
      <c r="M457" s="277"/>
      <c r="N457" s="277"/>
    </row>
    <row r="458" spans="2:14" ht="14.1" hidden="1" customHeight="1" thickBot="1">
      <c r="B458" s="272"/>
      <c r="C458" s="268"/>
      <c r="D458" s="268"/>
      <c r="E458" s="272"/>
      <c r="F458" s="141">
        <f>+F457</f>
        <v>54</v>
      </c>
      <c r="G458" s="194">
        <f>+G457</f>
        <v>46022</v>
      </c>
      <c r="H458" s="156" t="str">
        <f>+H457</f>
        <v>Corrección Valorativa - Deterioro de Valor</v>
      </c>
      <c r="I458" s="156">
        <f>+I457</f>
        <v>0</v>
      </c>
      <c r="J458" s="277"/>
      <c r="K458" s="277"/>
      <c r="L458" s="277"/>
      <c r="M458" s="277"/>
      <c r="N458" s="277"/>
    </row>
    <row r="459" spans="2:14" ht="14.45" customHeight="1" thickBot="1">
      <c r="B459" s="386" t="s">
        <v>384</v>
      </c>
      <c r="C459" s="387"/>
      <c r="D459" s="386"/>
      <c r="E459" s="387"/>
      <c r="F459" s="141"/>
      <c r="G459" s="194"/>
      <c r="H459" s="140"/>
      <c r="I459" s="140"/>
      <c r="J459" s="277"/>
      <c r="K459" s="277"/>
      <c r="L459" s="277"/>
      <c r="M459" s="277"/>
      <c r="N459" s="277"/>
    </row>
    <row r="460" spans="2:14" ht="14.45" customHeight="1" thickBot="1">
      <c r="B460" s="382" t="str">
        <f>+IF(SUM(B457:B458)=SUM(E457:E458),"Asiento Cuadrado","Asiento Descuadrado")</f>
        <v>Asiento Cuadrado</v>
      </c>
      <c r="C460" s="383"/>
      <c r="D460" s="383"/>
      <c r="E460" s="191">
        <f>+SUM(B457:B458)-SUM(E457:E458)</f>
        <v>0</v>
      </c>
      <c r="F460" s="141"/>
      <c r="G460" s="194"/>
      <c r="H460" s="140"/>
      <c r="I460" s="140"/>
      <c r="J460" s="277"/>
      <c r="K460" s="277"/>
      <c r="L460" s="277"/>
      <c r="M460" s="277"/>
      <c r="N460" s="277"/>
    </row>
    <row r="461" spans="2:14" ht="15.75" thickBot="1">
      <c r="F461" s="77"/>
      <c r="G461" s="193"/>
      <c r="H461" s="77"/>
      <c r="I461" s="77"/>
      <c r="J461" s="277"/>
      <c r="K461" s="277"/>
      <c r="L461" s="277"/>
      <c r="M461" s="277"/>
      <c r="N461" s="277"/>
    </row>
    <row r="462" spans="2:14">
      <c r="B462" s="322" t="s">
        <v>210</v>
      </c>
      <c r="C462" s="389" t="s">
        <v>390</v>
      </c>
      <c r="D462" s="389"/>
      <c r="E462" s="323" t="s">
        <v>211</v>
      </c>
      <c r="F462" s="135"/>
      <c r="G462" s="196"/>
      <c r="H462" s="135"/>
      <c r="I462" s="135"/>
      <c r="J462" s="277"/>
      <c r="K462" s="277"/>
      <c r="L462" s="277"/>
      <c r="M462" s="277"/>
      <c r="N462" s="277"/>
    </row>
    <row r="463" spans="2:14" ht="15" customHeight="1">
      <c r="B463" s="324">
        <f>+SUM(B464:B465)</f>
        <v>0</v>
      </c>
      <c r="C463" s="388">
        <v>46022</v>
      </c>
      <c r="D463" s="388"/>
      <c r="E463" s="325">
        <f>+SUM(E464:E465)</f>
        <v>0</v>
      </c>
      <c r="F463" s="136"/>
      <c r="G463" s="197"/>
      <c r="H463" s="136"/>
      <c r="I463" s="136"/>
      <c r="J463" s="278" t="s">
        <v>391</v>
      </c>
      <c r="K463" s="277"/>
      <c r="L463" s="277"/>
      <c r="M463" s="277"/>
      <c r="N463" s="277"/>
    </row>
    <row r="464" spans="2:14" ht="15.75" thickBot="1">
      <c r="B464" s="271"/>
      <c r="C464" s="270"/>
      <c r="D464" s="270"/>
      <c r="E464" s="271"/>
      <c r="F464" s="141">
        <v>55</v>
      </c>
      <c r="G464" s="194">
        <f>+C463</f>
        <v>46022</v>
      </c>
      <c r="H464" s="156" t="str">
        <f>+B466</f>
        <v>Regularización de Existencias</v>
      </c>
      <c r="I464" s="156">
        <f>+D466</f>
        <v>0</v>
      </c>
      <c r="J464" s="283" t="s">
        <v>392</v>
      </c>
      <c r="K464" s="277"/>
      <c r="L464" s="277"/>
      <c r="M464" s="277"/>
      <c r="N464" s="277"/>
    </row>
    <row r="465" spans="2:14" hidden="1">
      <c r="B465" s="272"/>
      <c r="C465" s="268"/>
      <c r="D465" s="268"/>
      <c r="E465" s="272"/>
      <c r="F465" s="141">
        <f>+F464</f>
        <v>55</v>
      </c>
      <c r="G465" s="194">
        <f>+G464</f>
        <v>46022</v>
      </c>
      <c r="H465" s="156" t="str">
        <f>+H464</f>
        <v>Regularización de Existencias</v>
      </c>
      <c r="I465" s="156">
        <f>+I464</f>
        <v>0</v>
      </c>
      <c r="J465" s="277"/>
      <c r="K465" s="277"/>
      <c r="L465" s="277"/>
      <c r="M465" s="277"/>
      <c r="N465" s="277"/>
    </row>
    <row r="466" spans="2:14" ht="14.45" customHeight="1" thickBot="1">
      <c r="B466" s="386" t="s">
        <v>393</v>
      </c>
      <c r="C466" s="387"/>
      <c r="D466" s="386"/>
      <c r="E466" s="387"/>
      <c r="F466" s="141"/>
      <c r="G466" s="194"/>
      <c r="H466" s="140"/>
      <c r="I466" s="140"/>
      <c r="J466" s="277"/>
      <c r="K466" s="277"/>
      <c r="L466" s="277"/>
      <c r="M466" s="277"/>
      <c r="N466" s="277"/>
    </row>
    <row r="467" spans="2:14" ht="14.45" customHeight="1" thickBot="1">
      <c r="B467" s="382" t="str">
        <f>+IF(SUM(B464:B465)=SUM(E464:E465),"Asiento Cuadrado","Asiento Descuadrado")</f>
        <v>Asiento Cuadrado</v>
      </c>
      <c r="C467" s="383"/>
      <c r="D467" s="383"/>
      <c r="E467" s="191">
        <f>+SUM(B464:B465)-SUM(E464:E465)</f>
        <v>0</v>
      </c>
      <c r="F467" s="141"/>
      <c r="G467" s="194"/>
      <c r="H467" s="140"/>
      <c r="I467" s="140"/>
      <c r="J467" s="277"/>
      <c r="K467" s="277"/>
      <c r="L467" s="277"/>
      <c r="M467" s="277"/>
      <c r="N467" s="277"/>
    </row>
    <row r="468" spans="2:14" ht="15.75" thickBot="1">
      <c r="F468" s="77"/>
      <c r="G468" s="193"/>
      <c r="H468" s="77"/>
      <c r="I468" s="77"/>
      <c r="J468" s="277"/>
      <c r="K468" s="277"/>
      <c r="L468" s="277"/>
      <c r="M468" s="277"/>
      <c r="N468" s="277"/>
    </row>
    <row r="469" spans="2:14">
      <c r="B469" s="322" t="s">
        <v>210</v>
      </c>
      <c r="C469" s="389" t="s">
        <v>394</v>
      </c>
      <c r="D469" s="389"/>
      <c r="E469" s="323" t="s">
        <v>211</v>
      </c>
      <c r="F469" s="135"/>
      <c r="G469" s="196"/>
      <c r="H469" s="135"/>
      <c r="I469" s="135"/>
      <c r="J469" s="277"/>
      <c r="K469" s="277"/>
      <c r="L469" s="277"/>
      <c r="M469" s="277"/>
      <c r="N469" s="277"/>
    </row>
    <row r="470" spans="2:14" ht="15" customHeight="1" thickBot="1">
      <c r="B470" s="324">
        <f>+SUM(B471:B472)</f>
        <v>0</v>
      </c>
      <c r="C470" s="388">
        <v>46022</v>
      </c>
      <c r="D470" s="388"/>
      <c r="E470" s="325">
        <f>+SUM(E471:E472)</f>
        <v>0</v>
      </c>
      <c r="F470" s="136"/>
      <c r="G470" s="197"/>
      <c r="H470" s="136"/>
      <c r="I470" s="136"/>
      <c r="J470" s="277"/>
      <c r="K470" s="277"/>
      <c r="L470" s="277"/>
      <c r="M470" s="277"/>
      <c r="N470" s="277"/>
    </row>
    <row r="471" spans="2:14" ht="15.75" thickBot="1">
      <c r="B471" s="271"/>
      <c r="C471" s="270"/>
      <c r="D471" s="270"/>
      <c r="E471" s="271"/>
      <c r="F471" s="141">
        <v>56</v>
      </c>
      <c r="G471" s="194">
        <f>+C470</f>
        <v>46022</v>
      </c>
      <c r="H471" s="156" t="str">
        <f>+B473</f>
        <v>Regularización de Existencias</v>
      </c>
      <c r="I471" s="156">
        <f>+D473</f>
        <v>0</v>
      </c>
      <c r="J471" s="284" t="s">
        <v>395</v>
      </c>
      <c r="K471" s="277"/>
      <c r="L471" s="277"/>
      <c r="M471" s="277"/>
      <c r="N471" s="277"/>
    </row>
    <row r="472" spans="2:14" hidden="1">
      <c r="B472" s="272"/>
      <c r="C472" s="268"/>
      <c r="D472" s="268"/>
      <c r="E472" s="272"/>
      <c r="F472" s="141">
        <f>+F471</f>
        <v>56</v>
      </c>
      <c r="G472" s="194">
        <f>+G471</f>
        <v>46022</v>
      </c>
      <c r="H472" s="156" t="str">
        <f>+H471</f>
        <v>Regularización de Existencias</v>
      </c>
      <c r="I472" s="156">
        <f>+I471</f>
        <v>0</v>
      </c>
      <c r="J472" s="277"/>
      <c r="K472" s="277"/>
      <c r="L472" s="277"/>
      <c r="M472" s="277"/>
      <c r="N472" s="277"/>
    </row>
    <row r="473" spans="2:14" ht="14.45" customHeight="1" thickBot="1">
      <c r="B473" s="386" t="s">
        <v>393</v>
      </c>
      <c r="C473" s="387"/>
      <c r="D473" s="386"/>
      <c r="E473" s="387"/>
      <c r="F473" s="141"/>
      <c r="G473" s="194"/>
      <c r="H473" s="140"/>
      <c r="I473" s="140"/>
      <c r="J473" s="277"/>
      <c r="K473" s="277"/>
      <c r="L473" s="277"/>
      <c r="M473" s="277"/>
      <c r="N473" s="277"/>
    </row>
    <row r="474" spans="2:14" ht="14.45" customHeight="1" thickBot="1">
      <c r="B474" s="382" t="str">
        <f>+IF(SUM(B471:B472)=SUM(E471:E472),"Asiento Cuadrado","Asiento Descuadrado")</f>
        <v>Asiento Cuadrado</v>
      </c>
      <c r="C474" s="383"/>
      <c r="D474" s="383"/>
      <c r="E474" s="191">
        <f>+SUM(B471:B472)-SUM(E471:E472)</f>
        <v>0</v>
      </c>
      <c r="F474" s="141"/>
      <c r="G474" s="194"/>
      <c r="H474" s="140"/>
      <c r="I474" s="140"/>
      <c r="J474" s="277"/>
      <c r="K474" s="277"/>
      <c r="L474" s="277"/>
      <c r="M474" s="277"/>
      <c r="N474" s="277"/>
    </row>
    <row r="475" spans="2:14" ht="15.75" thickBot="1">
      <c r="F475" s="77"/>
      <c r="G475" s="193"/>
      <c r="H475" s="77"/>
      <c r="I475" s="77"/>
      <c r="J475" s="277"/>
      <c r="K475" s="277"/>
      <c r="L475" s="277"/>
      <c r="M475" s="277"/>
      <c r="N475" s="277"/>
    </row>
    <row r="476" spans="2:14">
      <c r="B476" s="322" t="s">
        <v>210</v>
      </c>
      <c r="C476" s="389" t="s">
        <v>396</v>
      </c>
      <c r="D476" s="389"/>
      <c r="E476" s="323" t="s">
        <v>211</v>
      </c>
      <c r="F476" s="135"/>
      <c r="G476" s="196"/>
      <c r="H476" s="135"/>
      <c r="I476" s="135"/>
      <c r="J476" s="277"/>
      <c r="K476" s="277"/>
      <c r="L476" s="277"/>
      <c r="M476" s="277"/>
      <c r="N476" s="277"/>
    </row>
    <row r="477" spans="2:14" ht="15" customHeight="1" thickBot="1">
      <c r="B477" s="324">
        <f>+SUM(B478:B479)</f>
        <v>0</v>
      </c>
      <c r="C477" s="388">
        <v>46022</v>
      </c>
      <c r="D477" s="388"/>
      <c r="E477" s="325">
        <f>+SUM(E478:E479)</f>
        <v>0</v>
      </c>
      <c r="F477" s="136"/>
      <c r="G477" s="197"/>
      <c r="H477" s="136"/>
      <c r="I477" s="136"/>
      <c r="J477" s="277"/>
      <c r="K477" s="277"/>
      <c r="L477" s="277"/>
      <c r="M477" s="277"/>
      <c r="N477" s="277"/>
    </row>
    <row r="478" spans="2:14" ht="15.75" thickBot="1">
      <c r="B478" s="271"/>
      <c r="C478" s="270"/>
      <c r="D478" s="270"/>
      <c r="E478" s="271"/>
      <c r="F478" s="141">
        <v>57</v>
      </c>
      <c r="G478" s="194">
        <f>+C477</f>
        <v>46022</v>
      </c>
      <c r="H478" s="156" t="str">
        <f>+B480</f>
        <v>Regularización de Existencias</v>
      </c>
      <c r="I478" s="156">
        <f>+D480</f>
        <v>0</v>
      </c>
      <c r="J478" s="284" t="s">
        <v>397</v>
      </c>
      <c r="K478" s="277"/>
      <c r="L478" s="277"/>
      <c r="M478" s="277"/>
      <c r="N478" s="277"/>
    </row>
    <row r="479" spans="2:14" hidden="1">
      <c r="B479" s="272"/>
      <c r="C479" s="268"/>
      <c r="D479" s="268"/>
      <c r="E479" s="272"/>
      <c r="F479" s="141">
        <f>+F478</f>
        <v>57</v>
      </c>
      <c r="G479" s="194">
        <f>+G478</f>
        <v>46022</v>
      </c>
      <c r="H479" s="156" t="str">
        <f>+H478</f>
        <v>Regularización de Existencias</v>
      </c>
      <c r="I479" s="156">
        <f>+I478</f>
        <v>0</v>
      </c>
      <c r="J479" s="277"/>
      <c r="K479" s="277"/>
      <c r="L479" s="277"/>
      <c r="M479" s="277"/>
      <c r="N479" s="277"/>
    </row>
    <row r="480" spans="2:14" ht="14.45" customHeight="1" thickBot="1">
      <c r="B480" s="386" t="s">
        <v>393</v>
      </c>
      <c r="C480" s="387"/>
      <c r="D480" s="386"/>
      <c r="E480" s="387"/>
      <c r="F480" s="141"/>
      <c r="G480" s="194"/>
      <c r="H480" s="140"/>
      <c r="I480" s="140"/>
      <c r="J480" s="277"/>
      <c r="K480" s="277"/>
      <c r="L480" s="277"/>
      <c r="M480" s="277"/>
      <c r="N480" s="277"/>
    </row>
    <row r="481" spans="2:14" ht="14.45" customHeight="1" thickBot="1">
      <c r="B481" s="382" t="str">
        <f>+IF(SUM(B478:B479)=SUM(E478:E479),"Asiento Cuadrado","Asiento Descuadrado")</f>
        <v>Asiento Cuadrado</v>
      </c>
      <c r="C481" s="383"/>
      <c r="D481" s="383"/>
      <c r="E481" s="191">
        <f>+SUM(B478:B479)-SUM(E478:E479)</f>
        <v>0</v>
      </c>
      <c r="F481" s="141"/>
      <c r="G481" s="194"/>
      <c r="H481" s="140"/>
      <c r="I481" s="140"/>
      <c r="J481" s="277"/>
      <c r="K481" s="277"/>
      <c r="L481" s="277"/>
      <c r="M481" s="277"/>
      <c r="N481" s="277"/>
    </row>
    <row r="482" spans="2:14" ht="15.75" thickBot="1">
      <c r="F482" s="77"/>
      <c r="G482" s="193"/>
      <c r="H482" s="77"/>
      <c r="I482" s="77"/>
      <c r="J482" s="277"/>
      <c r="K482" s="277"/>
      <c r="L482" s="277"/>
      <c r="M482" s="277"/>
      <c r="N482" s="277"/>
    </row>
    <row r="483" spans="2:14">
      <c r="B483" s="322" t="s">
        <v>210</v>
      </c>
      <c r="C483" s="389" t="s">
        <v>398</v>
      </c>
      <c r="D483" s="389"/>
      <c r="E483" s="323" t="s">
        <v>211</v>
      </c>
      <c r="F483" s="135"/>
      <c r="G483" s="196"/>
      <c r="H483" s="135"/>
      <c r="I483" s="135"/>
      <c r="J483" s="277"/>
      <c r="K483" s="277"/>
      <c r="L483" s="277"/>
      <c r="M483" s="277"/>
      <c r="N483" s="277"/>
    </row>
    <row r="484" spans="2:14" ht="15" customHeight="1" thickBot="1">
      <c r="B484" s="324">
        <f>+SUM(B485:B486)</f>
        <v>0</v>
      </c>
      <c r="C484" s="388">
        <v>46022</v>
      </c>
      <c r="D484" s="388"/>
      <c r="E484" s="325">
        <f>+SUM(E485:E486)</f>
        <v>0</v>
      </c>
      <c r="F484" s="136"/>
      <c r="G484" s="197"/>
      <c r="H484" s="136"/>
      <c r="I484" s="136"/>
      <c r="J484" s="277"/>
      <c r="K484" s="277"/>
      <c r="L484" s="277"/>
      <c r="M484" s="277"/>
      <c r="N484" s="277"/>
    </row>
    <row r="485" spans="2:14" ht="15.75" thickBot="1">
      <c r="B485" s="271"/>
      <c r="C485" s="270"/>
      <c r="D485" s="270"/>
      <c r="E485" s="271"/>
      <c r="F485" s="141">
        <v>58</v>
      </c>
      <c r="G485" s="194">
        <f>+C484</f>
        <v>46022</v>
      </c>
      <c r="H485" s="156" t="str">
        <f>+B487</f>
        <v>Regularización de Existencias</v>
      </c>
      <c r="I485" s="156">
        <f>+D487</f>
        <v>0</v>
      </c>
      <c r="J485" s="284" t="s">
        <v>399</v>
      </c>
      <c r="K485" s="277"/>
      <c r="L485" s="277"/>
      <c r="M485" s="277"/>
      <c r="N485" s="277"/>
    </row>
    <row r="486" spans="2:14" hidden="1">
      <c r="B486" s="272"/>
      <c r="C486" s="268"/>
      <c r="D486" s="268"/>
      <c r="E486" s="272"/>
      <c r="F486" s="141">
        <f>+F485</f>
        <v>58</v>
      </c>
      <c r="G486" s="194">
        <f>+G485</f>
        <v>46022</v>
      </c>
      <c r="H486" s="156" t="str">
        <f>+H485</f>
        <v>Regularización de Existencias</v>
      </c>
      <c r="I486" s="156">
        <f>+I485</f>
        <v>0</v>
      </c>
      <c r="J486" s="277"/>
      <c r="K486" s="277"/>
      <c r="L486" s="277"/>
      <c r="M486" s="277"/>
      <c r="N486" s="277"/>
    </row>
    <row r="487" spans="2:14" ht="14.45" customHeight="1" thickBot="1">
      <c r="B487" s="386" t="s">
        <v>393</v>
      </c>
      <c r="C487" s="387"/>
      <c r="D487" s="386"/>
      <c r="E487" s="387"/>
      <c r="F487" s="141"/>
      <c r="G487" s="194"/>
      <c r="H487" s="140"/>
      <c r="I487" s="140"/>
      <c r="J487" s="277"/>
      <c r="K487" s="277"/>
      <c r="L487" s="277"/>
      <c r="M487" s="277"/>
      <c r="N487" s="277"/>
    </row>
    <row r="488" spans="2:14" ht="14.45" customHeight="1" thickBot="1">
      <c r="B488" s="382" t="str">
        <f>+IF(SUM(B485:B486)=SUM(E485:E486),"Asiento Cuadrado","Asiento Descuadrado")</f>
        <v>Asiento Cuadrado</v>
      </c>
      <c r="C488" s="383"/>
      <c r="D488" s="383"/>
      <c r="E488" s="191">
        <f>+SUM(B485:B486)-SUM(E485:E486)</f>
        <v>0</v>
      </c>
      <c r="F488" s="141"/>
      <c r="G488" s="194"/>
      <c r="H488" s="140"/>
      <c r="I488" s="140"/>
      <c r="J488" s="277"/>
      <c r="K488" s="277"/>
      <c r="L488" s="277"/>
      <c r="M488" s="277"/>
      <c r="N488" s="277"/>
    </row>
    <row r="489" spans="2:14" ht="15.75" thickBot="1">
      <c r="F489" s="77"/>
      <c r="G489" s="193"/>
      <c r="H489" s="77"/>
      <c r="I489" s="77"/>
      <c r="J489" s="277"/>
      <c r="K489" s="277"/>
      <c r="L489" s="277"/>
      <c r="M489" s="277"/>
      <c r="N489" s="277"/>
    </row>
    <row r="490" spans="2:14">
      <c r="B490" s="322" t="s">
        <v>210</v>
      </c>
      <c r="C490" s="389" t="s">
        <v>400</v>
      </c>
      <c r="D490" s="389"/>
      <c r="E490" s="323" t="s">
        <v>211</v>
      </c>
      <c r="F490" s="135"/>
      <c r="G490" s="196"/>
      <c r="H490" s="135"/>
      <c r="I490" s="135"/>
      <c r="J490" s="277"/>
      <c r="K490" s="277"/>
      <c r="L490" s="277"/>
      <c r="M490" s="277"/>
      <c r="N490" s="277"/>
    </row>
    <row r="491" spans="2:14" ht="15.75" thickBot="1">
      <c r="B491" s="324">
        <f>+SUM(B492:B493)</f>
        <v>0</v>
      </c>
      <c r="C491" s="388">
        <v>46022</v>
      </c>
      <c r="D491" s="388"/>
      <c r="E491" s="325">
        <f>+SUM(E492:E493)</f>
        <v>0</v>
      </c>
      <c r="F491" s="136"/>
      <c r="G491" s="197"/>
      <c r="H491" s="136"/>
      <c r="I491" s="136"/>
      <c r="J491" s="277"/>
      <c r="K491" s="277"/>
      <c r="L491" s="277"/>
      <c r="M491" s="277"/>
      <c r="N491" s="277"/>
    </row>
    <row r="492" spans="2:14" ht="15.75" thickBot="1">
      <c r="B492" s="271"/>
      <c r="C492" s="270"/>
      <c r="D492" s="270"/>
      <c r="E492" s="271"/>
      <c r="F492" s="141">
        <v>59</v>
      </c>
      <c r="G492" s="194">
        <f>+C491</f>
        <v>46022</v>
      </c>
      <c r="H492" s="156" t="str">
        <f>+B494</f>
        <v>Regularización de Existencias</v>
      </c>
      <c r="I492" s="156">
        <f>+D494</f>
        <v>0</v>
      </c>
      <c r="J492" s="284" t="s">
        <v>401</v>
      </c>
      <c r="K492" s="277"/>
      <c r="L492" s="277"/>
      <c r="M492" s="277"/>
      <c r="N492" s="277"/>
    </row>
    <row r="493" spans="2:14" hidden="1">
      <c r="B493" s="272"/>
      <c r="C493" s="268"/>
      <c r="D493" s="268"/>
      <c r="E493" s="272"/>
      <c r="F493" s="141">
        <f>+F492</f>
        <v>59</v>
      </c>
      <c r="G493" s="194">
        <f>+G492</f>
        <v>46022</v>
      </c>
      <c r="H493" s="156" t="str">
        <f>+H492</f>
        <v>Regularización de Existencias</v>
      </c>
      <c r="I493" s="156">
        <f>+I492</f>
        <v>0</v>
      </c>
      <c r="J493" s="277"/>
      <c r="K493" s="277"/>
      <c r="L493" s="277"/>
      <c r="M493" s="277"/>
      <c r="N493" s="277"/>
    </row>
    <row r="494" spans="2:14" ht="14.45" customHeight="1" thickBot="1">
      <c r="B494" s="386" t="s">
        <v>393</v>
      </c>
      <c r="C494" s="387"/>
      <c r="D494" s="386"/>
      <c r="E494" s="387"/>
      <c r="F494" s="141"/>
      <c r="G494" s="194"/>
      <c r="H494" s="140"/>
      <c r="I494" s="140"/>
      <c r="J494" s="277"/>
      <c r="K494" s="277"/>
      <c r="L494" s="277"/>
      <c r="M494" s="277"/>
      <c r="N494" s="277"/>
    </row>
    <row r="495" spans="2:14" ht="14.45" customHeight="1" thickBot="1">
      <c r="B495" s="382" t="str">
        <f>+IF(SUM(B492:B493)=SUM(E492:E493),"Asiento Cuadrado","Asiento Descuadrado")</f>
        <v>Asiento Cuadrado</v>
      </c>
      <c r="C495" s="383"/>
      <c r="D495" s="383"/>
      <c r="E495" s="191">
        <f>+SUM(B492:B493)-SUM(E492:E493)</f>
        <v>0</v>
      </c>
      <c r="F495" s="141"/>
      <c r="G495" s="194"/>
      <c r="H495" s="140"/>
      <c r="I495" s="140"/>
      <c r="J495" s="277"/>
      <c r="K495" s="277"/>
      <c r="L495" s="277"/>
      <c r="M495" s="277"/>
      <c r="N495" s="277"/>
    </row>
    <row r="496" spans="2:14" ht="15.75" thickBot="1">
      <c r="F496" s="77"/>
      <c r="G496" s="193"/>
      <c r="H496" s="77"/>
      <c r="I496" s="77"/>
      <c r="J496" s="277"/>
      <c r="K496" s="277"/>
      <c r="L496" s="277"/>
      <c r="M496" s="277"/>
      <c r="N496" s="277"/>
    </row>
    <row r="497" spans="2:14">
      <c r="B497" s="322" t="s">
        <v>210</v>
      </c>
      <c r="C497" s="389" t="s">
        <v>402</v>
      </c>
      <c r="D497" s="389"/>
      <c r="E497" s="323" t="s">
        <v>211</v>
      </c>
      <c r="F497" s="135"/>
      <c r="G497" s="196"/>
      <c r="H497" s="135"/>
      <c r="I497" s="135"/>
      <c r="J497" s="277"/>
      <c r="K497" s="277"/>
      <c r="L497" s="277"/>
      <c r="M497" s="277"/>
      <c r="N497" s="277"/>
    </row>
    <row r="498" spans="2:14" ht="15" customHeight="1" thickBot="1">
      <c r="B498" s="324">
        <f>+SUM(B499:B500)</f>
        <v>0</v>
      </c>
      <c r="C498" s="388">
        <v>46022</v>
      </c>
      <c r="D498" s="388"/>
      <c r="E498" s="325">
        <f>+SUM(E499:E500)</f>
        <v>0</v>
      </c>
      <c r="F498" s="136"/>
      <c r="G498" s="197"/>
      <c r="H498" s="136"/>
      <c r="I498" s="136"/>
      <c r="J498" s="277"/>
      <c r="K498" s="277"/>
      <c r="L498" s="277"/>
      <c r="M498" s="277"/>
      <c r="N498" s="277"/>
    </row>
    <row r="499" spans="2:14" ht="15.75" thickBot="1">
      <c r="B499" s="271"/>
      <c r="C499" s="270"/>
      <c r="D499" s="270"/>
      <c r="E499" s="271"/>
      <c r="F499" s="141">
        <v>60</v>
      </c>
      <c r="G499" s="194">
        <f>+C498</f>
        <v>46022</v>
      </c>
      <c r="H499" s="156" t="str">
        <f>+B501</f>
        <v>Regularización de Existencias</v>
      </c>
      <c r="I499" s="156">
        <f>+D501</f>
        <v>0</v>
      </c>
      <c r="J499" s="284" t="s">
        <v>403</v>
      </c>
      <c r="K499" s="277"/>
      <c r="L499" s="277"/>
      <c r="M499" s="277"/>
      <c r="N499" s="277"/>
    </row>
    <row r="500" spans="2:14" hidden="1">
      <c r="B500" s="272"/>
      <c r="C500" s="268"/>
      <c r="D500" s="268"/>
      <c r="E500" s="272"/>
      <c r="F500" s="141">
        <f>+F499</f>
        <v>60</v>
      </c>
      <c r="G500" s="194">
        <f>+G499</f>
        <v>46022</v>
      </c>
      <c r="H500" s="156" t="str">
        <f>+H499</f>
        <v>Regularización de Existencias</v>
      </c>
      <c r="I500" s="156">
        <f>+I499</f>
        <v>0</v>
      </c>
      <c r="J500" s="277"/>
      <c r="K500" s="277"/>
      <c r="L500" s="277"/>
      <c r="M500" s="277"/>
      <c r="N500" s="277"/>
    </row>
    <row r="501" spans="2:14" ht="14.45" customHeight="1" thickBot="1">
      <c r="B501" s="386" t="s">
        <v>393</v>
      </c>
      <c r="C501" s="387"/>
      <c r="D501" s="386"/>
      <c r="E501" s="387"/>
      <c r="F501" s="141"/>
      <c r="G501" s="194"/>
      <c r="H501" s="140"/>
      <c r="I501" s="140"/>
      <c r="J501" s="277"/>
      <c r="K501" s="277"/>
      <c r="L501" s="277"/>
      <c r="M501" s="277"/>
      <c r="N501" s="277"/>
    </row>
    <row r="502" spans="2:14" ht="14.45" customHeight="1" thickBot="1">
      <c r="B502" s="382" t="str">
        <f>+IF(SUM(B499:B500)=SUM(E499:E500),"Asiento Cuadrado","Asiento Descuadrado")</f>
        <v>Asiento Cuadrado</v>
      </c>
      <c r="C502" s="383"/>
      <c r="D502" s="383"/>
      <c r="E502" s="191">
        <f>+SUM(B499:B500)-SUM(E499:E500)</f>
        <v>0</v>
      </c>
      <c r="F502" s="141"/>
      <c r="G502" s="194"/>
      <c r="H502" s="140"/>
      <c r="I502" s="140"/>
      <c r="J502" s="277"/>
      <c r="K502" s="277"/>
      <c r="L502" s="277"/>
      <c r="M502" s="277"/>
      <c r="N502" s="277"/>
    </row>
    <row r="503" spans="2:14" ht="15.75" thickBot="1">
      <c r="F503" s="77"/>
      <c r="G503" s="193"/>
      <c r="H503" s="77"/>
      <c r="I503" s="77"/>
      <c r="J503" s="277"/>
      <c r="K503" s="277"/>
      <c r="L503" s="277"/>
      <c r="M503" s="277"/>
      <c r="N503" s="277"/>
    </row>
    <row r="504" spans="2:14">
      <c r="B504" s="322" t="s">
        <v>210</v>
      </c>
      <c r="C504" s="389" t="s">
        <v>404</v>
      </c>
      <c r="D504" s="389"/>
      <c r="E504" s="323" t="s">
        <v>211</v>
      </c>
      <c r="F504" s="135"/>
      <c r="G504" s="196"/>
      <c r="H504" s="135"/>
      <c r="I504" s="135"/>
      <c r="J504" s="278"/>
      <c r="K504" s="277"/>
      <c r="L504" s="277"/>
      <c r="M504" s="277"/>
      <c r="N504" s="277"/>
    </row>
    <row r="505" spans="2:14" ht="15" customHeight="1">
      <c r="B505" s="324">
        <f>+SUM(B506:B507)</f>
        <v>0</v>
      </c>
      <c r="C505" s="388">
        <v>46022</v>
      </c>
      <c r="D505" s="388"/>
      <c r="E505" s="325">
        <f>+SUM(E506:E507)</f>
        <v>0</v>
      </c>
      <c r="F505" s="136"/>
      <c r="G505" s="197"/>
      <c r="H505" s="136"/>
      <c r="I505" s="136"/>
      <c r="J505" s="278" t="s">
        <v>405</v>
      </c>
      <c r="K505" s="277"/>
      <c r="L505" s="277"/>
      <c r="M505" s="277"/>
      <c r="N505" s="277"/>
    </row>
    <row r="506" spans="2:14" ht="15.75" thickBot="1">
      <c r="B506" s="271"/>
      <c r="C506" s="270"/>
      <c r="D506" s="270"/>
      <c r="E506" s="271"/>
      <c r="F506" s="141">
        <v>61</v>
      </c>
      <c r="G506" s="194">
        <f>+C505</f>
        <v>46022</v>
      </c>
      <c r="H506" s="156" t="str">
        <f>+B508</f>
        <v>Provisiones</v>
      </c>
      <c r="I506" s="156">
        <f>+D508</f>
        <v>0</v>
      </c>
      <c r="J506" s="277"/>
      <c r="K506" s="277"/>
      <c r="L506" s="277"/>
      <c r="M506" s="277"/>
      <c r="N506" s="277"/>
    </row>
    <row r="507" spans="2:14" hidden="1">
      <c r="B507" s="272"/>
      <c r="C507" s="268"/>
      <c r="D507" s="268"/>
      <c r="E507" s="272"/>
      <c r="F507" s="141">
        <f>+F506</f>
        <v>61</v>
      </c>
      <c r="G507" s="194">
        <f>+G506</f>
        <v>46022</v>
      </c>
      <c r="H507" s="156" t="str">
        <f>+H506</f>
        <v>Provisiones</v>
      </c>
      <c r="I507" s="156">
        <f>+I506</f>
        <v>0</v>
      </c>
      <c r="J507" s="277"/>
      <c r="K507" s="277"/>
      <c r="L507" s="277"/>
      <c r="M507" s="277"/>
      <c r="N507" s="277"/>
    </row>
    <row r="508" spans="2:14" ht="15.75" thickBot="1">
      <c r="B508" s="386" t="s">
        <v>406</v>
      </c>
      <c r="C508" s="387"/>
      <c r="D508" s="386"/>
      <c r="E508" s="387"/>
      <c r="F508" s="141"/>
      <c r="G508" s="194"/>
      <c r="H508" s="140"/>
      <c r="I508" s="140"/>
      <c r="J508" s="277"/>
      <c r="K508" s="277"/>
      <c r="L508" s="277"/>
      <c r="M508" s="277"/>
      <c r="N508" s="277"/>
    </row>
    <row r="509" spans="2:14" ht="14.45" customHeight="1" thickBot="1">
      <c r="B509" s="382" t="str">
        <f>+IF(SUM(B506:B507)=SUM(E506:E507),"Asiento Cuadrado","Asiento Descuadrado")</f>
        <v>Asiento Cuadrado</v>
      </c>
      <c r="C509" s="383"/>
      <c r="D509" s="383"/>
      <c r="E509" s="191">
        <f>+SUM(B506:B507)-SUM(E506:E507)</f>
        <v>0</v>
      </c>
      <c r="F509" s="141"/>
      <c r="G509" s="194"/>
      <c r="H509" s="140"/>
      <c r="I509" s="140"/>
      <c r="J509" s="277"/>
      <c r="K509" s="277"/>
      <c r="L509" s="277"/>
      <c r="M509" s="277"/>
      <c r="N509" s="277"/>
    </row>
    <row r="510" spans="2:14" ht="15.75" thickBot="1">
      <c r="F510" s="77"/>
      <c r="G510" s="193"/>
      <c r="H510" s="77"/>
      <c r="I510" s="77"/>
      <c r="J510" s="277"/>
      <c r="K510" s="277"/>
      <c r="L510" s="277"/>
      <c r="M510" s="277"/>
      <c r="N510" s="277"/>
    </row>
    <row r="511" spans="2:14">
      <c r="B511" s="322" t="s">
        <v>210</v>
      </c>
      <c r="C511" s="389" t="s">
        <v>407</v>
      </c>
      <c r="D511" s="389"/>
      <c r="E511" s="323" t="s">
        <v>211</v>
      </c>
      <c r="F511" s="135"/>
      <c r="G511" s="196"/>
      <c r="H511" s="135"/>
      <c r="I511" s="135"/>
      <c r="J511" s="277"/>
      <c r="K511" s="277"/>
      <c r="L511" s="277"/>
      <c r="M511" s="277"/>
      <c r="N511" s="277"/>
    </row>
    <row r="512" spans="2:14" ht="15" customHeight="1" thickBot="1">
      <c r="B512" s="324">
        <f>+SUM(B513:B528)</f>
        <v>0</v>
      </c>
      <c r="C512" s="388">
        <v>46022</v>
      </c>
      <c r="D512" s="388"/>
      <c r="E512" s="325">
        <f>+SUM(E513:E528)</f>
        <v>0</v>
      </c>
      <c r="F512" s="136"/>
      <c r="G512" s="197"/>
      <c r="H512" s="136"/>
      <c r="I512" s="136"/>
      <c r="J512" s="278" t="s">
        <v>408</v>
      </c>
      <c r="K512" s="277"/>
      <c r="L512" s="277"/>
      <c r="M512" s="277"/>
      <c r="N512" s="277"/>
    </row>
    <row r="513" spans="2:14">
      <c r="B513" s="271"/>
      <c r="C513" s="270"/>
      <c r="D513" s="270"/>
      <c r="E513" s="271"/>
      <c r="F513" s="141">
        <v>62</v>
      </c>
      <c r="G513" s="194">
        <f>+C512</f>
        <v>46022</v>
      </c>
      <c r="H513" s="156" t="str">
        <f>+B529</f>
        <v>Determinación de Resultado Contable</v>
      </c>
      <c r="I513" s="156">
        <f>+D529</f>
        <v>0</v>
      </c>
      <c r="J513" s="283" t="s">
        <v>409</v>
      </c>
      <c r="K513" s="277"/>
      <c r="L513" s="277"/>
      <c r="M513" s="277"/>
      <c r="N513" s="277"/>
    </row>
    <row r="514" spans="2:14">
      <c r="B514" s="272"/>
      <c r="C514" s="268"/>
      <c r="D514" s="268"/>
      <c r="E514" s="272"/>
      <c r="F514" s="141">
        <f>+F513</f>
        <v>62</v>
      </c>
      <c r="G514" s="194">
        <f>+G513</f>
        <v>46022</v>
      </c>
      <c r="H514" s="156" t="str">
        <f>+H513</f>
        <v>Determinación de Resultado Contable</v>
      </c>
      <c r="I514" s="156">
        <f>+I513</f>
        <v>0</v>
      </c>
      <c r="J514" s="277"/>
      <c r="K514" s="277"/>
      <c r="L514" s="277"/>
      <c r="M514" s="277"/>
      <c r="N514" s="277"/>
    </row>
    <row r="515" spans="2:14">
      <c r="B515" s="272"/>
      <c r="C515" s="268"/>
      <c r="D515" s="268"/>
      <c r="E515" s="272"/>
      <c r="F515" s="141">
        <f t="shared" ref="F515:F528" si="12">+F514</f>
        <v>62</v>
      </c>
      <c r="G515" s="194">
        <f t="shared" ref="G515:I528" si="13">+G514</f>
        <v>46022</v>
      </c>
      <c r="H515" s="156" t="str">
        <f t="shared" si="13"/>
        <v>Determinación de Resultado Contable</v>
      </c>
      <c r="I515" s="156">
        <f t="shared" si="13"/>
        <v>0</v>
      </c>
      <c r="J515" s="277"/>
      <c r="K515" s="277"/>
      <c r="L515" s="277"/>
      <c r="M515" s="277"/>
      <c r="N515" s="277"/>
    </row>
    <row r="516" spans="2:14">
      <c r="B516" s="272"/>
      <c r="C516" s="268"/>
      <c r="D516" s="268"/>
      <c r="E516" s="272"/>
      <c r="F516" s="141">
        <f t="shared" si="12"/>
        <v>62</v>
      </c>
      <c r="G516" s="194">
        <f t="shared" si="13"/>
        <v>46022</v>
      </c>
      <c r="H516" s="156" t="str">
        <f t="shared" si="13"/>
        <v>Determinación de Resultado Contable</v>
      </c>
      <c r="I516" s="156">
        <f t="shared" si="13"/>
        <v>0</v>
      </c>
      <c r="J516" s="277"/>
      <c r="K516" s="277"/>
      <c r="L516" s="277"/>
      <c r="M516" s="277"/>
      <c r="N516" s="277"/>
    </row>
    <row r="517" spans="2:14">
      <c r="B517" s="272"/>
      <c r="C517" s="268"/>
      <c r="D517" s="268"/>
      <c r="E517" s="272"/>
      <c r="F517" s="141">
        <f t="shared" si="12"/>
        <v>62</v>
      </c>
      <c r="G517" s="194">
        <f t="shared" si="13"/>
        <v>46022</v>
      </c>
      <c r="H517" s="156" t="str">
        <f t="shared" si="13"/>
        <v>Determinación de Resultado Contable</v>
      </c>
      <c r="I517" s="156">
        <f t="shared" si="13"/>
        <v>0</v>
      </c>
      <c r="J517" s="277"/>
      <c r="K517" s="277"/>
      <c r="L517" s="277"/>
      <c r="M517" s="277"/>
      <c r="N517" s="277"/>
    </row>
    <row r="518" spans="2:14">
      <c r="B518" s="272"/>
      <c r="C518" s="268"/>
      <c r="D518" s="268"/>
      <c r="E518" s="272"/>
      <c r="F518" s="141">
        <f t="shared" si="12"/>
        <v>62</v>
      </c>
      <c r="G518" s="194">
        <f t="shared" si="13"/>
        <v>46022</v>
      </c>
      <c r="H518" s="156" t="str">
        <f t="shared" si="13"/>
        <v>Determinación de Resultado Contable</v>
      </c>
      <c r="I518" s="156">
        <f t="shared" si="13"/>
        <v>0</v>
      </c>
      <c r="J518" s="277"/>
      <c r="K518" s="277"/>
      <c r="L518" s="277"/>
      <c r="M518" s="277"/>
      <c r="N518" s="277"/>
    </row>
    <row r="519" spans="2:14">
      <c r="B519" s="272"/>
      <c r="C519" s="268"/>
      <c r="D519" s="268"/>
      <c r="E519" s="272"/>
      <c r="F519" s="141">
        <f t="shared" si="12"/>
        <v>62</v>
      </c>
      <c r="G519" s="194">
        <f t="shared" si="13"/>
        <v>46022</v>
      </c>
      <c r="H519" s="156" t="str">
        <f t="shared" si="13"/>
        <v>Determinación de Resultado Contable</v>
      </c>
      <c r="I519" s="156">
        <f t="shared" si="13"/>
        <v>0</v>
      </c>
      <c r="J519" s="277"/>
      <c r="K519" s="277"/>
      <c r="L519" s="277"/>
      <c r="M519" s="277"/>
      <c r="N519" s="277"/>
    </row>
    <row r="520" spans="2:14">
      <c r="B520" s="272"/>
      <c r="C520" s="268"/>
      <c r="D520" s="268"/>
      <c r="E520" s="272"/>
      <c r="F520" s="141">
        <f t="shared" si="12"/>
        <v>62</v>
      </c>
      <c r="G520" s="194">
        <f t="shared" si="13"/>
        <v>46022</v>
      </c>
      <c r="H520" s="156" t="str">
        <f t="shared" si="13"/>
        <v>Determinación de Resultado Contable</v>
      </c>
      <c r="I520" s="156">
        <f t="shared" si="13"/>
        <v>0</v>
      </c>
      <c r="J520" s="277"/>
      <c r="K520" s="277"/>
      <c r="L520" s="277"/>
      <c r="M520" s="277"/>
      <c r="N520" s="277"/>
    </row>
    <row r="521" spans="2:14">
      <c r="B521" s="272"/>
      <c r="C521" s="268"/>
      <c r="D521" s="268"/>
      <c r="E521" s="272"/>
      <c r="F521" s="141">
        <f t="shared" si="12"/>
        <v>62</v>
      </c>
      <c r="G521" s="194">
        <f t="shared" si="13"/>
        <v>46022</v>
      </c>
      <c r="H521" s="156" t="str">
        <f t="shared" si="13"/>
        <v>Determinación de Resultado Contable</v>
      </c>
      <c r="I521" s="156">
        <f t="shared" si="13"/>
        <v>0</v>
      </c>
      <c r="J521" s="277"/>
      <c r="K521" s="277"/>
      <c r="L521" s="277"/>
      <c r="M521" s="277"/>
      <c r="N521" s="277"/>
    </row>
    <row r="522" spans="2:14">
      <c r="B522" s="272"/>
      <c r="C522" s="268"/>
      <c r="D522" s="268"/>
      <c r="E522" s="272"/>
      <c r="F522" s="141">
        <f t="shared" si="12"/>
        <v>62</v>
      </c>
      <c r="G522" s="194">
        <f t="shared" si="13"/>
        <v>46022</v>
      </c>
      <c r="H522" s="156" t="str">
        <f t="shared" si="13"/>
        <v>Determinación de Resultado Contable</v>
      </c>
      <c r="I522" s="156">
        <f t="shared" si="13"/>
        <v>0</v>
      </c>
      <c r="J522" s="277"/>
      <c r="K522" s="277"/>
      <c r="L522" s="277"/>
      <c r="M522" s="277"/>
      <c r="N522" s="277"/>
    </row>
    <row r="523" spans="2:14">
      <c r="B523" s="272"/>
      <c r="C523" s="268"/>
      <c r="D523" s="268"/>
      <c r="E523" s="272"/>
      <c r="F523" s="141">
        <f t="shared" si="12"/>
        <v>62</v>
      </c>
      <c r="G523" s="194">
        <f t="shared" si="13"/>
        <v>46022</v>
      </c>
      <c r="H523" s="156" t="str">
        <f t="shared" si="13"/>
        <v>Determinación de Resultado Contable</v>
      </c>
      <c r="I523" s="156">
        <f t="shared" si="13"/>
        <v>0</v>
      </c>
      <c r="J523" s="277"/>
      <c r="K523" s="277"/>
      <c r="L523" s="277"/>
      <c r="M523" s="277"/>
      <c r="N523" s="277"/>
    </row>
    <row r="524" spans="2:14">
      <c r="B524" s="272"/>
      <c r="C524" s="268"/>
      <c r="D524" s="268"/>
      <c r="E524" s="272"/>
      <c r="F524" s="141">
        <f t="shared" si="12"/>
        <v>62</v>
      </c>
      <c r="G524" s="194">
        <f t="shared" si="13"/>
        <v>46022</v>
      </c>
      <c r="H524" s="156" t="str">
        <f t="shared" si="13"/>
        <v>Determinación de Resultado Contable</v>
      </c>
      <c r="I524" s="156">
        <f t="shared" si="13"/>
        <v>0</v>
      </c>
      <c r="J524" s="277"/>
      <c r="K524" s="277"/>
      <c r="L524" s="277"/>
      <c r="M524" s="277"/>
      <c r="N524" s="277"/>
    </row>
    <row r="525" spans="2:14">
      <c r="B525" s="272"/>
      <c r="C525" s="268"/>
      <c r="D525" s="268"/>
      <c r="E525" s="272"/>
      <c r="F525" s="141">
        <f t="shared" si="12"/>
        <v>62</v>
      </c>
      <c r="G525" s="194">
        <f t="shared" si="13"/>
        <v>46022</v>
      </c>
      <c r="H525" s="156" t="str">
        <f t="shared" si="13"/>
        <v>Determinación de Resultado Contable</v>
      </c>
      <c r="I525" s="156">
        <f t="shared" si="13"/>
        <v>0</v>
      </c>
      <c r="J525" s="277"/>
      <c r="K525" s="277"/>
      <c r="L525" s="277"/>
      <c r="M525" s="277"/>
      <c r="N525" s="277"/>
    </row>
    <row r="526" spans="2:14">
      <c r="B526" s="272"/>
      <c r="C526" s="268"/>
      <c r="D526" s="268"/>
      <c r="E526" s="272"/>
      <c r="F526" s="141">
        <f t="shared" si="12"/>
        <v>62</v>
      </c>
      <c r="G526" s="194">
        <f t="shared" si="13"/>
        <v>46022</v>
      </c>
      <c r="H526" s="156" t="str">
        <f t="shared" si="13"/>
        <v>Determinación de Resultado Contable</v>
      </c>
      <c r="I526" s="156">
        <f t="shared" si="13"/>
        <v>0</v>
      </c>
      <c r="J526" s="277"/>
      <c r="K526" s="277"/>
      <c r="L526" s="277"/>
      <c r="M526" s="277"/>
      <c r="N526" s="277"/>
    </row>
    <row r="527" spans="2:14">
      <c r="B527" s="272"/>
      <c r="C527" s="268"/>
      <c r="D527" s="268"/>
      <c r="E527" s="272"/>
      <c r="F527" s="141">
        <f t="shared" si="12"/>
        <v>62</v>
      </c>
      <c r="G527" s="194">
        <f t="shared" si="13"/>
        <v>46022</v>
      </c>
      <c r="H527" s="156" t="str">
        <f t="shared" si="13"/>
        <v>Determinación de Resultado Contable</v>
      </c>
      <c r="I527" s="156">
        <f t="shared" si="13"/>
        <v>0</v>
      </c>
      <c r="J527" s="277"/>
      <c r="K527" s="277"/>
      <c r="L527" s="277"/>
      <c r="M527" s="277"/>
      <c r="N527" s="277"/>
    </row>
    <row r="528" spans="2:14">
      <c r="B528" s="272"/>
      <c r="C528" s="268"/>
      <c r="D528" s="268"/>
      <c r="E528" s="272"/>
      <c r="F528" s="141">
        <f t="shared" si="12"/>
        <v>62</v>
      </c>
      <c r="G528" s="194">
        <f t="shared" si="13"/>
        <v>46022</v>
      </c>
      <c r="H528" s="156" t="str">
        <f t="shared" si="13"/>
        <v>Determinación de Resultado Contable</v>
      </c>
      <c r="I528" s="156">
        <f t="shared" si="13"/>
        <v>0</v>
      </c>
      <c r="J528" s="277"/>
      <c r="K528" s="277"/>
      <c r="L528" s="277"/>
      <c r="M528" s="277"/>
      <c r="N528" s="277"/>
    </row>
    <row r="529" spans="2:14" ht="14.45" customHeight="1">
      <c r="B529" s="386" t="s">
        <v>410</v>
      </c>
      <c r="C529" s="387"/>
      <c r="D529" s="386"/>
      <c r="E529" s="387"/>
      <c r="F529" s="141"/>
      <c r="G529" s="194"/>
      <c r="H529" s="140"/>
      <c r="I529" s="140"/>
      <c r="J529" s="277"/>
      <c r="K529" s="277"/>
      <c r="L529" s="277"/>
      <c r="M529" s="277"/>
      <c r="N529" s="277"/>
    </row>
    <row r="530" spans="2:14" ht="14.45" customHeight="1" thickBot="1">
      <c r="B530" s="382" t="str">
        <f>+IF(SUM(B513:B528)=SUM(E513:E528),"Asiento Cuadrado","Asiento Descuadrado")</f>
        <v>Asiento Cuadrado</v>
      </c>
      <c r="C530" s="383"/>
      <c r="D530" s="383"/>
      <c r="E530" s="191">
        <f>+SUM(B513:B528)-SUM(E513:E528)</f>
        <v>0</v>
      </c>
      <c r="F530" s="141"/>
      <c r="G530" s="194"/>
      <c r="H530" s="140"/>
      <c r="I530" s="140"/>
      <c r="J530" s="277"/>
      <c r="K530" s="277"/>
      <c r="L530" s="277"/>
      <c r="M530" s="277"/>
      <c r="N530" s="277"/>
    </row>
    <row r="531" spans="2:14" ht="15.75" thickBot="1">
      <c r="F531" s="77"/>
      <c r="G531" s="193"/>
      <c r="H531" s="77"/>
      <c r="I531" s="77"/>
      <c r="J531" s="277"/>
      <c r="K531" s="277"/>
      <c r="L531" s="277"/>
      <c r="M531" s="277"/>
      <c r="N531" s="277"/>
    </row>
    <row r="532" spans="2:14">
      <c r="B532" s="322" t="s">
        <v>210</v>
      </c>
      <c r="C532" s="389" t="s">
        <v>411</v>
      </c>
      <c r="D532" s="389"/>
      <c r="E532" s="323" t="s">
        <v>211</v>
      </c>
      <c r="F532" s="135"/>
      <c r="G532" s="196"/>
      <c r="H532" s="135"/>
      <c r="I532" s="135"/>
      <c r="J532" s="277"/>
      <c r="K532" s="277"/>
      <c r="L532" s="277"/>
      <c r="M532" s="277"/>
      <c r="N532" s="277"/>
    </row>
    <row r="533" spans="2:14" ht="15" customHeight="1" thickBot="1">
      <c r="B533" s="324">
        <f>+SUM(B534:B545)</f>
        <v>0</v>
      </c>
      <c r="C533" s="388">
        <v>46022</v>
      </c>
      <c r="D533" s="388"/>
      <c r="E533" s="325">
        <f>+SUM(E534:E545)</f>
        <v>0</v>
      </c>
      <c r="F533" s="136"/>
      <c r="G533" s="197"/>
      <c r="H533" s="136"/>
      <c r="I533" s="136"/>
      <c r="J533" s="277"/>
      <c r="K533" s="277"/>
      <c r="L533" s="277"/>
      <c r="M533" s="277"/>
      <c r="N533" s="277"/>
    </row>
    <row r="534" spans="2:14">
      <c r="B534" s="271"/>
      <c r="C534" s="270"/>
      <c r="D534" s="270"/>
      <c r="E534" s="271"/>
      <c r="F534" s="141">
        <v>63</v>
      </c>
      <c r="G534" s="194">
        <f>+C533</f>
        <v>46022</v>
      </c>
      <c r="H534" s="156" t="str">
        <f>+B546</f>
        <v>Determinación de Resultado Contable</v>
      </c>
      <c r="I534" s="156">
        <f>+D546</f>
        <v>0</v>
      </c>
      <c r="J534" s="283" t="s">
        <v>412</v>
      </c>
      <c r="K534" s="277"/>
      <c r="L534" s="277"/>
      <c r="M534" s="277"/>
      <c r="N534" s="277"/>
    </row>
    <row r="535" spans="2:14">
      <c r="B535" s="272"/>
      <c r="C535" s="268"/>
      <c r="D535" s="268"/>
      <c r="E535" s="272"/>
      <c r="F535" s="141">
        <f>+F534</f>
        <v>63</v>
      </c>
      <c r="G535" s="194">
        <f>+G534</f>
        <v>46022</v>
      </c>
      <c r="H535" s="156" t="str">
        <f>+H534</f>
        <v>Determinación de Resultado Contable</v>
      </c>
      <c r="I535" s="156">
        <f>+I534</f>
        <v>0</v>
      </c>
      <c r="J535" s="277"/>
      <c r="K535" s="277"/>
      <c r="L535" s="277"/>
      <c r="M535" s="277"/>
      <c r="N535" s="277"/>
    </row>
    <row r="536" spans="2:14">
      <c r="B536" s="272"/>
      <c r="C536" s="268"/>
      <c r="D536" s="268"/>
      <c r="E536" s="272"/>
      <c r="F536" s="141">
        <f t="shared" ref="F536:F545" si="14">+F535</f>
        <v>63</v>
      </c>
      <c r="G536" s="194">
        <f t="shared" ref="G536:I545" si="15">+G535</f>
        <v>46022</v>
      </c>
      <c r="H536" s="156" t="str">
        <f t="shared" si="15"/>
        <v>Determinación de Resultado Contable</v>
      </c>
      <c r="I536" s="156">
        <f t="shared" si="15"/>
        <v>0</v>
      </c>
      <c r="J536" s="277"/>
      <c r="K536" s="277"/>
      <c r="L536" s="277"/>
      <c r="M536" s="277"/>
      <c r="N536" s="277"/>
    </row>
    <row r="537" spans="2:14">
      <c r="B537" s="272"/>
      <c r="C537" s="268"/>
      <c r="D537" s="268"/>
      <c r="E537" s="272"/>
      <c r="F537" s="141">
        <f t="shared" si="14"/>
        <v>63</v>
      </c>
      <c r="G537" s="194">
        <f t="shared" si="15"/>
        <v>46022</v>
      </c>
      <c r="H537" s="156" t="str">
        <f t="shared" si="15"/>
        <v>Determinación de Resultado Contable</v>
      </c>
      <c r="I537" s="156">
        <f t="shared" si="15"/>
        <v>0</v>
      </c>
      <c r="J537" s="277"/>
      <c r="K537" s="277"/>
      <c r="L537" s="277"/>
      <c r="M537" s="277"/>
      <c r="N537" s="277"/>
    </row>
    <row r="538" spans="2:14">
      <c r="B538" s="272"/>
      <c r="C538" s="268"/>
      <c r="D538" s="268"/>
      <c r="E538" s="272"/>
      <c r="F538" s="141">
        <f t="shared" si="14"/>
        <v>63</v>
      </c>
      <c r="G538" s="194">
        <f t="shared" si="15"/>
        <v>46022</v>
      </c>
      <c r="H538" s="156" t="str">
        <f t="shared" si="15"/>
        <v>Determinación de Resultado Contable</v>
      </c>
      <c r="I538" s="156">
        <f t="shared" si="15"/>
        <v>0</v>
      </c>
      <c r="J538" s="277"/>
      <c r="K538" s="277"/>
      <c r="L538" s="277"/>
      <c r="M538" s="277"/>
      <c r="N538" s="277"/>
    </row>
    <row r="539" spans="2:14">
      <c r="B539" s="272"/>
      <c r="C539" s="268"/>
      <c r="D539" s="268"/>
      <c r="E539" s="272"/>
      <c r="F539" s="141">
        <f t="shared" si="14"/>
        <v>63</v>
      </c>
      <c r="G539" s="194">
        <f t="shared" si="15"/>
        <v>46022</v>
      </c>
      <c r="H539" s="156" t="str">
        <f t="shared" si="15"/>
        <v>Determinación de Resultado Contable</v>
      </c>
      <c r="I539" s="156">
        <f t="shared" si="15"/>
        <v>0</v>
      </c>
      <c r="J539" s="277"/>
      <c r="K539" s="277"/>
      <c r="L539" s="277"/>
      <c r="M539" s="277"/>
      <c r="N539" s="277"/>
    </row>
    <row r="540" spans="2:14">
      <c r="B540" s="272"/>
      <c r="C540" s="268"/>
      <c r="D540" s="268"/>
      <c r="E540" s="272"/>
      <c r="F540" s="141">
        <f t="shared" si="14"/>
        <v>63</v>
      </c>
      <c r="G540" s="194">
        <f t="shared" si="15"/>
        <v>46022</v>
      </c>
      <c r="H540" s="156" t="str">
        <f t="shared" si="15"/>
        <v>Determinación de Resultado Contable</v>
      </c>
      <c r="I540" s="156">
        <f t="shared" si="15"/>
        <v>0</v>
      </c>
      <c r="J540" s="277"/>
      <c r="K540" s="277"/>
      <c r="L540" s="277"/>
      <c r="M540" s="277"/>
      <c r="N540" s="277"/>
    </row>
    <row r="541" spans="2:14">
      <c r="B541" s="272"/>
      <c r="C541" s="268"/>
      <c r="D541" s="268"/>
      <c r="E541" s="272"/>
      <c r="F541" s="141">
        <f t="shared" si="14"/>
        <v>63</v>
      </c>
      <c r="G541" s="194">
        <f t="shared" si="15"/>
        <v>46022</v>
      </c>
      <c r="H541" s="156" t="str">
        <f t="shared" si="15"/>
        <v>Determinación de Resultado Contable</v>
      </c>
      <c r="I541" s="156">
        <f t="shared" si="15"/>
        <v>0</v>
      </c>
      <c r="J541" s="277"/>
      <c r="K541" s="277"/>
      <c r="L541" s="277"/>
      <c r="M541" s="277"/>
      <c r="N541" s="277"/>
    </row>
    <row r="542" spans="2:14">
      <c r="B542" s="272"/>
      <c r="C542" s="268"/>
      <c r="D542" s="268"/>
      <c r="E542" s="272"/>
      <c r="F542" s="141">
        <f t="shared" si="14"/>
        <v>63</v>
      </c>
      <c r="G542" s="194">
        <f t="shared" si="15"/>
        <v>46022</v>
      </c>
      <c r="H542" s="156" t="str">
        <f t="shared" si="15"/>
        <v>Determinación de Resultado Contable</v>
      </c>
      <c r="I542" s="156">
        <f t="shared" si="15"/>
        <v>0</v>
      </c>
      <c r="J542" s="277"/>
      <c r="K542" s="277"/>
      <c r="L542" s="277"/>
      <c r="M542" s="277"/>
      <c r="N542" s="277"/>
    </row>
    <row r="543" spans="2:14">
      <c r="B543" s="272"/>
      <c r="C543" s="268"/>
      <c r="D543" s="268"/>
      <c r="E543" s="272"/>
      <c r="F543" s="141">
        <f t="shared" si="14"/>
        <v>63</v>
      </c>
      <c r="G543" s="194">
        <f t="shared" si="15"/>
        <v>46022</v>
      </c>
      <c r="H543" s="156" t="str">
        <f t="shared" si="15"/>
        <v>Determinación de Resultado Contable</v>
      </c>
      <c r="I543" s="156">
        <f t="shared" si="15"/>
        <v>0</v>
      </c>
      <c r="J543" s="277"/>
      <c r="K543" s="277"/>
      <c r="L543" s="277"/>
      <c r="M543" s="277"/>
      <c r="N543" s="277"/>
    </row>
    <row r="544" spans="2:14">
      <c r="B544" s="272"/>
      <c r="C544" s="268"/>
      <c r="D544" s="268"/>
      <c r="E544" s="272"/>
      <c r="F544" s="141">
        <f t="shared" si="14"/>
        <v>63</v>
      </c>
      <c r="G544" s="194">
        <f t="shared" si="15"/>
        <v>46022</v>
      </c>
      <c r="H544" s="156" t="str">
        <f t="shared" si="15"/>
        <v>Determinación de Resultado Contable</v>
      </c>
      <c r="I544" s="156">
        <f t="shared" si="15"/>
        <v>0</v>
      </c>
      <c r="J544" s="277"/>
      <c r="K544" s="277"/>
      <c r="L544" s="277"/>
      <c r="M544" s="277"/>
      <c r="N544" s="277"/>
    </row>
    <row r="545" spans="2:14" ht="15.75" thickBot="1">
      <c r="B545" s="272"/>
      <c r="C545" s="268"/>
      <c r="D545" s="268"/>
      <c r="E545" s="272"/>
      <c r="F545" s="141">
        <f t="shared" si="14"/>
        <v>63</v>
      </c>
      <c r="G545" s="194">
        <f t="shared" si="15"/>
        <v>46022</v>
      </c>
      <c r="H545" s="156" t="str">
        <f t="shared" si="15"/>
        <v>Determinación de Resultado Contable</v>
      </c>
      <c r="I545" s="156">
        <f t="shared" si="15"/>
        <v>0</v>
      </c>
      <c r="J545" s="277"/>
      <c r="K545" s="277"/>
      <c r="L545" s="277"/>
      <c r="M545" s="277"/>
      <c r="N545" s="277"/>
    </row>
    <row r="546" spans="2:14" ht="14.45" customHeight="1" thickBot="1">
      <c r="B546" s="386" t="s">
        <v>410</v>
      </c>
      <c r="C546" s="387"/>
      <c r="D546" s="386"/>
      <c r="E546" s="387"/>
      <c r="F546" s="141"/>
      <c r="G546" s="194"/>
      <c r="H546" s="140"/>
      <c r="I546" s="140"/>
      <c r="J546" s="277"/>
      <c r="K546" s="277"/>
      <c r="L546" s="277"/>
      <c r="M546" s="277"/>
      <c r="N546" s="277"/>
    </row>
    <row r="547" spans="2:14" ht="14.45" customHeight="1" thickBot="1">
      <c r="B547" s="382" t="str">
        <f>+IF(SUM(B534:B545)=SUM(E534:E545),"Asiento Cuadrado","Asiento Descuadrado")</f>
        <v>Asiento Cuadrado</v>
      </c>
      <c r="C547" s="383"/>
      <c r="D547" s="383"/>
      <c r="E547" s="191">
        <f>+SUM(B534:B545)-SUM(E534:E545)</f>
        <v>0</v>
      </c>
      <c r="F547" s="141"/>
      <c r="G547" s="194"/>
      <c r="H547" s="140"/>
      <c r="I547" s="140"/>
      <c r="J547" s="277"/>
      <c r="K547" s="277"/>
      <c r="L547" s="277"/>
      <c r="M547" s="277"/>
      <c r="N547" s="277"/>
    </row>
    <row r="548" spans="2:14" ht="15.75" thickBot="1">
      <c r="F548" s="77"/>
      <c r="G548" s="193"/>
      <c r="H548" s="77"/>
      <c r="I548" s="77"/>
      <c r="J548" s="277"/>
      <c r="K548" s="277"/>
      <c r="L548" s="277"/>
      <c r="M548" s="277"/>
      <c r="N548" s="277"/>
    </row>
    <row r="549" spans="2:14">
      <c r="B549" s="322" t="s">
        <v>210</v>
      </c>
      <c r="C549" s="389" t="s">
        <v>413</v>
      </c>
      <c r="D549" s="389"/>
      <c r="E549" s="323" t="s">
        <v>211</v>
      </c>
      <c r="F549" s="135"/>
      <c r="G549" s="196"/>
      <c r="H549" s="135"/>
      <c r="I549" s="135"/>
      <c r="J549" s="277"/>
      <c r="K549" s="277"/>
      <c r="L549" s="277"/>
      <c r="M549" s="277"/>
      <c r="N549" s="277"/>
    </row>
    <row r="550" spans="2:14" ht="15" customHeight="1" thickBot="1">
      <c r="B550" s="324">
        <f>+SUM(B551:B552)</f>
        <v>0</v>
      </c>
      <c r="C550" s="388">
        <v>46022</v>
      </c>
      <c r="D550" s="388"/>
      <c r="E550" s="325">
        <f>+SUM(E551:E552)</f>
        <v>0</v>
      </c>
      <c r="F550" s="136"/>
      <c r="G550" s="197"/>
      <c r="H550" s="136"/>
      <c r="I550" s="136"/>
      <c r="J550" s="277" t="s">
        <v>414</v>
      </c>
      <c r="K550" s="277"/>
      <c r="L550" s="277"/>
      <c r="M550" s="277"/>
      <c r="N550" s="277"/>
    </row>
    <row r="551" spans="2:14">
      <c r="B551" s="271"/>
      <c r="C551" s="270"/>
      <c r="D551" s="270"/>
      <c r="E551" s="271"/>
      <c r="F551" s="141">
        <v>64</v>
      </c>
      <c r="G551" s="194">
        <f>+C550</f>
        <v>46022</v>
      </c>
      <c r="H551" s="140" t="str">
        <f>+B553</f>
        <v>Impuesto de Sociedades</v>
      </c>
      <c r="I551" s="156">
        <f>+D553</f>
        <v>0</v>
      </c>
      <c r="J551" s="277"/>
      <c r="K551" s="277"/>
      <c r="L551" s="277"/>
      <c r="M551" s="277"/>
      <c r="N551" s="277"/>
    </row>
    <row r="552" spans="2:14">
      <c r="B552" s="275"/>
      <c r="C552" s="275"/>
      <c r="D552" s="268"/>
      <c r="E552" s="272"/>
      <c r="F552" s="141">
        <f>+F551</f>
        <v>64</v>
      </c>
      <c r="G552" s="194">
        <f>+G551</f>
        <v>46022</v>
      </c>
      <c r="H552" s="140" t="str">
        <f>+H551</f>
        <v>Impuesto de Sociedades</v>
      </c>
      <c r="I552" s="156">
        <f>+I551</f>
        <v>0</v>
      </c>
      <c r="J552" s="298" t="s">
        <v>415</v>
      </c>
      <c r="K552" s="277"/>
      <c r="L552" s="277"/>
      <c r="M552" s="277"/>
      <c r="N552" s="277"/>
    </row>
    <row r="553" spans="2:14" ht="14.45" customHeight="1">
      <c r="B553" s="386" t="s">
        <v>416</v>
      </c>
      <c r="C553" s="387"/>
      <c r="D553" s="386"/>
      <c r="E553" s="387"/>
      <c r="F553" s="141"/>
      <c r="G553" s="194"/>
      <c r="H553" s="140"/>
      <c r="I553" s="140"/>
      <c r="J553" s="277"/>
      <c r="K553" s="277"/>
      <c r="L553" s="277"/>
      <c r="M553" s="277"/>
      <c r="N553" s="277"/>
    </row>
    <row r="554" spans="2:14" ht="14.45" customHeight="1" thickBot="1">
      <c r="B554" s="382" t="str">
        <f>+IF(SUM(B551:B552)=SUM(E551:E552),"Asiento Cuadrado","Asiento Descuadrado")</f>
        <v>Asiento Cuadrado</v>
      </c>
      <c r="C554" s="383"/>
      <c r="D554" s="383"/>
      <c r="E554" s="191">
        <f>+SUM(B551:B552)-SUM(E551:E552)</f>
        <v>0</v>
      </c>
      <c r="F554" s="141"/>
      <c r="G554" s="194"/>
      <c r="H554" s="140"/>
      <c r="I554" s="140"/>
      <c r="J554" s="277"/>
      <c r="K554" s="277"/>
      <c r="L554" s="277"/>
      <c r="M554" s="277"/>
      <c r="N554" s="277"/>
    </row>
    <row r="555" spans="2:14" ht="15.75" thickBot="1">
      <c r="F555" s="77"/>
      <c r="G555" s="193"/>
      <c r="H555" s="77"/>
      <c r="I555" s="77"/>
      <c r="J555" s="277"/>
      <c r="K555" s="277"/>
      <c r="L555" s="277"/>
      <c r="M555" s="277"/>
      <c r="N555" s="277"/>
    </row>
    <row r="556" spans="2:14">
      <c r="B556" s="322" t="s">
        <v>210</v>
      </c>
      <c r="C556" s="389" t="s">
        <v>417</v>
      </c>
      <c r="D556" s="389"/>
      <c r="E556" s="323" t="s">
        <v>211</v>
      </c>
      <c r="F556" s="135"/>
      <c r="G556" s="196"/>
      <c r="H556" s="135"/>
      <c r="I556" s="135"/>
      <c r="J556" s="277"/>
      <c r="K556" s="277"/>
      <c r="L556" s="277"/>
      <c r="M556" s="277"/>
      <c r="N556" s="277"/>
    </row>
    <row r="557" spans="2:14" ht="15" customHeight="1" thickBot="1">
      <c r="B557" s="324">
        <f>+SUM(B558:B558)</f>
        <v>0</v>
      </c>
      <c r="C557" s="388">
        <v>46022</v>
      </c>
      <c r="D557" s="388"/>
      <c r="E557" s="325">
        <f>+SUM(E558:E558)</f>
        <v>0</v>
      </c>
      <c r="F557" s="136"/>
      <c r="G557" s="197"/>
      <c r="H557" s="136"/>
      <c r="I557" s="136"/>
      <c r="J557" s="277"/>
      <c r="K557" s="277"/>
      <c r="L557" s="277"/>
      <c r="M557" s="277"/>
      <c r="N557" s="277"/>
    </row>
    <row r="558" spans="2:14" ht="15.75" thickBot="1">
      <c r="B558" s="271"/>
      <c r="C558" s="270"/>
      <c r="D558" s="270"/>
      <c r="E558" s="271"/>
      <c r="F558" s="141">
        <v>65</v>
      </c>
      <c r="G558" s="194">
        <f>+C557</f>
        <v>46022</v>
      </c>
      <c r="H558" s="140" t="str">
        <f>+B559</f>
        <v>Determinación de Resultado Contable</v>
      </c>
      <c r="I558" s="156">
        <f>+D559</f>
        <v>0</v>
      </c>
      <c r="J558" s="283" t="s">
        <v>418</v>
      </c>
      <c r="K558" s="277"/>
      <c r="L558" s="277"/>
      <c r="M558" s="277"/>
      <c r="N558" s="277"/>
    </row>
    <row r="559" spans="2:14" ht="14.45" customHeight="1" thickBot="1">
      <c r="B559" s="386" t="s">
        <v>410</v>
      </c>
      <c r="C559" s="387"/>
      <c r="D559" s="386"/>
      <c r="E559" s="387"/>
      <c r="F559" s="141"/>
      <c r="G559" s="194"/>
      <c r="H559" s="140"/>
      <c r="I559" s="140"/>
      <c r="J559" s="277"/>
      <c r="K559" s="277"/>
      <c r="L559" s="277"/>
      <c r="M559" s="277"/>
      <c r="N559" s="277"/>
    </row>
    <row r="560" spans="2:14" ht="14.45" customHeight="1" thickBot="1">
      <c r="B560" s="382" t="str">
        <f>+IF(SUM(B558:B558)=SUM(E558:E558),"Asiento Cuadrado","Asiento Descuadrado")</f>
        <v>Asiento Cuadrado</v>
      </c>
      <c r="C560" s="383"/>
      <c r="D560" s="383"/>
      <c r="E560" s="191">
        <f>+SUM(B558:B558)-SUM(E558:E558)</f>
        <v>0</v>
      </c>
      <c r="F560" s="141"/>
      <c r="G560" s="194"/>
      <c r="H560" s="140"/>
      <c r="I560" s="140"/>
      <c r="J560" s="277"/>
      <c r="K560" s="277"/>
      <c r="L560" s="277"/>
      <c r="M560" s="277"/>
      <c r="N560" s="277"/>
    </row>
    <row r="561" spans="1:14" ht="15.75" thickBot="1">
      <c r="F561" s="77"/>
      <c r="G561" s="193"/>
      <c r="H561" s="77"/>
      <c r="I561" s="77"/>
      <c r="J561" s="277"/>
      <c r="K561" s="277"/>
      <c r="L561" s="277"/>
      <c r="M561" s="277"/>
      <c r="N561" s="277"/>
    </row>
    <row r="562" spans="1:14">
      <c r="B562" s="322" t="s">
        <v>210</v>
      </c>
      <c r="C562" s="389" t="s">
        <v>419</v>
      </c>
      <c r="D562" s="389"/>
      <c r="E562" s="323" t="s">
        <v>211</v>
      </c>
      <c r="F562" s="135"/>
      <c r="G562" s="196"/>
      <c r="H562" s="135"/>
      <c r="I562" s="135"/>
      <c r="J562" s="277"/>
      <c r="K562" s="277"/>
      <c r="L562" s="277"/>
      <c r="M562" s="277"/>
      <c r="N562" s="277"/>
    </row>
    <row r="563" spans="1:14" ht="15" customHeight="1">
      <c r="B563" s="324">
        <f>+SUM(B564:B586)</f>
        <v>0</v>
      </c>
      <c r="C563" s="388">
        <v>46022</v>
      </c>
      <c r="D563" s="388"/>
      <c r="E563" s="325">
        <f>+SUM(E564:E586)</f>
        <v>0</v>
      </c>
      <c r="F563" s="136"/>
      <c r="G563" s="197"/>
      <c r="H563" s="136"/>
      <c r="I563" s="136"/>
      <c r="J563" s="277" t="s">
        <v>420</v>
      </c>
      <c r="K563" s="277"/>
      <c r="L563" s="277"/>
      <c r="M563" s="277"/>
      <c r="N563" s="277"/>
    </row>
    <row r="564" spans="1:14" ht="14.25">
      <c r="A564" s="2"/>
      <c r="B564" s="271"/>
      <c r="C564" s="256"/>
      <c r="D564" s="256"/>
      <c r="E564" s="255"/>
      <c r="F564" s="141">
        <v>66</v>
      </c>
      <c r="G564" s="194">
        <f>+C563</f>
        <v>46022</v>
      </c>
      <c r="H564" s="140" t="str">
        <f>+B587</f>
        <v>Asiento de Cierre</v>
      </c>
      <c r="I564" s="156" t="str">
        <f>+D587</f>
        <v>Cierre de cuentas</v>
      </c>
      <c r="J564" s="277"/>
      <c r="K564" s="277"/>
      <c r="L564" s="277"/>
      <c r="M564" s="277"/>
      <c r="N564" s="277"/>
    </row>
    <row r="565" spans="1:14" ht="14.25">
      <c r="A565" s="2"/>
      <c r="B565" s="272"/>
      <c r="C565" s="258"/>
      <c r="D565" s="258"/>
      <c r="E565" s="257"/>
      <c r="F565" s="141">
        <f>+F564</f>
        <v>66</v>
      </c>
      <c r="G565" s="194">
        <f>+G564</f>
        <v>46022</v>
      </c>
      <c r="H565" s="140" t="str">
        <f>+H564</f>
        <v>Asiento de Cierre</v>
      </c>
      <c r="I565" s="156" t="str">
        <f>+I564</f>
        <v>Cierre de cuentas</v>
      </c>
      <c r="J565" s="277"/>
      <c r="K565" s="277"/>
      <c r="L565" s="277"/>
      <c r="M565" s="277"/>
      <c r="N565" s="277"/>
    </row>
    <row r="566" spans="1:14" ht="14.25">
      <c r="A566" s="2"/>
      <c r="B566" s="272"/>
      <c r="C566" s="268"/>
      <c r="D566" s="258"/>
      <c r="E566" s="257"/>
      <c r="F566" s="141">
        <f t="shared" ref="F566:F586" si="16">+F565</f>
        <v>66</v>
      </c>
      <c r="G566" s="194">
        <f t="shared" ref="G566:I586" si="17">+G565</f>
        <v>46022</v>
      </c>
      <c r="H566" s="140" t="str">
        <f t="shared" si="17"/>
        <v>Asiento de Cierre</v>
      </c>
      <c r="I566" s="156" t="str">
        <f t="shared" si="17"/>
        <v>Cierre de cuentas</v>
      </c>
      <c r="J566" s="277"/>
      <c r="K566" s="277"/>
      <c r="L566" s="277"/>
      <c r="M566" s="277"/>
      <c r="N566" s="277"/>
    </row>
    <row r="567" spans="1:14" ht="14.25">
      <c r="A567" s="2"/>
      <c r="B567" s="272"/>
      <c r="C567" s="258"/>
      <c r="D567" s="258"/>
      <c r="E567" s="257"/>
      <c r="F567" s="141">
        <f t="shared" si="16"/>
        <v>66</v>
      </c>
      <c r="G567" s="194">
        <f t="shared" si="17"/>
        <v>46022</v>
      </c>
      <c r="H567" s="140" t="str">
        <f t="shared" si="17"/>
        <v>Asiento de Cierre</v>
      </c>
      <c r="I567" s="156" t="str">
        <f t="shared" si="17"/>
        <v>Cierre de cuentas</v>
      </c>
      <c r="J567" s="277"/>
      <c r="K567" s="277"/>
      <c r="L567" s="277"/>
      <c r="M567" s="277"/>
      <c r="N567" s="277"/>
    </row>
    <row r="568" spans="1:14" ht="14.25">
      <c r="A568" s="2"/>
      <c r="B568" s="272"/>
      <c r="C568" s="258"/>
      <c r="D568" s="258"/>
      <c r="E568" s="257"/>
      <c r="F568" s="141">
        <f t="shared" si="16"/>
        <v>66</v>
      </c>
      <c r="G568" s="194">
        <f t="shared" si="17"/>
        <v>46022</v>
      </c>
      <c r="H568" s="140" t="str">
        <f t="shared" si="17"/>
        <v>Asiento de Cierre</v>
      </c>
      <c r="I568" s="156" t="str">
        <f t="shared" si="17"/>
        <v>Cierre de cuentas</v>
      </c>
      <c r="J568" s="277"/>
      <c r="K568" s="277"/>
      <c r="L568" s="277"/>
      <c r="M568" s="277"/>
      <c r="N568" s="277"/>
    </row>
    <row r="569" spans="1:14" ht="14.25">
      <c r="A569" s="2"/>
      <c r="B569" s="272"/>
      <c r="C569" s="258"/>
      <c r="D569" s="258"/>
      <c r="E569" s="257"/>
      <c r="F569" s="141">
        <f t="shared" si="16"/>
        <v>66</v>
      </c>
      <c r="G569" s="194">
        <f t="shared" si="17"/>
        <v>46022</v>
      </c>
      <c r="H569" s="140" t="str">
        <f t="shared" si="17"/>
        <v>Asiento de Cierre</v>
      </c>
      <c r="I569" s="156" t="str">
        <f t="shared" si="17"/>
        <v>Cierre de cuentas</v>
      </c>
      <c r="J569" s="277"/>
      <c r="K569" s="277"/>
      <c r="L569" s="277"/>
      <c r="M569" s="277"/>
      <c r="N569" s="277"/>
    </row>
    <row r="570" spans="1:14" ht="14.25">
      <c r="A570" s="2"/>
      <c r="B570" s="272"/>
      <c r="C570" s="258"/>
      <c r="D570" s="258"/>
      <c r="E570" s="257"/>
      <c r="F570" s="141">
        <f t="shared" si="16"/>
        <v>66</v>
      </c>
      <c r="G570" s="194">
        <f t="shared" si="17"/>
        <v>46022</v>
      </c>
      <c r="H570" s="140" t="str">
        <f t="shared" si="17"/>
        <v>Asiento de Cierre</v>
      </c>
      <c r="I570" s="156" t="str">
        <f t="shared" si="17"/>
        <v>Cierre de cuentas</v>
      </c>
      <c r="J570" s="277"/>
      <c r="K570" s="277"/>
      <c r="L570" s="277"/>
      <c r="M570" s="277"/>
      <c r="N570" s="277"/>
    </row>
    <row r="571" spans="1:14" ht="14.25">
      <c r="A571" s="2"/>
      <c r="B571" s="272"/>
      <c r="C571" s="258"/>
      <c r="D571" s="258"/>
      <c r="E571" s="257"/>
      <c r="F571" s="141">
        <f t="shared" si="16"/>
        <v>66</v>
      </c>
      <c r="G571" s="194">
        <f t="shared" si="17"/>
        <v>46022</v>
      </c>
      <c r="H571" s="140" t="str">
        <f t="shared" si="17"/>
        <v>Asiento de Cierre</v>
      </c>
      <c r="I571" s="156" t="str">
        <f t="shared" si="17"/>
        <v>Cierre de cuentas</v>
      </c>
      <c r="J571" s="277"/>
      <c r="K571" s="277"/>
      <c r="L571" s="277"/>
      <c r="M571" s="277"/>
      <c r="N571" s="277"/>
    </row>
    <row r="572" spans="1:14" ht="14.25">
      <c r="A572" s="2"/>
      <c r="B572" s="272"/>
      <c r="C572" s="258"/>
      <c r="D572" s="258"/>
      <c r="E572" s="257"/>
      <c r="F572" s="141">
        <f t="shared" si="16"/>
        <v>66</v>
      </c>
      <c r="G572" s="194">
        <f t="shared" si="17"/>
        <v>46022</v>
      </c>
      <c r="H572" s="140" t="str">
        <f t="shared" si="17"/>
        <v>Asiento de Cierre</v>
      </c>
      <c r="I572" s="156" t="str">
        <f t="shared" si="17"/>
        <v>Cierre de cuentas</v>
      </c>
      <c r="J572" s="277"/>
      <c r="K572" s="277"/>
      <c r="L572" s="277"/>
      <c r="M572" s="277"/>
      <c r="N572" s="277"/>
    </row>
    <row r="573" spans="1:14" ht="14.25">
      <c r="A573" s="2"/>
      <c r="B573" s="272"/>
      <c r="C573" s="258"/>
      <c r="D573" s="258"/>
      <c r="E573" s="257"/>
      <c r="F573" s="141">
        <f t="shared" si="16"/>
        <v>66</v>
      </c>
      <c r="G573" s="194">
        <f t="shared" si="17"/>
        <v>46022</v>
      </c>
      <c r="H573" s="140" t="str">
        <f t="shared" si="17"/>
        <v>Asiento de Cierre</v>
      </c>
      <c r="I573" s="156" t="str">
        <f t="shared" si="17"/>
        <v>Cierre de cuentas</v>
      </c>
      <c r="J573" s="277"/>
      <c r="K573" s="277"/>
      <c r="L573" s="277"/>
      <c r="M573" s="277"/>
      <c r="N573" s="277"/>
    </row>
    <row r="574" spans="1:14" ht="14.25">
      <c r="A574" s="2"/>
      <c r="B574" s="272"/>
      <c r="C574" s="258"/>
      <c r="D574" s="258"/>
      <c r="E574" s="257"/>
      <c r="F574" s="141">
        <f t="shared" si="16"/>
        <v>66</v>
      </c>
      <c r="G574" s="194">
        <f t="shared" si="17"/>
        <v>46022</v>
      </c>
      <c r="H574" s="140" t="str">
        <f t="shared" si="17"/>
        <v>Asiento de Cierre</v>
      </c>
      <c r="I574" s="156" t="str">
        <f t="shared" si="17"/>
        <v>Cierre de cuentas</v>
      </c>
      <c r="J574" s="277"/>
      <c r="K574" s="277"/>
      <c r="L574" s="277"/>
      <c r="M574" s="277"/>
      <c r="N574" s="277"/>
    </row>
    <row r="575" spans="1:14" ht="14.25">
      <c r="A575" s="2"/>
      <c r="B575" s="272"/>
      <c r="C575" s="258"/>
      <c r="D575" s="258"/>
      <c r="E575" s="257"/>
      <c r="F575" s="141">
        <f t="shared" si="16"/>
        <v>66</v>
      </c>
      <c r="G575" s="194">
        <f t="shared" si="17"/>
        <v>46022</v>
      </c>
      <c r="H575" s="140" t="str">
        <f t="shared" si="17"/>
        <v>Asiento de Cierre</v>
      </c>
      <c r="I575" s="156" t="str">
        <f t="shared" si="17"/>
        <v>Cierre de cuentas</v>
      </c>
      <c r="J575" s="277"/>
      <c r="K575" s="277"/>
      <c r="L575" s="277"/>
      <c r="M575" s="277"/>
      <c r="N575" s="277"/>
    </row>
    <row r="576" spans="1:14" ht="14.25">
      <c r="A576" s="2"/>
      <c r="B576" s="272"/>
      <c r="C576" s="258"/>
      <c r="D576" s="258"/>
      <c r="E576" s="257"/>
      <c r="F576" s="141">
        <f t="shared" si="16"/>
        <v>66</v>
      </c>
      <c r="G576" s="194">
        <f t="shared" si="17"/>
        <v>46022</v>
      </c>
      <c r="H576" s="140" t="str">
        <f t="shared" si="17"/>
        <v>Asiento de Cierre</v>
      </c>
      <c r="I576" s="156" t="str">
        <f t="shared" si="17"/>
        <v>Cierre de cuentas</v>
      </c>
      <c r="J576" s="277"/>
      <c r="K576" s="277"/>
      <c r="L576" s="277"/>
      <c r="M576" s="277"/>
      <c r="N576" s="277"/>
    </row>
    <row r="577" spans="1:14" ht="14.25">
      <c r="A577" s="2"/>
      <c r="B577" s="257"/>
      <c r="C577" s="258"/>
      <c r="D577" s="258"/>
      <c r="E577" s="257"/>
      <c r="F577" s="141">
        <f t="shared" si="16"/>
        <v>66</v>
      </c>
      <c r="G577" s="194">
        <f t="shared" si="17"/>
        <v>46022</v>
      </c>
      <c r="H577" s="140" t="str">
        <f t="shared" si="17"/>
        <v>Asiento de Cierre</v>
      </c>
      <c r="I577" s="156" t="str">
        <f t="shared" si="17"/>
        <v>Cierre de cuentas</v>
      </c>
      <c r="J577" s="277"/>
      <c r="K577" s="277"/>
      <c r="L577" s="277"/>
      <c r="M577" s="277"/>
      <c r="N577" s="277"/>
    </row>
    <row r="578" spans="1:14" ht="14.25">
      <c r="A578" s="2"/>
      <c r="B578" s="257"/>
      <c r="C578" s="258"/>
      <c r="D578" s="258"/>
      <c r="E578" s="257"/>
      <c r="F578" s="141">
        <f t="shared" si="16"/>
        <v>66</v>
      </c>
      <c r="G578" s="194">
        <f t="shared" si="17"/>
        <v>46022</v>
      </c>
      <c r="H578" s="140" t="str">
        <f t="shared" si="17"/>
        <v>Asiento de Cierre</v>
      </c>
      <c r="I578" s="156" t="str">
        <f t="shared" si="17"/>
        <v>Cierre de cuentas</v>
      </c>
      <c r="J578" s="277"/>
      <c r="K578" s="277"/>
      <c r="L578" s="277"/>
      <c r="M578" s="277"/>
      <c r="N578" s="277"/>
    </row>
    <row r="579" spans="1:14" ht="14.25">
      <c r="A579" s="2"/>
      <c r="B579" s="257"/>
      <c r="C579" s="258"/>
      <c r="D579" s="258"/>
      <c r="E579" s="257"/>
      <c r="F579" s="141">
        <f t="shared" si="16"/>
        <v>66</v>
      </c>
      <c r="G579" s="194">
        <f t="shared" si="17"/>
        <v>46022</v>
      </c>
      <c r="H579" s="140" t="str">
        <f t="shared" si="17"/>
        <v>Asiento de Cierre</v>
      </c>
      <c r="I579" s="156" t="str">
        <f t="shared" si="17"/>
        <v>Cierre de cuentas</v>
      </c>
      <c r="J579" s="277"/>
      <c r="K579" s="277"/>
      <c r="L579" s="277"/>
      <c r="M579" s="277"/>
      <c r="N579" s="277"/>
    </row>
    <row r="580" spans="1:14" ht="14.25">
      <c r="A580" s="2"/>
      <c r="B580" s="257"/>
      <c r="C580" s="258"/>
      <c r="D580" s="258"/>
      <c r="E580" s="257"/>
      <c r="F580" s="141">
        <f t="shared" si="16"/>
        <v>66</v>
      </c>
      <c r="G580" s="194">
        <f t="shared" si="17"/>
        <v>46022</v>
      </c>
      <c r="H580" s="140" t="str">
        <f t="shared" si="17"/>
        <v>Asiento de Cierre</v>
      </c>
      <c r="I580" s="156" t="str">
        <f t="shared" si="17"/>
        <v>Cierre de cuentas</v>
      </c>
      <c r="J580" s="277"/>
      <c r="K580" s="277"/>
      <c r="L580" s="277"/>
      <c r="M580" s="277"/>
      <c r="N580" s="277"/>
    </row>
    <row r="581" spans="1:14" ht="14.25">
      <c r="A581" s="2"/>
      <c r="B581" s="257"/>
      <c r="C581" s="258"/>
      <c r="D581" s="258"/>
      <c r="E581" s="257"/>
      <c r="F581" s="141">
        <f t="shared" si="16"/>
        <v>66</v>
      </c>
      <c r="G581" s="194">
        <f t="shared" si="17"/>
        <v>46022</v>
      </c>
      <c r="H581" s="140" t="str">
        <f t="shared" si="17"/>
        <v>Asiento de Cierre</v>
      </c>
      <c r="I581" s="156" t="str">
        <f t="shared" si="17"/>
        <v>Cierre de cuentas</v>
      </c>
      <c r="J581" s="277"/>
      <c r="K581" s="277"/>
      <c r="L581" s="277"/>
      <c r="M581" s="277"/>
      <c r="N581" s="277"/>
    </row>
    <row r="582" spans="1:14" ht="14.25">
      <c r="A582" s="2"/>
      <c r="B582" s="257"/>
      <c r="C582" s="258"/>
      <c r="D582" s="258"/>
      <c r="E582" s="257"/>
      <c r="F582" s="141">
        <f t="shared" si="16"/>
        <v>66</v>
      </c>
      <c r="G582" s="194">
        <f t="shared" si="17"/>
        <v>46022</v>
      </c>
      <c r="H582" s="140" t="str">
        <f t="shared" si="17"/>
        <v>Asiento de Cierre</v>
      </c>
      <c r="I582" s="156" t="str">
        <f t="shared" si="17"/>
        <v>Cierre de cuentas</v>
      </c>
      <c r="J582" s="277"/>
      <c r="K582" s="277"/>
      <c r="L582" s="277"/>
      <c r="M582" s="277"/>
      <c r="N582" s="277"/>
    </row>
    <row r="583" spans="1:14" ht="14.25">
      <c r="A583" s="2"/>
      <c r="B583" s="257"/>
      <c r="C583" s="258"/>
      <c r="D583" s="258"/>
      <c r="E583" s="257"/>
      <c r="F583" s="141">
        <f t="shared" si="16"/>
        <v>66</v>
      </c>
      <c r="G583" s="194">
        <f t="shared" si="17"/>
        <v>46022</v>
      </c>
      <c r="H583" s="140" t="str">
        <f t="shared" si="17"/>
        <v>Asiento de Cierre</v>
      </c>
      <c r="I583" s="156" t="str">
        <f t="shared" si="17"/>
        <v>Cierre de cuentas</v>
      </c>
      <c r="J583" s="277"/>
      <c r="K583" s="277"/>
      <c r="L583" s="277"/>
      <c r="M583" s="277"/>
      <c r="N583" s="277"/>
    </row>
    <row r="584" spans="1:14" ht="14.25">
      <c r="A584" s="2"/>
      <c r="B584" s="257"/>
      <c r="C584" s="258"/>
      <c r="D584" s="258"/>
      <c r="E584" s="257"/>
      <c r="F584" s="141">
        <f t="shared" si="16"/>
        <v>66</v>
      </c>
      <c r="G584" s="194">
        <f t="shared" si="17"/>
        <v>46022</v>
      </c>
      <c r="H584" s="140" t="str">
        <f t="shared" si="17"/>
        <v>Asiento de Cierre</v>
      </c>
      <c r="I584" s="156" t="str">
        <f t="shared" si="17"/>
        <v>Cierre de cuentas</v>
      </c>
      <c r="J584" s="277"/>
      <c r="K584" s="277"/>
      <c r="L584" s="277"/>
      <c r="M584" s="277"/>
      <c r="N584" s="277"/>
    </row>
    <row r="585" spans="1:14" ht="14.25">
      <c r="A585" s="2"/>
      <c r="B585" s="257"/>
      <c r="C585" s="258"/>
      <c r="D585" s="258"/>
      <c r="E585" s="257"/>
      <c r="F585" s="141">
        <f t="shared" si="16"/>
        <v>66</v>
      </c>
      <c r="G585" s="194">
        <f t="shared" si="17"/>
        <v>46022</v>
      </c>
      <c r="H585" s="140" t="str">
        <f t="shared" si="17"/>
        <v>Asiento de Cierre</v>
      </c>
      <c r="I585" s="156" t="str">
        <f t="shared" si="17"/>
        <v>Cierre de cuentas</v>
      </c>
      <c r="J585" s="277"/>
      <c r="K585" s="277"/>
      <c r="L585" s="277"/>
      <c r="M585" s="277"/>
      <c r="N585" s="277"/>
    </row>
    <row r="586" spans="1:14" ht="14.25">
      <c r="A586" s="2"/>
      <c r="B586" s="257"/>
      <c r="C586" s="258"/>
      <c r="D586" s="258"/>
      <c r="E586" s="257"/>
      <c r="F586" s="141">
        <f t="shared" si="16"/>
        <v>66</v>
      </c>
      <c r="G586" s="194">
        <f t="shared" si="17"/>
        <v>46022</v>
      </c>
      <c r="H586" s="140" t="str">
        <f t="shared" si="17"/>
        <v>Asiento de Cierre</v>
      </c>
      <c r="I586" s="156" t="str">
        <f t="shared" si="17"/>
        <v>Cierre de cuentas</v>
      </c>
      <c r="J586" s="277"/>
      <c r="K586" s="277"/>
      <c r="L586" s="277"/>
      <c r="M586" s="277"/>
      <c r="N586" s="277"/>
    </row>
    <row r="587" spans="1:14" ht="14.45" customHeight="1">
      <c r="A587" s="2"/>
      <c r="B587" s="386" t="s">
        <v>421</v>
      </c>
      <c r="C587" s="387"/>
      <c r="D587" s="386" t="s">
        <v>422</v>
      </c>
      <c r="E587" s="387"/>
      <c r="F587" s="141"/>
      <c r="G587" s="194"/>
      <c r="H587" s="140"/>
      <c r="I587" s="140"/>
      <c r="J587" s="277"/>
      <c r="K587" s="277"/>
      <c r="L587" s="277"/>
      <c r="M587" s="277"/>
      <c r="N587" s="277"/>
    </row>
    <row r="588" spans="1:14" ht="14.45" customHeight="1" thickBot="1">
      <c r="A588" s="2"/>
      <c r="B588" s="382" t="str">
        <f>+IF(SUM(B564:B586)=SUM(E564:E586),"Asiento Cuadrado","Asiento Descuadrado")</f>
        <v>Asiento Cuadrado</v>
      </c>
      <c r="C588" s="383"/>
      <c r="D588" s="383"/>
      <c r="E588" s="191">
        <f>+SUM(B564:B586)-SUM(E564:E586)</f>
        <v>0</v>
      </c>
      <c r="F588" s="137"/>
      <c r="G588" s="198"/>
      <c r="H588" s="137"/>
      <c r="I588" s="137"/>
      <c r="J588" s="277"/>
      <c r="K588" s="277"/>
      <c r="L588" s="277"/>
      <c r="M588" s="277"/>
      <c r="N588" s="277"/>
    </row>
    <row r="589" spans="1:14" ht="14.25">
      <c r="A589" s="2"/>
      <c r="B589" s="79"/>
      <c r="C589" s="45"/>
      <c r="D589" s="45"/>
      <c r="E589" s="79"/>
      <c r="F589" s="137"/>
      <c r="G589" s="198"/>
      <c r="H589" s="137"/>
      <c r="I589" s="137"/>
      <c r="J589" s="1"/>
    </row>
    <row r="590" spans="1:14" hidden="1" outlineLevel="1">
      <c r="A590" s="2"/>
      <c r="B590" s="170" t="s">
        <v>210</v>
      </c>
      <c r="C590" s="384" t="s">
        <v>423</v>
      </c>
      <c r="D590" s="384"/>
      <c r="E590" s="172" t="s">
        <v>211</v>
      </c>
      <c r="F590" s="135"/>
      <c r="G590" s="196"/>
      <c r="H590" s="135"/>
      <c r="I590" s="135"/>
      <c r="J590" s="1"/>
    </row>
    <row r="591" spans="1:14" ht="15.75" hidden="1" outlineLevel="1" thickBot="1">
      <c r="A591" s="2"/>
      <c r="B591" s="238">
        <f>+SUM(B592:B593)</f>
        <v>0</v>
      </c>
      <c r="C591" s="385"/>
      <c r="D591" s="385"/>
      <c r="E591" s="239">
        <f>+SUM(E592:E593)</f>
        <v>0</v>
      </c>
      <c r="F591" s="136"/>
      <c r="G591" s="197"/>
      <c r="H591" s="136"/>
      <c r="I591" s="136"/>
      <c r="J591" s="1"/>
    </row>
    <row r="592" spans="1:14" ht="14.25" hidden="1" outlineLevel="1">
      <c r="A592" s="2"/>
      <c r="B592" s="271"/>
      <c r="C592" s="270"/>
      <c r="D592" s="270"/>
      <c r="E592" s="271"/>
      <c r="F592" s="141">
        <v>67</v>
      </c>
      <c r="G592" s="194">
        <f>+C591</f>
        <v>0</v>
      </c>
      <c r="H592" s="140" t="str">
        <f>+B594</f>
        <v>Operaciones del Ejercicio</v>
      </c>
      <c r="I592" s="156">
        <f>+D594</f>
        <v>0</v>
      </c>
      <c r="J592" s="1"/>
    </row>
    <row r="593" spans="1:10" hidden="1" outlineLevel="1" thickBot="1">
      <c r="A593" s="2"/>
      <c r="B593" s="275"/>
      <c r="C593" s="275"/>
      <c r="D593" s="268"/>
      <c r="E593" s="272"/>
      <c r="F593" s="141">
        <f>+F592</f>
        <v>67</v>
      </c>
      <c r="G593" s="194">
        <f>+G592</f>
        <v>0</v>
      </c>
      <c r="H593" s="140" t="str">
        <f>+H592</f>
        <v>Operaciones del Ejercicio</v>
      </c>
      <c r="I593" s="156">
        <f>+I592</f>
        <v>0</v>
      </c>
      <c r="J593" s="1"/>
    </row>
    <row r="594" spans="1:10" ht="15.75" hidden="1" outlineLevel="1" thickBot="1">
      <c r="A594" s="2"/>
      <c r="B594" s="386" t="s">
        <v>264</v>
      </c>
      <c r="C594" s="387"/>
      <c r="D594" s="386"/>
      <c r="E594" s="387"/>
      <c r="F594" s="141"/>
      <c r="G594" s="194"/>
      <c r="H594" s="140"/>
      <c r="I594" s="140"/>
      <c r="J594" s="1"/>
    </row>
    <row r="595" spans="1:10" hidden="1" outlineLevel="1" thickBot="1">
      <c r="A595" s="2"/>
      <c r="B595" s="382" t="str">
        <f>+IF(SUM(B592:B593)=SUM(E592:E593),"Asiento Cuadrado","Asiento Descuadrado")</f>
        <v>Asiento Cuadrado</v>
      </c>
      <c r="C595" s="383"/>
      <c r="D595" s="383"/>
      <c r="E595" s="191">
        <f>+SUM(B592:B593)-SUM(E592:E593)</f>
        <v>0</v>
      </c>
      <c r="F595" s="141"/>
      <c r="G595" s="194"/>
      <c r="H595" s="140"/>
      <c r="I595" s="140"/>
      <c r="J595" s="1"/>
    </row>
    <row r="596" spans="1:10" hidden="1" outlineLevel="1" thickBot="1">
      <c r="A596" s="2"/>
      <c r="B596" s="79"/>
      <c r="C596" s="45"/>
      <c r="D596" s="45"/>
      <c r="E596" s="79"/>
      <c r="F596" s="137"/>
      <c r="G596" s="198"/>
      <c r="H596" s="137"/>
      <c r="I596" s="137"/>
      <c r="J596" s="1"/>
    </row>
    <row r="597" spans="1:10" hidden="1" outlineLevel="1">
      <c r="A597" s="2"/>
      <c r="B597" s="170" t="s">
        <v>210</v>
      </c>
      <c r="C597" s="384" t="s">
        <v>423</v>
      </c>
      <c r="D597" s="384"/>
      <c r="E597" s="172" t="s">
        <v>211</v>
      </c>
      <c r="F597" s="135"/>
      <c r="G597" s="196"/>
      <c r="H597" s="135"/>
      <c r="I597" s="135"/>
      <c r="J597" s="1"/>
    </row>
    <row r="598" spans="1:10" ht="15.75" hidden="1" outlineLevel="1" thickBot="1">
      <c r="A598" s="2"/>
      <c r="B598" s="238">
        <f>+SUM(B599:B600)</f>
        <v>0</v>
      </c>
      <c r="C598" s="385"/>
      <c r="D598" s="385"/>
      <c r="E598" s="239">
        <f>+SUM(E599:E600)</f>
        <v>0</v>
      </c>
      <c r="F598" s="136"/>
      <c r="G598" s="197"/>
      <c r="H598" s="136"/>
      <c r="I598" s="136"/>
      <c r="J598" s="1"/>
    </row>
    <row r="599" spans="1:10" ht="14.25" hidden="1" outlineLevel="1">
      <c r="A599" s="2"/>
      <c r="B599" s="271"/>
      <c r="C599" s="270"/>
      <c r="D599" s="270"/>
      <c r="E599" s="271"/>
      <c r="F599" s="141">
        <v>68</v>
      </c>
      <c r="G599" s="194">
        <f>+C598</f>
        <v>0</v>
      </c>
      <c r="H599" s="140" t="str">
        <f>+B601</f>
        <v>Ajuste por Periodificación</v>
      </c>
      <c r="I599" s="156">
        <f>+D601</f>
        <v>0</v>
      </c>
      <c r="J599" s="1"/>
    </row>
    <row r="600" spans="1:10" hidden="1" outlineLevel="1" thickBot="1">
      <c r="A600" s="2"/>
      <c r="B600" s="275"/>
      <c r="C600" s="275"/>
      <c r="D600" s="268"/>
      <c r="E600" s="272"/>
      <c r="F600" s="141">
        <f>+F599</f>
        <v>68</v>
      </c>
      <c r="G600" s="194">
        <f>+G599</f>
        <v>0</v>
      </c>
      <c r="H600" s="140" t="str">
        <f>+H599</f>
        <v>Ajuste por Periodificación</v>
      </c>
      <c r="I600" s="156">
        <f>+I599</f>
        <v>0</v>
      </c>
      <c r="J600" s="1"/>
    </row>
    <row r="601" spans="1:10" ht="15.75" hidden="1" outlineLevel="1" thickBot="1">
      <c r="A601" s="2"/>
      <c r="B601" s="386" t="s">
        <v>362</v>
      </c>
      <c r="C601" s="387"/>
      <c r="D601" s="386"/>
      <c r="E601" s="387"/>
      <c r="F601" s="141"/>
      <c r="G601" s="194"/>
      <c r="H601" s="140"/>
      <c r="I601" s="140"/>
      <c r="J601" s="1"/>
    </row>
    <row r="602" spans="1:10" hidden="1" outlineLevel="1" thickBot="1">
      <c r="A602" s="2"/>
      <c r="B602" s="382" t="str">
        <f>+IF(SUM(B599:B600)=SUM(E599:E600),"Asiento Cuadrado","Asiento Descuadrado")</f>
        <v>Asiento Cuadrado</v>
      </c>
      <c r="C602" s="383"/>
      <c r="D602" s="383"/>
      <c r="E602" s="191">
        <f>+SUM(B599:B600)-SUM(E599:E600)</f>
        <v>0</v>
      </c>
      <c r="F602" s="141"/>
      <c r="G602" s="194"/>
      <c r="H602" s="140"/>
      <c r="I602" s="140"/>
      <c r="J602" s="1"/>
    </row>
    <row r="603" spans="1:10" hidden="1" outlineLevel="1" thickBot="1">
      <c r="A603" s="2"/>
      <c r="B603" s="79"/>
      <c r="C603" s="45"/>
      <c r="D603" s="45"/>
      <c r="E603" s="79"/>
      <c r="F603" s="137"/>
      <c r="G603" s="198"/>
      <c r="H603" s="137"/>
      <c r="I603" s="137"/>
      <c r="J603" s="1"/>
    </row>
    <row r="604" spans="1:10" hidden="1" outlineLevel="1">
      <c r="A604" s="2"/>
      <c r="B604" s="170" t="s">
        <v>210</v>
      </c>
      <c r="C604" s="384" t="s">
        <v>423</v>
      </c>
      <c r="D604" s="384"/>
      <c r="E604" s="172" t="s">
        <v>211</v>
      </c>
      <c r="F604" s="135"/>
      <c r="G604" s="196"/>
      <c r="H604" s="135"/>
      <c r="I604" s="135"/>
      <c r="J604" s="1"/>
    </row>
    <row r="605" spans="1:10" ht="15.75" hidden="1" outlineLevel="1" thickBot="1">
      <c r="A605" s="2"/>
      <c r="B605" s="238">
        <f>+SUM(B606:B607)</f>
        <v>0</v>
      </c>
      <c r="C605" s="385"/>
      <c r="D605" s="385"/>
      <c r="E605" s="239">
        <f>+SUM(E606:E607)</f>
        <v>0</v>
      </c>
      <c r="F605" s="136"/>
      <c r="G605" s="197"/>
      <c r="H605" s="136"/>
      <c r="I605" s="136"/>
      <c r="J605" s="1"/>
    </row>
    <row r="606" spans="1:10" ht="14.25" hidden="1" outlineLevel="1">
      <c r="A606" s="2"/>
      <c r="B606" s="271"/>
      <c r="C606" s="270"/>
      <c r="D606" s="270"/>
      <c r="E606" s="271"/>
      <c r="F606" s="141">
        <v>69</v>
      </c>
      <c r="G606" s="194">
        <f>+C605</f>
        <v>0</v>
      </c>
      <c r="H606" s="140" t="str">
        <f>+B608</f>
        <v>Ajuste por Reclasificación</v>
      </c>
      <c r="I606" s="156">
        <f>+D608</f>
        <v>0</v>
      </c>
      <c r="J606" s="1"/>
    </row>
    <row r="607" spans="1:10" hidden="1" outlineLevel="1" thickBot="1">
      <c r="A607" s="2"/>
      <c r="B607" s="275"/>
      <c r="C607" s="275"/>
      <c r="D607" s="268"/>
      <c r="E607" s="272"/>
      <c r="F607" s="141">
        <f>+F606</f>
        <v>69</v>
      </c>
      <c r="G607" s="194">
        <f>+G606</f>
        <v>0</v>
      </c>
      <c r="H607" s="140" t="str">
        <f>+H606</f>
        <v>Ajuste por Reclasificación</v>
      </c>
      <c r="I607" s="156">
        <f>+I606</f>
        <v>0</v>
      </c>
      <c r="J607" s="1"/>
    </row>
    <row r="608" spans="1:10" ht="15" hidden="1" customHeight="1" outlineLevel="1" thickBot="1">
      <c r="B608" s="386" t="s">
        <v>369</v>
      </c>
      <c r="C608" s="387"/>
      <c r="D608" s="386"/>
      <c r="E608" s="387"/>
      <c r="F608" s="141"/>
      <c r="G608" s="194"/>
      <c r="H608" s="140"/>
      <c r="I608" s="140"/>
      <c r="J608" s="1"/>
    </row>
    <row r="609" spans="2:10" ht="15" hidden="1" customHeight="1" outlineLevel="1" thickBot="1">
      <c r="B609" s="382" t="str">
        <f>+IF(SUM(B606:B607)=SUM(E606:E607),"Asiento Cuadrado","Asiento Descuadrado")</f>
        <v>Asiento Cuadrado</v>
      </c>
      <c r="C609" s="383"/>
      <c r="D609" s="383"/>
      <c r="E609" s="191">
        <f>+SUM(B606:B607)-SUM(E606:E607)</f>
        <v>0</v>
      </c>
      <c r="F609" s="141"/>
      <c r="G609" s="194"/>
      <c r="H609" s="140"/>
      <c r="I609" s="140"/>
      <c r="J609" s="1"/>
    </row>
    <row r="610" spans="2:10" ht="15" hidden="1" customHeight="1" outlineLevel="1" thickBot="1">
      <c r="J610" s="1"/>
    </row>
    <row r="611" spans="2:10" ht="15" hidden="1" customHeight="1" outlineLevel="1">
      <c r="B611" s="170" t="s">
        <v>210</v>
      </c>
      <c r="C611" s="384" t="s">
        <v>423</v>
      </c>
      <c r="D611" s="384"/>
      <c r="E611" s="172" t="s">
        <v>211</v>
      </c>
      <c r="F611" s="135"/>
      <c r="G611" s="196"/>
      <c r="H611" s="135"/>
      <c r="I611" s="135"/>
      <c r="J611" s="1"/>
    </row>
    <row r="612" spans="2:10" ht="15" hidden="1" customHeight="1" outlineLevel="1" thickBot="1">
      <c r="B612" s="238">
        <f>+SUM(B613:B614)</f>
        <v>0</v>
      </c>
      <c r="C612" s="385"/>
      <c r="D612" s="385"/>
      <c r="E612" s="239">
        <f>+SUM(E613:E614)</f>
        <v>0</v>
      </c>
      <c r="F612" s="136"/>
      <c r="G612" s="197"/>
      <c r="H612" s="136"/>
      <c r="I612" s="136"/>
      <c r="J612" s="1"/>
    </row>
    <row r="613" spans="2:10" ht="15" hidden="1" customHeight="1" outlineLevel="1">
      <c r="B613" s="271"/>
      <c r="C613" s="270"/>
      <c r="D613" s="270"/>
      <c r="E613" s="271"/>
      <c r="F613" s="141">
        <v>70</v>
      </c>
      <c r="G613" s="194">
        <f>+C612</f>
        <v>0</v>
      </c>
      <c r="H613" s="140" t="str">
        <f>+B615</f>
        <v>Regularización de Existencias</v>
      </c>
      <c r="I613" s="156">
        <f>+D615</f>
        <v>0</v>
      </c>
      <c r="J613" s="1"/>
    </row>
    <row r="614" spans="2:10" ht="15" hidden="1" customHeight="1" outlineLevel="1" thickBot="1">
      <c r="B614" s="275"/>
      <c r="C614" s="275"/>
      <c r="D614" s="268"/>
      <c r="E614" s="272"/>
      <c r="F614" s="141">
        <f>+F613</f>
        <v>70</v>
      </c>
      <c r="G614" s="194">
        <f>+G613</f>
        <v>0</v>
      </c>
      <c r="H614" s="140" t="str">
        <f>+H613</f>
        <v>Regularización de Existencias</v>
      </c>
      <c r="I614" s="156">
        <f>+I613</f>
        <v>0</v>
      </c>
      <c r="J614" s="1"/>
    </row>
    <row r="615" spans="2:10" ht="15" hidden="1" customHeight="1" outlineLevel="1" thickBot="1">
      <c r="B615" s="386" t="s">
        <v>393</v>
      </c>
      <c r="C615" s="387"/>
      <c r="D615" s="386"/>
      <c r="E615" s="387"/>
      <c r="F615" s="141"/>
      <c r="G615" s="194"/>
      <c r="H615" s="140"/>
      <c r="I615" s="140"/>
      <c r="J615" s="1"/>
    </row>
    <row r="616" spans="2:10" ht="15" hidden="1" customHeight="1" outlineLevel="1" thickBot="1">
      <c r="B616" s="382" t="str">
        <f>+IF(SUM(B613:B614)=SUM(E613:E614),"Asiento Cuadrado","Asiento Descuadrado")</f>
        <v>Asiento Cuadrado</v>
      </c>
      <c r="C616" s="383"/>
      <c r="D616" s="383"/>
      <c r="E616" s="191">
        <f>+SUM(B613:B614)-SUM(E613:E614)</f>
        <v>0</v>
      </c>
      <c r="F616" s="141"/>
      <c r="G616" s="194"/>
      <c r="H616" s="140"/>
      <c r="I616" s="140"/>
      <c r="J616" s="1"/>
    </row>
    <row r="617" spans="2:10" ht="15" hidden="1" customHeight="1" outlineLevel="1" thickBot="1">
      <c r="J617" s="1"/>
    </row>
    <row r="618" spans="2:10" ht="15" hidden="1" customHeight="1" outlineLevel="1">
      <c r="B618" s="170" t="s">
        <v>210</v>
      </c>
      <c r="C618" s="384" t="s">
        <v>423</v>
      </c>
      <c r="D618" s="384"/>
      <c r="E618" s="172" t="s">
        <v>211</v>
      </c>
      <c r="F618" s="135"/>
      <c r="G618" s="196"/>
      <c r="H618" s="135"/>
      <c r="I618" s="135"/>
      <c r="J618" s="1"/>
    </row>
    <row r="619" spans="2:10" ht="15" hidden="1" customHeight="1" outlineLevel="1" thickBot="1">
      <c r="B619" s="238">
        <f>+SUM(B620:B621)</f>
        <v>0</v>
      </c>
      <c r="C619" s="385"/>
      <c r="D619" s="385"/>
      <c r="E619" s="239">
        <f>+SUM(E620:E621)</f>
        <v>0</v>
      </c>
      <c r="F619" s="136"/>
      <c r="G619" s="197"/>
      <c r="H619" s="136"/>
      <c r="I619" s="136"/>
      <c r="J619" s="1"/>
    </row>
    <row r="620" spans="2:10" ht="15" hidden="1" customHeight="1" outlineLevel="1">
      <c r="B620" s="271"/>
      <c r="C620" s="270"/>
      <c r="D620" s="270"/>
      <c r="E620" s="271"/>
      <c r="F620" s="141">
        <v>71</v>
      </c>
      <c r="G620" s="194">
        <f>+C619</f>
        <v>0</v>
      </c>
      <c r="H620" s="140" t="str">
        <f>+B622</f>
        <v>Corrección Valorativa - Amortización</v>
      </c>
      <c r="I620" s="156">
        <f>+D622</f>
        <v>0</v>
      </c>
      <c r="J620" s="1"/>
    </row>
    <row r="621" spans="2:10" ht="15" hidden="1" customHeight="1" outlineLevel="1" thickBot="1">
      <c r="B621" s="275"/>
      <c r="C621" s="275"/>
      <c r="D621" s="268"/>
      <c r="E621" s="272"/>
      <c r="F621" s="141">
        <f>+F620</f>
        <v>71</v>
      </c>
      <c r="G621" s="194">
        <f>+G620</f>
        <v>0</v>
      </c>
      <c r="H621" s="140" t="str">
        <f>+H620</f>
        <v>Corrección Valorativa - Amortización</v>
      </c>
      <c r="I621" s="156">
        <f>+I620</f>
        <v>0</v>
      </c>
      <c r="J621" s="1"/>
    </row>
    <row r="622" spans="2:10" ht="15" hidden="1" customHeight="1" outlineLevel="1" thickBot="1">
      <c r="B622" s="386" t="s">
        <v>375</v>
      </c>
      <c r="C622" s="387"/>
      <c r="D622" s="386"/>
      <c r="E622" s="387"/>
      <c r="F622" s="141"/>
      <c r="G622" s="194"/>
      <c r="H622" s="140"/>
      <c r="I622" s="140"/>
      <c r="J622" s="1"/>
    </row>
    <row r="623" spans="2:10" ht="15" hidden="1" customHeight="1" outlineLevel="1" thickBot="1">
      <c r="B623" s="382" t="str">
        <f>+IF(SUM(B620:B621)=SUM(E620:E621),"Asiento Cuadrado","Asiento Descuadrado")</f>
        <v>Asiento Cuadrado</v>
      </c>
      <c r="C623" s="383"/>
      <c r="D623" s="383"/>
      <c r="E623" s="191">
        <f>+SUM(B620:B621)-SUM(E620:E621)</f>
        <v>0</v>
      </c>
      <c r="F623" s="141"/>
      <c r="G623" s="194"/>
      <c r="H623" s="140"/>
      <c r="I623" s="140"/>
      <c r="J623" s="1"/>
    </row>
    <row r="624" spans="2:10" ht="15" hidden="1" customHeight="1" outlineLevel="1" thickBot="1">
      <c r="J624" s="1"/>
    </row>
    <row r="625" spans="2:10" ht="15" hidden="1" customHeight="1" outlineLevel="1">
      <c r="B625" s="170" t="s">
        <v>210</v>
      </c>
      <c r="C625" s="384" t="s">
        <v>423</v>
      </c>
      <c r="D625" s="384"/>
      <c r="E625" s="172" t="s">
        <v>211</v>
      </c>
      <c r="F625" s="135"/>
      <c r="G625" s="196"/>
      <c r="H625" s="135"/>
      <c r="I625" s="135"/>
      <c r="J625" s="1"/>
    </row>
    <row r="626" spans="2:10" ht="15" hidden="1" customHeight="1" outlineLevel="1" thickBot="1">
      <c r="B626" s="238">
        <f>+SUM(B627:B628)</f>
        <v>0</v>
      </c>
      <c r="C626" s="385"/>
      <c r="D626" s="385"/>
      <c r="E626" s="239">
        <f>+SUM(E627:E628)</f>
        <v>0</v>
      </c>
      <c r="F626" s="136"/>
      <c r="G626" s="197"/>
      <c r="H626" s="136"/>
      <c r="I626" s="136"/>
      <c r="J626" s="1"/>
    </row>
    <row r="627" spans="2:10" ht="15" hidden="1" customHeight="1" outlineLevel="1">
      <c r="B627" s="271"/>
      <c r="C627" s="270"/>
      <c r="D627" s="270"/>
      <c r="E627" s="271"/>
      <c r="F627" s="141">
        <v>72</v>
      </c>
      <c r="G627" s="194">
        <f>+C626</f>
        <v>0</v>
      </c>
      <c r="H627" s="140" t="str">
        <f>+B629</f>
        <v>Corrección Valorativa - Deterioro de Valor</v>
      </c>
      <c r="I627" s="156">
        <f>+D629</f>
        <v>0</v>
      </c>
      <c r="J627" s="1"/>
    </row>
    <row r="628" spans="2:10" ht="15" hidden="1" customHeight="1" outlineLevel="1" thickBot="1">
      <c r="B628" s="275"/>
      <c r="C628" s="275"/>
      <c r="D628" s="268"/>
      <c r="E628" s="272"/>
      <c r="F628" s="141">
        <f>+F627</f>
        <v>72</v>
      </c>
      <c r="G628" s="194">
        <f>+G627</f>
        <v>0</v>
      </c>
      <c r="H628" s="140" t="str">
        <f>+H627</f>
        <v>Corrección Valorativa - Deterioro de Valor</v>
      </c>
      <c r="I628" s="156">
        <f>+I627</f>
        <v>0</v>
      </c>
      <c r="J628" s="1"/>
    </row>
    <row r="629" spans="2:10" ht="15" hidden="1" customHeight="1" outlineLevel="1" thickBot="1">
      <c r="B629" s="386" t="s">
        <v>384</v>
      </c>
      <c r="C629" s="387"/>
      <c r="D629" s="386"/>
      <c r="E629" s="387"/>
      <c r="F629" s="141"/>
      <c r="G629" s="194"/>
      <c r="H629" s="140"/>
      <c r="I629" s="140"/>
      <c r="J629" s="1"/>
    </row>
    <row r="630" spans="2:10" ht="15" hidden="1" customHeight="1" outlineLevel="1" thickBot="1">
      <c r="B630" s="382" t="str">
        <f>+IF(SUM(B627:B628)=SUM(E627:E628),"Asiento Cuadrado","Asiento Descuadrado")</f>
        <v>Asiento Cuadrado</v>
      </c>
      <c r="C630" s="383"/>
      <c r="D630" s="383"/>
      <c r="E630" s="191">
        <f>+SUM(B627:B628)-SUM(E627:E628)</f>
        <v>0</v>
      </c>
      <c r="F630" s="141"/>
      <c r="G630" s="194"/>
      <c r="H630" s="140"/>
      <c r="I630" s="140"/>
      <c r="J630" s="1"/>
    </row>
    <row r="631" spans="2:10" ht="15" hidden="1" customHeight="1" outlineLevel="1" thickBot="1">
      <c r="J631" s="1"/>
    </row>
    <row r="632" spans="2:10" ht="15" hidden="1" customHeight="1" outlineLevel="1">
      <c r="B632" s="170" t="s">
        <v>210</v>
      </c>
      <c r="C632" s="384" t="s">
        <v>423</v>
      </c>
      <c r="D632" s="384"/>
      <c r="E632" s="172" t="s">
        <v>211</v>
      </c>
      <c r="F632" s="135"/>
      <c r="G632" s="196"/>
      <c r="H632" s="135"/>
      <c r="I632" s="135"/>
      <c r="J632" s="1"/>
    </row>
    <row r="633" spans="2:10" ht="15" hidden="1" customHeight="1" outlineLevel="1" thickBot="1">
      <c r="B633" s="238">
        <f>+SUM(B634:B635)</f>
        <v>0</v>
      </c>
      <c r="C633" s="385"/>
      <c r="D633" s="385"/>
      <c r="E633" s="239">
        <f>+SUM(E634:E635)</f>
        <v>0</v>
      </c>
      <c r="F633" s="136"/>
      <c r="G633" s="197"/>
      <c r="H633" s="136"/>
      <c r="I633" s="136"/>
      <c r="J633" s="1"/>
    </row>
    <row r="634" spans="2:10" ht="15" hidden="1" customHeight="1" outlineLevel="1">
      <c r="B634" s="271"/>
      <c r="C634" s="270"/>
      <c r="D634" s="270"/>
      <c r="E634" s="271"/>
      <c r="F634" s="141">
        <v>73</v>
      </c>
      <c r="G634" s="194">
        <f>+C633</f>
        <v>0</v>
      </c>
      <c r="H634" s="140" t="str">
        <f>+B636</f>
        <v>Provisiones</v>
      </c>
      <c r="I634" s="156">
        <f>+D636</f>
        <v>0</v>
      </c>
      <c r="J634" s="1"/>
    </row>
    <row r="635" spans="2:10" ht="15" hidden="1" customHeight="1" outlineLevel="1" thickBot="1">
      <c r="B635" s="275"/>
      <c r="C635" s="275"/>
      <c r="D635" s="268"/>
      <c r="E635" s="272"/>
      <c r="F635" s="141">
        <f>+F634</f>
        <v>73</v>
      </c>
      <c r="G635" s="194">
        <f>+G634</f>
        <v>0</v>
      </c>
      <c r="H635" s="140" t="str">
        <f>+H634</f>
        <v>Provisiones</v>
      </c>
      <c r="I635" s="156">
        <f>+I634</f>
        <v>0</v>
      </c>
      <c r="J635" s="1"/>
    </row>
    <row r="636" spans="2:10" ht="15" hidden="1" customHeight="1" outlineLevel="1" thickBot="1">
      <c r="B636" s="386" t="s">
        <v>406</v>
      </c>
      <c r="C636" s="387"/>
      <c r="D636" s="386"/>
      <c r="E636" s="387"/>
      <c r="F636" s="141"/>
      <c r="G636" s="194"/>
      <c r="H636" s="140"/>
      <c r="I636" s="140"/>
      <c r="J636" s="1"/>
    </row>
    <row r="637" spans="2:10" ht="15" hidden="1" customHeight="1" outlineLevel="1" thickBot="1">
      <c r="B637" s="382" t="str">
        <f>+IF(SUM(B634:B635)=SUM(E634:E635),"Asiento Cuadrado","Asiento Descuadrado")</f>
        <v>Asiento Cuadrado</v>
      </c>
      <c r="C637" s="383"/>
      <c r="D637" s="383"/>
      <c r="E637" s="191">
        <f>+SUM(B634:B635)-SUM(E634:E635)</f>
        <v>0</v>
      </c>
      <c r="F637" s="141"/>
      <c r="G637" s="194"/>
      <c r="H637" s="140"/>
      <c r="I637" s="140"/>
      <c r="J637" s="1"/>
    </row>
    <row r="638" spans="2:10" ht="15" hidden="1" customHeight="1" outlineLevel="1" thickBot="1">
      <c r="J638" s="1"/>
    </row>
    <row r="639" spans="2:10" ht="15" hidden="1" customHeight="1" outlineLevel="1">
      <c r="B639" s="170" t="s">
        <v>210</v>
      </c>
      <c r="C639" s="384" t="s">
        <v>423</v>
      </c>
      <c r="D639" s="384"/>
      <c r="E639" s="172" t="s">
        <v>211</v>
      </c>
      <c r="F639" s="135"/>
      <c r="G639" s="196"/>
      <c r="H639" s="135"/>
      <c r="I639" s="135"/>
      <c r="J639" s="1"/>
    </row>
    <row r="640" spans="2:10" ht="15" hidden="1" customHeight="1" outlineLevel="1" thickBot="1">
      <c r="B640" s="238">
        <f>+SUM(B641:B642)</f>
        <v>0</v>
      </c>
      <c r="C640" s="385"/>
      <c r="D640" s="385"/>
      <c r="E640" s="239">
        <f>+SUM(E641:E642)</f>
        <v>0</v>
      </c>
      <c r="F640" s="136"/>
      <c r="G640" s="197"/>
      <c r="H640" s="136"/>
      <c r="I640" s="136"/>
      <c r="J640" s="1"/>
    </row>
    <row r="641" spans="2:10" ht="15" hidden="1" customHeight="1" outlineLevel="1">
      <c r="B641" s="271"/>
      <c r="C641" s="270"/>
      <c r="D641" s="270"/>
      <c r="E641" s="271"/>
      <c r="F641" s="141">
        <v>74</v>
      </c>
      <c r="G641" s="194">
        <f>+C640</f>
        <v>0</v>
      </c>
      <c r="H641" s="140" t="str">
        <f>+B643</f>
        <v>Ajuste a Valor Razonable</v>
      </c>
      <c r="I641" s="156">
        <f>+D643</f>
        <v>0</v>
      </c>
      <c r="J641" s="1"/>
    </row>
    <row r="642" spans="2:10" ht="15" hidden="1" customHeight="1" outlineLevel="1" thickBot="1">
      <c r="B642" s="275"/>
      <c r="C642" s="275"/>
      <c r="D642" s="268"/>
      <c r="E642" s="272"/>
      <c r="F642" s="141">
        <f>+F641</f>
        <v>74</v>
      </c>
      <c r="G642" s="194">
        <f>+G641</f>
        <v>0</v>
      </c>
      <c r="H642" s="140" t="str">
        <f>+H641</f>
        <v>Ajuste a Valor Razonable</v>
      </c>
      <c r="I642" s="156">
        <f>+I641</f>
        <v>0</v>
      </c>
      <c r="J642" s="1"/>
    </row>
    <row r="643" spans="2:10" ht="15" hidden="1" customHeight="1" outlineLevel="1" thickBot="1">
      <c r="B643" s="386" t="s">
        <v>424</v>
      </c>
      <c r="C643" s="387"/>
      <c r="D643" s="386"/>
      <c r="E643" s="387"/>
      <c r="F643" s="141"/>
      <c r="G643" s="194"/>
      <c r="H643" s="140"/>
      <c r="I643" s="140"/>
      <c r="J643" s="1"/>
    </row>
    <row r="644" spans="2:10" ht="15" hidden="1" customHeight="1" outlineLevel="1" thickBot="1">
      <c r="B644" s="382" t="str">
        <f>+IF(SUM(B641:B642)=SUM(E641:E642),"Asiento Cuadrado","Asiento Descuadrado")</f>
        <v>Asiento Cuadrado</v>
      </c>
      <c r="C644" s="383"/>
      <c r="D644" s="383"/>
      <c r="E644" s="191">
        <f>+SUM(B641:B642)-SUM(E641:E642)</f>
        <v>0</v>
      </c>
      <c r="F644" s="141"/>
      <c r="G644" s="194"/>
      <c r="H644" s="140"/>
      <c r="I644" s="140"/>
      <c r="J644" s="1"/>
    </row>
    <row r="645" spans="2:10" ht="15" hidden="1" customHeight="1" outlineLevel="1" thickBot="1">
      <c r="J645" s="1"/>
    </row>
    <row r="646" spans="2:10" ht="15" hidden="1" customHeight="1" outlineLevel="1">
      <c r="B646" s="170" t="s">
        <v>210</v>
      </c>
      <c r="C646" s="384" t="s">
        <v>423</v>
      </c>
      <c r="D646" s="384"/>
      <c r="E646" s="172" t="s">
        <v>211</v>
      </c>
      <c r="F646" s="135"/>
      <c r="G646" s="196"/>
      <c r="H646" s="135"/>
      <c r="I646" s="135"/>
      <c r="J646" s="1"/>
    </row>
    <row r="647" spans="2:10" ht="15" hidden="1" customHeight="1" outlineLevel="1" thickBot="1">
      <c r="B647" s="238">
        <f>+SUM(B648:B649)</f>
        <v>0</v>
      </c>
      <c r="C647" s="385"/>
      <c r="D647" s="385"/>
      <c r="E647" s="239">
        <f>+SUM(E648:E649)</f>
        <v>0</v>
      </c>
      <c r="F647" s="136"/>
      <c r="G647" s="197"/>
      <c r="H647" s="136"/>
      <c r="I647" s="136"/>
      <c r="J647" s="1"/>
    </row>
    <row r="648" spans="2:10" ht="15" hidden="1" customHeight="1" outlineLevel="1">
      <c r="B648" s="271"/>
      <c r="C648" s="270"/>
      <c r="D648" s="270"/>
      <c r="E648" s="271"/>
      <c r="F648" s="141">
        <v>75</v>
      </c>
      <c r="G648" s="194">
        <f>+C647</f>
        <v>0</v>
      </c>
      <c r="H648" s="140" t="str">
        <f>+B650</f>
        <v>Asiento de Apertura</v>
      </c>
      <c r="I648" s="156">
        <f>+D650</f>
        <v>0</v>
      </c>
      <c r="J648" s="1"/>
    </row>
    <row r="649" spans="2:10" ht="15" hidden="1" customHeight="1" outlineLevel="1" thickBot="1">
      <c r="B649" s="275"/>
      <c r="C649" s="275"/>
      <c r="D649" s="268"/>
      <c r="E649" s="272"/>
      <c r="F649" s="141">
        <f>+F648</f>
        <v>75</v>
      </c>
      <c r="G649" s="194">
        <f>+G648</f>
        <v>0</v>
      </c>
      <c r="H649" s="140" t="str">
        <f>+H648</f>
        <v>Asiento de Apertura</v>
      </c>
      <c r="I649" s="156">
        <f>+I648</f>
        <v>0</v>
      </c>
      <c r="J649" s="1"/>
    </row>
    <row r="650" spans="2:10" ht="15" hidden="1" customHeight="1" outlineLevel="1" thickBot="1">
      <c r="B650" s="386" t="s">
        <v>261</v>
      </c>
      <c r="C650" s="387"/>
      <c r="D650" s="386"/>
      <c r="E650" s="387"/>
      <c r="F650" s="141"/>
      <c r="G650" s="194"/>
      <c r="H650" s="140"/>
      <c r="I650" s="140"/>
      <c r="J650" s="1"/>
    </row>
    <row r="651" spans="2:10" ht="15" hidden="1" customHeight="1" outlineLevel="1" thickBot="1">
      <c r="B651" s="382" t="str">
        <f>+IF(SUM(B648:B649)=SUM(E648:E649),"Asiento Cuadrado","Asiento Descuadrado")</f>
        <v>Asiento Cuadrado</v>
      </c>
      <c r="C651" s="383"/>
      <c r="D651" s="383"/>
      <c r="E651" s="191">
        <f>+SUM(B648:B649)-SUM(E648:E649)</f>
        <v>0</v>
      </c>
      <c r="F651" s="141"/>
      <c r="G651" s="194"/>
      <c r="H651" s="140"/>
      <c r="I651" s="140"/>
      <c r="J651" s="1"/>
    </row>
    <row r="652" spans="2:10" ht="15" hidden="1" customHeight="1" outlineLevel="1" thickBot="1">
      <c r="J652" s="1"/>
    </row>
    <row r="653" spans="2:10" ht="15" hidden="1" customHeight="1" outlineLevel="1">
      <c r="B653" s="170" t="s">
        <v>210</v>
      </c>
      <c r="C653" s="384" t="s">
        <v>423</v>
      </c>
      <c r="D653" s="384"/>
      <c r="E653" s="172" t="s">
        <v>211</v>
      </c>
      <c r="F653" s="135"/>
      <c r="G653" s="196"/>
      <c r="H653" s="135"/>
      <c r="I653" s="135"/>
      <c r="J653" s="1"/>
    </row>
    <row r="654" spans="2:10" ht="15" hidden="1" customHeight="1" outlineLevel="1" thickBot="1">
      <c r="B654" s="238">
        <f>+SUM(B655:B656)</f>
        <v>0</v>
      </c>
      <c r="C654" s="385"/>
      <c r="D654" s="385"/>
      <c r="E654" s="239">
        <f>+SUM(E655:E656)</f>
        <v>0</v>
      </c>
      <c r="F654" s="136"/>
      <c r="G654" s="197"/>
      <c r="H654" s="136"/>
      <c r="I654" s="136"/>
      <c r="J654" s="1"/>
    </row>
    <row r="655" spans="2:10" ht="15" hidden="1" customHeight="1" outlineLevel="1">
      <c r="B655" s="271"/>
      <c r="C655" s="270"/>
      <c r="D655" s="270"/>
      <c r="E655" s="271"/>
      <c r="F655" s="141">
        <v>76</v>
      </c>
      <c r="G655" s="194">
        <f>+C654</f>
        <v>0</v>
      </c>
      <c r="H655" s="140" t="str">
        <f>+B657</f>
        <v>Determinación de Resultado Contable</v>
      </c>
      <c r="I655" s="156">
        <f>+D657</f>
        <v>0</v>
      </c>
      <c r="J655" s="1"/>
    </row>
    <row r="656" spans="2:10" ht="15" hidden="1" customHeight="1" outlineLevel="1" thickBot="1">
      <c r="B656" s="275"/>
      <c r="C656" s="275"/>
      <c r="D656" s="268"/>
      <c r="E656" s="272"/>
      <c r="F656" s="141">
        <f>+F655</f>
        <v>76</v>
      </c>
      <c r="G656" s="194">
        <f>+G655</f>
        <v>0</v>
      </c>
      <c r="H656" s="140" t="str">
        <f>+H655</f>
        <v>Determinación de Resultado Contable</v>
      </c>
      <c r="I656" s="156">
        <f>+I655</f>
        <v>0</v>
      </c>
      <c r="J656" s="1"/>
    </row>
    <row r="657" spans="2:10" ht="15" hidden="1" customHeight="1" outlineLevel="1" thickBot="1">
      <c r="B657" s="386" t="s">
        <v>410</v>
      </c>
      <c r="C657" s="387"/>
      <c r="D657" s="386"/>
      <c r="E657" s="387"/>
      <c r="F657" s="141"/>
      <c r="G657" s="194"/>
      <c r="H657" s="140"/>
      <c r="I657" s="140"/>
      <c r="J657" s="1"/>
    </row>
    <row r="658" spans="2:10" ht="15" hidden="1" customHeight="1" outlineLevel="1" thickBot="1">
      <c r="B658" s="382" t="str">
        <f>+IF(SUM(B655:B656)=SUM(E655:E656),"Asiento Cuadrado","Asiento Descuadrado")</f>
        <v>Asiento Cuadrado</v>
      </c>
      <c r="C658" s="383"/>
      <c r="D658" s="383"/>
      <c r="E658" s="191">
        <f>+SUM(B655:B656)-SUM(E655:E656)</f>
        <v>0</v>
      </c>
      <c r="F658" s="141"/>
      <c r="G658" s="194"/>
      <c r="H658" s="140"/>
      <c r="I658" s="140"/>
      <c r="J658" s="1"/>
    </row>
    <row r="659" spans="2:10" ht="15" hidden="1" customHeight="1" outlineLevel="1" thickBot="1">
      <c r="J659" s="1"/>
    </row>
    <row r="660" spans="2:10" ht="15" hidden="1" customHeight="1" outlineLevel="1">
      <c r="B660" s="170" t="s">
        <v>210</v>
      </c>
      <c r="C660" s="384" t="s">
        <v>423</v>
      </c>
      <c r="D660" s="384"/>
      <c r="E660" s="172" t="s">
        <v>211</v>
      </c>
      <c r="F660" s="135"/>
      <c r="G660" s="196"/>
      <c r="H660" s="135"/>
      <c r="I660" s="135"/>
      <c r="J660" s="1"/>
    </row>
    <row r="661" spans="2:10" ht="15" hidden="1" customHeight="1" outlineLevel="1" thickBot="1">
      <c r="B661" s="238">
        <f>+SUM(B662:B663)</f>
        <v>0</v>
      </c>
      <c r="C661" s="385"/>
      <c r="D661" s="385"/>
      <c r="E661" s="239">
        <f>+SUM(E662:E663)</f>
        <v>0</v>
      </c>
      <c r="F661" s="136"/>
      <c r="G661" s="197"/>
      <c r="H661" s="136"/>
      <c r="I661" s="136"/>
      <c r="J661" s="1"/>
    </row>
    <row r="662" spans="2:10" ht="15" hidden="1" customHeight="1" outlineLevel="1">
      <c r="B662" s="271"/>
      <c r="C662" s="270"/>
      <c r="D662" s="270"/>
      <c r="E662" s="271"/>
      <c r="F662" s="141">
        <v>77</v>
      </c>
      <c r="G662" s="194">
        <f>+C661</f>
        <v>0</v>
      </c>
      <c r="H662" s="140" t="str">
        <f>+B664</f>
        <v>Impuesto de Sociedades</v>
      </c>
      <c r="I662" s="156">
        <f>+D664</f>
        <v>0</v>
      </c>
      <c r="J662" s="1"/>
    </row>
    <row r="663" spans="2:10" ht="15" hidden="1" customHeight="1" outlineLevel="1" thickBot="1">
      <c r="B663" s="275"/>
      <c r="C663" s="275"/>
      <c r="D663" s="268"/>
      <c r="E663" s="272"/>
      <c r="F663" s="141">
        <f>+F662</f>
        <v>77</v>
      </c>
      <c r="G663" s="194">
        <f>+G662</f>
        <v>0</v>
      </c>
      <c r="H663" s="140" t="str">
        <f>+H662</f>
        <v>Impuesto de Sociedades</v>
      </c>
      <c r="I663" s="156">
        <f>+I662</f>
        <v>0</v>
      </c>
      <c r="J663" s="1"/>
    </row>
    <row r="664" spans="2:10" ht="15" hidden="1" customHeight="1" outlineLevel="1" thickBot="1">
      <c r="B664" s="386" t="s">
        <v>416</v>
      </c>
      <c r="C664" s="387"/>
      <c r="D664" s="386"/>
      <c r="E664" s="387"/>
      <c r="F664" s="141"/>
      <c r="G664" s="194"/>
      <c r="H664" s="140"/>
      <c r="I664" s="140"/>
      <c r="J664" s="1"/>
    </row>
    <row r="665" spans="2:10" ht="15" hidden="1" customHeight="1" outlineLevel="1" thickBot="1">
      <c r="B665" s="382" t="str">
        <f>+IF(SUM(B662:B663)=SUM(E662:E663),"Asiento Cuadrado","Asiento Descuadrado")</f>
        <v>Asiento Cuadrado</v>
      </c>
      <c r="C665" s="383"/>
      <c r="D665" s="383"/>
      <c r="E665" s="191">
        <f>+SUM(B662:B663)-SUM(E662:E663)</f>
        <v>0</v>
      </c>
      <c r="F665" s="141"/>
      <c r="G665" s="194"/>
      <c r="H665" s="140"/>
      <c r="I665" s="140"/>
      <c r="J665" s="1"/>
    </row>
    <row r="666" spans="2:10" ht="15" hidden="1" customHeight="1" outlineLevel="1" thickBot="1">
      <c r="J666" s="1"/>
    </row>
    <row r="667" spans="2:10" ht="15" hidden="1" customHeight="1" outlineLevel="1">
      <c r="B667" s="170" t="s">
        <v>210</v>
      </c>
      <c r="C667" s="384" t="s">
        <v>423</v>
      </c>
      <c r="D667" s="384"/>
      <c r="E667" s="172" t="s">
        <v>211</v>
      </c>
      <c r="F667" s="135"/>
      <c r="G667" s="196"/>
      <c r="H667" s="135"/>
      <c r="I667" s="135"/>
      <c r="J667" s="1"/>
    </row>
    <row r="668" spans="2:10" ht="15" hidden="1" customHeight="1" outlineLevel="1" thickBot="1">
      <c r="B668" s="238">
        <f>+SUM(B669:B670)</f>
        <v>0</v>
      </c>
      <c r="C668" s="385"/>
      <c r="D668" s="385"/>
      <c r="E668" s="239">
        <f>+SUM(E669:E670)</f>
        <v>0</v>
      </c>
      <c r="F668" s="136"/>
      <c r="G668" s="197"/>
      <c r="H668" s="136"/>
      <c r="I668" s="136"/>
      <c r="J668" s="1"/>
    </row>
    <row r="669" spans="2:10" ht="15" hidden="1" customHeight="1" outlineLevel="1">
      <c r="B669" s="271"/>
      <c r="C669" s="270"/>
      <c r="D669" s="270"/>
      <c r="E669" s="271"/>
      <c r="F669" s="141">
        <v>78</v>
      </c>
      <c r="G669" s="194">
        <f>+C668</f>
        <v>0</v>
      </c>
      <c r="H669" s="140" t="str">
        <f>+B671</f>
        <v>Asiento de Cierre</v>
      </c>
      <c r="I669" s="156">
        <f>+D671</f>
        <v>0</v>
      </c>
      <c r="J669" s="1"/>
    </row>
    <row r="670" spans="2:10" ht="15" hidden="1" customHeight="1" outlineLevel="1" thickBot="1">
      <c r="B670" s="275"/>
      <c r="C670" s="275"/>
      <c r="D670" s="268"/>
      <c r="E670" s="272"/>
      <c r="F670" s="141">
        <f>+F669</f>
        <v>78</v>
      </c>
      <c r="G670" s="194">
        <f>+G669</f>
        <v>0</v>
      </c>
      <c r="H670" s="140" t="str">
        <f>+H669</f>
        <v>Asiento de Cierre</v>
      </c>
      <c r="I670" s="156">
        <f>+I669</f>
        <v>0</v>
      </c>
      <c r="J670" s="1"/>
    </row>
    <row r="671" spans="2:10" ht="15" hidden="1" customHeight="1" outlineLevel="1" thickBot="1">
      <c r="B671" s="386" t="s">
        <v>421</v>
      </c>
      <c r="C671" s="387"/>
      <c r="D671" s="386"/>
      <c r="E671" s="387"/>
      <c r="F671" s="141"/>
      <c r="G671" s="194"/>
      <c r="H671" s="140"/>
      <c r="I671" s="140"/>
      <c r="J671" s="1"/>
    </row>
    <row r="672" spans="2:10" ht="15" hidden="1" customHeight="1" outlineLevel="1" thickBot="1">
      <c r="B672" s="382" t="str">
        <f>+IF(SUM(B669:B670)=SUM(E669:E670),"Asiento Cuadrado","Asiento Descuadrado")</f>
        <v>Asiento Cuadrado</v>
      </c>
      <c r="C672" s="383"/>
      <c r="D672" s="383"/>
      <c r="E672" s="191">
        <f>+SUM(B669:B670)-SUM(E669:E670)</f>
        <v>0</v>
      </c>
      <c r="F672" s="141"/>
      <c r="G672" s="194"/>
      <c r="H672" s="140"/>
      <c r="I672" s="140"/>
      <c r="J672" s="1"/>
    </row>
    <row r="673" spans="2:10" ht="15" hidden="1" customHeight="1" outlineLevel="1" thickBot="1">
      <c r="J673" s="1"/>
    </row>
    <row r="674" spans="2:10" ht="15" hidden="1" customHeight="1" outlineLevel="1">
      <c r="B674" s="170" t="s">
        <v>210</v>
      </c>
      <c r="C674" s="384" t="s">
        <v>423</v>
      </c>
      <c r="D674" s="384"/>
      <c r="E674" s="172" t="s">
        <v>211</v>
      </c>
      <c r="F674" s="135"/>
      <c r="G674" s="196"/>
      <c r="H674" s="135"/>
      <c r="I674" s="135"/>
      <c r="J674" s="1"/>
    </row>
    <row r="675" spans="2:10" ht="15" hidden="1" customHeight="1" outlineLevel="1" thickBot="1">
      <c r="B675" s="238">
        <f>+SUM(B676:B677)</f>
        <v>0</v>
      </c>
      <c r="C675" s="385"/>
      <c r="D675" s="385"/>
      <c r="E675" s="239">
        <f>+SUM(E676:E677)</f>
        <v>0</v>
      </c>
      <c r="F675" s="136"/>
      <c r="G675" s="197"/>
      <c r="H675" s="136"/>
      <c r="I675" s="136"/>
      <c r="J675" s="1"/>
    </row>
    <row r="676" spans="2:10" ht="15" hidden="1" customHeight="1" outlineLevel="1">
      <c r="B676" s="271"/>
      <c r="C676" s="270"/>
      <c r="D676" s="270"/>
      <c r="E676" s="271"/>
      <c r="F676" s="141">
        <v>79</v>
      </c>
      <c r="G676" s="194">
        <f>+C675</f>
        <v>0</v>
      </c>
      <c r="H676" s="140">
        <f>+B678</f>
        <v>0</v>
      </c>
      <c r="I676" s="156">
        <f>+D678</f>
        <v>0</v>
      </c>
      <c r="J676" s="1"/>
    </row>
    <row r="677" spans="2:10" ht="15" hidden="1" customHeight="1" outlineLevel="1" thickBot="1">
      <c r="B677" s="275"/>
      <c r="C677" s="275"/>
      <c r="D677" s="268"/>
      <c r="E677" s="272"/>
      <c r="F677" s="141">
        <f>+F676</f>
        <v>79</v>
      </c>
      <c r="G677" s="194">
        <f>+G676</f>
        <v>0</v>
      </c>
      <c r="H677" s="140">
        <f>+H676</f>
        <v>0</v>
      </c>
      <c r="I677" s="156">
        <f>+I676</f>
        <v>0</v>
      </c>
      <c r="J677" s="1"/>
    </row>
    <row r="678" spans="2:10" ht="15" hidden="1" customHeight="1" outlineLevel="1" thickBot="1">
      <c r="B678" s="386"/>
      <c r="C678" s="387"/>
      <c r="D678" s="386"/>
      <c r="E678" s="387"/>
      <c r="F678" s="141"/>
      <c r="G678" s="194"/>
      <c r="H678" s="140"/>
      <c r="I678" s="140"/>
      <c r="J678" s="1"/>
    </row>
    <row r="679" spans="2:10" ht="15" hidden="1" customHeight="1" outlineLevel="1" thickBot="1">
      <c r="B679" s="382" t="str">
        <f>+IF(SUM(B676:B677)=SUM(E676:E677),"Asiento Cuadrado","Asiento Descuadrado")</f>
        <v>Asiento Cuadrado</v>
      </c>
      <c r="C679" s="383"/>
      <c r="D679" s="383"/>
      <c r="E679" s="191">
        <f>+SUM(B676:B677)-SUM(E676:E677)</f>
        <v>0</v>
      </c>
      <c r="F679" s="141"/>
      <c r="G679" s="194"/>
      <c r="H679" s="140"/>
      <c r="I679" s="140"/>
      <c r="J679" s="1"/>
    </row>
    <row r="680" spans="2:10" ht="15" hidden="1" customHeight="1" outlineLevel="1" thickBot="1">
      <c r="J680" s="1"/>
    </row>
    <row r="681" spans="2:10" ht="15" hidden="1" customHeight="1" outlineLevel="1">
      <c r="B681" s="170" t="s">
        <v>210</v>
      </c>
      <c r="C681" s="384" t="s">
        <v>423</v>
      </c>
      <c r="D681" s="384"/>
      <c r="E681" s="172" t="s">
        <v>211</v>
      </c>
      <c r="F681" s="135"/>
      <c r="G681" s="196"/>
      <c r="H681" s="135"/>
      <c r="I681" s="135"/>
      <c r="J681" s="1"/>
    </row>
    <row r="682" spans="2:10" ht="15" hidden="1" customHeight="1" outlineLevel="1" thickBot="1">
      <c r="B682" s="238">
        <f>+SUM(B683:B684)</f>
        <v>0</v>
      </c>
      <c r="C682" s="385"/>
      <c r="D682" s="385"/>
      <c r="E682" s="239">
        <f>+SUM(E683:E684)</f>
        <v>0</v>
      </c>
      <c r="F682" s="136"/>
      <c r="G682" s="197"/>
      <c r="H682" s="136"/>
      <c r="I682" s="136"/>
      <c r="J682" s="1"/>
    </row>
    <row r="683" spans="2:10" ht="15" hidden="1" customHeight="1" outlineLevel="1">
      <c r="B683" s="271"/>
      <c r="C683" s="270"/>
      <c r="D683" s="270"/>
      <c r="E683" s="271"/>
      <c r="F683" s="141">
        <v>80</v>
      </c>
      <c r="G683" s="194">
        <f>+C682</f>
        <v>0</v>
      </c>
      <c r="H683" s="140">
        <f>+B685</f>
        <v>0</v>
      </c>
      <c r="I683" s="156">
        <f>+D685</f>
        <v>0</v>
      </c>
      <c r="J683" s="1"/>
    </row>
    <row r="684" spans="2:10" ht="15" hidden="1" customHeight="1" outlineLevel="1" thickBot="1">
      <c r="B684" s="275"/>
      <c r="C684" s="275"/>
      <c r="D684" s="268"/>
      <c r="E684" s="272"/>
      <c r="F684" s="141">
        <f>+F683</f>
        <v>80</v>
      </c>
      <c r="G684" s="194">
        <f>+G683</f>
        <v>0</v>
      </c>
      <c r="H684" s="140">
        <f>+H683</f>
        <v>0</v>
      </c>
      <c r="I684" s="156">
        <f>+I683</f>
        <v>0</v>
      </c>
      <c r="J684" s="1"/>
    </row>
    <row r="685" spans="2:10" ht="15" hidden="1" customHeight="1" outlineLevel="1" thickBot="1">
      <c r="B685" s="386"/>
      <c r="C685" s="387"/>
      <c r="D685" s="386"/>
      <c r="E685" s="387"/>
      <c r="F685" s="141"/>
      <c r="G685" s="194"/>
      <c r="H685" s="140"/>
      <c r="I685" s="140"/>
      <c r="J685" s="1"/>
    </row>
    <row r="686" spans="2:10" ht="15" hidden="1" customHeight="1" outlineLevel="1" thickBot="1">
      <c r="B686" s="382" t="str">
        <f>+IF(SUM(B683:B684)=SUM(E683:E684),"Asiento Cuadrado","Asiento Descuadrado")</f>
        <v>Asiento Cuadrado</v>
      </c>
      <c r="C686" s="383"/>
      <c r="D686" s="383"/>
      <c r="E686" s="191">
        <f>+SUM(B683:B684)-SUM(E683:E684)</f>
        <v>0</v>
      </c>
      <c r="F686" s="141"/>
      <c r="G686" s="194"/>
      <c r="H686" s="140"/>
      <c r="I686" s="140"/>
      <c r="J686" s="1"/>
    </row>
    <row r="687" spans="2:10" ht="15" hidden="1" customHeight="1" outlineLevel="1" thickBot="1">
      <c r="J687" s="1"/>
    </row>
    <row r="688" spans="2:10" ht="15" hidden="1" customHeight="1" outlineLevel="1">
      <c r="B688" s="170" t="s">
        <v>210</v>
      </c>
      <c r="C688" s="384" t="s">
        <v>423</v>
      </c>
      <c r="D688" s="384"/>
      <c r="E688" s="172" t="s">
        <v>211</v>
      </c>
      <c r="F688" s="135"/>
      <c r="G688" s="196"/>
      <c r="H688" s="135"/>
      <c r="I688" s="135"/>
      <c r="J688" s="1"/>
    </row>
    <row r="689" spans="2:10" ht="15" hidden="1" customHeight="1" outlineLevel="1" thickBot="1">
      <c r="B689" s="238">
        <f>+SUM(B690:B691)</f>
        <v>0</v>
      </c>
      <c r="C689" s="385"/>
      <c r="D689" s="385"/>
      <c r="E689" s="239">
        <f>+SUM(E690:E691)</f>
        <v>0</v>
      </c>
      <c r="F689" s="136"/>
      <c r="G689" s="197"/>
      <c r="H689" s="136"/>
      <c r="I689" s="136"/>
      <c r="J689" s="1"/>
    </row>
    <row r="690" spans="2:10" ht="15" hidden="1" customHeight="1" outlineLevel="1">
      <c r="B690" s="271"/>
      <c r="C690" s="270"/>
      <c r="D690" s="270"/>
      <c r="E690" s="271"/>
      <c r="F690" s="141">
        <v>81</v>
      </c>
      <c r="G690" s="194">
        <f>+C689</f>
        <v>0</v>
      </c>
      <c r="H690" s="140">
        <f>+B692</f>
        <v>0</v>
      </c>
      <c r="I690" s="156">
        <f>+D692</f>
        <v>0</v>
      </c>
      <c r="J690" s="1"/>
    </row>
    <row r="691" spans="2:10" ht="15" hidden="1" customHeight="1" outlineLevel="1" thickBot="1">
      <c r="B691" s="275"/>
      <c r="C691" s="275"/>
      <c r="D691" s="268"/>
      <c r="E691" s="272"/>
      <c r="F691" s="141">
        <f>+F690</f>
        <v>81</v>
      </c>
      <c r="G691" s="194">
        <f>+G690</f>
        <v>0</v>
      </c>
      <c r="H691" s="140">
        <f>+H690</f>
        <v>0</v>
      </c>
      <c r="I691" s="156">
        <f>+I690</f>
        <v>0</v>
      </c>
      <c r="J691" s="1"/>
    </row>
    <row r="692" spans="2:10" ht="15" hidden="1" customHeight="1" outlineLevel="1" thickBot="1">
      <c r="B692" s="386"/>
      <c r="C692" s="387"/>
      <c r="D692" s="386"/>
      <c r="E692" s="387"/>
      <c r="F692" s="141"/>
      <c r="G692" s="194"/>
      <c r="H692" s="140"/>
      <c r="I692" s="140"/>
      <c r="J692" s="1"/>
    </row>
    <row r="693" spans="2:10" ht="15" hidden="1" customHeight="1" outlineLevel="1" thickBot="1">
      <c r="B693" s="382" t="str">
        <f>+IF(SUM(B690:B691)=SUM(E690:E691),"Asiento Cuadrado","Asiento Descuadrado")</f>
        <v>Asiento Cuadrado</v>
      </c>
      <c r="C693" s="383"/>
      <c r="D693" s="383"/>
      <c r="E693" s="191">
        <f>+SUM(B690:B691)-SUM(E690:E691)</f>
        <v>0</v>
      </c>
      <c r="F693" s="141"/>
      <c r="G693" s="194"/>
      <c r="H693" s="140"/>
      <c r="I693" s="140"/>
      <c r="J693" s="1"/>
    </row>
    <row r="694" spans="2:10" ht="15" customHeight="1" collapsed="1">
      <c r="J694" s="1"/>
    </row>
    <row r="695" spans="2:10" ht="15" customHeight="1">
      <c r="J695" s="1"/>
    </row>
    <row r="696" spans="2:10" ht="15" customHeight="1">
      <c r="J696" s="1"/>
    </row>
    <row r="697" spans="2:10" ht="15" customHeight="1">
      <c r="J697" s="1"/>
    </row>
    <row r="698" spans="2:10" ht="15" customHeight="1">
      <c r="J698" s="1"/>
    </row>
    <row r="699" spans="2:10" ht="15" customHeight="1">
      <c r="J699" s="1"/>
    </row>
    <row r="700" spans="2:10" ht="15" customHeight="1">
      <c r="J700" s="1"/>
    </row>
    <row r="701" spans="2:10" ht="15" customHeight="1">
      <c r="J701" s="1"/>
    </row>
    <row r="702" spans="2:10" ht="15" customHeight="1">
      <c r="J702" s="1"/>
    </row>
    <row r="703" spans="2:10" ht="15" customHeight="1">
      <c r="J703" s="1"/>
    </row>
    <row r="704" spans="2:10" ht="15" customHeight="1">
      <c r="J704" s="1"/>
    </row>
    <row r="705" spans="10:10" ht="15" customHeight="1">
      <c r="J705" s="1"/>
    </row>
    <row r="706" spans="10:10" ht="15" customHeight="1">
      <c r="J706" s="1"/>
    </row>
    <row r="707" spans="10:10" ht="15" customHeight="1">
      <c r="J707" s="1"/>
    </row>
    <row r="708" spans="10:10" ht="15" customHeight="1">
      <c r="J708" s="1"/>
    </row>
    <row r="709" spans="10:10" ht="15" customHeight="1">
      <c r="J709" s="1"/>
    </row>
    <row r="710" spans="10:10" ht="15" customHeight="1">
      <c r="J710" s="1"/>
    </row>
    <row r="711" spans="10:10" ht="15" customHeight="1">
      <c r="J711" s="1"/>
    </row>
    <row r="712" spans="10:10" ht="15" customHeight="1">
      <c r="J712" s="1"/>
    </row>
    <row r="713" spans="10:10" ht="15" customHeight="1">
      <c r="J713" s="1"/>
    </row>
    <row r="714" spans="10:10" ht="15" customHeight="1">
      <c r="J714" s="1"/>
    </row>
    <row r="715" spans="10:10" ht="15" customHeight="1">
      <c r="J715" s="1"/>
    </row>
    <row r="716" spans="10:10" ht="15" customHeight="1">
      <c r="J716" s="1"/>
    </row>
    <row r="717" spans="10:10" ht="15" customHeight="1">
      <c r="J717" s="1"/>
    </row>
    <row r="718" spans="10:10" ht="15" customHeight="1">
      <c r="J718" s="1"/>
    </row>
    <row r="719" spans="10:10" ht="15" customHeight="1">
      <c r="J719" s="1"/>
    </row>
    <row r="720" spans="10:10" ht="15" customHeight="1">
      <c r="J720" s="1"/>
    </row>
    <row r="721" spans="10:10" ht="15" customHeight="1">
      <c r="J721" s="1"/>
    </row>
    <row r="722" spans="10:10" ht="15" customHeight="1">
      <c r="J722" s="1"/>
    </row>
    <row r="723" spans="10:10" ht="15" customHeight="1">
      <c r="J723" s="1"/>
    </row>
    <row r="724" spans="10:10" ht="15" customHeight="1">
      <c r="J724" s="1"/>
    </row>
    <row r="725" spans="10:10" ht="15" customHeight="1">
      <c r="J725" s="1"/>
    </row>
    <row r="726" spans="10:10" ht="15" customHeight="1">
      <c r="J726" s="1"/>
    </row>
    <row r="727" spans="10:10" ht="15" customHeight="1">
      <c r="J727" s="1"/>
    </row>
    <row r="728" spans="10:10" ht="15" customHeight="1">
      <c r="J728" s="1"/>
    </row>
    <row r="729" spans="10:10" ht="15" customHeight="1">
      <c r="J729" s="1"/>
    </row>
    <row r="730" spans="10:10" ht="15" customHeight="1">
      <c r="J730" s="1"/>
    </row>
    <row r="731" spans="10:10" ht="15" customHeight="1">
      <c r="J731" s="1"/>
    </row>
    <row r="732" spans="10:10" ht="15" customHeight="1">
      <c r="J732" s="1"/>
    </row>
    <row r="733" spans="10:10" ht="15" customHeight="1">
      <c r="J733" s="1"/>
    </row>
    <row r="734" spans="10:10" ht="15" customHeight="1">
      <c r="J734" s="1"/>
    </row>
    <row r="735" spans="10:10" ht="15" customHeight="1">
      <c r="J735" s="1"/>
    </row>
    <row r="736" spans="10:10" ht="15" customHeight="1">
      <c r="J736" s="1"/>
    </row>
    <row r="737" spans="10:10" ht="15" customHeight="1">
      <c r="J737" s="1"/>
    </row>
    <row r="738" spans="10:10" ht="15" customHeight="1">
      <c r="J738" s="1"/>
    </row>
    <row r="739" spans="10:10" ht="15" customHeight="1">
      <c r="J739" s="1"/>
    </row>
    <row r="740" spans="10:10" ht="15" customHeight="1">
      <c r="J740" s="1"/>
    </row>
    <row r="741" spans="10:10" ht="15" customHeight="1">
      <c r="J741" s="1"/>
    </row>
    <row r="742" spans="10:10" ht="15" customHeight="1">
      <c r="J742" s="1"/>
    </row>
    <row r="743" spans="10:10" ht="15" customHeight="1">
      <c r="J743" s="1"/>
    </row>
    <row r="744" spans="10:10" ht="15" customHeight="1">
      <c r="J744" s="1"/>
    </row>
    <row r="745" spans="10:10" ht="15" customHeight="1">
      <c r="J745" s="1"/>
    </row>
    <row r="746" spans="10:10" ht="15" customHeight="1">
      <c r="J746" s="1"/>
    </row>
    <row r="747" spans="10:10" ht="15" customHeight="1">
      <c r="J747" s="1"/>
    </row>
    <row r="748" spans="10:10" ht="15" customHeight="1">
      <c r="J748" s="1"/>
    </row>
    <row r="749" spans="10:10" ht="15" customHeight="1">
      <c r="J749" s="1"/>
    </row>
    <row r="750" spans="10:10" ht="15" customHeight="1">
      <c r="J750" s="1"/>
    </row>
    <row r="751" spans="10:10" ht="15" customHeight="1">
      <c r="J751" s="1"/>
    </row>
    <row r="752" spans="10:10" ht="15" customHeight="1">
      <c r="J752" s="1"/>
    </row>
    <row r="753" spans="10:10" ht="15" customHeight="1">
      <c r="J753" s="1"/>
    </row>
  </sheetData>
  <sheetProtection password="CC3D" sheet="1" formatCells="0" formatColumns="0" formatRows="0" insertColumns="0" insertRows="0" insertHyperlinks="0" deleteColumns="0" deleteRows="0" sort="0" autoFilter="0" pivotTables="0"/>
  <mergeCells count="410">
    <mergeCell ref="B547:D547"/>
    <mergeCell ref="B487:C487"/>
    <mergeCell ref="D487:E487"/>
    <mergeCell ref="B494:C494"/>
    <mergeCell ref="D494:E494"/>
    <mergeCell ref="B501:C501"/>
    <mergeCell ref="D501:E501"/>
    <mergeCell ref="C434:D434"/>
    <mergeCell ref="C435:D435"/>
    <mergeCell ref="C441:D441"/>
    <mergeCell ref="C442:D442"/>
    <mergeCell ref="C448:D448"/>
    <mergeCell ref="C449:D449"/>
    <mergeCell ref="C455:D455"/>
    <mergeCell ref="C456:D456"/>
    <mergeCell ref="C462:D462"/>
    <mergeCell ref="B439:D439"/>
    <mergeCell ref="B446:D446"/>
    <mergeCell ref="B438:C438"/>
    <mergeCell ref="D438:E438"/>
    <mergeCell ref="B453:D453"/>
    <mergeCell ref="B460:D460"/>
    <mergeCell ref="B445:C445"/>
    <mergeCell ref="D445:E445"/>
    <mergeCell ref="B307:C307"/>
    <mergeCell ref="D307:E307"/>
    <mergeCell ref="B294:D294"/>
    <mergeCell ref="B452:C452"/>
    <mergeCell ref="D452:E452"/>
    <mergeCell ref="B459:C459"/>
    <mergeCell ref="D459:E459"/>
    <mergeCell ref="C353:D353"/>
    <mergeCell ref="C354:D354"/>
    <mergeCell ref="C361:D361"/>
    <mergeCell ref="C362:D362"/>
    <mergeCell ref="C368:D368"/>
    <mergeCell ref="C369:D369"/>
    <mergeCell ref="C378:D378"/>
    <mergeCell ref="C379:D379"/>
    <mergeCell ref="C385:D385"/>
    <mergeCell ref="D375:E375"/>
    <mergeCell ref="B375:C375"/>
    <mergeCell ref="B383:D383"/>
    <mergeCell ref="B366:D366"/>
    <mergeCell ref="D365:E365"/>
    <mergeCell ref="B365:C365"/>
    <mergeCell ref="B359:D359"/>
    <mergeCell ref="B404:D404"/>
    <mergeCell ref="B251:C251"/>
    <mergeCell ref="D251:E251"/>
    <mergeCell ref="C219:D219"/>
    <mergeCell ref="C220:D220"/>
    <mergeCell ref="C226:D226"/>
    <mergeCell ref="C227:D227"/>
    <mergeCell ref="C233:D233"/>
    <mergeCell ref="B224:D224"/>
    <mergeCell ref="C269:D269"/>
    <mergeCell ref="C234:D234"/>
    <mergeCell ref="C240:D240"/>
    <mergeCell ref="C241:D241"/>
    <mergeCell ref="C247:D247"/>
    <mergeCell ref="C248:D248"/>
    <mergeCell ref="C254:D254"/>
    <mergeCell ref="C255:D255"/>
    <mergeCell ref="C261:D261"/>
    <mergeCell ref="B238:D238"/>
    <mergeCell ref="B245:D245"/>
    <mergeCell ref="B252:D252"/>
    <mergeCell ref="B259:D259"/>
    <mergeCell ref="B210:D210"/>
    <mergeCell ref="B217:D217"/>
    <mergeCell ref="D179:E179"/>
    <mergeCell ref="D193:E193"/>
    <mergeCell ref="B202:C202"/>
    <mergeCell ref="D202:E202"/>
    <mergeCell ref="B194:D194"/>
    <mergeCell ref="B203:D203"/>
    <mergeCell ref="B231:D231"/>
    <mergeCell ref="B223:C223"/>
    <mergeCell ref="D223:E223"/>
    <mergeCell ref="B230:C230"/>
    <mergeCell ref="B186:C186"/>
    <mergeCell ref="D186:E186"/>
    <mergeCell ref="B193:C193"/>
    <mergeCell ref="C189:D189"/>
    <mergeCell ref="C206:D206"/>
    <mergeCell ref="C212:D212"/>
    <mergeCell ref="C213:D213"/>
    <mergeCell ref="B100:D100"/>
    <mergeCell ref="B108:D108"/>
    <mergeCell ref="B116:D116"/>
    <mergeCell ref="C182:D182"/>
    <mergeCell ref="C183:D183"/>
    <mergeCell ref="C190:D190"/>
    <mergeCell ref="C196:D196"/>
    <mergeCell ref="C197:D197"/>
    <mergeCell ref="C205:D205"/>
    <mergeCell ref="B172:C172"/>
    <mergeCell ref="D172:E172"/>
    <mergeCell ref="B150:C150"/>
    <mergeCell ref="B122:C122"/>
    <mergeCell ref="B179:C179"/>
    <mergeCell ref="D150:E150"/>
    <mergeCell ref="C103:D103"/>
    <mergeCell ref="C102:D102"/>
    <mergeCell ref="C111:D111"/>
    <mergeCell ref="C110:D110"/>
    <mergeCell ref="C119:D119"/>
    <mergeCell ref="C118:D118"/>
    <mergeCell ref="C154:D154"/>
    <mergeCell ref="C153:D153"/>
    <mergeCell ref="B123:D123"/>
    <mergeCell ref="B9:E10"/>
    <mergeCell ref="B78:C78"/>
    <mergeCell ref="D78:E78"/>
    <mergeCell ref="B92:C92"/>
    <mergeCell ref="D92:E92"/>
    <mergeCell ref="B13:E13"/>
    <mergeCell ref="B79:D79"/>
    <mergeCell ref="B93:D93"/>
    <mergeCell ref="B85:C85"/>
    <mergeCell ref="D85:E85"/>
    <mergeCell ref="C57:D57"/>
    <mergeCell ref="C58:D58"/>
    <mergeCell ref="C82:D82"/>
    <mergeCell ref="C81:D81"/>
    <mergeCell ref="C89:D89"/>
    <mergeCell ref="C88:D88"/>
    <mergeCell ref="C96:D96"/>
    <mergeCell ref="C95:D95"/>
    <mergeCell ref="B86:D86"/>
    <mergeCell ref="D122:E122"/>
    <mergeCell ref="C161:D161"/>
    <mergeCell ref="C168:D168"/>
    <mergeCell ref="C169:D169"/>
    <mergeCell ref="C125:D125"/>
    <mergeCell ref="C126:D126"/>
    <mergeCell ref="C132:D132"/>
    <mergeCell ref="C133:D133"/>
    <mergeCell ref="C139:D139"/>
    <mergeCell ref="C147:D147"/>
    <mergeCell ref="B129:C129"/>
    <mergeCell ref="D129:E129"/>
    <mergeCell ref="B136:C136"/>
    <mergeCell ref="D136:E136"/>
    <mergeCell ref="B143:C143"/>
    <mergeCell ref="C140:D140"/>
    <mergeCell ref="C146:D146"/>
    <mergeCell ref="B144:D144"/>
    <mergeCell ref="D143:E143"/>
    <mergeCell ref="B165:C165"/>
    <mergeCell ref="D165:E165"/>
    <mergeCell ref="B587:C587"/>
    <mergeCell ref="D587:E587"/>
    <mergeCell ref="B53:C53"/>
    <mergeCell ref="D53:E53"/>
    <mergeCell ref="B54:D54"/>
    <mergeCell ref="D529:E529"/>
    <mergeCell ref="B546:C546"/>
    <mergeCell ref="D546:E546"/>
    <mergeCell ref="B553:C553"/>
    <mergeCell ref="D553:E553"/>
    <mergeCell ref="B559:C559"/>
    <mergeCell ref="D559:E559"/>
    <mergeCell ref="B410:C410"/>
    <mergeCell ref="D410:E410"/>
    <mergeCell ref="B417:C417"/>
    <mergeCell ref="D417:E417"/>
    <mergeCell ref="B424:C424"/>
    <mergeCell ref="D424:E424"/>
    <mergeCell ref="B431:C431"/>
    <mergeCell ref="B554:D554"/>
    <mergeCell ref="B314:C314"/>
    <mergeCell ref="C175:D175"/>
    <mergeCell ref="C176:D176"/>
    <mergeCell ref="C160:D160"/>
    <mergeCell ref="B351:D351"/>
    <mergeCell ref="B280:D280"/>
    <mergeCell ref="B287:D287"/>
    <mergeCell ref="C282:D282"/>
    <mergeCell ref="C283:D283"/>
    <mergeCell ref="C289:D289"/>
    <mergeCell ref="B286:C286"/>
    <mergeCell ref="D286:E286"/>
    <mergeCell ref="C324:D324"/>
    <mergeCell ref="C325:D325"/>
    <mergeCell ref="C331:D331"/>
    <mergeCell ref="C332:D332"/>
    <mergeCell ref="C339:D339"/>
    <mergeCell ref="C340:D340"/>
    <mergeCell ref="C346:D346"/>
    <mergeCell ref="C347:D347"/>
    <mergeCell ref="C290:D290"/>
    <mergeCell ref="C296:D296"/>
    <mergeCell ref="C317:D317"/>
    <mergeCell ref="C318:D318"/>
    <mergeCell ref="D314:E314"/>
    <mergeCell ref="D293:E293"/>
    <mergeCell ref="B300:C300"/>
    <mergeCell ref="D300:E300"/>
    <mergeCell ref="B560:D560"/>
    <mergeCell ref="B588:D588"/>
    <mergeCell ref="B474:D474"/>
    <mergeCell ref="B481:D481"/>
    <mergeCell ref="B466:C466"/>
    <mergeCell ref="D466:E466"/>
    <mergeCell ref="B473:C473"/>
    <mergeCell ref="D473:E473"/>
    <mergeCell ref="B480:C480"/>
    <mergeCell ref="D480:E480"/>
    <mergeCell ref="B488:D488"/>
    <mergeCell ref="B495:D495"/>
    <mergeCell ref="B502:D502"/>
    <mergeCell ref="C549:D549"/>
    <mergeCell ref="C550:D550"/>
    <mergeCell ref="C556:D556"/>
    <mergeCell ref="C557:D557"/>
    <mergeCell ref="C562:D562"/>
    <mergeCell ref="C563:D563"/>
    <mergeCell ref="C469:D469"/>
    <mergeCell ref="C470:D470"/>
    <mergeCell ref="C476:D476"/>
    <mergeCell ref="C477:D477"/>
    <mergeCell ref="B467:D467"/>
    <mergeCell ref="B99:C99"/>
    <mergeCell ref="D99:E99"/>
    <mergeCell ref="B107:C107"/>
    <mergeCell ref="D107:E107"/>
    <mergeCell ref="B115:C115"/>
    <mergeCell ref="D115:E115"/>
    <mergeCell ref="D343:E343"/>
    <mergeCell ref="B209:C209"/>
    <mergeCell ref="D209:E209"/>
    <mergeCell ref="B216:C216"/>
    <mergeCell ref="D216:E216"/>
    <mergeCell ref="B151:D151"/>
    <mergeCell ref="B158:D158"/>
    <mergeCell ref="B166:D166"/>
    <mergeCell ref="B173:D173"/>
    <mergeCell ref="B180:D180"/>
    <mergeCell ref="B187:D187"/>
    <mergeCell ref="B157:C157"/>
    <mergeCell ref="D157:E157"/>
    <mergeCell ref="D230:E230"/>
    <mergeCell ref="B237:C237"/>
    <mergeCell ref="D237:E237"/>
    <mergeCell ref="B244:C244"/>
    <mergeCell ref="D244:E244"/>
    <mergeCell ref="B130:D130"/>
    <mergeCell ref="B137:D137"/>
    <mergeCell ref="B293:C293"/>
    <mergeCell ref="B315:D315"/>
    <mergeCell ref="B266:D266"/>
    <mergeCell ref="B273:D273"/>
    <mergeCell ref="D272:E272"/>
    <mergeCell ref="B258:C258"/>
    <mergeCell ref="D258:E258"/>
    <mergeCell ref="B265:C265"/>
    <mergeCell ref="D265:E265"/>
    <mergeCell ref="B272:C272"/>
    <mergeCell ref="B308:D308"/>
    <mergeCell ref="C262:D262"/>
    <mergeCell ref="C268:D268"/>
    <mergeCell ref="C275:D275"/>
    <mergeCell ref="C276:D276"/>
    <mergeCell ref="B279:C279"/>
    <mergeCell ref="D279:E279"/>
    <mergeCell ref="C297:D297"/>
    <mergeCell ref="C303:D303"/>
    <mergeCell ref="C304:D304"/>
    <mergeCell ref="C310:D310"/>
    <mergeCell ref="C311:D311"/>
    <mergeCell ref="B344:D344"/>
    <mergeCell ref="B301:D301"/>
    <mergeCell ref="B321:C321"/>
    <mergeCell ref="D321:E321"/>
    <mergeCell ref="B328:C328"/>
    <mergeCell ref="D328:E328"/>
    <mergeCell ref="B336:C336"/>
    <mergeCell ref="D336:E336"/>
    <mergeCell ref="B403:C403"/>
    <mergeCell ref="D403:E403"/>
    <mergeCell ref="B376:D376"/>
    <mergeCell ref="B397:D397"/>
    <mergeCell ref="B343:C343"/>
    <mergeCell ref="B322:D322"/>
    <mergeCell ref="B329:D329"/>
    <mergeCell ref="B337:D337"/>
    <mergeCell ref="B382:C382"/>
    <mergeCell ref="D382:E382"/>
    <mergeCell ref="B389:C389"/>
    <mergeCell ref="D389:E389"/>
    <mergeCell ref="B350:C350"/>
    <mergeCell ref="D350:E350"/>
    <mergeCell ref="B358:C358"/>
    <mergeCell ref="D358:E358"/>
    <mergeCell ref="B432:D432"/>
    <mergeCell ref="C386:D386"/>
    <mergeCell ref="C392:D392"/>
    <mergeCell ref="C393:D393"/>
    <mergeCell ref="C399:D399"/>
    <mergeCell ref="C400:D400"/>
    <mergeCell ref="B396:C396"/>
    <mergeCell ref="D396:E396"/>
    <mergeCell ref="C406:D406"/>
    <mergeCell ref="C407:D407"/>
    <mergeCell ref="C413:D413"/>
    <mergeCell ref="C414:D414"/>
    <mergeCell ref="C420:D420"/>
    <mergeCell ref="C421:D421"/>
    <mergeCell ref="C427:D427"/>
    <mergeCell ref="C428:D428"/>
    <mergeCell ref="D431:E431"/>
    <mergeCell ref="B390:D390"/>
    <mergeCell ref="B411:D411"/>
    <mergeCell ref="B418:D418"/>
    <mergeCell ref="B425:D425"/>
    <mergeCell ref="C463:D463"/>
    <mergeCell ref="C533:D533"/>
    <mergeCell ref="B508:C508"/>
    <mergeCell ref="D508:E508"/>
    <mergeCell ref="B529:C529"/>
    <mergeCell ref="C498:D498"/>
    <mergeCell ref="C504:D504"/>
    <mergeCell ref="C505:D505"/>
    <mergeCell ref="C511:D511"/>
    <mergeCell ref="C512:D512"/>
    <mergeCell ref="C532:D532"/>
    <mergeCell ref="C483:D483"/>
    <mergeCell ref="C484:D484"/>
    <mergeCell ref="C490:D490"/>
    <mergeCell ref="C491:D491"/>
    <mergeCell ref="C497:D497"/>
    <mergeCell ref="B509:D509"/>
    <mergeCell ref="B530:D530"/>
    <mergeCell ref="C590:D590"/>
    <mergeCell ref="C591:D591"/>
    <mergeCell ref="B594:C594"/>
    <mergeCell ref="D594:E594"/>
    <mergeCell ref="B595:D595"/>
    <mergeCell ref="C597:D597"/>
    <mergeCell ref="C598:D598"/>
    <mergeCell ref="B601:C601"/>
    <mergeCell ref="D601:E601"/>
    <mergeCell ref="B602:D602"/>
    <mergeCell ref="C604:D604"/>
    <mergeCell ref="C605:D605"/>
    <mergeCell ref="B608:C608"/>
    <mergeCell ref="D608:E608"/>
    <mergeCell ref="B609:D609"/>
    <mergeCell ref="C611:D611"/>
    <mergeCell ref="C612:D612"/>
    <mergeCell ref="B615:C615"/>
    <mergeCell ref="D615:E615"/>
    <mergeCell ref="B616:D616"/>
    <mergeCell ref="C618:D618"/>
    <mergeCell ref="C619:D619"/>
    <mergeCell ref="B622:C622"/>
    <mergeCell ref="D622:E622"/>
    <mergeCell ref="B623:D623"/>
    <mergeCell ref="C625:D625"/>
    <mergeCell ref="C626:D626"/>
    <mergeCell ref="B629:C629"/>
    <mergeCell ref="D629:E629"/>
    <mergeCell ref="B630:D630"/>
    <mergeCell ref="C632:D632"/>
    <mergeCell ref="C633:D633"/>
    <mergeCell ref="B636:C636"/>
    <mergeCell ref="D636:E636"/>
    <mergeCell ref="B637:D637"/>
    <mergeCell ref="C639:D639"/>
    <mergeCell ref="C640:D640"/>
    <mergeCell ref="B643:C643"/>
    <mergeCell ref="D643:E643"/>
    <mergeCell ref="B644:D644"/>
    <mergeCell ref="C646:D646"/>
    <mergeCell ref="C647:D647"/>
    <mergeCell ref="B650:C650"/>
    <mergeCell ref="D650:E650"/>
    <mergeCell ref="B651:D651"/>
    <mergeCell ref="C653:D653"/>
    <mergeCell ref="C654:D654"/>
    <mergeCell ref="B657:C657"/>
    <mergeCell ref="D657:E657"/>
    <mergeCell ref="B658:D658"/>
    <mergeCell ref="C660:D660"/>
    <mergeCell ref="C661:D661"/>
    <mergeCell ref="B664:C664"/>
    <mergeCell ref="D664:E664"/>
    <mergeCell ref="B665:D665"/>
    <mergeCell ref="C667:D667"/>
    <mergeCell ref="C668:D668"/>
    <mergeCell ref="B671:C671"/>
    <mergeCell ref="D671:E671"/>
    <mergeCell ref="B686:D686"/>
    <mergeCell ref="C688:D688"/>
    <mergeCell ref="C689:D689"/>
    <mergeCell ref="B692:C692"/>
    <mergeCell ref="D692:E692"/>
    <mergeCell ref="B693:D693"/>
    <mergeCell ref="B672:D672"/>
    <mergeCell ref="C674:D674"/>
    <mergeCell ref="C675:D675"/>
    <mergeCell ref="B678:C678"/>
    <mergeCell ref="D678:E678"/>
    <mergeCell ref="B679:D679"/>
    <mergeCell ref="C681:D681"/>
    <mergeCell ref="C682:D682"/>
    <mergeCell ref="B685:C685"/>
    <mergeCell ref="D685:E685"/>
  </mergeCells>
  <conditionalFormatting sqref="B79 E79">
    <cfRule type="cellIs" dxfId="759" priority="860" operator="between">
      <formula>"Asiento Descuadrado"</formula>
      <formula>"Asiento Descuadrado"</formula>
    </cfRule>
    <cfRule type="cellIs" dxfId="758" priority="1253" operator="between">
      <formula>"Asientoto Cuadrado"</formula>
      <formula>"Asiento Cuadrado"</formula>
    </cfRule>
  </conditionalFormatting>
  <conditionalFormatting sqref="E79">
    <cfRule type="cellIs" dxfId="757" priority="723" operator="notEqual">
      <formula>0</formula>
    </cfRule>
  </conditionalFormatting>
  <conditionalFormatting sqref="B86 E86">
    <cfRule type="cellIs" dxfId="756" priority="721" operator="between">
      <formula>"Asiento Descuadrado"</formula>
      <formula>"Asiento Descuadrado"</formula>
    </cfRule>
    <cfRule type="cellIs" dxfId="755" priority="722" operator="between">
      <formula>"Asientoto Cuadrado"</formula>
      <formula>"Asiento Cuadrado"</formula>
    </cfRule>
  </conditionalFormatting>
  <conditionalFormatting sqref="E86">
    <cfRule type="cellIs" dxfId="754" priority="720" operator="notEqual">
      <formula>0</formula>
    </cfRule>
  </conditionalFormatting>
  <conditionalFormatting sqref="B93 E93">
    <cfRule type="cellIs" dxfId="753" priority="718" operator="between">
      <formula>"Asiento Descuadrado"</formula>
      <formula>"Asiento Descuadrado"</formula>
    </cfRule>
    <cfRule type="cellIs" dxfId="752" priority="719" operator="between">
      <formula>"Asientoto Cuadrado"</formula>
      <formula>"Asiento Cuadrado"</formula>
    </cfRule>
  </conditionalFormatting>
  <conditionalFormatting sqref="E93">
    <cfRule type="cellIs" dxfId="751" priority="717" operator="notEqual">
      <formula>0</formula>
    </cfRule>
  </conditionalFormatting>
  <conditionalFormatting sqref="B100 E100">
    <cfRule type="cellIs" dxfId="750" priority="715" operator="between">
      <formula>"Asiento Descuadrado"</formula>
      <formula>"Asiento Descuadrado"</formula>
    </cfRule>
    <cfRule type="cellIs" dxfId="749" priority="716" operator="between">
      <formula>"Asientoto Cuadrado"</formula>
      <formula>"Asiento Cuadrado"</formula>
    </cfRule>
  </conditionalFormatting>
  <conditionalFormatting sqref="E100">
    <cfRule type="cellIs" dxfId="748" priority="714" operator="notEqual">
      <formula>0</formula>
    </cfRule>
  </conditionalFormatting>
  <conditionalFormatting sqref="B108 E108">
    <cfRule type="cellIs" dxfId="747" priority="712" operator="between">
      <formula>"Asiento Descuadrado"</formula>
      <formula>"Asiento Descuadrado"</formula>
    </cfRule>
    <cfRule type="cellIs" dxfId="746" priority="713" operator="between">
      <formula>"Asientoto Cuadrado"</formula>
      <formula>"Asiento Cuadrado"</formula>
    </cfRule>
  </conditionalFormatting>
  <conditionalFormatting sqref="E108">
    <cfRule type="cellIs" dxfId="745" priority="711" operator="notEqual">
      <formula>0</formula>
    </cfRule>
  </conditionalFormatting>
  <conditionalFormatting sqref="B116 E116">
    <cfRule type="cellIs" dxfId="744" priority="709" operator="between">
      <formula>"Asiento Descuadrado"</formula>
      <formula>"Asiento Descuadrado"</formula>
    </cfRule>
    <cfRule type="cellIs" dxfId="743" priority="710" operator="between">
      <formula>"Asientoto Cuadrado"</formula>
      <formula>"Asiento Cuadrado"</formula>
    </cfRule>
  </conditionalFormatting>
  <conditionalFormatting sqref="E116">
    <cfRule type="cellIs" dxfId="742" priority="708" operator="notEqual">
      <formula>0</formula>
    </cfRule>
  </conditionalFormatting>
  <conditionalFormatting sqref="B123">
    <cfRule type="cellIs" dxfId="741" priority="706" operator="between">
      <formula>"Asiento Descuadrado"</formula>
      <formula>"Asiento Descuadrado"</formula>
    </cfRule>
    <cfRule type="cellIs" dxfId="740" priority="707" operator="between">
      <formula>"Asientoto Cuadrado"</formula>
      <formula>"Asiento Cuadrado"</formula>
    </cfRule>
  </conditionalFormatting>
  <conditionalFormatting sqref="E123">
    <cfRule type="cellIs" dxfId="739" priority="703" operator="between">
      <formula>"Asiento Descuadrado"</formula>
      <formula>"Asiento Descuadrado"</formula>
    </cfRule>
    <cfRule type="cellIs" dxfId="738" priority="704" operator="between">
      <formula>"Asientoto Cuadrado"</formula>
      <formula>"Asiento Cuadrado"</formula>
    </cfRule>
  </conditionalFormatting>
  <conditionalFormatting sqref="E123">
    <cfRule type="cellIs" dxfId="737" priority="702" operator="notEqual">
      <formula>0</formula>
    </cfRule>
  </conditionalFormatting>
  <conditionalFormatting sqref="B130">
    <cfRule type="cellIs" dxfId="736" priority="700" operator="between">
      <formula>"Asiento Descuadrado"</formula>
      <formula>"Asiento Descuadrado"</formula>
    </cfRule>
    <cfRule type="cellIs" dxfId="735" priority="701" operator="between">
      <formula>"Asientoto Cuadrado"</formula>
      <formula>"Asiento Cuadrado"</formula>
    </cfRule>
  </conditionalFormatting>
  <conditionalFormatting sqref="E130">
    <cfRule type="cellIs" dxfId="734" priority="698" operator="between">
      <formula>"Asiento Descuadrado"</formula>
      <formula>"Asiento Descuadrado"</formula>
    </cfRule>
    <cfRule type="cellIs" dxfId="733" priority="699" operator="between">
      <formula>"Asientoto Cuadrado"</formula>
      <formula>"Asiento Cuadrado"</formula>
    </cfRule>
  </conditionalFormatting>
  <conditionalFormatting sqref="E130">
    <cfRule type="cellIs" dxfId="732" priority="697" operator="notEqual">
      <formula>0</formula>
    </cfRule>
  </conditionalFormatting>
  <conditionalFormatting sqref="B137">
    <cfRule type="cellIs" dxfId="731" priority="695" operator="between">
      <formula>"Asiento Descuadrado"</formula>
      <formula>"Asiento Descuadrado"</formula>
    </cfRule>
    <cfRule type="cellIs" dxfId="730" priority="696" operator="between">
      <formula>"Asientoto Cuadrado"</formula>
      <formula>"Asiento Cuadrado"</formula>
    </cfRule>
  </conditionalFormatting>
  <conditionalFormatting sqref="E137">
    <cfRule type="cellIs" dxfId="729" priority="693" operator="between">
      <formula>"Asiento Descuadrado"</formula>
      <formula>"Asiento Descuadrado"</formula>
    </cfRule>
    <cfRule type="cellIs" dxfId="728" priority="694" operator="between">
      <formula>"Asientoto Cuadrado"</formula>
      <formula>"Asiento Cuadrado"</formula>
    </cfRule>
  </conditionalFormatting>
  <conditionalFormatting sqref="E137">
    <cfRule type="cellIs" dxfId="727" priority="692" operator="notEqual">
      <formula>0</formula>
    </cfRule>
  </conditionalFormatting>
  <conditionalFormatting sqref="B144">
    <cfRule type="cellIs" dxfId="726" priority="690" operator="between">
      <formula>"Asiento Descuadrado"</formula>
      <formula>"Asiento Descuadrado"</formula>
    </cfRule>
    <cfRule type="cellIs" dxfId="725" priority="691" operator="between">
      <formula>"Asientoto Cuadrado"</formula>
      <formula>"Asiento Cuadrado"</formula>
    </cfRule>
  </conditionalFormatting>
  <conditionalFormatting sqref="E144">
    <cfRule type="cellIs" dxfId="724" priority="688" operator="between">
      <formula>"Asiento Descuadrado"</formula>
      <formula>"Asiento Descuadrado"</formula>
    </cfRule>
    <cfRule type="cellIs" dxfId="723" priority="689" operator="between">
      <formula>"Asientoto Cuadrado"</formula>
      <formula>"Asiento Cuadrado"</formula>
    </cfRule>
  </conditionalFormatting>
  <conditionalFormatting sqref="E144">
    <cfRule type="cellIs" dxfId="722" priority="687" operator="notEqual">
      <formula>0</formula>
    </cfRule>
  </conditionalFormatting>
  <conditionalFormatting sqref="B151">
    <cfRule type="cellIs" dxfId="721" priority="685" operator="between">
      <formula>"Asiento Descuadrado"</formula>
      <formula>"Asiento Descuadrado"</formula>
    </cfRule>
    <cfRule type="cellIs" dxfId="720" priority="686" operator="between">
      <formula>"Asientoto Cuadrado"</formula>
      <formula>"Asiento Cuadrado"</formula>
    </cfRule>
  </conditionalFormatting>
  <conditionalFormatting sqref="E151">
    <cfRule type="cellIs" dxfId="719" priority="683" operator="between">
      <formula>"Asiento Descuadrado"</formula>
      <formula>"Asiento Descuadrado"</formula>
    </cfRule>
    <cfRule type="cellIs" dxfId="718" priority="684" operator="between">
      <formula>"Asientoto Cuadrado"</formula>
      <formula>"Asiento Cuadrado"</formula>
    </cfRule>
  </conditionalFormatting>
  <conditionalFormatting sqref="E151">
    <cfRule type="cellIs" dxfId="717" priority="682" operator="notEqual">
      <formula>0</formula>
    </cfRule>
  </conditionalFormatting>
  <conditionalFormatting sqref="B158">
    <cfRule type="cellIs" dxfId="716" priority="680" operator="between">
      <formula>"Asiento Descuadrado"</formula>
      <formula>"Asiento Descuadrado"</formula>
    </cfRule>
    <cfRule type="cellIs" dxfId="715" priority="681" operator="between">
      <formula>"Asientoto Cuadrado"</formula>
      <formula>"Asiento Cuadrado"</formula>
    </cfRule>
  </conditionalFormatting>
  <conditionalFormatting sqref="E158">
    <cfRule type="cellIs" dxfId="714" priority="678" operator="between">
      <formula>"Asiento Descuadrado"</formula>
      <formula>"Asiento Descuadrado"</formula>
    </cfRule>
    <cfRule type="cellIs" dxfId="713" priority="679" operator="between">
      <formula>"Asientoto Cuadrado"</formula>
      <formula>"Asiento Cuadrado"</formula>
    </cfRule>
  </conditionalFormatting>
  <conditionalFormatting sqref="E158">
    <cfRule type="cellIs" dxfId="712" priority="677" operator="notEqual">
      <formula>0</formula>
    </cfRule>
  </conditionalFormatting>
  <conditionalFormatting sqref="B166">
    <cfRule type="cellIs" dxfId="711" priority="675" operator="between">
      <formula>"Asiento Descuadrado"</formula>
      <formula>"Asiento Descuadrado"</formula>
    </cfRule>
    <cfRule type="cellIs" dxfId="710" priority="676" operator="between">
      <formula>"Asientoto Cuadrado"</formula>
      <formula>"Asiento Cuadrado"</formula>
    </cfRule>
  </conditionalFormatting>
  <conditionalFormatting sqref="E166">
    <cfRule type="cellIs" dxfId="709" priority="670" operator="between">
      <formula>"Asiento Descuadrado"</formula>
      <formula>"Asiento Descuadrado"</formula>
    </cfRule>
    <cfRule type="cellIs" dxfId="708" priority="671" operator="between">
      <formula>"Asientoto Cuadrado"</formula>
      <formula>"Asiento Cuadrado"</formula>
    </cfRule>
  </conditionalFormatting>
  <conditionalFormatting sqref="E166">
    <cfRule type="cellIs" dxfId="707" priority="669" operator="notEqual">
      <formula>0</formula>
    </cfRule>
  </conditionalFormatting>
  <conditionalFormatting sqref="B173">
    <cfRule type="cellIs" dxfId="706" priority="667" operator="between">
      <formula>"Asiento Descuadrado"</formula>
      <formula>"Asiento Descuadrado"</formula>
    </cfRule>
    <cfRule type="cellIs" dxfId="705" priority="668" operator="between">
      <formula>"Asientoto Cuadrado"</formula>
      <formula>"Asiento Cuadrado"</formula>
    </cfRule>
  </conditionalFormatting>
  <conditionalFormatting sqref="E173">
    <cfRule type="cellIs" dxfId="704" priority="665" operator="between">
      <formula>"Asiento Descuadrado"</formula>
      <formula>"Asiento Descuadrado"</formula>
    </cfRule>
    <cfRule type="cellIs" dxfId="703" priority="666" operator="between">
      <formula>"Asientoto Cuadrado"</formula>
      <formula>"Asiento Cuadrado"</formula>
    </cfRule>
  </conditionalFormatting>
  <conditionalFormatting sqref="E173">
    <cfRule type="cellIs" dxfId="702" priority="664" operator="notEqual">
      <formula>0</formula>
    </cfRule>
  </conditionalFormatting>
  <conditionalFormatting sqref="B180">
    <cfRule type="cellIs" dxfId="701" priority="662" operator="between">
      <formula>"Asiento Descuadrado"</formula>
      <formula>"Asiento Descuadrado"</formula>
    </cfRule>
    <cfRule type="cellIs" dxfId="700" priority="663" operator="between">
      <formula>"Asientoto Cuadrado"</formula>
      <formula>"Asiento Cuadrado"</formula>
    </cfRule>
  </conditionalFormatting>
  <conditionalFormatting sqref="E180">
    <cfRule type="cellIs" dxfId="699" priority="660" operator="between">
      <formula>"Asiento Descuadrado"</formula>
      <formula>"Asiento Descuadrado"</formula>
    </cfRule>
    <cfRule type="cellIs" dxfId="698" priority="661" operator="between">
      <formula>"Asientoto Cuadrado"</formula>
      <formula>"Asiento Cuadrado"</formula>
    </cfRule>
  </conditionalFormatting>
  <conditionalFormatting sqref="E180">
    <cfRule type="cellIs" dxfId="697" priority="659" operator="notEqual">
      <formula>0</formula>
    </cfRule>
  </conditionalFormatting>
  <conditionalFormatting sqref="B187">
    <cfRule type="cellIs" dxfId="696" priority="657" operator="between">
      <formula>"Asiento Descuadrado"</formula>
      <formula>"Asiento Descuadrado"</formula>
    </cfRule>
    <cfRule type="cellIs" dxfId="695" priority="658" operator="between">
      <formula>"Asientoto Cuadrado"</formula>
      <formula>"Asiento Cuadrado"</formula>
    </cfRule>
  </conditionalFormatting>
  <conditionalFormatting sqref="E187">
    <cfRule type="cellIs" dxfId="694" priority="655" operator="between">
      <formula>"Asiento Descuadrado"</formula>
      <formula>"Asiento Descuadrado"</formula>
    </cfRule>
    <cfRule type="cellIs" dxfId="693" priority="656" operator="between">
      <formula>"Asientoto Cuadrado"</formula>
      <formula>"Asiento Cuadrado"</formula>
    </cfRule>
  </conditionalFormatting>
  <conditionalFormatting sqref="E187">
    <cfRule type="cellIs" dxfId="692" priority="654" operator="notEqual">
      <formula>0</formula>
    </cfRule>
  </conditionalFormatting>
  <conditionalFormatting sqref="B194">
    <cfRule type="cellIs" dxfId="691" priority="652" operator="between">
      <formula>"Asiento Descuadrado"</formula>
      <formula>"Asiento Descuadrado"</formula>
    </cfRule>
    <cfRule type="cellIs" dxfId="690" priority="653" operator="between">
      <formula>"Asientoto Cuadrado"</formula>
      <formula>"Asiento Cuadrado"</formula>
    </cfRule>
  </conditionalFormatting>
  <conditionalFormatting sqref="E194">
    <cfRule type="cellIs" dxfId="689" priority="650" operator="between">
      <formula>"Asiento Descuadrado"</formula>
      <formula>"Asiento Descuadrado"</formula>
    </cfRule>
    <cfRule type="cellIs" dxfId="688" priority="651" operator="between">
      <formula>"Asientoto Cuadrado"</formula>
      <formula>"Asiento Cuadrado"</formula>
    </cfRule>
  </conditionalFormatting>
  <conditionalFormatting sqref="E194">
    <cfRule type="cellIs" dxfId="687" priority="649" operator="notEqual">
      <formula>0</formula>
    </cfRule>
  </conditionalFormatting>
  <conditionalFormatting sqref="B203">
    <cfRule type="cellIs" dxfId="686" priority="647" operator="between">
      <formula>"Asiento Descuadrado"</formula>
      <formula>"Asiento Descuadrado"</formula>
    </cfRule>
    <cfRule type="cellIs" dxfId="685" priority="648" operator="between">
      <formula>"Asientoto Cuadrado"</formula>
      <formula>"Asiento Cuadrado"</formula>
    </cfRule>
  </conditionalFormatting>
  <conditionalFormatting sqref="E203">
    <cfRule type="cellIs" dxfId="684" priority="645" operator="between">
      <formula>"Asiento Descuadrado"</formula>
      <formula>"Asiento Descuadrado"</formula>
    </cfRule>
    <cfRule type="cellIs" dxfId="683" priority="646" operator="between">
      <formula>"Asientoto Cuadrado"</formula>
      <formula>"Asiento Cuadrado"</formula>
    </cfRule>
  </conditionalFormatting>
  <conditionalFormatting sqref="E203">
    <cfRule type="cellIs" dxfId="682" priority="644" operator="notEqual">
      <formula>0</formula>
    </cfRule>
  </conditionalFormatting>
  <conditionalFormatting sqref="B210">
    <cfRule type="cellIs" dxfId="681" priority="642" operator="between">
      <formula>"Asiento Descuadrado"</formula>
      <formula>"Asiento Descuadrado"</formula>
    </cfRule>
    <cfRule type="cellIs" dxfId="680" priority="643" operator="between">
      <formula>"Asientoto Cuadrado"</formula>
      <formula>"Asiento Cuadrado"</formula>
    </cfRule>
  </conditionalFormatting>
  <conditionalFormatting sqref="E210">
    <cfRule type="cellIs" dxfId="679" priority="640" operator="between">
      <formula>"Asiento Descuadrado"</formula>
      <formula>"Asiento Descuadrado"</formula>
    </cfRule>
    <cfRule type="cellIs" dxfId="678" priority="641" operator="between">
      <formula>"Asientoto Cuadrado"</formula>
      <formula>"Asiento Cuadrado"</formula>
    </cfRule>
  </conditionalFormatting>
  <conditionalFormatting sqref="E210">
    <cfRule type="cellIs" dxfId="677" priority="639" operator="notEqual">
      <formula>0</formula>
    </cfRule>
  </conditionalFormatting>
  <conditionalFormatting sqref="B217">
    <cfRule type="cellIs" dxfId="676" priority="637" operator="between">
      <formula>"Asiento Descuadrado"</formula>
      <formula>"Asiento Descuadrado"</formula>
    </cfRule>
    <cfRule type="cellIs" dxfId="675" priority="638" operator="between">
      <formula>"Asientoto Cuadrado"</formula>
      <formula>"Asiento Cuadrado"</formula>
    </cfRule>
  </conditionalFormatting>
  <conditionalFormatting sqref="E217">
    <cfRule type="cellIs" dxfId="674" priority="635" operator="between">
      <formula>"Asiento Descuadrado"</formula>
      <formula>"Asiento Descuadrado"</formula>
    </cfRule>
    <cfRule type="cellIs" dxfId="673" priority="636" operator="between">
      <formula>"Asientoto Cuadrado"</formula>
      <formula>"Asiento Cuadrado"</formula>
    </cfRule>
  </conditionalFormatting>
  <conditionalFormatting sqref="E217">
    <cfRule type="cellIs" dxfId="672" priority="634" operator="notEqual">
      <formula>0</formula>
    </cfRule>
  </conditionalFormatting>
  <conditionalFormatting sqref="B224">
    <cfRule type="cellIs" dxfId="671" priority="632" operator="between">
      <formula>"Asiento Descuadrado"</formula>
      <formula>"Asiento Descuadrado"</formula>
    </cfRule>
    <cfRule type="cellIs" dxfId="670" priority="633" operator="between">
      <formula>"Asientoto Cuadrado"</formula>
      <formula>"Asiento Cuadrado"</formula>
    </cfRule>
  </conditionalFormatting>
  <conditionalFormatting sqref="E224">
    <cfRule type="cellIs" dxfId="669" priority="630" operator="between">
      <formula>"Asiento Descuadrado"</formula>
      <formula>"Asiento Descuadrado"</formula>
    </cfRule>
    <cfRule type="cellIs" dxfId="668" priority="631" operator="between">
      <formula>"Asientoto Cuadrado"</formula>
      <formula>"Asiento Cuadrado"</formula>
    </cfRule>
  </conditionalFormatting>
  <conditionalFormatting sqref="E224">
    <cfRule type="cellIs" dxfId="667" priority="629" operator="notEqual">
      <formula>0</formula>
    </cfRule>
  </conditionalFormatting>
  <conditionalFormatting sqref="B231">
    <cfRule type="cellIs" dxfId="666" priority="627" operator="between">
      <formula>"Asiento Descuadrado"</formula>
      <formula>"Asiento Descuadrado"</formula>
    </cfRule>
    <cfRule type="cellIs" dxfId="665" priority="628" operator="between">
      <formula>"Asientoto Cuadrado"</formula>
      <formula>"Asiento Cuadrado"</formula>
    </cfRule>
  </conditionalFormatting>
  <conditionalFormatting sqref="E231">
    <cfRule type="cellIs" dxfId="664" priority="625" operator="between">
      <formula>"Asiento Descuadrado"</formula>
      <formula>"Asiento Descuadrado"</formula>
    </cfRule>
    <cfRule type="cellIs" dxfId="663" priority="626" operator="between">
      <formula>"Asientoto Cuadrado"</formula>
      <formula>"Asiento Cuadrado"</formula>
    </cfRule>
  </conditionalFormatting>
  <conditionalFormatting sqref="E231">
    <cfRule type="cellIs" dxfId="662" priority="624" operator="notEqual">
      <formula>0</formula>
    </cfRule>
  </conditionalFormatting>
  <conditionalFormatting sqref="B238">
    <cfRule type="cellIs" dxfId="661" priority="622" operator="between">
      <formula>"Asiento Descuadrado"</formula>
      <formula>"Asiento Descuadrado"</formula>
    </cfRule>
    <cfRule type="cellIs" dxfId="660" priority="623" operator="between">
      <formula>"Asientoto Cuadrado"</formula>
      <formula>"Asiento Cuadrado"</formula>
    </cfRule>
  </conditionalFormatting>
  <conditionalFormatting sqref="E238">
    <cfRule type="cellIs" dxfId="659" priority="620" operator="between">
      <formula>"Asiento Descuadrado"</formula>
      <formula>"Asiento Descuadrado"</formula>
    </cfRule>
    <cfRule type="cellIs" dxfId="658" priority="621" operator="between">
      <formula>"Asientoto Cuadrado"</formula>
      <formula>"Asiento Cuadrado"</formula>
    </cfRule>
  </conditionalFormatting>
  <conditionalFormatting sqref="E238">
    <cfRule type="cellIs" dxfId="657" priority="619" operator="notEqual">
      <formula>0</formula>
    </cfRule>
  </conditionalFormatting>
  <conditionalFormatting sqref="B245">
    <cfRule type="cellIs" dxfId="656" priority="617" operator="between">
      <formula>"Asiento Descuadrado"</formula>
      <formula>"Asiento Descuadrado"</formula>
    </cfRule>
    <cfRule type="cellIs" dxfId="655" priority="618" operator="between">
      <formula>"Asientoto Cuadrado"</formula>
      <formula>"Asiento Cuadrado"</formula>
    </cfRule>
  </conditionalFormatting>
  <conditionalFormatting sqref="E245">
    <cfRule type="cellIs" dxfId="654" priority="615" operator="between">
      <formula>"Asiento Descuadrado"</formula>
      <formula>"Asiento Descuadrado"</formula>
    </cfRule>
    <cfRule type="cellIs" dxfId="653" priority="616" operator="between">
      <formula>"Asientoto Cuadrado"</formula>
      <formula>"Asiento Cuadrado"</formula>
    </cfRule>
  </conditionalFormatting>
  <conditionalFormatting sqref="E245">
    <cfRule type="cellIs" dxfId="652" priority="614" operator="notEqual">
      <formula>0</formula>
    </cfRule>
  </conditionalFormatting>
  <conditionalFormatting sqref="B252">
    <cfRule type="cellIs" dxfId="651" priority="612" operator="between">
      <formula>"Asiento Descuadrado"</formula>
      <formula>"Asiento Descuadrado"</formula>
    </cfRule>
    <cfRule type="cellIs" dxfId="650" priority="613" operator="between">
      <formula>"Asientoto Cuadrado"</formula>
      <formula>"Asiento Cuadrado"</formula>
    </cfRule>
  </conditionalFormatting>
  <conditionalFormatting sqref="E252">
    <cfRule type="cellIs" dxfId="649" priority="610" operator="between">
      <formula>"Asiento Descuadrado"</formula>
      <formula>"Asiento Descuadrado"</formula>
    </cfRule>
    <cfRule type="cellIs" dxfId="648" priority="611" operator="between">
      <formula>"Asientoto Cuadrado"</formula>
      <formula>"Asiento Cuadrado"</formula>
    </cfRule>
  </conditionalFormatting>
  <conditionalFormatting sqref="E252">
    <cfRule type="cellIs" dxfId="647" priority="609" operator="notEqual">
      <formula>0</formula>
    </cfRule>
  </conditionalFormatting>
  <conditionalFormatting sqref="B259">
    <cfRule type="cellIs" dxfId="646" priority="607" operator="between">
      <formula>"Asiento Descuadrado"</formula>
      <formula>"Asiento Descuadrado"</formula>
    </cfRule>
    <cfRule type="cellIs" dxfId="645" priority="608" operator="between">
      <formula>"Asientoto Cuadrado"</formula>
      <formula>"Asiento Cuadrado"</formula>
    </cfRule>
  </conditionalFormatting>
  <conditionalFormatting sqref="E259">
    <cfRule type="cellIs" dxfId="644" priority="605" operator="between">
      <formula>"Asiento Descuadrado"</formula>
      <formula>"Asiento Descuadrado"</formula>
    </cfRule>
    <cfRule type="cellIs" dxfId="643" priority="606" operator="between">
      <formula>"Asientoto Cuadrado"</formula>
      <formula>"Asiento Cuadrado"</formula>
    </cfRule>
  </conditionalFormatting>
  <conditionalFormatting sqref="E259">
    <cfRule type="cellIs" dxfId="642" priority="604" operator="notEqual">
      <formula>0</formula>
    </cfRule>
  </conditionalFormatting>
  <conditionalFormatting sqref="B266">
    <cfRule type="cellIs" dxfId="641" priority="602" operator="between">
      <formula>"Asiento Descuadrado"</formula>
      <formula>"Asiento Descuadrado"</formula>
    </cfRule>
    <cfRule type="cellIs" dxfId="640" priority="603" operator="between">
      <formula>"Asientoto Cuadrado"</formula>
      <formula>"Asiento Cuadrado"</formula>
    </cfRule>
  </conditionalFormatting>
  <conditionalFormatting sqref="E266">
    <cfRule type="cellIs" dxfId="639" priority="600" operator="between">
      <formula>"Asiento Descuadrado"</formula>
      <formula>"Asiento Descuadrado"</formula>
    </cfRule>
    <cfRule type="cellIs" dxfId="638" priority="601" operator="between">
      <formula>"Asientoto Cuadrado"</formula>
      <formula>"Asiento Cuadrado"</formula>
    </cfRule>
  </conditionalFormatting>
  <conditionalFormatting sqref="E266">
    <cfRule type="cellIs" dxfId="637" priority="599" operator="notEqual">
      <formula>0</formula>
    </cfRule>
  </conditionalFormatting>
  <conditionalFormatting sqref="B273">
    <cfRule type="cellIs" dxfId="636" priority="597" operator="between">
      <formula>"Asiento Descuadrado"</formula>
      <formula>"Asiento Descuadrado"</formula>
    </cfRule>
    <cfRule type="cellIs" dxfId="635" priority="598" operator="between">
      <formula>"Asientoto Cuadrado"</formula>
      <formula>"Asiento Cuadrado"</formula>
    </cfRule>
  </conditionalFormatting>
  <conditionalFormatting sqref="E273">
    <cfRule type="cellIs" dxfId="634" priority="595" operator="between">
      <formula>"Asiento Descuadrado"</formula>
      <formula>"Asiento Descuadrado"</formula>
    </cfRule>
    <cfRule type="cellIs" dxfId="633" priority="596" operator="between">
      <formula>"Asientoto Cuadrado"</formula>
      <formula>"Asiento Cuadrado"</formula>
    </cfRule>
  </conditionalFormatting>
  <conditionalFormatting sqref="E273">
    <cfRule type="cellIs" dxfId="632" priority="594" operator="notEqual">
      <formula>0</formula>
    </cfRule>
  </conditionalFormatting>
  <conditionalFormatting sqref="B280">
    <cfRule type="cellIs" dxfId="631" priority="592" operator="between">
      <formula>"Asiento Descuadrado"</formula>
      <formula>"Asiento Descuadrado"</formula>
    </cfRule>
    <cfRule type="cellIs" dxfId="630" priority="593" operator="between">
      <formula>"Asientoto Cuadrado"</formula>
      <formula>"Asiento Cuadrado"</formula>
    </cfRule>
  </conditionalFormatting>
  <conditionalFormatting sqref="E280">
    <cfRule type="cellIs" dxfId="629" priority="590" operator="between">
      <formula>"Asiento Descuadrado"</formula>
      <formula>"Asiento Descuadrado"</formula>
    </cfRule>
    <cfRule type="cellIs" dxfId="628" priority="591" operator="between">
      <formula>"Asientoto Cuadrado"</formula>
      <formula>"Asiento Cuadrado"</formula>
    </cfRule>
  </conditionalFormatting>
  <conditionalFormatting sqref="E280">
    <cfRule type="cellIs" dxfId="627" priority="589" operator="notEqual">
      <formula>0</formula>
    </cfRule>
  </conditionalFormatting>
  <conditionalFormatting sqref="B287">
    <cfRule type="cellIs" dxfId="626" priority="587" operator="between">
      <formula>"Asiento Descuadrado"</formula>
      <formula>"Asiento Descuadrado"</formula>
    </cfRule>
    <cfRule type="cellIs" dxfId="625" priority="588" operator="between">
      <formula>"Asientoto Cuadrado"</formula>
      <formula>"Asiento Cuadrado"</formula>
    </cfRule>
  </conditionalFormatting>
  <conditionalFormatting sqref="E287">
    <cfRule type="cellIs" dxfId="624" priority="585" operator="between">
      <formula>"Asiento Descuadrado"</formula>
      <formula>"Asiento Descuadrado"</formula>
    </cfRule>
    <cfRule type="cellIs" dxfId="623" priority="586" operator="between">
      <formula>"Asientoto Cuadrado"</formula>
      <formula>"Asiento Cuadrado"</formula>
    </cfRule>
  </conditionalFormatting>
  <conditionalFormatting sqref="E287">
    <cfRule type="cellIs" dxfId="622" priority="584" operator="notEqual">
      <formula>0</formula>
    </cfRule>
  </conditionalFormatting>
  <conditionalFormatting sqref="B294">
    <cfRule type="cellIs" dxfId="621" priority="582" operator="between">
      <formula>"Asiento Descuadrado"</formula>
      <formula>"Asiento Descuadrado"</formula>
    </cfRule>
    <cfRule type="cellIs" dxfId="620" priority="583" operator="between">
      <formula>"Asientoto Cuadrado"</formula>
      <formula>"Asiento Cuadrado"</formula>
    </cfRule>
  </conditionalFormatting>
  <conditionalFormatting sqref="E294">
    <cfRule type="cellIs" dxfId="619" priority="580" operator="between">
      <formula>"Asiento Descuadrado"</formula>
      <formula>"Asiento Descuadrado"</formula>
    </cfRule>
    <cfRule type="cellIs" dxfId="618" priority="581" operator="between">
      <formula>"Asientoto Cuadrado"</formula>
      <formula>"Asiento Cuadrado"</formula>
    </cfRule>
  </conditionalFormatting>
  <conditionalFormatting sqref="E294">
    <cfRule type="cellIs" dxfId="617" priority="579" operator="notEqual">
      <formula>0</formula>
    </cfRule>
  </conditionalFormatting>
  <conditionalFormatting sqref="B301">
    <cfRule type="cellIs" dxfId="616" priority="577" operator="between">
      <formula>"Asiento Descuadrado"</formula>
      <formula>"Asiento Descuadrado"</formula>
    </cfRule>
    <cfRule type="cellIs" dxfId="615" priority="578" operator="between">
      <formula>"Asientoto Cuadrado"</formula>
      <formula>"Asiento Cuadrado"</formula>
    </cfRule>
  </conditionalFormatting>
  <conditionalFormatting sqref="E301">
    <cfRule type="cellIs" dxfId="614" priority="575" operator="between">
      <formula>"Asiento Descuadrado"</formula>
      <formula>"Asiento Descuadrado"</formula>
    </cfRule>
    <cfRule type="cellIs" dxfId="613" priority="576" operator="between">
      <formula>"Asientoto Cuadrado"</formula>
      <formula>"Asiento Cuadrado"</formula>
    </cfRule>
  </conditionalFormatting>
  <conditionalFormatting sqref="E301">
    <cfRule type="cellIs" dxfId="612" priority="574" operator="notEqual">
      <formula>0</formula>
    </cfRule>
  </conditionalFormatting>
  <conditionalFormatting sqref="B308">
    <cfRule type="cellIs" dxfId="611" priority="572" operator="between">
      <formula>"Asiento Descuadrado"</formula>
      <formula>"Asiento Descuadrado"</formula>
    </cfRule>
    <cfRule type="cellIs" dxfId="610" priority="573" operator="between">
      <formula>"Asientoto Cuadrado"</formula>
      <formula>"Asiento Cuadrado"</formula>
    </cfRule>
  </conditionalFormatting>
  <conditionalFormatting sqref="E308">
    <cfRule type="cellIs" dxfId="609" priority="570" operator="between">
      <formula>"Asiento Descuadrado"</formula>
      <formula>"Asiento Descuadrado"</formula>
    </cfRule>
    <cfRule type="cellIs" dxfId="608" priority="571" operator="between">
      <formula>"Asientoto Cuadrado"</formula>
      <formula>"Asiento Cuadrado"</formula>
    </cfRule>
  </conditionalFormatting>
  <conditionalFormatting sqref="E308">
    <cfRule type="cellIs" dxfId="607" priority="569" operator="notEqual">
      <formula>0</formula>
    </cfRule>
  </conditionalFormatting>
  <conditionalFormatting sqref="B315">
    <cfRule type="cellIs" dxfId="606" priority="567" operator="between">
      <formula>"Asiento Descuadrado"</formula>
      <formula>"Asiento Descuadrado"</formula>
    </cfRule>
    <cfRule type="cellIs" dxfId="605" priority="568" operator="between">
      <formula>"Asientoto Cuadrado"</formula>
      <formula>"Asiento Cuadrado"</formula>
    </cfRule>
  </conditionalFormatting>
  <conditionalFormatting sqref="E315">
    <cfRule type="cellIs" dxfId="604" priority="565" operator="between">
      <formula>"Asiento Descuadrado"</formula>
      <formula>"Asiento Descuadrado"</formula>
    </cfRule>
    <cfRule type="cellIs" dxfId="603" priority="566" operator="between">
      <formula>"Asientoto Cuadrado"</formula>
      <formula>"Asiento Cuadrado"</formula>
    </cfRule>
  </conditionalFormatting>
  <conditionalFormatting sqref="E315">
    <cfRule type="cellIs" dxfId="602" priority="564" operator="notEqual">
      <formula>0</formula>
    </cfRule>
  </conditionalFormatting>
  <conditionalFormatting sqref="B322">
    <cfRule type="cellIs" dxfId="601" priority="562" operator="between">
      <formula>"Asiento Descuadrado"</formula>
      <formula>"Asiento Descuadrado"</formula>
    </cfRule>
    <cfRule type="cellIs" dxfId="600" priority="563" operator="between">
      <formula>"Asientoto Cuadrado"</formula>
      <formula>"Asiento Cuadrado"</formula>
    </cfRule>
  </conditionalFormatting>
  <conditionalFormatting sqref="E322">
    <cfRule type="cellIs" dxfId="599" priority="560" operator="between">
      <formula>"Asiento Descuadrado"</formula>
      <formula>"Asiento Descuadrado"</formula>
    </cfRule>
    <cfRule type="cellIs" dxfId="598" priority="561" operator="between">
      <formula>"Asientoto Cuadrado"</formula>
      <formula>"Asiento Cuadrado"</formula>
    </cfRule>
  </conditionalFormatting>
  <conditionalFormatting sqref="E322">
    <cfRule type="cellIs" dxfId="597" priority="559" operator="notEqual">
      <formula>0</formula>
    </cfRule>
  </conditionalFormatting>
  <conditionalFormatting sqref="B329">
    <cfRule type="cellIs" dxfId="596" priority="557" operator="between">
      <formula>"Asiento Descuadrado"</formula>
      <formula>"Asiento Descuadrado"</formula>
    </cfRule>
    <cfRule type="cellIs" dxfId="595" priority="558" operator="between">
      <formula>"Asientoto Cuadrado"</formula>
      <formula>"Asiento Cuadrado"</formula>
    </cfRule>
  </conditionalFormatting>
  <conditionalFormatting sqref="E329">
    <cfRule type="cellIs" dxfId="594" priority="555" operator="between">
      <formula>"Asiento Descuadrado"</formula>
      <formula>"Asiento Descuadrado"</formula>
    </cfRule>
    <cfRule type="cellIs" dxfId="593" priority="556" operator="between">
      <formula>"Asientoto Cuadrado"</formula>
      <formula>"Asiento Cuadrado"</formula>
    </cfRule>
  </conditionalFormatting>
  <conditionalFormatting sqref="E329">
    <cfRule type="cellIs" dxfId="592" priority="554" operator="notEqual">
      <formula>0</formula>
    </cfRule>
  </conditionalFormatting>
  <conditionalFormatting sqref="B337">
    <cfRule type="cellIs" dxfId="591" priority="552" operator="between">
      <formula>"Asiento Descuadrado"</formula>
      <formula>"Asiento Descuadrado"</formula>
    </cfRule>
    <cfRule type="cellIs" dxfId="590" priority="553" operator="between">
      <formula>"Asientoto Cuadrado"</formula>
      <formula>"Asiento Cuadrado"</formula>
    </cfRule>
  </conditionalFormatting>
  <conditionalFormatting sqref="E337">
    <cfRule type="cellIs" dxfId="589" priority="550" operator="between">
      <formula>"Asiento Descuadrado"</formula>
      <formula>"Asiento Descuadrado"</formula>
    </cfRule>
    <cfRule type="cellIs" dxfId="588" priority="551" operator="between">
      <formula>"Asientoto Cuadrado"</formula>
      <formula>"Asiento Cuadrado"</formula>
    </cfRule>
  </conditionalFormatting>
  <conditionalFormatting sqref="E337">
    <cfRule type="cellIs" dxfId="587" priority="549" operator="notEqual">
      <formula>0</formula>
    </cfRule>
  </conditionalFormatting>
  <conditionalFormatting sqref="B344">
    <cfRule type="cellIs" dxfId="586" priority="547" operator="between">
      <formula>"Asiento Descuadrado"</formula>
      <formula>"Asiento Descuadrado"</formula>
    </cfRule>
    <cfRule type="cellIs" dxfId="585" priority="548" operator="between">
      <formula>"Asientoto Cuadrado"</formula>
      <formula>"Asiento Cuadrado"</formula>
    </cfRule>
  </conditionalFormatting>
  <conditionalFormatting sqref="E344">
    <cfRule type="cellIs" dxfId="584" priority="545" operator="between">
      <formula>"Asiento Descuadrado"</formula>
      <formula>"Asiento Descuadrado"</formula>
    </cfRule>
    <cfRule type="cellIs" dxfId="583" priority="546" operator="between">
      <formula>"Asientoto Cuadrado"</formula>
      <formula>"Asiento Cuadrado"</formula>
    </cfRule>
  </conditionalFormatting>
  <conditionalFormatting sqref="E344">
    <cfRule type="cellIs" dxfId="582" priority="544" operator="notEqual">
      <formula>0</formula>
    </cfRule>
  </conditionalFormatting>
  <conditionalFormatting sqref="B351">
    <cfRule type="cellIs" dxfId="581" priority="542" operator="between">
      <formula>"Asiento Descuadrado"</formula>
      <formula>"Asiento Descuadrado"</formula>
    </cfRule>
    <cfRule type="cellIs" dxfId="580" priority="543" operator="between">
      <formula>"Asientoto Cuadrado"</formula>
      <formula>"Asiento Cuadrado"</formula>
    </cfRule>
  </conditionalFormatting>
  <conditionalFormatting sqref="E351">
    <cfRule type="cellIs" dxfId="579" priority="540" operator="between">
      <formula>"Asiento Descuadrado"</formula>
      <formula>"Asiento Descuadrado"</formula>
    </cfRule>
    <cfRule type="cellIs" dxfId="578" priority="541" operator="between">
      <formula>"Asientoto Cuadrado"</formula>
      <formula>"Asiento Cuadrado"</formula>
    </cfRule>
  </conditionalFormatting>
  <conditionalFormatting sqref="E351">
    <cfRule type="cellIs" dxfId="577" priority="539" operator="notEqual">
      <formula>0</formula>
    </cfRule>
  </conditionalFormatting>
  <conditionalFormatting sqref="B359">
    <cfRule type="cellIs" dxfId="576" priority="537" operator="between">
      <formula>"Asiento Descuadrado"</formula>
      <formula>"Asiento Descuadrado"</formula>
    </cfRule>
    <cfRule type="cellIs" dxfId="575" priority="538" operator="between">
      <formula>"Asientoto Cuadrado"</formula>
      <formula>"Asiento Cuadrado"</formula>
    </cfRule>
  </conditionalFormatting>
  <conditionalFormatting sqref="E359">
    <cfRule type="cellIs" dxfId="574" priority="535" operator="between">
      <formula>"Asiento Descuadrado"</formula>
      <formula>"Asiento Descuadrado"</formula>
    </cfRule>
    <cfRule type="cellIs" dxfId="573" priority="536" operator="between">
      <formula>"Asientoto Cuadrado"</formula>
      <formula>"Asiento Cuadrado"</formula>
    </cfRule>
  </conditionalFormatting>
  <conditionalFormatting sqref="E359">
    <cfRule type="cellIs" dxfId="572" priority="534" operator="notEqual">
      <formula>0</formula>
    </cfRule>
  </conditionalFormatting>
  <conditionalFormatting sqref="B366">
    <cfRule type="cellIs" dxfId="571" priority="532" operator="between">
      <formula>"Asiento Descuadrado"</formula>
      <formula>"Asiento Descuadrado"</formula>
    </cfRule>
    <cfRule type="cellIs" dxfId="570" priority="533" operator="between">
      <formula>"Asientoto Cuadrado"</formula>
      <formula>"Asiento Cuadrado"</formula>
    </cfRule>
  </conditionalFormatting>
  <conditionalFormatting sqref="E366">
    <cfRule type="cellIs" dxfId="569" priority="530" operator="between">
      <formula>"Asiento Descuadrado"</formula>
      <formula>"Asiento Descuadrado"</formula>
    </cfRule>
    <cfRule type="cellIs" dxfId="568" priority="531" operator="between">
      <formula>"Asientoto Cuadrado"</formula>
      <formula>"Asiento Cuadrado"</formula>
    </cfRule>
  </conditionalFormatting>
  <conditionalFormatting sqref="E366">
    <cfRule type="cellIs" dxfId="567" priority="529" operator="notEqual">
      <formula>0</formula>
    </cfRule>
  </conditionalFormatting>
  <conditionalFormatting sqref="B376">
    <cfRule type="cellIs" dxfId="566" priority="527" operator="between">
      <formula>"Asiento Descuadrado"</formula>
      <formula>"Asiento Descuadrado"</formula>
    </cfRule>
    <cfRule type="cellIs" dxfId="565" priority="528" operator="between">
      <formula>"Asientoto Cuadrado"</formula>
      <formula>"Asiento Cuadrado"</formula>
    </cfRule>
  </conditionalFormatting>
  <conditionalFormatting sqref="E376">
    <cfRule type="cellIs" dxfId="564" priority="525" operator="between">
      <formula>"Asiento Descuadrado"</formula>
      <formula>"Asiento Descuadrado"</formula>
    </cfRule>
    <cfRule type="cellIs" dxfId="563" priority="526" operator="between">
      <formula>"Asientoto Cuadrado"</formula>
      <formula>"Asiento Cuadrado"</formula>
    </cfRule>
  </conditionalFormatting>
  <conditionalFormatting sqref="E376">
    <cfRule type="cellIs" dxfId="562" priority="524" operator="notEqual">
      <formula>0</formula>
    </cfRule>
  </conditionalFormatting>
  <conditionalFormatting sqref="B383">
    <cfRule type="cellIs" dxfId="561" priority="522" operator="between">
      <formula>"Asiento Descuadrado"</formula>
      <formula>"Asiento Descuadrado"</formula>
    </cfRule>
    <cfRule type="cellIs" dxfId="560" priority="523" operator="between">
      <formula>"Asientoto Cuadrado"</formula>
      <formula>"Asiento Cuadrado"</formula>
    </cfRule>
  </conditionalFormatting>
  <conditionalFormatting sqref="E383">
    <cfRule type="cellIs" dxfId="559" priority="520" operator="between">
      <formula>"Asiento Descuadrado"</formula>
      <formula>"Asiento Descuadrado"</formula>
    </cfRule>
    <cfRule type="cellIs" dxfId="558" priority="521" operator="between">
      <formula>"Asientoto Cuadrado"</formula>
      <formula>"Asiento Cuadrado"</formula>
    </cfRule>
  </conditionalFormatting>
  <conditionalFormatting sqref="E383">
    <cfRule type="cellIs" dxfId="557" priority="519" operator="notEqual">
      <formula>0</formula>
    </cfRule>
  </conditionalFormatting>
  <conditionalFormatting sqref="B390">
    <cfRule type="cellIs" dxfId="556" priority="517" operator="between">
      <formula>"Asiento Descuadrado"</formula>
      <formula>"Asiento Descuadrado"</formula>
    </cfRule>
    <cfRule type="cellIs" dxfId="555" priority="518" operator="between">
      <formula>"Asientoto Cuadrado"</formula>
      <formula>"Asiento Cuadrado"</formula>
    </cfRule>
  </conditionalFormatting>
  <conditionalFormatting sqref="E390">
    <cfRule type="cellIs" dxfId="554" priority="515" operator="between">
      <formula>"Asiento Descuadrado"</formula>
      <formula>"Asiento Descuadrado"</formula>
    </cfRule>
    <cfRule type="cellIs" dxfId="553" priority="516" operator="between">
      <formula>"Asientoto Cuadrado"</formula>
      <formula>"Asiento Cuadrado"</formula>
    </cfRule>
  </conditionalFormatting>
  <conditionalFormatting sqref="E390">
    <cfRule type="cellIs" dxfId="552" priority="514" operator="notEqual">
      <formula>0</formula>
    </cfRule>
  </conditionalFormatting>
  <conditionalFormatting sqref="B397">
    <cfRule type="cellIs" dxfId="551" priority="512" operator="between">
      <formula>"Asiento Descuadrado"</formula>
      <formula>"Asiento Descuadrado"</formula>
    </cfRule>
    <cfRule type="cellIs" dxfId="550" priority="513" operator="between">
      <formula>"Asientoto Cuadrado"</formula>
      <formula>"Asiento Cuadrado"</formula>
    </cfRule>
  </conditionalFormatting>
  <conditionalFormatting sqref="E397">
    <cfRule type="cellIs" dxfId="549" priority="510" operator="between">
      <formula>"Asiento Descuadrado"</formula>
      <formula>"Asiento Descuadrado"</formula>
    </cfRule>
    <cfRule type="cellIs" dxfId="548" priority="511" operator="between">
      <formula>"Asientoto Cuadrado"</formula>
      <formula>"Asiento Cuadrado"</formula>
    </cfRule>
  </conditionalFormatting>
  <conditionalFormatting sqref="E397">
    <cfRule type="cellIs" dxfId="547" priority="509" operator="notEqual">
      <formula>0</formula>
    </cfRule>
  </conditionalFormatting>
  <conditionalFormatting sqref="B404">
    <cfRule type="cellIs" dxfId="546" priority="507" operator="between">
      <formula>"Asiento Descuadrado"</formula>
      <formula>"Asiento Descuadrado"</formula>
    </cfRule>
    <cfRule type="cellIs" dxfId="545" priority="508" operator="between">
      <formula>"Asientoto Cuadrado"</formula>
      <formula>"Asiento Cuadrado"</formula>
    </cfRule>
  </conditionalFormatting>
  <conditionalFormatting sqref="E404">
    <cfRule type="cellIs" dxfId="544" priority="505" operator="between">
      <formula>"Asiento Descuadrado"</formula>
      <formula>"Asiento Descuadrado"</formula>
    </cfRule>
    <cfRule type="cellIs" dxfId="543" priority="506" operator="between">
      <formula>"Asientoto Cuadrado"</formula>
      <formula>"Asiento Cuadrado"</formula>
    </cfRule>
  </conditionalFormatting>
  <conditionalFormatting sqref="E404">
    <cfRule type="cellIs" dxfId="542" priority="504" operator="notEqual">
      <formula>0</formula>
    </cfRule>
  </conditionalFormatting>
  <conditionalFormatting sqref="B411">
    <cfRule type="cellIs" dxfId="541" priority="502" operator="between">
      <formula>"Asiento Descuadrado"</formula>
      <formula>"Asiento Descuadrado"</formula>
    </cfRule>
    <cfRule type="cellIs" dxfId="540" priority="503" operator="between">
      <formula>"Asientoto Cuadrado"</formula>
      <formula>"Asiento Cuadrado"</formula>
    </cfRule>
  </conditionalFormatting>
  <conditionalFormatting sqref="E411">
    <cfRule type="cellIs" dxfId="539" priority="500" operator="between">
      <formula>"Asiento Descuadrado"</formula>
      <formula>"Asiento Descuadrado"</formula>
    </cfRule>
    <cfRule type="cellIs" dxfId="538" priority="501" operator="between">
      <formula>"Asientoto Cuadrado"</formula>
      <formula>"Asiento Cuadrado"</formula>
    </cfRule>
  </conditionalFormatting>
  <conditionalFormatting sqref="E411">
    <cfRule type="cellIs" dxfId="537" priority="499" operator="notEqual">
      <formula>0</formula>
    </cfRule>
  </conditionalFormatting>
  <conditionalFormatting sqref="B418">
    <cfRule type="cellIs" dxfId="536" priority="497" operator="between">
      <formula>"Asiento Descuadrado"</formula>
      <formula>"Asiento Descuadrado"</formula>
    </cfRule>
    <cfRule type="cellIs" dxfId="535" priority="498" operator="between">
      <formula>"Asientoto Cuadrado"</formula>
      <formula>"Asiento Cuadrado"</formula>
    </cfRule>
  </conditionalFormatting>
  <conditionalFormatting sqref="E418">
    <cfRule type="cellIs" dxfId="534" priority="495" operator="between">
      <formula>"Asiento Descuadrado"</formula>
      <formula>"Asiento Descuadrado"</formula>
    </cfRule>
    <cfRule type="cellIs" dxfId="533" priority="496" operator="between">
      <formula>"Asientoto Cuadrado"</formula>
      <formula>"Asiento Cuadrado"</formula>
    </cfRule>
  </conditionalFormatting>
  <conditionalFormatting sqref="E418">
    <cfRule type="cellIs" dxfId="532" priority="494" operator="notEqual">
      <formula>0</formula>
    </cfRule>
  </conditionalFormatting>
  <conditionalFormatting sqref="B425">
    <cfRule type="cellIs" dxfId="531" priority="492" operator="between">
      <formula>"Asiento Descuadrado"</formula>
      <formula>"Asiento Descuadrado"</formula>
    </cfRule>
    <cfRule type="cellIs" dxfId="530" priority="493" operator="between">
      <formula>"Asientoto Cuadrado"</formula>
      <formula>"Asiento Cuadrado"</formula>
    </cfRule>
  </conditionalFormatting>
  <conditionalFormatting sqref="E425">
    <cfRule type="cellIs" dxfId="529" priority="490" operator="between">
      <formula>"Asiento Descuadrado"</formula>
      <formula>"Asiento Descuadrado"</formula>
    </cfRule>
    <cfRule type="cellIs" dxfId="528" priority="491" operator="between">
      <formula>"Asientoto Cuadrado"</formula>
      <formula>"Asiento Cuadrado"</formula>
    </cfRule>
  </conditionalFormatting>
  <conditionalFormatting sqref="E425">
    <cfRule type="cellIs" dxfId="527" priority="489" operator="notEqual">
      <formula>0</formula>
    </cfRule>
  </conditionalFormatting>
  <conditionalFormatting sqref="B432">
    <cfRule type="cellIs" dxfId="526" priority="487" operator="between">
      <formula>"Asiento Descuadrado"</formula>
      <formula>"Asiento Descuadrado"</formula>
    </cfRule>
    <cfRule type="cellIs" dxfId="525" priority="488" operator="between">
      <formula>"Asientoto Cuadrado"</formula>
      <formula>"Asiento Cuadrado"</formula>
    </cfRule>
  </conditionalFormatting>
  <conditionalFormatting sqref="E432">
    <cfRule type="cellIs" dxfId="524" priority="485" operator="between">
      <formula>"Asiento Descuadrado"</formula>
      <formula>"Asiento Descuadrado"</formula>
    </cfRule>
    <cfRule type="cellIs" dxfId="523" priority="486" operator="between">
      <formula>"Asientoto Cuadrado"</formula>
      <formula>"Asiento Cuadrado"</formula>
    </cfRule>
  </conditionalFormatting>
  <conditionalFormatting sqref="E432">
    <cfRule type="cellIs" dxfId="522" priority="484" operator="notEqual">
      <formula>0</formula>
    </cfRule>
  </conditionalFormatting>
  <conditionalFormatting sqref="B439">
    <cfRule type="cellIs" dxfId="521" priority="482" operator="between">
      <formula>"Asiento Descuadrado"</formula>
      <formula>"Asiento Descuadrado"</formula>
    </cfRule>
    <cfRule type="cellIs" dxfId="520" priority="483" operator="between">
      <formula>"Asientoto Cuadrado"</formula>
      <formula>"Asiento Cuadrado"</formula>
    </cfRule>
  </conditionalFormatting>
  <conditionalFormatting sqref="E439">
    <cfRule type="cellIs" dxfId="519" priority="480" operator="between">
      <formula>"Asiento Descuadrado"</formula>
      <formula>"Asiento Descuadrado"</formula>
    </cfRule>
    <cfRule type="cellIs" dxfId="518" priority="481" operator="between">
      <formula>"Asientoto Cuadrado"</formula>
      <formula>"Asiento Cuadrado"</formula>
    </cfRule>
  </conditionalFormatting>
  <conditionalFormatting sqref="E439">
    <cfRule type="cellIs" dxfId="517" priority="479" operator="notEqual">
      <formula>0</formula>
    </cfRule>
  </conditionalFormatting>
  <conditionalFormatting sqref="B446">
    <cfRule type="cellIs" dxfId="516" priority="477" operator="between">
      <formula>"Asiento Descuadrado"</formula>
      <formula>"Asiento Descuadrado"</formula>
    </cfRule>
    <cfRule type="cellIs" dxfId="515" priority="478" operator="between">
      <formula>"Asientoto Cuadrado"</formula>
      <formula>"Asiento Cuadrado"</formula>
    </cfRule>
  </conditionalFormatting>
  <conditionalFormatting sqref="E446">
    <cfRule type="cellIs" dxfId="514" priority="475" operator="between">
      <formula>"Asiento Descuadrado"</formula>
      <formula>"Asiento Descuadrado"</formula>
    </cfRule>
    <cfRule type="cellIs" dxfId="513" priority="476" operator="between">
      <formula>"Asientoto Cuadrado"</formula>
      <formula>"Asiento Cuadrado"</formula>
    </cfRule>
  </conditionalFormatting>
  <conditionalFormatting sqref="E446">
    <cfRule type="cellIs" dxfId="512" priority="474" operator="notEqual">
      <formula>0</formula>
    </cfRule>
  </conditionalFormatting>
  <conditionalFormatting sqref="B453">
    <cfRule type="cellIs" dxfId="511" priority="472" operator="between">
      <formula>"Asiento Descuadrado"</formula>
      <formula>"Asiento Descuadrado"</formula>
    </cfRule>
    <cfRule type="cellIs" dxfId="510" priority="473" operator="between">
      <formula>"Asientoto Cuadrado"</formula>
      <formula>"Asiento Cuadrado"</formula>
    </cfRule>
  </conditionalFormatting>
  <conditionalFormatting sqref="E453">
    <cfRule type="cellIs" dxfId="509" priority="470" operator="between">
      <formula>"Asiento Descuadrado"</formula>
      <formula>"Asiento Descuadrado"</formula>
    </cfRule>
    <cfRule type="cellIs" dxfId="508" priority="471" operator="between">
      <formula>"Asientoto Cuadrado"</formula>
      <formula>"Asiento Cuadrado"</formula>
    </cfRule>
  </conditionalFormatting>
  <conditionalFormatting sqref="E453">
    <cfRule type="cellIs" dxfId="507" priority="469" operator="notEqual">
      <formula>0</formula>
    </cfRule>
  </conditionalFormatting>
  <conditionalFormatting sqref="B460">
    <cfRule type="cellIs" dxfId="506" priority="467" operator="between">
      <formula>"Asiento Descuadrado"</formula>
      <formula>"Asiento Descuadrado"</formula>
    </cfRule>
    <cfRule type="cellIs" dxfId="505" priority="468" operator="between">
      <formula>"Asientoto Cuadrado"</formula>
      <formula>"Asiento Cuadrado"</formula>
    </cfRule>
  </conditionalFormatting>
  <conditionalFormatting sqref="E460">
    <cfRule type="cellIs" dxfId="504" priority="465" operator="between">
      <formula>"Asiento Descuadrado"</formula>
      <formula>"Asiento Descuadrado"</formula>
    </cfRule>
    <cfRule type="cellIs" dxfId="503" priority="466" operator="between">
      <formula>"Asientoto Cuadrado"</formula>
      <formula>"Asiento Cuadrado"</formula>
    </cfRule>
  </conditionalFormatting>
  <conditionalFormatting sqref="E460">
    <cfRule type="cellIs" dxfId="502" priority="464" operator="notEqual">
      <formula>0</formula>
    </cfRule>
  </conditionalFormatting>
  <conditionalFormatting sqref="B467">
    <cfRule type="cellIs" dxfId="501" priority="462" operator="between">
      <formula>"Asiento Descuadrado"</formula>
      <formula>"Asiento Descuadrado"</formula>
    </cfRule>
    <cfRule type="cellIs" dxfId="500" priority="463" operator="between">
      <formula>"Asientoto Cuadrado"</formula>
      <formula>"Asiento Cuadrado"</formula>
    </cfRule>
  </conditionalFormatting>
  <conditionalFormatting sqref="E467">
    <cfRule type="cellIs" dxfId="499" priority="460" operator="between">
      <formula>"Asiento Descuadrado"</formula>
      <formula>"Asiento Descuadrado"</formula>
    </cfRule>
    <cfRule type="cellIs" dxfId="498" priority="461" operator="between">
      <formula>"Asientoto Cuadrado"</formula>
      <formula>"Asiento Cuadrado"</formula>
    </cfRule>
  </conditionalFormatting>
  <conditionalFormatting sqref="E467">
    <cfRule type="cellIs" dxfId="497" priority="459" operator="notEqual">
      <formula>0</formula>
    </cfRule>
  </conditionalFormatting>
  <conditionalFormatting sqref="B474">
    <cfRule type="cellIs" dxfId="496" priority="457" operator="between">
      <formula>"Asiento Descuadrado"</formula>
      <formula>"Asiento Descuadrado"</formula>
    </cfRule>
    <cfRule type="cellIs" dxfId="495" priority="458" operator="between">
      <formula>"Asientoto Cuadrado"</formula>
      <formula>"Asiento Cuadrado"</formula>
    </cfRule>
  </conditionalFormatting>
  <conditionalFormatting sqref="E474">
    <cfRule type="cellIs" dxfId="494" priority="455" operator="between">
      <formula>"Asiento Descuadrado"</formula>
      <formula>"Asiento Descuadrado"</formula>
    </cfRule>
    <cfRule type="cellIs" dxfId="493" priority="456" operator="between">
      <formula>"Asientoto Cuadrado"</formula>
      <formula>"Asiento Cuadrado"</formula>
    </cfRule>
  </conditionalFormatting>
  <conditionalFormatting sqref="E474">
    <cfRule type="cellIs" dxfId="492" priority="454" operator="notEqual">
      <formula>0</formula>
    </cfRule>
  </conditionalFormatting>
  <conditionalFormatting sqref="B481">
    <cfRule type="cellIs" dxfId="491" priority="452" operator="between">
      <formula>"Asiento Descuadrado"</formula>
      <formula>"Asiento Descuadrado"</formula>
    </cfRule>
    <cfRule type="cellIs" dxfId="490" priority="453" operator="between">
      <formula>"Asientoto Cuadrado"</formula>
      <formula>"Asiento Cuadrado"</formula>
    </cfRule>
  </conditionalFormatting>
  <conditionalFormatting sqref="E481">
    <cfRule type="cellIs" dxfId="489" priority="450" operator="between">
      <formula>"Asiento Descuadrado"</formula>
      <formula>"Asiento Descuadrado"</formula>
    </cfRule>
    <cfRule type="cellIs" dxfId="488" priority="451" operator="between">
      <formula>"Asientoto Cuadrado"</formula>
      <formula>"Asiento Cuadrado"</formula>
    </cfRule>
  </conditionalFormatting>
  <conditionalFormatting sqref="E481">
    <cfRule type="cellIs" dxfId="487" priority="449" operator="notEqual">
      <formula>0</formula>
    </cfRule>
  </conditionalFormatting>
  <conditionalFormatting sqref="B488">
    <cfRule type="cellIs" dxfId="486" priority="447" operator="between">
      <formula>"Asiento Descuadrado"</formula>
      <formula>"Asiento Descuadrado"</formula>
    </cfRule>
    <cfRule type="cellIs" dxfId="485" priority="448" operator="between">
      <formula>"Asientoto Cuadrado"</formula>
      <formula>"Asiento Cuadrado"</formula>
    </cfRule>
  </conditionalFormatting>
  <conditionalFormatting sqref="E488">
    <cfRule type="cellIs" dxfId="484" priority="445" operator="between">
      <formula>"Asiento Descuadrado"</formula>
      <formula>"Asiento Descuadrado"</formula>
    </cfRule>
    <cfRule type="cellIs" dxfId="483" priority="446" operator="between">
      <formula>"Asientoto Cuadrado"</formula>
      <formula>"Asiento Cuadrado"</formula>
    </cfRule>
  </conditionalFormatting>
  <conditionalFormatting sqref="E488">
    <cfRule type="cellIs" dxfId="482" priority="444" operator="notEqual">
      <formula>0</formula>
    </cfRule>
  </conditionalFormatting>
  <conditionalFormatting sqref="B495">
    <cfRule type="cellIs" dxfId="481" priority="442" operator="between">
      <formula>"Asiento Descuadrado"</formula>
      <formula>"Asiento Descuadrado"</formula>
    </cfRule>
    <cfRule type="cellIs" dxfId="480" priority="443" operator="between">
      <formula>"Asientoto Cuadrado"</formula>
      <formula>"Asiento Cuadrado"</formula>
    </cfRule>
  </conditionalFormatting>
  <conditionalFormatting sqref="E495">
    <cfRule type="cellIs" dxfId="479" priority="440" operator="between">
      <formula>"Asiento Descuadrado"</formula>
      <formula>"Asiento Descuadrado"</formula>
    </cfRule>
    <cfRule type="cellIs" dxfId="478" priority="441" operator="between">
      <formula>"Asientoto Cuadrado"</formula>
      <formula>"Asiento Cuadrado"</formula>
    </cfRule>
  </conditionalFormatting>
  <conditionalFormatting sqref="E495">
    <cfRule type="cellIs" dxfId="477" priority="439" operator="notEqual">
      <formula>0</formula>
    </cfRule>
  </conditionalFormatting>
  <conditionalFormatting sqref="B502">
    <cfRule type="cellIs" dxfId="476" priority="437" operator="between">
      <formula>"Asiento Descuadrado"</formula>
      <formula>"Asiento Descuadrado"</formula>
    </cfRule>
    <cfRule type="cellIs" dxfId="475" priority="438" operator="between">
      <formula>"Asientoto Cuadrado"</formula>
      <formula>"Asiento Cuadrado"</formula>
    </cfRule>
  </conditionalFormatting>
  <conditionalFormatting sqref="E502">
    <cfRule type="cellIs" dxfId="474" priority="435" operator="between">
      <formula>"Asiento Descuadrado"</formula>
      <formula>"Asiento Descuadrado"</formula>
    </cfRule>
    <cfRule type="cellIs" dxfId="473" priority="436" operator="between">
      <formula>"Asientoto Cuadrado"</formula>
      <formula>"Asiento Cuadrado"</formula>
    </cfRule>
  </conditionalFormatting>
  <conditionalFormatting sqref="E502">
    <cfRule type="cellIs" dxfId="472" priority="434" operator="notEqual">
      <formula>0</formula>
    </cfRule>
  </conditionalFormatting>
  <conditionalFormatting sqref="B509">
    <cfRule type="cellIs" dxfId="471" priority="432" operator="between">
      <formula>"Asiento Descuadrado"</formula>
      <formula>"Asiento Descuadrado"</formula>
    </cfRule>
    <cfRule type="cellIs" dxfId="470" priority="433" operator="between">
      <formula>"Asientoto Cuadrado"</formula>
      <formula>"Asiento Cuadrado"</formula>
    </cfRule>
  </conditionalFormatting>
  <conditionalFormatting sqref="E509">
    <cfRule type="cellIs" dxfId="469" priority="430" operator="between">
      <formula>"Asiento Descuadrado"</formula>
      <formula>"Asiento Descuadrado"</formula>
    </cfRule>
    <cfRule type="cellIs" dxfId="468" priority="431" operator="between">
      <formula>"Asientoto Cuadrado"</formula>
      <formula>"Asiento Cuadrado"</formula>
    </cfRule>
  </conditionalFormatting>
  <conditionalFormatting sqref="E509">
    <cfRule type="cellIs" dxfId="467" priority="429" operator="notEqual">
      <formula>0</formula>
    </cfRule>
  </conditionalFormatting>
  <conditionalFormatting sqref="B530">
    <cfRule type="cellIs" dxfId="466" priority="427" operator="between">
      <formula>"Asiento Descuadrado"</formula>
      <formula>"Asiento Descuadrado"</formula>
    </cfRule>
    <cfRule type="cellIs" dxfId="465" priority="428" operator="between">
      <formula>"Asientoto Cuadrado"</formula>
      <formula>"Asiento Cuadrado"</formula>
    </cfRule>
  </conditionalFormatting>
  <conditionalFormatting sqref="E530">
    <cfRule type="cellIs" dxfId="464" priority="425" operator="between">
      <formula>"Asiento Descuadrado"</formula>
      <formula>"Asiento Descuadrado"</formula>
    </cfRule>
    <cfRule type="cellIs" dxfId="463" priority="426" operator="between">
      <formula>"Asientoto Cuadrado"</formula>
      <formula>"Asiento Cuadrado"</formula>
    </cfRule>
  </conditionalFormatting>
  <conditionalFormatting sqref="E530">
    <cfRule type="cellIs" dxfId="462" priority="424" operator="notEqual">
      <formula>0</formula>
    </cfRule>
  </conditionalFormatting>
  <conditionalFormatting sqref="B547">
    <cfRule type="cellIs" dxfId="461" priority="422" operator="between">
      <formula>"Asiento Descuadrado"</formula>
      <formula>"Asiento Descuadrado"</formula>
    </cfRule>
    <cfRule type="cellIs" dxfId="460" priority="423" operator="between">
      <formula>"Asientoto Cuadrado"</formula>
      <formula>"Asiento Cuadrado"</formula>
    </cfRule>
  </conditionalFormatting>
  <conditionalFormatting sqref="E547">
    <cfRule type="cellIs" dxfId="459" priority="420" operator="between">
      <formula>"Asiento Descuadrado"</formula>
      <formula>"Asiento Descuadrado"</formula>
    </cfRule>
    <cfRule type="cellIs" dxfId="458" priority="421" operator="between">
      <formula>"Asientoto Cuadrado"</formula>
      <formula>"Asiento Cuadrado"</formula>
    </cfRule>
  </conditionalFormatting>
  <conditionalFormatting sqref="E547">
    <cfRule type="cellIs" dxfId="457" priority="419" operator="notEqual">
      <formula>0</formula>
    </cfRule>
  </conditionalFormatting>
  <conditionalFormatting sqref="B554">
    <cfRule type="cellIs" dxfId="456" priority="417" operator="between">
      <formula>"Asiento Descuadrado"</formula>
      <formula>"Asiento Descuadrado"</formula>
    </cfRule>
    <cfRule type="cellIs" dxfId="455" priority="418" operator="between">
      <formula>"Asientoto Cuadrado"</formula>
      <formula>"Asiento Cuadrado"</formula>
    </cfRule>
  </conditionalFormatting>
  <conditionalFormatting sqref="E554">
    <cfRule type="cellIs" dxfId="454" priority="415" operator="between">
      <formula>"Asiento Descuadrado"</formula>
      <formula>"Asiento Descuadrado"</formula>
    </cfRule>
    <cfRule type="cellIs" dxfId="453" priority="416" operator="between">
      <formula>"Asientoto Cuadrado"</formula>
      <formula>"Asiento Cuadrado"</formula>
    </cfRule>
  </conditionalFormatting>
  <conditionalFormatting sqref="E554">
    <cfRule type="cellIs" dxfId="452" priority="414" operator="notEqual">
      <formula>0</formula>
    </cfRule>
  </conditionalFormatting>
  <conditionalFormatting sqref="B560">
    <cfRule type="cellIs" dxfId="451" priority="412" operator="between">
      <formula>"Asiento Descuadrado"</formula>
      <formula>"Asiento Descuadrado"</formula>
    </cfRule>
    <cfRule type="cellIs" dxfId="450" priority="413" operator="between">
      <formula>"Asientoto Cuadrado"</formula>
      <formula>"Asiento Cuadrado"</formula>
    </cfRule>
  </conditionalFormatting>
  <conditionalFormatting sqref="E560">
    <cfRule type="cellIs" dxfId="449" priority="410" operator="between">
      <formula>"Asiento Descuadrado"</formula>
      <formula>"Asiento Descuadrado"</formula>
    </cfRule>
    <cfRule type="cellIs" dxfId="448" priority="411" operator="between">
      <formula>"Asientoto Cuadrado"</formula>
      <formula>"Asiento Cuadrado"</formula>
    </cfRule>
  </conditionalFormatting>
  <conditionalFormatting sqref="E560">
    <cfRule type="cellIs" dxfId="447" priority="409" operator="notEqual">
      <formula>0</formula>
    </cfRule>
  </conditionalFormatting>
  <conditionalFormatting sqref="B588">
    <cfRule type="cellIs" dxfId="446" priority="407" operator="between">
      <formula>"Asiento Descuadrado"</formula>
      <formula>"Asiento Descuadrado"</formula>
    </cfRule>
    <cfRule type="cellIs" dxfId="445" priority="408" operator="between">
      <formula>"Asientoto Cuadrado"</formula>
      <formula>"Asiento Cuadrado"</formula>
    </cfRule>
  </conditionalFormatting>
  <conditionalFormatting sqref="E588">
    <cfRule type="cellIs" dxfId="444" priority="405" operator="between">
      <formula>"Asiento Descuadrado"</formula>
      <formula>"Asiento Descuadrado"</formula>
    </cfRule>
    <cfRule type="cellIs" dxfId="443" priority="406" operator="between">
      <formula>"Asientoto Cuadrado"</formula>
      <formula>"Asiento Cuadrado"</formula>
    </cfRule>
  </conditionalFormatting>
  <conditionalFormatting sqref="E588">
    <cfRule type="cellIs" dxfId="442" priority="404" operator="notEqual">
      <formula>0</formula>
    </cfRule>
  </conditionalFormatting>
  <conditionalFormatting sqref="B92">
    <cfRule type="cellIs" dxfId="441" priority="402" operator="between">
      <formula>"Asientoto Cuadrado"</formula>
      <formula>"Asiento Cuadrado"</formula>
    </cfRule>
    <cfRule type="cellIs" dxfId="440" priority="403" operator="between">
      <formula>"Este Asiento NO Cuadra"</formula>
      <formula>"Este Asiento NO Cuadra"</formula>
    </cfRule>
  </conditionalFormatting>
  <conditionalFormatting sqref="B99">
    <cfRule type="cellIs" dxfId="439" priority="400" operator="between">
      <formula>"Asientoto Cuadrado"</formula>
      <formula>"Asiento Cuadrado"</formula>
    </cfRule>
    <cfRule type="cellIs" dxfId="438" priority="401" operator="between">
      <formula>"Este Asiento NO Cuadra"</formula>
      <formula>"Este Asiento NO Cuadra"</formula>
    </cfRule>
  </conditionalFormatting>
  <conditionalFormatting sqref="B107">
    <cfRule type="cellIs" dxfId="437" priority="398" operator="between">
      <formula>"Asientoto Cuadrado"</formula>
      <formula>"Asiento Cuadrado"</formula>
    </cfRule>
    <cfRule type="cellIs" dxfId="436" priority="399" operator="between">
      <formula>"Este Asiento NO Cuadra"</formula>
      <formula>"Este Asiento NO Cuadra"</formula>
    </cfRule>
  </conditionalFormatting>
  <conditionalFormatting sqref="B115">
    <cfRule type="cellIs" dxfId="435" priority="396" operator="between">
      <formula>"Asientoto Cuadrado"</formula>
      <formula>"Asiento Cuadrado"</formula>
    </cfRule>
    <cfRule type="cellIs" dxfId="434" priority="397" operator="between">
      <formula>"Este Asiento NO Cuadra"</formula>
      <formula>"Este Asiento NO Cuadra"</formula>
    </cfRule>
  </conditionalFormatting>
  <conditionalFormatting sqref="B122">
    <cfRule type="cellIs" dxfId="433" priority="394" operator="between">
      <formula>"Asientoto Cuadrado"</formula>
      <formula>"Asiento Cuadrado"</formula>
    </cfRule>
    <cfRule type="cellIs" dxfId="432" priority="395" operator="between">
      <formula>"Este Asiento NO Cuadra"</formula>
      <formula>"Este Asiento NO Cuadra"</formula>
    </cfRule>
  </conditionalFormatting>
  <conditionalFormatting sqref="B129">
    <cfRule type="cellIs" dxfId="431" priority="392" operator="between">
      <formula>"Asientoto Cuadrado"</formula>
      <formula>"Asiento Cuadrado"</formula>
    </cfRule>
    <cfRule type="cellIs" dxfId="430" priority="393" operator="between">
      <formula>"Este Asiento NO Cuadra"</formula>
      <formula>"Este Asiento NO Cuadra"</formula>
    </cfRule>
  </conditionalFormatting>
  <conditionalFormatting sqref="B136">
    <cfRule type="cellIs" dxfId="429" priority="390" operator="between">
      <formula>"Asientoto Cuadrado"</formula>
      <formula>"Asiento Cuadrado"</formula>
    </cfRule>
    <cfRule type="cellIs" dxfId="428" priority="391" operator="between">
      <formula>"Este Asiento NO Cuadra"</formula>
      <formula>"Este Asiento NO Cuadra"</formula>
    </cfRule>
  </conditionalFormatting>
  <conditionalFormatting sqref="B143">
    <cfRule type="cellIs" dxfId="427" priority="388" operator="between">
      <formula>"Asientoto Cuadrado"</formula>
      <formula>"Asiento Cuadrado"</formula>
    </cfRule>
    <cfRule type="cellIs" dxfId="426" priority="389" operator="between">
      <formula>"Este Asiento NO Cuadra"</formula>
      <formula>"Este Asiento NO Cuadra"</formula>
    </cfRule>
  </conditionalFormatting>
  <conditionalFormatting sqref="B150">
    <cfRule type="cellIs" dxfId="425" priority="386" operator="between">
      <formula>"Asientoto Cuadrado"</formula>
      <formula>"Asiento Cuadrado"</formula>
    </cfRule>
    <cfRule type="cellIs" dxfId="424" priority="387" operator="between">
      <formula>"Este Asiento NO Cuadra"</formula>
      <formula>"Este Asiento NO Cuadra"</formula>
    </cfRule>
  </conditionalFormatting>
  <conditionalFormatting sqref="B157">
    <cfRule type="cellIs" dxfId="423" priority="384" operator="between">
      <formula>"Asientoto Cuadrado"</formula>
      <formula>"Asiento Cuadrado"</formula>
    </cfRule>
    <cfRule type="cellIs" dxfId="422" priority="385" operator="between">
      <formula>"Este Asiento NO Cuadra"</formula>
      <formula>"Este Asiento NO Cuadra"</formula>
    </cfRule>
  </conditionalFormatting>
  <conditionalFormatting sqref="B165">
    <cfRule type="cellIs" dxfId="421" priority="382" operator="between">
      <formula>"Asientoto Cuadrado"</formula>
      <formula>"Asiento Cuadrado"</formula>
    </cfRule>
    <cfRule type="cellIs" dxfId="420" priority="383" operator="between">
      <formula>"Este Asiento NO Cuadra"</formula>
      <formula>"Este Asiento NO Cuadra"</formula>
    </cfRule>
  </conditionalFormatting>
  <conditionalFormatting sqref="B172">
    <cfRule type="cellIs" dxfId="419" priority="380" operator="between">
      <formula>"Asientoto Cuadrado"</formula>
      <formula>"Asiento Cuadrado"</formula>
    </cfRule>
    <cfRule type="cellIs" dxfId="418" priority="381" operator="between">
      <formula>"Este Asiento NO Cuadra"</formula>
      <formula>"Este Asiento NO Cuadra"</formula>
    </cfRule>
  </conditionalFormatting>
  <conditionalFormatting sqref="B179">
    <cfRule type="cellIs" dxfId="417" priority="378" operator="between">
      <formula>"Asientoto Cuadrado"</formula>
      <formula>"Asiento Cuadrado"</formula>
    </cfRule>
    <cfRule type="cellIs" dxfId="416" priority="379" operator="between">
      <formula>"Este Asiento NO Cuadra"</formula>
      <formula>"Este Asiento NO Cuadra"</formula>
    </cfRule>
  </conditionalFormatting>
  <conditionalFormatting sqref="B186">
    <cfRule type="cellIs" dxfId="415" priority="376" operator="between">
      <formula>"Asientoto Cuadrado"</formula>
      <formula>"Asiento Cuadrado"</formula>
    </cfRule>
    <cfRule type="cellIs" dxfId="414" priority="377" operator="between">
      <formula>"Este Asiento NO Cuadra"</formula>
      <formula>"Este Asiento NO Cuadra"</formula>
    </cfRule>
  </conditionalFormatting>
  <conditionalFormatting sqref="B193">
    <cfRule type="cellIs" dxfId="413" priority="374" operator="between">
      <formula>"Asientoto Cuadrado"</formula>
      <formula>"Asiento Cuadrado"</formula>
    </cfRule>
    <cfRule type="cellIs" dxfId="412" priority="375" operator="between">
      <formula>"Este Asiento NO Cuadra"</formula>
      <formula>"Este Asiento NO Cuadra"</formula>
    </cfRule>
  </conditionalFormatting>
  <conditionalFormatting sqref="B202">
    <cfRule type="cellIs" dxfId="411" priority="372" operator="between">
      <formula>"Asientoto Cuadrado"</formula>
      <formula>"Asiento Cuadrado"</formula>
    </cfRule>
    <cfRule type="cellIs" dxfId="410" priority="373" operator="between">
      <formula>"Este Asiento NO Cuadra"</formula>
      <formula>"Este Asiento NO Cuadra"</formula>
    </cfRule>
  </conditionalFormatting>
  <conditionalFormatting sqref="B209">
    <cfRule type="cellIs" dxfId="409" priority="370" operator="between">
      <formula>"Asientoto Cuadrado"</formula>
      <formula>"Asiento Cuadrado"</formula>
    </cfRule>
    <cfRule type="cellIs" dxfId="408" priority="371" operator="between">
      <formula>"Este Asiento NO Cuadra"</formula>
      <formula>"Este Asiento NO Cuadra"</formula>
    </cfRule>
  </conditionalFormatting>
  <conditionalFormatting sqref="B216">
    <cfRule type="cellIs" dxfId="407" priority="368" operator="between">
      <formula>"Asientoto Cuadrado"</formula>
      <formula>"Asiento Cuadrado"</formula>
    </cfRule>
    <cfRule type="cellIs" dxfId="406" priority="369" operator="between">
      <formula>"Este Asiento NO Cuadra"</formula>
      <formula>"Este Asiento NO Cuadra"</formula>
    </cfRule>
  </conditionalFormatting>
  <conditionalFormatting sqref="B223">
    <cfRule type="cellIs" dxfId="405" priority="366" operator="between">
      <formula>"Asientoto Cuadrado"</formula>
      <formula>"Asiento Cuadrado"</formula>
    </cfRule>
    <cfRule type="cellIs" dxfId="404" priority="367" operator="between">
      <formula>"Este Asiento NO Cuadra"</formula>
      <formula>"Este Asiento NO Cuadra"</formula>
    </cfRule>
  </conditionalFormatting>
  <conditionalFormatting sqref="B230">
    <cfRule type="cellIs" dxfId="403" priority="364" operator="between">
      <formula>"Asientoto Cuadrado"</formula>
      <formula>"Asiento Cuadrado"</formula>
    </cfRule>
    <cfRule type="cellIs" dxfId="402" priority="365" operator="between">
      <formula>"Este Asiento NO Cuadra"</formula>
      <formula>"Este Asiento NO Cuadra"</formula>
    </cfRule>
  </conditionalFormatting>
  <conditionalFormatting sqref="B237">
    <cfRule type="cellIs" dxfId="401" priority="362" operator="between">
      <formula>"Asientoto Cuadrado"</formula>
      <formula>"Asiento Cuadrado"</formula>
    </cfRule>
    <cfRule type="cellIs" dxfId="400" priority="363" operator="between">
      <formula>"Este Asiento NO Cuadra"</formula>
      <formula>"Este Asiento NO Cuadra"</formula>
    </cfRule>
  </conditionalFormatting>
  <conditionalFormatting sqref="B244">
    <cfRule type="cellIs" dxfId="399" priority="360" operator="between">
      <formula>"Asientoto Cuadrado"</formula>
      <formula>"Asiento Cuadrado"</formula>
    </cfRule>
    <cfRule type="cellIs" dxfId="398" priority="361" operator="between">
      <formula>"Este Asiento NO Cuadra"</formula>
      <formula>"Este Asiento NO Cuadra"</formula>
    </cfRule>
  </conditionalFormatting>
  <conditionalFormatting sqref="B251">
    <cfRule type="cellIs" dxfId="397" priority="358" operator="between">
      <formula>"Asientoto Cuadrado"</formula>
      <formula>"Asiento Cuadrado"</formula>
    </cfRule>
    <cfRule type="cellIs" dxfId="396" priority="359" operator="between">
      <formula>"Este Asiento NO Cuadra"</formula>
      <formula>"Este Asiento NO Cuadra"</formula>
    </cfRule>
  </conditionalFormatting>
  <conditionalFormatting sqref="B258">
    <cfRule type="cellIs" dxfId="395" priority="356" operator="between">
      <formula>"Asientoto Cuadrado"</formula>
      <formula>"Asiento Cuadrado"</formula>
    </cfRule>
    <cfRule type="cellIs" dxfId="394" priority="357" operator="between">
      <formula>"Este Asiento NO Cuadra"</formula>
      <formula>"Este Asiento NO Cuadra"</formula>
    </cfRule>
  </conditionalFormatting>
  <conditionalFormatting sqref="B265">
    <cfRule type="cellIs" dxfId="393" priority="354" operator="between">
      <formula>"Asientoto Cuadrado"</formula>
      <formula>"Asiento Cuadrado"</formula>
    </cfRule>
    <cfRule type="cellIs" dxfId="392" priority="355" operator="between">
      <formula>"Este Asiento NO Cuadra"</formula>
      <formula>"Este Asiento NO Cuadra"</formula>
    </cfRule>
  </conditionalFormatting>
  <conditionalFormatting sqref="B272">
    <cfRule type="cellIs" dxfId="391" priority="352" operator="between">
      <formula>"Asientoto Cuadrado"</formula>
      <formula>"Asiento Cuadrado"</formula>
    </cfRule>
    <cfRule type="cellIs" dxfId="390" priority="353" operator="between">
      <formula>"Este Asiento NO Cuadra"</formula>
      <formula>"Este Asiento NO Cuadra"</formula>
    </cfRule>
  </conditionalFormatting>
  <conditionalFormatting sqref="B279">
    <cfRule type="cellIs" dxfId="389" priority="350" operator="between">
      <formula>"Asientoto Cuadrado"</formula>
      <formula>"Asiento Cuadrado"</formula>
    </cfRule>
    <cfRule type="cellIs" dxfId="388" priority="351" operator="between">
      <formula>"Este Asiento NO Cuadra"</formula>
      <formula>"Este Asiento NO Cuadra"</formula>
    </cfRule>
  </conditionalFormatting>
  <conditionalFormatting sqref="B286">
    <cfRule type="cellIs" dxfId="387" priority="348" operator="between">
      <formula>"Asientoto Cuadrado"</formula>
      <formula>"Asiento Cuadrado"</formula>
    </cfRule>
    <cfRule type="cellIs" dxfId="386" priority="349" operator="between">
      <formula>"Este Asiento NO Cuadra"</formula>
      <formula>"Este Asiento NO Cuadra"</formula>
    </cfRule>
  </conditionalFormatting>
  <conditionalFormatting sqref="B293">
    <cfRule type="cellIs" dxfId="385" priority="346" operator="between">
      <formula>"Asientoto Cuadrado"</formula>
      <formula>"Asiento Cuadrado"</formula>
    </cfRule>
    <cfRule type="cellIs" dxfId="384" priority="347" operator="between">
      <formula>"Este Asiento NO Cuadra"</formula>
      <formula>"Este Asiento NO Cuadra"</formula>
    </cfRule>
  </conditionalFormatting>
  <conditionalFormatting sqref="B300">
    <cfRule type="cellIs" dxfId="383" priority="344" operator="between">
      <formula>"Asientoto Cuadrado"</formula>
      <formula>"Asiento Cuadrado"</formula>
    </cfRule>
    <cfRule type="cellIs" dxfId="382" priority="345" operator="between">
      <formula>"Este Asiento NO Cuadra"</formula>
      <formula>"Este Asiento NO Cuadra"</formula>
    </cfRule>
  </conditionalFormatting>
  <conditionalFormatting sqref="B307">
    <cfRule type="cellIs" dxfId="381" priority="342" operator="between">
      <formula>"Asientoto Cuadrado"</formula>
      <formula>"Asiento Cuadrado"</formula>
    </cfRule>
    <cfRule type="cellIs" dxfId="380" priority="343" operator="between">
      <formula>"Este Asiento NO Cuadra"</formula>
      <formula>"Este Asiento NO Cuadra"</formula>
    </cfRule>
  </conditionalFormatting>
  <conditionalFormatting sqref="B314">
    <cfRule type="cellIs" dxfId="379" priority="340" operator="between">
      <formula>"Asientoto Cuadrado"</formula>
      <formula>"Asiento Cuadrado"</formula>
    </cfRule>
    <cfRule type="cellIs" dxfId="378" priority="341" operator="between">
      <formula>"Este Asiento NO Cuadra"</formula>
      <formula>"Este Asiento NO Cuadra"</formula>
    </cfRule>
  </conditionalFormatting>
  <conditionalFormatting sqref="B321">
    <cfRule type="cellIs" dxfId="377" priority="338" operator="between">
      <formula>"Asientoto Cuadrado"</formula>
      <formula>"Asiento Cuadrado"</formula>
    </cfRule>
    <cfRule type="cellIs" dxfId="376" priority="339" operator="between">
      <formula>"Este Asiento NO Cuadra"</formula>
      <formula>"Este Asiento NO Cuadra"</formula>
    </cfRule>
  </conditionalFormatting>
  <conditionalFormatting sqref="B85">
    <cfRule type="cellIs" dxfId="375" priority="336" operator="between">
      <formula>"Asientoto Cuadrado"</formula>
      <formula>"Asiento Cuadrado"</formula>
    </cfRule>
    <cfRule type="cellIs" dxfId="374" priority="337" operator="between">
      <formula>"Este Asiento NO Cuadra"</formula>
      <formula>"Este Asiento NO Cuadra"</formula>
    </cfRule>
  </conditionalFormatting>
  <conditionalFormatting sqref="B328">
    <cfRule type="cellIs" dxfId="373" priority="334" operator="between">
      <formula>"Asientoto Cuadrado"</formula>
      <formula>"Asiento Cuadrado"</formula>
    </cfRule>
    <cfRule type="cellIs" dxfId="372" priority="335" operator="between">
      <formula>"Este Asiento NO Cuadra"</formula>
      <formula>"Este Asiento NO Cuadra"</formula>
    </cfRule>
  </conditionalFormatting>
  <conditionalFormatting sqref="B336">
    <cfRule type="cellIs" dxfId="371" priority="332" operator="between">
      <formula>"Asientoto Cuadrado"</formula>
      <formula>"Asiento Cuadrado"</formula>
    </cfRule>
    <cfRule type="cellIs" dxfId="370" priority="333" operator="between">
      <formula>"Este Asiento NO Cuadra"</formula>
      <formula>"Este Asiento NO Cuadra"</formula>
    </cfRule>
  </conditionalFormatting>
  <conditionalFormatting sqref="B343">
    <cfRule type="cellIs" dxfId="369" priority="330" operator="between">
      <formula>"Asientoto Cuadrado"</formula>
      <formula>"Asiento Cuadrado"</formula>
    </cfRule>
    <cfRule type="cellIs" dxfId="368" priority="331" operator="between">
      <formula>"Este Asiento NO Cuadra"</formula>
      <formula>"Este Asiento NO Cuadra"</formula>
    </cfRule>
  </conditionalFormatting>
  <conditionalFormatting sqref="B350">
    <cfRule type="cellIs" dxfId="367" priority="328" operator="between">
      <formula>"Asientoto Cuadrado"</formula>
      <formula>"Asiento Cuadrado"</formula>
    </cfRule>
    <cfRule type="cellIs" dxfId="366" priority="329" operator="between">
      <formula>"Este Asiento NO Cuadra"</formula>
      <formula>"Este Asiento NO Cuadra"</formula>
    </cfRule>
  </conditionalFormatting>
  <conditionalFormatting sqref="B358">
    <cfRule type="cellIs" dxfId="365" priority="326" operator="between">
      <formula>"Asientoto Cuadrado"</formula>
      <formula>"Asiento Cuadrado"</formula>
    </cfRule>
    <cfRule type="cellIs" dxfId="364" priority="327" operator="between">
      <formula>"Este Asiento NO Cuadra"</formula>
      <formula>"Este Asiento NO Cuadra"</formula>
    </cfRule>
  </conditionalFormatting>
  <conditionalFormatting sqref="B365">
    <cfRule type="cellIs" dxfId="363" priority="324" operator="between">
      <formula>"Asientoto Cuadrado"</formula>
      <formula>"Asiento Cuadrado"</formula>
    </cfRule>
    <cfRule type="cellIs" dxfId="362" priority="325" operator="between">
      <formula>"Este Asiento NO Cuadra"</formula>
      <formula>"Este Asiento NO Cuadra"</formula>
    </cfRule>
  </conditionalFormatting>
  <conditionalFormatting sqref="B375">
    <cfRule type="cellIs" dxfId="361" priority="322" operator="between">
      <formula>"Asientoto Cuadrado"</formula>
      <formula>"Asiento Cuadrado"</formula>
    </cfRule>
    <cfRule type="cellIs" dxfId="360" priority="323" operator="between">
      <formula>"Este Asiento NO Cuadra"</formula>
      <formula>"Este Asiento NO Cuadra"</formula>
    </cfRule>
  </conditionalFormatting>
  <conditionalFormatting sqref="B382">
    <cfRule type="cellIs" dxfId="359" priority="320" operator="between">
      <formula>"Asientoto Cuadrado"</formula>
      <formula>"Asiento Cuadrado"</formula>
    </cfRule>
    <cfRule type="cellIs" dxfId="358" priority="321" operator="between">
      <formula>"Este Asiento NO Cuadra"</formula>
      <formula>"Este Asiento NO Cuadra"</formula>
    </cfRule>
  </conditionalFormatting>
  <conditionalFormatting sqref="B389">
    <cfRule type="cellIs" dxfId="357" priority="318" operator="between">
      <formula>"Asientoto Cuadrado"</formula>
      <formula>"Asiento Cuadrado"</formula>
    </cfRule>
    <cfRule type="cellIs" dxfId="356" priority="319" operator="between">
      <formula>"Este Asiento NO Cuadra"</formula>
      <formula>"Este Asiento NO Cuadra"</formula>
    </cfRule>
  </conditionalFormatting>
  <conditionalFormatting sqref="B396">
    <cfRule type="cellIs" dxfId="355" priority="316" operator="between">
      <formula>"Asientoto Cuadrado"</formula>
      <formula>"Asiento Cuadrado"</formula>
    </cfRule>
    <cfRule type="cellIs" dxfId="354" priority="317" operator="between">
      <formula>"Este Asiento NO Cuadra"</formula>
      <formula>"Este Asiento NO Cuadra"</formula>
    </cfRule>
  </conditionalFormatting>
  <conditionalFormatting sqref="B403">
    <cfRule type="cellIs" dxfId="353" priority="314" operator="between">
      <formula>"Asientoto Cuadrado"</formula>
      <formula>"Asiento Cuadrado"</formula>
    </cfRule>
    <cfRule type="cellIs" dxfId="352" priority="315" operator="between">
      <formula>"Este Asiento NO Cuadra"</formula>
      <formula>"Este Asiento NO Cuadra"</formula>
    </cfRule>
  </conditionalFormatting>
  <conditionalFormatting sqref="B410">
    <cfRule type="cellIs" dxfId="351" priority="312" operator="between">
      <formula>"Asientoto Cuadrado"</formula>
      <formula>"Asiento Cuadrado"</formula>
    </cfRule>
    <cfRule type="cellIs" dxfId="350" priority="313" operator="between">
      <formula>"Este Asiento NO Cuadra"</formula>
      <formula>"Este Asiento NO Cuadra"</formula>
    </cfRule>
  </conditionalFormatting>
  <conditionalFormatting sqref="B417">
    <cfRule type="cellIs" dxfId="349" priority="310" operator="between">
      <formula>"Asientoto Cuadrado"</formula>
      <formula>"Asiento Cuadrado"</formula>
    </cfRule>
    <cfRule type="cellIs" dxfId="348" priority="311" operator="between">
      <formula>"Este Asiento NO Cuadra"</formula>
      <formula>"Este Asiento NO Cuadra"</formula>
    </cfRule>
  </conditionalFormatting>
  <conditionalFormatting sqref="B424">
    <cfRule type="cellIs" dxfId="347" priority="308" operator="between">
      <formula>"Asientoto Cuadrado"</formula>
      <formula>"Asiento Cuadrado"</formula>
    </cfRule>
    <cfRule type="cellIs" dxfId="346" priority="309" operator="between">
      <formula>"Este Asiento NO Cuadra"</formula>
      <formula>"Este Asiento NO Cuadra"</formula>
    </cfRule>
  </conditionalFormatting>
  <conditionalFormatting sqref="B431">
    <cfRule type="cellIs" dxfId="345" priority="306" operator="between">
      <formula>"Asientoto Cuadrado"</formula>
      <formula>"Asiento Cuadrado"</formula>
    </cfRule>
    <cfRule type="cellIs" dxfId="344" priority="307" operator="between">
      <formula>"Este Asiento NO Cuadra"</formula>
      <formula>"Este Asiento NO Cuadra"</formula>
    </cfRule>
  </conditionalFormatting>
  <conditionalFormatting sqref="B438">
    <cfRule type="cellIs" dxfId="343" priority="304" operator="between">
      <formula>"Asientoto Cuadrado"</formula>
      <formula>"Asiento Cuadrado"</formula>
    </cfRule>
    <cfRule type="cellIs" dxfId="342" priority="305" operator="between">
      <formula>"Este Asiento NO Cuadra"</formula>
      <formula>"Este Asiento NO Cuadra"</formula>
    </cfRule>
  </conditionalFormatting>
  <conditionalFormatting sqref="B445">
    <cfRule type="cellIs" dxfId="341" priority="302" operator="between">
      <formula>"Asientoto Cuadrado"</formula>
      <formula>"Asiento Cuadrado"</formula>
    </cfRule>
    <cfRule type="cellIs" dxfId="340" priority="303" operator="between">
      <formula>"Este Asiento NO Cuadra"</formula>
      <formula>"Este Asiento NO Cuadra"</formula>
    </cfRule>
  </conditionalFormatting>
  <conditionalFormatting sqref="B452">
    <cfRule type="cellIs" dxfId="339" priority="300" operator="between">
      <formula>"Asientoto Cuadrado"</formula>
      <formula>"Asiento Cuadrado"</formula>
    </cfRule>
    <cfRule type="cellIs" dxfId="338" priority="301" operator="between">
      <formula>"Este Asiento NO Cuadra"</formula>
      <formula>"Este Asiento NO Cuadra"</formula>
    </cfRule>
  </conditionalFormatting>
  <conditionalFormatting sqref="B459">
    <cfRule type="cellIs" dxfId="337" priority="298" operator="between">
      <formula>"Asientoto Cuadrado"</formula>
      <formula>"Asiento Cuadrado"</formula>
    </cfRule>
    <cfRule type="cellIs" dxfId="336" priority="299" operator="between">
      <formula>"Este Asiento NO Cuadra"</formula>
      <formula>"Este Asiento NO Cuadra"</formula>
    </cfRule>
  </conditionalFormatting>
  <conditionalFormatting sqref="B466">
    <cfRule type="cellIs" dxfId="335" priority="296" operator="between">
      <formula>"Asientoto Cuadrado"</formula>
      <formula>"Asiento Cuadrado"</formula>
    </cfRule>
    <cfRule type="cellIs" dxfId="334" priority="297" operator="between">
      <formula>"Este Asiento NO Cuadra"</formula>
      <formula>"Este Asiento NO Cuadra"</formula>
    </cfRule>
  </conditionalFormatting>
  <conditionalFormatting sqref="B473">
    <cfRule type="cellIs" dxfId="333" priority="294" operator="between">
      <formula>"Asientoto Cuadrado"</formula>
      <formula>"Asiento Cuadrado"</formula>
    </cfRule>
    <cfRule type="cellIs" dxfId="332" priority="295" operator="between">
      <formula>"Este Asiento NO Cuadra"</formula>
      <formula>"Este Asiento NO Cuadra"</formula>
    </cfRule>
  </conditionalFormatting>
  <conditionalFormatting sqref="B480">
    <cfRule type="cellIs" dxfId="331" priority="292" operator="between">
      <formula>"Asientoto Cuadrado"</formula>
      <formula>"Asiento Cuadrado"</formula>
    </cfRule>
    <cfRule type="cellIs" dxfId="330" priority="293" operator="between">
      <formula>"Este Asiento NO Cuadra"</formula>
      <formula>"Este Asiento NO Cuadra"</formula>
    </cfRule>
  </conditionalFormatting>
  <conditionalFormatting sqref="B487">
    <cfRule type="cellIs" dxfId="329" priority="290" operator="between">
      <formula>"Asientoto Cuadrado"</formula>
      <formula>"Asiento Cuadrado"</formula>
    </cfRule>
    <cfRule type="cellIs" dxfId="328" priority="291" operator="between">
      <formula>"Este Asiento NO Cuadra"</formula>
      <formula>"Este Asiento NO Cuadra"</formula>
    </cfRule>
  </conditionalFormatting>
  <conditionalFormatting sqref="B494">
    <cfRule type="cellIs" dxfId="327" priority="288" operator="between">
      <formula>"Asientoto Cuadrado"</formula>
      <formula>"Asiento Cuadrado"</formula>
    </cfRule>
    <cfRule type="cellIs" dxfId="326" priority="289" operator="between">
      <formula>"Este Asiento NO Cuadra"</formula>
      <formula>"Este Asiento NO Cuadra"</formula>
    </cfRule>
  </conditionalFormatting>
  <conditionalFormatting sqref="B501">
    <cfRule type="cellIs" dxfId="325" priority="286" operator="between">
      <formula>"Asientoto Cuadrado"</formula>
      <formula>"Asiento Cuadrado"</formula>
    </cfRule>
    <cfRule type="cellIs" dxfId="324" priority="287" operator="between">
      <formula>"Este Asiento NO Cuadra"</formula>
      <formula>"Este Asiento NO Cuadra"</formula>
    </cfRule>
  </conditionalFormatting>
  <conditionalFormatting sqref="B508">
    <cfRule type="cellIs" dxfId="323" priority="284" operator="between">
      <formula>"Asientoto Cuadrado"</formula>
      <formula>"Asiento Cuadrado"</formula>
    </cfRule>
    <cfRule type="cellIs" dxfId="322" priority="285" operator="between">
      <formula>"Este Asiento NO Cuadra"</formula>
      <formula>"Este Asiento NO Cuadra"</formula>
    </cfRule>
  </conditionalFormatting>
  <conditionalFormatting sqref="B529">
    <cfRule type="cellIs" dxfId="321" priority="282" operator="between">
      <formula>"Asientoto Cuadrado"</formula>
      <formula>"Asiento Cuadrado"</formula>
    </cfRule>
    <cfRule type="cellIs" dxfId="320" priority="283" operator="between">
      <formula>"Este Asiento NO Cuadra"</formula>
      <formula>"Este Asiento NO Cuadra"</formula>
    </cfRule>
  </conditionalFormatting>
  <conditionalFormatting sqref="B546">
    <cfRule type="cellIs" dxfId="319" priority="280" operator="between">
      <formula>"Asientoto Cuadrado"</formula>
      <formula>"Asiento Cuadrado"</formula>
    </cfRule>
    <cfRule type="cellIs" dxfId="318" priority="281" operator="between">
      <formula>"Este Asiento NO Cuadra"</formula>
      <formula>"Este Asiento NO Cuadra"</formula>
    </cfRule>
  </conditionalFormatting>
  <conditionalFormatting sqref="B553">
    <cfRule type="cellIs" dxfId="317" priority="278" operator="between">
      <formula>"Asientoto Cuadrado"</formula>
      <formula>"Asiento Cuadrado"</formula>
    </cfRule>
    <cfRule type="cellIs" dxfId="316" priority="279" operator="between">
      <formula>"Este Asiento NO Cuadra"</formula>
      <formula>"Este Asiento NO Cuadra"</formula>
    </cfRule>
  </conditionalFormatting>
  <conditionalFormatting sqref="B559">
    <cfRule type="cellIs" dxfId="315" priority="276" operator="between">
      <formula>"Asientoto Cuadrado"</formula>
      <formula>"Asiento Cuadrado"</formula>
    </cfRule>
    <cfRule type="cellIs" dxfId="314" priority="277" operator="between">
      <formula>"Este Asiento NO Cuadra"</formula>
      <formula>"Este Asiento NO Cuadra"</formula>
    </cfRule>
  </conditionalFormatting>
  <conditionalFormatting sqref="E54">
    <cfRule type="cellIs" dxfId="313" priority="269" operator="notEqual">
      <formula>0</formula>
    </cfRule>
  </conditionalFormatting>
  <conditionalFormatting sqref="B54 E54">
    <cfRule type="cellIs" dxfId="312" priority="270" operator="between">
      <formula>"Asiento Descuadrado"</formula>
      <formula>"Asiento Descuadrado"</formula>
    </cfRule>
    <cfRule type="cellIs" dxfId="311" priority="273" operator="between">
      <formula>"Asientoto Cuadrado"</formula>
      <formula>"Asiento Cuadrado"</formula>
    </cfRule>
  </conditionalFormatting>
  <conditionalFormatting sqref="B53 D53">
    <cfRule type="cellIs" dxfId="310" priority="271" operator="between">
      <formula>"Asientoto Cuadrado"</formula>
      <formula>"Asiento Cuadrado"</formula>
    </cfRule>
    <cfRule type="cellIs" dxfId="309" priority="272" operator="between">
      <formula>"Este Asiento NO Cuadra"</formula>
      <formula>"Este Asiento NO Cuadra"</formula>
    </cfRule>
  </conditionalFormatting>
  <conditionalFormatting sqref="D587">
    <cfRule type="cellIs" dxfId="308" priority="136" operator="between">
      <formula>"Asientoto Cuadrado"</formula>
      <formula>"Asiento Cuadrado"</formula>
    </cfRule>
    <cfRule type="cellIs" dxfId="307" priority="137" operator="between">
      <formula>"Este Asiento NO Cuadra"</formula>
      <formula>"Este Asiento NO Cuadra"</formula>
    </cfRule>
  </conditionalFormatting>
  <conditionalFormatting sqref="D85">
    <cfRule type="cellIs" dxfId="306" priority="264" operator="between">
      <formula>"Asientoto Cuadrado"</formula>
      <formula>"Asiento Cuadrado"</formula>
    </cfRule>
    <cfRule type="cellIs" dxfId="305" priority="265" operator="between">
      <formula>"Este Asiento NO Cuadra"</formula>
      <formula>"Este Asiento NO Cuadra"</formula>
    </cfRule>
  </conditionalFormatting>
  <conditionalFormatting sqref="D92">
    <cfRule type="cellIs" dxfId="304" priority="262" operator="between">
      <formula>"Asientoto Cuadrado"</formula>
      <formula>"Asiento Cuadrado"</formula>
    </cfRule>
    <cfRule type="cellIs" dxfId="303" priority="263" operator="between">
      <formula>"Este Asiento NO Cuadra"</formula>
      <formula>"Este Asiento NO Cuadra"</formula>
    </cfRule>
  </conditionalFormatting>
  <conditionalFormatting sqref="D99">
    <cfRule type="cellIs" dxfId="302" priority="260" operator="between">
      <formula>"Asientoto Cuadrado"</formula>
      <formula>"Asiento Cuadrado"</formula>
    </cfRule>
    <cfRule type="cellIs" dxfId="301" priority="261" operator="between">
      <formula>"Este Asiento NO Cuadra"</formula>
      <formula>"Este Asiento NO Cuadra"</formula>
    </cfRule>
  </conditionalFormatting>
  <conditionalFormatting sqref="D107">
    <cfRule type="cellIs" dxfId="300" priority="258" operator="between">
      <formula>"Asientoto Cuadrado"</formula>
      <formula>"Asiento Cuadrado"</formula>
    </cfRule>
    <cfRule type="cellIs" dxfId="299" priority="259" operator="between">
      <formula>"Este Asiento NO Cuadra"</formula>
      <formula>"Este Asiento NO Cuadra"</formula>
    </cfRule>
  </conditionalFormatting>
  <conditionalFormatting sqref="D115">
    <cfRule type="cellIs" dxfId="298" priority="256" operator="between">
      <formula>"Asientoto Cuadrado"</formula>
      <formula>"Asiento Cuadrado"</formula>
    </cfRule>
    <cfRule type="cellIs" dxfId="297" priority="257" operator="between">
      <formula>"Este Asiento NO Cuadra"</formula>
      <formula>"Este Asiento NO Cuadra"</formula>
    </cfRule>
  </conditionalFormatting>
  <conditionalFormatting sqref="D122">
    <cfRule type="cellIs" dxfId="296" priority="254" operator="between">
      <formula>"Asientoto Cuadrado"</formula>
      <formula>"Asiento Cuadrado"</formula>
    </cfRule>
    <cfRule type="cellIs" dxfId="295" priority="255" operator="between">
      <formula>"Este Asiento NO Cuadra"</formula>
      <formula>"Este Asiento NO Cuadra"</formula>
    </cfRule>
  </conditionalFormatting>
  <conditionalFormatting sqref="D129">
    <cfRule type="cellIs" dxfId="294" priority="252" operator="between">
      <formula>"Asientoto Cuadrado"</formula>
      <formula>"Asiento Cuadrado"</formula>
    </cfRule>
    <cfRule type="cellIs" dxfId="293" priority="253" operator="between">
      <formula>"Este Asiento NO Cuadra"</formula>
      <formula>"Este Asiento NO Cuadra"</formula>
    </cfRule>
  </conditionalFormatting>
  <conditionalFormatting sqref="D136">
    <cfRule type="cellIs" dxfId="292" priority="250" operator="between">
      <formula>"Asientoto Cuadrado"</formula>
      <formula>"Asiento Cuadrado"</formula>
    </cfRule>
    <cfRule type="cellIs" dxfId="291" priority="251" operator="between">
      <formula>"Este Asiento NO Cuadra"</formula>
      <formula>"Este Asiento NO Cuadra"</formula>
    </cfRule>
  </conditionalFormatting>
  <conditionalFormatting sqref="D143">
    <cfRule type="cellIs" dxfId="290" priority="248" operator="between">
      <formula>"Asientoto Cuadrado"</formula>
      <formula>"Asiento Cuadrado"</formula>
    </cfRule>
    <cfRule type="cellIs" dxfId="289" priority="249" operator="between">
      <formula>"Este Asiento NO Cuadra"</formula>
      <formula>"Este Asiento NO Cuadra"</formula>
    </cfRule>
  </conditionalFormatting>
  <conditionalFormatting sqref="D150">
    <cfRule type="cellIs" dxfId="288" priority="246" operator="between">
      <formula>"Asientoto Cuadrado"</formula>
      <formula>"Asiento Cuadrado"</formula>
    </cfRule>
    <cfRule type="cellIs" dxfId="287" priority="247" operator="between">
      <formula>"Este Asiento NO Cuadra"</formula>
      <formula>"Este Asiento NO Cuadra"</formula>
    </cfRule>
  </conditionalFormatting>
  <conditionalFormatting sqref="D157">
    <cfRule type="cellIs" dxfId="286" priority="244" operator="between">
      <formula>"Asientoto Cuadrado"</formula>
      <formula>"Asiento Cuadrado"</formula>
    </cfRule>
    <cfRule type="cellIs" dxfId="285" priority="245" operator="between">
      <formula>"Este Asiento NO Cuadra"</formula>
      <formula>"Este Asiento NO Cuadra"</formula>
    </cfRule>
  </conditionalFormatting>
  <conditionalFormatting sqref="D165">
    <cfRule type="cellIs" dxfId="284" priority="242" operator="between">
      <formula>"Asientoto Cuadrado"</formula>
      <formula>"Asiento Cuadrado"</formula>
    </cfRule>
    <cfRule type="cellIs" dxfId="283" priority="243" operator="between">
      <formula>"Este Asiento NO Cuadra"</formula>
      <formula>"Este Asiento NO Cuadra"</formula>
    </cfRule>
  </conditionalFormatting>
  <conditionalFormatting sqref="D172">
    <cfRule type="cellIs" dxfId="282" priority="240" operator="between">
      <formula>"Asientoto Cuadrado"</formula>
      <formula>"Asiento Cuadrado"</formula>
    </cfRule>
    <cfRule type="cellIs" dxfId="281" priority="241" operator="between">
      <formula>"Este Asiento NO Cuadra"</formula>
      <formula>"Este Asiento NO Cuadra"</formula>
    </cfRule>
  </conditionalFormatting>
  <conditionalFormatting sqref="D179">
    <cfRule type="cellIs" dxfId="280" priority="238" operator="between">
      <formula>"Asientoto Cuadrado"</formula>
      <formula>"Asiento Cuadrado"</formula>
    </cfRule>
    <cfRule type="cellIs" dxfId="279" priority="239" operator="between">
      <formula>"Este Asiento NO Cuadra"</formula>
      <formula>"Este Asiento NO Cuadra"</formula>
    </cfRule>
  </conditionalFormatting>
  <conditionalFormatting sqref="D186">
    <cfRule type="cellIs" dxfId="278" priority="236" operator="between">
      <formula>"Asientoto Cuadrado"</formula>
      <formula>"Asiento Cuadrado"</formula>
    </cfRule>
    <cfRule type="cellIs" dxfId="277" priority="237" operator="between">
      <formula>"Este Asiento NO Cuadra"</formula>
      <formula>"Este Asiento NO Cuadra"</formula>
    </cfRule>
  </conditionalFormatting>
  <conditionalFormatting sqref="D193">
    <cfRule type="cellIs" dxfId="276" priority="234" operator="between">
      <formula>"Asientoto Cuadrado"</formula>
      <formula>"Asiento Cuadrado"</formula>
    </cfRule>
    <cfRule type="cellIs" dxfId="275" priority="235" operator="between">
      <formula>"Este Asiento NO Cuadra"</formula>
      <formula>"Este Asiento NO Cuadra"</formula>
    </cfRule>
  </conditionalFormatting>
  <conditionalFormatting sqref="D202">
    <cfRule type="cellIs" dxfId="274" priority="232" operator="between">
      <formula>"Asientoto Cuadrado"</formula>
      <formula>"Asiento Cuadrado"</formula>
    </cfRule>
    <cfRule type="cellIs" dxfId="273" priority="233" operator="between">
      <formula>"Este Asiento NO Cuadra"</formula>
      <formula>"Este Asiento NO Cuadra"</formula>
    </cfRule>
  </conditionalFormatting>
  <conditionalFormatting sqref="D209">
    <cfRule type="cellIs" dxfId="272" priority="230" operator="between">
      <formula>"Asientoto Cuadrado"</formula>
      <formula>"Asiento Cuadrado"</formula>
    </cfRule>
    <cfRule type="cellIs" dxfId="271" priority="231" operator="between">
      <formula>"Este Asiento NO Cuadra"</formula>
      <formula>"Este Asiento NO Cuadra"</formula>
    </cfRule>
  </conditionalFormatting>
  <conditionalFormatting sqref="D216">
    <cfRule type="cellIs" dxfId="270" priority="228" operator="between">
      <formula>"Asientoto Cuadrado"</formula>
      <formula>"Asiento Cuadrado"</formula>
    </cfRule>
    <cfRule type="cellIs" dxfId="269" priority="229" operator="between">
      <formula>"Este Asiento NO Cuadra"</formula>
      <formula>"Este Asiento NO Cuadra"</formula>
    </cfRule>
  </conditionalFormatting>
  <conditionalFormatting sqref="D223">
    <cfRule type="cellIs" dxfId="268" priority="226" operator="between">
      <formula>"Asientoto Cuadrado"</formula>
      <formula>"Asiento Cuadrado"</formula>
    </cfRule>
    <cfRule type="cellIs" dxfId="267" priority="227" operator="between">
      <formula>"Este Asiento NO Cuadra"</formula>
      <formula>"Este Asiento NO Cuadra"</formula>
    </cfRule>
  </conditionalFormatting>
  <conditionalFormatting sqref="D230">
    <cfRule type="cellIs" dxfId="266" priority="224" operator="between">
      <formula>"Asientoto Cuadrado"</formula>
      <formula>"Asiento Cuadrado"</formula>
    </cfRule>
    <cfRule type="cellIs" dxfId="265" priority="225" operator="between">
      <formula>"Este Asiento NO Cuadra"</formula>
      <formula>"Este Asiento NO Cuadra"</formula>
    </cfRule>
  </conditionalFormatting>
  <conditionalFormatting sqref="D237">
    <cfRule type="cellIs" dxfId="264" priority="222" operator="between">
      <formula>"Asientoto Cuadrado"</formula>
      <formula>"Asiento Cuadrado"</formula>
    </cfRule>
    <cfRule type="cellIs" dxfId="263" priority="223" operator="between">
      <formula>"Este Asiento NO Cuadra"</formula>
      <formula>"Este Asiento NO Cuadra"</formula>
    </cfRule>
  </conditionalFormatting>
  <conditionalFormatting sqref="D244">
    <cfRule type="cellIs" dxfId="262" priority="220" operator="between">
      <formula>"Asientoto Cuadrado"</formula>
      <formula>"Asiento Cuadrado"</formula>
    </cfRule>
    <cfRule type="cellIs" dxfId="261" priority="221" operator="between">
      <formula>"Este Asiento NO Cuadra"</formula>
      <formula>"Este Asiento NO Cuadra"</formula>
    </cfRule>
  </conditionalFormatting>
  <conditionalFormatting sqref="D251">
    <cfRule type="cellIs" dxfId="260" priority="218" operator="between">
      <formula>"Asientoto Cuadrado"</formula>
      <formula>"Asiento Cuadrado"</formula>
    </cfRule>
    <cfRule type="cellIs" dxfId="259" priority="219" operator="between">
      <formula>"Este Asiento NO Cuadra"</formula>
      <formula>"Este Asiento NO Cuadra"</formula>
    </cfRule>
  </conditionalFormatting>
  <conditionalFormatting sqref="D258">
    <cfRule type="cellIs" dxfId="258" priority="216" operator="between">
      <formula>"Asientoto Cuadrado"</formula>
      <formula>"Asiento Cuadrado"</formula>
    </cfRule>
    <cfRule type="cellIs" dxfId="257" priority="217" operator="between">
      <formula>"Este Asiento NO Cuadra"</formula>
      <formula>"Este Asiento NO Cuadra"</formula>
    </cfRule>
  </conditionalFormatting>
  <conditionalFormatting sqref="D265">
    <cfRule type="cellIs" dxfId="256" priority="214" operator="between">
      <formula>"Asientoto Cuadrado"</formula>
      <formula>"Asiento Cuadrado"</formula>
    </cfRule>
    <cfRule type="cellIs" dxfId="255" priority="215" operator="between">
      <formula>"Este Asiento NO Cuadra"</formula>
      <formula>"Este Asiento NO Cuadra"</formula>
    </cfRule>
  </conditionalFormatting>
  <conditionalFormatting sqref="D272">
    <cfRule type="cellIs" dxfId="254" priority="212" operator="between">
      <formula>"Asientoto Cuadrado"</formula>
      <formula>"Asiento Cuadrado"</formula>
    </cfRule>
    <cfRule type="cellIs" dxfId="253" priority="213" operator="between">
      <formula>"Este Asiento NO Cuadra"</formula>
      <formula>"Este Asiento NO Cuadra"</formula>
    </cfRule>
  </conditionalFormatting>
  <conditionalFormatting sqref="D279">
    <cfRule type="cellIs" dxfId="252" priority="210" operator="between">
      <formula>"Asientoto Cuadrado"</formula>
      <formula>"Asiento Cuadrado"</formula>
    </cfRule>
    <cfRule type="cellIs" dxfId="251" priority="211" operator="between">
      <formula>"Este Asiento NO Cuadra"</formula>
      <formula>"Este Asiento NO Cuadra"</formula>
    </cfRule>
  </conditionalFormatting>
  <conditionalFormatting sqref="D286">
    <cfRule type="cellIs" dxfId="250" priority="208" operator="between">
      <formula>"Asientoto Cuadrado"</formula>
      <formula>"Asiento Cuadrado"</formula>
    </cfRule>
    <cfRule type="cellIs" dxfId="249" priority="209" operator="between">
      <formula>"Este Asiento NO Cuadra"</formula>
      <formula>"Este Asiento NO Cuadra"</formula>
    </cfRule>
  </conditionalFormatting>
  <conditionalFormatting sqref="D293">
    <cfRule type="cellIs" dxfId="248" priority="206" operator="between">
      <formula>"Asientoto Cuadrado"</formula>
      <formula>"Asiento Cuadrado"</formula>
    </cfRule>
    <cfRule type="cellIs" dxfId="247" priority="207" operator="between">
      <formula>"Este Asiento NO Cuadra"</formula>
      <formula>"Este Asiento NO Cuadra"</formula>
    </cfRule>
  </conditionalFormatting>
  <conditionalFormatting sqref="D300">
    <cfRule type="cellIs" dxfId="246" priority="204" operator="between">
      <formula>"Asientoto Cuadrado"</formula>
      <formula>"Asiento Cuadrado"</formula>
    </cfRule>
    <cfRule type="cellIs" dxfId="245" priority="205" operator="between">
      <formula>"Este Asiento NO Cuadra"</formula>
      <formula>"Este Asiento NO Cuadra"</formula>
    </cfRule>
  </conditionalFormatting>
  <conditionalFormatting sqref="D307">
    <cfRule type="cellIs" dxfId="244" priority="202" operator="between">
      <formula>"Asientoto Cuadrado"</formula>
      <formula>"Asiento Cuadrado"</formula>
    </cfRule>
    <cfRule type="cellIs" dxfId="243" priority="203" operator="between">
      <formula>"Este Asiento NO Cuadra"</formula>
      <formula>"Este Asiento NO Cuadra"</formula>
    </cfRule>
  </conditionalFormatting>
  <conditionalFormatting sqref="D314">
    <cfRule type="cellIs" dxfId="242" priority="200" operator="between">
      <formula>"Asientoto Cuadrado"</formula>
      <formula>"Asiento Cuadrado"</formula>
    </cfRule>
    <cfRule type="cellIs" dxfId="241" priority="201" operator="between">
      <formula>"Este Asiento NO Cuadra"</formula>
      <formula>"Este Asiento NO Cuadra"</formula>
    </cfRule>
  </conditionalFormatting>
  <conditionalFormatting sqref="D321">
    <cfRule type="cellIs" dxfId="240" priority="198" operator="between">
      <formula>"Asientoto Cuadrado"</formula>
      <formula>"Asiento Cuadrado"</formula>
    </cfRule>
    <cfRule type="cellIs" dxfId="239" priority="199" operator="between">
      <formula>"Este Asiento NO Cuadra"</formula>
      <formula>"Este Asiento NO Cuadra"</formula>
    </cfRule>
  </conditionalFormatting>
  <conditionalFormatting sqref="D328">
    <cfRule type="cellIs" dxfId="238" priority="196" operator="between">
      <formula>"Asientoto Cuadrado"</formula>
      <formula>"Asiento Cuadrado"</formula>
    </cfRule>
    <cfRule type="cellIs" dxfId="237" priority="197" operator="between">
      <formula>"Este Asiento NO Cuadra"</formula>
      <formula>"Este Asiento NO Cuadra"</formula>
    </cfRule>
  </conditionalFormatting>
  <conditionalFormatting sqref="D336">
    <cfRule type="cellIs" dxfId="236" priority="194" operator="between">
      <formula>"Asientoto Cuadrado"</formula>
      <formula>"Asiento Cuadrado"</formula>
    </cfRule>
    <cfRule type="cellIs" dxfId="235" priority="195" operator="between">
      <formula>"Este Asiento NO Cuadra"</formula>
      <formula>"Este Asiento NO Cuadra"</formula>
    </cfRule>
  </conditionalFormatting>
  <conditionalFormatting sqref="D343">
    <cfRule type="cellIs" dxfId="234" priority="192" operator="between">
      <formula>"Asientoto Cuadrado"</formula>
      <formula>"Asiento Cuadrado"</formula>
    </cfRule>
    <cfRule type="cellIs" dxfId="233" priority="193" operator="between">
      <formula>"Este Asiento NO Cuadra"</formula>
      <formula>"Este Asiento NO Cuadra"</formula>
    </cfRule>
  </conditionalFormatting>
  <conditionalFormatting sqref="D350">
    <cfRule type="cellIs" dxfId="232" priority="190" operator="between">
      <formula>"Asientoto Cuadrado"</formula>
      <formula>"Asiento Cuadrado"</formula>
    </cfRule>
    <cfRule type="cellIs" dxfId="231" priority="191" operator="between">
      <formula>"Este Asiento NO Cuadra"</formula>
      <formula>"Este Asiento NO Cuadra"</formula>
    </cfRule>
  </conditionalFormatting>
  <conditionalFormatting sqref="D358">
    <cfRule type="cellIs" dxfId="230" priority="188" operator="between">
      <formula>"Asientoto Cuadrado"</formula>
      <formula>"Asiento Cuadrado"</formula>
    </cfRule>
    <cfRule type="cellIs" dxfId="229" priority="189" operator="between">
      <formula>"Este Asiento NO Cuadra"</formula>
      <formula>"Este Asiento NO Cuadra"</formula>
    </cfRule>
  </conditionalFormatting>
  <conditionalFormatting sqref="D365">
    <cfRule type="cellIs" dxfId="228" priority="186" operator="between">
      <formula>"Asientoto Cuadrado"</formula>
      <formula>"Asiento Cuadrado"</formula>
    </cfRule>
    <cfRule type="cellIs" dxfId="227" priority="187" operator="between">
      <formula>"Este Asiento NO Cuadra"</formula>
      <formula>"Este Asiento NO Cuadra"</formula>
    </cfRule>
  </conditionalFormatting>
  <conditionalFormatting sqref="D375">
    <cfRule type="cellIs" dxfId="226" priority="184" operator="between">
      <formula>"Asientoto Cuadrado"</formula>
      <formula>"Asiento Cuadrado"</formula>
    </cfRule>
    <cfRule type="cellIs" dxfId="225" priority="185" operator="between">
      <formula>"Este Asiento NO Cuadra"</formula>
      <formula>"Este Asiento NO Cuadra"</formula>
    </cfRule>
  </conditionalFormatting>
  <conditionalFormatting sqref="D382">
    <cfRule type="cellIs" dxfId="224" priority="182" operator="between">
      <formula>"Asientoto Cuadrado"</formula>
      <formula>"Asiento Cuadrado"</formula>
    </cfRule>
    <cfRule type="cellIs" dxfId="223" priority="183" operator="between">
      <formula>"Este Asiento NO Cuadra"</formula>
      <formula>"Este Asiento NO Cuadra"</formula>
    </cfRule>
  </conditionalFormatting>
  <conditionalFormatting sqref="D389">
    <cfRule type="cellIs" dxfId="222" priority="180" operator="between">
      <formula>"Asientoto Cuadrado"</formula>
      <formula>"Asiento Cuadrado"</formula>
    </cfRule>
    <cfRule type="cellIs" dxfId="221" priority="181" operator="between">
      <formula>"Este Asiento NO Cuadra"</formula>
      <formula>"Este Asiento NO Cuadra"</formula>
    </cfRule>
  </conditionalFormatting>
  <conditionalFormatting sqref="D396">
    <cfRule type="cellIs" dxfId="220" priority="178" operator="between">
      <formula>"Asientoto Cuadrado"</formula>
      <formula>"Asiento Cuadrado"</formula>
    </cfRule>
    <cfRule type="cellIs" dxfId="219" priority="179" operator="between">
      <formula>"Este Asiento NO Cuadra"</formula>
      <formula>"Este Asiento NO Cuadra"</formula>
    </cfRule>
  </conditionalFormatting>
  <conditionalFormatting sqref="D403">
    <cfRule type="cellIs" dxfId="218" priority="176" operator="between">
      <formula>"Asientoto Cuadrado"</formula>
      <formula>"Asiento Cuadrado"</formula>
    </cfRule>
    <cfRule type="cellIs" dxfId="217" priority="177" operator="between">
      <formula>"Este Asiento NO Cuadra"</formula>
      <formula>"Este Asiento NO Cuadra"</formula>
    </cfRule>
  </conditionalFormatting>
  <conditionalFormatting sqref="D410">
    <cfRule type="cellIs" dxfId="216" priority="174" operator="between">
      <formula>"Asientoto Cuadrado"</formula>
      <formula>"Asiento Cuadrado"</formula>
    </cfRule>
    <cfRule type="cellIs" dxfId="215" priority="175" operator="between">
      <formula>"Este Asiento NO Cuadra"</formula>
      <formula>"Este Asiento NO Cuadra"</formula>
    </cfRule>
  </conditionalFormatting>
  <conditionalFormatting sqref="D417">
    <cfRule type="cellIs" dxfId="214" priority="172" operator="between">
      <formula>"Asientoto Cuadrado"</formula>
      <formula>"Asiento Cuadrado"</formula>
    </cfRule>
    <cfRule type="cellIs" dxfId="213" priority="173" operator="between">
      <formula>"Este Asiento NO Cuadra"</formula>
      <formula>"Este Asiento NO Cuadra"</formula>
    </cfRule>
  </conditionalFormatting>
  <conditionalFormatting sqref="D424">
    <cfRule type="cellIs" dxfId="212" priority="170" operator="between">
      <formula>"Asientoto Cuadrado"</formula>
      <formula>"Asiento Cuadrado"</formula>
    </cfRule>
    <cfRule type="cellIs" dxfId="211" priority="171" operator="between">
      <formula>"Este Asiento NO Cuadra"</formula>
      <formula>"Este Asiento NO Cuadra"</formula>
    </cfRule>
  </conditionalFormatting>
  <conditionalFormatting sqref="D431">
    <cfRule type="cellIs" dxfId="210" priority="168" operator="between">
      <formula>"Asientoto Cuadrado"</formula>
      <formula>"Asiento Cuadrado"</formula>
    </cfRule>
    <cfRule type="cellIs" dxfId="209" priority="169" operator="between">
      <formula>"Este Asiento NO Cuadra"</formula>
      <formula>"Este Asiento NO Cuadra"</formula>
    </cfRule>
  </conditionalFormatting>
  <conditionalFormatting sqref="D438">
    <cfRule type="cellIs" dxfId="208" priority="166" operator="between">
      <formula>"Asientoto Cuadrado"</formula>
      <formula>"Asiento Cuadrado"</formula>
    </cfRule>
    <cfRule type="cellIs" dxfId="207" priority="167" operator="between">
      <formula>"Este Asiento NO Cuadra"</formula>
      <formula>"Este Asiento NO Cuadra"</formula>
    </cfRule>
  </conditionalFormatting>
  <conditionalFormatting sqref="D445">
    <cfRule type="cellIs" dxfId="206" priority="164" operator="between">
      <formula>"Asientoto Cuadrado"</formula>
      <formula>"Asiento Cuadrado"</formula>
    </cfRule>
    <cfRule type="cellIs" dxfId="205" priority="165" operator="between">
      <formula>"Este Asiento NO Cuadra"</formula>
      <formula>"Este Asiento NO Cuadra"</formula>
    </cfRule>
  </conditionalFormatting>
  <conditionalFormatting sqref="D452">
    <cfRule type="cellIs" dxfId="204" priority="162" operator="between">
      <formula>"Asientoto Cuadrado"</formula>
      <formula>"Asiento Cuadrado"</formula>
    </cfRule>
    <cfRule type="cellIs" dxfId="203" priority="163" operator="between">
      <formula>"Este Asiento NO Cuadra"</formula>
      <formula>"Este Asiento NO Cuadra"</formula>
    </cfRule>
  </conditionalFormatting>
  <conditionalFormatting sqref="D459">
    <cfRule type="cellIs" dxfId="202" priority="160" operator="between">
      <formula>"Asientoto Cuadrado"</formula>
      <formula>"Asiento Cuadrado"</formula>
    </cfRule>
    <cfRule type="cellIs" dxfId="201" priority="161" operator="between">
      <formula>"Este Asiento NO Cuadra"</formula>
      <formula>"Este Asiento NO Cuadra"</formula>
    </cfRule>
  </conditionalFormatting>
  <conditionalFormatting sqref="D466">
    <cfRule type="cellIs" dxfId="200" priority="158" operator="between">
      <formula>"Asientoto Cuadrado"</formula>
      <formula>"Asiento Cuadrado"</formula>
    </cfRule>
    <cfRule type="cellIs" dxfId="199" priority="159" operator="between">
      <formula>"Este Asiento NO Cuadra"</formula>
      <formula>"Este Asiento NO Cuadra"</formula>
    </cfRule>
  </conditionalFormatting>
  <conditionalFormatting sqref="D473">
    <cfRule type="cellIs" dxfId="198" priority="156" operator="between">
      <formula>"Asientoto Cuadrado"</formula>
      <formula>"Asiento Cuadrado"</formula>
    </cfRule>
    <cfRule type="cellIs" dxfId="197" priority="157" operator="between">
      <formula>"Este Asiento NO Cuadra"</formula>
      <formula>"Este Asiento NO Cuadra"</formula>
    </cfRule>
  </conditionalFormatting>
  <conditionalFormatting sqref="D480">
    <cfRule type="cellIs" dxfId="196" priority="154" operator="between">
      <formula>"Asientoto Cuadrado"</formula>
      <formula>"Asiento Cuadrado"</formula>
    </cfRule>
    <cfRule type="cellIs" dxfId="195" priority="155" operator="between">
      <formula>"Este Asiento NO Cuadra"</formula>
      <formula>"Este Asiento NO Cuadra"</formula>
    </cfRule>
  </conditionalFormatting>
  <conditionalFormatting sqref="D487">
    <cfRule type="cellIs" dxfId="194" priority="152" operator="between">
      <formula>"Asientoto Cuadrado"</formula>
      <formula>"Asiento Cuadrado"</formula>
    </cfRule>
    <cfRule type="cellIs" dxfId="193" priority="153" operator="between">
      <formula>"Este Asiento NO Cuadra"</formula>
      <formula>"Este Asiento NO Cuadra"</formula>
    </cfRule>
  </conditionalFormatting>
  <conditionalFormatting sqref="D494">
    <cfRule type="cellIs" dxfId="192" priority="150" operator="between">
      <formula>"Asientoto Cuadrado"</formula>
      <formula>"Asiento Cuadrado"</formula>
    </cfRule>
    <cfRule type="cellIs" dxfId="191" priority="151" operator="between">
      <formula>"Este Asiento NO Cuadra"</formula>
      <formula>"Este Asiento NO Cuadra"</formula>
    </cfRule>
  </conditionalFormatting>
  <conditionalFormatting sqref="D501">
    <cfRule type="cellIs" dxfId="190" priority="148" operator="between">
      <formula>"Asientoto Cuadrado"</formula>
      <formula>"Asiento Cuadrado"</formula>
    </cfRule>
    <cfRule type="cellIs" dxfId="189" priority="149" operator="between">
      <formula>"Este Asiento NO Cuadra"</formula>
      <formula>"Este Asiento NO Cuadra"</formula>
    </cfRule>
  </conditionalFormatting>
  <conditionalFormatting sqref="D508">
    <cfRule type="cellIs" dxfId="188" priority="146" operator="between">
      <formula>"Asientoto Cuadrado"</formula>
      <formula>"Asiento Cuadrado"</formula>
    </cfRule>
    <cfRule type="cellIs" dxfId="187" priority="147" operator="between">
      <formula>"Este Asiento NO Cuadra"</formula>
      <formula>"Este Asiento NO Cuadra"</formula>
    </cfRule>
  </conditionalFormatting>
  <conditionalFormatting sqref="D529">
    <cfRule type="cellIs" dxfId="186" priority="144" operator="between">
      <formula>"Asientoto Cuadrado"</formula>
      <formula>"Asiento Cuadrado"</formula>
    </cfRule>
    <cfRule type="cellIs" dxfId="185" priority="145" operator="between">
      <formula>"Este Asiento NO Cuadra"</formula>
      <formula>"Este Asiento NO Cuadra"</formula>
    </cfRule>
  </conditionalFormatting>
  <conditionalFormatting sqref="D546">
    <cfRule type="cellIs" dxfId="184" priority="142" operator="between">
      <formula>"Asientoto Cuadrado"</formula>
      <formula>"Asiento Cuadrado"</formula>
    </cfRule>
    <cfRule type="cellIs" dxfId="183" priority="143" operator="between">
      <formula>"Este Asiento NO Cuadra"</formula>
      <formula>"Este Asiento NO Cuadra"</formula>
    </cfRule>
  </conditionalFormatting>
  <conditionalFormatting sqref="D553">
    <cfRule type="cellIs" dxfId="182" priority="140" operator="between">
      <formula>"Asientoto Cuadrado"</formula>
      <formula>"Asiento Cuadrado"</formula>
    </cfRule>
    <cfRule type="cellIs" dxfId="181" priority="141" operator="between">
      <formula>"Este Asiento NO Cuadra"</formula>
      <formula>"Este Asiento NO Cuadra"</formula>
    </cfRule>
  </conditionalFormatting>
  <conditionalFormatting sqref="D559">
    <cfRule type="cellIs" dxfId="180" priority="138" operator="between">
      <formula>"Asientoto Cuadrado"</formula>
      <formula>"Asiento Cuadrado"</formula>
    </cfRule>
    <cfRule type="cellIs" dxfId="179" priority="139" operator="between">
      <formula>"Este Asiento NO Cuadra"</formula>
      <formula>"Este Asiento NO Cuadra"</formula>
    </cfRule>
  </conditionalFormatting>
  <conditionalFormatting sqref="B595">
    <cfRule type="cellIs" dxfId="178" priority="134" operator="between">
      <formula>"Asiento Descuadrado"</formula>
      <formula>"Asiento Descuadrado"</formula>
    </cfRule>
    <cfRule type="cellIs" dxfId="177" priority="135" operator="between">
      <formula>"Asientoto Cuadrado"</formula>
      <formula>"Asiento Cuadrado"</formula>
    </cfRule>
  </conditionalFormatting>
  <conditionalFormatting sqref="E595">
    <cfRule type="cellIs" dxfId="176" priority="132" operator="between">
      <formula>"Asiento Descuadrado"</formula>
      <formula>"Asiento Descuadrado"</formula>
    </cfRule>
    <cfRule type="cellIs" dxfId="175" priority="133" operator="between">
      <formula>"Asientoto Cuadrado"</formula>
      <formula>"Asiento Cuadrado"</formula>
    </cfRule>
  </conditionalFormatting>
  <conditionalFormatting sqref="E595">
    <cfRule type="cellIs" dxfId="174" priority="131" operator="notEqual">
      <formula>0</formula>
    </cfRule>
  </conditionalFormatting>
  <conditionalFormatting sqref="B594">
    <cfRule type="cellIs" dxfId="173" priority="129" operator="between">
      <formula>"Asientoto Cuadrado"</formula>
      <formula>"Asiento Cuadrado"</formula>
    </cfRule>
    <cfRule type="cellIs" dxfId="172" priority="130" operator="between">
      <formula>"Este Asiento NO Cuadra"</formula>
      <formula>"Este Asiento NO Cuadra"</formula>
    </cfRule>
  </conditionalFormatting>
  <conditionalFormatting sqref="D594">
    <cfRule type="cellIs" dxfId="171" priority="127" operator="between">
      <formula>"Asientoto Cuadrado"</formula>
      <formula>"Asiento Cuadrado"</formula>
    </cfRule>
    <cfRule type="cellIs" dxfId="170" priority="128" operator="between">
      <formula>"Este Asiento NO Cuadra"</formula>
      <formula>"Este Asiento NO Cuadra"</formula>
    </cfRule>
  </conditionalFormatting>
  <conditionalFormatting sqref="B602">
    <cfRule type="cellIs" dxfId="169" priority="125" operator="between">
      <formula>"Asiento Descuadrado"</formula>
      <formula>"Asiento Descuadrado"</formula>
    </cfRule>
    <cfRule type="cellIs" dxfId="168" priority="126" operator="between">
      <formula>"Asientoto Cuadrado"</formula>
      <formula>"Asiento Cuadrado"</formula>
    </cfRule>
  </conditionalFormatting>
  <conditionalFormatting sqref="E602">
    <cfRule type="cellIs" dxfId="167" priority="123" operator="between">
      <formula>"Asiento Descuadrado"</formula>
      <formula>"Asiento Descuadrado"</formula>
    </cfRule>
    <cfRule type="cellIs" dxfId="166" priority="124" operator="between">
      <formula>"Asientoto Cuadrado"</formula>
      <formula>"Asiento Cuadrado"</formula>
    </cfRule>
  </conditionalFormatting>
  <conditionalFormatting sqref="E602">
    <cfRule type="cellIs" dxfId="165" priority="122" operator="notEqual">
      <formula>0</formula>
    </cfRule>
  </conditionalFormatting>
  <conditionalFormatting sqref="B601">
    <cfRule type="cellIs" dxfId="164" priority="120" operator="between">
      <formula>"Asientoto Cuadrado"</formula>
      <formula>"Asiento Cuadrado"</formula>
    </cfRule>
    <cfRule type="cellIs" dxfId="163" priority="121" operator="between">
      <formula>"Este Asiento NO Cuadra"</formula>
      <formula>"Este Asiento NO Cuadra"</formula>
    </cfRule>
  </conditionalFormatting>
  <conditionalFormatting sqref="D601">
    <cfRule type="cellIs" dxfId="162" priority="118" operator="between">
      <formula>"Asientoto Cuadrado"</formula>
      <formula>"Asiento Cuadrado"</formula>
    </cfRule>
    <cfRule type="cellIs" dxfId="161" priority="119" operator="between">
      <formula>"Este Asiento NO Cuadra"</formula>
      <formula>"Este Asiento NO Cuadra"</formula>
    </cfRule>
  </conditionalFormatting>
  <conditionalFormatting sqref="B609">
    <cfRule type="cellIs" dxfId="160" priority="116" operator="between">
      <formula>"Asiento Descuadrado"</formula>
      <formula>"Asiento Descuadrado"</formula>
    </cfRule>
    <cfRule type="cellIs" dxfId="159" priority="117" operator="between">
      <formula>"Asientoto Cuadrado"</formula>
      <formula>"Asiento Cuadrado"</formula>
    </cfRule>
  </conditionalFormatting>
  <conditionalFormatting sqref="E609">
    <cfRule type="cellIs" dxfId="158" priority="114" operator="between">
      <formula>"Asiento Descuadrado"</formula>
      <formula>"Asiento Descuadrado"</formula>
    </cfRule>
    <cfRule type="cellIs" dxfId="157" priority="115" operator="between">
      <formula>"Asientoto Cuadrado"</formula>
      <formula>"Asiento Cuadrado"</formula>
    </cfRule>
  </conditionalFormatting>
  <conditionalFormatting sqref="E609">
    <cfRule type="cellIs" dxfId="156" priority="113" operator="notEqual">
      <formula>0</formula>
    </cfRule>
  </conditionalFormatting>
  <conditionalFormatting sqref="B608">
    <cfRule type="cellIs" dxfId="155" priority="111" operator="between">
      <formula>"Asientoto Cuadrado"</formula>
      <formula>"Asiento Cuadrado"</formula>
    </cfRule>
    <cfRule type="cellIs" dxfId="154" priority="112" operator="between">
      <formula>"Este Asiento NO Cuadra"</formula>
      <formula>"Este Asiento NO Cuadra"</formula>
    </cfRule>
  </conditionalFormatting>
  <conditionalFormatting sqref="D608">
    <cfRule type="cellIs" dxfId="153" priority="109" operator="between">
      <formula>"Asientoto Cuadrado"</formula>
      <formula>"Asiento Cuadrado"</formula>
    </cfRule>
    <cfRule type="cellIs" dxfId="152" priority="110" operator="between">
      <formula>"Este Asiento NO Cuadra"</formula>
      <formula>"Este Asiento NO Cuadra"</formula>
    </cfRule>
  </conditionalFormatting>
  <conditionalFormatting sqref="B616">
    <cfRule type="cellIs" dxfId="151" priority="107" operator="between">
      <formula>"Asiento Descuadrado"</formula>
      <formula>"Asiento Descuadrado"</formula>
    </cfRule>
    <cfRule type="cellIs" dxfId="150" priority="108" operator="between">
      <formula>"Asientoto Cuadrado"</formula>
      <formula>"Asiento Cuadrado"</formula>
    </cfRule>
  </conditionalFormatting>
  <conditionalFormatting sqref="E616">
    <cfRule type="cellIs" dxfId="149" priority="105" operator="between">
      <formula>"Asiento Descuadrado"</formula>
      <formula>"Asiento Descuadrado"</formula>
    </cfRule>
    <cfRule type="cellIs" dxfId="148" priority="106" operator="between">
      <formula>"Asientoto Cuadrado"</formula>
      <formula>"Asiento Cuadrado"</formula>
    </cfRule>
  </conditionalFormatting>
  <conditionalFormatting sqref="E616">
    <cfRule type="cellIs" dxfId="147" priority="104" operator="notEqual">
      <formula>0</formula>
    </cfRule>
  </conditionalFormatting>
  <conditionalFormatting sqref="B615">
    <cfRule type="cellIs" dxfId="146" priority="102" operator="between">
      <formula>"Asientoto Cuadrado"</formula>
      <formula>"Asiento Cuadrado"</formula>
    </cfRule>
    <cfRule type="cellIs" dxfId="145" priority="103" operator="between">
      <formula>"Este Asiento NO Cuadra"</formula>
      <formula>"Este Asiento NO Cuadra"</formula>
    </cfRule>
  </conditionalFormatting>
  <conditionalFormatting sqref="D615">
    <cfRule type="cellIs" dxfId="144" priority="100" operator="between">
      <formula>"Asientoto Cuadrado"</formula>
      <formula>"Asiento Cuadrado"</formula>
    </cfRule>
    <cfRule type="cellIs" dxfId="143" priority="101" operator="between">
      <formula>"Este Asiento NO Cuadra"</formula>
      <formula>"Este Asiento NO Cuadra"</formula>
    </cfRule>
  </conditionalFormatting>
  <conditionalFormatting sqref="B623">
    <cfRule type="cellIs" dxfId="142" priority="98" operator="between">
      <formula>"Asiento Descuadrado"</formula>
      <formula>"Asiento Descuadrado"</formula>
    </cfRule>
    <cfRule type="cellIs" dxfId="141" priority="99" operator="between">
      <formula>"Asientoto Cuadrado"</formula>
      <formula>"Asiento Cuadrado"</formula>
    </cfRule>
  </conditionalFormatting>
  <conditionalFormatting sqref="E623">
    <cfRule type="cellIs" dxfId="140" priority="96" operator="between">
      <formula>"Asiento Descuadrado"</formula>
      <formula>"Asiento Descuadrado"</formula>
    </cfRule>
    <cfRule type="cellIs" dxfId="139" priority="97" operator="between">
      <formula>"Asientoto Cuadrado"</formula>
      <formula>"Asiento Cuadrado"</formula>
    </cfRule>
  </conditionalFormatting>
  <conditionalFormatting sqref="E623">
    <cfRule type="cellIs" dxfId="138" priority="95" operator="notEqual">
      <formula>0</formula>
    </cfRule>
  </conditionalFormatting>
  <conditionalFormatting sqref="B622">
    <cfRule type="cellIs" dxfId="137" priority="93" operator="between">
      <formula>"Asientoto Cuadrado"</formula>
      <formula>"Asiento Cuadrado"</formula>
    </cfRule>
    <cfRule type="cellIs" dxfId="136" priority="94" operator="between">
      <formula>"Este Asiento NO Cuadra"</formula>
      <formula>"Este Asiento NO Cuadra"</formula>
    </cfRule>
  </conditionalFormatting>
  <conditionalFormatting sqref="D622">
    <cfRule type="cellIs" dxfId="135" priority="91" operator="between">
      <formula>"Asientoto Cuadrado"</formula>
      <formula>"Asiento Cuadrado"</formula>
    </cfRule>
    <cfRule type="cellIs" dxfId="134" priority="92" operator="between">
      <formula>"Este Asiento NO Cuadra"</formula>
      <formula>"Este Asiento NO Cuadra"</formula>
    </cfRule>
  </conditionalFormatting>
  <conditionalFormatting sqref="B630">
    <cfRule type="cellIs" dxfId="133" priority="89" operator="between">
      <formula>"Asiento Descuadrado"</formula>
      <formula>"Asiento Descuadrado"</formula>
    </cfRule>
    <cfRule type="cellIs" dxfId="132" priority="90" operator="between">
      <formula>"Asientoto Cuadrado"</formula>
      <formula>"Asiento Cuadrado"</formula>
    </cfRule>
  </conditionalFormatting>
  <conditionalFormatting sqref="E630">
    <cfRule type="cellIs" dxfId="131" priority="87" operator="between">
      <formula>"Asiento Descuadrado"</formula>
      <formula>"Asiento Descuadrado"</formula>
    </cfRule>
    <cfRule type="cellIs" dxfId="130" priority="88" operator="between">
      <formula>"Asientoto Cuadrado"</formula>
      <formula>"Asiento Cuadrado"</formula>
    </cfRule>
  </conditionalFormatting>
  <conditionalFormatting sqref="E630">
    <cfRule type="cellIs" dxfId="129" priority="86" operator="notEqual">
      <formula>0</formula>
    </cfRule>
  </conditionalFormatting>
  <conditionalFormatting sqref="B629">
    <cfRule type="cellIs" dxfId="128" priority="84" operator="between">
      <formula>"Asientoto Cuadrado"</formula>
      <formula>"Asiento Cuadrado"</formula>
    </cfRule>
    <cfRule type="cellIs" dxfId="127" priority="85" operator="between">
      <formula>"Este Asiento NO Cuadra"</formula>
      <formula>"Este Asiento NO Cuadra"</formula>
    </cfRule>
  </conditionalFormatting>
  <conditionalFormatting sqref="D629">
    <cfRule type="cellIs" dxfId="126" priority="82" operator="between">
      <formula>"Asientoto Cuadrado"</formula>
      <formula>"Asiento Cuadrado"</formula>
    </cfRule>
    <cfRule type="cellIs" dxfId="125" priority="83" operator="between">
      <formula>"Este Asiento NO Cuadra"</formula>
      <formula>"Este Asiento NO Cuadra"</formula>
    </cfRule>
  </conditionalFormatting>
  <conditionalFormatting sqref="B637">
    <cfRule type="cellIs" dxfId="124" priority="80" operator="between">
      <formula>"Asiento Descuadrado"</formula>
      <formula>"Asiento Descuadrado"</formula>
    </cfRule>
    <cfRule type="cellIs" dxfId="123" priority="81" operator="between">
      <formula>"Asientoto Cuadrado"</formula>
      <formula>"Asiento Cuadrado"</formula>
    </cfRule>
  </conditionalFormatting>
  <conditionalFormatting sqref="E637">
    <cfRule type="cellIs" dxfId="122" priority="78" operator="between">
      <formula>"Asiento Descuadrado"</formula>
      <formula>"Asiento Descuadrado"</formula>
    </cfRule>
    <cfRule type="cellIs" dxfId="121" priority="79" operator="between">
      <formula>"Asientoto Cuadrado"</formula>
      <formula>"Asiento Cuadrado"</formula>
    </cfRule>
  </conditionalFormatting>
  <conditionalFormatting sqref="E637">
    <cfRule type="cellIs" dxfId="120" priority="77" operator="notEqual">
      <formula>0</formula>
    </cfRule>
  </conditionalFormatting>
  <conditionalFormatting sqref="B636">
    <cfRule type="cellIs" dxfId="119" priority="75" operator="between">
      <formula>"Asientoto Cuadrado"</formula>
      <formula>"Asiento Cuadrado"</formula>
    </cfRule>
    <cfRule type="cellIs" dxfId="118" priority="76" operator="between">
      <formula>"Este Asiento NO Cuadra"</formula>
      <formula>"Este Asiento NO Cuadra"</formula>
    </cfRule>
  </conditionalFormatting>
  <conditionalFormatting sqref="D636">
    <cfRule type="cellIs" dxfId="117" priority="73" operator="between">
      <formula>"Asientoto Cuadrado"</formula>
      <formula>"Asiento Cuadrado"</formula>
    </cfRule>
    <cfRule type="cellIs" dxfId="116" priority="74" operator="between">
      <formula>"Este Asiento NO Cuadra"</formula>
      <formula>"Este Asiento NO Cuadra"</formula>
    </cfRule>
  </conditionalFormatting>
  <conditionalFormatting sqref="B644">
    <cfRule type="cellIs" dxfId="115" priority="71" operator="between">
      <formula>"Asiento Descuadrado"</formula>
      <formula>"Asiento Descuadrado"</formula>
    </cfRule>
    <cfRule type="cellIs" dxfId="114" priority="72" operator="between">
      <formula>"Asientoto Cuadrado"</formula>
      <formula>"Asiento Cuadrado"</formula>
    </cfRule>
  </conditionalFormatting>
  <conditionalFormatting sqref="E644">
    <cfRule type="cellIs" dxfId="113" priority="69" operator="between">
      <formula>"Asiento Descuadrado"</formula>
      <formula>"Asiento Descuadrado"</formula>
    </cfRule>
    <cfRule type="cellIs" dxfId="112" priority="70" operator="between">
      <formula>"Asientoto Cuadrado"</formula>
      <formula>"Asiento Cuadrado"</formula>
    </cfRule>
  </conditionalFormatting>
  <conditionalFormatting sqref="E644">
    <cfRule type="cellIs" dxfId="111" priority="68" operator="notEqual">
      <formula>0</formula>
    </cfRule>
  </conditionalFormatting>
  <conditionalFormatting sqref="B643">
    <cfRule type="cellIs" dxfId="110" priority="66" operator="between">
      <formula>"Asientoto Cuadrado"</formula>
      <formula>"Asiento Cuadrado"</formula>
    </cfRule>
    <cfRule type="cellIs" dxfId="109" priority="67" operator="between">
      <formula>"Este Asiento NO Cuadra"</formula>
      <formula>"Este Asiento NO Cuadra"</formula>
    </cfRule>
  </conditionalFormatting>
  <conditionalFormatting sqref="D643">
    <cfRule type="cellIs" dxfId="108" priority="64" operator="between">
      <formula>"Asientoto Cuadrado"</formula>
      <formula>"Asiento Cuadrado"</formula>
    </cfRule>
    <cfRule type="cellIs" dxfId="107" priority="65" operator="between">
      <formula>"Este Asiento NO Cuadra"</formula>
      <formula>"Este Asiento NO Cuadra"</formula>
    </cfRule>
  </conditionalFormatting>
  <conditionalFormatting sqref="B651">
    <cfRule type="cellIs" dxfId="106" priority="62" operator="between">
      <formula>"Asiento Descuadrado"</formula>
      <formula>"Asiento Descuadrado"</formula>
    </cfRule>
    <cfRule type="cellIs" dxfId="105" priority="63" operator="between">
      <formula>"Asientoto Cuadrado"</formula>
      <formula>"Asiento Cuadrado"</formula>
    </cfRule>
  </conditionalFormatting>
  <conditionalFormatting sqref="E651">
    <cfRule type="cellIs" dxfId="104" priority="60" operator="between">
      <formula>"Asiento Descuadrado"</formula>
      <formula>"Asiento Descuadrado"</formula>
    </cfRule>
    <cfRule type="cellIs" dxfId="103" priority="61" operator="between">
      <formula>"Asientoto Cuadrado"</formula>
      <formula>"Asiento Cuadrado"</formula>
    </cfRule>
  </conditionalFormatting>
  <conditionalFormatting sqref="E651">
    <cfRule type="cellIs" dxfId="102" priority="59" operator="notEqual">
      <formula>0</formula>
    </cfRule>
  </conditionalFormatting>
  <conditionalFormatting sqref="B650">
    <cfRule type="cellIs" dxfId="101" priority="57" operator="between">
      <formula>"Asientoto Cuadrado"</formula>
      <formula>"Asiento Cuadrado"</formula>
    </cfRule>
    <cfRule type="cellIs" dxfId="100" priority="58" operator="between">
      <formula>"Este Asiento NO Cuadra"</formula>
      <formula>"Este Asiento NO Cuadra"</formula>
    </cfRule>
  </conditionalFormatting>
  <conditionalFormatting sqref="D650">
    <cfRule type="cellIs" dxfId="99" priority="55" operator="between">
      <formula>"Asientoto Cuadrado"</formula>
      <formula>"Asiento Cuadrado"</formula>
    </cfRule>
    <cfRule type="cellIs" dxfId="98" priority="56" operator="between">
      <formula>"Este Asiento NO Cuadra"</formula>
      <formula>"Este Asiento NO Cuadra"</formula>
    </cfRule>
  </conditionalFormatting>
  <conditionalFormatting sqref="B658">
    <cfRule type="cellIs" dxfId="97" priority="53" operator="between">
      <formula>"Asiento Descuadrado"</formula>
      <formula>"Asiento Descuadrado"</formula>
    </cfRule>
    <cfRule type="cellIs" dxfId="96" priority="54" operator="between">
      <formula>"Asientoto Cuadrado"</formula>
      <formula>"Asiento Cuadrado"</formula>
    </cfRule>
  </conditionalFormatting>
  <conditionalFormatting sqref="E658">
    <cfRule type="cellIs" dxfId="95" priority="51" operator="between">
      <formula>"Asiento Descuadrado"</formula>
      <formula>"Asiento Descuadrado"</formula>
    </cfRule>
    <cfRule type="cellIs" dxfId="94" priority="52" operator="between">
      <formula>"Asientoto Cuadrado"</formula>
      <formula>"Asiento Cuadrado"</formula>
    </cfRule>
  </conditionalFormatting>
  <conditionalFormatting sqref="E658">
    <cfRule type="cellIs" dxfId="93" priority="50" operator="notEqual">
      <formula>0</formula>
    </cfRule>
  </conditionalFormatting>
  <conditionalFormatting sqref="B657">
    <cfRule type="cellIs" dxfId="92" priority="48" operator="between">
      <formula>"Asientoto Cuadrado"</formula>
      <formula>"Asiento Cuadrado"</formula>
    </cfRule>
    <cfRule type="cellIs" dxfId="91" priority="49" operator="between">
      <formula>"Este Asiento NO Cuadra"</formula>
      <formula>"Este Asiento NO Cuadra"</formula>
    </cfRule>
  </conditionalFormatting>
  <conditionalFormatting sqref="D657">
    <cfRule type="cellIs" dxfId="90" priority="46" operator="between">
      <formula>"Asientoto Cuadrado"</formula>
      <formula>"Asiento Cuadrado"</formula>
    </cfRule>
    <cfRule type="cellIs" dxfId="89" priority="47" operator="between">
      <formula>"Este Asiento NO Cuadra"</formula>
      <formula>"Este Asiento NO Cuadra"</formula>
    </cfRule>
  </conditionalFormatting>
  <conditionalFormatting sqref="B665">
    <cfRule type="cellIs" dxfId="88" priority="44" operator="between">
      <formula>"Asiento Descuadrado"</formula>
      <formula>"Asiento Descuadrado"</formula>
    </cfRule>
    <cfRule type="cellIs" dxfId="87" priority="45" operator="between">
      <formula>"Asientoto Cuadrado"</formula>
      <formula>"Asiento Cuadrado"</formula>
    </cfRule>
  </conditionalFormatting>
  <conditionalFormatting sqref="E665">
    <cfRule type="cellIs" dxfId="86" priority="42" operator="between">
      <formula>"Asiento Descuadrado"</formula>
      <formula>"Asiento Descuadrado"</formula>
    </cfRule>
    <cfRule type="cellIs" dxfId="85" priority="43" operator="between">
      <formula>"Asientoto Cuadrado"</formula>
      <formula>"Asiento Cuadrado"</formula>
    </cfRule>
  </conditionalFormatting>
  <conditionalFormatting sqref="E665">
    <cfRule type="cellIs" dxfId="84" priority="41" operator="notEqual">
      <formula>0</formula>
    </cfRule>
  </conditionalFormatting>
  <conditionalFormatting sqref="B664">
    <cfRule type="cellIs" dxfId="83" priority="39" operator="between">
      <formula>"Asientoto Cuadrado"</formula>
      <formula>"Asiento Cuadrado"</formula>
    </cfRule>
    <cfRule type="cellIs" dxfId="82" priority="40" operator="between">
      <formula>"Este Asiento NO Cuadra"</formula>
      <formula>"Este Asiento NO Cuadra"</formula>
    </cfRule>
  </conditionalFormatting>
  <conditionalFormatting sqref="D664">
    <cfRule type="cellIs" dxfId="81" priority="37" operator="between">
      <formula>"Asientoto Cuadrado"</formula>
      <formula>"Asiento Cuadrado"</formula>
    </cfRule>
    <cfRule type="cellIs" dxfId="80" priority="38" operator="between">
      <formula>"Este Asiento NO Cuadra"</formula>
      <formula>"Este Asiento NO Cuadra"</formula>
    </cfRule>
  </conditionalFormatting>
  <conditionalFormatting sqref="B672">
    <cfRule type="cellIs" dxfId="79" priority="35" operator="between">
      <formula>"Asiento Descuadrado"</formula>
      <formula>"Asiento Descuadrado"</formula>
    </cfRule>
    <cfRule type="cellIs" dxfId="78" priority="36" operator="between">
      <formula>"Asientoto Cuadrado"</formula>
      <formula>"Asiento Cuadrado"</formula>
    </cfRule>
  </conditionalFormatting>
  <conditionalFormatting sqref="E672">
    <cfRule type="cellIs" dxfId="77" priority="33" operator="between">
      <formula>"Asiento Descuadrado"</formula>
      <formula>"Asiento Descuadrado"</formula>
    </cfRule>
    <cfRule type="cellIs" dxfId="76" priority="34" operator="between">
      <formula>"Asientoto Cuadrado"</formula>
      <formula>"Asiento Cuadrado"</formula>
    </cfRule>
  </conditionalFormatting>
  <conditionalFormatting sqref="E672">
    <cfRule type="cellIs" dxfId="75" priority="32" operator="notEqual">
      <formula>0</formula>
    </cfRule>
  </conditionalFormatting>
  <conditionalFormatting sqref="B671">
    <cfRule type="cellIs" dxfId="74" priority="30" operator="between">
      <formula>"Asientoto Cuadrado"</formula>
      <formula>"Asiento Cuadrado"</formula>
    </cfRule>
    <cfRule type="cellIs" dxfId="73" priority="31" operator="between">
      <formula>"Este Asiento NO Cuadra"</formula>
      <formula>"Este Asiento NO Cuadra"</formula>
    </cfRule>
  </conditionalFormatting>
  <conditionalFormatting sqref="D671">
    <cfRule type="cellIs" dxfId="72" priority="28" operator="between">
      <formula>"Asientoto Cuadrado"</formula>
      <formula>"Asiento Cuadrado"</formula>
    </cfRule>
    <cfRule type="cellIs" dxfId="71" priority="29" operator="between">
      <formula>"Este Asiento NO Cuadra"</formula>
      <formula>"Este Asiento NO Cuadra"</formula>
    </cfRule>
  </conditionalFormatting>
  <conditionalFormatting sqref="B679">
    <cfRule type="cellIs" dxfId="70" priority="26" operator="between">
      <formula>"Asiento Descuadrado"</formula>
      <formula>"Asiento Descuadrado"</formula>
    </cfRule>
    <cfRule type="cellIs" dxfId="69" priority="27" operator="between">
      <formula>"Asientoto Cuadrado"</formula>
      <formula>"Asiento Cuadrado"</formula>
    </cfRule>
  </conditionalFormatting>
  <conditionalFormatting sqref="E679">
    <cfRule type="cellIs" dxfId="68" priority="24" operator="between">
      <formula>"Asiento Descuadrado"</formula>
      <formula>"Asiento Descuadrado"</formula>
    </cfRule>
    <cfRule type="cellIs" dxfId="67" priority="25" operator="between">
      <formula>"Asientoto Cuadrado"</formula>
      <formula>"Asiento Cuadrado"</formula>
    </cfRule>
  </conditionalFormatting>
  <conditionalFormatting sqref="E679">
    <cfRule type="cellIs" dxfId="66" priority="23" operator="notEqual">
      <formula>0</formula>
    </cfRule>
  </conditionalFormatting>
  <conditionalFormatting sqref="B678">
    <cfRule type="cellIs" dxfId="65" priority="21" operator="between">
      <formula>"Asientoto Cuadrado"</formula>
      <formula>"Asiento Cuadrado"</formula>
    </cfRule>
    <cfRule type="cellIs" dxfId="64" priority="22" operator="between">
      <formula>"Este Asiento NO Cuadra"</formula>
      <formula>"Este Asiento NO Cuadra"</formula>
    </cfRule>
  </conditionalFormatting>
  <conditionalFormatting sqref="D678">
    <cfRule type="cellIs" dxfId="63" priority="19" operator="between">
      <formula>"Asientoto Cuadrado"</formula>
      <formula>"Asiento Cuadrado"</formula>
    </cfRule>
    <cfRule type="cellIs" dxfId="62" priority="20" operator="between">
      <formula>"Este Asiento NO Cuadra"</formula>
      <formula>"Este Asiento NO Cuadra"</formula>
    </cfRule>
  </conditionalFormatting>
  <conditionalFormatting sqref="B686">
    <cfRule type="cellIs" dxfId="61" priority="17" operator="between">
      <formula>"Asiento Descuadrado"</formula>
      <formula>"Asiento Descuadrado"</formula>
    </cfRule>
    <cfRule type="cellIs" dxfId="60" priority="18" operator="between">
      <formula>"Asientoto Cuadrado"</formula>
      <formula>"Asiento Cuadrado"</formula>
    </cfRule>
  </conditionalFormatting>
  <conditionalFormatting sqref="E686">
    <cfRule type="cellIs" dxfId="59" priority="15" operator="between">
      <formula>"Asiento Descuadrado"</formula>
      <formula>"Asiento Descuadrado"</formula>
    </cfRule>
    <cfRule type="cellIs" dxfId="58" priority="16" operator="between">
      <formula>"Asientoto Cuadrado"</formula>
      <formula>"Asiento Cuadrado"</formula>
    </cfRule>
  </conditionalFormatting>
  <conditionalFormatting sqref="E686">
    <cfRule type="cellIs" dxfId="57" priority="14" operator="notEqual">
      <formula>0</formula>
    </cfRule>
  </conditionalFormatting>
  <conditionalFormatting sqref="B685">
    <cfRule type="cellIs" dxfId="56" priority="12" operator="between">
      <formula>"Asientoto Cuadrado"</formula>
      <formula>"Asiento Cuadrado"</formula>
    </cfRule>
    <cfRule type="cellIs" dxfId="55" priority="13" operator="between">
      <formula>"Este Asiento NO Cuadra"</formula>
      <formula>"Este Asiento NO Cuadra"</formula>
    </cfRule>
  </conditionalFormatting>
  <conditionalFormatting sqref="D685">
    <cfRule type="cellIs" dxfId="54" priority="10" operator="between">
      <formula>"Asientoto Cuadrado"</formula>
      <formula>"Asiento Cuadrado"</formula>
    </cfRule>
    <cfRule type="cellIs" dxfId="53" priority="11" operator="between">
      <formula>"Este Asiento NO Cuadra"</formula>
      <formula>"Este Asiento NO Cuadra"</formula>
    </cfRule>
  </conditionalFormatting>
  <conditionalFormatting sqref="B693">
    <cfRule type="cellIs" dxfId="52" priority="8" operator="between">
      <formula>"Asiento Descuadrado"</formula>
      <formula>"Asiento Descuadrado"</formula>
    </cfRule>
    <cfRule type="cellIs" dxfId="51" priority="9" operator="between">
      <formula>"Asientoto Cuadrado"</formula>
      <formula>"Asiento Cuadrado"</formula>
    </cfRule>
  </conditionalFormatting>
  <conditionalFormatting sqref="E693">
    <cfRule type="cellIs" dxfId="50" priority="6" operator="between">
      <formula>"Asiento Descuadrado"</formula>
      <formula>"Asiento Descuadrado"</formula>
    </cfRule>
    <cfRule type="cellIs" dxfId="49" priority="7" operator="between">
      <formula>"Asientoto Cuadrado"</formula>
      <formula>"Asiento Cuadrado"</formula>
    </cfRule>
  </conditionalFormatting>
  <conditionalFormatting sqref="E693">
    <cfRule type="cellIs" dxfId="48" priority="5" operator="notEqual">
      <formula>0</formula>
    </cfRule>
  </conditionalFormatting>
  <conditionalFormatting sqref="B692">
    <cfRule type="cellIs" dxfId="47" priority="3" operator="between">
      <formula>"Asientoto Cuadrado"</formula>
      <formula>"Asiento Cuadrado"</formula>
    </cfRule>
    <cfRule type="cellIs" dxfId="46" priority="4" operator="between">
      <formula>"Este Asiento NO Cuadra"</formula>
      <formula>"Este Asiento NO Cuadra"</formula>
    </cfRule>
  </conditionalFormatting>
  <conditionalFormatting sqref="D692">
    <cfRule type="cellIs" dxfId="45" priority="1" operator="between">
      <formula>"Asientoto Cuadrado"</formula>
      <formula>"Asiento Cuadrado"</formula>
    </cfRule>
    <cfRule type="cellIs" dxfId="44" priority="2" operator="between">
      <formula>"Este Asiento NO Cuadra"</formula>
      <formula>"Este Asiento NO Cuadra"</formula>
    </cfRule>
  </conditionalFormatting>
  <dataValidations xWindow="697" yWindow="828" count="7">
    <dataValidation type="list" errorStyle="warning" allowBlank="1" showInputMessage="1" showErrorMessage="1" errorTitle="Falta definir el Tipo de Asiento" error="Ingrese el Tipo de Asiento" promptTitle="Tipo de Asiento" prompt="Selecciones una opción de la lista desplegable" sqref="B559 B321 B587 B92 B99 B107 B115 B122 B129 B136 B143 B150 B157 B165 B172 B179 B186 B193 B202 B209 B216 B223 B230 B237 B244 B251 B258 B265 B272 B279 B286 B293 B300 B307 B314 B85 B328 B336 B343 B350 B358 B365 B375 B382 B389 B396 B403 B410 B417 B424 B431 B438 B445 B452 B459 B466 B473 B480 B487 B494 B501 B508 B529 B546 B553 B594 B601 B608 B615 B622 B629 B636 B643 B650 B657 B664 B671 B678 B685 B692" xr:uid="{00000000-0002-0000-0300-000000000000}">
      <formula1>Tipo_Asiento</formula1>
    </dataValidation>
    <dataValidation type="list" allowBlank="1" showInputMessage="1" showErrorMessage="1" errorTitle="Cuenta no inlcuida en el Plan" error="Seleccione una cuenta de la lista_x000a_Puede filtrar por código o por nombre de cuenta." sqref="C59:D77 C14:D52" xr:uid="{00000000-0002-0000-0300-000001000000}">
      <formula1>Cuentas</formula1>
    </dataValidation>
    <dataValidation type="list" allowBlank="1" showInputMessage="1" showErrorMessage="1" errorTitle="Cuenta no inlcuida en el Plan" error="Ingrese una cuenta de la lista_x000a_Puede filtrar por código de cuenta o por nombre." sqref="C83:D84 C90:D91 C97:D98 C104:D106 C112:D114 C120:D121 C127:D128 C134:D135 C141:D142 C148:D149 C155:D156 C162:D164 C170:D171 C177:D178 C184:D185 C191:D192 C198:D201 C207:D208 C214:D215 C221:D222 C228:D229 C235:D236 C242:D243 C249:D250 C256:D257 C263:D264 C270:D271 C277:D278 C284:D285 C291:D292 C298:D299 C305:D306 C312:D313 C319:D320 C326:D327 C564:D586 C341:D342 C348:D349 C355:D357 C363:D364 C370:D374 C380:D381 C387:D388 C394:D395 C401:D402 C408:D409 C415:D416 C422:D423 C429:D430 C436:D437 C443:D444 C450:D451 C457:D458 C464:D465 C471:D472 C478:D479 C485:D486 C492:D493 C499:D500 C506:D507 C513:D528 C534:D545 C551:D552 C558:D558 C333:D335 C592:D593 C599:D600 C606:D607 C613:D614 C620:D621 C627:D628 C634:D635 C641:D642 C648:D649 C655:D656 C662:D663 C669:D670 C676:D677 C683:D684 C690:D691" xr:uid="{00000000-0002-0000-0300-000002000000}">
      <formula1>Cuentas</formula1>
    </dataValidation>
    <dataValidation type="list" errorStyle="warning" allowBlank="1" showInputMessage="1" showErrorMessage="1" errorTitle="Falta definir el Tipo de Asiento" error="Ingrese el Tipo de Asiento" promptTitle="Tipo de Asiento" prompt="Selecciones una opción de la lista desplegable" sqref="D53:E53" xr:uid="{00000000-0002-0000-0300-000003000000}">
      <formula1>Tipo_Asiento2</formula1>
    </dataValidation>
    <dataValidation errorStyle="warning" allowBlank="1" showInputMessage="1" showErrorMessage="1" errorTitle="Falta definir el Tipo de Asiento" error="Ingrese el Tipo de Asiento" promptTitle="Tipo de Asiento" prompt="Selecciones una opción de la lista desplegable" sqref="B53:C53" xr:uid="{00000000-0002-0000-0300-000004000000}"/>
    <dataValidation type="list" allowBlank="1" showInputMessage="1" showErrorMessage="1" errorTitle="Falta definir Tipo de Operación" error="Ingrese el Tipo de Operación" promptTitle="Tipo de Operación" prompt="Selecciones una opción de la lista desplegable" sqref="D78:E78 D85:E85 D92:E92 D99:E99 D107:E107 D115:E115 D122:E122 D129:E129 D136:E136 D143:E143 D150:E150 D157:E157 D165:E165 D172:E172 D179:E179 D186:E186 D193:E193 D202:E202 D209:E209 D216:E216 D223:E223 D230:E230 D237:E237 D244:E244 D251:E251 D258:E258 D265:E265 D272:E272 D279:E279 D286:E286 D293:E293 D300:E300 D307:E307 D314:E314 D321:E321 D328:E328 D336:E336 D343:E343 D350:E350 D358:E358 D365:E365 D375:E375 D382:E382 D389:E389 D396:E396 D403:E403 D410:E410 D417:E417 D424:E424 D431:E431 D438:E438 D445:E445 D452:E452 D459:E459 D466:E466 D473:E473 D480:E480 D487:E487 D494:E494 D501:E501 D508:E508 D529:E529 D546:E546 D553:E553 D559:E559 D587:E587 D594:E594 D601:E601 D608:E608 D615:E615 D622:E622 D629:E629 D636:E636 D643:E643 D650:E650 D657:E657 D664:E664 D671:E671 D678:E678 D685:E685 D692:E692" xr:uid="{00000000-0002-0000-0300-000005000000}">
      <formula1>Tipo_Asiento2</formula1>
    </dataValidation>
    <dataValidation type="list" allowBlank="1" showInputMessage="1" showErrorMessage="1" errorTitle="Falta definir el Tipo de Asiento" error="Ingrese el Tipo de Asiento" promptTitle="Tipo de Asiento" prompt="Selecciones una opción de la lista desplegable" sqref="B78:C78" xr:uid="{00000000-0002-0000-0300-000006000000}">
      <formula1>Tipo_Asiento</formula1>
    </dataValidation>
  </dataValidations>
  <pageMargins left="0.7" right="0.7" top="0.75" bottom="0.75" header="0.3" footer="0.3"/>
  <pageSetup paperSize="9" scale="1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dimension ref="A5:E404"/>
  <sheetViews>
    <sheetView showGridLines="0" workbookViewId="0">
      <pane ySplit="10" topLeftCell="A11" activePane="bottomLeft" state="frozen"/>
      <selection pane="bottomLeft" activeCell="B18" sqref="B18"/>
    </sheetView>
  </sheetViews>
  <sheetFormatPr defaultColWidth="8.7109375" defaultRowHeight="15"/>
  <cols>
    <col min="1" max="1" width="17.42578125" customWidth="1"/>
    <col min="2" max="2" width="21.42578125" customWidth="1"/>
    <col min="3" max="3" width="69.85546875" customWidth="1"/>
    <col min="4" max="4" width="12.85546875" style="152" bestFit="1" customWidth="1"/>
    <col min="5" max="5" width="13.5703125" style="152" bestFit="1" customWidth="1"/>
  </cols>
  <sheetData>
    <row r="5" spans="1:5" ht="18">
      <c r="A5" s="399" t="s">
        <v>425</v>
      </c>
      <c r="B5" s="399"/>
      <c r="C5" s="399"/>
      <c r="D5" s="399"/>
      <c r="E5" s="399"/>
    </row>
    <row r="6" spans="1:5" hidden="1">
      <c r="A6" s="146" t="s">
        <v>426</v>
      </c>
      <c r="B6" t="s">
        <v>427</v>
      </c>
    </row>
    <row r="7" spans="1:5" hidden="1">
      <c r="A7" s="146" t="s">
        <v>428</v>
      </c>
      <c r="B7" t="s">
        <v>429</v>
      </c>
    </row>
    <row r="8" spans="1:5">
      <c r="A8" s="177" t="s">
        <v>430</v>
      </c>
      <c r="B8" t="s">
        <v>431</v>
      </c>
    </row>
    <row r="10" spans="1:5">
      <c r="A10" s="147" t="s">
        <v>432</v>
      </c>
      <c r="B10" s="147" t="s">
        <v>433</v>
      </c>
      <c r="C10" s="147" t="s">
        <v>434</v>
      </c>
      <c r="D10" s="175" t="s">
        <v>435</v>
      </c>
      <c r="E10" s="175" t="s">
        <v>436</v>
      </c>
    </row>
    <row r="11" spans="1:5">
      <c r="A11" t="s">
        <v>437</v>
      </c>
    </row>
    <row r="12" spans="1:5">
      <c r="D12"/>
      <c r="E12"/>
    </row>
    <row r="13" spans="1:5">
      <c r="D13"/>
      <c r="E13"/>
    </row>
    <row r="14" spans="1:5">
      <c r="D14"/>
      <c r="E14"/>
    </row>
    <row r="15" spans="1:5">
      <c r="D15"/>
      <c r="E15"/>
    </row>
    <row r="16" spans="1:5">
      <c r="D16"/>
      <c r="E16"/>
    </row>
    <row r="17" spans="4:5">
      <c r="D17"/>
      <c r="E17"/>
    </row>
    <row r="18" spans="4:5">
      <c r="D18"/>
      <c r="E18"/>
    </row>
    <row r="19" spans="4:5">
      <c r="D19"/>
      <c r="E19"/>
    </row>
    <row r="20" spans="4:5">
      <c r="D20"/>
      <c r="E20"/>
    </row>
    <row r="21" spans="4:5">
      <c r="D21"/>
      <c r="E21"/>
    </row>
    <row r="22" spans="4:5">
      <c r="D22"/>
      <c r="E22"/>
    </row>
    <row r="23" spans="4:5">
      <c r="D23"/>
      <c r="E23"/>
    </row>
    <row r="24" spans="4:5">
      <c r="D24"/>
      <c r="E24"/>
    </row>
    <row r="25" spans="4:5">
      <c r="D25"/>
      <c r="E25"/>
    </row>
    <row r="26" spans="4:5">
      <c r="D26"/>
      <c r="E26"/>
    </row>
    <row r="27" spans="4:5">
      <c r="D27"/>
      <c r="E27"/>
    </row>
    <row r="28" spans="4:5">
      <c r="D28"/>
      <c r="E28"/>
    </row>
    <row r="29" spans="4:5">
      <c r="D29"/>
      <c r="E29"/>
    </row>
    <row r="30" spans="4:5">
      <c r="D30"/>
      <c r="E30"/>
    </row>
    <row r="31" spans="4:5">
      <c r="D31"/>
      <c r="E31"/>
    </row>
    <row r="32" spans="4:5">
      <c r="D32"/>
      <c r="E32"/>
    </row>
    <row r="33" spans="4:5">
      <c r="D33"/>
      <c r="E33"/>
    </row>
    <row r="34" spans="4:5">
      <c r="D34"/>
      <c r="E34"/>
    </row>
    <row r="35" spans="4:5">
      <c r="D35"/>
      <c r="E35"/>
    </row>
    <row r="36" spans="4:5">
      <c r="D36"/>
      <c r="E36"/>
    </row>
    <row r="37" spans="4:5">
      <c r="D37"/>
      <c r="E37"/>
    </row>
    <row r="38" spans="4:5">
      <c r="D38"/>
      <c r="E38"/>
    </row>
    <row r="39" spans="4:5">
      <c r="D39"/>
      <c r="E39"/>
    </row>
    <row r="40" spans="4:5">
      <c r="D40"/>
      <c r="E40"/>
    </row>
    <row r="41" spans="4:5">
      <c r="D41"/>
      <c r="E41"/>
    </row>
    <row r="42" spans="4:5">
      <c r="D42"/>
      <c r="E42"/>
    </row>
    <row r="43" spans="4:5">
      <c r="D43"/>
      <c r="E43"/>
    </row>
    <row r="44" spans="4:5">
      <c r="D44"/>
      <c r="E44"/>
    </row>
    <row r="45" spans="4:5">
      <c r="D45"/>
      <c r="E45"/>
    </row>
    <row r="46" spans="4:5">
      <c r="D46"/>
      <c r="E46"/>
    </row>
    <row r="47" spans="4:5">
      <c r="D47"/>
      <c r="E47"/>
    </row>
    <row r="48" spans="4:5">
      <c r="D48"/>
      <c r="E48"/>
    </row>
    <row r="49" spans="4:5">
      <c r="D49"/>
      <c r="E49"/>
    </row>
    <row r="50" spans="4:5">
      <c r="D50"/>
      <c r="E50"/>
    </row>
    <row r="51" spans="4:5">
      <c r="D51"/>
      <c r="E51"/>
    </row>
    <row r="52" spans="4:5">
      <c r="D52"/>
      <c r="E52"/>
    </row>
    <row r="53" spans="4:5">
      <c r="D53"/>
      <c r="E53"/>
    </row>
    <row r="54" spans="4:5">
      <c r="D54"/>
      <c r="E54"/>
    </row>
    <row r="55" spans="4:5">
      <c r="D55"/>
      <c r="E55"/>
    </row>
    <row r="56" spans="4:5">
      <c r="D56"/>
      <c r="E56"/>
    </row>
    <row r="57" spans="4:5">
      <c r="D57"/>
      <c r="E57"/>
    </row>
    <row r="58" spans="4:5">
      <c r="D58"/>
      <c r="E58"/>
    </row>
    <row r="59" spans="4:5">
      <c r="D59"/>
      <c r="E59"/>
    </row>
    <row r="60" spans="4:5">
      <c r="D60"/>
      <c r="E60"/>
    </row>
    <row r="61" spans="4:5">
      <c r="D61"/>
      <c r="E61"/>
    </row>
    <row r="62" spans="4:5">
      <c r="D62"/>
      <c r="E62"/>
    </row>
    <row r="63" spans="4:5">
      <c r="D63"/>
      <c r="E63"/>
    </row>
    <row r="64" spans="4:5">
      <c r="D64"/>
      <c r="E64"/>
    </row>
    <row r="65" spans="4:5">
      <c r="D65"/>
      <c r="E65"/>
    </row>
    <row r="66" spans="4:5">
      <c r="D66"/>
      <c r="E66"/>
    </row>
    <row r="67" spans="4:5">
      <c r="D67"/>
      <c r="E67"/>
    </row>
    <row r="68" spans="4:5">
      <c r="D68"/>
      <c r="E68"/>
    </row>
    <row r="69" spans="4:5">
      <c r="D69"/>
      <c r="E69"/>
    </row>
    <row r="70" spans="4:5">
      <c r="D70"/>
      <c r="E70"/>
    </row>
    <row r="71" spans="4:5">
      <c r="D71"/>
      <c r="E71"/>
    </row>
    <row r="72" spans="4:5">
      <c r="D72"/>
      <c r="E72"/>
    </row>
    <row r="73" spans="4:5">
      <c r="D73"/>
      <c r="E73"/>
    </row>
    <row r="74" spans="4:5">
      <c r="D74"/>
      <c r="E74"/>
    </row>
    <row r="75" spans="4:5">
      <c r="D75"/>
      <c r="E75"/>
    </row>
    <row r="76" spans="4:5">
      <c r="D76"/>
      <c r="E76"/>
    </row>
    <row r="77" spans="4:5">
      <c r="D77"/>
      <c r="E77"/>
    </row>
    <row r="78" spans="4:5">
      <c r="D78"/>
      <c r="E78"/>
    </row>
    <row r="79" spans="4:5">
      <c r="D79"/>
      <c r="E79"/>
    </row>
    <row r="80" spans="4:5">
      <c r="D80"/>
      <c r="E80"/>
    </row>
    <row r="81" spans="4:5">
      <c r="D81"/>
      <c r="E81"/>
    </row>
    <row r="82" spans="4:5">
      <c r="D82"/>
      <c r="E82"/>
    </row>
    <row r="83" spans="4:5">
      <c r="D83"/>
      <c r="E83"/>
    </row>
    <row r="84" spans="4:5">
      <c r="D84"/>
      <c r="E84"/>
    </row>
    <row r="85" spans="4:5">
      <c r="D85"/>
      <c r="E85"/>
    </row>
    <row r="86" spans="4:5">
      <c r="D86"/>
      <c r="E86"/>
    </row>
    <row r="87" spans="4:5">
      <c r="D87"/>
      <c r="E87"/>
    </row>
    <row r="88" spans="4:5">
      <c r="D88"/>
      <c r="E88"/>
    </row>
    <row r="89" spans="4:5">
      <c r="D89"/>
      <c r="E89"/>
    </row>
    <row r="90" spans="4:5">
      <c r="D90"/>
      <c r="E90"/>
    </row>
    <row r="91" spans="4:5">
      <c r="D91"/>
      <c r="E91"/>
    </row>
    <row r="92" spans="4:5">
      <c r="D92"/>
      <c r="E92"/>
    </row>
    <row r="93" spans="4:5">
      <c r="D93"/>
      <c r="E93"/>
    </row>
    <row r="94" spans="4:5">
      <c r="D94"/>
      <c r="E94"/>
    </row>
    <row r="95" spans="4:5">
      <c r="D95"/>
      <c r="E95"/>
    </row>
    <row r="96" spans="4:5">
      <c r="D96"/>
      <c r="E96"/>
    </row>
    <row r="97" spans="4:5">
      <c r="D97"/>
      <c r="E97"/>
    </row>
    <row r="98" spans="4:5">
      <c r="D98"/>
      <c r="E98"/>
    </row>
    <row r="99" spans="4:5">
      <c r="D99"/>
      <c r="E99"/>
    </row>
    <row r="100" spans="4:5">
      <c r="D100"/>
      <c r="E100"/>
    </row>
    <row r="101" spans="4:5">
      <c r="D101"/>
      <c r="E101"/>
    </row>
    <row r="102" spans="4:5">
      <c r="D102"/>
      <c r="E102"/>
    </row>
    <row r="103" spans="4:5">
      <c r="D103"/>
      <c r="E103"/>
    </row>
    <row r="104" spans="4:5">
      <c r="D104"/>
      <c r="E104"/>
    </row>
    <row r="105" spans="4:5">
      <c r="D105"/>
      <c r="E105"/>
    </row>
    <row r="106" spans="4:5">
      <c r="D106"/>
      <c r="E106"/>
    </row>
    <row r="107" spans="4:5">
      <c r="D107"/>
      <c r="E107"/>
    </row>
    <row r="108" spans="4:5">
      <c r="D108"/>
      <c r="E108"/>
    </row>
    <row r="109" spans="4:5">
      <c r="D109"/>
      <c r="E109"/>
    </row>
    <row r="110" spans="4:5">
      <c r="D110"/>
      <c r="E110"/>
    </row>
    <row r="111" spans="4:5">
      <c r="D111"/>
      <c r="E111"/>
    </row>
    <row r="112" spans="4:5">
      <c r="D112"/>
      <c r="E112"/>
    </row>
    <row r="113" spans="4:5">
      <c r="D113"/>
      <c r="E113"/>
    </row>
    <row r="114" spans="4:5">
      <c r="D114"/>
      <c r="E114"/>
    </row>
    <row r="115" spans="4:5">
      <c r="D115"/>
      <c r="E115"/>
    </row>
    <row r="116" spans="4:5">
      <c r="D116"/>
      <c r="E116"/>
    </row>
    <row r="117" spans="4:5">
      <c r="D117"/>
      <c r="E117"/>
    </row>
    <row r="118" spans="4:5">
      <c r="D118"/>
      <c r="E118"/>
    </row>
    <row r="119" spans="4:5">
      <c r="D119"/>
      <c r="E119"/>
    </row>
    <row r="120" spans="4:5">
      <c r="D120"/>
      <c r="E120"/>
    </row>
    <row r="121" spans="4:5">
      <c r="D121"/>
      <c r="E121"/>
    </row>
    <row r="122" spans="4:5">
      <c r="D122"/>
      <c r="E122"/>
    </row>
    <row r="123" spans="4:5">
      <c r="D123"/>
      <c r="E123"/>
    </row>
    <row r="124" spans="4:5">
      <c r="D124"/>
      <c r="E124"/>
    </row>
    <row r="125" spans="4:5">
      <c r="D125"/>
      <c r="E125"/>
    </row>
    <row r="126" spans="4:5">
      <c r="D126"/>
      <c r="E126"/>
    </row>
    <row r="127" spans="4:5">
      <c r="D127"/>
      <c r="E127"/>
    </row>
    <row r="128" spans="4:5">
      <c r="D128"/>
      <c r="E128"/>
    </row>
    <row r="129" spans="4:5">
      <c r="D129"/>
      <c r="E129"/>
    </row>
    <row r="130" spans="4:5">
      <c r="D130"/>
      <c r="E130"/>
    </row>
    <row r="131" spans="4:5">
      <c r="D131"/>
      <c r="E131"/>
    </row>
    <row r="132" spans="4:5">
      <c r="D132"/>
      <c r="E132"/>
    </row>
    <row r="133" spans="4:5">
      <c r="D133"/>
      <c r="E133"/>
    </row>
    <row r="134" spans="4:5">
      <c r="D134"/>
      <c r="E134"/>
    </row>
    <row r="135" spans="4:5">
      <c r="D135"/>
      <c r="E135"/>
    </row>
    <row r="136" spans="4:5">
      <c r="D136"/>
      <c r="E136"/>
    </row>
    <row r="137" spans="4:5">
      <c r="D137"/>
      <c r="E137"/>
    </row>
    <row r="138" spans="4:5">
      <c r="D138"/>
      <c r="E138"/>
    </row>
    <row r="139" spans="4:5">
      <c r="D139"/>
      <c r="E139"/>
    </row>
    <row r="140" spans="4:5">
      <c r="D140"/>
      <c r="E140"/>
    </row>
    <row r="141" spans="4:5">
      <c r="D141"/>
      <c r="E141"/>
    </row>
    <row r="142" spans="4:5">
      <c r="D142"/>
      <c r="E142"/>
    </row>
    <row r="143" spans="4:5">
      <c r="D143"/>
      <c r="E143"/>
    </row>
    <row r="144" spans="4:5">
      <c r="D144"/>
      <c r="E144"/>
    </row>
    <row r="145" spans="4:5">
      <c r="D145"/>
      <c r="E145"/>
    </row>
    <row r="146" spans="4:5">
      <c r="D146"/>
      <c r="E146"/>
    </row>
    <row r="147" spans="4:5">
      <c r="D147"/>
      <c r="E147"/>
    </row>
    <row r="148" spans="4:5">
      <c r="D148"/>
      <c r="E148"/>
    </row>
    <row r="149" spans="4:5">
      <c r="D149"/>
      <c r="E149"/>
    </row>
    <row r="150" spans="4:5">
      <c r="D150"/>
      <c r="E150"/>
    </row>
    <row r="151" spans="4:5">
      <c r="D151"/>
      <c r="E151"/>
    </row>
    <row r="152" spans="4:5">
      <c r="D152"/>
      <c r="E152"/>
    </row>
    <row r="153" spans="4:5">
      <c r="D153"/>
      <c r="E153"/>
    </row>
    <row r="154" spans="4:5">
      <c r="D154"/>
      <c r="E154"/>
    </row>
    <row r="155" spans="4:5">
      <c r="D155"/>
      <c r="E155"/>
    </row>
    <row r="156" spans="4:5">
      <c r="D156"/>
      <c r="E156"/>
    </row>
    <row r="157" spans="4:5">
      <c r="D157"/>
      <c r="E157"/>
    </row>
    <row r="158" spans="4:5">
      <c r="D158"/>
      <c r="E158"/>
    </row>
    <row r="159" spans="4:5">
      <c r="D159"/>
      <c r="E159"/>
    </row>
    <row r="160" spans="4:5">
      <c r="D160"/>
      <c r="E160"/>
    </row>
    <row r="161" spans="4:5">
      <c r="D161"/>
      <c r="E161"/>
    </row>
    <row r="162" spans="4:5">
      <c r="D162"/>
      <c r="E162"/>
    </row>
    <row r="163" spans="4:5">
      <c r="D163"/>
      <c r="E163"/>
    </row>
    <row r="164" spans="4:5">
      <c r="D164"/>
      <c r="E164"/>
    </row>
    <row r="165" spans="4:5">
      <c r="D165"/>
      <c r="E165"/>
    </row>
    <row r="166" spans="4:5">
      <c r="D166"/>
      <c r="E166"/>
    </row>
    <row r="167" spans="4:5">
      <c r="D167"/>
      <c r="E167"/>
    </row>
    <row r="168" spans="4:5">
      <c r="D168"/>
      <c r="E168"/>
    </row>
    <row r="169" spans="4:5">
      <c r="D169"/>
      <c r="E169"/>
    </row>
    <row r="170" spans="4:5">
      <c r="D170"/>
      <c r="E170"/>
    </row>
    <row r="171" spans="4:5">
      <c r="D171"/>
      <c r="E171"/>
    </row>
    <row r="172" spans="4:5">
      <c r="D172"/>
      <c r="E172"/>
    </row>
    <row r="173" spans="4:5">
      <c r="D173"/>
      <c r="E173"/>
    </row>
    <row r="174" spans="4:5">
      <c r="D174"/>
      <c r="E174"/>
    </row>
    <row r="175" spans="4:5">
      <c r="D175"/>
      <c r="E175"/>
    </row>
    <row r="176" spans="4:5">
      <c r="D176"/>
      <c r="E176"/>
    </row>
    <row r="177" spans="4:5">
      <c r="D177"/>
      <c r="E177"/>
    </row>
    <row r="178" spans="4:5">
      <c r="D178"/>
      <c r="E178"/>
    </row>
    <row r="179" spans="4:5">
      <c r="D179"/>
      <c r="E179"/>
    </row>
    <row r="180" spans="4:5">
      <c r="D180"/>
      <c r="E180"/>
    </row>
    <row r="181" spans="4:5">
      <c r="D181"/>
      <c r="E181"/>
    </row>
    <row r="182" spans="4:5">
      <c r="D182"/>
      <c r="E182"/>
    </row>
    <row r="183" spans="4:5">
      <c r="D183"/>
      <c r="E183"/>
    </row>
    <row r="184" spans="4:5">
      <c r="D184"/>
      <c r="E184"/>
    </row>
    <row r="185" spans="4:5">
      <c r="D185"/>
      <c r="E185"/>
    </row>
    <row r="186" spans="4:5">
      <c r="D186"/>
      <c r="E186"/>
    </row>
    <row r="187" spans="4:5">
      <c r="D187"/>
      <c r="E187"/>
    </row>
    <row r="188" spans="4:5">
      <c r="D188"/>
      <c r="E188"/>
    </row>
    <row r="189" spans="4:5">
      <c r="D189"/>
      <c r="E189"/>
    </row>
    <row r="190" spans="4:5">
      <c r="D190"/>
      <c r="E190"/>
    </row>
    <row r="191" spans="4:5">
      <c r="D191"/>
      <c r="E191"/>
    </row>
    <row r="192" spans="4:5">
      <c r="D192"/>
      <c r="E192"/>
    </row>
    <row r="193" spans="4:5">
      <c r="D193"/>
      <c r="E193"/>
    </row>
    <row r="194" spans="4:5">
      <c r="D194"/>
      <c r="E194"/>
    </row>
    <row r="195" spans="4:5">
      <c r="D195"/>
      <c r="E195"/>
    </row>
    <row r="196" spans="4:5">
      <c r="D196"/>
      <c r="E196"/>
    </row>
    <row r="197" spans="4:5">
      <c r="D197"/>
      <c r="E197"/>
    </row>
    <row r="198" spans="4:5">
      <c r="D198"/>
      <c r="E198"/>
    </row>
    <row r="199" spans="4:5">
      <c r="D199"/>
      <c r="E199"/>
    </row>
    <row r="200" spans="4:5">
      <c r="D200"/>
      <c r="E200"/>
    </row>
    <row r="201" spans="4:5">
      <c r="D201"/>
      <c r="E201"/>
    </row>
    <row r="202" spans="4:5">
      <c r="D202"/>
      <c r="E202"/>
    </row>
    <row r="203" spans="4:5">
      <c r="D203"/>
      <c r="E203"/>
    </row>
    <row r="204" spans="4:5">
      <c r="D204"/>
      <c r="E204"/>
    </row>
    <row r="205" spans="4:5">
      <c r="D205"/>
      <c r="E205"/>
    </row>
    <row r="206" spans="4:5">
      <c r="D206"/>
      <c r="E206"/>
    </row>
    <row r="207" spans="4:5">
      <c r="D207"/>
      <c r="E207"/>
    </row>
    <row r="208" spans="4:5">
      <c r="D208"/>
      <c r="E208"/>
    </row>
    <row r="209" spans="4:5">
      <c r="D209"/>
      <c r="E209"/>
    </row>
    <row r="210" spans="4:5">
      <c r="D210"/>
      <c r="E210"/>
    </row>
    <row r="211" spans="4:5">
      <c r="D211"/>
      <c r="E211"/>
    </row>
    <row r="212" spans="4:5">
      <c r="D212"/>
      <c r="E212"/>
    </row>
    <row r="213" spans="4:5">
      <c r="D213"/>
      <c r="E213"/>
    </row>
    <row r="214" spans="4:5">
      <c r="D214"/>
      <c r="E214"/>
    </row>
    <row r="215" spans="4:5">
      <c r="D215"/>
      <c r="E215"/>
    </row>
    <row r="216" spans="4:5">
      <c r="D216"/>
      <c r="E216"/>
    </row>
    <row r="217" spans="4:5">
      <c r="D217"/>
      <c r="E217"/>
    </row>
    <row r="218" spans="4:5">
      <c r="D218"/>
      <c r="E218"/>
    </row>
    <row r="219" spans="4:5">
      <c r="D219"/>
      <c r="E219"/>
    </row>
    <row r="220" spans="4:5">
      <c r="D220"/>
      <c r="E220"/>
    </row>
    <row r="221" spans="4:5">
      <c r="D221"/>
      <c r="E221"/>
    </row>
    <row r="222" spans="4:5">
      <c r="D222"/>
      <c r="E222"/>
    </row>
    <row r="223" spans="4:5">
      <c r="D223"/>
      <c r="E223"/>
    </row>
    <row r="224" spans="4:5">
      <c r="D224"/>
      <c r="E224"/>
    </row>
    <row r="225" spans="4:5">
      <c r="D225"/>
      <c r="E225"/>
    </row>
    <row r="226" spans="4:5">
      <c r="D226"/>
      <c r="E226"/>
    </row>
    <row r="227" spans="4:5">
      <c r="D227"/>
      <c r="E227"/>
    </row>
    <row r="228" spans="4:5">
      <c r="D228"/>
      <c r="E228"/>
    </row>
    <row r="229" spans="4:5">
      <c r="D229"/>
      <c r="E229"/>
    </row>
    <row r="230" spans="4:5">
      <c r="D230"/>
      <c r="E230"/>
    </row>
    <row r="231" spans="4:5">
      <c r="D231"/>
      <c r="E231"/>
    </row>
    <row r="232" spans="4:5">
      <c r="D232"/>
      <c r="E232"/>
    </row>
    <row r="233" spans="4:5">
      <c r="D233"/>
      <c r="E233"/>
    </row>
    <row r="234" spans="4:5">
      <c r="D234"/>
      <c r="E234"/>
    </row>
    <row r="235" spans="4:5">
      <c r="D235"/>
      <c r="E235"/>
    </row>
    <row r="236" spans="4:5">
      <c r="D236"/>
      <c r="E236"/>
    </row>
    <row r="237" spans="4:5">
      <c r="D237"/>
      <c r="E237"/>
    </row>
    <row r="238" spans="4:5">
      <c r="D238"/>
      <c r="E238"/>
    </row>
    <row r="239" spans="4:5">
      <c r="D239"/>
      <c r="E239"/>
    </row>
    <row r="240" spans="4:5">
      <c r="D240"/>
      <c r="E240"/>
    </row>
    <row r="241" spans="4:5">
      <c r="D241"/>
      <c r="E241"/>
    </row>
    <row r="242" spans="4:5">
      <c r="D242"/>
      <c r="E242"/>
    </row>
    <row r="243" spans="4:5">
      <c r="D243"/>
      <c r="E243"/>
    </row>
    <row r="244" spans="4:5">
      <c r="D244"/>
      <c r="E244"/>
    </row>
    <row r="245" spans="4:5">
      <c r="D245"/>
      <c r="E245"/>
    </row>
    <row r="246" spans="4:5">
      <c r="D246"/>
      <c r="E246"/>
    </row>
    <row r="247" spans="4:5">
      <c r="D247"/>
      <c r="E247"/>
    </row>
    <row r="248" spans="4:5">
      <c r="D248"/>
      <c r="E248"/>
    </row>
    <row r="249" spans="4:5">
      <c r="D249"/>
      <c r="E249"/>
    </row>
    <row r="250" spans="4:5">
      <c r="D250"/>
      <c r="E250"/>
    </row>
    <row r="251" spans="4:5">
      <c r="D251"/>
      <c r="E251"/>
    </row>
    <row r="252" spans="4:5">
      <c r="D252"/>
      <c r="E252"/>
    </row>
    <row r="253" spans="4:5">
      <c r="D253"/>
      <c r="E253"/>
    </row>
    <row r="254" spans="4:5">
      <c r="D254"/>
      <c r="E254"/>
    </row>
    <row r="255" spans="4:5">
      <c r="D255"/>
      <c r="E255"/>
    </row>
    <row r="256" spans="4:5">
      <c r="D256"/>
      <c r="E256"/>
    </row>
    <row r="257" spans="4:5">
      <c r="D257"/>
      <c r="E257"/>
    </row>
    <row r="258" spans="4:5">
      <c r="D258"/>
      <c r="E258"/>
    </row>
    <row r="259" spans="4:5">
      <c r="D259"/>
      <c r="E259"/>
    </row>
    <row r="260" spans="4:5">
      <c r="D260"/>
      <c r="E260"/>
    </row>
    <row r="261" spans="4:5">
      <c r="D261"/>
      <c r="E261"/>
    </row>
    <row r="262" spans="4:5">
      <c r="D262"/>
      <c r="E262"/>
    </row>
    <row r="263" spans="4:5">
      <c r="D263"/>
      <c r="E263"/>
    </row>
    <row r="264" spans="4:5">
      <c r="D264"/>
      <c r="E264"/>
    </row>
    <row r="265" spans="4:5">
      <c r="D265"/>
      <c r="E265"/>
    </row>
    <row r="266" spans="4:5">
      <c r="D266"/>
      <c r="E266"/>
    </row>
    <row r="267" spans="4:5">
      <c r="D267"/>
      <c r="E267"/>
    </row>
    <row r="268" spans="4:5">
      <c r="D268"/>
      <c r="E268"/>
    </row>
    <row r="269" spans="4:5">
      <c r="D269"/>
      <c r="E269"/>
    </row>
    <row r="270" spans="4:5">
      <c r="D270"/>
      <c r="E270"/>
    </row>
    <row r="271" spans="4:5">
      <c r="D271"/>
      <c r="E271"/>
    </row>
    <row r="272" spans="4:5">
      <c r="D272"/>
      <c r="E272"/>
    </row>
    <row r="273" spans="4:5">
      <c r="D273"/>
      <c r="E273"/>
    </row>
    <row r="274" spans="4:5">
      <c r="D274"/>
      <c r="E274"/>
    </row>
    <row r="275" spans="4:5">
      <c r="D275"/>
      <c r="E275"/>
    </row>
    <row r="276" spans="4:5">
      <c r="D276"/>
      <c r="E276"/>
    </row>
    <row r="277" spans="4:5">
      <c r="D277"/>
      <c r="E277"/>
    </row>
    <row r="278" spans="4:5">
      <c r="D278"/>
      <c r="E278"/>
    </row>
    <row r="279" spans="4:5">
      <c r="D279"/>
      <c r="E279"/>
    </row>
    <row r="280" spans="4:5">
      <c r="D280"/>
      <c r="E280"/>
    </row>
    <row r="281" spans="4:5">
      <c r="D281"/>
      <c r="E281"/>
    </row>
    <row r="282" spans="4:5">
      <c r="D282"/>
      <c r="E282"/>
    </row>
    <row r="283" spans="4:5">
      <c r="D283"/>
      <c r="E283"/>
    </row>
    <row r="284" spans="4:5">
      <c r="D284"/>
      <c r="E284"/>
    </row>
    <row r="285" spans="4:5">
      <c r="D285"/>
      <c r="E285"/>
    </row>
    <row r="286" spans="4:5">
      <c r="D286"/>
      <c r="E286"/>
    </row>
    <row r="287" spans="4:5">
      <c r="D287"/>
      <c r="E287"/>
    </row>
    <row r="288" spans="4:5">
      <c r="D288"/>
      <c r="E288"/>
    </row>
    <row r="289" spans="4:5">
      <c r="D289"/>
      <c r="E289"/>
    </row>
    <row r="290" spans="4:5">
      <c r="D290"/>
      <c r="E290"/>
    </row>
    <row r="291" spans="4:5">
      <c r="D291"/>
      <c r="E291"/>
    </row>
    <row r="292" spans="4:5">
      <c r="D292"/>
      <c r="E292"/>
    </row>
    <row r="293" spans="4:5">
      <c r="D293"/>
      <c r="E293"/>
    </row>
    <row r="294" spans="4:5">
      <c r="D294"/>
      <c r="E294"/>
    </row>
    <row r="295" spans="4:5">
      <c r="D295"/>
      <c r="E295"/>
    </row>
    <row r="296" spans="4:5">
      <c r="D296"/>
      <c r="E296"/>
    </row>
    <row r="297" spans="4:5">
      <c r="D297"/>
      <c r="E297"/>
    </row>
    <row r="298" spans="4:5">
      <c r="D298"/>
      <c r="E298"/>
    </row>
    <row r="299" spans="4:5">
      <c r="D299"/>
      <c r="E299"/>
    </row>
    <row r="300" spans="4:5">
      <c r="D300"/>
      <c r="E300"/>
    </row>
    <row r="301" spans="4:5">
      <c r="D301"/>
      <c r="E301"/>
    </row>
    <row r="302" spans="4:5">
      <c r="D302"/>
      <c r="E302"/>
    </row>
    <row r="303" spans="4:5">
      <c r="D303"/>
      <c r="E303"/>
    </row>
    <row r="304" spans="4:5">
      <c r="D304"/>
      <c r="E304"/>
    </row>
    <row r="305" spans="4:5">
      <c r="D305"/>
      <c r="E305"/>
    </row>
    <row r="306" spans="4:5">
      <c r="D306"/>
      <c r="E306"/>
    </row>
    <row r="307" spans="4:5">
      <c r="D307"/>
      <c r="E307"/>
    </row>
    <row r="308" spans="4:5">
      <c r="D308"/>
      <c r="E308"/>
    </row>
    <row r="309" spans="4:5">
      <c r="D309"/>
      <c r="E309"/>
    </row>
    <row r="310" spans="4:5">
      <c r="D310"/>
      <c r="E310"/>
    </row>
    <row r="311" spans="4:5">
      <c r="D311"/>
      <c r="E311"/>
    </row>
    <row r="312" spans="4:5">
      <c r="D312"/>
      <c r="E312"/>
    </row>
    <row r="313" spans="4:5">
      <c r="D313"/>
      <c r="E313"/>
    </row>
    <row r="314" spans="4:5">
      <c r="D314"/>
      <c r="E314"/>
    </row>
    <row r="315" spans="4:5">
      <c r="D315"/>
      <c r="E315"/>
    </row>
    <row r="316" spans="4:5">
      <c r="D316"/>
      <c r="E316"/>
    </row>
    <row r="317" spans="4:5">
      <c r="D317"/>
      <c r="E317"/>
    </row>
    <row r="318" spans="4:5">
      <c r="D318"/>
      <c r="E318"/>
    </row>
    <row r="319" spans="4:5">
      <c r="D319"/>
      <c r="E319"/>
    </row>
    <row r="320" spans="4:5">
      <c r="D320"/>
      <c r="E320"/>
    </row>
    <row r="321" spans="4:5">
      <c r="D321"/>
      <c r="E321"/>
    </row>
    <row r="322" spans="4:5">
      <c r="D322"/>
      <c r="E322"/>
    </row>
    <row r="323" spans="4:5">
      <c r="D323"/>
      <c r="E323"/>
    </row>
    <row r="324" spans="4:5">
      <c r="D324"/>
      <c r="E324"/>
    </row>
    <row r="325" spans="4:5">
      <c r="D325"/>
      <c r="E325"/>
    </row>
    <row r="326" spans="4:5">
      <c r="D326"/>
      <c r="E326"/>
    </row>
    <row r="327" spans="4:5">
      <c r="D327"/>
      <c r="E327"/>
    </row>
    <row r="328" spans="4:5">
      <c r="D328"/>
      <c r="E328"/>
    </row>
    <row r="329" spans="4:5">
      <c r="D329"/>
      <c r="E329"/>
    </row>
    <row r="330" spans="4:5">
      <c r="D330"/>
      <c r="E330"/>
    </row>
    <row r="331" spans="4:5">
      <c r="D331"/>
      <c r="E331"/>
    </row>
    <row r="332" spans="4:5">
      <c r="D332"/>
      <c r="E332"/>
    </row>
    <row r="333" spans="4:5">
      <c r="D333"/>
      <c r="E333"/>
    </row>
    <row r="334" spans="4:5">
      <c r="D334"/>
      <c r="E334"/>
    </row>
    <row r="335" spans="4:5">
      <c r="D335"/>
      <c r="E335"/>
    </row>
    <row r="336" spans="4:5">
      <c r="D336"/>
      <c r="E336"/>
    </row>
    <row r="337" spans="4:5">
      <c r="D337"/>
      <c r="E337"/>
    </row>
    <row r="338" spans="4:5">
      <c r="D338"/>
      <c r="E338"/>
    </row>
    <row r="339" spans="4:5">
      <c r="D339"/>
      <c r="E339"/>
    </row>
    <row r="340" spans="4:5">
      <c r="D340"/>
      <c r="E340"/>
    </row>
    <row r="341" spans="4:5">
      <c r="D341"/>
      <c r="E341"/>
    </row>
    <row r="342" spans="4:5">
      <c r="D342"/>
      <c r="E342"/>
    </row>
    <row r="343" spans="4:5">
      <c r="D343"/>
      <c r="E343"/>
    </row>
    <row r="344" spans="4:5">
      <c r="D344"/>
      <c r="E344"/>
    </row>
    <row r="345" spans="4:5">
      <c r="D345"/>
      <c r="E345"/>
    </row>
    <row r="346" spans="4:5">
      <c r="D346"/>
      <c r="E346"/>
    </row>
    <row r="347" spans="4:5">
      <c r="D347"/>
      <c r="E347"/>
    </row>
    <row r="348" spans="4:5">
      <c r="D348"/>
      <c r="E348"/>
    </row>
    <row r="349" spans="4:5">
      <c r="D349"/>
      <c r="E349"/>
    </row>
    <row r="350" spans="4:5">
      <c r="D350"/>
      <c r="E350"/>
    </row>
    <row r="351" spans="4:5">
      <c r="D351"/>
      <c r="E351"/>
    </row>
    <row r="352" spans="4:5">
      <c r="D352"/>
      <c r="E352"/>
    </row>
    <row r="353" spans="4:5">
      <c r="D353"/>
      <c r="E353"/>
    </row>
    <row r="354" spans="4:5">
      <c r="D354"/>
      <c r="E354"/>
    </row>
    <row r="355" spans="4:5">
      <c r="D355"/>
      <c r="E355"/>
    </row>
    <row r="356" spans="4:5">
      <c r="D356"/>
      <c r="E356"/>
    </row>
    <row r="357" spans="4:5">
      <c r="D357"/>
      <c r="E357"/>
    </row>
    <row r="358" spans="4:5">
      <c r="D358"/>
      <c r="E358"/>
    </row>
    <row r="359" spans="4:5">
      <c r="D359"/>
      <c r="E359"/>
    </row>
    <row r="360" spans="4:5">
      <c r="D360"/>
      <c r="E360"/>
    </row>
    <row r="361" spans="4:5">
      <c r="D361"/>
      <c r="E361"/>
    </row>
    <row r="362" spans="4:5">
      <c r="D362"/>
      <c r="E362"/>
    </row>
    <row r="363" spans="4:5">
      <c r="D363"/>
      <c r="E363"/>
    </row>
    <row r="364" spans="4:5">
      <c r="D364"/>
      <c r="E364"/>
    </row>
    <row r="365" spans="4:5">
      <c r="D365"/>
      <c r="E365"/>
    </row>
    <row r="366" spans="4:5">
      <c r="D366"/>
      <c r="E366"/>
    </row>
    <row r="367" spans="4:5">
      <c r="D367"/>
      <c r="E367"/>
    </row>
    <row r="368" spans="4:5">
      <c r="D368"/>
      <c r="E368"/>
    </row>
    <row r="369" spans="4:5">
      <c r="D369"/>
      <c r="E369"/>
    </row>
    <row r="370" spans="4:5">
      <c r="D370"/>
      <c r="E370"/>
    </row>
    <row r="371" spans="4:5">
      <c r="D371"/>
      <c r="E371"/>
    </row>
    <row r="372" spans="4:5">
      <c r="D372"/>
      <c r="E372"/>
    </row>
    <row r="373" spans="4:5">
      <c r="D373"/>
      <c r="E373"/>
    </row>
    <row r="374" spans="4:5">
      <c r="D374"/>
      <c r="E374"/>
    </row>
    <row r="375" spans="4:5">
      <c r="D375"/>
      <c r="E375"/>
    </row>
    <row r="376" spans="4:5">
      <c r="D376"/>
      <c r="E376"/>
    </row>
    <row r="377" spans="4:5">
      <c r="D377"/>
      <c r="E377"/>
    </row>
    <row r="378" spans="4:5">
      <c r="D378"/>
      <c r="E378"/>
    </row>
    <row r="379" spans="4:5">
      <c r="D379"/>
      <c r="E379"/>
    </row>
    <row r="380" spans="4:5">
      <c r="D380"/>
      <c r="E380"/>
    </row>
    <row r="381" spans="4:5">
      <c r="D381"/>
      <c r="E381"/>
    </row>
    <row r="382" spans="4:5">
      <c r="D382"/>
      <c r="E382"/>
    </row>
    <row r="383" spans="4:5">
      <c r="D383"/>
      <c r="E383"/>
    </row>
    <row r="384" spans="4:5">
      <c r="D384"/>
      <c r="E384"/>
    </row>
    <row r="385" spans="4:5">
      <c r="D385"/>
      <c r="E385"/>
    </row>
    <row r="386" spans="4:5">
      <c r="D386"/>
      <c r="E386"/>
    </row>
    <row r="387" spans="4:5">
      <c r="D387"/>
      <c r="E387"/>
    </row>
    <row r="388" spans="4:5">
      <c r="D388"/>
      <c r="E388"/>
    </row>
    <row r="389" spans="4:5">
      <c r="D389"/>
      <c r="E389"/>
    </row>
    <row r="390" spans="4:5">
      <c r="D390"/>
      <c r="E390"/>
    </row>
    <row r="391" spans="4:5">
      <c r="D391"/>
      <c r="E391"/>
    </row>
    <row r="392" spans="4:5">
      <c r="D392"/>
      <c r="E392"/>
    </row>
    <row r="393" spans="4:5">
      <c r="D393"/>
      <c r="E393"/>
    </row>
    <row r="394" spans="4:5">
      <c r="D394"/>
      <c r="E394"/>
    </row>
    <row r="395" spans="4:5">
      <c r="D395"/>
      <c r="E395"/>
    </row>
    <row r="396" spans="4:5">
      <c r="D396"/>
      <c r="E396"/>
    </row>
    <row r="397" spans="4:5">
      <c r="D397"/>
      <c r="E397"/>
    </row>
    <row r="398" spans="4:5">
      <c r="D398"/>
      <c r="E398"/>
    </row>
    <row r="399" spans="4:5">
      <c r="D399"/>
      <c r="E399"/>
    </row>
    <row r="400" spans="4:5">
      <c r="D400"/>
      <c r="E400"/>
    </row>
    <row r="401" spans="4:5">
      <c r="D401"/>
      <c r="E401"/>
    </row>
    <row r="402" spans="4:5">
      <c r="D402"/>
      <c r="E402"/>
    </row>
    <row r="403" spans="4:5">
      <c r="D403"/>
      <c r="E403"/>
    </row>
    <row r="404" spans="4:5">
      <c r="D404"/>
      <c r="E404"/>
    </row>
  </sheetData>
  <mergeCells count="1">
    <mergeCell ref="A5:E5"/>
  </mergeCells>
  <conditionalFormatting sqref="D10:E10">
    <cfRule type="cellIs" dxfId="43" priority="2" operator="between">
      <formula>0</formula>
      <formula>0</formula>
    </cfRule>
  </conditionalFormatting>
  <conditionalFormatting pivot="1" sqref="D11:E11">
    <cfRule type="cellIs" dxfId="42" priority="1" operator="between">
      <formula>0</formula>
      <formula>0</formula>
    </cfRule>
  </conditionalFormatting>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dimension ref="B1:AD500"/>
  <sheetViews>
    <sheetView showGridLines="0" showRowColHeaders="0" zoomScaleNormal="100" workbookViewId="0">
      <selection activeCell="H10" sqref="H10"/>
    </sheetView>
  </sheetViews>
  <sheetFormatPr defaultColWidth="11.42578125" defaultRowHeight="14.25" customHeight="1"/>
  <cols>
    <col min="1" max="1" width="2.7109375" style="160" customWidth="1"/>
    <col min="2" max="2" width="18.85546875" style="161" customWidth="1"/>
    <col min="3" max="3" width="16.5703125" style="203" customWidth="1"/>
    <col min="4" max="4" width="54.28515625" style="160" hidden="1" customWidth="1"/>
    <col min="5" max="7" width="11.42578125" style="160" hidden="1" customWidth="1"/>
    <col min="8" max="8" width="41.42578125" style="160" customWidth="1"/>
    <col min="9" max="9" width="29" style="160" customWidth="1"/>
    <col min="10" max="10" width="13.140625" style="160" hidden="1" customWidth="1"/>
    <col min="11" max="11" width="11.42578125" style="160" hidden="1" customWidth="1"/>
    <col min="12" max="12" width="15.85546875" style="160" customWidth="1"/>
    <col min="13" max="13" width="15.7109375" style="167" customWidth="1"/>
    <col min="14" max="20" width="11.42578125" style="160" hidden="1" customWidth="1"/>
    <col min="21" max="21" width="13.140625" style="160" hidden="1" customWidth="1"/>
    <col min="22" max="24" width="11.42578125" style="160" hidden="1" customWidth="1"/>
    <col min="25" max="25" width="12" style="160" hidden="1" customWidth="1"/>
    <col min="26" max="26" width="13.85546875" style="160" hidden="1" customWidth="1"/>
    <col min="27" max="27" width="11.42578125" style="160" hidden="1" customWidth="1"/>
    <col min="28" max="28" width="17.140625" style="160" hidden="1" customWidth="1"/>
    <col min="29" max="29" width="15.42578125" style="160" customWidth="1"/>
    <col min="30" max="30" width="16.140625" style="160" customWidth="1"/>
    <col min="31" max="16384" width="11.42578125" style="160"/>
  </cols>
  <sheetData>
    <row r="1" spans="2:30">
      <c r="C1" s="161"/>
      <c r="M1" s="160"/>
    </row>
    <row r="2" spans="2:30">
      <c r="C2" s="161"/>
      <c r="M2" s="160"/>
    </row>
    <row r="3" spans="2:30">
      <c r="C3" s="161"/>
      <c r="M3" s="160"/>
    </row>
    <row r="4" spans="2:30" ht="18" customHeight="1">
      <c r="C4" s="161"/>
      <c r="M4" s="160"/>
    </row>
    <row r="5" spans="2:30" ht="18" customHeight="1">
      <c r="C5" s="161"/>
      <c r="M5" s="160"/>
    </row>
    <row r="6" spans="2:30" ht="18" customHeight="1">
      <c r="C6" s="161"/>
      <c r="M6" s="160"/>
    </row>
    <row r="7" spans="2:30" ht="18" customHeight="1">
      <c r="C7" s="161"/>
      <c r="M7" s="160"/>
    </row>
    <row r="8" spans="2:30" ht="8.4499999999999993" customHeight="1">
      <c r="B8" s="240"/>
      <c r="C8" s="240"/>
      <c r="H8" s="241"/>
      <c r="I8" s="241"/>
      <c r="L8" s="241"/>
      <c r="M8" s="241"/>
      <c r="AB8" s="241"/>
      <c r="AC8" s="241"/>
      <c r="AD8" s="241"/>
    </row>
    <row r="9" spans="2:30" ht="8.4499999999999993" customHeight="1">
      <c r="C9" s="161"/>
      <c r="M9" s="160"/>
    </row>
    <row r="10" spans="2:30" ht="36.75" customHeight="1">
      <c r="B10" s="367" t="s">
        <v>438</v>
      </c>
      <c r="C10" s="367"/>
      <c r="H10" s="285" t="s">
        <v>166</v>
      </c>
      <c r="M10" s="160"/>
      <c r="N10" s="162"/>
    </row>
    <row r="11" spans="2:30" ht="24.95" customHeight="1">
      <c r="C11" s="161"/>
      <c r="L11" s="169" t="s">
        <v>439</v>
      </c>
      <c r="M11" s="169" t="s">
        <v>440</v>
      </c>
      <c r="N11" s="169"/>
      <c r="O11" s="169"/>
      <c r="P11" s="169"/>
      <c r="Q11" s="169"/>
      <c r="R11" s="169"/>
      <c r="S11" s="169"/>
      <c r="T11" s="169"/>
      <c r="AC11" s="209" t="s">
        <v>441</v>
      </c>
      <c r="AD11" s="209" t="s">
        <v>442</v>
      </c>
    </row>
    <row r="12" spans="2:30" ht="3.6" customHeight="1">
      <c r="C12" s="161"/>
      <c r="L12" s="169"/>
      <c r="M12" s="169"/>
      <c r="N12" s="169"/>
      <c r="O12" s="169"/>
      <c r="P12" s="169"/>
      <c r="Q12" s="169"/>
      <c r="R12" s="169"/>
      <c r="S12" s="169"/>
      <c r="T12" s="169"/>
      <c r="AC12" s="169"/>
      <c r="AD12" s="169"/>
    </row>
    <row r="13" spans="2:30" ht="15">
      <c r="C13" s="161"/>
      <c r="D13" s="163"/>
      <c r="H13" s="161"/>
      <c r="L13" s="181">
        <f>+SUM($L$16:$L$1010)</f>
        <v>0</v>
      </c>
      <c r="M13" s="182">
        <f>+SUM($M$16:$M$1010)</f>
        <v>0</v>
      </c>
      <c r="N13" s="180"/>
      <c r="O13" s="180"/>
      <c r="P13" s="180"/>
      <c r="Q13" s="180"/>
      <c r="R13" s="180"/>
      <c r="S13" s="180"/>
      <c r="T13" s="180"/>
      <c r="U13" s="180"/>
      <c r="V13" s="180"/>
      <c r="W13" s="180"/>
      <c r="X13" s="180"/>
      <c r="AC13" s="182">
        <f>+IF(L13&gt;M13,(L13-M13),0)</f>
        <v>0</v>
      </c>
      <c r="AD13" s="183">
        <f>+IF(L13&lt;M13,(M13-L13),0)</f>
        <v>0</v>
      </c>
    </row>
    <row r="14" spans="2:30">
      <c r="C14" s="161"/>
      <c r="L14" s="164"/>
      <c r="M14" s="164"/>
      <c r="N14" s="164"/>
      <c r="O14" s="164"/>
      <c r="P14" s="164"/>
      <c r="Q14" s="164"/>
      <c r="R14" s="164"/>
      <c r="S14" s="164"/>
      <c r="T14" s="164"/>
      <c r="U14" s="164"/>
      <c r="V14" s="164"/>
      <c r="W14" s="164"/>
      <c r="X14" s="164"/>
      <c r="Y14" s="164"/>
      <c r="Z14" s="164"/>
      <c r="AA14" s="164"/>
      <c r="AC14" s="164"/>
      <c r="AD14" s="164"/>
    </row>
    <row r="15" spans="2:30" s="1" customFormat="1" ht="15">
      <c r="B15" s="208" t="s">
        <v>432</v>
      </c>
      <c r="C15" s="204" t="s">
        <v>433</v>
      </c>
      <c r="D15" s="205" t="s">
        <v>434</v>
      </c>
      <c r="E15" s="205"/>
      <c r="F15" s="205"/>
      <c r="G15" s="205"/>
      <c r="H15" s="205" t="s">
        <v>443</v>
      </c>
      <c r="I15" s="206" t="s">
        <v>444</v>
      </c>
      <c r="J15" s="205"/>
      <c r="K15" s="205"/>
      <c r="L15" s="205" t="s">
        <v>445</v>
      </c>
      <c r="M15" s="205" t="s">
        <v>446</v>
      </c>
      <c r="N15" s="207"/>
      <c r="O15" s="207"/>
      <c r="P15" s="207"/>
      <c r="Q15" s="207"/>
      <c r="R15" s="207"/>
      <c r="S15" s="207"/>
      <c r="T15" s="207"/>
      <c r="U15" s="207"/>
      <c r="V15" s="207"/>
      <c r="W15" s="207"/>
      <c r="X15" s="207"/>
      <c r="Y15" s="207"/>
      <c r="Z15" s="207"/>
      <c r="AA15" s="207"/>
      <c r="AB15" s="205" t="s">
        <v>447</v>
      </c>
      <c r="AC15" s="207" t="s">
        <v>441</v>
      </c>
      <c r="AD15" s="253" t="s">
        <v>442</v>
      </c>
    </row>
    <row r="16" spans="2:30" ht="14.25" customHeight="1">
      <c r="B16" s="165" cm="1">
        <f t="array" ref="B16:Z16">IF(H10="","",_xlfn._xlws.FILTER(Table3[],ISNUMBER(FIND(H10,Table3[Cuenta])),"Sin Movimientos"))</f>
        <v>0</v>
      </c>
      <c r="C16" s="203">
        <v>45658</v>
      </c>
      <c r="D16" s="160" t="str">
        <v>100 -  Capital social</v>
      </c>
      <c r="E16" s="160">
        <v>0</v>
      </c>
      <c r="F16" s="160" t="str">
        <v>Haber</v>
      </c>
      <c r="G16" s="160" t="str">
        <v>Con Mov.</v>
      </c>
      <c r="H16" s="166" t="str">
        <v>Estructura Balance y PyG</v>
      </c>
      <c r="I16" s="166" t="str">
        <v>Saldo Inicial</v>
      </c>
      <c r="J16" s="166" t="str">
        <v>Excluir</v>
      </c>
      <c r="K16" s="167">
        <v>0</v>
      </c>
      <c r="L16" s="167" t="str">
        <v/>
      </c>
      <c r="M16" s="167">
        <v>0</v>
      </c>
      <c r="N16" s="160" t="str">
        <v>Grupo 1 - 
Financiación básica
PN y PNC (L/P)</v>
      </c>
      <c r="O16" s="160" t="str">
        <v>PATRIMONIO NETO Y PASIVO</v>
      </c>
      <c r="P16" s="160" t="str">
        <v>A) PATRIMONIO NETO</v>
      </c>
      <c r="Q16" s="160" t="str">
        <v>I. Capital</v>
      </c>
      <c r="R16" s="160" t="str">
        <v>1. Capital Social</v>
      </c>
      <c r="S16" s="166" t="str">
        <v/>
      </c>
      <c r="T16" s="160" t="str">
        <v/>
      </c>
      <c r="U16" s="168" t="str">
        <v/>
      </c>
      <c r="V16" s="160">
        <v>1289</v>
      </c>
      <c r="W16" s="160" t="str">
        <v>10</v>
      </c>
      <c r="X16" s="160" t="str">
        <v>100</v>
      </c>
      <c r="Y16" s="167" t="str">
        <v>Grupo 1</v>
      </c>
      <c r="Z16" s="167" t="str">
        <v>PATRIMONIO NETO Y PASIVO</v>
      </c>
      <c r="AB16" s="167">
        <f>IF(B16="","",+SUM(L16)-SUM(M16))</f>
        <v>0</v>
      </c>
      <c r="AC16" s="254">
        <f>+IFERROR(IF(AB16&lt;0,"",AB16),)</f>
        <v>0</v>
      </c>
      <c r="AD16" s="167">
        <f>+IFERROR(IF(AB16&gt;0,"",-AB16),"")</f>
        <v>0</v>
      </c>
    </row>
    <row r="17" spans="8:30">
      <c r="H17" s="166"/>
      <c r="I17" s="166"/>
      <c r="J17" s="166"/>
      <c r="K17" s="167"/>
      <c r="L17" s="167"/>
      <c r="S17" s="166"/>
      <c r="U17" s="168"/>
      <c r="Y17" s="167"/>
      <c r="Z17" s="167"/>
      <c r="AB17" s="167" t="str">
        <f>IF(B17="","",+AB16+SUM(L17)-SUM(M17))</f>
        <v/>
      </c>
      <c r="AC17" s="254" t="str">
        <f t="shared" ref="AC17:AC80" si="0">+IFERROR(IF(AB17&lt;0,"",AB17),)</f>
        <v/>
      </c>
      <c r="AD17" s="167" t="str">
        <f t="shared" ref="AD17:AD80" si="1">+IFERROR(IF(AB17&gt;0,"",-AB17),"")</f>
        <v/>
      </c>
    </row>
    <row r="18" spans="8:30">
      <c r="H18" s="166"/>
      <c r="I18" s="166"/>
      <c r="J18" s="166"/>
      <c r="K18" s="167"/>
      <c r="L18" s="167"/>
      <c r="S18" s="166"/>
      <c r="U18" s="168"/>
      <c r="Y18" s="167"/>
      <c r="Z18" s="167"/>
      <c r="AB18" s="167" t="str">
        <f t="shared" ref="AB18:AB81" si="2">IF(B18="","",+AB17+SUM(L18)-SUM(M18))</f>
        <v/>
      </c>
      <c r="AC18" s="254" t="str">
        <f t="shared" si="0"/>
        <v/>
      </c>
      <c r="AD18" s="167" t="str">
        <f t="shared" si="1"/>
        <v/>
      </c>
    </row>
    <row r="19" spans="8:30">
      <c r="H19" s="166"/>
      <c r="I19" s="166"/>
      <c r="J19" s="166"/>
      <c r="K19" s="167"/>
      <c r="L19" s="167"/>
      <c r="S19" s="166"/>
      <c r="U19" s="168"/>
      <c r="Y19" s="167"/>
      <c r="Z19" s="167"/>
      <c r="AB19" s="167" t="str">
        <f t="shared" si="2"/>
        <v/>
      </c>
      <c r="AC19" s="254" t="str">
        <f t="shared" si="0"/>
        <v/>
      </c>
      <c r="AD19" s="167" t="str">
        <f t="shared" si="1"/>
        <v/>
      </c>
    </row>
    <row r="20" spans="8:30">
      <c r="H20" s="166"/>
      <c r="I20" s="166"/>
      <c r="J20" s="166"/>
      <c r="K20" s="167"/>
      <c r="L20" s="167"/>
      <c r="S20" s="166"/>
      <c r="U20" s="168"/>
      <c r="Y20" s="167"/>
      <c r="Z20" s="167"/>
      <c r="AB20" s="167" t="str">
        <f t="shared" si="2"/>
        <v/>
      </c>
      <c r="AC20" s="254" t="str">
        <f t="shared" si="0"/>
        <v/>
      </c>
      <c r="AD20" s="167" t="str">
        <f t="shared" si="1"/>
        <v/>
      </c>
    </row>
    <row r="21" spans="8:30">
      <c r="H21" s="166"/>
      <c r="I21" s="166"/>
      <c r="J21" s="166"/>
      <c r="K21" s="167"/>
      <c r="L21" s="167"/>
      <c r="S21" s="166"/>
      <c r="U21" s="168"/>
      <c r="Y21" s="167"/>
      <c r="Z21" s="167"/>
      <c r="AB21" s="167" t="str">
        <f t="shared" si="2"/>
        <v/>
      </c>
      <c r="AC21" s="254" t="str">
        <f t="shared" si="0"/>
        <v/>
      </c>
      <c r="AD21" s="167" t="str">
        <f t="shared" si="1"/>
        <v/>
      </c>
    </row>
    <row r="22" spans="8:30">
      <c r="H22" s="166"/>
      <c r="I22" s="166"/>
      <c r="J22" s="166"/>
      <c r="K22" s="167"/>
      <c r="L22" s="167"/>
      <c r="S22" s="166"/>
      <c r="U22" s="168"/>
      <c r="Y22" s="167"/>
      <c r="Z22" s="167"/>
      <c r="AB22" s="167" t="str">
        <f t="shared" si="2"/>
        <v/>
      </c>
      <c r="AC22" s="254" t="str">
        <f t="shared" si="0"/>
        <v/>
      </c>
      <c r="AD22" s="167" t="str">
        <f t="shared" si="1"/>
        <v/>
      </c>
    </row>
    <row r="23" spans="8:30">
      <c r="H23" s="166"/>
      <c r="I23" s="166"/>
      <c r="J23" s="166"/>
      <c r="K23" s="167"/>
      <c r="L23" s="167"/>
      <c r="S23" s="166"/>
      <c r="U23" s="168"/>
      <c r="Y23" s="167"/>
      <c r="Z23" s="167"/>
      <c r="AB23" s="167" t="str">
        <f t="shared" si="2"/>
        <v/>
      </c>
      <c r="AC23" s="254" t="str">
        <f t="shared" si="0"/>
        <v/>
      </c>
      <c r="AD23" s="167" t="str">
        <f t="shared" si="1"/>
        <v/>
      </c>
    </row>
    <row r="24" spans="8:30">
      <c r="H24" s="166"/>
      <c r="I24" s="166"/>
      <c r="J24" s="166"/>
      <c r="K24" s="167"/>
      <c r="L24" s="167"/>
      <c r="S24" s="166"/>
      <c r="U24" s="168"/>
      <c r="Y24" s="167"/>
      <c r="Z24" s="167"/>
      <c r="AB24" s="167" t="str">
        <f t="shared" si="2"/>
        <v/>
      </c>
      <c r="AC24" s="254" t="str">
        <f t="shared" si="0"/>
        <v/>
      </c>
      <c r="AD24" s="167" t="str">
        <f t="shared" si="1"/>
        <v/>
      </c>
    </row>
    <row r="25" spans="8:30">
      <c r="H25" s="166"/>
      <c r="I25" s="166"/>
      <c r="J25" s="166"/>
      <c r="K25" s="167"/>
      <c r="L25" s="167"/>
      <c r="S25" s="166"/>
      <c r="U25" s="168"/>
      <c r="Y25" s="167"/>
      <c r="Z25" s="167"/>
      <c r="AB25" s="167" t="str">
        <f t="shared" si="2"/>
        <v/>
      </c>
      <c r="AC25" s="254" t="str">
        <f t="shared" si="0"/>
        <v/>
      </c>
      <c r="AD25" s="167" t="str">
        <f t="shared" si="1"/>
        <v/>
      </c>
    </row>
    <row r="26" spans="8:30">
      <c r="H26" s="166"/>
      <c r="I26" s="166"/>
      <c r="J26" s="166"/>
      <c r="K26" s="167"/>
      <c r="L26" s="167"/>
      <c r="S26" s="166"/>
      <c r="U26" s="168"/>
      <c r="Y26" s="167"/>
      <c r="Z26" s="167"/>
      <c r="AB26" s="167" t="str">
        <f t="shared" si="2"/>
        <v/>
      </c>
      <c r="AC26" s="254" t="str">
        <f t="shared" si="0"/>
        <v/>
      </c>
      <c r="AD26" s="167" t="str">
        <f t="shared" si="1"/>
        <v/>
      </c>
    </row>
    <row r="27" spans="8:30">
      <c r="H27" s="166"/>
      <c r="I27" s="166"/>
      <c r="J27" s="166"/>
      <c r="K27" s="167"/>
      <c r="L27" s="167"/>
      <c r="S27" s="166"/>
      <c r="U27" s="168"/>
      <c r="Y27" s="167"/>
      <c r="Z27" s="167"/>
      <c r="AB27" s="167" t="str">
        <f t="shared" si="2"/>
        <v/>
      </c>
      <c r="AC27" s="254" t="str">
        <f t="shared" si="0"/>
        <v/>
      </c>
      <c r="AD27" s="167" t="str">
        <f t="shared" si="1"/>
        <v/>
      </c>
    </row>
    <row r="28" spans="8:30">
      <c r="H28" s="166"/>
      <c r="I28" s="166"/>
      <c r="J28" s="166"/>
      <c r="K28" s="167"/>
      <c r="L28" s="167"/>
      <c r="S28" s="166"/>
      <c r="U28" s="168"/>
      <c r="Y28" s="167"/>
      <c r="Z28" s="167"/>
      <c r="AB28" s="167" t="str">
        <f t="shared" si="2"/>
        <v/>
      </c>
      <c r="AC28" s="254" t="str">
        <f t="shared" si="0"/>
        <v/>
      </c>
      <c r="AD28" s="167" t="str">
        <f t="shared" si="1"/>
        <v/>
      </c>
    </row>
    <row r="29" spans="8:30">
      <c r="H29" s="166"/>
      <c r="I29" s="166"/>
      <c r="J29" s="166"/>
      <c r="K29" s="167"/>
      <c r="L29" s="167"/>
      <c r="S29" s="166"/>
      <c r="U29" s="168"/>
      <c r="Y29" s="167"/>
      <c r="Z29" s="167"/>
      <c r="AB29" s="167" t="str">
        <f t="shared" si="2"/>
        <v/>
      </c>
      <c r="AC29" s="254" t="str">
        <f t="shared" si="0"/>
        <v/>
      </c>
      <c r="AD29" s="167" t="str">
        <f t="shared" si="1"/>
        <v/>
      </c>
    </row>
    <row r="30" spans="8:30">
      <c r="H30" s="166"/>
      <c r="I30" s="166"/>
      <c r="J30" s="166"/>
      <c r="K30" s="167"/>
      <c r="L30" s="167"/>
      <c r="S30" s="166"/>
      <c r="U30" s="168"/>
      <c r="Y30" s="167"/>
      <c r="Z30" s="167"/>
      <c r="AB30" s="167" t="str">
        <f t="shared" si="2"/>
        <v/>
      </c>
      <c r="AC30" s="254" t="str">
        <f t="shared" si="0"/>
        <v/>
      </c>
      <c r="AD30" s="167" t="str">
        <f t="shared" si="1"/>
        <v/>
      </c>
    </row>
    <row r="31" spans="8:30">
      <c r="H31" s="166"/>
      <c r="I31" s="166"/>
      <c r="J31" s="166"/>
      <c r="K31" s="167"/>
      <c r="L31" s="167"/>
      <c r="S31" s="166"/>
      <c r="U31" s="168"/>
      <c r="Y31" s="167"/>
      <c r="Z31" s="167"/>
      <c r="AB31" s="167" t="str">
        <f t="shared" si="2"/>
        <v/>
      </c>
      <c r="AC31" s="254" t="str">
        <f t="shared" si="0"/>
        <v/>
      </c>
      <c r="AD31" s="167" t="str">
        <f t="shared" si="1"/>
        <v/>
      </c>
    </row>
    <row r="32" spans="8:30">
      <c r="H32" s="166"/>
      <c r="I32" s="166"/>
      <c r="J32" s="166"/>
      <c r="K32" s="167"/>
      <c r="L32" s="167"/>
      <c r="S32" s="166"/>
      <c r="U32" s="168"/>
      <c r="Y32" s="167"/>
      <c r="Z32" s="167"/>
      <c r="AB32" s="167" t="str">
        <f t="shared" si="2"/>
        <v/>
      </c>
      <c r="AC32" s="254" t="str">
        <f t="shared" si="0"/>
        <v/>
      </c>
      <c r="AD32" s="167" t="str">
        <f t="shared" si="1"/>
        <v/>
      </c>
    </row>
    <row r="33" spans="8:30">
      <c r="H33" s="166"/>
      <c r="I33" s="166"/>
      <c r="J33" s="166"/>
      <c r="K33" s="167"/>
      <c r="L33" s="167"/>
      <c r="S33" s="166"/>
      <c r="U33" s="168"/>
      <c r="Y33" s="167"/>
      <c r="Z33" s="167"/>
      <c r="AB33" s="167" t="str">
        <f t="shared" si="2"/>
        <v/>
      </c>
      <c r="AC33" s="254" t="str">
        <f t="shared" si="0"/>
        <v/>
      </c>
      <c r="AD33" s="167" t="str">
        <f t="shared" si="1"/>
        <v/>
      </c>
    </row>
    <row r="34" spans="8:30">
      <c r="H34" s="166"/>
      <c r="I34" s="166"/>
      <c r="J34" s="166"/>
      <c r="K34" s="167"/>
      <c r="L34" s="167"/>
      <c r="S34" s="166"/>
      <c r="U34" s="168"/>
      <c r="Y34" s="167"/>
      <c r="Z34" s="167"/>
      <c r="AB34" s="167" t="str">
        <f t="shared" si="2"/>
        <v/>
      </c>
      <c r="AC34" s="254" t="str">
        <f t="shared" si="0"/>
        <v/>
      </c>
      <c r="AD34" s="167" t="str">
        <f t="shared" si="1"/>
        <v/>
      </c>
    </row>
    <row r="35" spans="8:30">
      <c r="H35" s="166"/>
      <c r="I35" s="166"/>
      <c r="J35" s="166"/>
      <c r="K35" s="167"/>
      <c r="L35" s="167"/>
      <c r="S35" s="166"/>
      <c r="U35" s="168"/>
      <c r="Y35" s="167"/>
      <c r="Z35" s="167"/>
      <c r="AB35" s="167" t="str">
        <f t="shared" si="2"/>
        <v/>
      </c>
      <c r="AC35" s="254" t="str">
        <f t="shared" si="0"/>
        <v/>
      </c>
      <c r="AD35" s="167" t="str">
        <f t="shared" si="1"/>
        <v/>
      </c>
    </row>
    <row r="36" spans="8:30">
      <c r="H36" s="166"/>
      <c r="I36" s="166"/>
      <c r="J36" s="166"/>
      <c r="K36" s="167"/>
      <c r="L36" s="167"/>
      <c r="S36" s="166"/>
      <c r="U36" s="168"/>
      <c r="Y36" s="167"/>
      <c r="Z36" s="167"/>
      <c r="AB36" s="167" t="str">
        <f t="shared" si="2"/>
        <v/>
      </c>
      <c r="AC36" s="254" t="str">
        <f t="shared" si="0"/>
        <v/>
      </c>
      <c r="AD36" s="167" t="str">
        <f t="shared" si="1"/>
        <v/>
      </c>
    </row>
    <row r="37" spans="8:30">
      <c r="H37" s="166"/>
      <c r="I37" s="166"/>
      <c r="J37" s="166"/>
      <c r="K37" s="167"/>
      <c r="L37" s="167"/>
      <c r="S37" s="166"/>
      <c r="U37" s="168"/>
      <c r="Y37" s="167"/>
      <c r="Z37" s="167"/>
      <c r="AB37" s="167" t="str">
        <f t="shared" si="2"/>
        <v/>
      </c>
      <c r="AC37" s="254" t="str">
        <f t="shared" si="0"/>
        <v/>
      </c>
      <c r="AD37" s="167" t="str">
        <f t="shared" si="1"/>
        <v/>
      </c>
    </row>
    <row r="38" spans="8:30">
      <c r="H38" s="166"/>
      <c r="I38" s="166"/>
      <c r="J38" s="166"/>
      <c r="K38" s="167"/>
      <c r="L38" s="167"/>
      <c r="S38" s="166"/>
      <c r="U38" s="168"/>
      <c r="Y38" s="167"/>
      <c r="Z38" s="167"/>
      <c r="AB38" s="167" t="str">
        <f t="shared" si="2"/>
        <v/>
      </c>
      <c r="AC38" s="254" t="str">
        <f t="shared" si="0"/>
        <v/>
      </c>
      <c r="AD38" s="167" t="str">
        <f t="shared" si="1"/>
        <v/>
      </c>
    </row>
    <row r="39" spans="8:30">
      <c r="H39" s="166"/>
      <c r="I39" s="166"/>
      <c r="J39" s="166"/>
      <c r="K39" s="167"/>
      <c r="L39" s="167"/>
      <c r="S39" s="166"/>
      <c r="U39" s="168"/>
      <c r="Y39" s="167"/>
      <c r="Z39" s="167"/>
      <c r="AB39" s="167" t="str">
        <f t="shared" si="2"/>
        <v/>
      </c>
      <c r="AC39" s="254" t="str">
        <f t="shared" si="0"/>
        <v/>
      </c>
      <c r="AD39" s="167" t="str">
        <f t="shared" si="1"/>
        <v/>
      </c>
    </row>
    <row r="40" spans="8:30">
      <c r="H40" s="166"/>
      <c r="I40" s="166"/>
      <c r="J40" s="166"/>
      <c r="K40" s="167"/>
      <c r="L40" s="167"/>
      <c r="S40" s="166"/>
      <c r="U40" s="168"/>
      <c r="Y40" s="167"/>
      <c r="Z40" s="167"/>
      <c r="AB40" s="167" t="str">
        <f t="shared" si="2"/>
        <v/>
      </c>
      <c r="AC40" s="254" t="str">
        <f t="shared" si="0"/>
        <v/>
      </c>
      <c r="AD40" s="167" t="str">
        <f t="shared" si="1"/>
        <v/>
      </c>
    </row>
    <row r="41" spans="8:30">
      <c r="H41" s="166"/>
      <c r="I41" s="166"/>
      <c r="J41" s="166"/>
      <c r="K41" s="167"/>
      <c r="L41" s="167"/>
      <c r="S41" s="166"/>
      <c r="U41" s="168"/>
      <c r="Y41" s="167"/>
      <c r="Z41" s="167"/>
      <c r="AB41" s="167" t="str">
        <f t="shared" si="2"/>
        <v/>
      </c>
      <c r="AC41" s="254" t="str">
        <f t="shared" si="0"/>
        <v/>
      </c>
      <c r="AD41" s="167" t="str">
        <f t="shared" si="1"/>
        <v/>
      </c>
    </row>
    <row r="42" spans="8:30">
      <c r="H42" s="166"/>
      <c r="I42" s="166"/>
      <c r="J42" s="166"/>
      <c r="K42" s="167"/>
      <c r="L42" s="167"/>
      <c r="S42" s="166"/>
      <c r="U42" s="168"/>
      <c r="Y42" s="167"/>
      <c r="Z42" s="167"/>
      <c r="AB42" s="167" t="str">
        <f t="shared" si="2"/>
        <v/>
      </c>
      <c r="AC42" s="254" t="str">
        <f t="shared" si="0"/>
        <v/>
      </c>
      <c r="AD42" s="167" t="str">
        <f t="shared" si="1"/>
        <v/>
      </c>
    </row>
    <row r="43" spans="8:30">
      <c r="H43" s="166"/>
      <c r="I43" s="166"/>
      <c r="J43" s="166"/>
      <c r="K43" s="167"/>
      <c r="L43" s="167"/>
      <c r="S43" s="166"/>
      <c r="U43" s="168"/>
      <c r="Y43" s="167"/>
      <c r="Z43" s="167"/>
      <c r="AB43" s="167" t="str">
        <f t="shared" si="2"/>
        <v/>
      </c>
      <c r="AC43" s="254" t="str">
        <f t="shared" si="0"/>
        <v/>
      </c>
      <c r="AD43" s="167" t="str">
        <f t="shared" si="1"/>
        <v/>
      </c>
    </row>
    <row r="44" spans="8:30">
      <c r="H44" s="166"/>
      <c r="I44" s="166"/>
      <c r="J44" s="166"/>
      <c r="K44" s="167"/>
      <c r="L44" s="167"/>
      <c r="S44" s="166"/>
      <c r="U44" s="168"/>
      <c r="Y44" s="167"/>
      <c r="Z44" s="167"/>
      <c r="AB44" s="167" t="str">
        <f t="shared" si="2"/>
        <v/>
      </c>
      <c r="AC44" s="254" t="str">
        <f t="shared" si="0"/>
        <v/>
      </c>
      <c r="AD44" s="167" t="str">
        <f t="shared" si="1"/>
        <v/>
      </c>
    </row>
    <row r="45" spans="8:30">
      <c r="H45" s="166"/>
      <c r="I45" s="166"/>
      <c r="J45" s="166"/>
      <c r="K45" s="167"/>
      <c r="L45" s="167"/>
      <c r="S45" s="166"/>
      <c r="U45" s="168"/>
      <c r="Y45" s="167" t="str">
        <f t="shared" ref="Y45:Y81" si="3">IF(B45="","",+Y44+SUM(J45)-SUM(K45))</f>
        <v/>
      </c>
      <c r="Z45" s="167"/>
      <c r="AB45" s="167" t="str">
        <f t="shared" si="2"/>
        <v/>
      </c>
      <c r="AC45" s="254" t="str">
        <f t="shared" si="0"/>
        <v/>
      </c>
      <c r="AD45" s="167" t="str">
        <f t="shared" si="1"/>
        <v/>
      </c>
    </row>
    <row r="46" spans="8:30">
      <c r="H46" s="166"/>
      <c r="I46" s="166"/>
      <c r="J46" s="166"/>
      <c r="K46" s="167"/>
      <c r="L46" s="167"/>
      <c r="S46" s="166"/>
      <c r="U46" s="168"/>
      <c r="Y46" s="167" t="str">
        <f t="shared" si="3"/>
        <v/>
      </c>
      <c r="Z46" s="167"/>
      <c r="AB46" s="167" t="str">
        <f t="shared" si="2"/>
        <v/>
      </c>
      <c r="AC46" s="254" t="str">
        <f t="shared" si="0"/>
        <v/>
      </c>
      <c r="AD46" s="167" t="str">
        <f t="shared" si="1"/>
        <v/>
      </c>
    </row>
    <row r="47" spans="8:30">
      <c r="H47" s="166"/>
      <c r="I47" s="166"/>
      <c r="J47" s="166"/>
      <c r="K47" s="167"/>
      <c r="L47" s="167"/>
      <c r="S47" s="166"/>
      <c r="U47" s="168"/>
      <c r="Y47" s="167" t="str">
        <f t="shared" si="3"/>
        <v/>
      </c>
      <c r="Z47" s="167"/>
      <c r="AB47" s="167" t="str">
        <f t="shared" si="2"/>
        <v/>
      </c>
      <c r="AC47" s="254" t="str">
        <f t="shared" si="0"/>
        <v/>
      </c>
      <c r="AD47" s="167" t="str">
        <f t="shared" si="1"/>
        <v/>
      </c>
    </row>
    <row r="48" spans="8:30">
      <c r="H48" s="166"/>
      <c r="I48" s="166"/>
      <c r="J48" s="166"/>
      <c r="K48" s="167"/>
      <c r="L48" s="167"/>
      <c r="S48" s="166"/>
      <c r="U48" s="168"/>
      <c r="Y48" s="167" t="str">
        <f t="shared" si="3"/>
        <v/>
      </c>
      <c r="Z48" s="167"/>
      <c r="AB48" s="167" t="str">
        <f t="shared" si="2"/>
        <v/>
      </c>
      <c r="AC48" s="254" t="str">
        <f t="shared" si="0"/>
        <v/>
      </c>
      <c r="AD48" s="167" t="str">
        <f t="shared" si="1"/>
        <v/>
      </c>
    </row>
    <row r="49" spans="8:30">
      <c r="H49" s="166"/>
      <c r="I49" s="166"/>
      <c r="J49" s="166"/>
      <c r="K49" s="167"/>
      <c r="L49" s="167"/>
      <c r="S49" s="166"/>
      <c r="U49" s="168"/>
      <c r="Y49" s="167" t="str">
        <f t="shared" si="3"/>
        <v/>
      </c>
      <c r="Z49" s="167"/>
      <c r="AB49" s="167" t="str">
        <f t="shared" si="2"/>
        <v/>
      </c>
      <c r="AC49" s="254" t="str">
        <f t="shared" si="0"/>
        <v/>
      </c>
      <c r="AD49" s="167" t="str">
        <f t="shared" si="1"/>
        <v/>
      </c>
    </row>
    <row r="50" spans="8:30">
      <c r="H50" s="166"/>
      <c r="I50" s="166"/>
      <c r="J50" s="166"/>
      <c r="K50" s="167"/>
      <c r="L50" s="167"/>
      <c r="S50" s="166"/>
      <c r="U50" s="168"/>
      <c r="Y50" s="167" t="str">
        <f t="shared" si="3"/>
        <v/>
      </c>
      <c r="Z50" s="167"/>
      <c r="AB50" s="167" t="str">
        <f t="shared" si="2"/>
        <v/>
      </c>
      <c r="AC50" s="254" t="str">
        <f t="shared" si="0"/>
        <v/>
      </c>
      <c r="AD50" s="167" t="str">
        <f t="shared" si="1"/>
        <v/>
      </c>
    </row>
    <row r="51" spans="8:30">
      <c r="H51" s="166"/>
      <c r="I51" s="166"/>
      <c r="J51" s="166"/>
      <c r="K51" s="167"/>
      <c r="L51" s="167"/>
      <c r="S51" s="166"/>
      <c r="U51" s="168"/>
      <c r="Y51" s="167" t="str">
        <f t="shared" si="3"/>
        <v/>
      </c>
      <c r="Z51" s="167"/>
      <c r="AB51" s="167" t="str">
        <f t="shared" si="2"/>
        <v/>
      </c>
      <c r="AC51" s="254" t="str">
        <f t="shared" si="0"/>
        <v/>
      </c>
      <c r="AD51" s="167" t="str">
        <f t="shared" si="1"/>
        <v/>
      </c>
    </row>
    <row r="52" spans="8:30">
      <c r="H52" s="166"/>
      <c r="I52" s="166"/>
      <c r="J52" s="166"/>
      <c r="K52" s="167"/>
      <c r="L52" s="167"/>
      <c r="S52" s="166"/>
      <c r="U52" s="168"/>
      <c r="Y52" s="167" t="str">
        <f t="shared" si="3"/>
        <v/>
      </c>
      <c r="Z52" s="167"/>
      <c r="AB52" s="167" t="str">
        <f t="shared" si="2"/>
        <v/>
      </c>
      <c r="AC52" s="254" t="str">
        <f t="shared" si="0"/>
        <v/>
      </c>
      <c r="AD52" s="167" t="str">
        <f t="shared" si="1"/>
        <v/>
      </c>
    </row>
    <row r="53" spans="8:30">
      <c r="H53" s="166"/>
      <c r="I53" s="166"/>
      <c r="J53" s="166"/>
      <c r="K53" s="167"/>
      <c r="L53" s="167"/>
      <c r="S53" s="166"/>
      <c r="U53" s="168"/>
      <c r="Y53" s="167" t="str">
        <f t="shared" si="3"/>
        <v/>
      </c>
      <c r="Z53" s="167"/>
      <c r="AB53" s="167" t="str">
        <f t="shared" si="2"/>
        <v/>
      </c>
      <c r="AC53" s="254" t="str">
        <f t="shared" si="0"/>
        <v/>
      </c>
      <c r="AD53" s="167" t="str">
        <f t="shared" si="1"/>
        <v/>
      </c>
    </row>
    <row r="54" spans="8:30">
      <c r="H54" s="166"/>
      <c r="I54" s="166"/>
      <c r="J54" s="166"/>
      <c r="K54" s="167"/>
      <c r="L54" s="167"/>
      <c r="S54" s="166"/>
      <c r="U54" s="168"/>
      <c r="Y54" s="167" t="str">
        <f t="shared" si="3"/>
        <v/>
      </c>
      <c r="Z54" s="167"/>
      <c r="AB54" s="167" t="str">
        <f t="shared" si="2"/>
        <v/>
      </c>
      <c r="AC54" s="254" t="str">
        <f t="shared" si="0"/>
        <v/>
      </c>
      <c r="AD54" s="167" t="str">
        <f t="shared" si="1"/>
        <v/>
      </c>
    </row>
    <row r="55" spans="8:30">
      <c r="H55" s="166"/>
      <c r="I55" s="166"/>
      <c r="J55" s="166"/>
      <c r="K55" s="167"/>
      <c r="L55" s="167"/>
      <c r="S55" s="166"/>
      <c r="U55" s="168"/>
      <c r="Y55" s="167" t="str">
        <f t="shared" si="3"/>
        <v/>
      </c>
      <c r="Z55" s="167"/>
      <c r="AB55" s="167" t="str">
        <f t="shared" si="2"/>
        <v/>
      </c>
      <c r="AC55" s="254" t="str">
        <f t="shared" si="0"/>
        <v/>
      </c>
      <c r="AD55" s="167" t="str">
        <f t="shared" si="1"/>
        <v/>
      </c>
    </row>
    <row r="56" spans="8:30">
      <c r="H56" s="166"/>
      <c r="I56" s="166"/>
      <c r="J56" s="166"/>
      <c r="K56" s="167"/>
      <c r="L56" s="167"/>
      <c r="S56" s="166"/>
      <c r="U56" s="168"/>
      <c r="Y56" s="167" t="str">
        <f t="shared" si="3"/>
        <v/>
      </c>
      <c r="Z56" s="167"/>
      <c r="AB56" s="167" t="str">
        <f t="shared" si="2"/>
        <v/>
      </c>
      <c r="AC56" s="254" t="str">
        <f t="shared" si="0"/>
        <v/>
      </c>
      <c r="AD56" s="167" t="str">
        <f t="shared" si="1"/>
        <v/>
      </c>
    </row>
    <row r="57" spans="8:30">
      <c r="H57" s="166"/>
      <c r="I57" s="166"/>
      <c r="J57" s="166"/>
      <c r="K57" s="167"/>
      <c r="L57" s="167"/>
      <c r="S57" s="166"/>
      <c r="U57" s="168"/>
      <c r="Y57" s="167" t="str">
        <f t="shared" si="3"/>
        <v/>
      </c>
      <c r="Z57" s="167"/>
      <c r="AB57" s="167" t="str">
        <f t="shared" si="2"/>
        <v/>
      </c>
      <c r="AC57" s="254" t="str">
        <f t="shared" si="0"/>
        <v/>
      </c>
      <c r="AD57" s="167" t="str">
        <f t="shared" si="1"/>
        <v/>
      </c>
    </row>
    <row r="58" spans="8:30">
      <c r="H58" s="166"/>
      <c r="I58" s="166"/>
      <c r="J58" s="166"/>
      <c r="K58" s="167"/>
      <c r="L58" s="167"/>
      <c r="S58" s="166"/>
      <c r="U58" s="168"/>
      <c r="Y58" s="167" t="str">
        <f t="shared" si="3"/>
        <v/>
      </c>
      <c r="Z58" s="167"/>
      <c r="AB58" s="167" t="str">
        <f t="shared" si="2"/>
        <v/>
      </c>
      <c r="AC58" s="254" t="str">
        <f t="shared" si="0"/>
        <v/>
      </c>
      <c r="AD58" s="167" t="str">
        <f t="shared" si="1"/>
        <v/>
      </c>
    </row>
    <row r="59" spans="8:30">
      <c r="H59" s="166"/>
      <c r="I59" s="166"/>
      <c r="J59" s="166"/>
      <c r="K59" s="167"/>
      <c r="L59" s="167"/>
      <c r="S59" s="166"/>
      <c r="U59" s="168"/>
      <c r="Y59" s="167" t="str">
        <f t="shared" si="3"/>
        <v/>
      </c>
      <c r="Z59" s="167"/>
      <c r="AB59" s="167" t="str">
        <f t="shared" si="2"/>
        <v/>
      </c>
      <c r="AC59" s="254" t="str">
        <f t="shared" si="0"/>
        <v/>
      </c>
      <c r="AD59" s="167" t="str">
        <f t="shared" si="1"/>
        <v/>
      </c>
    </row>
    <row r="60" spans="8:30">
      <c r="H60" s="166"/>
      <c r="I60" s="166"/>
      <c r="J60" s="166"/>
      <c r="K60" s="167"/>
      <c r="L60" s="167"/>
      <c r="S60" s="166"/>
      <c r="U60" s="168"/>
      <c r="Y60" s="167" t="str">
        <f t="shared" si="3"/>
        <v/>
      </c>
      <c r="Z60" s="167"/>
      <c r="AB60" s="167" t="str">
        <f t="shared" si="2"/>
        <v/>
      </c>
      <c r="AC60" s="254" t="str">
        <f t="shared" si="0"/>
        <v/>
      </c>
      <c r="AD60" s="167" t="str">
        <f t="shared" si="1"/>
        <v/>
      </c>
    </row>
    <row r="61" spans="8:30">
      <c r="H61" s="166"/>
      <c r="I61" s="166"/>
      <c r="J61" s="166"/>
      <c r="K61" s="167"/>
      <c r="L61" s="167"/>
      <c r="S61" s="166"/>
      <c r="U61" s="168"/>
      <c r="Y61" s="167" t="str">
        <f t="shared" si="3"/>
        <v/>
      </c>
      <c r="Z61" s="167"/>
      <c r="AB61" s="167" t="str">
        <f t="shared" si="2"/>
        <v/>
      </c>
      <c r="AC61" s="254" t="str">
        <f t="shared" si="0"/>
        <v/>
      </c>
      <c r="AD61" s="167" t="str">
        <f t="shared" si="1"/>
        <v/>
      </c>
    </row>
    <row r="62" spans="8:30">
      <c r="H62" s="166"/>
      <c r="I62" s="166"/>
      <c r="J62" s="166"/>
      <c r="K62" s="167"/>
      <c r="L62" s="167"/>
      <c r="S62" s="166"/>
      <c r="U62" s="168"/>
      <c r="Y62" s="167" t="str">
        <f t="shared" si="3"/>
        <v/>
      </c>
      <c r="Z62" s="167"/>
      <c r="AB62" s="167" t="str">
        <f t="shared" si="2"/>
        <v/>
      </c>
      <c r="AC62" s="254" t="str">
        <f t="shared" si="0"/>
        <v/>
      </c>
      <c r="AD62" s="167" t="str">
        <f t="shared" si="1"/>
        <v/>
      </c>
    </row>
    <row r="63" spans="8:30">
      <c r="H63" s="166"/>
      <c r="I63" s="166"/>
      <c r="J63" s="166"/>
      <c r="K63" s="167"/>
      <c r="L63" s="167"/>
      <c r="S63" s="166"/>
      <c r="U63" s="168"/>
      <c r="Y63" s="167" t="str">
        <f t="shared" si="3"/>
        <v/>
      </c>
      <c r="Z63" s="167"/>
      <c r="AB63" s="167" t="str">
        <f t="shared" si="2"/>
        <v/>
      </c>
      <c r="AC63" s="254" t="str">
        <f t="shared" si="0"/>
        <v/>
      </c>
      <c r="AD63" s="167" t="str">
        <f t="shared" si="1"/>
        <v/>
      </c>
    </row>
    <row r="64" spans="8:30">
      <c r="H64" s="166"/>
      <c r="I64" s="166"/>
      <c r="J64" s="166"/>
      <c r="K64" s="167"/>
      <c r="L64" s="167"/>
      <c r="S64" s="166"/>
      <c r="U64" s="168"/>
      <c r="Y64" s="167" t="str">
        <f t="shared" si="3"/>
        <v/>
      </c>
      <c r="Z64" s="167"/>
      <c r="AB64" s="167" t="str">
        <f t="shared" si="2"/>
        <v/>
      </c>
      <c r="AC64" s="254" t="str">
        <f t="shared" si="0"/>
        <v/>
      </c>
      <c r="AD64" s="167" t="str">
        <f t="shared" si="1"/>
        <v/>
      </c>
    </row>
    <row r="65" spans="8:30">
      <c r="H65" s="166"/>
      <c r="I65" s="166"/>
      <c r="J65" s="166"/>
      <c r="K65" s="167"/>
      <c r="L65" s="167"/>
      <c r="S65" s="166"/>
      <c r="U65" s="168"/>
      <c r="Y65" s="167" t="str">
        <f t="shared" si="3"/>
        <v/>
      </c>
      <c r="Z65" s="167"/>
      <c r="AB65" s="167" t="str">
        <f t="shared" si="2"/>
        <v/>
      </c>
      <c r="AC65" s="254" t="str">
        <f t="shared" si="0"/>
        <v/>
      </c>
      <c r="AD65" s="167" t="str">
        <f t="shared" si="1"/>
        <v/>
      </c>
    </row>
    <row r="66" spans="8:30">
      <c r="H66" s="166"/>
      <c r="I66" s="166"/>
      <c r="J66" s="166"/>
      <c r="K66" s="167"/>
      <c r="L66" s="167"/>
      <c r="S66" s="166"/>
      <c r="U66" s="168"/>
      <c r="Y66" s="167" t="str">
        <f t="shared" si="3"/>
        <v/>
      </c>
      <c r="Z66" s="167"/>
      <c r="AB66" s="167" t="str">
        <f t="shared" si="2"/>
        <v/>
      </c>
      <c r="AC66" s="254" t="str">
        <f t="shared" si="0"/>
        <v/>
      </c>
      <c r="AD66" s="167" t="str">
        <f t="shared" si="1"/>
        <v/>
      </c>
    </row>
    <row r="67" spans="8:30">
      <c r="H67" s="166"/>
      <c r="I67" s="166"/>
      <c r="J67" s="166"/>
      <c r="K67" s="167"/>
      <c r="L67" s="167"/>
      <c r="S67" s="166"/>
      <c r="U67" s="168"/>
      <c r="Y67" s="167" t="str">
        <f t="shared" si="3"/>
        <v/>
      </c>
      <c r="Z67" s="167"/>
      <c r="AB67" s="167" t="str">
        <f t="shared" si="2"/>
        <v/>
      </c>
      <c r="AC67" s="254" t="str">
        <f t="shared" si="0"/>
        <v/>
      </c>
      <c r="AD67" s="167" t="str">
        <f t="shared" si="1"/>
        <v/>
      </c>
    </row>
    <row r="68" spans="8:30">
      <c r="H68" s="166"/>
      <c r="I68" s="166"/>
      <c r="J68" s="166"/>
      <c r="K68" s="167"/>
      <c r="L68" s="167"/>
      <c r="S68" s="166"/>
      <c r="U68" s="168"/>
      <c r="Y68" s="167" t="str">
        <f t="shared" si="3"/>
        <v/>
      </c>
      <c r="Z68" s="167"/>
      <c r="AB68" s="167" t="str">
        <f t="shared" si="2"/>
        <v/>
      </c>
      <c r="AC68" s="254" t="str">
        <f t="shared" si="0"/>
        <v/>
      </c>
      <c r="AD68" s="167" t="str">
        <f t="shared" si="1"/>
        <v/>
      </c>
    </row>
    <row r="69" spans="8:30">
      <c r="H69" s="166"/>
      <c r="I69" s="166"/>
      <c r="J69" s="166"/>
      <c r="K69" s="167"/>
      <c r="L69" s="167"/>
      <c r="S69" s="166"/>
      <c r="U69" s="168"/>
      <c r="Y69" s="167" t="str">
        <f t="shared" si="3"/>
        <v/>
      </c>
      <c r="Z69" s="167"/>
      <c r="AB69" s="167" t="str">
        <f t="shared" si="2"/>
        <v/>
      </c>
      <c r="AC69" s="254" t="str">
        <f t="shared" si="0"/>
        <v/>
      </c>
      <c r="AD69" s="167" t="str">
        <f t="shared" si="1"/>
        <v/>
      </c>
    </row>
    <row r="70" spans="8:30">
      <c r="H70" s="166"/>
      <c r="I70" s="166"/>
      <c r="J70" s="166"/>
      <c r="K70" s="167"/>
      <c r="L70" s="167"/>
      <c r="S70" s="166"/>
      <c r="U70" s="168"/>
      <c r="Y70" s="167" t="str">
        <f t="shared" si="3"/>
        <v/>
      </c>
      <c r="Z70" s="167"/>
      <c r="AB70" s="167" t="str">
        <f t="shared" si="2"/>
        <v/>
      </c>
      <c r="AC70" s="254" t="str">
        <f t="shared" si="0"/>
        <v/>
      </c>
      <c r="AD70" s="167" t="str">
        <f t="shared" si="1"/>
        <v/>
      </c>
    </row>
    <row r="71" spans="8:30">
      <c r="H71" s="166"/>
      <c r="I71" s="166"/>
      <c r="J71" s="166"/>
      <c r="K71" s="167"/>
      <c r="L71" s="167"/>
      <c r="S71" s="166"/>
      <c r="U71" s="168"/>
      <c r="Y71" s="167" t="str">
        <f t="shared" si="3"/>
        <v/>
      </c>
      <c r="Z71" s="167"/>
      <c r="AB71" s="167" t="str">
        <f t="shared" si="2"/>
        <v/>
      </c>
      <c r="AC71" s="254" t="str">
        <f t="shared" si="0"/>
        <v/>
      </c>
      <c r="AD71" s="167" t="str">
        <f t="shared" si="1"/>
        <v/>
      </c>
    </row>
    <row r="72" spans="8:30">
      <c r="H72" s="166"/>
      <c r="I72" s="166"/>
      <c r="J72" s="166"/>
      <c r="K72" s="167"/>
      <c r="L72" s="167"/>
      <c r="S72" s="166"/>
      <c r="U72" s="168"/>
      <c r="Y72" s="167" t="str">
        <f t="shared" si="3"/>
        <v/>
      </c>
      <c r="Z72" s="167"/>
      <c r="AB72" s="167" t="str">
        <f t="shared" si="2"/>
        <v/>
      </c>
      <c r="AC72" s="254" t="str">
        <f t="shared" si="0"/>
        <v/>
      </c>
      <c r="AD72" s="167" t="str">
        <f t="shared" si="1"/>
        <v/>
      </c>
    </row>
    <row r="73" spans="8:30">
      <c r="H73" s="166"/>
      <c r="I73" s="166"/>
      <c r="J73" s="166"/>
      <c r="K73" s="167"/>
      <c r="L73" s="167"/>
      <c r="S73" s="166"/>
      <c r="U73" s="168"/>
      <c r="Y73" s="167" t="str">
        <f t="shared" si="3"/>
        <v/>
      </c>
      <c r="Z73" s="167"/>
      <c r="AB73" s="167" t="str">
        <f t="shared" si="2"/>
        <v/>
      </c>
      <c r="AC73" s="254" t="str">
        <f t="shared" si="0"/>
        <v/>
      </c>
      <c r="AD73" s="167" t="str">
        <f t="shared" si="1"/>
        <v/>
      </c>
    </row>
    <row r="74" spans="8:30">
      <c r="H74" s="166"/>
      <c r="I74" s="166"/>
      <c r="J74" s="166"/>
      <c r="K74" s="167"/>
      <c r="L74" s="167"/>
      <c r="S74" s="166"/>
      <c r="U74" s="168"/>
      <c r="Y74" s="167" t="str">
        <f t="shared" si="3"/>
        <v/>
      </c>
      <c r="Z74" s="167"/>
      <c r="AB74" s="167" t="str">
        <f t="shared" si="2"/>
        <v/>
      </c>
      <c r="AC74" s="254" t="str">
        <f t="shared" si="0"/>
        <v/>
      </c>
      <c r="AD74" s="167" t="str">
        <f t="shared" si="1"/>
        <v/>
      </c>
    </row>
    <row r="75" spans="8:30">
      <c r="H75" s="166"/>
      <c r="I75" s="166"/>
      <c r="J75" s="166"/>
      <c r="K75" s="167"/>
      <c r="L75" s="167"/>
      <c r="S75" s="166"/>
      <c r="U75" s="168"/>
      <c r="Y75" s="167" t="str">
        <f t="shared" si="3"/>
        <v/>
      </c>
      <c r="Z75" s="167"/>
      <c r="AB75" s="167" t="str">
        <f t="shared" si="2"/>
        <v/>
      </c>
      <c r="AC75" s="254" t="str">
        <f t="shared" si="0"/>
        <v/>
      </c>
      <c r="AD75" s="167" t="str">
        <f t="shared" si="1"/>
        <v/>
      </c>
    </row>
    <row r="76" spans="8:30">
      <c r="H76" s="166"/>
      <c r="I76" s="166"/>
      <c r="J76" s="166"/>
      <c r="K76" s="167"/>
      <c r="L76" s="167"/>
      <c r="S76" s="166"/>
      <c r="U76" s="168"/>
      <c r="Y76" s="167" t="str">
        <f t="shared" si="3"/>
        <v/>
      </c>
      <c r="Z76" s="167"/>
      <c r="AB76" s="167" t="str">
        <f t="shared" si="2"/>
        <v/>
      </c>
      <c r="AC76" s="254" t="str">
        <f t="shared" si="0"/>
        <v/>
      </c>
      <c r="AD76" s="167" t="str">
        <f t="shared" si="1"/>
        <v/>
      </c>
    </row>
    <row r="77" spans="8:30">
      <c r="H77" s="166"/>
      <c r="I77" s="166"/>
      <c r="J77" s="166"/>
      <c r="K77" s="167"/>
      <c r="L77" s="167"/>
      <c r="S77" s="166"/>
      <c r="U77" s="168"/>
      <c r="Y77" s="167" t="str">
        <f t="shared" si="3"/>
        <v/>
      </c>
      <c r="Z77" s="167"/>
      <c r="AB77" s="167" t="str">
        <f t="shared" si="2"/>
        <v/>
      </c>
      <c r="AC77" s="254" t="str">
        <f t="shared" si="0"/>
        <v/>
      </c>
      <c r="AD77" s="167" t="str">
        <f t="shared" si="1"/>
        <v/>
      </c>
    </row>
    <row r="78" spans="8:30">
      <c r="H78" s="166"/>
      <c r="I78" s="166"/>
      <c r="J78" s="166"/>
      <c r="K78" s="167"/>
      <c r="L78" s="167"/>
      <c r="S78" s="166"/>
      <c r="U78" s="168"/>
      <c r="Y78" s="167" t="str">
        <f t="shared" si="3"/>
        <v/>
      </c>
      <c r="Z78" s="167"/>
      <c r="AB78" s="167" t="str">
        <f t="shared" si="2"/>
        <v/>
      </c>
      <c r="AC78" s="254" t="str">
        <f t="shared" si="0"/>
        <v/>
      </c>
      <c r="AD78" s="167" t="str">
        <f t="shared" si="1"/>
        <v/>
      </c>
    </row>
    <row r="79" spans="8:30">
      <c r="H79" s="166"/>
      <c r="I79" s="166"/>
      <c r="J79" s="166"/>
      <c r="K79" s="167"/>
      <c r="L79" s="167"/>
      <c r="S79" s="166"/>
      <c r="U79" s="168"/>
      <c r="Y79" s="167" t="str">
        <f t="shared" si="3"/>
        <v/>
      </c>
      <c r="Z79" s="167"/>
      <c r="AB79" s="167" t="str">
        <f t="shared" si="2"/>
        <v/>
      </c>
      <c r="AC79" s="254" t="str">
        <f t="shared" si="0"/>
        <v/>
      </c>
      <c r="AD79" s="167" t="str">
        <f t="shared" si="1"/>
        <v/>
      </c>
    </row>
    <row r="80" spans="8:30">
      <c r="H80" s="166"/>
      <c r="I80" s="166"/>
      <c r="J80" s="166"/>
      <c r="K80" s="167"/>
      <c r="L80" s="167"/>
      <c r="S80" s="166"/>
      <c r="U80" s="168"/>
      <c r="Y80" s="167" t="str">
        <f t="shared" si="3"/>
        <v/>
      </c>
      <c r="Z80" s="167"/>
      <c r="AB80" s="167" t="str">
        <f t="shared" si="2"/>
        <v/>
      </c>
      <c r="AC80" s="254" t="str">
        <f t="shared" si="0"/>
        <v/>
      </c>
      <c r="AD80" s="167" t="str">
        <f t="shared" si="1"/>
        <v/>
      </c>
    </row>
    <row r="81" spans="8:30">
      <c r="H81" s="166"/>
      <c r="I81" s="166"/>
      <c r="J81" s="166"/>
      <c r="K81" s="167"/>
      <c r="L81" s="167"/>
      <c r="S81" s="166"/>
      <c r="U81" s="168"/>
      <c r="Y81" s="167" t="str">
        <f t="shared" si="3"/>
        <v/>
      </c>
      <c r="Z81" s="167"/>
      <c r="AB81" s="167" t="str">
        <f t="shared" si="2"/>
        <v/>
      </c>
      <c r="AC81" s="254" t="str">
        <f t="shared" ref="AC81:AC144" si="4">+IFERROR(IF(AB81&lt;0,"",AB81),)</f>
        <v/>
      </c>
      <c r="AD81" s="167" t="str">
        <f t="shared" ref="AD81:AD144" si="5">+IFERROR(IF(AB81&gt;0,"",-AB81),"")</f>
        <v/>
      </c>
    </row>
    <row r="82" spans="8:30">
      <c r="H82" s="166"/>
      <c r="I82" s="166"/>
      <c r="J82" s="166"/>
      <c r="K82" s="167"/>
      <c r="L82" s="167"/>
      <c r="S82" s="166"/>
      <c r="U82" s="168"/>
      <c r="Y82" s="167" t="str">
        <f t="shared" ref="Y82:Y145" si="6">IF(B82="","",+Y81+SUM(J82)-SUM(K82))</f>
        <v/>
      </c>
      <c r="Z82" s="167"/>
      <c r="AB82" s="167" t="str">
        <f t="shared" ref="AB82:AB145" si="7">IF(B82="","",+AB81+SUM(L82)-SUM(M82))</f>
        <v/>
      </c>
      <c r="AC82" s="254" t="str">
        <f t="shared" si="4"/>
        <v/>
      </c>
      <c r="AD82" s="167" t="str">
        <f t="shared" si="5"/>
        <v/>
      </c>
    </row>
    <row r="83" spans="8:30">
      <c r="H83" s="166"/>
      <c r="I83" s="166"/>
      <c r="J83" s="166"/>
      <c r="K83" s="167"/>
      <c r="L83" s="167"/>
      <c r="S83" s="166"/>
      <c r="U83" s="168"/>
      <c r="Y83" s="167" t="str">
        <f t="shared" si="6"/>
        <v/>
      </c>
      <c r="Z83" s="167"/>
      <c r="AB83" s="167" t="str">
        <f t="shared" si="7"/>
        <v/>
      </c>
      <c r="AC83" s="254" t="str">
        <f t="shared" si="4"/>
        <v/>
      </c>
      <c r="AD83" s="167" t="str">
        <f t="shared" si="5"/>
        <v/>
      </c>
    </row>
    <row r="84" spans="8:30">
      <c r="H84" s="166"/>
      <c r="I84" s="166"/>
      <c r="J84" s="166"/>
      <c r="K84" s="167"/>
      <c r="L84" s="167"/>
      <c r="S84" s="166"/>
      <c r="U84" s="168"/>
      <c r="Y84" s="167" t="str">
        <f t="shared" si="6"/>
        <v/>
      </c>
      <c r="Z84" s="167"/>
      <c r="AB84" s="167" t="str">
        <f t="shared" si="7"/>
        <v/>
      </c>
      <c r="AC84" s="254" t="str">
        <f t="shared" si="4"/>
        <v/>
      </c>
      <c r="AD84" s="167" t="str">
        <f t="shared" si="5"/>
        <v/>
      </c>
    </row>
    <row r="85" spans="8:30">
      <c r="H85" s="166"/>
      <c r="I85" s="166"/>
      <c r="J85" s="166"/>
      <c r="K85" s="167"/>
      <c r="L85" s="167"/>
      <c r="S85" s="166"/>
      <c r="U85" s="168"/>
      <c r="Y85" s="167" t="str">
        <f t="shared" si="6"/>
        <v/>
      </c>
      <c r="Z85" s="167"/>
      <c r="AB85" s="167" t="str">
        <f t="shared" si="7"/>
        <v/>
      </c>
      <c r="AC85" s="254" t="str">
        <f t="shared" si="4"/>
        <v/>
      </c>
      <c r="AD85" s="167" t="str">
        <f t="shared" si="5"/>
        <v/>
      </c>
    </row>
    <row r="86" spans="8:30">
      <c r="H86" s="166"/>
      <c r="I86" s="166"/>
      <c r="J86" s="166"/>
      <c r="K86" s="167"/>
      <c r="L86" s="167"/>
      <c r="S86" s="166"/>
      <c r="U86" s="168"/>
      <c r="Y86" s="167" t="str">
        <f t="shared" si="6"/>
        <v/>
      </c>
      <c r="Z86" s="167"/>
      <c r="AB86" s="167" t="str">
        <f t="shared" si="7"/>
        <v/>
      </c>
      <c r="AC86" s="254" t="str">
        <f t="shared" si="4"/>
        <v/>
      </c>
      <c r="AD86" s="167" t="str">
        <f t="shared" si="5"/>
        <v/>
      </c>
    </row>
    <row r="87" spans="8:30">
      <c r="H87" s="166"/>
      <c r="I87" s="166"/>
      <c r="J87" s="166"/>
      <c r="K87" s="167"/>
      <c r="L87" s="167"/>
      <c r="S87" s="166"/>
      <c r="U87" s="168"/>
      <c r="Y87" s="167" t="str">
        <f t="shared" si="6"/>
        <v/>
      </c>
      <c r="Z87" s="167"/>
      <c r="AB87" s="167" t="str">
        <f t="shared" si="7"/>
        <v/>
      </c>
      <c r="AC87" s="254" t="str">
        <f t="shared" si="4"/>
        <v/>
      </c>
      <c r="AD87" s="167" t="str">
        <f t="shared" si="5"/>
        <v/>
      </c>
    </row>
    <row r="88" spans="8:30">
      <c r="H88" s="166"/>
      <c r="I88" s="166"/>
      <c r="J88" s="166"/>
      <c r="K88" s="167"/>
      <c r="L88" s="167"/>
      <c r="S88" s="166"/>
      <c r="U88" s="168"/>
      <c r="Y88" s="167" t="str">
        <f t="shared" si="6"/>
        <v/>
      </c>
      <c r="Z88" s="167"/>
      <c r="AB88" s="167" t="str">
        <f t="shared" si="7"/>
        <v/>
      </c>
      <c r="AC88" s="254" t="str">
        <f t="shared" si="4"/>
        <v/>
      </c>
      <c r="AD88" s="167" t="str">
        <f t="shared" si="5"/>
        <v/>
      </c>
    </row>
    <row r="89" spans="8:30">
      <c r="H89" s="166"/>
      <c r="I89" s="166"/>
      <c r="J89" s="166"/>
      <c r="K89" s="167"/>
      <c r="L89" s="167"/>
      <c r="S89" s="166"/>
      <c r="U89" s="168"/>
      <c r="Y89" s="167" t="str">
        <f t="shared" si="6"/>
        <v/>
      </c>
      <c r="Z89" s="167"/>
      <c r="AB89" s="167" t="str">
        <f t="shared" si="7"/>
        <v/>
      </c>
      <c r="AC89" s="254" t="str">
        <f t="shared" si="4"/>
        <v/>
      </c>
      <c r="AD89" s="167" t="str">
        <f t="shared" si="5"/>
        <v/>
      </c>
    </row>
    <row r="90" spans="8:30">
      <c r="H90" s="166"/>
      <c r="I90" s="166"/>
      <c r="J90" s="166"/>
      <c r="K90" s="167"/>
      <c r="L90" s="167"/>
      <c r="S90" s="166"/>
      <c r="U90" s="168"/>
      <c r="Y90" s="167" t="str">
        <f t="shared" si="6"/>
        <v/>
      </c>
      <c r="Z90" s="167"/>
      <c r="AB90" s="167" t="str">
        <f t="shared" si="7"/>
        <v/>
      </c>
      <c r="AC90" s="254" t="str">
        <f t="shared" si="4"/>
        <v/>
      </c>
      <c r="AD90" s="167" t="str">
        <f t="shared" si="5"/>
        <v/>
      </c>
    </row>
    <row r="91" spans="8:30">
      <c r="H91" s="166"/>
      <c r="I91" s="166"/>
      <c r="J91" s="166"/>
      <c r="K91" s="167"/>
      <c r="L91" s="167"/>
      <c r="S91" s="166"/>
      <c r="U91" s="168"/>
      <c r="Y91" s="167" t="str">
        <f t="shared" si="6"/>
        <v/>
      </c>
      <c r="Z91" s="167"/>
      <c r="AB91" s="167" t="str">
        <f t="shared" si="7"/>
        <v/>
      </c>
      <c r="AC91" s="254" t="str">
        <f t="shared" si="4"/>
        <v/>
      </c>
      <c r="AD91" s="167" t="str">
        <f t="shared" si="5"/>
        <v/>
      </c>
    </row>
    <row r="92" spans="8:30">
      <c r="H92" s="166"/>
      <c r="I92" s="166"/>
      <c r="J92" s="166"/>
      <c r="K92" s="167"/>
      <c r="L92" s="167"/>
      <c r="S92" s="166"/>
      <c r="U92" s="168"/>
      <c r="Y92" s="167" t="str">
        <f t="shared" si="6"/>
        <v/>
      </c>
      <c r="Z92" s="167"/>
      <c r="AB92" s="167" t="str">
        <f t="shared" si="7"/>
        <v/>
      </c>
      <c r="AC92" s="254" t="str">
        <f t="shared" si="4"/>
        <v/>
      </c>
      <c r="AD92" s="167" t="str">
        <f t="shared" si="5"/>
        <v/>
      </c>
    </row>
    <row r="93" spans="8:30">
      <c r="H93" s="166"/>
      <c r="I93" s="166"/>
      <c r="J93" s="166"/>
      <c r="K93" s="167"/>
      <c r="L93" s="167"/>
      <c r="S93" s="166"/>
      <c r="U93" s="168"/>
      <c r="Y93" s="167" t="str">
        <f t="shared" si="6"/>
        <v/>
      </c>
      <c r="Z93" s="167"/>
      <c r="AB93" s="167" t="str">
        <f t="shared" si="7"/>
        <v/>
      </c>
      <c r="AC93" s="254" t="str">
        <f t="shared" si="4"/>
        <v/>
      </c>
      <c r="AD93" s="167" t="str">
        <f t="shared" si="5"/>
        <v/>
      </c>
    </row>
    <row r="94" spans="8:30">
      <c r="H94" s="166"/>
      <c r="I94" s="166"/>
      <c r="J94" s="166"/>
      <c r="K94" s="167"/>
      <c r="L94" s="167"/>
      <c r="S94" s="166"/>
      <c r="U94" s="168"/>
      <c r="Y94" s="167" t="str">
        <f t="shared" si="6"/>
        <v/>
      </c>
      <c r="Z94" s="167"/>
      <c r="AB94" s="167" t="str">
        <f t="shared" si="7"/>
        <v/>
      </c>
      <c r="AC94" s="254" t="str">
        <f t="shared" si="4"/>
        <v/>
      </c>
      <c r="AD94" s="167" t="str">
        <f t="shared" si="5"/>
        <v/>
      </c>
    </row>
    <row r="95" spans="8:30">
      <c r="H95" s="166"/>
      <c r="I95" s="166"/>
      <c r="J95" s="166"/>
      <c r="K95" s="167"/>
      <c r="L95" s="167"/>
      <c r="S95" s="166"/>
      <c r="U95" s="168"/>
      <c r="Y95" s="167" t="str">
        <f t="shared" si="6"/>
        <v/>
      </c>
      <c r="Z95" s="167"/>
      <c r="AB95" s="167" t="str">
        <f t="shared" si="7"/>
        <v/>
      </c>
      <c r="AC95" s="254" t="str">
        <f t="shared" si="4"/>
        <v/>
      </c>
      <c r="AD95" s="167" t="str">
        <f t="shared" si="5"/>
        <v/>
      </c>
    </row>
    <row r="96" spans="8:30">
      <c r="H96" s="166"/>
      <c r="I96" s="166"/>
      <c r="J96" s="166"/>
      <c r="K96" s="167"/>
      <c r="L96" s="167"/>
      <c r="S96" s="166"/>
      <c r="U96" s="168"/>
      <c r="Y96" s="167" t="str">
        <f t="shared" si="6"/>
        <v/>
      </c>
      <c r="Z96" s="167"/>
      <c r="AB96" s="167" t="str">
        <f t="shared" si="7"/>
        <v/>
      </c>
      <c r="AC96" s="254" t="str">
        <f t="shared" si="4"/>
        <v/>
      </c>
      <c r="AD96" s="167" t="str">
        <f t="shared" si="5"/>
        <v/>
      </c>
    </row>
    <row r="97" spans="8:30">
      <c r="H97" s="166"/>
      <c r="I97" s="166"/>
      <c r="J97" s="166"/>
      <c r="K97" s="167"/>
      <c r="L97" s="167"/>
      <c r="S97" s="166"/>
      <c r="U97" s="168"/>
      <c r="Y97" s="167" t="str">
        <f t="shared" si="6"/>
        <v/>
      </c>
      <c r="Z97" s="167"/>
      <c r="AB97" s="167" t="str">
        <f t="shared" si="7"/>
        <v/>
      </c>
      <c r="AC97" s="254" t="str">
        <f t="shared" si="4"/>
        <v/>
      </c>
      <c r="AD97" s="167" t="str">
        <f t="shared" si="5"/>
        <v/>
      </c>
    </row>
    <row r="98" spans="8:30">
      <c r="H98" s="166"/>
      <c r="I98" s="166"/>
      <c r="J98" s="166"/>
      <c r="K98" s="167"/>
      <c r="L98" s="167"/>
      <c r="S98" s="166"/>
      <c r="U98" s="168"/>
      <c r="Y98" s="167" t="str">
        <f t="shared" si="6"/>
        <v/>
      </c>
      <c r="Z98" s="167"/>
      <c r="AB98" s="167" t="str">
        <f t="shared" si="7"/>
        <v/>
      </c>
      <c r="AC98" s="254" t="str">
        <f t="shared" si="4"/>
        <v/>
      </c>
      <c r="AD98" s="167" t="str">
        <f t="shared" si="5"/>
        <v/>
      </c>
    </row>
    <row r="99" spans="8:30">
      <c r="H99" s="166"/>
      <c r="I99" s="166"/>
      <c r="J99" s="166"/>
      <c r="K99" s="167"/>
      <c r="L99" s="167"/>
      <c r="S99" s="166"/>
      <c r="U99" s="168"/>
      <c r="Y99" s="167" t="str">
        <f t="shared" si="6"/>
        <v/>
      </c>
      <c r="Z99" s="167"/>
      <c r="AB99" s="167" t="str">
        <f t="shared" si="7"/>
        <v/>
      </c>
      <c r="AC99" s="254" t="str">
        <f t="shared" si="4"/>
        <v/>
      </c>
      <c r="AD99" s="167" t="str">
        <f t="shared" si="5"/>
        <v/>
      </c>
    </row>
    <row r="100" spans="8:30">
      <c r="H100" s="166"/>
      <c r="I100" s="166"/>
      <c r="J100" s="166"/>
      <c r="K100" s="167"/>
      <c r="L100" s="167"/>
      <c r="S100" s="166"/>
      <c r="U100" s="168"/>
      <c r="Y100" s="167" t="str">
        <f t="shared" si="6"/>
        <v/>
      </c>
      <c r="Z100" s="167"/>
      <c r="AB100" s="167" t="str">
        <f t="shared" si="7"/>
        <v/>
      </c>
      <c r="AC100" s="254" t="str">
        <f t="shared" si="4"/>
        <v/>
      </c>
      <c r="AD100" s="167" t="str">
        <f t="shared" si="5"/>
        <v/>
      </c>
    </row>
    <row r="101" spans="8:30">
      <c r="H101" s="166"/>
      <c r="I101" s="166"/>
      <c r="J101" s="166"/>
      <c r="K101" s="167"/>
      <c r="L101" s="167"/>
      <c r="S101" s="166"/>
      <c r="U101" s="168"/>
      <c r="Y101" s="167" t="str">
        <f t="shared" si="6"/>
        <v/>
      </c>
      <c r="Z101" s="167"/>
      <c r="AB101" s="167" t="str">
        <f t="shared" si="7"/>
        <v/>
      </c>
      <c r="AC101" s="254" t="str">
        <f t="shared" si="4"/>
        <v/>
      </c>
      <c r="AD101" s="167" t="str">
        <f t="shared" si="5"/>
        <v/>
      </c>
    </row>
    <row r="102" spans="8:30">
      <c r="H102" s="166"/>
      <c r="I102" s="166"/>
      <c r="J102" s="166"/>
      <c r="K102" s="167"/>
      <c r="L102" s="167"/>
      <c r="S102" s="166"/>
      <c r="U102" s="168"/>
      <c r="Y102" s="167" t="str">
        <f t="shared" si="6"/>
        <v/>
      </c>
      <c r="Z102" s="167"/>
      <c r="AB102" s="167" t="str">
        <f t="shared" si="7"/>
        <v/>
      </c>
      <c r="AC102" s="254" t="str">
        <f t="shared" si="4"/>
        <v/>
      </c>
      <c r="AD102" s="167" t="str">
        <f t="shared" si="5"/>
        <v/>
      </c>
    </row>
    <row r="103" spans="8:30">
      <c r="H103" s="166"/>
      <c r="I103" s="166"/>
      <c r="J103" s="166"/>
      <c r="K103" s="167"/>
      <c r="L103" s="167"/>
      <c r="S103" s="166"/>
      <c r="U103" s="168"/>
      <c r="Y103" s="167" t="str">
        <f t="shared" si="6"/>
        <v/>
      </c>
      <c r="Z103" s="167"/>
      <c r="AB103" s="167" t="str">
        <f t="shared" si="7"/>
        <v/>
      </c>
      <c r="AC103" s="254" t="str">
        <f t="shared" si="4"/>
        <v/>
      </c>
      <c r="AD103" s="167" t="str">
        <f t="shared" si="5"/>
        <v/>
      </c>
    </row>
    <row r="104" spans="8:30">
      <c r="H104" s="166"/>
      <c r="I104" s="166"/>
      <c r="J104" s="166"/>
      <c r="K104" s="167"/>
      <c r="L104" s="167"/>
      <c r="S104" s="166"/>
      <c r="U104" s="168"/>
      <c r="Y104" s="167" t="str">
        <f t="shared" si="6"/>
        <v/>
      </c>
      <c r="Z104" s="167"/>
      <c r="AB104" s="167" t="str">
        <f t="shared" si="7"/>
        <v/>
      </c>
      <c r="AC104" s="254" t="str">
        <f t="shared" si="4"/>
        <v/>
      </c>
      <c r="AD104" s="167" t="str">
        <f t="shared" si="5"/>
        <v/>
      </c>
    </row>
    <row r="105" spans="8:30">
      <c r="H105" s="166"/>
      <c r="I105" s="166"/>
      <c r="J105" s="166"/>
      <c r="K105" s="167"/>
      <c r="L105" s="167"/>
      <c r="S105" s="166"/>
      <c r="U105" s="168"/>
      <c r="Y105" s="167" t="str">
        <f t="shared" si="6"/>
        <v/>
      </c>
      <c r="Z105" s="167"/>
      <c r="AB105" s="167" t="str">
        <f t="shared" si="7"/>
        <v/>
      </c>
      <c r="AC105" s="254" t="str">
        <f t="shared" si="4"/>
        <v/>
      </c>
      <c r="AD105" s="167" t="str">
        <f t="shared" si="5"/>
        <v/>
      </c>
    </row>
    <row r="106" spans="8:30">
      <c r="H106" s="166"/>
      <c r="I106" s="166"/>
      <c r="J106" s="166"/>
      <c r="K106" s="167"/>
      <c r="L106" s="167"/>
      <c r="S106" s="166"/>
      <c r="U106" s="168"/>
      <c r="Y106" s="167" t="str">
        <f t="shared" si="6"/>
        <v/>
      </c>
      <c r="Z106" s="167"/>
      <c r="AB106" s="167" t="str">
        <f t="shared" si="7"/>
        <v/>
      </c>
      <c r="AC106" s="254" t="str">
        <f t="shared" si="4"/>
        <v/>
      </c>
      <c r="AD106" s="167" t="str">
        <f t="shared" si="5"/>
        <v/>
      </c>
    </row>
    <row r="107" spans="8:30">
      <c r="H107" s="166"/>
      <c r="I107" s="166"/>
      <c r="J107" s="166"/>
      <c r="K107" s="167"/>
      <c r="L107" s="167"/>
      <c r="S107" s="166"/>
      <c r="U107" s="168"/>
      <c r="Y107" s="167" t="str">
        <f t="shared" si="6"/>
        <v/>
      </c>
      <c r="Z107" s="167"/>
      <c r="AB107" s="167" t="str">
        <f t="shared" si="7"/>
        <v/>
      </c>
      <c r="AC107" s="254" t="str">
        <f t="shared" si="4"/>
        <v/>
      </c>
      <c r="AD107" s="167" t="str">
        <f t="shared" si="5"/>
        <v/>
      </c>
    </row>
    <row r="108" spans="8:30">
      <c r="H108" s="166"/>
      <c r="I108" s="166"/>
      <c r="J108" s="166"/>
      <c r="K108" s="167"/>
      <c r="L108" s="167"/>
      <c r="S108" s="166"/>
      <c r="U108" s="168"/>
      <c r="Y108" s="167" t="str">
        <f t="shared" si="6"/>
        <v/>
      </c>
      <c r="Z108" s="167"/>
      <c r="AB108" s="167" t="str">
        <f t="shared" si="7"/>
        <v/>
      </c>
      <c r="AC108" s="254" t="str">
        <f t="shared" si="4"/>
        <v/>
      </c>
      <c r="AD108" s="167" t="str">
        <f t="shared" si="5"/>
        <v/>
      </c>
    </row>
    <row r="109" spans="8:30">
      <c r="H109" s="166"/>
      <c r="I109" s="166"/>
      <c r="J109" s="166"/>
      <c r="K109" s="167"/>
      <c r="L109" s="167"/>
      <c r="S109" s="166"/>
      <c r="U109" s="168"/>
      <c r="Y109" s="167" t="str">
        <f t="shared" si="6"/>
        <v/>
      </c>
      <c r="Z109" s="167"/>
      <c r="AB109" s="167" t="str">
        <f t="shared" si="7"/>
        <v/>
      </c>
      <c r="AC109" s="254" t="str">
        <f t="shared" si="4"/>
        <v/>
      </c>
      <c r="AD109" s="167" t="str">
        <f t="shared" si="5"/>
        <v/>
      </c>
    </row>
    <row r="110" spans="8:30">
      <c r="H110" s="166"/>
      <c r="I110" s="166"/>
      <c r="J110" s="166"/>
      <c r="K110" s="167"/>
      <c r="L110" s="167"/>
      <c r="S110" s="166"/>
      <c r="U110" s="168"/>
      <c r="Y110" s="167" t="str">
        <f t="shared" si="6"/>
        <v/>
      </c>
      <c r="Z110" s="167"/>
      <c r="AB110" s="167" t="str">
        <f t="shared" si="7"/>
        <v/>
      </c>
      <c r="AC110" s="254" t="str">
        <f t="shared" si="4"/>
        <v/>
      </c>
      <c r="AD110" s="167" t="str">
        <f t="shared" si="5"/>
        <v/>
      </c>
    </row>
    <row r="111" spans="8:30">
      <c r="H111" s="166"/>
      <c r="I111" s="166"/>
      <c r="J111" s="166"/>
      <c r="K111" s="167"/>
      <c r="L111" s="167"/>
      <c r="S111" s="166"/>
      <c r="U111" s="168"/>
      <c r="Y111" s="167" t="str">
        <f t="shared" si="6"/>
        <v/>
      </c>
      <c r="Z111" s="167"/>
      <c r="AB111" s="167" t="str">
        <f t="shared" si="7"/>
        <v/>
      </c>
      <c r="AC111" s="254" t="str">
        <f t="shared" si="4"/>
        <v/>
      </c>
      <c r="AD111" s="167" t="str">
        <f t="shared" si="5"/>
        <v/>
      </c>
    </row>
    <row r="112" spans="8:30">
      <c r="H112" s="166"/>
      <c r="I112" s="166"/>
      <c r="J112" s="166"/>
      <c r="K112" s="167"/>
      <c r="L112" s="167"/>
      <c r="S112" s="166"/>
      <c r="U112" s="168"/>
      <c r="Y112" s="167" t="str">
        <f t="shared" si="6"/>
        <v/>
      </c>
      <c r="Z112" s="167"/>
      <c r="AB112" s="167" t="str">
        <f t="shared" si="7"/>
        <v/>
      </c>
      <c r="AC112" s="254" t="str">
        <f t="shared" si="4"/>
        <v/>
      </c>
      <c r="AD112" s="167" t="str">
        <f t="shared" si="5"/>
        <v/>
      </c>
    </row>
    <row r="113" spans="8:30">
      <c r="H113" s="166"/>
      <c r="I113" s="166"/>
      <c r="J113" s="166"/>
      <c r="K113" s="167"/>
      <c r="L113" s="167"/>
      <c r="S113" s="166"/>
      <c r="U113" s="168"/>
      <c r="Y113" s="167" t="str">
        <f t="shared" si="6"/>
        <v/>
      </c>
      <c r="Z113" s="167"/>
      <c r="AB113" s="167" t="str">
        <f t="shared" si="7"/>
        <v/>
      </c>
      <c r="AC113" s="254" t="str">
        <f t="shared" si="4"/>
        <v/>
      </c>
      <c r="AD113" s="167" t="str">
        <f t="shared" si="5"/>
        <v/>
      </c>
    </row>
    <row r="114" spans="8:30">
      <c r="H114" s="166"/>
      <c r="I114" s="166"/>
      <c r="J114" s="166"/>
      <c r="K114" s="167"/>
      <c r="L114" s="167"/>
      <c r="S114" s="166"/>
      <c r="U114" s="168"/>
      <c r="Y114" s="167" t="str">
        <f t="shared" si="6"/>
        <v/>
      </c>
      <c r="Z114" s="167"/>
      <c r="AB114" s="167" t="str">
        <f t="shared" si="7"/>
        <v/>
      </c>
      <c r="AC114" s="254" t="str">
        <f t="shared" si="4"/>
        <v/>
      </c>
      <c r="AD114" s="167" t="str">
        <f t="shared" si="5"/>
        <v/>
      </c>
    </row>
    <row r="115" spans="8:30">
      <c r="H115" s="166"/>
      <c r="I115" s="166"/>
      <c r="J115" s="166"/>
      <c r="K115" s="167"/>
      <c r="L115" s="167"/>
      <c r="S115" s="166"/>
      <c r="U115" s="168"/>
      <c r="Y115" s="167" t="str">
        <f t="shared" si="6"/>
        <v/>
      </c>
      <c r="Z115" s="167"/>
      <c r="AB115" s="167" t="str">
        <f t="shared" si="7"/>
        <v/>
      </c>
      <c r="AC115" s="254" t="str">
        <f t="shared" si="4"/>
        <v/>
      </c>
      <c r="AD115" s="167" t="str">
        <f t="shared" si="5"/>
        <v/>
      </c>
    </row>
    <row r="116" spans="8:30">
      <c r="H116" s="166"/>
      <c r="I116" s="166"/>
      <c r="J116" s="166"/>
      <c r="K116" s="167"/>
      <c r="L116" s="167"/>
      <c r="S116" s="166"/>
      <c r="U116" s="168"/>
      <c r="Y116" s="167" t="str">
        <f t="shared" si="6"/>
        <v/>
      </c>
      <c r="Z116" s="167"/>
      <c r="AB116" s="167" t="str">
        <f t="shared" si="7"/>
        <v/>
      </c>
      <c r="AC116" s="254" t="str">
        <f t="shared" si="4"/>
        <v/>
      </c>
      <c r="AD116" s="167" t="str">
        <f t="shared" si="5"/>
        <v/>
      </c>
    </row>
    <row r="117" spans="8:30">
      <c r="H117" s="166"/>
      <c r="I117" s="166"/>
      <c r="J117" s="166"/>
      <c r="K117" s="167"/>
      <c r="L117" s="167"/>
      <c r="S117" s="166"/>
      <c r="U117" s="168"/>
      <c r="Y117" s="167" t="str">
        <f t="shared" si="6"/>
        <v/>
      </c>
      <c r="Z117" s="167"/>
      <c r="AB117" s="167" t="str">
        <f t="shared" si="7"/>
        <v/>
      </c>
      <c r="AC117" s="254" t="str">
        <f t="shared" si="4"/>
        <v/>
      </c>
      <c r="AD117" s="167" t="str">
        <f t="shared" si="5"/>
        <v/>
      </c>
    </row>
    <row r="118" spans="8:30">
      <c r="H118" s="166"/>
      <c r="I118" s="166"/>
      <c r="J118" s="166"/>
      <c r="K118" s="167"/>
      <c r="L118" s="167"/>
      <c r="S118" s="166"/>
      <c r="U118" s="168"/>
      <c r="Y118" s="167" t="str">
        <f t="shared" si="6"/>
        <v/>
      </c>
      <c r="Z118" s="167"/>
      <c r="AB118" s="167" t="str">
        <f t="shared" si="7"/>
        <v/>
      </c>
      <c r="AC118" s="254" t="str">
        <f t="shared" si="4"/>
        <v/>
      </c>
      <c r="AD118" s="167" t="str">
        <f t="shared" si="5"/>
        <v/>
      </c>
    </row>
    <row r="119" spans="8:30">
      <c r="H119" s="166"/>
      <c r="I119" s="166"/>
      <c r="J119" s="166"/>
      <c r="K119" s="167"/>
      <c r="L119" s="167"/>
      <c r="S119" s="166"/>
      <c r="U119" s="168"/>
      <c r="Y119" s="167" t="str">
        <f t="shared" si="6"/>
        <v/>
      </c>
      <c r="Z119" s="167"/>
      <c r="AB119" s="167" t="str">
        <f t="shared" si="7"/>
        <v/>
      </c>
      <c r="AC119" s="254" t="str">
        <f t="shared" si="4"/>
        <v/>
      </c>
      <c r="AD119" s="167" t="str">
        <f t="shared" si="5"/>
        <v/>
      </c>
    </row>
    <row r="120" spans="8:30">
      <c r="H120" s="166"/>
      <c r="I120" s="166"/>
      <c r="J120" s="166"/>
      <c r="K120" s="167"/>
      <c r="L120" s="167"/>
      <c r="S120" s="166"/>
      <c r="U120" s="168"/>
      <c r="Y120" s="167" t="str">
        <f t="shared" si="6"/>
        <v/>
      </c>
      <c r="Z120" s="167"/>
      <c r="AB120" s="167" t="str">
        <f t="shared" si="7"/>
        <v/>
      </c>
      <c r="AC120" s="254" t="str">
        <f t="shared" si="4"/>
        <v/>
      </c>
      <c r="AD120" s="167" t="str">
        <f t="shared" si="5"/>
        <v/>
      </c>
    </row>
    <row r="121" spans="8:30">
      <c r="H121" s="166"/>
      <c r="I121" s="166"/>
      <c r="J121" s="166"/>
      <c r="K121" s="167"/>
      <c r="L121" s="167"/>
      <c r="S121" s="166"/>
      <c r="U121" s="168"/>
      <c r="Y121" s="167" t="str">
        <f t="shared" si="6"/>
        <v/>
      </c>
      <c r="Z121" s="167"/>
      <c r="AB121" s="167" t="str">
        <f t="shared" si="7"/>
        <v/>
      </c>
      <c r="AC121" s="254" t="str">
        <f t="shared" si="4"/>
        <v/>
      </c>
      <c r="AD121" s="167" t="str">
        <f t="shared" si="5"/>
        <v/>
      </c>
    </row>
    <row r="122" spans="8:30">
      <c r="H122" s="166"/>
      <c r="I122" s="166"/>
      <c r="J122" s="166"/>
      <c r="K122" s="167"/>
      <c r="L122" s="167"/>
      <c r="S122" s="166"/>
      <c r="U122" s="168"/>
      <c r="Y122" s="167" t="str">
        <f t="shared" si="6"/>
        <v/>
      </c>
      <c r="Z122" s="167"/>
      <c r="AB122" s="167" t="str">
        <f t="shared" si="7"/>
        <v/>
      </c>
      <c r="AC122" s="254" t="str">
        <f t="shared" si="4"/>
        <v/>
      </c>
      <c r="AD122" s="167" t="str">
        <f t="shared" si="5"/>
        <v/>
      </c>
    </row>
    <row r="123" spans="8:30">
      <c r="H123" s="166"/>
      <c r="I123" s="166"/>
      <c r="J123" s="166"/>
      <c r="K123" s="167"/>
      <c r="L123" s="167"/>
      <c r="S123" s="166"/>
      <c r="U123" s="168"/>
      <c r="Y123" s="167" t="str">
        <f t="shared" si="6"/>
        <v/>
      </c>
      <c r="Z123" s="167"/>
      <c r="AB123" s="167" t="str">
        <f t="shared" si="7"/>
        <v/>
      </c>
      <c r="AC123" s="254" t="str">
        <f t="shared" si="4"/>
        <v/>
      </c>
      <c r="AD123" s="167" t="str">
        <f t="shared" si="5"/>
        <v/>
      </c>
    </row>
    <row r="124" spans="8:30">
      <c r="H124" s="166"/>
      <c r="I124" s="166"/>
      <c r="J124" s="166"/>
      <c r="K124" s="167"/>
      <c r="L124" s="167"/>
      <c r="S124" s="166"/>
      <c r="U124" s="168"/>
      <c r="Y124" s="167" t="str">
        <f t="shared" si="6"/>
        <v/>
      </c>
      <c r="Z124" s="167"/>
      <c r="AB124" s="167" t="str">
        <f t="shared" si="7"/>
        <v/>
      </c>
      <c r="AC124" s="254" t="str">
        <f t="shared" si="4"/>
        <v/>
      </c>
      <c r="AD124" s="167" t="str">
        <f t="shared" si="5"/>
        <v/>
      </c>
    </row>
    <row r="125" spans="8:30">
      <c r="H125" s="166"/>
      <c r="I125" s="166"/>
      <c r="J125" s="166"/>
      <c r="K125" s="167"/>
      <c r="L125" s="167"/>
      <c r="S125" s="166"/>
      <c r="U125" s="168"/>
      <c r="Y125" s="167" t="str">
        <f t="shared" si="6"/>
        <v/>
      </c>
      <c r="Z125" s="167"/>
      <c r="AB125" s="167" t="str">
        <f t="shared" si="7"/>
        <v/>
      </c>
      <c r="AC125" s="254" t="str">
        <f t="shared" si="4"/>
        <v/>
      </c>
      <c r="AD125" s="167" t="str">
        <f t="shared" si="5"/>
        <v/>
      </c>
    </row>
    <row r="126" spans="8:30">
      <c r="H126" s="166"/>
      <c r="I126" s="166"/>
      <c r="J126" s="166"/>
      <c r="K126" s="167"/>
      <c r="L126" s="167"/>
      <c r="S126" s="166"/>
      <c r="U126" s="168"/>
      <c r="Y126" s="167" t="str">
        <f t="shared" si="6"/>
        <v/>
      </c>
      <c r="Z126" s="167"/>
      <c r="AB126" s="167" t="str">
        <f t="shared" si="7"/>
        <v/>
      </c>
      <c r="AC126" s="254" t="str">
        <f t="shared" si="4"/>
        <v/>
      </c>
      <c r="AD126" s="167" t="str">
        <f t="shared" si="5"/>
        <v/>
      </c>
    </row>
    <row r="127" spans="8:30">
      <c r="H127" s="166"/>
      <c r="I127" s="166"/>
      <c r="J127" s="166"/>
      <c r="K127" s="167"/>
      <c r="L127" s="167"/>
      <c r="S127" s="166"/>
      <c r="U127" s="168"/>
      <c r="Y127" s="167" t="str">
        <f t="shared" si="6"/>
        <v/>
      </c>
      <c r="Z127" s="167"/>
      <c r="AB127" s="167" t="str">
        <f t="shared" si="7"/>
        <v/>
      </c>
      <c r="AC127" s="254" t="str">
        <f t="shared" si="4"/>
        <v/>
      </c>
      <c r="AD127" s="167" t="str">
        <f t="shared" si="5"/>
        <v/>
      </c>
    </row>
    <row r="128" spans="8:30">
      <c r="H128" s="166"/>
      <c r="I128" s="166"/>
      <c r="J128" s="166"/>
      <c r="K128" s="167"/>
      <c r="L128" s="167"/>
      <c r="S128" s="166"/>
      <c r="U128" s="168"/>
      <c r="Y128" s="167" t="str">
        <f t="shared" si="6"/>
        <v/>
      </c>
      <c r="Z128" s="167"/>
      <c r="AB128" s="167" t="str">
        <f t="shared" si="7"/>
        <v/>
      </c>
      <c r="AC128" s="254" t="str">
        <f t="shared" si="4"/>
        <v/>
      </c>
      <c r="AD128" s="167" t="str">
        <f t="shared" si="5"/>
        <v/>
      </c>
    </row>
    <row r="129" spans="8:30">
      <c r="H129" s="166"/>
      <c r="I129" s="166"/>
      <c r="J129" s="166"/>
      <c r="K129" s="167"/>
      <c r="L129" s="167"/>
      <c r="S129" s="166"/>
      <c r="U129" s="168"/>
      <c r="Y129" s="167" t="str">
        <f t="shared" si="6"/>
        <v/>
      </c>
      <c r="Z129" s="167"/>
      <c r="AB129" s="167" t="str">
        <f t="shared" si="7"/>
        <v/>
      </c>
      <c r="AC129" s="254" t="str">
        <f t="shared" si="4"/>
        <v/>
      </c>
      <c r="AD129" s="167" t="str">
        <f t="shared" si="5"/>
        <v/>
      </c>
    </row>
    <row r="130" spans="8:30">
      <c r="H130" s="166"/>
      <c r="I130" s="166"/>
      <c r="J130" s="166"/>
      <c r="K130" s="167"/>
      <c r="L130" s="167"/>
      <c r="S130" s="166"/>
      <c r="U130" s="168"/>
      <c r="Y130" s="167" t="str">
        <f t="shared" si="6"/>
        <v/>
      </c>
      <c r="Z130" s="167"/>
      <c r="AB130" s="167" t="str">
        <f t="shared" si="7"/>
        <v/>
      </c>
      <c r="AC130" s="254" t="str">
        <f t="shared" si="4"/>
        <v/>
      </c>
      <c r="AD130" s="167" t="str">
        <f t="shared" si="5"/>
        <v/>
      </c>
    </row>
    <row r="131" spans="8:30">
      <c r="H131" s="166"/>
      <c r="I131" s="166"/>
      <c r="J131" s="166"/>
      <c r="K131" s="167"/>
      <c r="L131" s="167"/>
      <c r="S131" s="166"/>
      <c r="U131" s="168"/>
      <c r="Y131" s="167" t="str">
        <f t="shared" si="6"/>
        <v/>
      </c>
      <c r="Z131" s="167"/>
      <c r="AB131" s="167" t="str">
        <f t="shared" si="7"/>
        <v/>
      </c>
      <c r="AC131" s="254" t="str">
        <f t="shared" si="4"/>
        <v/>
      </c>
      <c r="AD131" s="167" t="str">
        <f t="shared" si="5"/>
        <v/>
      </c>
    </row>
    <row r="132" spans="8:30">
      <c r="H132" s="166"/>
      <c r="I132" s="166"/>
      <c r="J132" s="166"/>
      <c r="K132" s="167"/>
      <c r="L132" s="167"/>
      <c r="S132" s="166"/>
      <c r="U132" s="168"/>
      <c r="Y132" s="167" t="str">
        <f t="shared" si="6"/>
        <v/>
      </c>
      <c r="Z132" s="167"/>
      <c r="AB132" s="167" t="str">
        <f t="shared" si="7"/>
        <v/>
      </c>
      <c r="AC132" s="254" t="str">
        <f t="shared" si="4"/>
        <v/>
      </c>
      <c r="AD132" s="167" t="str">
        <f t="shared" si="5"/>
        <v/>
      </c>
    </row>
    <row r="133" spans="8:30">
      <c r="H133" s="166"/>
      <c r="I133" s="166"/>
      <c r="J133" s="166"/>
      <c r="K133" s="167"/>
      <c r="L133" s="167"/>
      <c r="S133" s="166"/>
      <c r="U133" s="168"/>
      <c r="Y133" s="167" t="str">
        <f t="shared" si="6"/>
        <v/>
      </c>
      <c r="Z133" s="167"/>
      <c r="AB133" s="167" t="str">
        <f t="shared" si="7"/>
        <v/>
      </c>
      <c r="AC133" s="254" t="str">
        <f t="shared" si="4"/>
        <v/>
      </c>
      <c r="AD133" s="167" t="str">
        <f t="shared" si="5"/>
        <v/>
      </c>
    </row>
    <row r="134" spans="8:30">
      <c r="H134" s="166"/>
      <c r="I134" s="166"/>
      <c r="J134" s="166"/>
      <c r="K134" s="167"/>
      <c r="L134" s="167"/>
      <c r="S134" s="166"/>
      <c r="U134" s="168"/>
      <c r="Y134" s="167" t="str">
        <f t="shared" si="6"/>
        <v/>
      </c>
      <c r="Z134" s="167"/>
      <c r="AB134" s="167" t="str">
        <f t="shared" si="7"/>
        <v/>
      </c>
      <c r="AC134" s="254" t="str">
        <f t="shared" si="4"/>
        <v/>
      </c>
      <c r="AD134" s="167" t="str">
        <f t="shared" si="5"/>
        <v/>
      </c>
    </row>
    <row r="135" spans="8:30">
      <c r="H135" s="166"/>
      <c r="I135" s="166"/>
      <c r="J135" s="166"/>
      <c r="K135" s="167"/>
      <c r="L135" s="167"/>
      <c r="S135" s="166"/>
      <c r="U135" s="168"/>
      <c r="Y135" s="167" t="str">
        <f t="shared" si="6"/>
        <v/>
      </c>
      <c r="Z135" s="167"/>
      <c r="AB135" s="167" t="str">
        <f t="shared" si="7"/>
        <v/>
      </c>
      <c r="AC135" s="254" t="str">
        <f t="shared" si="4"/>
        <v/>
      </c>
      <c r="AD135" s="167" t="str">
        <f t="shared" si="5"/>
        <v/>
      </c>
    </row>
    <row r="136" spans="8:30">
      <c r="H136" s="166"/>
      <c r="I136" s="166"/>
      <c r="J136" s="166"/>
      <c r="K136" s="167"/>
      <c r="L136" s="167"/>
      <c r="S136" s="166"/>
      <c r="U136" s="168"/>
      <c r="Y136" s="167" t="str">
        <f t="shared" si="6"/>
        <v/>
      </c>
      <c r="Z136" s="167"/>
      <c r="AB136" s="167" t="str">
        <f t="shared" si="7"/>
        <v/>
      </c>
      <c r="AC136" s="254" t="str">
        <f t="shared" si="4"/>
        <v/>
      </c>
      <c r="AD136" s="167" t="str">
        <f t="shared" si="5"/>
        <v/>
      </c>
    </row>
    <row r="137" spans="8:30">
      <c r="H137" s="166"/>
      <c r="I137" s="166"/>
      <c r="J137" s="166"/>
      <c r="K137" s="167"/>
      <c r="L137" s="167"/>
      <c r="S137" s="166"/>
      <c r="U137" s="168"/>
      <c r="Y137" s="167" t="str">
        <f t="shared" si="6"/>
        <v/>
      </c>
      <c r="Z137" s="167"/>
      <c r="AB137" s="167" t="str">
        <f t="shared" si="7"/>
        <v/>
      </c>
      <c r="AC137" s="254" t="str">
        <f t="shared" si="4"/>
        <v/>
      </c>
      <c r="AD137" s="167" t="str">
        <f t="shared" si="5"/>
        <v/>
      </c>
    </row>
    <row r="138" spans="8:30">
      <c r="H138" s="166"/>
      <c r="I138" s="166"/>
      <c r="J138" s="166"/>
      <c r="K138" s="167"/>
      <c r="L138" s="167"/>
      <c r="S138" s="166"/>
      <c r="U138" s="168"/>
      <c r="Y138" s="167" t="str">
        <f t="shared" si="6"/>
        <v/>
      </c>
      <c r="Z138" s="167"/>
      <c r="AB138" s="167" t="str">
        <f t="shared" si="7"/>
        <v/>
      </c>
      <c r="AC138" s="254" t="str">
        <f t="shared" si="4"/>
        <v/>
      </c>
      <c r="AD138" s="167" t="str">
        <f t="shared" si="5"/>
        <v/>
      </c>
    </row>
    <row r="139" spans="8:30">
      <c r="H139" s="166"/>
      <c r="I139" s="166"/>
      <c r="J139" s="166"/>
      <c r="K139" s="167"/>
      <c r="L139" s="167"/>
      <c r="S139" s="166"/>
      <c r="U139" s="168"/>
      <c r="Y139" s="167" t="str">
        <f t="shared" si="6"/>
        <v/>
      </c>
      <c r="Z139" s="167"/>
      <c r="AB139" s="167" t="str">
        <f t="shared" si="7"/>
        <v/>
      </c>
      <c r="AC139" s="254" t="str">
        <f t="shared" si="4"/>
        <v/>
      </c>
      <c r="AD139" s="167" t="str">
        <f t="shared" si="5"/>
        <v/>
      </c>
    </row>
    <row r="140" spans="8:30">
      <c r="H140" s="166"/>
      <c r="I140" s="166"/>
      <c r="J140" s="166"/>
      <c r="K140" s="167"/>
      <c r="L140" s="167"/>
      <c r="S140" s="166"/>
      <c r="U140" s="168"/>
      <c r="Y140" s="167" t="str">
        <f t="shared" si="6"/>
        <v/>
      </c>
      <c r="Z140" s="167"/>
      <c r="AB140" s="167" t="str">
        <f t="shared" si="7"/>
        <v/>
      </c>
      <c r="AC140" s="254" t="str">
        <f t="shared" si="4"/>
        <v/>
      </c>
      <c r="AD140" s="167" t="str">
        <f t="shared" si="5"/>
        <v/>
      </c>
    </row>
    <row r="141" spans="8:30">
      <c r="H141" s="166"/>
      <c r="I141" s="166"/>
      <c r="J141" s="166"/>
      <c r="K141" s="167"/>
      <c r="L141" s="167"/>
      <c r="S141" s="166"/>
      <c r="U141" s="168"/>
      <c r="Y141" s="167" t="str">
        <f t="shared" si="6"/>
        <v/>
      </c>
      <c r="Z141" s="167"/>
      <c r="AB141" s="167" t="str">
        <f t="shared" si="7"/>
        <v/>
      </c>
      <c r="AC141" s="254" t="str">
        <f t="shared" si="4"/>
        <v/>
      </c>
      <c r="AD141" s="167" t="str">
        <f t="shared" si="5"/>
        <v/>
      </c>
    </row>
    <row r="142" spans="8:30">
      <c r="H142" s="166"/>
      <c r="I142" s="166"/>
      <c r="J142" s="166"/>
      <c r="K142" s="167"/>
      <c r="L142" s="167"/>
      <c r="S142" s="166"/>
      <c r="U142" s="168"/>
      <c r="Y142" s="167" t="str">
        <f t="shared" si="6"/>
        <v/>
      </c>
      <c r="Z142" s="167"/>
      <c r="AB142" s="167" t="str">
        <f t="shared" si="7"/>
        <v/>
      </c>
      <c r="AC142" s="254" t="str">
        <f t="shared" si="4"/>
        <v/>
      </c>
      <c r="AD142" s="167" t="str">
        <f t="shared" si="5"/>
        <v/>
      </c>
    </row>
    <row r="143" spans="8:30">
      <c r="H143" s="166"/>
      <c r="I143" s="166"/>
      <c r="J143" s="166"/>
      <c r="K143" s="167"/>
      <c r="L143" s="167"/>
      <c r="S143" s="166"/>
      <c r="U143" s="168"/>
      <c r="Y143" s="167" t="str">
        <f t="shared" si="6"/>
        <v/>
      </c>
      <c r="Z143" s="167"/>
      <c r="AB143" s="167" t="str">
        <f t="shared" si="7"/>
        <v/>
      </c>
      <c r="AC143" s="254" t="str">
        <f t="shared" si="4"/>
        <v/>
      </c>
      <c r="AD143" s="167" t="str">
        <f t="shared" si="5"/>
        <v/>
      </c>
    </row>
    <row r="144" spans="8:30">
      <c r="H144" s="166"/>
      <c r="I144" s="166"/>
      <c r="J144" s="166"/>
      <c r="K144" s="167"/>
      <c r="L144" s="167"/>
      <c r="S144" s="166"/>
      <c r="U144" s="168"/>
      <c r="Y144" s="167" t="str">
        <f t="shared" si="6"/>
        <v/>
      </c>
      <c r="Z144" s="167"/>
      <c r="AB144" s="167" t="str">
        <f t="shared" si="7"/>
        <v/>
      </c>
      <c r="AC144" s="254" t="str">
        <f t="shared" si="4"/>
        <v/>
      </c>
      <c r="AD144" s="167" t="str">
        <f t="shared" si="5"/>
        <v/>
      </c>
    </row>
    <row r="145" spans="8:30">
      <c r="H145" s="166"/>
      <c r="I145" s="166"/>
      <c r="J145" s="166"/>
      <c r="K145" s="167"/>
      <c r="L145" s="167"/>
      <c r="S145" s="166"/>
      <c r="U145" s="168"/>
      <c r="Y145" s="167" t="str">
        <f t="shared" si="6"/>
        <v/>
      </c>
      <c r="Z145" s="167"/>
      <c r="AB145" s="167" t="str">
        <f t="shared" si="7"/>
        <v/>
      </c>
      <c r="AC145" s="254" t="str">
        <f t="shared" ref="AC145:AC208" si="8">+IFERROR(IF(AB145&lt;0,"",AB145),)</f>
        <v/>
      </c>
      <c r="AD145" s="167" t="str">
        <f t="shared" ref="AD145:AD208" si="9">+IFERROR(IF(AB145&gt;0,"",-AB145),"")</f>
        <v/>
      </c>
    </row>
    <row r="146" spans="8:30">
      <c r="H146" s="166"/>
      <c r="I146" s="166"/>
      <c r="J146" s="166"/>
      <c r="K146" s="167"/>
      <c r="L146" s="167"/>
      <c r="S146" s="166"/>
      <c r="U146" s="168"/>
      <c r="Y146" s="167" t="str">
        <f>IF(B146="","",+Y145+SUM(J146)-SUM(K146))</f>
        <v/>
      </c>
      <c r="Z146" s="167"/>
      <c r="AB146" s="167" t="str">
        <f t="shared" ref="AB146:AB209" si="10">IF(B146="","",+AB145+SUM(L146)-SUM(M146))</f>
        <v/>
      </c>
      <c r="AC146" s="254" t="str">
        <f t="shared" si="8"/>
        <v/>
      </c>
      <c r="AD146" s="167" t="str">
        <f t="shared" si="9"/>
        <v/>
      </c>
    </row>
    <row r="147" spans="8:30">
      <c r="H147" s="166"/>
      <c r="I147" s="166"/>
      <c r="J147" s="166"/>
      <c r="K147" s="167"/>
      <c r="L147" s="167"/>
      <c r="S147" s="166"/>
      <c r="U147" s="168"/>
      <c r="Y147" s="167" t="str">
        <f>IF(B147="","",+Y146+SUM(J147)-SUM(K147))</f>
        <v/>
      </c>
      <c r="Z147" s="167"/>
      <c r="AB147" s="167" t="str">
        <f t="shared" si="10"/>
        <v/>
      </c>
      <c r="AC147" s="254" t="str">
        <f t="shared" si="8"/>
        <v/>
      </c>
      <c r="AD147" s="167" t="str">
        <f t="shared" si="9"/>
        <v/>
      </c>
    </row>
    <row r="148" spans="8:30">
      <c r="H148" s="166"/>
      <c r="I148" s="166"/>
      <c r="J148" s="166"/>
      <c r="K148" s="167"/>
      <c r="L148" s="167"/>
      <c r="S148" s="166"/>
      <c r="U148" s="168"/>
      <c r="Y148" s="167" t="str">
        <f>IF(B148="","",+Y147+SUM(J148)-SUM(K148))</f>
        <v/>
      </c>
      <c r="Z148" s="167"/>
      <c r="AB148" s="167" t="str">
        <f t="shared" si="10"/>
        <v/>
      </c>
      <c r="AC148" s="254" t="str">
        <f t="shared" si="8"/>
        <v/>
      </c>
      <c r="AD148" s="167" t="str">
        <f t="shared" si="9"/>
        <v/>
      </c>
    </row>
    <row r="149" spans="8:30">
      <c r="H149" s="166"/>
      <c r="I149" s="166"/>
      <c r="J149" s="166"/>
      <c r="K149" s="167"/>
      <c r="L149" s="167"/>
      <c r="S149" s="166"/>
      <c r="U149" s="168"/>
      <c r="Y149" s="167" t="str">
        <f>IF(B149="","",+Y148+SUM(J149)-SUM(K149))</f>
        <v/>
      </c>
      <c r="Z149" s="167"/>
      <c r="AB149" s="167" t="str">
        <f t="shared" si="10"/>
        <v/>
      </c>
      <c r="AC149" s="254" t="str">
        <f t="shared" si="8"/>
        <v/>
      </c>
      <c r="AD149" s="167" t="str">
        <f t="shared" si="9"/>
        <v/>
      </c>
    </row>
    <row r="150" spans="8:30">
      <c r="H150" s="166"/>
      <c r="I150" s="166"/>
      <c r="J150" s="166"/>
      <c r="K150" s="167"/>
      <c r="L150" s="167"/>
      <c r="S150" s="166"/>
      <c r="U150" s="168"/>
      <c r="Y150" s="167" t="str">
        <f>IF(B150="","",+Y149+SUM(J150)-SUM(K150))</f>
        <v/>
      </c>
      <c r="Z150" s="167"/>
      <c r="AB150" s="167" t="str">
        <f t="shared" si="10"/>
        <v/>
      </c>
      <c r="AC150" s="254" t="str">
        <f t="shared" si="8"/>
        <v/>
      </c>
      <c r="AD150" s="167" t="str">
        <f t="shared" si="9"/>
        <v/>
      </c>
    </row>
    <row r="151" spans="8:30">
      <c r="H151" s="166"/>
      <c r="I151" s="166"/>
      <c r="J151" s="166"/>
      <c r="K151" s="167"/>
      <c r="L151" s="167"/>
      <c r="S151" s="166"/>
      <c r="U151" s="168"/>
      <c r="Z151" s="167"/>
      <c r="AB151" s="167" t="str">
        <f t="shared" si="10"/>
        <v/>
      </c>
      <c r="AC151" s="254" t="str">
        <f t="shared" si="8"/>
        <v/>
      </c>
      <c r="AD151" s="167" t="str">
        <f t="shared" si="9"/>
        <v/>
      </c>
    </row>
    <row r="152" spans="8:30">
      <c r="H152" s="166"/>
      <c r="I152" s="166"/>
      <c r="J152" s="166"/>
      <c r="K152" s="167"/>
      <c r="L152" s="167"/>
      <c r="S152" s="166"/>
      <c r="U152" s="168"/>
      <c r="Z152" s="167"/>
      <c r="AB152" s="167" t="str">
        <f t="shared" si="10"/>
        <v/>
      </c>
      <c r="AC152" s="254" t="str">
        <f t="shared" si="8"/>
        <v/>
      </c>
      <c r="AD152" s="167" t="str">
        <f t="shared" si="9"/>
        <v/>
      </c>
    </row>
    <row r="153" spans="8:30">
      <c r="H153" s="166"/>
      <c r="I153" s="166"/>
      <c r="J153" s="166"/>
      <c r="K153" s="167"/>
      <c r="L153" s="167"/>
      <c r="S153" s="166"/>
      <c r="U153" s="168"/>
      <c r="Z153" s="167"/>
      <c r="AB153" s="167" t="str">
        <f t="shared" si="10"/>
        <v/>
      </c>
      <c r="AC153" s="254" t="str">
        <f t="shared" si="8"/>
        <v/>
      </c>
      <c r="AD153" s="167" t="str">
        <f t="shared" si="9"/>
        <v/>
      </c>
    </row>
    <row r="154" spans="8:30">
      <c r="H154" s="166"/>
      <c r="I154" s="166"/>
      <c r="J154" s="166"/>
      <c r="K154" s="167"/>
      <c r="L154" s="167"/>
      <c r="S154" s="166"/>
      <c r="U154" s="168"/>
      <c r="Z154" s="167"/>
      <c r="AB154" s="167" t="str">
        <f t="shared" si="10"/>
        <v/>
      </c>
      <c r="AC154" s="254" t="str">
        <f t="shared" si="8"/>
        <v/>
      </c>
      <c r="AD154" s="167" t="str">
        <f t="shared" si="9"/>
        <v/>
      </c>
    </row>
    <row r="155" spans="8:30">
      <c r="H155" s="166"/>
      <c r="I155" s="166"/>
      <c r="J155" s="166"/>
      <c r="K155" s="167"/>
      <c r="L155" s="167"/>
      <c r="S155" s="166"/>
      <c r="U155" s="168"/>
      <c r="Z155" s="167"/>
      <c r="AB155" s="167" t="str">
        <f t="shared" si="10"/>
        <v/>
      </c>
      <c r="AC155" s="254" t="str">
        <f t="shared" si="8"/>
        <v/>
      </c>
      <c r="AD155" s="167" t="str">
        <f t="shared" si="9"/>
        <v/>
      </c>
    </row>
    <row r="156" spans="8:30">
      <c r="H156" s="166"/>
      <c r="I156" s="166"/>
      <c r="J156" s="166"/>
      <c r="K156" s="167"/>
      <c r="L156" s="167"/>
      <c r="S156" s="166"/>
      <c r="U156" s="168"/>
      <c r="Z156" s="167"/>
      <c r="AB156" s="167" t="str">
        <f t="shared" si="10"/>
        <v/>
      </c>
      <c r="AC156" s="254" t="str">
        <f t="shared" si="8"/>
        <v/>
      </c>
      <c r="AD156" s="167" t="str">
        <f t="shared" si="9"/>
        <v/>
      </c>
    </row>
    <row r="157" spans="8:30">
      <c r="H157" s="166"/>
      <c r="I157" s="166"/>
      <c r="J157" s="166"/>
      <c r="K157" s="167"/>
      <c r="L157" s="167"/>
      <c r="S157" s="166"/>
      <c r="U157" s="168"/>
      <c r="Z157" s="167"/>
      <c r="AB157" s="167" t="str">
        <f t="shared" si="10"/>
        <v/>
      </c>
      <c r="AC157" s="254" t="str">
        <f t="shared" si="8"/>
        <v/>
      </c>
      <c r="AD157" s="167" t="str">
        <f t="shared" si="9"/>
        <v/>
      </c>
    </row>
    <row r="158" spans="8:30">
      <c r="H158" s="166"/>
      <c r="I158" s="166"/>
      <c r="J158" s="166"/>
      <c r="K158" s="167"/>
      <c r="L158" s="167"/>
      <c r="S158" s="166"/>
      <c r="U158" s="168"/>
      <c r="Z158" s="167"/>
      <c r="AB158" s="167" t="str">
        <f t="shared" si="10"/>
        <v/>
      </c>
      <c r="AC158" s="254" t="str">
        <f t="shared" si="8"/>
        <v/>
      </c>
      <c r="AD158" s="167" t="str">
        <f t="shared" si="9"/>
        <v/>
      </c>
    </row>
    <row r="159" spans="8:30">
      <c r="H159" s="166"/>
      <c r="I159" s="166"/>
      <c r="J159" s="166"/>
      <c r="K159" s="167"/>
      <c r="L159" s="167"/>
      <c r="S159" s="166"/>
      <c r="U159" s="168"/>
      <c r="Z159" s="167"/>
      <c r="AB159" s="167" t="str">
        <f t="shared" si="10"/>
        <v/>
      </c>
      <c r="AC159" s="254" t="str">
        <f t="shared" si="8"/>
        <v/>
      </c>
      <c r="AD159" s="167" t="str">
        <f t="shared" si="9"/>
        <v/>
      </c>
    </row>
    <row r="160" spans="8:30">
      <c r="H160" s="166"/>
      <c r="I160" s="166"/>
      <c r="J160" s="166"/>
      <c r="K160" s="167"/>
      <c r="L160" s="167"/>
      <c r="S160" s="166"/>
      <c r="U160" s="168"/>
      <c r="Z160" s="167"/>
      <c r="AB160" s="167" t="str">
        <f t="shared" si="10"/>
        <v/>
      </c>
      <c r="AC160" s="254" t="str">
        <f t="shared" si="8"/>
        <v/>
      </c>
      <c r="AD160" s="167" t="str">
        <f t="shared" si="9"/>
        <v/>
      </c>
    </row>
    <row r="161" spans="8:30">
      <c r="H161" s="166"/>
      <c r="I161" s="166"/>
      <c r="J161" s="166"/>
      <c r="K161" s="167"/>
      <c r="L161" s="167"/>
      <c r="S161" s="166"/>
      <c r="U161" s="168"/>
      <c r="Z161" s="167"/>
      <c r="AB161" s="167" t="str">
        <f t="shared" si="10"/>
        <v/>
      </c>
      <c r="AC161" s="254" t="str">
        <f t="shared" si="8"/>
        <v/>
      </c>
      <c r="AD161" s="167" t="str">
        <f t="shared" si="9"/>
        <v/>
      </c>
    </row>
    <row r="162" spans="8:30">
      <c r="H162" s="166"/>
      <c r="I162" s="166"/>
      <c r="J162" s="166"/>
      <c r="K162" s="167"/>
      <c r="L162" s="167"/>
      <c r="S162" s="166"/>
      <c r="U162" s="168"/>
      <c r="Z162" s="167"/>
      <c r="AB162" s="167" t="str">
        <f t="shared" si="10"/>
        <v/>
      </c>
      <c r="AC162" s="254" t="str">
        <f t="shared" si="8"/>
        <v/>
      </c>
      <c r="AD162" s="167" t="str">
        <f t="shared" si="9"/>
        <v/>
      </c>
    </row>
    <row r="163" spans="8:30">
      <c r="H163" s="166"/>
      <c r="I163" s="166"/>
      <c r="J163" s="166"/>
      <c r="K163" s="167"/>
      <c r="L163" s="167"/>
      <c r="S163" s="166"/>
      <c r="U163" s="168"/>
      <c r="Z163" s="167"/>
      <c r="AB163" s="167" t="str">
        <f t="shared" si="10"/>
        <v/>
      </c>
      <c r="AC163" s="254" t="str">
        <f t="shared" si="8"/>
        <v/>
      </c>
      <c r="AD163" s="167" t="str">
        <f t="shared" si="9"/>
        <v/>
      </c>
    </row>
    <row r="164" spans="8:30">
      <c r="H164" s="166"/>
      <c r="I164" s="166"/>
      <c r="J164" s="166"/>
      <c r="K164" s="167"/>
      <c r="L164" s="167"/>
      <c r="S164" s="166"/>
      <c r="U164" s="168"/>
      <c r="Z164" s="167"/>
      <c r="AB164" s="167" t="str">
        <f t="shared" si="10"/>
        <v/>
      </c>
      <c r="AC164" s="254" t="str">
        <f t="shared" si="8"/>
        <v/>
      </c>
      <c r="AD164" s="167" t="str">
        <f t="shared" si="9"/>
        <v/>
      </c>
    </row>
    <row r="165" spans="8:30">
      <c r="H165" s="166"/>
      <c r="I165" s="166"/>
      <c r="J165" s="166"/>
      <c r="K165" s="167"/>
      <c r="L165" s="167"/>
      <c r="S165" s="166"/>
      <c r="U165" s="168"/>
      <c r="Z165" s="167"/>
      <c r="AB165" s="167" t="str">
        <f t="shared" si="10"/>
        <v/>
      </c>
      <c r="AC165" s="254" t="str">
        <f t="shared" si="8"/>
        <v/>
      </c>
      <c r="AD165" s="167" t="str">
        <f t="shared" si="9"/>
        <v/>
      </c>
    </row>
    <row r="166" spans="8:30">
      <c r="H166" s="166"/>
      <c r="I166" s="166"/>
      <c r="J166" s="166"/>
      <c r="K166" s="167"/>
      <c r="L166" s="167"/>
      <c r="S166" s="166"/>
      <c r="U166" s="168"/>
      <c r="Z166" s="167"/>
      <c r="AB166" s="167" t="str">
        <f t="shared" si="10"/>
        <v/>
      </c>
      <c r="AC166" s="254" t="str">
        <f t="shared" si="8"/>
        <v/>
      </c>
      <c r="AD166" s="167" t="str">
        <f t="shared" si="9"/>
        <v/>
      </c>
    </row>
    <row r="167" spans="8:30">
      <c r="H167" s="166"/>
      <c r="I167" s="166"/>
      <c r="J167" s="166"/>
      <c r="K167" s="167"/>
      <c r="L167" s="167"/>
      <c r="S167" s="166"/>
      <c r="U167" s="168"/>
      <c r="Z167" s="167"/>
      <c r="AB167" s="167" t="str">
        <f t="shared" si="10"/>
        <v/>
      </c>
      <c r="AC167" s="254" t="str">
        <f t="shared" si="8"/>
        <v/>
      </c>
      <c r="AD167" s="167" t="str">
        <f t="shared" si="9"/>
        <v/>
      </c>
    </row>
    <row r="168" spans="8:30">
      <c r="H168" s="166"/>
      <c r="I168" s="166"/>
      <c r="J168" s="166"/>
      <c r="K168" s="167"/>
      <c r="L168" s="167"/>
      <c r="S168" s="166"/>
      <c r="Z168" s="167"/>
      <c r="AB168" s="167" t="str">
        <f t="shared" si="10"/>
        <v/>
      </c>
      <c r="AC168" s="254" t="str">
        <f t="shared" si="8"/>
        <v/>
      </c>
      <c r="AD168" s="167" t="str">
        <f t="shared" si="9"/>
        <v/>
      </c>
    </row>
    <row r="169" spans="8:30">
      <c r="H169" s="166"/>
      <c r="I169" s="166"/>
      <c r="J169" s="166"/>
      <c r="K169" s="167"/>
      <c r="L169" s="167"/>
      <c r="S169" s="166"/>
      <c r="Z169" s="167"/>
      <c r="AB169" s="167" t="str">
        <f t="shared" si="10"/>
        <v/>
      </c>
      <c r="AC169" s="254" t="str">
        <f t="shared" si="8"/>
        <v/>
      </c>
      <c r="AD169" s="167" t="str">
        <f t="shared" si="9"/>
        <v/>
      </c>
    </row>
    <row r="170" spans="8:30">
      <c r="H170" s="166"/>
      <c r="I170" s="166"/>
      <c r="J170" s="166"/>
      <c r="K170" s="167"/>
      <c r="L170" s="167"/>
      <c r="S170" s="166"/>
      <c r="Z170" s="167"/>
      <c r="AB170" s="167" t="str">
        <f t="shared" si="10"/>
        <v/>
      </c>
      <c r="AC170" s="254" t="str">
        <f t="shared" si="8"/>
        <v/>
      </c>
      <c r="AD170" s="167" t="str">
        <f t="shared" si="9"/>
        <v/>
      </c>
    </row>
    <row r="171" spans="8:30">
      <c r="H171" s="166"/>
      <c r="I171" s="166"/>
      <c r="J171" s="166"/>
      <c r="K171" s="167"/>
      <c r="L171" s="167"/>
      <c r="S171" s="166"/>
      <c r="Z171" s="167"/>
      <c r="AB171" s="167" t="str">
        <f t="shared" si="10"/>
        <v/>
      </c>
      <c r="AC171" s="254" t="str">
        <f t="shared" si="8"/>
        <v/>
      </c>
      <c r="AD171" s="167" t="str">
        <f t="shared" si="9"/>
        <v/>
      </c>
    </row>
    <row r="172" spans="8:30">
      <c r="H172" s="166"/>
      <c r="I172" s="166"/>
      <c r="J172" s="166"/>
      <c r="K172" s="167"/>
      <c r="L172" s="167"/>
      <c r="S172" s="166"/>
      <c r="Z172" s="167"/>
      <c r="AB172" s="167" t="str">
        <f t="shared" si="10"/>
        <v/>
      </c>
      <c r="AC172" s="254" t="str">
        <f t="shared" si="8"/>
        <v/>
      </c>
      <c r="AD172" s="167" t="str">
        <f t="shared" si="9"/>
        <v/>
      </c>
    </row>
    <row r="173" spans="8:30">
      <c r="H173" s="166"/>
      <c r="I173" s="166"/>
      <c r="J173" s="166"/>
      <c r="K173" s="167"/>
      <c r="L173" s="167"/>
      <c r="S173" s="166"/>
      <c r="Z173" s="167"/>
      <c r="AB173" s="167" t="str">
        <f t="shared" si="10"/>
        <v/>
      </c>
      <c r="AC173" s="254" t="str">
        <f t="shared" si="8"/>
        <v/>
      </c>
      <c r="AD173" s="167" t="str">
        <f t="shared" si="9"/>
        <v/>
      </c>
    </row>
    <row r="174" spans="8:30">
      <c r="H174" s="166"/>
      <c r="I174" s="166"/>
      <c r="J174" s="166"/>
      <c r="K174" s="167"/>
      <c r="L174" s="167"/>
      <c r="S174" s="166"/>
      <c r="Z174" s="167"/>
      <c r="AB174" s="167" t="str">
        <f t="shared" si="10"/>
        <v/>
      </c>
      <c r="AC174" s="254" t="str">
        <f t="shared" si="8"/>
        <v/>
      </c>
      <c r="AD174" s="167" t="str">
        <f t="shared" si="9"/>
        <v/>
      </c>
    </row>
    <row r="175" spans="8:30">
      <c r="H175" s="166"/>
      <c r="I175" s="166"/>
      <c r="J175" s="166"/>
      <c r="K175" s="167"/>
      <c r="L175" s="167"/>
      <c r="S175" s="166"/>
      <c r="Z175" s="167"/>
      <c r="AB175" s="167" t="str">
        <f t="shared" si="10"/>
        <v/>
      </c>
      <c r="AC175" s="254" t="str">
        <f t="shared" si="8"/>
        <v/>
      </c>
      <c r="AD175" s="167" t="str">
        <f t="shared" si="9"/>
        <v/>
      </c>
    </row>
    <row r="176" spans="8:30">
      <c r="H176" s="166"/>
      <c r="I176" s="166"/>
      <c r="J176" s="166"/>
      <c r="K176" s="167"/>
      <c r="L176" s="167"/>
      <c r="S176" s="166"/>
      <c r="Z176" s="167"/>
      <c r="AB176" s="167" t="str">
        <f t="shared" si="10"/>
        <v/>
      </c>
      <c r="AC176" s="254" t="str">
        <f t="shared" si="8"/>
        <v/>
      </c>
      <c r="AD176" s="167" t="str">
        <f t="shared" si="9"/>
        <v/>
      </c>
    </row>
    <row r="177" spans="8:30">
      <c r="H177" s="166"/>
      <c r="I177" s="166"/>
      <c r="J177" s="166"/>
      <c r="K177" s="167"/>
      <c r="L177" s="167"/>
      <c r="S177" s="166"/>
      <c r="Z177" s="167"/>
      <c r="AB177" s="167" t="str">
        <f t="shared" si="10"/>
        <v/>
      </c>
      <c r="AC177" s="254" t="str">
        <f t="shared" si="8"/>
        <v/>
      </c>
      <c r="AD177" s="167" t="str">
        <f t="shared" si="9"/>
        <v/>
      </c>
    </row>
    <row r="178" spans="8:30">
      <c r="H178" s="166"/>
      <c r="I178" s="166"/>
      <c r="J178" s="166"/>
      <c r="K178" s="167"/>
      <c r="L178" s="167"/>
      <c r="S178" s="166"/>
      <c r="Z178" s="167"/>
      <c r="AB178" s="167" t="str">
        <f t="shared" si="10"/>
        <v/>
      </c>
      <c r="AC178" s="254" t="str">
        <f t="shared" si="8"/>
        <v/>
      </c>
      <c r="AD178" s="167" t="str">
        <f t="shared" si="9"/>
        <v/>
      </c>
    </row>
    <row r="179" spans="8:30">
      <c r="H179" s="166"/>
      <c r="I179" s="166"/>
      <c r="J179" s="166"/>
      <c r="K179" s="167"/>
      <c r="L179" s="167"/>
      <c r="S179" s="166"/>
      <c r="Z179" s="167"/>
      <c r="AB179" s="167" t="str">
        <f t="shared" si="10"/>
        <v/>
      </c>
      <c r="AC179" s="254" t="str">
        <f t="shared" si="8"/>
        <v/>
      </c>
      <c r="AD179" s="167" t="str">
        <f t="shared" si="9"/>
        <v/>
      </c>
    </row>
    <row r="180" spans="8:30">
      <c r="H180" s="166"/>
      <c r="I180" s="166"/>
      <c r="J180" s="166"/>
      <c r="K180" s="167"/>
      <c r="L180" s="167"/>
      <c r="S180" s="166"/>
      <c r="Z180" s="167"/>
      <c r="AB180" s="167" t="str">
        <f t="shared" si="10"/>
        <v/>
      </c>
      <c r="AC180" s="254" t="str">
        <f t="shared" si="8"/>
        <v/>
      </c>
      <c r="AD180" s="167" t="str">
        <f t="shared" si="9"/>
        <v/>
      </c>
    </row>
    <row r="181" spans="8:30">
      <c r="H181" s="166"/>
      <c r="I181" s="166"/>
      <c r="J181" s="166"/>
      <c r="K181" s="167"/>
      <c r="L181" s="167"/>
      <c r="S181" s="166"/>
      <c r="Z181" s="167"/>
      <c r="AB181" s="167" t="str">
        <f t="shared" si="10"/>
        <v/>
      </c>
      <c r="AC181" s="254" t="str">
        <f t="shared" si="8"/>
        <v/>
      </c>
      <c r="AD181" s="167" t="str">
        <f t="shared" si="9"/>
        <v/>
      </c>
    </row>
    <row r="182" spans="8:30">
      <c r="H182" s="166"/>
      <c r="I182" s="166"/>
      <c r="J182" s="166"/>
      <c r="K182" s="167"/>
      <c r="L182" s="167"/>
      <c r="S182" s="166"/>
      <c r="Z182" s="167"/>
      <c r="AB182" s="167" t="str">
        <f t="shared" si="10"/>
        <v/>
      </c>
      <c r="AC182" s="254" t="str">
        <f t="shared" si="8"/>
        <v/>
      </c>
      <c r="AD182" s="167" t="str">
        <f t="shared" si="9"/>
        <v/>
      </c>
    </row>
    <row r="183" spans="8:30">
      <c r="H183" s="166"/>
      <c r="I183" s="166"/>
      <c r="J183" s="166"/>
      <c r="K183" s="167"/>
      <c r="L183" s="167"/>
      <c r="S183" s="166"/>
      <c r="Z183" s="167"/>
      <c r="AB183" s="167" t="str">
        <f t="shared" si="10"/>
        <v/>
      </c>
      <c r="AC183" s="254" t="str">
        <f t="shared" si="8"/>
        <v/>
      </c>
      <c r="AD183" s="167" t="str">
        <f t="shared" si="9"/>
        <v/>
      </c>
    </row>
    <row r="184" spans="8:30">
      <c r="H184" s="166"/>
      <c r="I184" s="166"/>
      <c r="J184" s="166"/>
      <c r="K184" s="167"/>
      <c r="L184" s="167"/>
      <c r="S184" s="166"/>
      <c r="Z184" s="167"/>
      <c r="AB184" s="167" t="str">
        <f t="shared" si="10"/>
        <v/>
      </c>
      <c r="AC184" s="254" t="str">
        <f t="shared" si="8"/>
        <v/>
      </c>
      <c r="AD184" s="167" t="str">
        <f t="shared" si="9"/>
        <v/>
      </c>
    </row>
    <row r="185" spans="8:30">
      <c r="H185" s="166"/>
      <c r="I185" s="166"/>
      <c r="J185" s="166"/>
      <c r="K185" s="167"/>
      <c r="L185" s="167"/>
      <c r="S185" s="166"/>
      <c r="Z185" s="167"/>
      <c r="AB185" s="167" t="str">
        <f t="shared" si="10"/>
        <v/>
      </c>
      <c r="AC185" s="254" t="str">
        <f t="shared" si="8"/>
        <v/>
      </c>
      <c r="AD185" s="167" t="str">
        <f t="shared" si="9"/>
        <v/>
      </c>
    </row>
    <row r="186" spans="8:30">
      <c r="H186" s="166"/>
      <c r="I186" s="166"/>
      <c r="J186" s="166"/>
      <c r="K186" s="167"/>
      <c r="L186" s="167"/>
      <c r="S186" s="166"/>
      <c r="Z186" s="167"/>
      <c r="AB186" s="167" t="str">
        <f t="shared" si="10"/>
        <v/>
      </c>
      <c r="AC186" s="254" t="str">
        <f t="shared" si="8"/>
        <v/>
      </c>
      <c r="AD186" s="167" t="str">
        <f t="shared" si="9"/>
        <v/>
      </c>
    </row>
    <row r="187" spans="8:30">
      <c r="H187" s="166"/>
      <c r="I187" s="166"/>
      <c r="J187" s="166"/>
      <c r="K187" s="167"/>
      <c r="L187" s="167"/>
      <c r="S187" s="166"/>
      <c r="Z187" s="167"/>
      <c r="AB187" s="167" t="str">
        <f t="shared" si="10"/>
        <v/>
      </c>
      <c r="AC187" s="254" t="str">
        <f t="shared" si="8"/>
        <v/>
      </c>
      <c r="AD187" s="167" t="str">
        <f t="shared" si="9"/>
        <v/>
      </c>
    </row>
    <row r="188" spans="8:30">
      <c r="H188" s="166"/>
      <c r="I188" s="166"/>
      <c r="J188" s="166"/>
      <c r="K188" s="167"/>
      <c r="L188" s="167"/>
      <c r="S188" s="166"/>
      <c r="Z188" s="167"/>
      <c r="AB188" s="167" t="str">
        <f t="shared" si="10"/>
        <v/>
      </c>
      <c r="AC188" s="254" t="str">
        <f t="shared" si="8"/>
        <v/>
      </c>
      <c r="AD188" s="167" t="str">
        <f t="shared" si="9"/>
        <v/>
      </c>
    </row>
    <row r="189" spans="8:30">
      <c r="H189" s="166"/>
      <c r="I189" s="166"/>
      <c r="J189" s="166"/>
      <c r="K189" s="167"/>
      <c r="L189" s="167"/>
      <c r="S189" s="166"/>
      <c r="Z189" s="167"/>
      <c r="AB189" s="167" t="str">
        <f t="shared" si="10"/>
        <v/>
      </c>
      <c r="AC189" s="254" t="str">
        <f t="shared" si="8"/>
        <v/>
      </c>
      <c r="AD189" s="167" t="str">
        <f t="shared" si="9"/>
        <v/>
      </c>
    </row>
    <row r="190" spans="8:30">
      <c r="H190" s="166"/>
      <c r="I190" s="166"/>
      <c r="J190" s="166"/>
      <c r="K190" s="167"/>
      <c r="L190" s="167"/>
      <c r="S190" s="166"/>
      <c r="Z190" s="167"/>
      <c r="AB190" s="167" t="str">
        <f t="shared" si="10"/>
        <v/>
      </c>
      <c r="AC190" s="254" t="str">
        <f t="shared" si="8"/>
        <v/>
      </c>
      <c r="AD190" s="167" t="str">
        <f t="shared" si="9"/>
        <v/>
      </c>
    </row>
    <row r="191" spans="8:30">
      <c r="H191" s="166"/>
      <c r="I191" s="166"/>
      <c r="J191" s="166"/>
      <c r="K191" s="167"/>
      <c r="L191" s="167"/>
      <c r="S191" s="166"/>
      <c r="Z191" s="167"/>
      <c r="AB191" s="167" t="str">
        <f t="shared" si="10"/>
        <v/>
      </c>
      <c r="AC191" s="254" t="str">
        <f t="shared" si="8"/>
        <v/>
      </c>
      <c r="AD191" s="167" t="str">
        <f t="shared" si="9"/>
        <v/>
      </c>
    </row>
    <row r="192" spans="8:30">
      <c r="H192" s="166"/>
      <c r="I192" s="166"/>
      <c r="J192" s="166"/>
      <c r="K192" s="167"/>
      <c r="L192" s="167"/>
      <c r="S192" s="166"/>
      <c r="Z192" s="167"/>
      <c r="AB192" s="167" t="str">
        <f t="shared" si="10"/>
        <v/>
      </c>
      <c r="AC192" s="254" t="str">
        <f t="shared" si="8"/>
        <v/>
      </c>
      <c r="AD192" s="167" t="str">
        <f t="shared" si="9"/>
        <v/>
      </c>
    </row>
    <row r="193" spans="8:30">
      <c r="H193" s="166"/>
      <c r="I193" s="166"/>
      <c r="J193" s="166"/>
      <c r="K193" s="167"/>
      <c r="L193" s="167"/>
      <c r="S193" s="166"/>
      <c r="Z193" s="167"/>
      <c r="AB193" s="167" t="str">
        <f t="shared" si="10"/>
        <v/>
      </c>
      <c r="AC193" s="254" t="str">
        <f t="shared" si="8"/>
        <v/>
      </c>
      <c r="AD193" s="167" t="str">
        <f t="shared" si="9"/>
        <v/>
      </c>
    </row>
    <row r="194" spans="8:30">
      <c r="H194" s="166"/>
      <c r="I194" s="166"/>
      <c r="J194" s="166"/>
      <c r="K194" s="167"/>
      <c r="L194" s="167"/>
      <c r="S194" s="166"/>
      <c r="Z194" s="167"/>
      <c r="AB194" s="167" t="str">
        <f t="shared" si="10"/>
        <v/>
      </c>
      <c r="AC194" s="254" t="str">
        <f t="shared" si="8"/>
        <v/>
      </c>
      <c r="AD194" s="167" t="str">
        <f t="shared" si="9"/>
        <v/>
      </c>
    </row>
    <row r="195" spans="8:30">
      <c r="H195" s="166"/>
      <c r="I195" s="166"/>
      <c r="J195" s="166"/>
      <c r="K195" s="167"/>
      <c r="L195" s="167"/>
      <c r="S195" s="166"/>
      <c r="Z195" s="167"/>
      <c r="AB195" s="167" t="str">
        <f t="shared" si="10"/>
        <v/>
      </c>
      <c r="AC195" s="254" t="str">
        <f t="shared" si="8"/>
        <v/>
      </c>
      <c r="AD195" s="167" t="str">
        <f t="shared" si="9"/>
        <v/>
      </c>
    </row>
    <row r="196" spans="8:30">
      <c r="H196" s="166"/>
      <c r="I196" s="166"/>
      <c r="J196" s="166"/>
      <c r="K196" s="167"/>
      <c r="L196" s="167"/>
      <c r="S196" s="166"/>
      <c r="Z196" s="167"/>
      <c r="AB196" s="167" t="str">
        <f t="shared" si="10"/>
        <v/>
      </c>
      <c r="AC196" s="254" t="str">
        <f t="shared" si="8"/>
        <v/>
      </c>
      <c r="AD196" s="167" t="str">
        <f t="shared" si="9"/>
        <v/>
      </c>
    </row>
    <row r="197" spans="8:30">
      <c r="H197" s="166"/>
      <c r="I197" s="166"/>
      <c r="J197" s="166"/>
      <c r="K197" s="167"/>
      <c r="L197" s="167"/>
      <c r="S197" s="166"/>
      <c r="Z197" s="167"/>
      <c r="AB197" s="167" t="str">
        <f t="shared" si="10"/>
        <v/>
      </c>
      <c r="AC197" s="254" t="str">
        <f t="shared" si="8"/>
        <v/>
      </c>
      <c r="AD197" s="167" t="str">
        <f t="shared" si="9"/>
        <v/>
      </c>
    </row>
    <row r="198" spans="8:30">
      <c r="H198" s="166"/>
      <c r="I198" s="166"/>
      <c r="J198" s="166"/>
      <c r="K198" s="167"/>
      <c r="L198" s="167"/>
      <c r="S198" s="166"/>
      <c r="Z198" s="167"/>
      <c r="AB198" s="167" t="str">
        <f t="shared" si="10"/>
        <v/>
      </c>
      <c r="AC198" s="254" t="str">
        <f t="shared" si="8"/>
        <v/>
      </c>
      <c r="AD198" s="167" t="str">
        <f t="shared" si="9"/>
        <v/>
      </c>
    </row>
    <row r="199" spans="8:30">
      <c r="H199" s="166"/>
      <c r="I199" s="166"/>
      <c r="J199" s="166"/>
      <c r="K199" s="167"/>
      <c r="L199" s="167"/>
      <c r="S199" s="166"/>
      <c r="Z199" s="167"/>
      <c r="AB199" s="167" t="str">
        <f t="shared" si="10"/>
        <v/>
      </c>
      <c r="AC199" s="254" t="str">
        <f t="shared" si="8"/>
        <v/>
      </c>
      <c r="AD199" s="167" t="str">
        <f t="shared" si="9"/>
        <v/>
      </c>
    </row>
    <row r="200" spans="8:30">
      <c r="H200" s="166"/>
      <c r="I200" s="166"/>
      <c r="J200" s="166"/>
      <c r="K200" s="167"/>
      <c r="L200" s="167"/>
      <c r="S200" s="166"/>
      <c r="Z200" s="167"/>
      <c r="AB200" s="167" t="str">
        <f t="shared" si="10"/>
        <v/>
      </c>
      <c r="AC200" s="254" t="str">
        <f t="shared" si="8"/>
        <v/>
      </c>
      <c r="AD200" s="167" t="str">
        <f t="shared" si="9"/>
        <v/>
      </c>
    </row>
    <row r="201" spans="8:30">
      <c r="H201" s="166"/>
      <c r="I201" s="166"/>
      <c r="J201" s="166"/>
      <c r="K201" s="167"/>
      <c r="L201" s="167"/>
      <c r="S201" s="166"/>
      <c r="Z201" s="167"/>
      <c r="AB201" s="167" t="str">
        <f t="shared" si="10"/>
        <v/>
      </c>
      <c r="AC201" s="254" t="str">
        <f t="shared" si="8"/>
        <v/>
      </c>
      <c r="AD201" s="167" t="str">
        <f t="shared" si="9"/>
        <v/>
      </c>
    </row>
    <row r="202" spans="8:30">
      <c r="H202" s="166"/>
      <c r="I202" s="166"/>
      <c r="J202" s="166"/>
      <c r="K202" s="167"/>
      <c r="L202" s="167"/>
      <c r="S202" s="166"/>
      <c r="Z202" s="167"/>
      <c r="AB202" s="167" t="str">
        <f t="shared" si="10"/>
        <v/>
      </c>
      <c r="AC202" s="254" t="str">
        <f t="shared" si="8"/>
        <v/>
      </c>
      <c r="AD202" s="167" t="str">
        <f t="shared" si="9"/>
        <v/>
      </c>
    </row>
    <row r="203" spans="8:30">
      <c r="H203" s="166"/>
      <c r="I203" s="166"/>
      <c r="J203" s="166"/>
      <c r="K203" s="167"/>
      <c r="L203" s="167"/>
      <c r="S203" s="166"/>
      <c r="Z203" s="167"/>
      <c r="AB203" s="167" t="str">
        <f t="shared" si="10"/>
        <v/>
      </c>
      <c r="AC203" s="254" t="str">
        <f t="shared" si="8"/>
        <v/>
      </c>
      <c r="AD203" s="167" t="str">
        <f t="shared" si="9"/>
        <v/>
      </c>
    </row>
    <row r="204" spans="8:30">
      <c r="H204" s="166"/>
      <c r="I204" s="166"/>
      <c r="J204" s="166"/>
      <c r="K204" s="167"/>
      <c r="L204" s="167"/>
      <c r="S204" s="166"/>
      <c r="Z204" s="167"/>
      <c r="AB204" s="167" t="str">
        <f t="shared" si="10"/>
        <v/>
      </c>
      <c r="AC204" s="254" t="str">
        <f t="shared" si="8"/>
        <v/>
      </c>
      <c r="AD204" s="167" t="str">
        <f t="shared" si="9"/>
        <v/>
      </c>
    </row>
    <row r="205" spans="8:30">
      <c r="H205" s="166"/>
      <c r="I205" s="166"/>
      <c r="J205" s="166"/>
      <c r="K205" s="167"/>
      <c r="L205" s="167"/>
      <c r="S205" s="166"/>
      <c r="Z205" s="167"/>
      <c r="AB205" s="167" t="str">
        <f t="shared" si="10"/>
        <v/>
      </c>
      <c r="AC205" s="254" t="str">
        <f t="shared" si="8"/>
        <v/>
      </c>
      <c r="AD205" s="167" t="str">
        <f t="shared" si="9"/>
        <v/>
      </c>
    </row>
    <row r="206" spans="8:30">
      <c r="H206" s="166"/>
      <c r="I206" s="166"/>
      <c r="J206" s="166"/>
      <c r="K206" s="167"/>
      <c r="L206" s="167"/>
      <c r="S206" s="166"/>
      <c r="Z206" s="167"/>
      <c r="AB206" s="167" t="str">
        <f t="shared" si="10"/>
        <v/>
      </c>
      <c r="AC206" s="254" t="str">
        <f t="shared" si="8"/>
        <v/>
      </c>
      <c r="AD206" s="167" t="str">
        <f t="shared" si="9"/>
        <v/>
      </c>
    </row>
    <row r="207" spans="8:30">
      <c r="H207" s="166"/>
      <c r="I207" s="166"/>
      <c r="J207" s="166"/>
      <c r="K207" s="167"/>
      <c r="L207" s="167"/>
      <c r="S207" s="166"/>
      <c r="Z207" s="167"/>
      <c r="AB207" s="167" t="str">
        <f t="shared" si="10"/>
        <v/>
      </c>
      <c r="AC207" s="254" t="str">
        <f t="shared" si="8"/>
        <v/>
      </c>
      <c r="AD207" s="167" t="str">
        <f t="shared" si="9"/>
        <v/>
      </c>
    </row>
    <row r="208" spans="8:30">
      <c r="H208" s="166"/>
      <c r="I208" s="166"/>
      <c r="J208" s="166"/>
      <c r="K208" s="167"/>
      <c r="L208" s="167"/>
      <c r="S208" s="166"/>
      <c r="Z208" s="167"/>
      <c r="AB208" s="167" t="str">
        <f t="shared" si="10"/>
        <v/>
      </c>
      <c r="AC208" s="254" t="str">
        <f t="shared" si="8"/>
        <v/>
      </c>
      <c r="AD208" s="167" t="str">
        <f t="shared" si="9"/>
        <v/>
      </c>
    </row>
    <row r="209" spans="8:30">
      <c r="H209" s="166"/>
      <c r="I209" s="166"/>
      <c r="J209" s="166"/>
      <c r="K209" s="167"/>
      <c r="L209" s="167"/>
      <c r="S209" s="166"/>
      <c r="Z209" s="167"/>
      <c r="AB209" s="167" t="str">
        <f t="shared" si="10"/>
        <v/>
      </c>
      <c r="AC209" s="254" t="str">
        <f t="shared" ref="AC209:AC272" si="11">+IFERROR(IF(AB209&lt;0,"",AB209),)</f>
        <v/>
      </c>
      <c r="AD209" s="167" t="str">
        <f t="shared" ref="AD209:AD272" si="12">+IFERROR(IF(AB209&gt;0,"",-AB209),"")</f>
        <v/>
      </c>
    </row>
    <row r="210" spans="8:30">
      <c r="H210" s="166"/>
      <c r="I210" s="166"/>
      <c r="J210" s="166"/>
      <c r="K210" s="167"/>
      <c r="L210" s="167"/>
      <c r="S210" s="166"/>
      <c r="Z210" s="167"/>
      <c r="AB210" s="167" t="str">
        <f t="shared" ref="AB210:AB270" si="13">IF(B210="","",+AB209+SUM(L210)-SUM(M210))</f>
        <v/>
      </c>
      <c r="AC210" s="254" t="str">
        <f t="shared" si="11"/>
        <v/>
      </c>
      <c r="AD210" s="167" t="str">
        <f t="shared" si="12"/>
        <v/>
      </c>
    </row>
    <row r="211" spans="8:30">
      <c r="H211" s="166"/>
      <c r="I211" s="166"/>
      <c r="J211" s="166"/>
      <c r="K211" s="167"/>
      <c r="L211" s="167"/>
      <c r="S211" s="166"/>
      <c r="Z211" s="167"/>
      <c r="AB211" s="167" t="str">
        <f t="shared" si="13"/>
        <v/>
      </c>
      <c r="AC211" s="254" t="str">
        <f t="shared" si="11"/>
        <v/>
      </c>
      <c r="AD211" s="167" t="str">
        <f t="shared" si="12"/>
        <v/>
      </c>
    </row>
    <row r="212" spans="8:30">
      <c r="H212" s="166"/>
      <c r="I212" s="166"/>
      <c r="J212" s="166"/>
      <c r="K212" s="167"/>
      <c r="L212" s="167"/>
      <c r="S212" s="166"/>
      <c r="Z212" s="167"/>
      <c r="AB212" s="167" t="str">
        <f t="shared" si="13"/>
        <v/>
      </c>
      <c r="AC212" s="254" t="str">
        <f t="shared" si="11"/>
        <v/>
      </c>
      <c r="AD212" s="167" t="str">
        <f t="shared" si="12"/>
        <v/>
      </c>
    </row>
    <row r="213" spans="8:30">
      <c r="H213" s="166"/>
      <c r="I213" s="166"/>
      <c r="J213" s="166"/>
      <c r="K213" s="167"/>
      <c r="L213" s="167"/>
      <c r="S213" s="166"/>
      <c r="Z213" s="167"/>
      <c r="AB213" s="167" t="str">
        <f t="shared" si="13"/>
        <v/>
      </c>
      <c r="AC213" s="254" t="str">
        <f t="shared" si="11"/>
        <v/>
      </c>
      <c r="AD213" s="167" t="str">
        <f t="shared" si="12"/>
        <v/>
      </c>
    </row>
    <row r="214" spans="8:30">
      <c r="H214" s="166"/>
      <c r="I214" s="166"/>
      <c r="J214" s="166"/>
      <c r="K214" s="167"/>
      <c r="L214" s="167"/>
      <c r="S214" s="166"/>
      <c r="Z214" s="167"/>
      <c r="AB214" s="167" t="str">
        <f t="shared" si="13"/>
        <v/>
      </c>
      <c r="AC214" s="254" t="str">
        <f t="shared" si="11"/>
        <v/>
      </c>
      <c r="AD214" s="167" t="str">
        <f t="shared" si="12"/>
        <v/>
      </c>
    </row>
    <row r="215" spans="8:30">
      <c r="H215" s="166"/>
      <c r="I215" s="166"/>
      <c r="J215" s="166"/>
      <c r="K215" s="167"/>
      <c r="L215" s="167"/>
      <c r="S215" s="166"/>
      <c r="Z215" s="167"/>
      <c r="AB215" s="167" t="str">
        <f t="shared" si="13"/>
        <v/>
      </c>
      <c r="AC215" s="254" t="str">
        <f t="shared" si="11"/>
        <v/>
      </c>
      <c r="AD215" s="167" t="str">
        <f t="shared" si="12"/>
        <v/>
      </c>
    </row>
    <row r="216" spans="8:30">
      <c r="H216" s="166"/>
      <c r="I216" s="166"/>
      <c r="J216" s="166"/>
      <c r="K216" s="167"/>
      <c r="L216" s="167"/>
      <c r="S216" s="166"/>
      <c r="Z216" s="167"/>
      <c r="AB216" s="167" t="str">
        <f t="shared" si="13"/>
        <v/>
      </c>
      <c r="AC216" s="254" t="str">
        <f t="shared" si="11"/>
        <v/>
      </c>
      <c r="AD216" s="167" t="str">
        <f t="shared" si="12"/>
        <v/>
      </c>
    </row>
    <row r="217" spans="8:30">
      <c r="H217" s="166"/>
      <c r="I217" s="166"/>
      <c r="J217" s="166"/>
      <c r="K217" s="167"/>
      <c r="L217" s="167"/>
      <c r="S217" s="166"/>
      <c r="Z217" s="167"/>
      <c r="AB217" s="167" t="str">
        <f t="shared" si="13"/>
        <v/>
      </c>
      <c r="AC217" s="254" t="str">
        <f t="shared" si="11"/>
        <v/>
      </c>
      <c r="AD217" s="167" t="str">
        <f t="shared" si="12"/>
        <v/>
      </c>
    </row>
    <row r="218" spans="8:30">
      <c r="H218" s="166"/>
      <c r="I218" s="166"/>
      <c r="J218" s="166"/>
      <c r="K218" s="167"/>
      <c r="L218" s="167"/>
      <c r="S218" s="166"/>
      <c r="Z218" s="167"/>
      <c r="AB218" s="167" t="str">
        <f t="shared" si="13"/>
        <v/>
      </c>
      <c r="AC218" s="254" t="str">
        <f t="shared" si="11"/>
        <v/>
      </c>
      <c r="AD218" s="167" t="str">
        <f t="shared" si="12"/>
        <v/>
      </c>
    </row>
    <row r="219" spans="8:30">
      <c r="H219" s="166"/>
      <c r="I219" s="166"/>
      <c r="J219" s="166"/>
      <c r="K219" s="167"/>
      <c r="L219" s="167"/>
      <c r="S219" s="166"/>
      <c r="Z219" s="167"/>
      <c r="AB219" s="167" t="str">
        <f t="shared" si="13"/>
        <v/>
      </c>
      <c r="AC219" s="254" t="str">
        <f t="shared" si="11"/>
        <v/>
      </c>
      <c r="AD219" s="167" t="str">
        <f t="shared" si="12"/>
        <v/>
      </c>
    </row>
    <row r="220" spans="8:30">
      <c r="H220" s="166"/>
      <c r="I220" s="166"/>
      <c r="J220" s="166"/>
      <c r="K220" s="167"/>
      <c r="L220" s="167"/>
      <c r="S220" s="166"/>
      <c r="Z220" s="167"/>
      <c r="AB220" s="167" t="str">
        <f t="shared" si="13"/>
        <v/>
      </c>
      <c r="AC220" s="254" t="str">
        <f t="shared" si="11"/>
        <v/>
      </c>
      <c r="AD220" s="167" t="str">
        <f t="shared" si="12"/>
        <v/>
      </c>
    </row>
    <row r="221" spans="8:30">
      <c r="H221" s="166"/>
      <c r="I221" s="166"/>
      <c r="J221" s="166"/>
      <c r="K221" s="167"/>
      <c r="L221" s="167"/>
      <c r="S221" s="166"/>
      <c r="Z221" s="167"/>
      <c r="AB221" s="167" t="str">
        <f t="shared" si="13"/>
        <v/>
      </c>
      <c r="AC221" s="254" t="str">
        <f t="shared" si="11"/>
        <v/>
      </c>
      <c r="AD221" s="167" t="str">
        <f t="shared" si="12"/>
        <v/>
      </c>
    </row>
    <row r="222" spans="8:30">
      <c r="H222" s="166"/>
      <c r="I222" s="166"/>
      <c r="J222" s="166"/>
      <c r="K222" s="167"/>
      <c r="L222" s="167"/>
      <c r="S222" s="166"/>
      <c r="Z222" s="167"/>
      <c r="AB222" s="167" t="str">
        <f t="shared" si="13"/>
        <v/>
      </c>
      <c r="AC222" s="254" t="str">
        <f t="shared" si="11"/>
        <v/>
      </c>
      <c r="AD222" s="167" t="str">
        <f t="shared" si="12"/>
        <v/>
      </c>
    </row>
    <row r="223" spans="8:30">
      <c r="H223" s="166"/>
      <c r="I223" s="166"/>
      <c r="J223" s="166"/>
      <c r="K223" s="167"/>
      <c r="L223" s="167"/>
      <c r="S223" s="166"/>
      <c r="Z223" s="167"/>
      <c r="AB223" s="167" t="str">
        <f t="shared" si="13"/>
        <v/>
      </c>
      <c r="AC223" s="254" t="str">
        <f t="shared" si="11"/>
        <v/>
      </c>
      <c r="AD223" s="167" t="str">
        <f t="shared" si="12"/>
        <v/>
      </c>
    </row>
    <row r="224" spans="8:30">
      <c r="H224" s="166"/>
      <c r="I224" s="166"/>
      <c r="J224" s="166"/>
      <c r="K224" s="167"/>
      <c r="L224" s="167"/>
      <c r="S224" s="166"/>
      <c r="Z224" s="167"/>
      <c r="AB224" s="167" t="str">
        <f t="shared" si="13"/>
        <v/>
      </c>
      <c r="AC224" s="254" t="str">
        <f t="shared" si="11"/>
        <v/>
      </c>
      <c r="AD224" s="167" t="str">
        <f t="shared" si="12"/>
        <v/>
      </c>
    </row>
    <row r="225" spans="8:30">
      <c r="H225" s="166"/>
      <c r="I225" s="166"/>
      <c r="J225" s="166"/>
      <c r="K225" s="167"/>
      <c r="L225" s="167"/>
      <c r="S225" s="166"/>
      <c r="Z225" s="167"/>
      <c r="AB225" s="167" t="str">
        <f t="shared" si="13"/>
        <v/>
      </c>
      <c r="AC225" s="254" t="str">
        <f t="shared" si="11"/>
        <v/>
      </c>
      <c r="AD225" s="167" t="str">
        <f t="shared" si="12"/>
        <v/>
      </c>
    </row>
    <row r="226" spans="8:30">
      <c r="H226" s="166"/>
      <c r="I226" s="166"/>
      <c r="J226" s="166"/>
      <c r="K226" s="167"/>
      <c r="L226" s="167"/>
      <c r="S226" s="166"/>
      <c r="Z226" s="167"/>
      <c r="AB226" s="167" t="str">
        <f t="shared" si="13"/>
        <v/>
      </c>
      <c r="AC226" s="254" t="str">
        <f t="shared" si="11"/>
        <v/>
      </c>
      <c r="AD226" s="167" t="str">
        <f t="shared" si="12"/>
        <v/>
      </c>
    </row>
    <row r="227" spans="8:30">
      <c r="H227" s="166"/>
      <c r="I227" s="166"/>
      <c r="J227" s="166"/>
      <c r="K227" s="167"/>
      <c r="L227" s="167"/>
      <c r="S227" s="166"/>
      <c r="Z227" s="167"/>
      <c r="AB227" s="167" t="str">
        <f t="shared" si="13"/>
        <v/>
      </c>
      <c r="AC227" s="254" t="str">
        <f t="shared" si="11"/>
        <v/>
      </c>
      <c r="AD227" s="167" t="str">
        <f t="shared" si="12"/>
        <v/>
      </c>
    </row>
    <row r="228" spans="8:30">
      <c r="H228" s="166"/>
      <c r="I228" s="166"/>
      <c r="J228" s="166"/>
      <c r="K228" s="167"/>
      <c r="L228" s="167"/>
      <c r="S228" s="166"/>
      <c r="Z228" s="167"/>
      <c r="AB228" s="167" t="str">
        <f t="shared" si="13"/>
        <v/>
      </c>
      <c r="AC228" s="254" t="str">
        <f t="shared" si="11"/>
        <v/>
      </c>
      <c r="AD228" s="167" t="str">
        <f t="shared" si="12"/>
        <v/>
      </c>
    </row>
    <row r="229" spans="8:30">
      <c r="H229" s="166"/>
      <c r="I229" s="166"/>
      <c r="J229" s="166"/>
      <c r="K229" s="167"/>
      <c r="L229" s="167"/>
      <c r="S229" s="166"/>
      <c r="Z229" s="167"/>
      <c r="AB229" s="167" t="str">
        <f t="shared" si="13"/>
        <v/>
      </c>
      <c r="AC229" s="254" t="str">
        <f t="shared" si="11"/>
        <v/>
      </c>
      <c r="AD229" s="167" t="str">
        <f t="shared" si="12"/>
        <v/>
      </c>
    </row>
    <row r="230" spans="8:30">
      <c r="H230" s="166"/>
      <c r="I230" s="166"/>
      <c r="J230" s="166"/>
      <c r="K230" s="167"/>
      <c r="L230" s="167"/>
      <c r="S230" s="166"/>
      <c r="Z230" s="167"/>
      <c r="AB230" s="167" t="str">
        <f t="shared" si="13"/>
        <v/>
      </c>
      <c r="AC230" s="254" t="str">
        <f t="shared" si="11"/>
        <v/>
      </c>
      <c r="AD230" s="167" t="str">
        <f t="shared" si="12"/>
        <v/>
      </c>
    </row>
    <row r="231" spans="8:30">
      <c r="H231" s="166"/>
      <c r="I231" s="166"/>
      <c r="J231" s="166"/>
      <c r="K231" s="167"/>
      <c r="L231" s="167"/>
      <c r="S231" s="166"/>
      <c r="Z231" s="167"/>
      <c r="AB231" s="167" t="str">
        <f t="shared" si="13"/>
        <v/>
      </c>
      <c r="AC231" s="254" t="str">
        <f t="shared" si="11"/>
        <v/>
      </c>
      <c r="AD231" s="167" t="str">
        <f t="shared" si="12"/>
        <v/>
      </c>
    </row>
    <row r="232" spans="8:30">
      <c r="H232" s="166"/>
      <c r="I232" s="166"/>
      <c r="J232" s="166"/>
      <c r="K232" s="167"/>
      <c r="L232" s="167"/>
      <c r="S232" s="166"/>
      <c r="Z232" s="167"/>
      <c r="AB232" s="167" t="str">
        <f t="shared" si="13"/>
        <v/>
      </c>
      <c r="AC232" s="254" t="str">
        <f t="shared" si="11"/>
        <v/>
      </c>
      <c r="AD232" s="167" t="str">
        <f t="shared" si="12"/>
        <v/>
      </c>
    </row>
    <row r="233" spans="8:30">
      <c r="H233" s="166"/>
      <c r="I233" s="166"/>
      <c r="J233" s="166"/>
      <c r="K233" s="167"/>
      <c r="L233" s="167"/>
      <c r="S233" s="166"/>
      <c r="Z233" s="167"/>
      <c r="AB233" s="167" t="str">
        <f t="shared" si="13"/>
        <v/>
      </c>
      <c r="AC233" s="254" t="str">
        <f t="shared" si="11"/>
        <v/>
      </c>
      <c r="AD233" s="167" t="str">
        <f t="shared" si="12"/>
        <v/>
      </c>
    </row>
    <row r="234" spans="8:30">
      <c r="H234" s="166"/>
      <c r="I234" s="166"/>
      <c r="J234" s="166"/>
      <c r="K234" s="167"/>
      <c r="L234" s="167"/>
      <c r="S234" s="166"/>
      <c r="Z234" s="167"/>
      <c r="AB234" s="167" t="str">
        <f t="shared" si="13"/>
        <v/>
      </c>
      <c r="AC234" s="254" t="str">
        <f t="shared" si="11"/>
        <v/>
      </c>
      <c r="AD234" s="167" t="str">
        <f t="shared" si="12"/>
        <v/>
      </c>
    </row>
    <row r="235" spans="8:30">
      <c r="H235" s="166"/>
      <c r="I235" s="166"/>
      <c r="J235" s="166"/>
      <c r="K235" s="167"/>
      <c r="L235" s="167"/>
      <c r="S235" s="166"/>
      <c r="Z235" s="167"/>
      <c r="AB235" s="167" t="str">
        <f t="shared" si="13"/>
        <v/>
      </c>
      <c r="AC235" s="254" t="str">
        <f t="shared" si="11"/>
        <v/>
      </c>
      <c r="AD235" s="167" t="str">
        <f t="shared" si="12"/>
        <v/>
      </c>
    </row>
    <row r="236" spans="8:30">
      <c r="H236" s="166"/>
      <c r="I236" s="166"/>
      <c r="J236" s="166"/>
      <c r="K236" s="167"/>
      <c r="L236" s="167"/>
      <c r="S236" s="166"/>
      <c r="Z236" s="167"/>
      <c r="AB236" s="167" t="str">
        <f t="shared" si="13"/>
        <v/>
      </c>
      <c r="AC236" s="254" t="str">
        <f t="shared" si="11"/>
        <v/>
      </c>
      <c r="AD236" s="167" t="str">
        <f t="shared" si="12"/>
        <v/>
      </c>
    </row>
    <row r="237" spans="8:30">
      <c r="H237" s="166"/>
      <c r="I237" s="166"/>
      <c r="J237" s="166"/>
      <c r="K237" s="167"/>
      <c r="L237" s="167"/>
      <c r="S237" s="166"/>
      <c r="Z237" s="167"/>
      <c r="AB237" s="167" t="str">
        <f t="shared" si="13"/>
        <v/>
      </c>
      <c r="AC237" s="254" t="str">
        <f t="shared" si="11"/>
        <v/>
      </c>
      <c r="AD237" s="167" t="str">
        <f t="shared" si="12"/>
        <v/>
      </c>
    </row>
    <row r="238" spans="8:30">
      <c r="H238" s="166"/>
      <c r="I238" s="166"/>
      <c r="J238" s="166"/>
      <c r="K238" s="167"/>
      <c r="L238" s="167"/>
      <c r="S238" s="166"/>
      <c r="Z238" s="167"/>
      <c r="AB238" s="167" t="str">
        <f t="shared" si="13"/>
        <v/>
      </c>
      <c r="AC238" s="254" t="str">
        <f t="shared" si="11"/>
        <v/>
      </c>
      <c r="AD238" s="167" t="str">
        <f t="shared" si="12"/>
        <v/>
      </c>
    </row>
    <row r="239" spans="8:30">
      <c r="H239" s="166"/>
      <c r="I239" s="166"/>
      <c r="J239" s="166"/>
      <c r="K239" s="167"/>
      <c r="L239" s="167"/>
      <c r="S239" s="166"/>
      <c r="Z239" s="167"/>
      <c r="AB239" s="167" t="str">
        <f t="shared" si="13"/>
        <v/>
      </c>
      <c r="AC239" s="254" t="str">
        <f t="shared" si="11"/>
        <v/>
      </c>
      <c r="AD239" s="167" t="str">
        <f t="shared" si="12"/>
        <v/>
      </c>
    </row>
    <row r="240" spans="8:30">
      <c r="H240" s="166"/>
      <c r="I240" s="166"/>
      <c r="J240" s="166"/>
      <c r="K240" s="167"/>
      <c r="L240" s="167"/>
      <c r="S240" s="166"/>
      <c r="Z240" s="167"/>
      <c r="AB240" s="167" t="str">
        <f t="shared" si="13"/>
        <v/>
      </c>
      <c r="AC240" s="254" t="str">
        <f t="shared" si="11"/>
        <v/>
      </c>
      <c r="AD240" s="167" t="str">
        <f t="shared" si="12"/>
        <v/>
      </c>
    </row>
    <row r="241" spans="8:30">
      <c r="H241" s="166"/>
      <c r="I241" s="166"/>
      <c r="J241" s="166"/>
      <c r="K241" s="167"/>
      <c r="S241" s="166"/>
      <c r="Z241" s="167"/>
      <c r="AB241" s="167" t="str">
        <f t="shared" si="13"/>
        <v/>
      </c>
      <c r="AC241" s="254" t="str">
        <f t="shared" si="11"/>
        <v/>
      </c>
      <c r="AD241" s="167" t="str">
        <f t="shared" si="12"/>
        <v/>
      </c>
    </row>
    <row r="242" spans="8:30">
      <c r="H242" s="166"/>
      <c r="I242" s="166"/>
      <c r="J242" s="166"/>
      <c r="K242" s="167"/>
      <c r="S242" s="166"/>
      <c r="Z242" s="167"/>
      <c r="AB242" s="167" t="str">
        <f t="shared" si="13"/>
        <v/>
      </c>
      <c r="AC242" s="254" t="str">
        <f t="shared" si="11"/>
        <v/>
      </c>
      <c r="AD242" s="167" t="str">
        <f t="shared" si="12"/>
        <v/>
      </c>
    </row>
    <row r="243" spans="8:30">
      <c r="H243" s="166"/>
      <c r="I243" s="166"/>
      <c r="J243" s="166"/>
      <c r="K243" s="167"/>
      <c r="S243" s="166"/>
      <c r="Z243" s="167"/>
      <c r="AB243" s="167" t="str">
        <f t="shared" si="13"/>
        <v/>
      </c>
      <c r="AC243" s="254" t="str">
        <f t="shared" si="11"/>
        <v/>
      </c>
      <c r="AD243" s="167" t="str">
        <f t="shared" si="12"/>
        <v/>
      </c>
    </row>
    <row r="244" spans="8:30">
      <c r="H244" s="166"/>
      <c r="I244" s="166"/>
      <c r="J244" s="166"/>
      <c r="K244" s="167"/>
      <c r="S244" s="166"/>
      <c r="Z244" s="167"/>
      <c r="AB244" s="167" t="str">
        <f t="shared" si="13"/>
        <v/>
      </c>
      <c r="AC244" s="254" t="str">
        <f t="shared" si="11"/>
        <v/>
      </c>
      <c r="AD244" s="167" t="str">
        <f t="shared" si="12"/>
        <v/>
      </c>
    </row>
    <row r="245" spans="8:30">
      <c r="H245" s="166"/>
      <c r="I245" s="166"/>
      <c r="J245" s="166"/>
      <c r="K245" s="167"/>
      <c r="S245" s="166"/>
      <c r="Z245" s="167"/>
      <c r="AB245" s="167" t="str">
        <f t="shared" si="13"/>
        <v/>
      </c>
      <c r="AC245" s="254" t="str">
        <f t="shared" si="11"/>
        <v/>
      </c>
      <c r="AD245" s="167" t="str">
        <f t="shared" si="12"/>
        <v/>
      </c>
    </row>
    <row r="246" spans="8:30">
      <c r="H246" s="166"/>
      <c r="I246" s="166"/>
      <c r="J246" s="166"/>
      <c r="K246" s="167"/>
      <c r="S246" s="166"/>
      <c r="Z246" s="167"/>
      <c r="AB246" s="167" t="str">
        <f t="shared" si="13"/>
        <v/>
      </c>
      <c r="AC246" s="254" t="str">
        <f t="shared" si="11"/>
        <v/>
      </c>
      <c r="AD246" s="167" t="str">
        <f t="shared" si="12"/>
        <v/>
      </c>
    </row>
    <row r="247" spans="8:30">
      <c r="H247" s="166"/>
      <c r="I247" s="166"/>
      <c r="J247" s="166"/>
      <c r="K247" s="167"/>
      <c r="S247" s="166"/>
      <c r="Z247" s="167"/>
      <c r="AB247" s="167" t="str">
        <f t="shared" si="13"/>
        <v/>
      </c>
      <c r="AC247" s="254" t="str">
        <f t="shared" si="11"/>
        <v/>
      </c>
      <c r="AD247" s="167" t="str">
        <f t="shared" si="12"/>
        <v/>
      </c>
    </row>
    <row r="248" spans="8:30">
      <c r="H248" s="166"/>
      <c r="I248" s="166"/>
      <c r="J248" s="166"/>
      <c r="K248" s="167"/>
      <c r="S248" s="166"/>
      <c r="Z248" s="167"/>
      <c r="AB248" s="167" t="str">
        <f t="shared" si="13"/>
        <v/>
      </c>
      <c r="AC248" s="254" t="str">
        <f t="shared" si="11"/>
        <v/>
      </c>
      <c r="AD248" s="167" t="str">
        <f t="shared" si="12"/>
        <v/>
      </c>
    </row>
    <row r="249" spans="8:30">
      <c r="H249" s="166"/>
      <c r="I249" s="166"/>
      <c r="J249" s="166"/>
      <c r="K249" s="167"/>
      <c r="S249" s="166"/>
      <c r="Z249" s="167"/>
      <c r="AB249" s="167" t="str">
        <f t="shared" si="13"/>
        <v/>
      </c>
      <c r="AC249" s="254" t="str">
        <f t="shared" si="11"/>
        <v/>
      </c>
      <c r="AD249" s="167" t="str">
        <f t="shared" si="12"/>
        <v/>
      </c>
    </row>
    <row r="250" spans="8:30">
      <c r="H250" s="166"/>
      <c r="I250" s="166"/>
      <c r="J250" s="166"/>
      <c r="K250" s="167"/>
      <c r="S250" s="166"/>
      <c r="Z250" s="167"/>
      <c r="AB250" s="167" t="str">
        <f t="shared" si="13"/>
        <v/>
      </c>
      <c r="AC250" s="254" t="str">
        <f t="shared" si="11"/>
        <v/>
      </c>
      <c r="AD250" s="167" t="str">
        <f t="shared" si="12"/>
        <v/>
      </c>
    </row>
    <row r="251" spans="8:30">
      <c r="H251" s="166"/>
      <c r="I251" s="166"/>
      <c r="J251" s="166"/>
      <c r="K251" s="167"/>
      <c r="S251" s="166"/>
      <c r="Z251" s="167"/>
      <c r="AB251" s="167" t="str">
        <f t="shared" si="13"/>
        <v/>
      </c>
      <c r="AC251" s="254" t="str">
        <f t="shared" si="11"/>
        <v/>
      </c>
      <c r="AD251" s="167" t="str">
        <f t="shared" si="12"/>
        <v/>
      </c>
    </row>
    <row r="252" spans="8:30">
      <c r="H252" s="166"/>
      <c r="I252" s="166"/>
      <c r="J252" s="166"/>
      <c r="K252" s="167"/>
      <c r="S252" s="166"/>
      <c r="Z252" s="167"/>
      <c r="AB252" s="167" t="str">
        <f t="shared" si="13"/>
        <v/>
      </c>
      <c r="AC252" s="254" t="str">
        <f t="shared" si="11"/>
        <v/>
      </c>
      <c r="AD252" s="167" t="str">
        <f t="shared" si="12"/>
        <v/>
      </c>
    </row>
    <row r="253" spans="8:30">
      <c r="H253" s="166"/>
      <c r="I253" s="166"/>
      <c r="J253" s="166"/>
      <c r="K253" s="167"/>
      <c r="S253" s="166"/>
      <c r="Z253" s="167"/>
      <c r="AB253" s="167" t="str">
        <f t="shared" si="13"/>
        <v/>
      </c>
      <c r="AC253" s="254" t="str">
        <f t="shared" si="11"/>
        <v/>
      </c>
      <c r="AD253" s="167" t="str">
        <f t="shared" si="12"/>
        <v/>
      </c>
    </row>
    <row r="254" spans="8:30">
      <c r="H254" s="166"/>
      <c r="I254" s="166"/>
      <c r="J254" s="166"/>
      <c r="K254" s="167"/>
      <c r="S254" s="166"/>
      <c r="Z254" s="167"/>
      <c r="AB254" s="167" t="str">
        <f t="shared" si="13"/>
        <v/>
      </c>
      <c r="AC254" s="254" t="str">
        <f t="shared" si="11"/>
        <v/>
      </c>
      <c r="AD254" s="167" t="str">
        <f t="shared" si="12"/>
        <v/>
      </c>
    </row>
    <row r="255" spans="8:30">
      <c r="H255" s="166"/>
      <c r="I255" s="166"/>
      <c r="J255" s="166"/>
      <c r="K255" s="167"/>
      <c r="S255" s="166"/>
      <c r="Z255" s="167"/>
      <c r="AB255" s="167" t="str">
        <f t="shared" si="13"/>
        <v/>
      </c>
      <c r="AC255" s="254" t="str">
        <f t="shared" si="11"/>
        <v/>
      </c>
      <c r="AD255" s="167" t="str">
        <f t="shared" si="12"/>
        <v/>
      </c>
    </row>
    <row r="256" spans="8:30">
      <c r="H256" s="166"/>
      <c r="I256" s="166"/>
      <c r="J256" s="166"/>
      <c r="K256" s="167"/>
      <c r="S256" s="166"/>
      <c r="Z256" s="167"/>
      <c r="AB256" s="167" t="str">
        <f t="shared" si="13"/>
        <v/>
      </c>
      <c r="AC256" s="254" t="str">
        <f t="shared" si="11"/>
        <v/>
      </c>
      <c r="AD256" s="167" t="str">
        <f t="shared" si="12"/>
        <v/>
      </c>
    </row>
    <row r="257" spans="8:30">
      <c r="H257" s="166"/>
      <c r="I257" s="166"/>
      <c r="J257" s="166"/>
      <c r="K257" s="167"/>
      <c r="S257" s="166"/>
      <c r="Z257" s="167"/>
      <c r="AB257" s="167" t="str">
        <f t="shared" si="13"/>
        <v/>
      </c>
      <c r="AC257" s="254" t="str">
        <f t="shared" si="11"/>
        <v/>
      </c>
      <c r="AD257" s="167" t="str">
        <f t="shared" si="12"/>
        <v/>
      </c>
    </row>
    <row r="258" spans="8:30">
      <c r="H258" s="166"/>
      <c r="I258" s="166"/>
      <c r="J258" s="166"/>
      <c r="K258" s="167"/>
      <c r="S258" s="166"/>
      <c r="Z258" s="167"/>
      <c r="AB258" s="167" t="str">
        <f t="shared" si="13"/>
        <v/>
      </c>
      <c r="AC258" s="254" t="str">
        <f t="shared" si="11"/>
        <v/>
      </c>
      <c r="AD258" s="167" t="str">
        <f t="shared" si="12"/>
        <v/>
      </c>
    </row>
    <row r="259" spans="8:30">
      <c r="H259" s="166"/>
      <c r="I259" s="166"/>
      <c r="J259" s="166"/>
      <c r="K259" s="167"/>
      <c r="S259" s="166"/>
      <c r="Z259" s="167"/>
      <c r="AB259" s="167" t="str">
        <f t="shared" si="13"/>
        <v/>
      </c>
      <c r="AC259" s="254" t="str">
        <f t="shared" si="11"/>
        <v/>
      </c>
      <c r="AD259" s="167" t="str">
        <f t="shared" si="12"/>
        <v/>
      </c>
    </row>
    <row r="260" spans="8:30">
      <c r="H260" s="166"/>
      <c r="I260" s="166"/>
      <c r="J260" s="166"/>
      <c r="K260" s="167"/>
      <c r="S260" s="166"/>
      <c r="Z260" s="167"/>
      <c r="AB260" s="167" t="str">
        <f t="shared" si="13"/>
        <v/>
      </c>
      <c r="AC260" s="254" t="str">
        <f t="shared" si="11"/>
        <v/>
      </c>
      <c r="AD260" s="167" t="str">
        <f t="shared" si="12"/>
        <v/>
      </c>
    </row>
    <row r="261" spans="8:30">
      <c r="H261" s="166"/>
      <c r="I261" s="166"/>
      <c r="J261" s="166"/>
      <c r="K261" s="167"/>
      <c r="S261" s="166"/>
      <c r="Z261" s="167"/>
      <c r="AB261" s="167" t="str">
        <f t="shared" si="13"/>
        <v/>
      </c>
      <c r="AC261" s="254" t="str">
        <f t="shared" si="11"/>
        <v/>
      </c>
      <c r="AD261" s="167" t="str">
        <f t="shared" si="12"/>
        <v/>
      </c>
    </row>
    <row r="262" spans="8:30">
      <c r="H262" s="166"/>
      <c r="I262" s="166"/>
      <c r="J262" s="166"/>
      <c r="K262" s="167"/>
      <c r="S262" s="166"/>
      <c r="Z262" s="167"/>
      <c r="AB262" s="167" t="str">
        <f t="shared" si="13"/>
        <v/>
      </c>
      <c r="AC262" s="254" t="str">
        <f t="shared" si="11"/>
        <v/>
      </c>
      <c r="AD262" s="167" t="str">
        <f t="shared" si="12"/>
        <v/>
      </c>
    </row>
    <row r="263" spans="8:30">
      <c r="H263" s="166"/>
      <c r="I263" s="166"/>
      <c r="J263" s="166"/>
      <c r="K263" s="167"/>
      <c r="S263" s="166"/>
      <c r="Z263" s="167"/>
      <c r="AB263" s="167" t="str">
        <f t="shared" si="13"/>
        <v/>
      </c>
      <c r="AC263" s="254" t="str">
        <f t="shared" si="11"/>
        <v/>
      </c>
      <c r="AD263" s="167" t="str">
        <f t="shared" si="12"/>
        <v/>
      </c>
    </row>
    <row r="264" spans="8:30">
      <c r="H264" s="166"/>
      <c r="I264" s="166"/>
      <c r="J264" s="166"/>
      <c r="K264" s="167"/>
      <c r="S264" s="166"/>
      <c r="Z264" s="167"/>
      <c r="AB264" s="167" t="str">
        <f t="shared" si="13"/>
        <v/>
      </c>
      <c r="AC264" s="254" t="str">
        <f t="shared" si="11"/>
        <v/>
      </c>
      <c r="AD264" s="167" t="str">
        <f t="shared" si="12"/>
        <v/>
      </c>
    </row>
    <row r="265" spans="8:30">
      <c r="H265" s="166"/>
      <c r="I265" s="166"/>
      <c r="J265" s="166"/>
      <c r="K265" s="167"/>
      <c r="S265" s="166"/>
      <c r="Z265" s="167"/>
      <c r="AB265" s="167" t="str">
        <f t="shared" si="13"/>
        <v/>
      </c>
      <c r="AC265" s="254" t="str">
        <f t="shared" si="11"/>
        <v/>
      </c>
      <c r="AD265" s="167" t="str">
        <f t="shared" si="12"/>
        <v/>
      </c>
    </row>
    <row r="266" spans="8:30">
      <c r="H266" s="166"/>
      <c r="I266" s="166"/>
      <c r="J266" s="166"/>
      <c r="K266" s="167"/>
      <c r="S266" s="166"/>
      <c r="Z266" s="167"/>
      <c r="AB266" s="167" t="str">
        <f t="shared" si="13"/>
        <v/>
      </c>
      <c r="AC266" s="254" t="str">
        <f t="shared" si="11"/>
        <v/>
      </c>
      <c r="AD266" s="167" t="str">
        <f t="shared" si="12"/>
        <v/>
      </c>
    </row>
    <row r="267" spans="8:30">
      <c r="H267" s="166"/>
      <c r="I267" s="166"/>
      <c r="J267" s="166"/>
      <c r="K267" s="167"/>
      <c r="S267" s="166"/>
      <c r="Z267" s="167"/>
      <c r="AB267" s="167" t="str">
        <f t="shared" si="13"/>
        <v/>
      </c>
      <c r="AC267" s="254" t="str">
        <f t="shared" si="11"/>
        <v/>
      </c>
      <c r="AD267" s="167" t="str">
        <f t="shared" si="12"/>
        <v/>
      </c>
    </row>
    <row r="268" spans="8:30">
      <c r="H268" s="166"/>
      <c r="I268" s="166"/>
      <c r="J268" s="166"/>
      <c r="K268" s="167"/>
      <c r="S268" s="166"/>
      <c r="Z268" s="167"/>
      <c r="AB268" s="167" t="str">
        <f t="shared" si="13"/>
        <v/>
      </c>
      <c r="AC268" s="254" t="str">
        <f t="shared" si="11"/>
        <v/>
      </c>
      <c r="AD268" s="167" t="str">
        <f t="shared" si="12"/>
        <v/>
      </c>
    </row>
    <row r="269" spans="8:30">
      <c r="H269" s="166"/>
      <c r="I269" s="166"/>
      <c r="J269" s="166"/>
      <c r="K269" s="167"/>
      <c r="S269" s="166"/>
      <c r="Z269" s="167"/>
      <c r="AB269" s="167" t="str">
        <f t="shared" si="13"/>
        <v/>
      </c>
      <c r="AC269" s="254" t="str">
        <f t="shared" si="11"/>
        <v/>
      </c>
      <c r="AD269" s="167" t="str">
        <f t="shared" si="12"/>
        <v/>
      </c>
    </row>
    <row r="270" spans="8:30">
      <c r="H270" s="166"/>
      <c r="I270" s="166"/>
      <c r="J270" s="166"/>
      <c r="K270" s="167"/>
      <c r="S270" s="166"/>
      <c r="Z270" s="167"/>
      <c r="AB270" s="167" t="str">
        <f t="shared" si="13"/>
        <v/>
      </c>
      <c r="AC270" s="254" t="str">
        <f t="shared" si="11"/>
        <v/>
      </c>
      <c r="AD270" s="167" t="str">
        <f t="shared" si="12"/>
        <v/>
      </c>
    </row>
    <row r="271" spans="8:30">
      <c r="H271" s="166"/>
      <c r="I271" s="166"/>
      <c r="J271" s="166"/>
      <c r="S271" s="166"/>
      <c r="Z271" s="167"/>
      <c r="AC271" s="254">
        <f t="shared" si="11"/>
        <v>0</v>
      </c>
      <c r="AD271" s="167">
        <f t="shared" si="12"/>
        <v>0</v>
      </c>
    </row>
    <row r="272" spans="8:30">
      <c r="H272" s="166"/>
      <c r="I272" s="166"/>
      <c r="J272" s="166"/>
      <c r="S272" s="166"/>
      <c r="Z272" s="167"/>
      <c r="AC272" s="254">
        <f t="shared" si="11"/>
        <v>0</v>
      </c>
      <c r="AD272" s="167">
        <f t="shared" si="12"/>
        <v>0</v>
      </c>
    </row>
    <row r="273" spans="8:30">
      <c r="H273" s="166"/>
      <c r="I273" s="166"/>
      <c r="J273" s="166"/>
      <c r="S273" s="166"/>
      <c r="Z273" s="167"/>
      <c r="AC273" s="254">
        <f t="shared" ref="AC273:AC336" si="14">+IFERROR(IF(AB273&lt;0,"",AB273),)</f>
        <v>0</v>
      </c>
      <c r="AD273" s="167">
        <f t="shared" ref="AD273:AD336" si="15">+IFERROR(IF(AB273&gt;0,"",-AB273),"")</f>
        <v>0</v>
      </c>
    </row>
    <row r="274" spans="8:30">
      <c r="H274" s="166"/>
      <c r="I274" s="166"/>
      <c r="J274" s="166"/>
      <c r="S274" s="166"/>
      <c r="Z274" s="167"/>
      <c r="AC274" s="254">
        <f t="shared" si="14"/>
        <v>0</v>
      </c>
      <c r="AD274" s="167">
        <f t="shared" si="15"/>
        <v>0</v>
      </c>
    </row>
    <row r="275" spans="8:30">
      <c r="H275" s="166"/>
      <c r="I275" s="166"/>
      <c r="J275" s="166"/>
      <c r="S275" s="166"/>
      <c r="Z275" s="167"/>
      <c r="AC275" s="254">
        <f t="shared" si="14"/>
        <v>0</v>
      </c>
      <c r="AD275" s="167">
        <f t="shared" si="15"/>
        <v>0</v>
      </c>
    </row>
    <row r="276" spans="8:30">
      <c r="H276" s="166"/>
      <c r="I276" s="166"/>
      <c r="J276" s="166"/>
      <c r="S276" s="166"/>
      <c r="Z276" s="167"/>
      <c r="AC276" s="254">
        <f t="shared" si="14"/>
        <v>0</v>
      </c>
      <c r="AD276" s="167">
        <f t="shared" si="15"/>
        <v>0</v>
      </c>
    </row>
    <row r="277" spans="8:30">
      <c r="H277" s="166"/>
      <c r="I277" s="166"/>
      <c r="J277" s="166"/>
      <c r="S277" s="166"/>
      <c r="Z277" s="167"/>
      <c r="AC277" s="254">
        <f t="shared" si="14"/>
        <v>0</v>
      </c>
      <c r="AD277" s="167">
        <f t="shared" si="15"/>
        <v>0</v>
      </c>
    </row>
    <row r="278" spans="8:30">
      <c r="H278" s="166"/>
      <c r="I278" s="166"/>
      <c r="J278" s="166"/>
      <c r="S278" s="166"/>
      <c r="Z278" s="167"/>
      <c r="AC278" s="254">
        <f t="shared" si="14"/>
        <v>0</v>
      </c>
      <c r="AD278" s="167">
        <f t="shared" si="15"/>
        <v>0</v>
      </c>
    </row>
    <row r="279" spans="8:30">
      <c r="H279" s="166"/>
      <c r="I279" s="166"/>
      <c r="J279" s="166"/>
      <c r="S279" s="166"/>
      <c r="Z279" s="167"/>
      <c r="AC279" s="254">
        <f t="shared" si="14"/>
        <v>0</v>
      </c>
      <c r="AD279" s="167">
        <f t="shared" si="15"/>
        <v>0</v>
      </c>
    </row>
    <row r="280" spans="8:30">
      <c r="H280" s="166"/>
      <c r="I280" s="166"/>
      <c r="J280" s="166"/>
      <c r="S280" s="166"/>
      <c r="Z280" s="167"/>
      <c r="AC280" s="254">
        <f t="shared" si="14"/>
        <v>0</v>
      </c>
      <c r="AD280" s="167">
        <f t="shared" si="15"/>
        <v>0</v>
      </c>
    </row>
    <row r="281" spans="8:30">
      <c r="H281" s="166"/>
      <c r="I281" s="166"/>
      <c r="J281" s="166"/>
      <c r="S281" s="166"/>
      <c r="Z281" s="167"/>
      <c r="AC281" s="254">
        <f t="shared" si="14"/>
        <v>0</v>
      </c>
      <c r="AD281" s="167">
        <f t="shared" si="15"/>
        <v>0</v>
      </c>
    </row>
    <row r="282" spans="8:30">
      <c r="H282" s="166"/>
      <c r="I282" s="166"/>
      <c r="J282" s="166"/>
      <c r="S282" s="166"/>
      <c r="Z282" s="167"/>
      <c r="AC282" s="254">
        <f t="shared" si="14"/>
        <v>0</v>
      </c>
      <c r="AD282" s="167">
        <f t="shared" si="15"/>
        <v>0</v>
      </c>
    </row>
    <row r="283" spans="8:30">
      <c r="H283" s="166"/>
      <c r="I283" s="166"/>
      <c r="J283" s="166"/>
      <c r="S283" s="166"/>
      <c r="Z283" s="167"/>
      <c r="AC283" s="254">
        <f t="shared" si="14"/>
        <v>0</v>
      </c>
      <c r="AD283" s="167">
        <f t="shared" si="15"/>
        <v>0</v>
      </c>
    </row>
    <row r="284" spans="8:30">
      <c r="H284" s="166"/>
      <c r="I284" s="166"/>
      <c r="J284" s="166"/>
      <c r="S284" s="166"/>
      <c r="Z284" s="167"/>
      <c r="AC284" s="254">
        <f t="shared" si="14"/>
        <v>0</v>
      </c>
      <c r="AD284" s="167">
        <f t="shared" si="15"/>
        <v>0</v>
      </c>
    </row>
    <row r="285" spans="8:30">
      <c r="H285" s="166"/>
      <c r="I285" s="166"/>
      <c r="J285" s="166"/>
      <c r="S285" s="166"/>
      <c r="Z285" s="167"/>
      <c r="AC285" s="254">
        <f t="shared" si="14"/>
        <v>0</v>
      </c>
      <c r="AD285" s="167">
        <f t="shared" si="15"/>
        <v>0</v>
      </c>
    </row>
    <row r="286" spans="8:30">
      <c r="H286" s="166"/>
      <c r="I286" s="166"/>
      <c r="J286" s="166"/>
      <c r="S286" s="166"/>
      <c r="Z286" s="167"/>
      <c r="AC286" s="254">
        <f t="shared" si="14"/>
        <v>0</v>
      </c>
      <c r="AD286" s="167">
        <f t="shared" si="15"/>
        <v>0</v>
      </c>
    </row>
    <row r="287" spans="8:30">
      <c r="H287" s="166"/>
      <c r="I287" s="166"/>
      <c r="J287" s="166"/>
      <c r="S287" s="166"/>
      <c r="Z287" s="167"/>
      <c r="AC287" s="254">
        <f t="shared" si="14"/>
        <v>0</v>
      </c>
      <c r="AD287" s="167">
        <f t="shared" si="15"/>
        <v>0</v>
      </c>
    </row>
    <row r="288" spans="8:30">
      <c r="H288" s="166"/>
      <c r="I288" s="166"/>
      <c r="J288" s="166"/>
      <c r="S288" s="166"/>
      <c r="Z288" s="167"/>
      <c r="AC288" s="254">
        <f t="shared" si="14"/>
        <v>0</v>
      </c>
      <c r="AD288" s="167">
        <f t="shared" si="15"/>
        <v>0</v>
      </c>
    </row>
    <row r="289" spans="8:30">
      <c r="H289" s="166"/>
      <c r="I289" s="166"/>
      <c r="J289" s="166"/>
      <c r="S289" s="166"/>
      <c r="Z289" s="167"/>
      <c r="AC289" s="254">
        <f t="shared" si="14"/>
        <v>0</v>
      </c>
      <c r="AD289" s="167">
        <f t="shared" si="15"/>
        <v>0</v>
      </c>
    </row>
    <row r="290" spans="8:30">
      <c r="H290" s="166"/>
      <c r="I290" s="166"/>
      <c r="J290" s="166"/>
      <c r="S290" s="166"/>
      <c r="Z290" s="167"/>
      <c r="AC290" s="254">
        <f t="shared" si="14"/>
        <v>0</v>
      </c>
      <c r="AD290" s="167">
        <f t="shared" si="15"/>
        <v>0</v>
      </c>
    </row>
    <row r="291" spans="8:30">
      <c r="H291" s="166"/>
      <c r="I291" s="166"/>
      <c r="J291" s="166"/>
      <c r="S291" s="166"/>
      <c r="Z291" s="167"/>
      <c r="AC291" s="254">
        <f t="shared" si="14"/>
        <v>0</v>
      </c>
      <c r="AD291" s="167">
        <f t="shared" si="15"/>
        <v>0</v>
      </c>
    </row>
    <row r="292" spans="8:30">
      <c r="H292" s="166"/>
      <c r="I292" s="166"/>
      <c r="J292" s="166"/>
      <c r="S292" s="166"/>
      <c r="Z292" s="167"/>
      <c r="AC292" s="254">
        <f t="shared" si="14"/>
        <v>0</v>
      </c>
      <c r="AD292" s="167">
        <f t="shared" si="15"/>
        <v>0</v>
      </c>
    </row>
    <row r="293" spans="8:30">
      <c r="H293" s="166"/>
      <c r="I293" s="166"/>
      <c r="J293" s="166"/>
      <c r="S293" s="166"/>
      <c r="Z293" s="167"/>
      <c r="AC293" s="254">
        <f t="shared" si="14"/>
        <v>0</v>
      </c>
      <c r="AD293" s="167">
        <f t="shared" si="15"/>
        <v>0</v>
      </c>
    </row>
    <row r="294" spans="8:30">
      <c r="H294" s="166"/>
      <c r="I294" s="166"/>
      <c r="J294" s="166"/>
      <c r="S294" s="166"/>
      <c r="Z294" s="167"/>
      <c r="AC294" s="254">
        <f t="shared" si="14"/>
        <v>0</v>
      </c>
      <c r="AD294" s="167">
        <f t="shared" si="15"/>
        <v>0</v>
      </c>
    </row>
    <row r="295" spans="8:30">
      <c r="H295" s="166"/>
      <c r="I295" s="166"/>
      <c r="J295" s="166"/>
      <c r="S295" s="166"/>
      <c r="Z295" s="167"/>
      <c r="AC295" s="254">
        <f t="shared" si="14"/>
        <v>0</v>
      </c>
      <c r="AD295" s="167">
        <f t="shared" si="15"/>
        <v>0</v>
      </c>
    </row>
    <row r="296" spans="8:30">
      <c r="H296" s="166"/>
      <c r="I296" s="166"/>
      <c r="J296" s="166"/>
      <c r="S296" s="166"/>
      <c r="Z296" s="167"/>
      <c r="AC296" s="254">
        <f t="shared" si="14"/>
        <v>0</v>
      </c>
      <c r="AD296" s="167">
        <f t="shared" si="15"/>
        <v>0</v>
      </c>
    </row>
    <row r="297" spans="8:30">
      <c r="H297" s="166"/>
      <c r="I297" s="166"/>
      <c r="J297" s="166"/>
      <c r="S297" s="166"/>
      <c r="Z297" s="167"/>
      <c r="AC297" s="254">
        <f t="shared" si="14"/>
        <v>0</v>
      </c>
      <c r="AD297" s="167">
        <f t="shared" si="15"/>
        <v>0</v>
      </c>
    </row>
    <row r="298" spans="8:30">
      <c r="H298" s="166"/>
      <c r="I298" s="166"/>
      <c r="J298" s="166"/>
      <c r="S298" s="166"/>
      <c r="Z298" s="167"/>
      <c r="AC298" s="254">
        <f t="shared" si="14"/>
        <v>0</v>
      </c>
      <c r="AD298" s="167">
        <f t="shared" si="15"/>
        <v>0</v>
      </c>
    </row>
    <row r="299" spans="8:30">
      <c r="H299" s="166"/>
      <c r="I299" s="166"/>
      <c r="J299" s="166"/>
      <c r="S299" s="166"/>
      <c r="Z299" s="167"/>
      <c r="AC299" s="254">
        <f t="shared" si="14"/>
        <v>0</v>
      </c>
      <c r="AD299" s="167">
        <f t="shared" si="15"/>
        <v>0</v>
      </c>
    </row>
    <row r="300" spans="8:30">
      <c r="H300" s="166"/>
      <c r="I300" s="166"/>
      <c r="J300" s="166"/>
      <c r="S300" s="166"/>
      <c r="Z300" s="167"/>
      <c r="AC300" s="254">
        <f t="shared" si="14"/>
        <v>0</v>
      </c>
      <c r="AD300" s="167">
        <f t="shared" si="15"/>
        <v>0</v>
      </c>
    </row>
    <row r="301" spans="8:30">
      <c r="H301" s="166"/>
      <c r="I301" s="166"/>
      <c r="J301" s="166"/>
      <c r="S301" s="166"/>
      <c r="Z301" s="167"/>
      <c r="AC301" s="254">
        <f t="shared" si="14"/>
        <v>0</v>
      </c>
      <c r="AD301" s="167">
        <f t="shared" si="15"/>
        <v>0</v>
      </c>
    </row>
    <row r="302" spans="8:30">
      <c r="H302" s="166"/>
      <c r="I302" s="166"/>
      <c r="J302" s="166"/>
      <c r="S302" s="166"/>
      <c r="Z302" s="167"/>
      <c r="AC302" s="254">
        <f t="shared" si="14"/>
        <v>0</v>
      </c>
      <c r="AD302" s="167">
        <f t="shared" si="15"/>
        <v>0</v>
      </c>
    </row>
    <row r="303" spans="8:30">
      <c r="H303" s="166"/>
      <c r="I303" s="166"/>
      <c r="J303" s="166"/>
      <c r="S303" s="166"/>
      <c r="Z303" s="167"/>
      <c r="AC303" s="254">
        <f t="shared" si="14"/>
        <v>0</v>
      </c>
      <c r="AD303" s="167">
        <f t="shared" si="15"/>
        <v>0</v>
      </c>
    </row>
    <row r="304" spans="8:30">
      <c r="H304" s="166"/>
      <c r="I304" s="166"/>
      <c r="J304" s="166"/>
      <c r="S304" s="166"/>
      <c r="Z304" s="167"/>
      <c r="AC304" s="254">
        <f t="shared" si="14"/>
        <v>0</v>
      </c>
      <c r="AD304" s="167">
        <f t="shared" si="15"/>
        <v>0</v>
      </c>
    </row>
    <row r="305" spans="8:30">
      <c r="H305" s="166"/>
      <c r="I305" s="166"/>
      <c r="J305" s="166"/>
      <c r="S305" s="166"/>
      <c r="Z305" s="167"/>
      <c r="AC305" s="254">
        <f t="shared" si="14"/>
        <v>0</v>
      </c>
      <c r="AD305" s="167">
        <f t="shared" si="15"/>
        <v>0</v>
      </c>
    </row>
    <row r="306" spans="8:30">
      <c r="H306" s="166"/>
      <c r="I306" s="166"/>
      <c r="J306" s="166"/>
      <c r="S306" s="166"/>
      <c r="Z306" s="167"/>
      <c r="AC306" s="254">
        <f t="shared" si="14"/>
        <v>0</v>
      </c>
      <c r="AD306" s="167">
        <f t="shared" si="15"/>
        <v>0</v>
      </c>
    </row>
    <row r="307" spans="8:30">
      <c r="H307" s="166"/>
      <c r="I307" s="166"/>
      <c r="J307" s="166"/>
      <c r="Z307" s="167"/>
      <c r="AC307" s="254">
        <f t="shared" si="14"/>
        <v>0</v>
      </c>
      <c r="AD307" s="167">
        <f t="shared" si="15"/>
        <v>0</v>
      </c>
    </row>
    <row r="308" spans="8:30">
      <c r="H308" s="166"/>
      <c r="I308" s="166"/>
      <c r="J308" s="166"/>
      <c r="Z308" s="167"/>
      <c r="AC308" s="254">
        <f t="shared" si="14"/>
        <v>0</v>
      </c>
      <c r="AD308" s="167">
        <f t="shared" si="15"/>
        <v>0</v>
      </c>
    </row>
    <row r="309" spans="8:30">
      <c r="H309" s="166"/>
      <c r="I309" s="166"/>
      <c r="J309" s="166"/>
      <c r="Z309" s="167"/>
      <c r="AC309" s="254">
        <f t="shared" si="14"/>
        <v>0</v>
      </c>
      <c r="AD309" s="167">
        <f t="shared" si="15"/>
        <v>0</v>
      </c>
    </row>
    <row r="310" spans="8:30">
      <c r="H310" s="166"/>
      <c r="I310" s="166"/>
      <c r="J310" s="166"/>
      <c r="Z310" s="167"/>
      <c r="AC310" s="254">
        <f t="shared" si="14"/>
        <v>0</v>
      </c>
      <c r="AD310" s="167">
        <f t="shared" si="15"/>
        <v>0</v>
      </c>
    </row>
    <row r="311" spans="8:30">
      <c r="H311" s="166"/>
      <c r="I311" s="166"/>
      <c r="J311" s="166"/>
      <c r="Z311" s="167"/>
      <c r="AC311" s="254">
        <f t="shared" si="14"/>
        <v>0</v>
      </c>
      <c r="AD311" s="167">
        <f t="shared" si="15"/>
        <v>0</v>
      </c>
    </row>
    <row r="312" spans="8:30">
      <c r="H312" s="166"/>
      <c r="I312" s="166"/>
      <c r="J312" s="166"/>
      <c r="Z312" s="167"/>
      <c r="AC312" s="254">
        <f t="shared" si="14"/>
        <v>0</v>
      </c>
      <c r="AD312" s="167">
        <f t="shared" si="15"/>
        <v>0</v>
      </c>
    </row>
    <row r="313" spans="8:30">
      <c r="H313" s="166"/>
      <c r="I313" s="166"/>
      <c r="J313" s="166"/>
      <c r="Z313" s="167"/>
      <c r="AC313" s="254">
        <f t="shared" si="14"/>
        <v>0</v>
      </c>
      <c r="AD313" s="167">
        <f t="shared" si="15"/>
        <v>0</v>
      </c>
    </row>
    <row r="314" spans="8:30">
      <c r="H314" s="166"/>
      <c r="I314" s="166"/>
      <c r="J314" s="166"/>
      <c r="Z314" s="167"/>
      <c r="AC314" s="254">
        <f t="shared" si="14"/>
        <v>0</v>
      </c>
      <c r="AD314" s="167">
        <f t="shared" si="15"/>
        <v>0</v>
      </c>
    </row>
    <row r="315" spans="8:30">
      <c r="H315" s="166"/>
      <c r="I315" s="166"/>
      <c r="J315" s="166"/>
      <c r="Z315" s="167"/>
      <c r="AC315" s="254">
        <f t="shared" si="14"/>
        <v>0</v>
      </c>
      <c r="AD315" s="167">
        <f t="shared" si="15"/>
        <v>0</v>
      </c>
    </row>
    <row r="316" spans="8:30">
      <c r="H316" s="166"/>
      <c r="I316" s="166"/>
      <c r="J316" s="166"/>
      <c r="Z316" s="167"/>
      <c r="AC316" s="254">
        <f t="shared" si="14"/>
        <v>0</v>
      </c>
      <c r="AD316" s="167">
        <f t="shared" si="15"/>
        <v>0</v>
      </c>
    </row>
    <row r="317" spans="8:30">
      <c r="H317" s="166"/>
      <c r="I317" s="166"/>
      <c r="J317" s="166"/>
      <c r="Z317" s="167"/>
      <c r="AC317" s="254">
        <f t="shared" si="14"/>
        <v>0</v>
      </c>
      <c r="AD317" s="167">
        <f t="shared" si="15"/>
        <v>0</v>
      </c>
    </row>
    <row r="318" spans="8:30">
      <c r="H318" s="166"/>
      <c r="I318" s="166"/>
      <c r="J318" s="166"/>
      <c r="Z318" s="167"/>
      <c r="AC318" s="254">
        <f t="shared" si="14"/>
        <v>0</v>
      </c>
      <c r="AD318" s="167">
        <f t="shared" si="15"/>
        <v>0</v>
      </c>
    </row>
    <row r="319" spans="8:30">
      <c r="H319" s="166"/>
      <c r="I319" s="166"/>
      <c r="J319" s="166"/>
      <c r="Z319" s="167"/>
      <c r="AC319" s="254">
        <f t="shared" si="14"/>
        <v>0</v>
      </c>
      <c r="AD319" s="167">
        <f t="shared" si="15"/>
        <v>0</v>
      </c>
    </row>
    <row r="320" spans="8:30">
      <c r="H320" s="166"/>
      <c r="I320" s="166"/>
      <c r="J320" s="166"/>
      <c r="Z320" s="167"/>
      <c r="AC320" s="254">
        <f t="shared" si="14"/>
        <v>0</v>
      </c>
      <c r="AD320" s="167">
        <f t="shared" si="15"/>
        <v>0</v>
      </c>
    </row>
    <row r="321" spans="8:30">
      <c r="H321" s="166"/>
      <c r="I321" s="166"/>
      <c r="J321" s="166"/>
      <c r="Z321" s="167"/>
      <c r="AC321" s="254">
        <f t="shared" si="14"/>
        <v>0</v>
      </c>
      <c r="AD321" s="167">
        <f t="shared" si="15"/>
        <v>0</v>
      </c>
    </row>
    <row r="322" spans="8:30">
      <c r="H322" s="166"/>
      <c r="I322" s="166"/>
      <c r="J322" s="166"/>
      <c r="Z322" s="167"/>
      <c r="AC322" s="254">
        <f t="shared" si="14"/>
        <v>0</v>
      </c>
      <c r="AD322" s="167">
        <f t="shared" si="15"/>
        <v>0</v>
      </c>
    </row>
    <row r="323" spans="8:30">
      <c r="H323" s="166"/>
      <c r="I323" s="166"/>
      <c r="J323" s="166"/>
      <c r="Z323" s="167"/>
      <c r="AC323" s="254">
        <f t="shared" si="14"/>
        <v>0</v>
      </c>
      <c r="AD323" s="167">
        <f t="shared" si="15"/>
        <v>0</v>
      </c>
    </row>
    <row r="324" spans="8:30">
      <c r="H324" s="166"/>
      <c r="I324" s="166"/>
      <c r="J324" s="166"/>
      <c r="Z324" s="167"/>
      <c r="AC324" s="254">
        <f t="shared" si="14"/>
        <v>0</v>
      </c>
      <c r="AD324" s="167">
        <f t="shared" si="15"/>
        <v>0</v>
      </c>
    </row>
    <row r="325" spans="8:30">
      <c r="H325" s="166"/>
      <c r="I325" s="166"/>
      <c r="J325" s="166"/>
      <c r="Z325" s="167"/>
      <c r="AC325" s="254">
        <f t="shared" si="14"/>
        <v>0</v>
      </c>
      <c r="AD325" s="167">
        <f t="shared" si="15"/>
        <v>0</v>
      </c>
    </row>
    <row r="326" spans="8:30">
      <c r="H326" s="166"/>
      <c r="I326" s="166"/>
      <c r="J326" s="166"/>
      <c r="Z326" s="167"/>
      <c r="AC326" s="254">
        <f t="shared" si="14"/>
        <v>0</v>
      </c>
      <c r="AD326" s="167">
        <f t="shared" si="15"/>
        <v>0</v>
      </c>
    </row>
    <row r="327" spans="8:30">
      <c r="H327" s="166"/>
      <c r="I327" s="166"/>
      <c r="J327" s="166"/>
      <c r="Z327" s="167"/>
      <c r="AC327" s="254">
        <f t="shared" si="14"/>
        <v>0</v>
      </c>
      <c r="AD327" s="167">
        <f t="shared" si="15"/>
        <v>0</v>
      </c>
    </row>
    <row r="328" spans="8:30">
      <c r="H328" s="166"/>
      <c r="I328" s="166"/>
      <c r="J328" s="166"/>
      <c r="Z328" s="167"/>
      <c r="AC328" s="254">
        <f t="shared" si="14"/>
        <v>0</v>
      </c>
      <c r="AD328" s="167">
        <f t="shared" si="15"/>
        <v>0</v>
      </c>
    </row>
    <row r="329" spans="8:30">
      <c r="H329" s="166"/>
      <c r="I329" s="166"/>
      <c r="J329" s="166"/>
      <c r="Z329" s="167"/>
      <c r="AC329" s="254">
        <f t="shared" si="14"/>
        <v>0</v>
      </c>
      <c r="AD329" s="167">
        <f t="shared" si="15"/>
        <v>0</v>
      </c>
    </row>
    <row r="330" spans="8:30">
      <c r="H330" s="166"/>
      <c r="I330" s="166"/>
      <c r="J330" s="166"/>
      <c r="Z330" s="167"/>
      <c r="AC330" s="254">
        <f t="shared" si="14"/>
        <v>0</v>
      </c>
      <c r="AD330" s="167">
        <f t="shared" si="15"/>
        <v>0</v>
      </c>
    </row>
    <row r="331" spans="8:30">
      <c r="H331" s="166"/>
      <c r="I331" s="166"/>
      <c r="J331" s="166"/>
      <c r="Z331" s="167"/>
      <c r="AC331" s="254">
        <f t="shared" si="14"/>
        <v>0</v>
      </c>
      <c r="AD331" s="167">
        <f t="shared" si="15"/>
        <v>0</v>
      </c>
    </row>
    <row r="332" spans="8:30">
      <c r="H332" s="166"/>
      <c r="I332" s="166"/>
      <c r="J332" s="166"/>
      <c r="Z332" s="167"/>
      <c r="AC332" s="254">
        <f t="shared" si="14"/>
        <v>0</v>
      </c>
      <c r="AD332" s="167">
        <f t="shared" si="15"/>
        <v>0</v>
      </c>
    </row>
    <row r="333" spans="8:30">
      <c r="H333" s="166"/>
      <c r="I333" s="166"/>
      <c r="J333" s="166"/>
      <c r="Z333" s="167"/>
      <c r="AC333" s="254">
        <f t="shared" si="14"/>
        <v>0</v>
      </c>
      <c r="AD333" s="167">
        <f t="shared" si="15"/>
        <v>0</v>
      </c>
    </row>
    <row r="334" spans="8:30">
      <c r="H334" s="166"/>
      <c r="I334" s="166"/>
      <c r="J334" s="166"/>
      <c r="Z334" s="167"/>
      <c r="AC334" s="254">
        <f t="shared" si="14"/>
        <v>0</v>
      </c>
      <c r="AD334" s="167">
        <f t="shared" si="15"/>
        <v>0</v>
      </c>
    </row>
    <row r="335" spans="8:30">
      <c r="H335" s="166"/>
      <c r="I335" s="166"/>
      <c r="J335" s="166"/>
      <c r="Z335" s="167"/>
      <c r="AC335" s="254">
        <f t="shared" si="14"/>
        <v>0</v>
      </c>
      <c r="AD335" s="167">
        <f t="shared" si="15"/>
        <v>0</v>
      </c>
    </row>
    <row r="336" spans="8:30">
      <c r="H336" s="166"/>
      <c r="I336" s="166"/>
      <c r="J336" s="166"/>
      <c r="Z336" s="167"/>
      <c r="AC336" s="254">
        <f t="shared" si="14"/>
        <v>0</v>
      </c>
      <c r="AD336" s="167">
        <f t="shared" si="15"/>
        <v>0</v>
      </c>
    </row>
    <row r="337" spans="8:30">
      <c r="H337" s="166"/>
      <c r="I337" s="166"/>
      <c r="J337" s="166"/>
      <c r="Z337" s="167"/>
      <c r="AC337" s="254">
        <f t="shared" ref="AC337:AC400" si="16">+IFERROR(IF(AB337&lt;0,"",AB337),)</f>
        <v>0</v>
      </c>
      <c r="AD337" s="167">
        <f t="shared" ref="AD337:AD400" si="17">+IFERROR(IF(AB337&gt;0,"",-AB337),"")</f>
        <v>0</v>
      </c>
    </row>
    <row r="338" spans="8:30">
      <c r="H338" s="166"/>
      <c r="I338" s="166"/>
      <c r="J338" s="166"/>
      <c r="Z338" s="167"/>
      <c r="AC338" s="254">
        <f t="shared" si="16"/>
        <v>0</v>
      </c>
      <c r="AD338" s="167">
        <f t="shared" si="17"/>
        <v>0</v>
      </c>
    </row>
    <row r="339" spans="8:30">
      <c r="H339" s="166"/>
      <c r="I339" s="166"/>
      <c r="J339" s="166"/>
      <c r="AC339" s="254">
        <f t="shared" si="16"/>
        <v>0</v>
      </c>
      <c r="AD339" s="167">
        <f t="shared" si="17"/>
        <v>0</v>
      </c>
    </row>
    <row r="340" spans="8:30">
      <c r="H340" s="166"/>
      <c r="I340" s="166"/>
      <c r="J340" s="166"/>
      <c r="AC340" s="254">
        <f t="shared" si="16"/>
        <v>0</v>
      </c>
      <c r="AD340" s="167">
        <f t="shared" si="17"/>
        <v>0</v>
      </c>
    </row>
    <row r="341" spans="8:30">
      <c r="H341" s="166"/>
      <c r="I341" s="166"/>
      <c r="J341" s="166"/>
      <c r="AC341" s="254">
        <f t="shared" si="16"/>
        <v>0</v>
      </c>
      <c r="AD341" s="167">
        <f t="shared" si="17"/>
        <v>0</v>
      </c>
    </row>
    <row r="342" spans="8:30">
      <c r="H342" s="166"/>
      <c r="I342" s="166"/>
      <c r="J342" s="166"/>
      <c r="AC342" s="254">
        <f t="shared" si="16"/>
        <v>0</v>
      </c>
      <c r="AD342" s="167">
        <f t="shared" si="17"/>
        <v>0</v>
      </c>
    </row>
    <row r="343" spans="8:30">
      <c r="H343" s="166"/>
      <c r="I343" s="166"/>
      <c r="J343" s="166"/>
      <c r="AC343" s="254">
        <f t="shared" si="16"/>
        <v>0</v>
      </c>
      <c r="AD343" s="167">
        <f t="shared" si="17"/>
        <v>0</v>
      </c>
    </row>
    <row r="344" spans="8:30">
      <c r="H344" s="166"/>
      <c r="I344" s="166"/>
      <c r="J344" s="166"/>
      <c r="AC344" s="254">
        <f t="shared" si="16"/>
        <v>0</v>
      </c>
      <c r="AD344" s="167">
        <f t="shared" si="17"/>
        <v>0</v>
      </c>
    </row>
    <row r="345" spans="8:30">
      <c r="H345" s="166"/>
      <c r="I345" s="166"/>
      <c r="J345" s="166"/>
      <c r="AC345" s="254">
        <f t="shared" si="16"/>
        <v>0</v>
      </c>
      <c r="AD345" s="167">
        <f t="shared" si="17"/>
        <v>0</v>
      </c>
    </row>
    <row r="346" spans="8:30">
      <c r="H346" s="166"/>
      <c r="I346" s="166"/>
      <c r="J346" s="166"/>
      <c r="AC346" s="254">
        <f t="shared" si="16"/>
        <v>0</v>
      </c>
      <c r="AD346" s="167">
        <f t="shared" si="17"/>
        <v>0</v>
      </c>
    </row>
    <row r="347" spans="8:30">
      <c r="H347" s="166"/>
      <c r="I347" s="166"/>
      <c r="J347" s="166"/>
      <c r="AC347" s="254">
        <f t="shared" si="16"/>
        <v>0</v>
      </c>
      <c r="AD347" s="167">
        <f t="shared" si="17"/>
        <v>0</v>
      </c>
    </row>
    <row r="348" spans="8:30">
      <c r="H348" s="166"/>
      <c r="I348" s="166"/>
      <c r="J348" s="166"/>
      <c r="AC348" s="254">
        <f t="shared" si="16"/>
        <v>0</v>
      </c>
      <c r="AD348" s="167">
        <f t="shared" si="17"/>
        <v>0</v>
      </c>
    </row>
    <row r="349" spans="8:30">
      <c r="H349" s="166"/>
      <c r="I349" s="166"/>
      <c r="J349" s="166"/>
      <c r="AC349" s="254">
        <f t="shared" si="16"/>
        <v>0</v>
      </c>
      <c r="AD349" s="167">
        <f t="shared" si="17"/>
        <v>0</v>
      </c>
    </row>
    <row r="350" spans="8:30">
      <c r="H350" s="166"/>
      <c r="I350" s="166"/>
      <c r="J350" s="166"/>
      <c r="AC350" s="254">
        <f t="shared" si="16"/>
        <v>0</v>
      </c>
      <c r="AD350" s="167">
        <f t="shared" si="17"/>
        <v>0</v>
      </c>
    </row>
    <row r="351" spans="8:30">
      <c r="H351" s="166"/>
      <c r="I351" s="166"/>
      <c r="J351" s="166"/>
      <c r="AC351" s="254">
        <f t="shared" si="16"/>
        <v>0</v>
      </c>
      <c r="AD351" s="167">
        <f t="shared" si="17"/>
        <v>0</v>
      </c>
    </row>
    <row r="352" spans="8:30">
      <c r="H352" s="166"/>
      <c r="I352" s="166"/>
      <c r="J352" s="166"/>
      <c r="AC352" s="254">
        <f t="shared" si="16"/>
        <v>0</v>
      </c>
      <c r="AD352" s="167">
        <f t="shared" si="17"/>
        <v>0</v>
      </c>
    </row>
    <row r="353" spans="8:30">
      <c r="H353" s="166"/>
      <c r="I353" s="166"/>
      <c r="J353" s="166"/>
      <c r="AC353" s="254">
        <f t="shared" si="16"/>
        <v>0</v>
      </c>
      <c r="AD353" s="167">
        <f t="shared" si="17"/>
        <v>0</v>
      </c>
    </row>
    <row r="354" spans="8:30">
      <c r="H354" s="166"/>
      <c r="I354" s="166"/>
      <c r="J354" s="166"/>
      <c r="AC354" s="254">
        <f t="shared" si="16"/>
        <v>0</v>
      </c>
      <c r="AD354" s="167">
        <f t="shared" si="17"/>
        <v>0</v>
      </c>
    </row>
    <row r="355" spans="8:30">
      <c r="H355" s="166"/>
      <c r="I355" s="166"/>
      <c r="J355" s="166"/>
      <c r="AC355" s="254">
        <f t="shared" si="16"/>
        <v>0</v>
      </c>
      <c r="AD355" s="167">
        <f t="shared" si="17"/>
        <v>0</v>
      </c>
    </row>
    <row r="356" spans="8:30">
      <c r="H356" s="166"/>
      <c r="I356" s="166"/>
      <c r="J356" s="166"/>
      <c r="AC356" s="254">
        <f t="shared" si="16"/>
        <v>0</v>
      </c>
      <c r="AD356" s="167">
        <f t="shared" si="17"/>
        <v>0</v>
      </c>
    </row>
    <row r="357" spans="8:30">
      <c r="H357" s="166"/>
      <c r="I357" s="166"/>
      <c r="J357" s="166"/>
      <c r="AC357" s="254">
        <f t="shared" si="16"/>
        <v>0</v>
      </c>
      <c r="AD357" s="167">
        <f t="shared" si="17"/>
        <v>0</v>
      </c>
    </row>
    <row r="358" spans="8:30">
      <c r="H358" s="166"/>
      <c r="I358" s="166"/>
      <c r="J358" s="166"/>
      <c r="AC358" s="254">
        <f t="shared" si="16"/>
        <v>0</v>
      </c>
      <c r="AD358" s="167">
        <f t="shared" si="17"/>
        <v>0</v>
      </c>
    </row>
    <row r="359" spans="8:30">
      <c r="H359" s="166"/>
      <c r="I359" s="166"/>
      <c r="J359" s="166"/>
      <c r="AC359" s="254">
        <f t="shared" si="16"/>
        <v>0</v>
      </c>
      <c r="AD359" s="167">
        <f t="shared" si="17"/>
        <v>0</v>
      </c>
    </row>
    <row r="360" spans="8:30">
      <c r="H360" s="166"/>
      <c r="I360" s="166"/>
      <c r="J360" s="166"/>
      <c r="AC360" s="254">
        <f t="shared" si="16"/>
        <v>0</v>
      </c>
      <c r="AD360" s="167">
        <f t="shared" si="17"/>
        <v>0</v>
      </c>
    </row>
    <row r="361" spans="8:30">
      <c r="H361" s="166"/>
      <c r="I361" s="166"/>
      <c r="J361" s="166"/>
      <c r="AC361" s="254">
        <f t="shared" si="16"/>
        <v>0</v>
      </c>
      <c r="AD361" s="167">
        <f t="shared" si="17"/>
        <v>0</v>
      </c>
    </row>
    <row r="362" spans="8:30">
      <c r="H362" s="166"/>
      <c r="I362" s="166"/>
      <c r="J362" s="166"/>
      <c r="AC362" s="254">
        <f t="shared" si="16"/>
        <v>0</v>
      </c>
      <c r="AD362" s="167">
        <f t="shared" si="17"/>
        <v>0</v>
      </c>
    </row>
    <row r="363" spans="8:30">
      <c r="H363" s="166"/>
      <c r="I363" s="166"/>
      <c r="J363" s="166"/>
      <c r="AC363" s="254">
        <f t="shared" si="16"/>
        <v>0</v>
      </c>
      <c r="AD363" s="167">
        <f t="shared" si="17"/>
        <v>0</v>
      </c>
    </row>
    <row r="364" spans="8:30">
      <c r="H364" s="166"/>
      <c r="I364" s="166"/>
      <c r="J364" s="166"/>
      <c r="AC364" s="254">
        <f t="shared" si="16"/>
        <v>0</v>
      </c>
      <c r="AD364" s="167">
        <f t="shared" si="17"/>
        <v>0</v>
      </c>
    </row>
    <row r="365" spans="8:30">
      <c r="H365" s="166"/>
      <c r="I365" s="166"/>
      <c r="J365" s="166"/>
      <c r="AC365" s="254">
        <f t="shared" si="16"/>
        <v>0</v>
      </c>
      <c r="AD365" s="167">
        <f t="shared" si="17"/>
        <v>0</v>
      </c>
    </row>
    <row r="366" spans="8:30">
      <c r="H366" s="166"/>
      <c r="I366" s="166"/>
      <c r="J366" s="166"/>
      <c r="AC366" s="254">
        <f t="shared" si="16"/>
        <v>0</v>
      </c>
      <c r="AD366" s="167">
        <f t="shared" si="17"/>
        <v>0</v>
      </c>
    </row>
    <row r="367" spans="8:30">
      <c r="H367" s="166"/>
      <c r="I367" s="166"/>
      <c r="J367" s="166"/>
      <c r="AC367" s="254">
        <f t="shared" si="16"/>
        <v>0</v>
      </c>
      <c r="AD367" s="167">
        <f t="shared" si="17"/>
        <v>0</v>
      </c>
    </row>
    <row r="368" spans="8:30">
      <c r="H368" s="166"/>
      <c r="I368" s="166"/>
      <c r="J368" s="166"/>
      <c r="AC368" s="254">
        <f t="shared" si="16"/>
        <v>0</v>
      </c>
      <c r="AD368" s="167">
        <f t="shared" si="17"/>
        <v>0</v>
      </c>
    </row>
    <row r="369" spans="8:30">
      <c r="H369" s="166"/>
      <c r="I369" s="166"/>
      <c r="J369" s="166"/>
      <c r="AC369" s="254">
        <f t="shared" si="16"/>
        <v>0</v>
      </c>
      <c r="AD369" s="167">
        <f t="shared" si="17"/>
        <v>0</v>
      </c>
    </row>
    <row r="370" spans="8:30">
      <c r="H370" s="166"/>
      <c r="I370" s="166"/>
      <c r="J370" s="166"/>
      <c r="AC370" s="254">
        <f t="shared" si="16"/>
        <v>0</v>
      </c>
      <c r="AD370" s="167">
        <f t="shared" si="17"/>
        <v>0</v>
      </c>
    </row>
    <row r="371" spans="8:30">
      <c r="H371" s="166"/>
      <c r="I371" s="166"/>
      <c r="J371" s="166"/>
      <c r="AC371" s="254">
        <f t="shared" si="16"/>
        <v>0</v>
      </c>
      <c r="AD371" s="167">
        <f t="shared" si="17"/>
        <v>0</v>
      </c>
    </row>
    <row r="372" spans="8:30">
      <c r="H372" s="166"/>
      <c r="I372" s="166"/>
      <c r="J372" s="166"/>
      <c r="AC372" s="254">
        <f t="shared" si="16"/>
        <v>0</v>
      </c>
      <c r="AD372" s="167">
        <f t="shared" si="17"/>
        <v>0</v>
      </c>
    </row>
    <row r="373" spans="8:30">
      <c r="H373" s="166"/>
      <c r="I373" s="166"/>
      <c r="J373" s="166"/>
      <c r="AC373" s="254">
        <f t="shared" si="16"/>
        <v>0</v>
      </c>
      <c r="AD373" s="167">
        <f t="shared" si="17"/>
        <v>0</v>
      </c>
    </row>
    <row r="374" spans="8:30">
      <c r="H374" s="166"/>
      <c r="I374" s="166"/>
      <c r="J374" s="166"/>
      <c r="AC374" s="254">
        <f t="shared" si="16"/>
        <v>0</v>
      </c>
      <c r="AD374" s="167">
        <f t="shared" si="17"/>
        <v>0</v>
      </c>
    </row>
    <row r="375" spans="8:30">
      <c r="H375" s="166"/>
      <c r="I375" s="166"/>
      <c r="J375" s="166"/>
      <c r="AC375" s="254">
        <f t="shared" si="16"/>
        <v>0</v>
      </c>
      <c r="AD375" s="167">
        <f t="shared" si="17"/>
        <v>0</v>
      </c>
    </row>
    <row r="376" spans="8:30">
      <c r="H376" s="166"/>
      <c r="I376" s="166"/>
      <c r="J376" s="166"/>
      <c r="AC376" s="254">
        <f t="shared" si="16"/>
        <v>0</v>
      </c>
      <c r="AD376" s="167">
        <f t="shared" si="17"/>
        <v>0</v>
      </c>
    </row>
    <row r="377" spans="8:30">
      <c r="H377" s="166"/>
      <c r="I377" s="166"/>
      <c r="J377" s="166"/>
      <c r="AC377" s="254">
        <f t="shared" si="16"/>
        <v>0</v>
      </c>
      <c r="AD377" s="167">
        <f t="shared" si="17"/>
        <v>0</v>
      </c>
    </row>
    <row r="378" spans="8:30">
      <c r="H378" s="166"/>
      <c r="I378" s="166"/>
      <c r="J378" s="166"/>
      <c r="AC378" s="254">
        <f t="shared" si="16"/>
        <v>0</v>
      </c>
      <c r="AD378" s="167">
        <f t="shared" si="17"/>
        <v>0</v>
      </c>
    </row>
    <row r="379" spans="8:30">
      <c r="H379" s="166"/>
      <c r="I379" s="166"/>
      <c r="J379" s="166"/>
      <c r="AC379" s="254">
        <f t="shared" si="16"/>
        <v>0</v>
      </c>
      <c r="AD379" s="167">
        <f t="shared" si="17"/>
        <v>0</v>
      </c>
    </row>
    <row r="380" spans="8:30">
      <c r="H380" s="166"/>
      <c r="I380" s="166"/>
      <c r="J380" s="166"/>
      <c r="AC380" s="254">
        <f t="shared" si="16"/>
        <v>0</v>
      </c>
      <c r="AD380" s="167">
        <f t="shared" si="17"/>
        <v>0</v>
      </c>
    </row>
    <row r="381" spans="8:30">
      <c r="H381" s="166"/>
      <c r="I381" s="166"/>
      <c r="J381" s="166"/>
      <c r="AC381" s="254">
        <f t="shared" si="16"/>
        <v>0</v>
      </c>
      <c r="AD381" s="167">
        <f t="shared" si="17"/>
        <v>0</v>
      </c>
    </row>
    <row r="382" spans="8:30">
      <c r="H382" s="166"/>
      <c r="I382" s="166"/>
      <c r="J382" s="166"/>
      <c r="AC382" s="254">
        <f t="shared" si="16"/>
        <v>0</v>
      </c>
      <c r="AD382" s="167">
        <f t="shared" si="17"/>
        <v>0</v>
      </c>
    </row>
    <row r="383" spans="8:30">
      <c r="H383" s="166"/>
      <c r="I383" s="166"/>
      <c r="J383" s="166"/>
      <c r="AC383" s="254">
        <f t="shared" si="16"/>
        <v>0</v>
      </c>
      <c r="AD383" s="167">
        <f t="shared" si="17"/>
        <v>0</v>
      </c>
    </row>
    <row r="384" spans="8:30">
      <c r="H384" s="166"/>
      <c r="I384" s="166"/>
      <c r="J384" s="166"/>
      <c r="AC384" s="254">
        <f t="shared" si="16"/>
        <v>0</v>
      </c>
      <c r="AD384" s="167">
        <f t="shared" si="17"/>
        <v>0</v>
      </c>
    </row>
    <row r="385" spans="8:30">
      <c r="H385" s="166"/>
      <c r="I385" s="166"/>
      <c r="J385" s="166"/>
      <c r="AC385" s="254">
        <f t="shared" si="16"/>
        <v>0</v>
      </c>
      <c r="AD385" s="167">
        <f t="shared" si="17"/>
        <v>0</v>
      </c>
    </row>
    <row r="386" spans="8:30">
      <c r="H386" s="166"/>
      <c r="I386" s="166"/>
      <c r="J386" s="166"/>
      <c r="AC386" s="254">
        <f t="shared" si="16"/>
        <v>0</v>
      </c>
      <c r="AD386" s="167">
        <f t="shared" si="17"/>
        <v>0</v>
      </c>
    </row>
    <row r="387" spans="8:30">
      <c r="H387" s="166"/>
      <c r="I387" s="166"/>
      <c r="J387" s="166"/>
      <c r="AC387" s="254">
        <f t="shared" si="16"/>
        <v>0</v>
      </c>
      <c r="AD387" s="167">
        <f t="shared" si="17"/>
        <v>0</v>
      </c>
    </row>
    <row r="388" spans="8:30">
      <c r="H388" s="166"/>
      <c r="I388" s="166"/>
      <c r="J388" s="166"/>
      <c r="AC388" s="254">
        <f t="shared" si="16"/>
        <v>0</v>
      </c>
      <c r="AD388" s="167">
        <f t="shared" si="17"/>
        <v>0</v>
      </c>
    </row>
    <row r="389" spans="8:30">
      <c r="H389" s="166"/>
      <c r="I389" s="166"/>
      <c r="J389" s="166"/>
      <c r="AC389" s="254">
        <f t="shared" si="16"/>
        <v>0</v>
      </c>
      <c r="AD389" s="167">
        <f t="shared" si="17"/>
        <v>0</v>
      </c>
    </row>
    <row r="390" spans="8:30">
      <c r="H390" s="166"/>
      <c r="I390" s="166"/>
      <c r="J390" s="166"/>
      <c r="AC390" s="254">
        <f t="shared" si="16"/>
        <v>0</v>
      </c>
      <c r="AD390" s="167">
        <f t="shared" si="17"/>
        <v>0</v>
      </c>
    </row>
    <row r="391" spans="8:30">
      <c r="H391" s="166"/>
      <c r="I391" s="166"/>
      <c r="J391" s="166"/>
      <c r="AC391" s="254">
        <f t="shared" si="16"/>
        <v>0</v>
      </c>
      <c r="AD391" s="167">
        <f t="shared" si="17"/>
        <v>0</v>
      </c>
    </row>
    <row r="392" spans="8:30">
      <c r="H392" s="166"/>
      <c r="I392" s="166"/>
      <c r="J392" s="166"/>
      <c r="AC392" s="254">
        <f t="shared" si="16"/>
        <v>0</v>
      </c>
      <c r="AD392" s="167">
        <f t="shared" si="17"/>
        <v>0</v>
      </c>
    </row>
    <row r="393" spans="8:30">
      <c r="H393" s="166"/>
      <c r="I393" s="166"/>
      <c r="J393" s="166"/>
      <c r="AC393" s="254">
        <f t="shared" si="16"/>
        <v>0</v>
      </c>
      <c r="AD393" s="167">
        <f t="shared" si="17"/>
        <v>0</v>
      </c>
    </row>
    <row r="394" spans="8:30">
      <c r="H394" s="166"/>
      <c r="I394" s="166"/>
      <c r="J394" s="166"/>
      <c r="AC394" s="254">
        <f t="shared" si="16"/>
        <v>0</v>
      </c>
      <c r="AD394" s="167">
        <f t="shared" si="17"/>
        <v>0</v>
      </c>
    </row>
    <row r="395" spans="8:30">
      <c r="H395" s="166"/>
      <c r="I395" s="166"/>
      <c r="J395" s="166"/>
      <c r="AC395" s="254">
        <f t="shared" si="16"/>
        <v>0</v>
      </c>
      <c r="AD395" s="167">
        <f t="shared" si="17"/>
        <v>0</v>
      </c>
    </row>
    <row r="396" spans="8:30">
      <c r="H396" s="166"/>
      <c r="I396" s="166"/>
      <c r="J396" s="166"/>
      <c r="AC396" s="254">
        <f t="shared" si="16"/>
        <v>0</v>
      </c>
      <c r="AD396" s="167">
        <f t="shared" si="17"/>
        <v>0</v>
      </c>
    </row>
    <row r="397" spans="8:30">
      <c r="H397" s="166"/>
      <c r="I397" s="166"/>
      <c r="J397" s="166"/>
      <c r="AC397" s="254">
        <f t="shared" si="16"/>
        <v>0</v>
      </c>
      <c r="AD397" s="167">
        <f t="shared" si="17"/>
        <v>0</v>
      </c>
    </row>
    <row r="398" spans="8:30">
      <c r="H398" s="166"/>
      <c r="I398" s="166"/>
      <c r="J398" s="166"/>
      <c r="AC398" s="254">
        <f t="shared" si="16"/>
        <v>0</v>
      </c>
      <c r="AD398" s="167">
        <f t="shared" si="17"/>
        <v>0</v>
      </c>
    </row>
    <row r="399" spans="8:30">
      <c r="H399" s="166"/>
      <c r="I399" s="166"/>
      <c r="J399" s="166"/>
      <c r="AC399" s="254">
        <f t="shared" si="16"/>
        <v>0</v>
      </c>
      <c r="AD399" s="167">
        <f t="shared" si="17"/>
        <v>0</v>
      </c>
    </row>
    <row r="400" spans="8:30">
      <c r="H400" s="166"/>
      <c r="I400" s="166"/>
      <c r="J400" s="166"/>
      <c r="AC400" s="254">
        <f t="shared" si="16"/>
        <v>0</v>
      </c>
      <c r="AD400" s="167">
        <f t="shared" si="17"/>
        <v>0</v>
      </c>
    </row>
    <row r="401" spans="8:30">
      <c r="H401" s="166"/>
      <c r="I401" s="166"/>
      <c r="J401" s="166"/>
      <c r="AD401" s="167">
        <f t="shared" ref="AD401:AD464" si="18">+IFERROR(IF(AB401&gt;0,"",-AB401),"")</f>
        <v>0</v>
      </c>
    </row>
    <row r="402" spans="8:30">
      <c r="H402" s="166"/>
      <c r="I402" s="166"/>
      <c r="J402" s="166"/>
      <c r="AD402" s="167">
        <f t="shared" si="18"/>
        <v>0</v>
      </c>
    </row>
    <row r="403" spans="8:30">
      <c r="H403" s="166"/>
      <c r="I403" s="166"/>
      <c r="J403" s="166"/>
      <c r="AD403" s="167">
        <f t="shared" si="18"/>
        <v>0</v>
      </c>
    </row>
    <row r="404" spans="8:30">
      <c r="H404" s="166"/>
      <c r="I404" s="166"/>
      <c r="J404" s="166"/>
      <c r="AD404" s="167">
        <f t="shared" si="18"/>
        <v>0</v>
      </c>
    </row>
    <row r="405" spans="8:30">
      <c r="H405" s="166"/>
      <c r="I405" s="166"/>
      <c r="J405" s="166"/>
      <c r="AD405" s="167">
        <f t="shared" si="18"/>
        <v>0</v>
      </c>
    </row>
    <row r="406" spans="8:30">
      <c r="H406" s="166"/>
      <c r="I406" s="166"/>
      <c r="J406" s="166"/>
      <c r="AD406" s="167">
        <f t="shared" si="18"/>
        <v>0</v>
      </c>
    </row>
    <row r="407" spans="8:30">
      <c r="H407" s="166"/>
      <c r="I407" s="166"/>
      <c r="J407" s="166"/>
      <c r="AD407" s="167">
        <f t="shared" si="18"/>
        <v>0</v>
      </c>
    </row>
    <row r="408" spans="8:30">
      <c r="H408" s="166"/>
      <c r="I408" s="166"/>
      <c r="J408" s="166"/>
      <c r="AD408" s="167">
        <f t="shared" si="18"/>
        <v>0</v>
      </c>
    </row>
    <row r="409" spans="8:30">
      <c r="H409" s="166"/>
      <c r="I409" s="166"/>
      <c r="J409" s="166"/>
      <c r="AD409" s="167">
        <f t="shared" si="18"/>
        <v>0</v>
      </c>
    </row>
    <row r="410" spans="8:30">
      <c r="H410" s="166"/>
      <c r="I410" s="166"/>
      <c r="J410" s="166"/>
      <c r="AD410" s="167">
        <f t="shared" si="18"/>
        <v>0</v>
      </c>
    </row>
    <row r="411" spans="8:30">
      <c r="H411" s="166"/>
      <c r="I411" s="166"/>
      <c r="J411" s="166"/>
      <c r="AD411" s="167">
        <f t="shared" si="18"/>
        <v>0</v>
      </c>
    </row>
    <row r="412" spans="8:30">
      <c r="H412" s="166"/>
      <c r="I412" s="166"/>
      <c r="J412" s="166"/>
      <c r="AD412" s="167">
        <f t="shared" si="18"/>
        <v>0</v>
      </c>
    </row>
    <row r="413" spans="8:30">
      <c r="H413" s="166"/>
      <c r="I413" s="166"/>
      <c r="J413" s="166"/>
      <c r="AD413" s="167">
        <f t="shared" si="18"/>
        <v>0</v>
      </c>
    </row>
    <row r="414" spans="8:30">
      <c r="H414" s="166"/>
      <c r="I414" s="166"/>
      <c r="J414" s="166"/>
      <c r="AD414" s="167">
        <f t="shared" si="18"/>
        <v>0</v>
      </c>
    </row>
    <row r="415" spans="8:30">
      <c r="H415" s="166"/>
      <c r="I415" s="166"/>
      <c r="J415" s="166"/>
      <c r="AD415" s="167">
        <f t="shared" si="18"/>
        <v>0</v>
      </c>
    </row>
    <row r="416" spans="8:30">
      <c r="H416" s="166"/>
      <c r="I416" s="166"/>
      <c r="J416" s="166"/>
      <c r="AD416" s="167">
        <f t="shared" si="18"/>
        <v>0</v>
      </c>
    </row>
    <row r="417" spans="8:30">
      <c r="H417" s="166"/>
      <c r="I417" s="166"/>
      <c r="J417" s="166"/>
      <c r="AD417" s="167">
        <f t="shared" si="18"/>
        <v>0</v>
      </c>
    </row>
    <row r="418" spans="8:30">
      <c r="H418" s="166"/>
      <c r="I418" s="166"/>
      <c r="J418" s="166"/>
      <c r="AD418" s="167">
        <f t="shared" si="18"/>
        <v>0</v>
      </c>
    </row>
    <row r="419" spans="8:30">
      <c r="H419" s="166"/>
      <c r="I419" s="166"/>
      <c r="J419" s="166"/>
      <c r="AD419" s="167">
        <f t="shared" si="18"/>
        <v>0</v>
      </c>
    </row>
    <row r="420" spans="8:30">
      <c r="H420" s="166"/>
      <c r="I420" s="166"/>
      <c r="J420" s="166"/>
      <c r="AD420" s="167">
        <f t="shared" si="18"/>
        <v>0</v>
      </c>
    </row>
    <row r="421" spans="8:30">
      <c r="H421" s="166"/>
      <c r="I421" s="166"/>
      <c r="J421" s="166"/>
      <c r="AD421" s="167">
        <f t="shared" si="18"/>
        <v>0</v>
      </c>
    </row>
    <row r="422" spans="8:30">
      <c r="H422" s="166"/>
      <c r="I422" s="166"/>
      <c r="J422" s="166"/>
      <c r="AD422" s="167">
        <f t="shared" si="18"/>
        <v>0</v>
      </c>
    </row>
    <row r="423" spans="8:30">
      <c r="H423" s="166"/>
      <c r="I423" s="166"/>
      <c r="J423" s="166"/>
      <c r="AD423" s="167">
        <f t="shared" si="18"/>
        <v>0</v>
      </c>
    </row>
    <row r="424" spans="8:30">
      <c r="H424" s="166"/>
      <c r="I424" s="166"/>
      <c r="J424" s="166"/>
      <c r="AD424" s="167">
        <f t="shared" si="18"/>
        <v>0</v>
      </c>
    </row>
    <row r="425" spans="8:30">
      <c r="H425" s="166"/>
      <c r="I425" s="166"/>
      <c r="J425" s="166"/>
      <c r="AD425" s="167">
        <f t="shared" si="18"/>
        <v>0</v>
      </c>
    </row>
    <row r="426" spans="8:30">
      <c r="H426" s="166"/>
      <c r="I426" s="166"/>
      <c r="J426" s="166"/>
      <c r="AD426" s="167">
        <f t="shared" si="18"/>
        <v>0</v>
      </c>
    </row>
    <row r="427" spans="8:30">
      <c r="H427" s="166"/>
      <c r="I427" s="166"/>
      <c r="J427" s="166"/>
      <c r="AD427" s="167">
        <f t="shared" si="18"/>
        <v>0</v>
      </c>
    </row>
    <row r="428" spans="8:30">
      <c r="H428" s="166"/>
      <c r="I428" s="166"/>
      <c r="J428" s="166"/>
      <c r="AD428" s="167">
        <f t="shared" si="18"/>
        <v>0</v>
      </c>
    </row>
    <row r="429" spans="8:30">
      <c r="H429" s="166"/>
      <c r="I429" s="166"/>
      <c r="J429" s="166"/>
      <c r="AD429" s="167">
        <f t="shared" si="18"/>
        <v>0</v>
      </c>
    </row>
    <row r="430" spans="8:30">
      <c r="H430" s="166"/>
      <c r="I430" s="166"/>
      <c r="J430" s="166"/>
      <c r="AD430" s="167">
        <f t="shared" si="18"/>
        <v>0</v>
      </c>
    </row>
    <row r="431" spans="8:30">
      <c r="H431" s="166"/>
      <c r="I431" s="166"/>
      <c r="J431" s="166"/>
      <c r="AD431" s="167">
        <f t="shared" si="18"/>
        <v>0</v>
      </c>
    </row>
    <row r="432" spans="8:30">
      <c r="H432" s="166"/>
      <c r="I432" s="166"/>
      <c r="J432" s="166"/>
      <c r="AD432" s="167">
        <f t="shared" si="18"/>
        <v>0</v>
      </c>
    </row>
    <row r="433" spans="8:30">
      <c r="H433" s="166"/>
      <c r="I433" s="166"/>
      <c r="J433" s="166"/>
      <c r="AD433" s="167">
        <f t="shared" si="18"/>
        <v>0</v>
      </c>
    </row>
    <row r="434" spans="8:30">
      <c r="H434" s="166"/>
      <c r="I434" s="166"/>
      <c r="J434" s="166"/>
      <c r="AD434" s="167">
        <f t="shared" si="18"/>
        <v>0</v>
      </c>
    </row>
    <row r="435" spans="8:30">
      <c r="H435" s="166"/>
      <c r="I435" s="166"/>
      <c r="J435" s="166"/>
      <c r="AD435" s="167">
        <f t="shared" si="18"/>
        <v>0</v>
      </c>
    </row>
    <row r="436" spans="8:30">
      <c r="H436" s="166"/>
      <c r="I436" s="166"/>
      <c r="J436" s="166"/>
      <c r="AD436" s="167">
        <f t="shared" si="18"/>
        <v>0</v>
      </c>
    </row>
    <row r="437" spans="8:30">
      <c r="H437" s="166"/>
      <c r="I437" s="166"/>
      <c r="J437" s="166"/>
      <c r="AD437" s="167">
        <f t="shared" si="18"/>
        <v>0</v>
      </c>
    </row>
    <row r="438" spans="8:30">
      <c r="H438" s="166"/>
      <c r="I438" s="166"/>
      <c r="J438" s="166"/>
      <c r="AD438" s="167">
        <f t="shared" si="18"/>
        <v>0</v>
      </c>
    </row>
    <row r="439" spans="8:30">
      <c r="H439" s="166"/>
      <c r="I439" s="166"/>
      <c r="J439" s="166"/>
      <c r="AD439" s="167">
        <f t="shared" si="18"/>
        <v>0</v>
      </c>
    </row>
    <row r="440" spans="8:30">
      <c r="H440" s="166"/>
      <c r="I440" s="166"/>
      <c r="J440" s="166"/>
      <c r="AD440" s="167">
        <f t="shared" si="18"/>
        <v>0</v>
      </c>
    </row>
    <row r="441" spans="8:30">
      <c r="H441" s="166"/>
      <c r="I441" s="166"/>
      <c r="J441" s="166"/>
      <c r="AD441" s="167">
        <f t="shared" si="18"/>
        <v>0</v>
      </c>
    </row>
    <row r="442" spans="8:30">
      <c r="H442" s="166"/>
      <c r="I442" s="166"/>
      <c r="J442" s="166"/>
      <c r="AD442" s="167">
        <f t="shared" si="18"/>
        <v>0</v>
      </c>
    </row>
    <row r="443" spans="8:30">
      <c r="H443" s="166"/>
      <c r="I443" s="166"/>
      <c r="J443" s="166"/>
      <c r="AD443" s="167">
        <f t="shared" si="18"/>
        <v>0</v>
      </c>
    </row>
    <row r="444" spans="8:30">
      <c r="H444" s="166"/>
      <c r="I444" s="166"/>
      <c r="J444" s="166"/>
      <c r="AD444" s="167">
        <f t="shared" si="18"/>
        <v>0</v>
      </c>
    </row>
    <row r="445" spans="8:30">
      <c r="H445" s="166"/>
      <c r="I445" s="166"/>
      <c r="J445" s="166"/>
      <c r="AD445" s="167">
        <f t="shared" si="18"/>
        <v>0</v>
      </c>
    </row>
    <row r="446" spans="8:30">
      <c r="H446" s="166"/>
      <c r="I446" s="166"/>
      <c r="J446" s="166"/>
      <c r="AD446" s="167">
        <f t="shared" si="18"/>
        <v>0</v>
      </c>
    </row>
    <row r="447" spans="8:30">
      <c r="H447" s="166"/>
      <c r="I447" s="166"/>
      <c r="J447" s="166"/>
      <c r="AD447" s="167">
        <f t="shared" si="18"/>
        <v>0</v>
      </c>
    </row>
    <row r="448" spans="8:30">
      <c r="H448" s="166"/>
      <c r="I448" s="166"/>
      <c r="J448" s="166"/>
      <c r="AD448" s="167">
        <f t="shared" si="18"/>
        <v>0</v>
      </c>
    </row>
    <row r="449" spans="8:30">
      <c r="H449" s="166"/>
      <c r="I449" s="166"/>
      <c r="J449" s="166"/>
      <c r="AD449" s="167">
        <f t="shared" si="18"/>
        <v>0</v>
      </c>
    </row>
    <row r="450" spans="8:30">
      <c r="H450" s="166"/>
      <c r="I450" s="166"/>
      <c r="J450" s="166"/>
      <c r="AD450" s="167">
        <f t="shared" si="18"/>
        <v>0</v>
      </c>
    </row>
    <row r="451" spans="8:30">
      <c r="H451" s="166"/>
      <c r="I451" s="166"/>
      <c r="J451" s="166"/>
      <c r="AD451" s="167">
        <f t="shared" si="18"/>
        <v>0</v>
      </c>
    </row>
    <row r="452" spans="8:30">
      <c r="H452" s="166"/>
      <c r="I452" s="166"/>
      <c r="J452" s="166"/>
      <c r="AD452" s="167">
        <f t="shared" si="18"/>
        <v>0</v>
      </c>
    </row>
    <row r="453" spans="8:30">
      <c r="H453" s="166"/>
      <c r="I453" s="166"/>
      <c r="J453" s="166"/>
      <c r="AD453" s="167">
        <f t="shared" si="18"/>
        <v>0</v>
      </c>
    </row>
    <row r="454" spans="8:30">
      <c r="H454" s="166"/>
      <c r="I454" s="166"/>
      <c r="J454" s="166"/>
      <c r="AD454" s="167">
        <f t="shared" si="18"/>
        <v>0</v>
      </c>
    </row>
    <row r="455" spans="8:30">
      <c r="H455" s="166"/>
      <c r="I455" s="166"/>
      <c r="J455" s="166"/>
      <c r="AD455" s="167">
        <f t="shared" si="18"/>
        <v>0</v>
      </c>
    </row>
    <row r="456" spans="8:30">
      <c r="H456" s="166"/>
      <c r="I456" s="166"/>
      <c r="J456" s="166"/>
      <c r="AD456" s="167">
        <f t="shared" si="18"/>
        <v>0</v>
      </c>
    </row>
    <row r="457" spans="8:30">
      <c r="H457" s="166"/>
      <c r="I457" s="166"/>
      <c r="J457" s="166"/>
      <c r="AD457" s="167">
        <f t="shared" si="18"/>
        <v>0</v>
      </c>
    </row>
    <row r="458" spans="8:30">
      <c r="H458" s="166"/>
      <c r="I458" s="166"/>
      <c r="J458" s="166"/>
      <c r="AD458" s="167">
        <f t="shared" si="18"/>
        <v>0</v>
      </c>
    </row>
    <row r="459" spans="8:30">
      <c r="H459" s="166"/>
      <c r="I459" s="166"/>
      <c r="J459" s="166"/>
      <c r="AD459" s="167">
        <f t="shared" si="18"/>
        <v>0</v>
      </c>
    </row>
    <row r="460" spans="8:30">
      <c r="H460" s="166"/>
      <c r="I460" s="166"/>
      <c r="J460" s="166"/>
      <c r="AD460" s="167">
        <f t="shared" si="18"/>
        <v>0</v>
      </c>
    </row>
    <row r="461" spans="8:30">
      <c r="H461" s="166"/>
      <c r="I461" s="166"/>
      <c r="J461" s="166"/>
      <c r="AD461" s="167">
        <f t="shared" si="18"/>
        <v>0</v>
      </c>
    </row>
    <row r="462" spans="8:30">
      <c r="H462" s="166"/>
      <c r="I462" s="166"/>
      <c r="J462" s="166"/>
      <c r="AD462" s="167">
        <f t="shared" si="18"/>
        <v>0</v>
      </c>
    </row>
    <row r="463" spans="8:30">
      <c r="H463" s="166"/>
      <c r="I463" s="166"/>
      <c r="J463" s="166"/>
      <c r="AD463" s="167">
        <f t="shared" si="18"/>
        <v>0</v>
      </c>
    </row>
    <row r="464" spans="8:30">
      <c r="H464" s="166"/>
      <c r="I464" s="166"/>
      <c r="J464" s="166"/>
      <c r="AD464" s="167">
        <f t="shared" si="18"/>
        <v>0</v>
      </c>
    </row>
    <row r="465" spans="8:30">
      <c r="H465" s="166"/>
      <c r="I465" s="166"/>
      <c r="J465" s="166"/>
      <c r="AD465" s="167">
        <f t="shared" ref="AD465:AD500" si="19">+IFERROR(IF(AB465&gt;0,"",-AB465),"")</f>
        <v>0</v>
      </c>
    </row>
    <row r="466" spans="8:30">
      <c r="H466" s="166"/>
      <c r="I466" s="166"/>
      <c r="J466" s="166"/>
      <c r="AD466" s="167">
        <f t="shared" si="19"/>
        <v>0</v>
      </c>
    </row>
    <row r="467" spans="8:30">
      <c r="H467" s="166"/>
      <c r="I467" s="166"/>
      <c r="J467" s="166"/>
      <c r="AD467" s="167">
        <f t="shared" si="19"/>
        <v>0</v>
      </c>
    </row>
    <row r="468" spans="8:30">
      <c r="H468" s="166"/>
      <c r="I468" s="166"/>
      <c r="J468" s="166"/>
      <c r="AD468" s="167">
        <f t="shared" si="19"/>
        <v>0</v>
      </c>
    </row>
    <row r="469" spans="8:30">
      <c r="H469" s="166"/>
      <c r="I469" s="166"/>
      <c r="J469" s="166"/>
      <c r="AD469" s="167">
        <f t="shared" si="19"/>
        <v>0</v>
      </c>
    </row>
    <row r="470" spans="8:30">
      <c r="H470" s="166"/>
      <c r="I470" s="166"/>
      <c r="J470" s="166"/>
      <c r="AD470" s="167">
        <f t="shared" si="19"/>
        <v>0</v>
      </c>
    </row>
    <row r="471" spans="8:30">
      <c r="H471" s="166"/>
      <c r="I471" s="166"/>
      <c r="J471" s="166"/>
      <c r="AD471" s="167">
        <f t="shared" si="19"/>
        <v>0</v>
      </c>
    </row>
    <row r="472" spans="8:30" ht="14.25" customHeight="1">
      <c r="AD472" s="167">
        <f t="shared" si="19"/>
        <v>0</v>
      </c>
    </row>
    <row r="473" spans="8:30" ht="14.25" customHeight="1">
      <c r="AD473" s="167">
        <f t="shared" si="19"/>
        <v>0</v>
      </c>
    </row>
    <row r="474" spans="8:30" ht="14.25" customHeight="1">
      <c r="AD474" s="167">
        <f t="shared" si="19"/>
        <v>0</v>
      </c>
    </row>
    <row r="475" spans="8:30" ht="14.25" customHeight="1">
      <c r="AD475" s="167">
        <f t="shared" si="19"/>
        <v>0</v>
      </c>
    </row>
    <row r="476" spans="8:30" ht="14.25" customHeight="1">
      <c r="AD476" s="167">
        <f t="shared" si="19"/>
        <v>0</v>
      </c>
    </row>
    <row r="477" spans="8:30" ht="14.25" customHeight="1">
      <c r="AD477" s="167">
        <f t="shared" si="19"/>
        <v>0</v>
      </c>
    </row>
    <row r="478" spans="8:30" ht="14.25" customHeight="1">
      <c r="AD478" s="167">
        <f t="shared" si="19"/>
        <v>0</v>
      </c>
    </row>
    <row r="479" spans="8:30" ht="14.25" customHeight="1">
      <c r="AD479" s="167">
        <f t="shared" si="19"/>
        <v>0</v>
      </c>
    </row>
    <row r="480" spans="8:30" ht="14.25" customHeight="1">
      <c r="AD480" s="167">
        <f t="shared" si="19"/>
        <v>0</v>
      </c>
    </row>
    <row r="481" spans="30:30" ht="14.25" customHeight="1">
      <c r="AD481" s="167">
        <f t="shared" si="19"/>
        <v>0</v>
      </c>
    </row>
    <row r="482" spans="30:30" ht="14.25" customHeight="1">
      <c r="AD482" s="167">
        <f t="shared" si="19"/>
        <v>0</v>
      </c>
    </row>
    <row r="483" spans="30:30" ht="14.25" customHeight="1">
      <c r="AD483" s="167">
        <f t="shared" si="19"/>
        <v>0</v>
      </c>
    </row>
    <row r="484" spans="30:30" ht="14.25" customHeight="1">
      <c r="AD484" s="167">
        <f t="shared" si="19"/>
        <v>0</v>
      </c>
    </row>
    <row r="485" spans="30:30" ht="14.25" customHeight="1">
      <c r="AD485" s="167">
        <f t="shared" si="19"/>
        <v>0</v>
      </c>
    </row>
    <row r="486" spans="30:30" ht="14.25" customHeight="1">
      <c r="AD486" s="167">
        <f t="shared" si="19"/>
        <v>0</v>
      </c>
    </row>
    <row r="487" spans="30:30" ht="14.25" customHeight="1">
      <c r="AD487" s="167">
        <f t="shared" si="19"/>
        <v>0</v>
      </c>
    </row>
    <row r="488" spans="30:30" ht="14.25" customHeight="1">
      <c r="AD488" s="167">
        <f t="shared" si="19"/>
        <v>0</v>
      </c>
    </row>
    <row r="489" spans="30:30" ht="14.25" customHeight="1">
      <c r="AD489" s="167">
        <f t="shared" si="19"/>
        <v>0</v>
      </c>
    </row>
    <row r="490" spans="30:30" ht="14.25" customHeight="1">
      <c r="AD490" s="167">
        <f t="shared" si="19"/>
        <v>0</v>
      </c>
    </row>
    <row r="491" spans="30:30" ht="14.25" customHeight="1">
      <c r="AD491" s="167">
        <f t="shared" si="19"/>
        <v>0</v>
      </c>
    </row>
    <row r="492" spans="30:30" ht="14.25" customHeight="1">
      <c r="AD492" s="167">
        <f t="shared" si="19"/>
        <v>0</v>
      </c>
    </row>
    <row r="493" spans="30:30" ht="14.25" customHeight="1">
      <c r="AD493" s="167">
        <f t="shared" si="19"/>
        <v>0</v>
      </c>
    </row>
    <row r="494" spans="30:30" ht="14.25" customHeight="1">
      <c r="AD494" s="167">
        <f t="shared" si="19"/>
        <v>0</v>
      </c>
    </row>
    <row r="495" spans="30:30" ht="14.25" customHeight="1">
      <c r="AD495" s="167">
        <f t="shared" si="19"/>
        <v>0</v>
      </c>
    </row>
    <row r="496" spans="30:30" ht="14.25" customHeight="1">
      <c r="AD496" s="167">
        <f t="shared" si="19"/>
        <v>0</v>
      </c>
    </row>
    <row r="497" spans="30:30" ht="14.25" customHeight="1">
      <c r="AD497" s="167">
        <f t="shared" si="19"/>
        <v>0</v>
      </c>
    </row>
    <row r="498" spans="30:30" ht="14.25" customHeight="1">
      <c r="AD498" s="167">
        <f t="shared" si="19"/>
        <v>0</v>
      </c>
    </row>
    <row r="499" spans="30:30" ht="14.25" customHeight="1">
      <c r="AD499" s="167">
        <f t="shared" si="19"/>
        <v>0</v>
      </c>
    </row>
    <row r="500" spans="30:30" ht="14.25" customHeight="1">
      <c r="AD500" s="167">
        <f t="shared" si="19"/>
        <v>0</v>
      </c>
    </row>
  </sheetData>
  <sheetProtection algorithmName="SHA-512" hashValue="CTTmfZd+WYXbUet15iaIowYHjSLyJWZ64aMiITGnQW4djzYKo+Qy/1t7/ClRUbVR8KdXnOJWOXF25gfzgBjfug==" saltValue="oI+SqluhtDGHZpfd96cUzg==" spinCount="100000" sheet="1" autoFilter="0" pivotTables="0"/>
  <autoFilter ref="B15:Z150" xr:uid="{00000000-0009-0000-0000-000005000000}"/>
  <mergeCells count="1">
    <mergeCell ref="B10:C10"/>
  </mergeCells>
  <dataValidations count="1">
    <dataValidation type="list" allowBlank="1" showInputMessage="1" showErrorMessage="1" sqref="H10" xr:uid="{00000000-0002-0000-0500-000000000000}">
      <formula1>Cuentas</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dimension ref="B8:J646"/>
  <sheetViews>
    <sheetView showGridLines="0" showRowColHeaders="0" zoomScale="85" zoomScaleNormal="85" workbookViewId="0">
      <selection activeCell="B19" sqref="B19"/>
    </sheetView>
  </sheetViews>
  <sheetFormatPr defaultColWidth="8.7109375" defaultRowHeight="15" customHeight="1"/>
  <cols>
    <col min="1" max="1" width="2.85546875" style="160" customWidth="1"/>
    <col min="2" max="2" width="59" style="160" customWidth="1"/>
    <col min="3" max="3" width="11.5703125" style="160" customWidth="1"/>
    <col min="4" max="4" width="14.7109375" style="160" customWidth="1"/>
    <col min="5" max="5" width="22.7109375" style="167" customWidth="1"/>
    <col min="6" max="6" width="26.140625" style="167" customWidth="1"/>
    <col min="7" max="7" width="13.42578125" style="160" bestFit="1" customWidth="1"/>
    <col min="8" max="8" width="14.5703125" style="160" customWidth="1"/>
    <col min="9" max="9" width="15.85546875" style="160" customWidth="1"/>
    <col min="10" max="10" width="16.28515625" style="160" customWidth="1"/>
    <col min="11" max="16384" width="8.7109375" style="160"/>
  </cols>
  <sheetData>
    <row r="8" spans="2:10" ht="15" customHeight="1" thickBot="1">
      <c r="B8" s="241"/>
      <c r="C8" s="241"/>
      <c r="D8" s="241"/>
      <c r="E8" s="242"/>
      <c r="F8" s="242"/>
      <c r="G8" s="241"/>
      <c r="H8" s="241"/>
      <c r="I8" s="241"/>
      <c r="J8" s="241"/>
    </row>
    <row r="9" spans="2:10" ht="12" customHeight="1" thickTop="1">
      <c r="B9" s="400" t="s">
        <v>448</v>
      </c>
      <c r="C9" s="400"/>
      <c r="D9" s="400"/>
      <c r="E9" s="400"/>
      <c r="F9" s="400"/>
      <c r="G9" s="400"/>
      <c r="H9" s="400"/>
      <c r="I9" s="400"/>
      <c r="J9" s="400"/>
    </row>
    <row r="10" spans="2:10" ht="12" customHeight="1">
      <c r="B10" s="401"/>
      <c r="C10" s="401"/>
      <c r="D10" s="401"/>
      <c r="E10" s="401"/>
      <c r="F10" s="401"/>
      <c r="G10" s="401"/>
      <c r="H10" s="401"/>
      <c r="I10" s="401"/>
      <c r="J10" s="401"/>
    </row>
    <row r="11" spans="2:10" ht="14.45" customHeight="1">
      <c r="B11" s="292"/>
      <c r="C11" s="292"/>
      <c r="D11" s="292"/>
      <c r="E11" s="292"/>
      <c r="F11" s="292"/>
      <c r="G11" s="292"/>
    </row>
    <row r="12" spans="2:10" ht="14.45" customHeight="1">
      <c r="B12" s="292"/>
      <c r="C12" s="292"/>
      <c r="D12" s="292"/>
      <c r="E12" s="292"/>
      <c r="F12" s="292"/>
      <c r="G12" s="292"/>
    </row>
    <row r="13" spans="2:10" ht="14.45" customHeight="1">
      <c r="B13" s="292"/>
      <c r="C13" s="292"/>
      <c r="D13" s="292"/>
      <c r="E13" s="292"/>
      <c r="F13" s="292"/>
      <c r="G13" s="292"/>
    </row>
    <row r="14" spans="2:10" ht="15.75" customHeight="1">
      <c r="B14" s="292"/>
      <c r="C14" s="292"/>
      <c r="D14" s="292"/>
      <c r="E14" s="292"/>
      <c r="F14" s="292"/>
      <c r="G14" s="292"/>
    </row>
    <row r="15" spans="2:10" ht="14.45" customHeight="1">
      <c r="B15" s="292"/>
      <c r="C15" s="292"/>
      <c r="D15" s="292"/>
      <c r="E15" s="292"/>
      <c r="F15" s="292"/>
      <c r="G15" s="292"/>
    </row>
    <row r="16" spans="2:10" ht="18" hidden="1">
      <c r="B16" s="332" t="s">
        <v>426</v>
      </c>
      <c r="C16" s="333" t="s">
        <v>427</v>
      </c>
      <c r="D16" s="292"/>
      <c r="E16" s="292"/>
      <c r="F16" s="292"/>
      <c r="G16" s="292"/>
    </row>
    <row r="17" spans="2:10" ht="14.25" hidden="1">
      <c r="B17" s="332" t="s">
        <v>428</v>
      </c>
      <c r="C17" s="333" t="s">
        <v>429</v>
      </c>
    </row>
    <row r="19" spans="2:10" ht="14.25">
      <c r="B19" s="332" t="s">
        <v>434</v>
      </c>
      <c r="C19" s="332" t="s">
        <v>432</v>
      </c>
      <c r="D19" s="332" t="s">
        <v>433</v>
      </c>
      <c r="E19" s="332" t="s">
        <v>430</v>
      </c>
      <c r="F19" s="332" t="s">
        <v>449</v>
      </c>
      <c r="G19" s="334" t="s">
        <v>435</v>
      </c>
      <c r="H19" s="334" t="s">
        <v>436</v>
      </c>
      <c r="I19" s="334" t="s">
        <v>450</v>
      </c>
      <c r="J19" s="334" t="s">
        <v>451</v>
      </c>
    </row>
    <row r="20" spans="2:10">
      <c r="B20"/>
      <c r="C20"/>
      <c r="D20"/>
      <c r="E20"/>
      <c r="F20"/>
      <c r="G20"/>
      <c r="H20"/>
      <c r="I20"/>
      <c r="J20"/>
    </row>
    <row r="21" spans="2:10">
      <c r="B21"/>
      <c r="C21"/>
      <c r="D21"/>
      <c r="E21"/>
      <c r="F21"/>
      <c r="G21"/>
      <c r="H21"/>
      <c r="I21"/>
      <c r="J21"/>
    </row>
    <row r="22" spans="2:10">
      <c r="B22"/>
      <c r="C22"/>
      <c r="D22"/>
      <c r="E22"/>
      <c r="F22"/>
      <c r="G22"/>
      <c r="H22"/>
      <c r="I22"/>
      <c r="J22"/>
    </row>
    <row r="23" spans="2:10">
      <c r="B23"/>
      <c r="C23"/>
      <c r="D23"/>
      <c r="E23"/>
      <c r="F23"/>
      <c r="G23"/>
      <c r="H23"/>
      <c r="I23"/>
      <c r="J23"/>
    </row>
    <row r="24" spans="2:10">
      <c r="B24"/>
      <c r="C24"/>
      <c r="D24"/>
      <c r="E24"/>
      <c r="F24"/>
      <c r="G24"/>
      <c r="H24"/>
      <c r="I24"/>
      <c r="J24"/>
    </row>
    <row r="25" spans="2:10">
      <c r="B25"/>
      <c r="C25"/>
      <c r="D25"/>
      <c r="E25"/>
      <c r="F25"/>
      <c r="G25"/>
      <c r="H25"/>
      <c r="I25"/>
      <c r="J25"/>
    </row>
    <row r="26" spans="2:10">
      <c r="B26"/>
      <c r="C26"/>
      <c r="D26"/>
      <c r="E26"/>
      <c r="F26"/>
      <c r="G26"/>
      <c r="H26"/>
      <c r="I26"/>
      <c r="J26"/>
    </row>
    <row r="27" spans="2:10">
      <c r="B27"/>
      <c r="C27"/>
      <c r="D27"/>
      <c r="E27"/>
      <c r="F27"/>
      <c r="G27"/>
      <c r="H27"/>
      <c r="I27"/>
      <c r="J27"/>
    </row>
    <row r="28" spans="2:10">
      <c r="B28"/>
      <c r="C28"/>
      <c r="D28"/>
      <c r="E28"/>
      <c r="F28"/>
      <c r="G28"/>
      <c r="H28"/>
      <c r="I28"/>
      <c r="J28"/>
    </row>
    <row r="29" spans="2:10">
      <c r="B29"/>
      <c r="C29"/>
      <c r="D29"/>
      <c r="E29"/>
      <c r="F29"/>
      <c r="G29"/>
      <c r="H29"/>
      <c r="I29"/>
      <c r="J29"/>
    </row>
    <row r="30" spans="2:10">
      <c r="B30"/>
      <c r="C30"/>
      <c r="D30"/>
      <c r="E30"/>
      <c r="F30"/>
      <c r="G30"/>
      <c r="H30"/>
      <c r="I30"/>
      <c r="J30"/>
    </row>
    <row r="31" spans="2:10">
      <c r="B31"/>
      <c r="C31"/>
      <c r="D31"/>
      <c r="E31"/>
      <c r="F31"/>
      <c r="G31"/>
      <c r="H31"/>
      <c r="I31"/>
      <c r="J31"/>
    </row>
    <row r="32" spans="2:10">
      <c r="B32"/>
      <c r="C32"/>
      <c r="D32"/>
      <c r="E32"/>
      <c r="F32"/>
      <c r="G32"/>
      <c r="H32"/>
      <c r="I32"/>
      <c r="J32"/>
    </row>
    <row r="33" spans="2:10">
      <c r="B33"/>
      <c r="C33"/>
      <c r="D33"/>
      <c r="E33"/>
      <c r="F33"/>
      <c r="G33"/>
      <c r="H33"/>
      <c r="I33"/>
      <c r="J33"/>
    </row>
    <row r="34" spans="2:10">
      <c r="B34"/>
      <c r="C34"/>
      <c r="D34"/>
      <c r="E34"/>
      <c r="F34"/>
      <c r="G34"/>
      <c r="H34"/>
      <c r="I34"/>
      <c r="J34"/>
    </row>
    <row r="35" spans="2:10">
      <c r="B35"/>
      <c r="C35"/>
      <c r="D35"/>
      <c r="E35"/>
      <c r="F35"/>
      <c r="G35"/>
      <c r="H35"/>
      <c r="I35"/>
      <c r="J35"/>
    </row>
    <row r="36" spans="2:10">
      <c r="B36"/>
      <c r="C36"/>
      <c r="D36"/>
      <c r="E36"/>
      <c r="F36"/>
      <c r="G36"/>
      <c r="H36"/>
      <c r="I36"/>
      <c r="J36"/>
    </row>
    <row r="37" spans="2:10">
      <c r="B37"/>
      <c r="C37"/>
      <c r="D37"/>
      <c r="E37"/>
      <c r="F37"/>
      <c r="G37"/>
      <c r="H37"/>
      <c r="I37"/>
      <c r="J37"/>
    </row>
    <row r="38" spans="2:10">
      <c r="B38"/>
      <c r="C38"/>
      <c r="D38"/>
      <c r="E38"/>
      <c r="F38"/>
      <c r="G38"/>
      <c r="H38"/>
      <c r="I38"/>
      <c r="J38"/>
    </row>
    <row r="39" spans="2:10">
      <c r="B39"/>
      <c r="C39"/>
      <c r="D39"/>
      <c r="E39"/>
      <c r="F39"/>
      <c r="G39"/>
      <c r="H39"/>
      <c r="I39"/>
      <c r="J39"/>
    </row>
    <row r="40" spans="2:10">
      <c r="B40"/>
      <c r="C40"/>
      <c r="D40"/>
      <c r="E40"/>
      <c r="F40"/>
      <c r="G40"/>
      <c r="H40"/>
      <c r="I40"/>
      <c r="J40"/>
    </row>
    <row r="41" spans="2:10">
      <c r="B41"/>
      <c r="C41"/>
      <c r="D41"/>
      <c r="E41"/>
      <c r="F41"/>
      <c r="G41"/>
      <c r="H41"/>
      <c r="I41"/>
      <c r="J41"/>
    </row>
    <row r="42" spans="2:10">
      <c r="B42"/>
      <c r="C42"/>
      <c r="D42"/>
      <c r="E42"/>
      <c r="F42"/>
      <c r="G42"/>
      <c r="H42"/>
      <c r="I42"/>
      <c r="J42"/>
    </row>
    <row r="43" spans="2:10">
      <c r="B43"/>
      <c r="C43"/>
      <c r="D43"/>
      <c r="E43"/>
      <c r="F43"/>
      <c r="G43"/>
      <c r="H43"/>
      <c r="I43"/>
      <c r="J43"/>
    </row>
    <row r="44" spans="2:10">
      <c r="B44"/>
      <c r="C44"/>
      <c r="D44"/>
      <c r="E44"/>
      <c r="F44"/>
      <c r="G44"/>
      <c r="H44"/>
      <c r="I44"/>
      <c r="J44"/>
    </row>
    <row r="45" spans="2:10">
      <c r="B45"/>
      <c r="C45"/>
      <c r="D45"/>
      <c r="E45"/>
      <c r="F45"/>
      <c r="G45"/>
      <c r="H45"/>
      <c r="I45"/>
      <c r="J45"/>
    </row>
    <row r="46" spans="2:10">
      <c r="B46"/>
      <c r="C46"/>
      <c r="D46"/>
      <c r="E46"/>
      <c r="F46"/>
      <c r="G46"/>
      <c r="H46"/>
      <c r="I46"/>
      <c r="J46"/>
    </row>
    <row r="47" spans="2:10">
      <c r="B47"/>
      <c r="C47"/>
      <c r="D47"/>
      <c r="E47"/>
      <c r="F47"/>
      <c r="G47"/>
      <c r="H47"/>
      <c r="I47"/>
      <c r="J47"/>
    </row>
    <row r="48" spans="2:10">
      <c r="B48"/>
      <c r="C48"/>
      <c r="D48"/>
      <c r="E48"/>
      <c r="F48"/>
      <c r="G48"/>
      <c r="H48"/>
      <c r="I48"/>
      <c r="J48"/>
    </row>
    <row r="49" spans="2:10">
      <c r="B49"/>
      <c r="C49"/>
      <c r="D49"/>
      <c r="E49"/>
      <c r="F49"/>
      <c r="G49"/>
      <c r="H49"/>
      <c r="I49"/>
      <c r="J49"/>
    </row>
    <row r="50" spans="2:10">
      <c r="B50"/>
      <c r="C50"/>
      <c r="D50"/>
      <c r="E50"/>
      <c r="F50"/>
      <c r="G50"/>
      <c r="H50"/>
      <c r="I50"/>
      <c r="J50"/>
    </row>
    <row r="51" spans="2:10">
      <c r="B51"/>
      <c r="C51"/>
      <c r="D51"/>
      <c r="E51"/>
      <c r="F51"/>
      <c r="G51"/>
      <c r="H51"/>
      <c r="I51"/>
      <c r="J51"/>
    </row>
    <row r="52" spans="2:10">
      <c r="B52"/>
      <c r="C52"/>
      <c r="D52"/>
      <c r="E52"/>
      <c r="F52"/>
      <c r="G52"/>
      <c r="H52"/>
      <c r="I52"/>
      <c r="J52"/>
    </row>
    <row r="53" spans="2:10">
      <c r="B53"/>
      <c r="C53"/>
      <c r="D53"/>
      <c r="E53"/>
      <c r="F53"/>
      <c r="G53"/>
      <c r="H53"/>
      <c r="I53"/>
      <c r="J53"/>
    </row>
    <row r="54" spans="2:10">
      <c r="B54"/>
      <c r="C54"/>
      <c r="D54"/>
      <c r="E54"/>
      <c r="F54"/>
      <c r="G54"/>
      <c r="H54"/>
      <c r="I54"/>
      <c r="J54"/>
    </row>
    <row r="55" spans="2:10">
      <c r="B55"/>
      <c r="C55"/>
      <c r="D55"/>
      <c r="E55"/>
      <c r="F55"/>
      <c r="G55"/>
      <c r="H55"/>
      <c r="I55"/>
      <c r="J55"/>
    </row>
    <row r="56" spans="2:10">
      <c r="B56"/>
      <c r="C56"/>
      <c r="D56"/>
      <c r="E56"/>
      <c r="F56"/>
      <c r="G56"/>
      <c r="H56"/>
      <c r="I56"/>
      <c r="J56"/>
    </row>
    <row r="57" spans="2:10">
      <c r="B57"/>
      <c r="C57"/>
      <c r="D57"/>
      <c r="E57"/>
      <c r="F57"/>
      <c r="G57"/>
      <c r="H57"/>
      <c r="I57"/>
      <c r="J57"/>
    </row>
    <row r="58" spans="2:10">
      <c r="B58"/>
      <c r="C58"/>
      <c r="D58"/>
      <c r="E58"/>
      <c r="F58"/>
      <c r="G58"/>
      <c r="H58"/>
      <c r="I58"/>
      <c r="J58"/>
    </row>
    <row r="59" spans="2:10">
      <c r="B59"/>
      <c r="C59"/>
      <c r="D59"/>
      <c r="E59"/>
      <c r="F59"/>
      <c r="G59"/>
      <c r="H59"/>
      <c r="I59"/>
      <c r="J59"/>
    </row>
    <row r="60" spans="2:10">
      <c r="B60"/>
      <c r="C60"/>
      <c r="D60"/>
      <c r="E60"/>
      <c r="F60"/>
      <c r="G60"/>
      <c r="H60"/>
      <c r="I60"/>
      <c r="J60"/>
    </row>
    <row r="61" spans="2:10">
      <c r="B61"/>
      <c r="C61"/>
      <c r="D61"/>
      <c r="E61"/>
      <c r="F61"/>
      <c r="G61"/>
      <c r="H61"/>
      <c r="I61"/>
      <c r="J61"/>
    </row>
    <row r="62" spans="2:10">
      <c r="B62"/>
      <c r="C62"/>
      <c r="D62"/>
      <c r="E62"/>
      <c r="F62"/>
      <c r="G62"/>
      <c r="H62"/>
      <c r="I62"/>
      <c r="J62"/>
    </row>
    <row r="63" spans="2:10">
      <c r="B63"/>
      <c r="C63"/>
      <c r="D63"/>
      <c r="E63"/>
      <c r="F63"/>
      <c r="G63"/>
      <c r="H63"/>
      <c r="I63"/>
      <c r="J63"/>
    </row>
    <row r="64" spans="2:10">
      <c r="B64"/>
      <c r="C64"/>
      <c r="D64"/>
      <c r="E64"/>
      <c r="F64"/>
      <c r="G64"/>
      <c r="H64"/>
      <c r="I64"/>
      <c r="J64"/>
    </row>
    <row r="65" spans="2:10">
      <c r="B65"/>
      <c r="C65"/>
      <c r="D65"/>
      <c r="E65"/>
      <c r="F65"/>
      <c r="G65"/>
      <c r="H65"/>
      <c r="I65"/>
      <c r="J65"/>
    </row>
    <row r="66" spans="2:10">
      <c r="B66"/>
      <c r="C66"/>
      <c r="D66"/>
      <c r="E66"/>
      <c r="F66"/>
      <c r="G66"/>
      <c r="H66"/>
      <c r="I66"/>
      <c r="J66"/>
    </row>
    <row r="67" spans="2:10">
      <c r="B67"/>
      <c r="C67"/>
      <c r="D67"/>
      <c r="E67"/>
      <c r="F67"/>
      <c r="G67"/>
      <c r="H67"/>
      <c r="I67"/>
      <c r="J67"/>
    </row>
    <row r="68" spans="2:10">
      <c r="B68"/>
      <c r="C68"/>
      <c r="D68"/>
      <c r="E68"/>
      <c r="F68"/>
      <c r="G68"/>
      <c r="H68"/>
      <c r="I68"/>
      <c r="J68"/>
    </row>
    <row r="69" spans="2:10">
      <c r="B69"/>
      <c r="C69"/>
      <c r="D69"/>
      <c r="E69"/>
      <c r="F69"/>
      <c r="G69"/>
      <c r="H69"/>
      <c r="I69"/>
      <c r="J69"/>
    </row>
    <row r="70" spans="2:10">
      <c r="B70"/>
      <c r="C70"/>
      <c r="D70"/>
      <c r="E70"/>
      <c r="F70"/>
      <c r="G70"/>
      <c r="H70"/>
      <c r="I70"/>
      <c r="J70"/>
    </row>
    <row r="71" spans="2:10">
      <c r="B71"/>
      <c r="C71"/>
      <c r="D71"/>
      <c r="E71"/>
      <c r="F71"/>
      <c r="G71"/>
      <c r="H71"/>
      <c r="I71"/>
      <c r="J71"/>
    </row>
    <row r="72" spans="2:10">
      <c r="B72"/>
      <c r="C72"/>
      <c r="D72"/>
      <c r="E72"/>
      <c r="F72"/>
      <c r="G72"/>
      <c r="H72"/>
      <c r="I72"/>
      <c r="J72"/>
    </row>
    <row r="73" spans="2:10">
      <c r="B73"/>
      <c r="C73"/>
      <c r="D73"/>
      <c r="E73"/>
      <c r="F73"/>
      <c r="G73"/>
      <c r="H73"/>
      <c r="I73"/>
      <c r="J73"/>
    </row>
    <row r="74" spans="2:10">
      <c r="B74"/>
      <c r="C74"/>
      <c r="D74"/>
      <c r="E74"/>
      <c r="F74"/>
      <c r="G74"/>
      <c r="H74"/>
      <c r="I74"/>
      <c r="J74"/>
    </row>
    <row r="75" spans="2:10">
      <c r="B75"/>
      <c r="C75"/>
      <c r="D75"/>
      <c r="E75"/>
      <c r="F75"/>
      <c r="G75"/>
      <c r="H75"/>
      <c r="I75"/>
      <c r="J75"/>
    </row>
    <row r="76" spans="2:10">
      <c r="B76"/>
      <c r="C76"/>
      <c r="D76"/>
      <c r="E76"/>
      <c r="F76"/>
      <c r="G76"/>
      <c r="H76"/>
      <c r="I76"/>
      <c r="J76"/>
    </row>
    <row r="77" spans="2:10">
      <c r="B77"/>
      <c r="C77"/>
      <c r="D77"/>
      <c r="E77"/>
      <c r="F77"/>
      <c r="G77"/>
      <c r="H77"/>
      <c r="I77"/>
      <c r="J77"/>
    </row>
    <row r="78" spans="2:10">
      <c r="B78"/>
      <c r="C78"/>
      <c r="D78"/>
      <c r="E78"/>
      <c r="F78"/>
      <c r="G78"/>
      <c r="H78"/>
      <c r="I78"/>
      <c r="J78"/>
    </row>
    <row r="79" spans="2:10">
      <c r="B79"/>
      <c r="C79"/>
      <c r="D79"/>
      <c r="E79"/>
      <c r="F79"/>
      <c r="G79"/>
      <c r="H79"/>
      <c r="I79"/>
      <c r="J79"/>
    </row>
    <row r="80" spans="2:10">
      <c r="B80"/>
      <c r="C80"/>
      <c r="D80"/>
      <c r="E80"/>
      <c r="F80"/>
      <c r="G80"/>
      <c r="H80"/>
      <c r="I80"/>
      <c r="J80"/>
    </row>
    <row r="81" spans="2:10">
      <c r="B81"/>
      <c r="C81"/>
      <c r="D81"/>
      <c r="E81"/>
      <c r="F81"/>
      <c r="G81"/>
      <c r="H81"/>
      <c r="I81"/>
      <c r="J81"/>
    </row>
    <row r="82" spans="2:10">
      <c r="B82"/>
      <c r="C82"/>
      <c r="D82"/>
      <c r="E82"/>
      <c r="F82"/>
      <c r="G82"/>
      <c r="H82"/>
      <c r="I82"/>
      <c r="J82"/>
    </row>
    <row r="83" spans="2:10">
      <c r="B83"/>
      <c r="C83"/>
      <c r="D83"/>
      <c r="E83"/>
      <c r="F83"/>
      <c r="G83"/>
      <c r="H83"/>
      <c r="I83"/>
      <c r="J83"/>
    </row>
    <row r="84" spans="2:10">
      <c r="B84"/>
      <c r="C84"/>
      <c r="D84"/>
      <c r="E84"/>
      <c r="F84"/>
      <c r="G84"/>
      <c r="H84"/>
      <c r="I84"/>
      <c r="J84"/>
    </row>
    <row r="85" spans="2:10">
      <c r="B85"/>
      <c r="C85"/>
      <c r="D85"/>
      <c r="E85"/>
      <c r="F85"/>
      <c r="G85"/>
      <c r="H85"/>
      <c r="I85"/>
      <c r="J85"/>
    </row>
    <row r="86" spans="2:10">
      <c r="B86"/>
      <c r="C86"/>
      <c r="D86"/>
      <c r="E86"/>
      <c r="F86"/>
      <c r="G86"/>
      <c r="H86"/>
      <c r="I86"/>
      <c r="J86"/>
    </row>
    <row r="87" spans="2:10">
      <c r="B87"/>
      <c r="C87"/>
      <c r="D87"/>
      <c r="E87"/>
      <c r="F87"/>
      <c r="G87"/>
      <c r="H87"/>
      <c r="I87"/>
      <c r="J87"/>
    </row>
    <row r="88" spans="2:10">
      <c r="B88"/>
      <c r="C88"/>
      <c r="D88"/>
      <c r="E88"/>
      <c r="F88"/>
      <c r="G88"/>
      <c r="H88"/>
      <c r="I88"/>
      <c r="J88"/>
    </row>
    <row r="89" spans="2:10">
      <c r="B89"/>
      <c r="C89"/>
      <c r="D89"/>
      <c r="E89"/>
      <c r="F89"/>
      <c r="G89"/>
      <c r="H89"/>
      <c r="I89"/>
      <c r="J89"/>
    </row>
    <row r="90" spans="2:10">
      <c r="B90"/>
      <c r="C90"/>
      <c r="D90"/>
      <c r="E90"/>
      <c r="F90"/>
      <c r="G90"/>
      <c r="H90"/>
      <c r="I90"/>
      <c r="J90"/>
    </row>
    <row r="91" spans="2:10">
      <c r="B91"/>
      <c r="C91"/>
      <c r="D91"/>
      <c r="E91"/>
      <c r="F91"/>
      <c r="G91"/>
      <c r="H91"/>
      <c r="I91"/>
      <c r="J91"/>
    </row>
    <row r="92" spans="2:10">
      <c r="B92"/>
      <c r="C92"/>
      <c r="D92"/>
      <c r="E92"/>
      <c r="F92"/>
      <c r="G92"/>
      <c r="H92"/>
      <c r="I92"/>
      <c r="J92"/>
    </row>
    <row r="93" spans="2:10">
      <c r="B93"/>
      <c r="C93"/>
      <c r="D93"/>
      <c r="E93"/>
      <c r="F93"/>
      <c r="G93"/>
      <c r="H93"/>
      <c r="I93"/>
      <c r="J93"/>
    </row>
    <row r="94" spans="2:10">
      <c r="B94"/>
      <c r="C94"/>
      <c r="D94"/>
      <c r="E94"/>
      <c r="F94"/>
      <c r="G94"/>
      <c r="H94"/>
      <c r="I94"/>
      <c r="J94"/>
    </row>
    <row r="95" spans="2:10">
      <c r="B95"/>
      <c r="C95"/>
      <c r="D95"/>
      <c r="E95"/>
      <c r="F95"/>
      <c r="G95"/>
      <c r="H95"/>
      <c r="I95"/>
      <c r="J95"/>
    </row>
    <row r="96" spans="2:10">
      <c r="B96"/>
      <c r="C96"/>
      <c r="D96"/>
      <c r="E96"/>
      <c r="F96"/>
      <c r="G96"/>
      <c r="H96"/>
      <c r="I96"/>
      <c r="J96"/>
    </row>
    <row r="97" spans="2:10">
      <c r="B97"/>
      <c r="C97"/>
      <c r="D97"/>
      <c r="E97"/>
      <c r="F97"/>
      <c r="G97"/>
      <c r="H97"/>
      <c r="I97"/>
      <c r="J97"/>
    </row>
    <row r="98" spans="2:10">
      <c r="B98"/>
      <c r="C98"/>
      <c r="D98"/>
      <c r="E98"/>
      <c r="F98"/>
      <c r="G98"/>
      <c r="H98"/>
      <c r="I98"/>
      <c r="J98"/>
    </row>
    <row r="99" spans="2:10">
      <c r="B99"/>
      <c r="C99"/>
      <c r="D99"/>
      <c r="E99"/>
      <c r="F99"/>
      <c r="G99"/>
      <c r="H99"/>
      <c r="I99"/>
      <c r="J99"/>
    </row>
    <row r="100" spans="2:10">
      <c r="B100"/>
      <c r="C100"/>
      <c r="D100"/>
      <c r="E100"/>
      <c r="F100"/>
      <c r="G100"/>
      <c r="H100"/>
      <c r="I100"/>
      <c r="J100"/>
    </row>
    <row r="101" spans="2:10">
      <c r="B101"/>
      <c r="C101"/>
      <c r="D101"/>
      <c r="E101"/>
      <c r="F101"/>
      <c r="G101"/>
      <c r="H101"/>
      <c r="I101"/>
      <c r="J101"/>
    </row>
    <row r="102" spans="2:10">
      <c r="B102"/>
      <c r="C102"/>
      <c r="D102"/>
      <c r="E102"/>
      <c r="F102"/>
      <c r="G102"/>
      <c r="H102"/>
      <c r="I102"/>
      <c r="J102"/>
    </row>
    <row r="103" spans="2:10">
      <c r="B103"/>
      <c r="C103"/>
      <c r="D103"/>
      <c r="E103"/>
      <c r="F103"/>
      <c r="G103"/>
      <c r="H103"/>
      <c r="I103"/>
      <c r="J103"/>
    </row>
    <row r="104" spans="2:10">
      <c r="B104"/>
      <c r="C104"/>
      <c r="D104"/>
      <c r="E104"/>
      <c r="F104"/>
      <c r="G104"/>
      <c r="H104"/>
      <c r="I104"/>
      <c r="J104"/>
    </row>
    <row r="105" spans="2:10">
      <c r="B105"/>
      <c r="C105"/>
      <c r="D105"/>
      <c r="E105"/>
      <c r="F105"/>
      <c r="G105"/>
      <c r="H105"/>
      <c r="I105"/>
      <c r="J105"/>
    </row>
    <row r="106" spans="2:10">
      <c r="B106"/>
      <c r="C106"/>
      <c r="D106"/>
      <c r="E106"/>
      <c r="F106"/>
      <c r="G106"/>
      <c r="H106"/>
      <c r="I106"/>
      <c r="J106"/>
    </row>
    <row r="107" spans="2:10">
      <c r="B107"/>
      <c r="C107"/>
      <c r="D107"/>
      <c r="E107"/>
      <c r="F107"/>
      <c r="G107"/>
      <c r="H107"/>
      <c r="I107"/>
      <c r="J107"/>
    </row>
    <row r="108" spans="2:10">
      <c r="B108"/>
      <c r="C108"/>
      <c r="D108"/>
      <c r="E108"/>
      <c r="F108"/>
      <c r="G108"/>
      <c r="H108"/>
      <c r="I108"/>
      <c r="J108"/>
    </row>
    <row r="109" spans="2:10">
      <c r="B109"/>
      <c r="C109"/>
      <c r="D109"/>
      <c r="E109"/>
      <c r="F109"/>
      <c r="G109"/>
      <c r="H109"/>
      <c r="I109"/>
      <c r="J109"/>
    </row>
    <row r="110" spans="2:10">
      <c r="B110"/>
      <c r="C110"/>
      <c r="D110"/>
      <c r="E110"/>
      <c r="F110"/>
      <c r="G110"/>
      <c r="H110"/>
      <c r="I110"/>
      <c r="J110"/>
    </row>
    <row r="111" spans="2:10">
      <c r="B111"/>
      <c r="C111"/>
      <c r="D111"/>
      <c r="E111"/>
      <c r="F111"/>
      <c r="G111"/>
      <c r="H111"/>
      <c r="I111"/>
      <c r="J111"/>
    </row>
    <row r="112" spans="2:10">
      <c r="B112"/>
      <c r="C112"/>
      <c r="D112"/>
      <c r="E112"/>
      <c r="F112"/>
      <c r="G112"/>
      <c r="H112"/>
      <c r="I112"/>
      <c r="J112"/>
    </row>
    <row r="113" spans="2:10">
      <c r="B113"/>
      <c r="C113"/>
      <c r="D113"/>
      <c r="E113"/>
      <c r="F113"/>
      <c r="G113"/>
      <c r="H113"/>
      <c r="I113"/>
      <c r="J113"/>
    </row>
    <row r="114" spans="2:10">
      <c r="B114"/>
      <c r="C114"/>
      <c r="D114"/>
      <c r="E114"/>
      <c r="F114"/>
      <c r="G114"/>
      <c r="H114"/>
      <c r="I114"/>
      <c r="J114"/>
    </row>
    <row r="115" spans="2:10">
      <c r="B115"/>
      <c r="C115"/>
      <c r="D115"/>
      <c r="E115"/>
      <c r="F115"/>
      <c r="G115"/>
      <c r="H115"/>
      <c r="I115"/>
      <c r="J115"/>
    </row>
    <row r="116" spans="2:10">
      <c r="B116"/>
      <c r="C116"/>
      <c r="D116"/>
      <c r="E116"/>
      <c r="F116"/>
      <c r="G116"/>
      <c r="H116"/>
      <c r="I116"/>
      <c r="J116"/>
    </row>
    <row r="117" spans="2:10">
      <c r="B117"/>
      <c r="C117"/>
      <c r="D117"/>
      <c r="E117"/>
      <c r="F117"/>
      <c r="G117"/>
      <c r="H117"/>
      <c r="I117"/>
      <c r="J117"/>
    </row>
    <row r="118" spans="2:10">
      <c r="B118"/>
      <c r="C118"/>
      <c r="D118"/>
      <c r="E118"/>
      <c r="F118"/>
      <c r="G118"/>
      <c r="H118"/>
      <c r="I118"/>
      <c r="J118"/>
    </row>
    <row r="119" spans="2:10">
      <c r="B119"/>
      <c r="C119"/>
      <c r="D119"/>
      <c r="E119"/>
      <c r="F119"/>
      <c r="G119"/>
      <c r="H119"/>
      <c r="I119"/>
      <c r="J119"/>
    </row>
    <row r="120" spans="2:10">
      <c r="B120"/>
      <c r="C120"/>
      <c r="D120"/>
      <c r="E120"/>
      <c r="F120"/>
      <c r="G120"/>
      <c r="H120"/>
      <c r="I120"/>
      <c r="J120"/>
    </row>
    <row r="121" spans="2:10">
      <c r="B121"/>
      <c r="C121"/>
      <c r="D121"/>
      <c r="E121"/>
      <c r="F121"/>
      <c r="G121"/>
      <c r="H121"/>
      <c r="I121"/>
      <c r="J121"/>
    </row>
    <row r="122" spans="2:10">
      <c r="B122"/>
      <c r="C122"/>
      <c r="D122"/>
      <c r="E122"/>
      <c r="F122"/>
      <c r="G122"/>
      <c r="H122"/>
      <c r="I122"/>
      <c r="J122"/>
    </row>
    <row r="123" spans="2:10">
      <c r="B123"/>
      <c r="C123"/>
      <c r="D123"/>
      <c r="E123"/>
      <c r="F123"/>
      <c r="G123"/>
      <c r="H123"/>
      <c r="I123"/>
      <c r="J123"/>
    </row>
    <row r="124" spans="2:10">
      <c r="B124"/>
      <c r="C124"/>
      <c r="D124"/>
      <c r="E124"/>
      <c r="F124"/>
      <c r="G124"/>
      <c r="H124"/>
      <c r="I124"/>
      <c r="J124"/>
    </row>
    <row r="125" spans="2:10">
      <c r="B125"/>
      <c r="C125"/>
      <c r="D125"/>
      <c r="E125"/>
      <c r="F125"/>
      <c r="G125"/>
      <c r="H125"/>
      <c r="I125"/>
      <c r="J125"/>
    </row>
    <row r="126" spans="2:10">
      <c r="B126"/>
      <c r="C126"/>
      <c r="D126"/>
      <c r="E126"/>
      <c r="F126"/>
      <c r="G126"/>
      <c r="H126"/>
      <c r="I126"/>
      <c r="J126"/>
    </row>
    <row r="127" spans="2:10">
      <c r="B127"/>
      <c r="C127"/>
      <c r="D127"/>
      <c r="E127"/>
      <c r="F127"/>
      <c r="G127"/>
      <c r="H127"/>
      <c r="I127"/>
      <c r="J127"/>
    </row>
    <row r="128" spans="2:10">
      <c r="B128"/>
      <c r="C128"/>
      <c r="D128"/>
      <c r="E128"/>
      <c r="F128"/>
      <c r="G128"/>
      <c r="H128"/>
      <c r="I128"/>
      <c r="J128"/>
    </row>
    <row r="129" spans="2:10">
      <c r="B129"/>
      <c r="C129"/>
      <c r="D129"/>
      <c r="E129"/>
      <c r="F129"/>
      <c r="G129"/>
      <c r="H129"/>
      <c r="I129"/>
      <c r="J129"/>
    </row>
    <row r="130" spans="2:10">
      <c r="B130"/>
      <c r="C130"/>
      <c r="D130"/>
      <c r="E130"/>
      <c r="F130"/>
      <c r="G130"/>
      <c r="H130"/>
      <c r="I130"/>
      <c r="J130"/>
    </row>
    <row r="131" spans="2:10">
      <c r="B131"/>
      <c r="C131"/>
      <c r="D131"/>
      <c r="E131"/>
      <c r="F131"/>
      <c r="G131"/>
      <c r="H131"/>
      <c r="I131"/>
      <c r="J131"/>
    </row>
    <row r="132" spans="2:10">
      <c r="B132"/>
      <c r="C132"/>
      <c r="D132"/>
      <c r="E132"/>
      <c r="F132"/>
      <c r="G132"/>
      <c r="H132"/>
      <c r="I132"/>
      <c r="J132"/>
    </row>
    <row r="133" spans="2:10">
      <c r="B133"/>
      <c r="C133"/>
      <c r="D133"/>
      <c r="E133"/>
      <c r="F133"/>
      <c r="G133"/>
      <c r="H133"/>
      <c r="I133"/>
      <c r="J133"/>
    </row>
    <row r="134" spans="2:10">
      <c r="B134"/>
      <c r="C134"/>
      <c r="D134"/>
      <c r="E134"/>
      <c r="F134"/>
      <c r="G134"/>
      <c r="H134"/>
      <c r="I134"/>
      <c r="J134"/>
    </row>
    <row r="135" spans="2:10">
      <c r="B135"/>
      <c r="C135"/>
      <c r="D135"/>
      <c r="E135"/>
      <c r="F135"/>
      <c r="G135"/>
      <c r="H135"/>
      <c r="I135"/>
      <c r="J135"/>
    </row>
    <row r="136" spans="2:10">
      <c r="B136"/>
      <c r="C136"/>
      <c r="D136"/>
      <c r="E136"/>
      <c r="F136"/>
      <c r="G136"/>
      <c r="H136"/>
      <c r="I136"/>
      <c r="J136"/>
    </row>
    <row r="137" spans="2:10">
      <c r="B137"/>
      <c r="C137"/>
      <c r="D137"/>
      <c r="E137"/>
      <c r="F137"/>
      <c r="G137"/>
      <c r="H137"/>
      <c r="I137"/>
      <c r="J137"/>
    </row>
    <row r="138" spans="2:10">
      <c r="B138"/>
      <c r="C138"/>
      <c r="D138"/>
      <c r="E138"/>
      <c r="F138"/>
      <c r="G138"/>
      <c r="H138"/>
      <c r="I138"/>
      <c r="J138"/>
    </row>
    <row r="139" spans="2:10">
      <c r="B139"/>
      <c r="C139"/>
      <c r="D139"/>
      <c r="E139"/>
      <c r="F139"/>
      <c r="G139"/>
      <c r="H139"/>
      <c r="I139"/>
      <c r="J139"/>
    </row>
    <row r="140" spans="2:10">
      <c r="B140"/>
      <c r="C140"/>
      <c r="D140"/>
      <c r="E140"/>
      <c r="F140"/>
      <c r="G140"/>
      <c r="H140"/>
      <c r="I140"/>
      <c r="J140"/>
    </row>
    <row r="141" spans="2:10">
      <c r="B141"/>
      <c r="C141"/>
      <c r="D141"/>
      <c r="E141"/>
      <c r="F141"/>
      <c r="G141"/>
      <c r="H141"/>
      <c r="I141"/>
      <c r="J141"/>
    </row>
    <row r="142" spans="2:10">
      <c r="B142"/>
      <c r="C142"/>
      <c r="D142"/>
      <c r="E142"/>
      <c r="F142"/>
      <c r="G142"/>
      <c r="H142"/>
      <c r="I142"/>
      <c r="J142"/>
    </row>
    <row r="143" spans="2:10">
      <c r="B143"/>
      <c r="C143"/>
      <c r="D143"/>
      <c r="E143"/>
      <c r="F143"/>
      <c r="G143"/>
      <c r="H143"/>
      <c r="I143"/>
      <c r="J143"/>
    </row>
    <row r="144" spans="2:10">
      <c r="B144"/>
      <c r="C144"/>
      <c r="D144"/>
      <c r="E144"/>
      <c r="F144"/>
      <c r="G144"/>
      <c r="H144"/>
      <c r="I144"/>
      <c r="J144"/>
    </row>
    <row r="145" spans="2:10">
      <c r="B145"/>
      <c r="C145"/>
      <c r="D145"/>
      <c r="E145"/>
      <c r="F145"/>
      <c r="G145"/>
      <c r="H145"/>
      <c r="I145"/>
      <c r="J145"/>
    </row>
    <row r="146" spans="2:10">
      <c r="B146"/>
      <c r="C146"/>
      <c r="D146"/>
      <c r="E146"/>
      <c r="F146"/>
      <c r="G146"/>
      <c r="H146"/>
      <c r="I146"/>
      <c r="J146"/>
    </row>
    <row r="147" spans="2:10">
      <c r="B147"/>
      <c r="C147"/>
      <c r="D147"/>
      <c r="E147"/>
      <c r="F147"/>
      <c r="G147"/>
      <c r="H147"/>
      <c r="I147"/>
      <c r="J147"/>
    </row>
    <row r="148" spans="2:10">
      <c r="B148"/>
      <c r="C148"/>
      <c r="D148"/>
      <c r="E148"/>
      <c r="F148"/>
      <c r="G148"/>
      <c r="H148"/>
      <c r="I148"/>
      <c r="J148"/>
    </row>
    <row r="149" spans="2:10">
      <c r="B149"/>
      <c r="C149"/>
      <c r="D149"/>
      <c r="E149"/>
      <c r="F149"/>
      <c r="G149"/>
      <c r="H149"/>
      <c r="I149"/>
      <c r="J149"/>
    </row>
    <row r="150" spans="2:10">
      <c r="B150"/>
      <c r="C150"/>
      <c r="D150"/>
      <c r="E150"/>
      <c r="F150"/>
      <c r="G150"/>
      <c r="H150"/>
      <c r="I150"/>
      <c r="J150"/>
    </row>
    <row r="151" spans="2:10">
      <c r="B151"/>
      <c r="C151"/>
      <c r="D151"/>
      <c r="E151"/>
      <c r="F151"/>
      <c r="G151"/>
      <c r="H151"/>
      <c r="I151"/>
      <c r="J151"/>
    </row>
    <row r="152" spans="2:10">
      <c r="B152"/>
      <c r="C152"/>
      <c r="D152"/>
      <c r="E152"/>
      <c r="F152"/>
      <c r="G152"/>
      <c r="H152"/>
      <c r="I152"/>
      <c r="J152"/>
    </row>
    <row r="153" spans="2:10">
      <c r="B153"/>
      <c r="C153"/>
      <c r="D153"/>
      <c r="E153"/>
      <c r="F153"/>
      <c r="G153"/>
      <c r="H153"/>
      <c r="I153"/>
      <c r="J153"/>
    </row>
    <row r="154" spans="2:10">
      <c r="B154"/>
      <c r="C154"/>
      <c r="D154"/>
      <c r="E154"/>
      <c r="F154"/>
      <c r="G154"/>
      <c r="H154"/>
      <c r="I154"/>
      <c r="J154"/>
    </row>
    <row r="155" spans="2:10">
      <c r="B155"/>
      <c r="C155"/>
      <c r="D155"/>
      <c r="E155"/>
      <c r="F155"/>
      <c r="G155"/>
      <c r="H155"/>
      <c r="I155"/>
      <c r="J155"/>
    </row>
    <row r="156" spans="2:10">
      <c r="B156"/>
      <c r="C156"/>
      <c r="D156"/>
      <c r="E156"/>
      <c r="F156"/>
      <c r="G156"/>
      <c r="H156"/>
      <c r="I156"/>
      <c r="J156"/>
    </row>
    <row r="157" spans="2:10">
      <c r="B157"/>
      <c r="C157"/>
      <c r="D157"/>
      <c r="E157"/>
      <c r="F157"/>
      <c r="G157"/>
      <c r="H157"/>
      <c r="I157"/>
      <c r="J157"/>
    </row>
    <row r="158" spans="2:10">
      <c r="B158"/>
      <c r="C158"/>
      <c r="D158"/>
      <c r="E158"/>
      <c r="F158"/>
      <c r="G158"/>
      <c r="H158"/>
      <c r="I158"/>
      <c r="J158"/>
    </row>
    <row r="159" spans="2:10">
      <c r="B159"/>
      <c r="C159"/>
      <c r="D159"/>
      <c r="E159"/>
      <c r="F159"/>
      <c r="G159"/>
      <c r="H159"/>
      <c r="I159"/>
      <c r="J159"/>
    </row>
    <row r="160" spans="2:10">
      <c r="B160"/>
      <c r="C160"/>
      <c r="D160"/>
      <c r="E160"/>
      <c r="F160"/>
      <c r="G160"/>
      <c r="H160"/>
      <c r="I160"/>
      <c r="J160"/>
    </row>
    <row r="161" spans="2:10">
      <c r="B161"/>
      <c r="C161"/>
      <c r="D161"/>
      <c r="E161"/>
      <c r="F161"/>
      <c r="G161"/>
      <c r="H161"/>
      <c r="I161"/>
      <c r="J161"/>
    </row>
    <row r="162" spans="2:10">
      <c r="B162"/>
      <c r="C162"/>
      <c r="D162"/>
      <c r="E162"/>
      <c r="F162"/>
      <c r="G162"/>
      <c r="H162"/>
      <c r="I162"/>
      <c r="J162"/>
    </row>
    <row r="163" spans="2:10">
      <c r="B163"/>
      <c r="C163"/>
      <c r="D163"/>
      <c r="E163"/>
      <c r="F163"/>
      <c r="G163"/>
      <c r="H163"/>
      <c r="I163"/>
      <c r="J163"/>
    </row>
    <row r="164" spans="2:10">
      <c r="B164"/>
      <c r="C164"/>
      <c r="D164"/>
      <c r="E164"/>
      <c r="F164"/>
      <c r="G164"/>
      <c r="H164"/>
      <c r="I164"/>
      <c r="J164"/>
    </row>
    <row r="165" spans="2:10">
      <c r="B165"/>
      <c r="C165"/>
      <c r="D165"/>
      <c r="E165"/>
      <c r="F165"/>
      <c r="G165"/>
      <c r="H165"/>
      <c r="I165"/>
      <c r="J165"/>
    </row>
    <row r="166" spans="2:10">
      <c r="B166"/>
      <c r="C166"/>
      <c r="D166"/>
      <c r="E166"/>
      <c r="F166"/>
      <c r="G166"/>
      <c r="H166"/>
      <c r="I166"/>
      <c r="J166"/>
    </row>
    <row r="167" spans="2:10">
      <c r="B167"/>
      <c r="C167"/>
      <c r="D167"/>
      <c r="E167"/>
      <c r="F167"/>
      <c r="G167"/>
      <c r="H167"/>
      <c r="I167"/>
      <c r="J167"/>
    </row>
    <row r="168" spans="2:10">
      <c r="B168"/>
      <c r="C168"/>
      <c r="D168"/>
      <c r="E168"/>
      <c r="F168"/>
      <c r="G168"/>
      <c r="H168"/>
    </row>
    <row r="169" spans="2:10">
      <c r="B169"/>
      <c r="C169"/>
      <c r="D169"/>
      <c r="E169"/>
      <c r="F169"/>
      <c r="G169"/>
      <c r="H169"/>
    </row>
    <row r="170" spans="2:10">
      <c r="B170"/>
      <c r="C170"/>
      <c r="D170"/>
      <c r="E170"/>
      <c r="F170"/>
      <c r="G170"/>
      <c r="H170"/>
    </row>
    <row r="171" spans="2:10">
      <c r="B171"/>
      <c r="C171"/>
      <c r="D171"/>
      <c r="E171"/>
      <c r="F171"/>
      <c r="G171"/>
      <c r="H171"/>
    </row>
    <row r="172" spans="2:10">
      <c r="B172"/>
      <c r="C172"/>
      <c r="D172"/>
      <c r="E172"/>
      <c r="F172"/>
      <c r="G172"/>
      <c r="H172"/>
    </row>
    <row r="173" spans="2:10">
      <c r="B173"/>
      <c r="C173"/>
      <c r="D173"/>
      <c r="E173"/>
      <c r="F173"/>
      <c r="G173"/>
      <c r="H173"/>
    </row>
    <row r="174" spans="2:10">
      <c r="B174"/>
      <c r="C174"/>
      <c r="D174"/>
      <c r="E174"/>
      <c r="F174"/>
      <c r="G174"/>
      <c r="H174"/>
    </row>
    <row r="175" spans="2:10">
      <c r="B175"/>
      <c r="C175"/>
      <c r="D175"/>
      <c r="E175"/>
      <c r="F175"/>
      <c r="G175"/>
      <c r="H175"/>
    </row>
    <row r="176" spans="2:10">
      <c r="B176"/>
      <c r="C176"/>
      <c r="D176"/>
      <c r="E176"/>
      <c r="F176"/>
      <c r="G176"/>
      <c r="H176"/>
    </row>
    <row r="177" spans="2:8">
      <c r="B177"/>
      <c r="C177"/>
      <c r="D177"/>
      <c r="E177"/>
      <c r="F177"/>
      <c r="G177"/>
      <c r="H177"/>
    </row>
    <row r="178" spans="2:8">
      <c r="B178"/>
      <c r="C178"/>
      <c r="D178"/>
      <c r="E178"/>
      <c r="F178"/>
      <c r="G178"/>
      <c r="H178"/>
    </row>
    <row r="179" spans="2:8">
      <c r="B179"/>
      <c r="C179"/>
      <c r="D179"/>
      <c r="E179"/>
      <c r="F179"/>
      <c r="G179"/>
      <c r="H179"/>
    </row>
    <row r="180" spans="2:8">
      <c r="B180"/>
      <c r="C180"/>
      <c r="D180"/>
      <c r="E180"/>
      <c r="F180"/>
      <c r="G180"/>
      <c r="H180"/>
    </row>
    <row r="181" spans="2:8" ht="14.25">
      <c r="E181" s="160"/>
      <c r="F181" s="160"/>
    </row>
    <row r="182" spans="2:8" ht="14.25">
      <c r="E182" s="160"/>
      <c r="F182" s="160"/>
    </row>
    <row r="183" spans="2:8" ht="14.25">
      <c r="E183" s="160"/>
      <c r="F183" s="160"/>
    </row>
    <row r="184" spans="2:8" ht="14.25">
      <c r="E184" s="160"/>
      <c r="F184" s="160"/>
    </row>
    <row r="185" spans="2:8" ht="14.25">
      <c r="E185" s="160"/>
      <c r="F185" s="160"/>
    </row>
    <row r="186" spans="2:8" ht="14.25">
      <c r="E186" s="160"/>
      <c r="F186" s="160"/>
    </row>
    <row r="187" spans="2:8" ht="14.25">
      <c r="E187" s="160"/>
      <c r="F187" s="160"/>
    </row>
    <row r="188" spans="2:8" ht="14.25">
      <c r="E188" s="160"/>
      <c r="F188" s="160"/>
    </row>
    <row r="189" spans="2:8" ht="14.25">
      <c r="E189" s="160"/>
      <c r="F189" s="160"/>
    </row>
    <row r="190" spans="2:8" ht="14.25">
      <c r="E190" s="160"/>
      <c r="F190" s="160"/>
    </row>
    <row r="191" spans="2:8" ht="14.25">
      <c r="E191" s="160"/>
      <c r="F191" s="160"/>
    </row>
    <row r="192" spans="2:8" ht="14.25">
      <c r="E192" s="160"/>
      <c r="F192" s="160"/>
    </row>
    <row r="193" s="160" customFormat="1" ht="14.25"/>
    <row r="194" s="160" customFormat="1" ht="14.25"/>
    <row r="195" s="160" customFormat="1" ht="14.25"/>
    <row r="196" s="160" customFormat="1" ht="14.25"/>
    <row r="197" s="160" customFormat="1" ht="14.25"/>
    <row r="198" s="160" customFormat="1" ht="14.25"/>
    <row r="199" s="160" customFormat="1" ht="14.25"/>
    <row r="200" s="160" customFormat="1" ht="14.25"/>
    <row r="201" s="160" customFormat="1" ht="14.25"/>
    <row r="202" s="160" customFormat="1" ht="14.25"/>
    <row r="203" s="160" customFormat="1" ht="14.25"/>
    <row r="204" s="160" customFormat="1" ht="14.25"/>
    <row r="205" s="160" customFormat="1" ht="14.25"/>
    <row r="206" s="160" customFormat="1" ht="14.25"/>
    <row r="207" s="160" customFormat="1" ht="14.25"/>
    <row r="208" s="160" customFormat="1" ht="14.25"/>
    <row r="209" s="160" customFormat="1" ht="14.25"/>
    <row r="210" s="160" customFormat="1" ht="14.25"/>
    <row r="211" s="160" customFormat="1" ht="14.25"/>
    <row r="212" s="160" customFormat="1" ht="14.25"/>
    <row r="213" s="160" customFormat="1" ht="14.25"/>
    <row r="214" s="160" customFormat="1" ht="14.25"/>
    <row r="215" s="160" customFormat="1" ht="14.25"/>
    <row r="216" s="160" customFormat="1" ht="14.25"/>
    <row r="217" s="160" customFormat="1" ht="14.25"/>
    <row r="218" s="160" customFormat="1" ht="14.25"/>
    <row r="219" s="160" customFormat="1" ht="14.25"/>
    <row r="220" s="160" customFormat="1" ht="14.25"/>
    <row r="221" s="160" customFormat="1" ht="14.25"/>
    <row r="222" s="160" customFormat="1" ht="14.25"/>
    <row r="223" s="160" customFormat="1" ht="14.25"/>
    <row r="224" s="160" customFormat="1" ht="14.25"/>
    <row r="225" s="160" customFormat="1" ht="14.25"/>
    <row r="226" s="160" customFormat="1" ht="14.25"/>
    <row r="227" s="160" customFormat="1" ht="14.25"/>
    <row r="228" s="160" customFormat="1" ht="14.25"/>
    <row r="229" s="160" customFormat="1" ht="14.25"/>
    <row r="230" s="160" customFormat="1" ht="14.25"/>
    <row r="231" s="160" customFormat="1" ht="14.25"/>
    <row r="232" s="160" customFormat="1" ht="14.25"/>
    <row r="233" s="160" customFormat="1" ht="14.25"/>
    <row r="234" s="160" customFormat="1" ht="14.25"/>
    <row r="235" s="160" customFormat="1" ht="14.25"/>
    <row r="236" s="160" customFormat="1" ht="14.25"/>
    <row r="237" s="160" customFormat="1" ht="14.25"/>
    <row r="238" s="160" customFormat="1" ht="14.25"/>
    <row r="239" s="160" customFormat="1" ht="14.25"/>
    <row r="240" s="160" customFormat="1" ht="14.25"/>
    <row r="241" s="160" customFormat="1" ht="14.25"/>
    <row r="242" s="160" customFormat="1" ht="14.25"/>
    <row r="243" s="160" customFormat="1" ht="14.25"/>
    <row r="244" s="160" customFormat="1" ht="14.25"/>
    <row r="245" s="160" customFormat="1" ht="14.25"/>
    <row r="246" s="160" customFormat="1" ht="14.25"/>
    <row r="247" s="160" customFormat="1" ht="14.25"/>
    <row r="248" s="160" customFormat="1" ht="14.25"/>
    <row r="249" s="160" customFormat="1" ht="14.25"/>
    <row r="250" s="160" customFormat="1" ht="14.25"/>
    <row r="251" s="160" customFormat="1" ht="14.25"/>
    <row r="252" s="160" customFormat="1" ht="14.25"/>
    <row r="253" s="160" customFormat="1" ht="14.25"/>
    <row r="254" s="160" customFormat="1" ht="14.25"/>
    <row r="255" s="160" customFormat="1" ht="14.25"/>
    <row r="256" s="160" customFormat="1" ht="14.25"/>
    <row r="257" s="160" customFormat="1" ht="14.25"/>
    <row r="258" s="160" customFormat="1" ht="14.25"/>
    <row r="259" s="160" customFormat="1" ht="14.25"/>
    <row r="260" s="160" customFormat="1" ht="14.25"/>
    <row r="261" s="160" customFormat="1" ht="14.25"/>
    <row r="262" s="160" customFormat="1" ht="14.25"/>
    <row r="263" s="160" customFormat="1" ht="14.25"/>
    <row r="264" s="160" customFormat="1" ht="14.25"/>
    <row r="265" s="160" customFormat="1" ht="14.25"/>
    <row r="266" s="160" customFormat="1" ht="14.25"/>
    <row r="267" s="160" customFormat="1" ht="14.25"/>
    <row r="268" s="160" customFormat="1" ht="14.25"/>
    <row r="269" s="160" customFormat="1" ht="14.25"/>
    <row r="270" s="160" customFormat="1" ht="14.25"/>
    <row r="271" s="160" customFormat="1" ht="14.25"/>
    <row r="272" s="160" customFormat="1" ht="14.25"/>
    <row r="273" s="160" customFormat="1" ht="14.25"/>
    <row r="274" s="160" customFormat="1" ht="14.25"/>
    <row r="275" s="160" customFormat="1" ht="14.25"/>
    <row r="276" s="160" customFormat="1" ht="14.25"/>
    <row r="277" s="160" customFormat="1" ht="14.25"/>
    <row r="278" s="160" customFormat="1" ht="14.25"/>
    <row r="279" s="160" customFormat="1" ht="14.25"/>
    <row r="280" s="160" customFormat="1" ht="14.25"/>
    <row r="281" s="160" customFormat="1" ht="14.25"/>
    <row r="282" s="160" customFormat="1" ht="14.25"/>
    <row r="283" s="160" customFormat="1" ht="14.25"/>
    <row r="284" s="160" customFormat="1" ht="14.25"/>
    <row r="285" s="160" customFormat="1" ht="14.25"/>
    <row r="286" s="160" customFormat="1" ht="14.25"/>
    <row r="287" s="160" customFormat="1" ht="14.25"/>
    <row r="288" s="160" customFormat="1" ht="14.25"/>
    <row r="289" s="160" customFormat="1" ht="14.25"/>
    <row r="290" s="160" customFormat="1" ht="14.25"/>
    <row r="291" s="160" customFormat="1" ht="14.25"/>
    <row r="292" s="160" customFormat="1" ht="14.25"/>
    <row r="293" s="160" customFormat="1" ht="14.25"/>
    <row r="294" s="160" customFormat="1" ht="14.25"/>
    <row r="295" s="160" customFormat="1" ht="14.25"/>
    <row r="296" s="160" customFormat="1" ht="14.25"/>
    <row r="297" s="160" customFormat="1" ht="14.25"/>
    <row r="298" s="160" customFormat="1" ht="14.25"/>
    <row r="299" s="160" customFormat="1" ht="14.25"/>
    <row r="300" s="160" customFormat="1" ht="14.25"/>
    <row r="301" s="160" customFormat="1" ht="14.25"/>
    <row r="302" s="160" customFormat="1" ht="14.25"/>
    <row r="303" s="160" customFormat="1" ht="14.25"/>
    <row r="304" s="160" customFormat="1" ht="14.25"/>
    <row r="305" s="160" customFormat="1" ht="14.25"/>
    <row r="306" s="160" customFormat="1" ht="14.25"/>
    <row r="307" s="160" customFormat="1" ht="14.25"/>
    <row r="308" s="160" customFormat="1" ht="14.25"/>
    <row r="309" s="160" customFormat="1" ht="14.25"/>
    <row r="310" s="160" customFormat="1" ht="14.25"/>
    <row r="311" s="160" customFormat="1" ht="14.25"/>
    <row r="312" s="160" customFormat="1" ht="14.25"/>
    <row r="313" s="160" customFormat="1" ht="14.25"/>
    <row r="314" s="160" customFormat="1" ht="14.25"/>
    <row r="315" s="160" customFormat="1" ht="14.25"/>
    <row r="316" s="160" customFormat="1" ht="14.25"/>
    <row r="317" s="160" customFormat="1" ht="14.25"/>
    <row r="318" s="160" customFormat="1" ht="14.25"/>
    <row r="319" s="160" customFormat="1" ht="14.25"/>
    <row r="320" s="160" customFormat="1" ht="14.25"/>
    <row r="321" s="160" customFormat="1" ht="14.25"/>
    <row r="322" s="160" customFormat="1" ht="14.25"/>
    <row r="323" s="160" customFormat="1" ht="14.25"/>
    <row r="324" s="160" customFormat="1" ht="14.25"/>
    <row r="325" s="160" customFormat="1" ht="14.25"/>
    <row r="326" s="160" customFormat="1" ht="14.25"/>
    <row r="327" s="160" customFormat="1" ht="14.25"/>
    <row r="328" s="160" customFormat="1" ht="14.25"/>
    <row r="329" s="160" customFormat="1" ht="14.25"/>
    <row r="330" s="160" customFormat="1" ht="14.25"/>
    <row r="331" s="160" customFormat="1" ht="14.25"/>
    <row r="332" s="160" customFormat="1" ht="14.25"/>
    <row r="333" s="160" customFormat="1" ht="14.25"/>
    <row r="334" s="160" customFormat="1" ht="14.25"/>
    <row r="335" s="160" customFormat="1" ht="14.25"/>
    <row r="336" s="160" customFormat="1" ht="14.25"/>
    <row r="337" s="160" customFormat="1" ht="14.25"/>
    <row r="338" s="160" customFormat="1" ht="14.25"/>
    <row r="339" s="160" customFormat="1" ht="14.25"/>
    <row r="340" s="160" customFormat="1" ht="14.25"/>
    <row r="341" s="160" customFormat="1" ht="14.25"/>
    <row r="342" s="160" customFormat="1" ht="14.25"/>
    <row r="343" s="160" customFormat="1" ht="14.25"/>
    <row r="344" s="160" customFormat="1" ht="14.25"/>
    <row r="345" s="160" customFormat="1" ht="14.25"/>
    <row r="346" s="160" customFormat="1" ht="14.25"/>
    <row r="347" s="160" customFormat="1" ht="14.25"/>
    <row r="348" s="160" customFormat="1" ht="14.25"/>
    <row r="349" s="160" customFormat="1" ht="14.25"/>
    <row r="350" s="160" customFormat="1" ht="14.25"/>
    <row r="351" s="160" customFormat="1" ht="14.25"/>
    <row r="352" s="160" customFormat="1" ht="14.25"/>
    <row r="353" s="160" customFormat="1" ht="14.25"/>
    <row r="354" s="160" customFormat="1" ht="14.25"/>
    <row r="355" s="160" customFormat="1" ht="14.25"/>
    <row r="356" s="160" customFormat="1" ht="14.25"/>
    <row r="357" s="160" customFormat="1" ht="14.25"/>
    <row r="358" s="160" customFormat="1" ht="14.25"/>
    <row r="359" s="160" customFormat="1" ht="14.25"/>
    <row r="360" s="160" customFormat="1" ht="14.25"/>
    <row r="361" s="160" customFormat="1" ht="14.25"/>
    <row r="362" s="160" customFormat="1" ht="14.25"/>
    <row r="363" s="160" customFormat="1" ht="14.25"/>
    <row r="364" s="160" customFormat="1" ht="14.25"/>
    <row r="365" s="160" customFormat="1" ht="14.25"/>
    <row r="366" s="160" customFormat="1" ht="14.25"/>
    <row r="367" s="160" customFormat="1" ht="14.25"/>
    <row r="368" s="160" customFormat="1" ht="14.25"/>
    <row r="369" s="160" customFormat="1" ht="14.25"/>
    <row r="370" s="160" customFormat="1" ht="14.25"/>
    <row r="371" s="160" customFormat="1" ht="14.25"/>
    <row r="372" s="160" customFormat="1" ht="14.25"/>
    <row r="373" s="160" customFormat="1" ht="14.25"/>
    <row r="374" s="160" customFormat="1" ht="14.25"/>
    <row r="375" s="160" customFormat="1" ht="14.25"/>
    <row r="376" s="160" customFormat="1" ht="14.25"/>
    <row r="377" s="160" customFormat="1" ht="14.25"/>
    <row r="378" s="160" customFormat="1" ht="14.25"/>
    <row r="379" s="160" customFormat="1" ht="14.25"/>
    <row r="380" s="160" customFormat="1" ht="14.25"/>
    <row r="381" s="160" customFormat="1" ht="14.25"/>
    <row r="382" s="160" customFormat="1" ht="14.25"/>
    <row r="383" s="160" customFormat="1" ht="14.25"/>
    <row r="384" s="160" customFormat="1" ht="14.25"/>
    <row r="385" s="160" customFormat="1" ht="14.25"/>
    <row r="386" s="160" customFormat="1" ht="14.25"/>
    <row r="387" s="160" customFormat="1" ht="14.25"/>
    <row r="388" s="160" customFormat="1" ht="14.25"/>
    <row r="389" s="160" customFormat="1" ht="14.25"/>
    <row r="390" s="160" customFormat="1" ht="14.25"/>
    <row r="391" s="160" customFormat="1" ht="14.25"/>
    <row r="392" s="160" customFormat="1" ht="14.25"/>
    <row r="393" s="160" customFormat="1" ht="14.25"/>
    <row r="394" s="160" customFormat="1" ht="14.25"/>
    <row r="395" s="160" customFormat="1" ht="14.25"/>
    <row r="396" s="160" customFormat="1" ht="14.25"/>
    <row r="397" s="160" customFormat="1" ht="14.25"/>
    <row r="398" s="160" customFormat="1" ht="14.25"/>
    <row r="399" s="160" customFormat="1" ht="14.25"/>
    <row r="400" s="160" customFormat="1" ht="14.25"/>
    <row r="401" s="160" customFormat="1" ht="14.25"/>
    <row r="402" s="160" customFormat="1" ht="14.25"/>
    <row r="403" s="160" customFormat="1" ht="14.25"/>
    <row r="404" s="160" customFormat="1" ht="14.25"/>
    <row r="405" s="160" customFormat="1" ht="14.25"/>
    <row r="406" s="160" customFormat="1" ht="14.25"/>
    <row r="407" s="160" customFormat="1" ht="14.25"/>
    <row r="408" s="160" customFormat="1" ht="14.25"/>
    <row r="409" s="160" customFormat="1" ht="14.25"/>
    <row r="410" s="160" customFormat="1" ht="14.25"/>
    <row r="411" s="160" customFormat="1" ht="14.25"/>
    <row r="412" s="160" customFormat="1" ht="14.25"/>
    <row r="413" s="160" customFormat="1" ht="14.25"/>
    <row r="414" s="160" customFormat="1" ht="14.25"/>
    <row r="415" s="160" customFormat="1" ht="14.25"/>
    <row r="416" s="160" customFormat="1" ht="14.25"/>
    <row r="417" s="160" customFormat="1" ht="14.25"/>
    <row r="418" s="160" customFormat="1" ht="14.25"/>
    <row r="419" s="160" customFormat="1" ht="14.25"/>
    <row r="420" s="160" customFormat="1" ht="14.25"/>
    <row r="421" s="160" customFormat="1" ht="14.25"/>
    <row r="422" s="160" customFormat="1" ht="14.25"/>
    <row r="423" s="160" customFormat="1" ht="14.25"/>
    <row r="424" s="160" customFormat="1" ht="14.25"/>
    <row r="425" s="160" customFormat="1" ht="14.25"/>
    <row r="426" s="160" customFormat="1" ht="14.25"/>
    <row r="427" s="160" customFormat="1" ht="14.25"/>
    <row r="428" s="160" customFormat="1" ht="14.25"/>
    <row r="429" s="160" customFormat="1" ht="14.25"/>
    <row r="430" s="160" customFormat="1" ht="14.25"/>
    <row r="431" s="160" customFormat="1" ht="14.25"/>
    <row r="432" s="160" customFormat="1" ht="14.25"/>
    <row r="433" s="160" customFormat="1" ht="14.25"/>
    <row r="434" s="160" customFormat="1" ht="14.25"/>
    <row r="435" s="160" customFormat="1" ht="14.25"/>
    <row r="436" s="160" customFormat="1" ht="14.25"/>
    <row r="437" s="160" customFormat="1" ht="14.25"/>
    <row r="438" s="160" customFormat="1" ht="14.25"/>
    <row r="439" s="160" customFormat="1" ht="14.25"/>
    <row r="440" s="160" customFormat="1" ht="14.25"/>
    <row r="441" s="160" customFormat="1" ht="14.25"/>
    <row r="442" s="160" customFormat="1" ht="14.25"/>
    <row r="443" s="160" customFormat="1" ht="14.25"/>
    <row r="444" s="160" customFormat="1" ht="14.25"/>
    <row r="445" s="160" customFormat="1" ht="14.25"/>
    <row r="446" s="160" customFormat="1" ht="14.25"/>
    <row r="447" s="160" customFormat="1" ht="14.25"/>
    <row r="448" s="160" customFormat="1" ht="14.25"/>
    <row r="449" s="160" customFormat="1" ht="14.25"/>
    <row r="450" s="160" customFormat="1" ht="14.25"/>
    <row r="451" s="160" customFormat="1" ht="14.25"/>
    <row r="452" s="160" customFormat="1" ht="14.25"/>
    <row r="453" s="160" customFormat="1" ht="14.25"/>
    <row r="454" s="160" customFormat="1" ht="14.25"/>
    <row r="455" s="160" customFormat="1" ht="14.25"/>
    <row r="456" s="160" customFormat="1" ht="14.25"/>
    <row r="457" s="160" customFormat="1" ht="14.25"/>
    <row r="458" s="160" customFormat="1" ht="14.25"/>
    <row r="459" s="160" customFormat="1" ht="14.25"/>
    <row r="460" s="160" customFormat="1" ht="14.25"/>
    <row r="461" s="160" customFormat="1" ht="14.25"/>
    <row r="462" s="160" customFormat="1" ht="14.25"/>
    <row r="463" s="160" customFormat="1" ht="14.25"/>
    <row r="464" s="160" customFormat="1" ht="14.25"/>
    <row r="465" s="160" customFormat="1" ht="14.25"/>
    <row r="466" s="160" customFormat="1" ht="14.25"/>
    <row r="467" s="160" customFormat="1" ht="14.25"/>
    <row r="468" s="160" customFormat="1" ht="14.25"/>
    <row r="469" s="160" customFormat="1" ht="14.25"/>
    <row r="470" s="160" customFormat="1" ht="14.25"/>
    <row r="471" s="160" customFormat="1" ht="14.25"/>
    <row r="472" s="160" customFormat="1" ht="14.25"/>
    <row r="473" s="160" customFormat="1" ht="14.25"/>
    <row r="474" s="160" customFormat="1" ht="14.25"/>
    <row r="475" s="160" customFormat="1" ht="14.25"/>
    <row r="476" s="160" customFormat="1" ht="14.25"/>
    <row r="477" s="160" customFormat="1" ht="14.25"/>
    <row r="478" s="160" customFormat="1" ht="14.25"/>
    <row r="479" s="160" customFormat="1" ht="14.25"/>
    <row r="480" s="160" customFormat="1" ht="14.25"/>
    <row r="481" s="160" customFormat="1" ht="14.25"/>
    <row r="482" s="160" customFormat="1" ht="14.25"/>
    <row r="483" s="160" customFormat="1" ht="14.25"/>
    <row r="484" s="160" customFormat="1" ht="14.25"/>
    <row r="485" s="160" customFormat="1" ht="14.25"/>
    <row r="486" s="160" customFormat="1" ht="14.25"/>
    <row r="487" s="160" customFormat="1" ht="14.25"/>
    <row r="488" s="160" customFormat="1" ht="14.25"/>
    <row r="489" s="160" customFormat="1" ht="14.25"/>
    <row r="490" s="160" customFormat="1" ht="14.25"/>
    <row r="491" s="160" customFormat="1" ht="14.25"/>
    <row r="492" s="160" customFormat="1" ht="14.25"/>
    <row r="493" s="160" customFormat="1" ht="14.25"/>
    <row r="494" s="160" customFormat="1" ht="14.25"/>
    <row r="495" s="160" customFormat="1" ht="14.25"/>
    <row r="496" s="160" customFormat="1" ht="14.25"/>
    <row r="497" s="160" customFormat="1" ht="14.25"/>
    <row r="498" s="160" customFormat="1" ht="14.25"/>
    <row r="499" s="160" customFormat="1" ht="14.25"/>
    <row r="500" s="160" customFormat="1" ht="14.25"/>
    <row r="501" s="160" customFormat="1" ht="14.25"/>
    <row r="502" s="160" customFormat="1" ht="14.25"/>
    <row r="503" s="160" customFormat="1" ht="14.25"/>
    <row r="504" s="160" customFormat="1" ht="14.25"/>
    <row r="505" s="160" customFormat="1" ht="14.25"/>
    <row r="506" s="160" customFormat="1" ht="14.25"/>
    <row r="507" s="160" customFormat="1" ht="14.25"/>
    <row r="508" s="160" customFormat="1" ht="14.25"/>
    <row r="509" s="160" customFormat="1" ht="14.25"/>
    <row r="510" s="160" customFormat="1" ht="14.25"/>
    <row r="511" s="160" customFormat="1" ht="14.25"/>
    <row r="512" s="160" customFormat="1" ht="14.25"/>
    <row r="513" s="160" customFormat="1" ht="14.25"/>
    <row r="514" s="160" customFormat="1" ht="14.25"/>
    <row r="515" s="160" customFormat="1" ht="14.25"/>
    <row r="516" s="160" customFormat="1" ht="14.25"/>
    <row r="517" s="160" customFormat="1" ht="14.25"/>
    <row r="518" s="160" customFormat="1" ht="14.25"/>
    <row r="519" s="160" customFormat="1" ht="14.25"/>
    <row r="520" s="160" customFormat="1" ht="14.25"/>
    <row r="521" s="160" customFormat="1" ht="14.25"/>
    <row r="522" s="160" customFormat="1" ht="14.25"/>
    <row r="523" s="160" customFormat="1" ht="14.25"/>
    <row r="524" s="160" customFormat="1" ht="14.25"/>
    <row r="525" s="160" customFormat="1" ht="14.25"/>
    <row r="526" s="160" customFormat="1" ht="14.25"/>
    <row r="527" s="160" customFormat="1" ht="14.25"/>
    <row r="528" s="160" customFormat="1" ht="14.25"/>
    <row r="529" s="160" customFormat="1" ht="14.25"/>
    <row r="530" s="160" customFormat="1" ht="14.25"/>
    <row r="531" s="160" customFormat="1" ht="14.25"/>
    <row r="532" s="160" customFormat="1" ht="14.25"/>
    <row r="533" s="160" customFormat="1" ht="14.25"/>
    <row r="534" s="160" customFormat="1" ht="14.25"/>
    <row r="535" s="160" customFormat="1" ht="14.25"/>
    <row r="536" s="160" customFormat="1" ht="14.25"/>
    <row r="537" s="160" customFormat="1" ht="14.25"/>
    <row r="538" s="160" customFormat="1" ht="14.25"/>
    <row r="539" s="160" customFormat="1" ht="14.25"/>
    <row r="540" s="160" customFormat="1" ht="14.25"/>
    <row r="541" s="160" customFormat="1" ht="14.25"/>
    <row r="542" s="160" customFormat="1" ht="14.25"/>
    <row r="543" s="160" customFormat="1" ht="14.25"/>
    <row r="544" s="160" customFormat="1" ht="14.25"/>
    <row r="545" s="160" customFormat="1" ht="14.25"/>
    <row r="546" s="160" customFormat="1" ht="14.25"/>
    <row r="547" s="160" customFormat="1" ht="14.25"/>
    <row r="548" s="160" customFormat="1" ht="14.25"/>
    <row r="549" s="160" customFormat="1" ht="14.25"/>
    <row r="550" s="160" customFormat="1" ht="14.25"/>
    <row r="551" s="160" customFormat="1" ht="14.25"/>
    <row r="552" s="160" customFormat="1" ht="14.25"/>
    <row r="553" s="160" customFormat="1" ht="14.25"/>
    <row r="554" s="160" customFormat="1" ht="14.25"/>
    <row r="555" s="160" customFormat="1" ht="14.25"/>
    <row r="556" s="160" customFormat="1" ht="14.25"/>
    <row r="557" s="160" customFormat="1" ht="14.25"/>
    <row r="558" s="160" customFormat="1" ht="14.25"/>
    <row r="559" s="160" customFormat="1" ht="14.25"/>
    <row r="560" s="160" customFormat="1" ht="14.25"/>
    <row r="561" s="160" customFormat="1" ht="14.25"/>
    <row r="562" s="160" customFormat="1" ht="14.25"/>
    <row r="563" s="160" customFormat="1" ht="14.25"/>
    <row r="564" s="160" customFormat="1" ht="14.25"/>
    <row r="565" s="160" customFormat="1" ht="14.25"/>
    <row r="566" s="160" customFormat="1" ht="14.25"/>
    <row r="567" s="160" customFormat="1" ht="14.25"/>
    <row r="568" s="160" customFormat="1" ht="14.25"/>
    <row r="569" s="160" customFormat="1" ht="14.25"/>
    <row r="570" s="160" customFormat="1" ht="14.25"/>
    <row r="571" s="160" customFormat="1" ht="14.25"/>
    <row r="572" s="160" customFormat="1" ht="14.25"/>
    <row r="573" s="160" customFormat="1" ht="14.25"/>
    <row r="574" s="160" customFormat="1" ht="14.25"/>
    <row r="575" s="160" customFormat="1" ht="14.25"/>
    <row r="576" s="160" customFormat="1" ht="14.25"/>
    <row r="577" s="160" customFormat="1" ht="14.25"/>
    <row r="578" s="160" customFormat="1" ht="14.25"/>
    <row r="579" s="160" customFormat="1" ht="14.25"/>
    <row r="580" s="160" customFormat="1" ht="14.25"/>
    <row r="581" s="160" customFormat="1" ht="14.25"/>
    <row r="582" s="160" customFormat="1" ht="14.25"/>
    <row r="583" s="160" customFormat="1" ht="14.25"/>
    <row r="584" s="160" customFormat="1" ht="14.25"/>
    <row r="585" s="160" customFormat="1" ht="14.25"/>
    <row r="586" s="160" customFormat="1" ht="14.25"/>
    <row r="587" s="160" customFormat="1" ht="14.25"/>
    <row r="588" s="160" customFormat="1" ht="14.25"/>
    <row r="589" s="160" customFormat="1" ht="14.25"/>
    <row r="590" s="160" customFormat="1" ht="14.25"/>
    <row r="591" s="160" customFormat="1" ht="14.25"/>
    <row r="592" s="160" customFormat="1" ht="14.25"/>
    <row r="593" s="160" customFormat="1" ht="14.25"/>
    <row r="594" s="160" customFormat="1" ht="14.25"/>
    <row r="595" s="160" customFormat="1" ht="14.25"/>
    <row r="596" s="160" customFormat="1" ht="14.25"/>
    <row r="597" s="160" customFormat="1" ht="14.25"/>
    <row r="598" s="160" customFormat="1" ht="14.25"/>
    <row r="599" s="160" customFormat="1" ht="14.25"/>
    <row r="600" s="160" customFormat="1" ht="14.25"/>
    <row r="601" s="160" customFormat="1" ht="14.25"/>
    <row r="602" s="160" customFormat="1" ht="14.25"/>
    <row r="603" s="160" customFormat="1" ht="14.25"/>
    <row r="604" s="160" customFormat="1" ht="14.25"/>
    <row r="605" s="160" customFormat="1" ht="14.25"/>
    <row r="606" s="160" customFormat="1" ht="14.25"/>
    <row r="607" s="160" customFormat="1" ht="14.25"/>
    <row r="608" s="160" customFormat="1" ht="14.25"/>
    <row r="609" s="160" customFormat="1" ht="14.25"/>
    <row r="610" s="160" customFormat="1" ht="14.25"/>
    <row r="611" s="160" customFormat="1" ht="14.25"/>
    <row r="612" s="160" customFormat="1" ht="14.25"/>
    <row r="613" s="160" customFormat="1" ht="14.25"/>
    <row r="614" s="160" customFormat="1" ht="14.25"/>
    <row r="615" s="160" customFormat="1" ht="14.25"/>
    <row r="616" s="160" customFormat="1" ht="14.25"/>
    <row r="617" s="160" customFormat="1" ht="14.25"/>
    <row r="618" s="160" customFormat="1" ht="14.25"/>
    <row r="619" s="160" customFormat="1" ht="14.25"/>
    <row r="620" s="160" customFormat="1" ht="14.25"/>
    <row r="621" s="160" customFormat="1" ht="14.25"/>
    <row r="622" s="160" customFormat="1" ht="14.25"/>
    <row r="623" s="160" customFormat="1" ht="14.25"/>
    <row r="624" s="160" customFormat="1" ht="14.25"/>
    <row r="625" s="160" customFormat="1" ht="14.25"/>
    <row r="626" s="160" customFormat="1" ht="14.25"/>
    <row r="627" s="160" customFormat="1" ht="14.25"/>
    <row r="628" s="160" customFormat="1" ht="14.25"/>
    <row r="629" s="160" customFormat="1" ht="14.25"/>
    <row r="630" s="160" customFormat="1" ht="14.25"/>
    <row r="631" s="160" customFormat="1" ht="14.25"/>
    <row r="632" s="160" customFormat="1" ht="14.25"/>
    <row r="633" s="160" customFormat="1" ht="14.25"/>
    <row r="634" s="160" customFormat="1" ht="14.25"/>
    <row r="635" s="160" customFormat="1" ht="14.25"/>
    <row r="636" s="160" customFormat="1" ht="14.25"/>
    <row r="637" s="160" customFormat="1" ht="14.25"/>
    <row r="638" s="160" customFormat="1" ht="14.25"/>
    <row r="639" s="160" customFormat="1" ht="14.25"/>
    <row r="640" s="160" customFormat="1" ht="14.25"/>
    <row r="641" s="160" customFormat="1" ht="14.25"/>
    <row r="642" s="160" customFormat="1" ht="14.25"/>
    <row r="643" s="160" customFormat="1" ht="14.25"/>
    <row r="644" s="160" customFormat="1" ht="14.25"/>
    <row r="645" s="160" customFormat="1" ht="14.25"/>
    <row r="646" s="160" customFormat="1" ht="14.25"/>
  </sheetData>
  <sheetProtection autoFilter="0" pivotTables="0"/>
  <mergeCells count="1">
    <mergeCell ref="B9:J10"/>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B5:G128"/>
  <sheetViews>
    <sheetView showGridLines="0" showRowColHeaders="0" workbookViewId="0">
      <selection activeCell="D24" sqref="D24"/>
    </sheetView>
  </sheetViews>
  <sheetFormatPr defaultColWidth="8.7109375" defaultRowHeight="15" customHeight="1"/>
  <cols>
    <col min="1" max="1" width="2.140625" style="160" customWidth="1"/>
    <col min="2" max="2" width="45.5703125" style="160" customWidth="1"/>
    <col min="3" max="3" width="54.7109375" style="160" customWidth="1"/>
    <col min="4" max="4" width="16.28515625" style="160" customWidth="1"/>
    <col min="5" max="6" width="16.140625" style="160" customWidth="1"/>
    <col min="7" max="7" width="18" style="160" customWidth="1"/>
    <col min="8" max="8" width="13.7109375" style="160" customWidth="1"/>
    <col min="9" max="10" width="3" style="160" bestFit="1" customWidth="1"/>
    <col min="11" max="11" width="4.85546875" style="160" bestFit="1" customWidth="1"/>
    <col min="12" max="17" width="3" style="160" bestFit="1" customWidth="1"/>
    <col min="18" max="22" width="4.140625" style="160" bestFit="1" customWidth="1"/>
    <col min="23" max="23" width="5.85546875" style="160" bestFit="1" customWidth="1"/>
    <col min="24" max="33" width="4.140625" style="160" bestFit="1" customWidth="1"/>
    <col min="34" max="34" width="5.85546875" style="160" bestFit="1" customWidth="1"/>
    <col min="35" max="41" width="4.140625" style="160" bestFit="1" customWidth="1"/>
    <col min="42" max="46" width="5.140625" style="160" bestFit="1" customWidth="1"/>
    <col min="47" max="47" width="6.85546875" style="160" bestFit="1" customWidth="1"/>
    <col min="48" max="52" width="5.140625" style="160" bestFit="1" customWidth="1"/>
    <col min="53" max="53" width="6.85546875" style="160" bestFit="1" customWidth="1"/>
    <col min="54" max="63" width="5.140625" style="160" bestFit="1" customWidth="1"/>
    <col min="64" max="65" width="6.28515625" style="160" bestFit="1" customWidth="1"/>
    <col min="66" max="66" width="9" style="160" bestFit="1" customWidth="1"/>
    <col min="67" max="74" width="6.28515625" style="160" bestFit="1" customWidth="1"/>
    <col min="75" max="75" width="9" style="160" bestFit="1" customWidth="1"/>
    <col min="76" max="78" width="6.28515625" style="160" bestFit="1" customWidth="1"/>
    <col min="79" max="79" width="9" style="160" bestFit="1" customWidth="1"/>
    <col min="80" max="81" width="6.28515625" style="160" bestFit="1" customWidth="1"/>
    <col min="82" max="86" width="7.42578125" style="160" bestFit="1" customWidth="1"/>
    <col min="87" max="87" width="8.7109375" style="160"/>
    <col min="88" max="121" width="6.140625" style="160" bestFit="1" customWidth="1"/>
    <col min="122" max="122" width="16.7109375" style="160" bestFit="1" customWidth="1"/>
    <col min="123" max="123" width="5.42578125" style="160" bestFit="1" customWidth="1"/>
    <col min="124" max="124" width="11.42578125" style="160" bestFit="1" customWidth="1"/>
    <col min="125" max="16384" width="8.7109375" style="160"/>
  </cols>
  <sheetData>
    <row r="5" spans="2:7" ht="14.45" customHeight="1"/>
    <row r="6" spans="2:7" ht="14.25"/>
    <row r="7" spans="2:7" ht="14.25"/>
    <row r="8" spans="2:7" ht="14.25"/>
    <row r="9" spans="2:7" thickBot="1">
      <c r="B9" s="241"/>
      <c r="C9" s="241"/>
      <c r="D9" s="241"/>
      <c r="E9" s="241"/>
      <c r="F9" s="241"/>
      <c r="G9" s="241"/>
    </row>
    <row r="10" spans="2:7" ht="15" customHeight="1" thickTop="1"/>
    <row r="11" spans="2:7" ht="15" customHeight="1">
      <c r="B11" s="406" t="s">
        <v>162</v>
      </c>
      <c r="C11" s="406"/>
      <c r="D11" s="406"/>
      <c r="E11" s="406"/>
      <c r="F11" s="406"/>
      <c r="G11" s="406"/>
    </row>
    <row r="12" spans="2:7" ht="15.75" thickBot="1">
      <c r="B12" s="402"/>
      <c r="C12" s="402"/>
    </row>
    <row r="13" spans="2:7" ht="15" customHeight="1" thickBot="1">
      <c r="D13" s="403" t="s">
        <v>208</v>
      </c>
      <c r="E13" s="404"/>
      <c r="F13" s="404"/>
      <c r="G13" s="405"/>
    </row>
    <row r="14" spans="2:7" ht="15.75" thickBot="1">
      <c r="D14" s="223" t="s">
        <v>439</v>
      </c>
      <c r="E14" s="224" t="s">
        <v>440</v>
      </c>
      <c r="F14" s="243" t="s">
        <v>441</v>
      </c>
      <c r="G14" s="224" t="s">
        <v>442</v>
      </c>
    </row>
    <row r="15" spans="2:7" hidden="1">
      <c r="B15"/>
      <c r="C15"/>
      <c r="D15" s="244"/>
      <c r="E15" s="245"/>
    </row>
    <row r="16" spans="2:7" ht="14.25" hidden="1">
      <c r="B16" s="332" t="s">
        <v>426</v>
      </c>
      <c r="C16" s="333" t="s">
        <v>427</v>
      </c>
      <c r="D16" s="244"/>
      <c r="E16" s="245"/>
    </row>
    <row r="17" spans="2:7" ht="14.25" hidden="1">
      <c r="B17" s="332" t="s">
        <v>428</v>
      </c>
      <c r="C17" s="333" t="s">
        <v>429</v>
      </c>
      <c r="D17" s="244"/>
      <c r="E17" s="245"/>
    </row>
    <row r="18" spans="2:7" ht="14.25" hidden="1">
      <c r="B18" s="332" t="s">
        <v>430</v>
      </c>
      <c r="C18" s="333" t="s">
        <v>452</v>
      </c>
      <c r="D18" s="244"/>
      <c r="E18" s="245"/>
    </row>
    <row r="19" spans="2:7">
      <c r="B19" s="332" t="s">
        <v>433</v>
      </c>
      <c r="C19" s="333" t="s">
        <v>431</v>
      </c>
      <c r="D19" s="223">
        <f>+SUM($F$22:$F$503)</f>
        <v>0</v>
      </c>
      <c r="E19" s="224">
        <f>+SUM($G$22:$G$503)</f>
        <v>0</v>
      </c>
      <c r="F19" s="243">
        <f>+SUM($F$22:$F$503)</f>
        <v>0</v>
      </c>
      <c r="G19" s="224">
        <f>+SUM($G$22:$G$503)</f>
        <v>0</v>
      </c>
    </row>
    <row r="20" spans="2:7" ht="12.75" customHeight="1"/>
    <row r="21" spans="2:7" ht="14.25">
      <c r="B21" s="332" t="s">
        <v>1</v>
      </c>
      <c r="C21" s="332" t="s">
        <v>434</v>
      </c>
      <c r="D21" s="335" t="s">
        <v>453</v>
      </c>
      <c r="E21" s="335" t="s">
        <v>440</v>
      </c>
      <c r="F21" s="335" t="s">
        <v>450</v>
      </c>
      <c r="G21" s="335" t="s">
        <v>451</v>
      </c>
    </row>
    <row r="22" spans="2:7">
      <c r="B22"/>
      <c r="C22"/>
      <c r="D22"/>
      <c r="E22"/>
      <c r="F22"/>
      <c r="G22"/>
    </row>
    <row r="23" spans="2:7">
      <c r="B23"/>
      <c r="C23"/>
      <c r="D23"/>
      <c r="E23"/>
      <c r="F23"/>
      <c r="G23"/>
    </row>
    <row r="24" spans="2:7">
      <c r="B24"/>
      <c r="C24"/>
      <c r="D24"/>
      <c r="E24"/>
      <c r="F24"/>
      <c r="G24"/>
    </row>
    <row r="25" spans="2:7">
      <c r="B25"/>
      <c r="C25"/>
      <c r="D25"/>
      <c r="E25"/>
      <c r="F25"/>
      <c r="G25"/>
    </row>
    <row r="26" spans="2:7">
      <c r="B26"/>
      <c r="C26"/>
      <c r="D26"/>
      <c r="E26"/>
      <c r="F26"/>
      <c r="G26"/>
    </row>
    <row r="27" spans="2:7">
      <c r="B27"/>
      <c r="C27"/>
      <c r="D27"/>
      <c r="E27"/>
      <c r="F27"/>
      <c r="G27"/>
    </row>
    <row r="28" spans="2:7">
      <c r="B28"/>
      <c r="C28"/>
      <c r="D28"/>
      <c r="E28"/>
      <c r="F28"/>
      <c r="G28"/>
    </row>
    <row r="29" spans="2:7">
      <c r="B29"/>
      <c r="C29"/>
      <c r="D29"/>
      <c r="E29"/>
      <c r="F29"/>
      <c r="G29"/>
    </row>
    <row r="30" spans="2:7">
      <c r="B30"/>
      <c r="C30"/>
      <c r="D30"/>
      <c r="E30"/>
      <c r="F30"/>
      <c r="G30"/>
    </row>
    <row r="31" spans="2:7">
      <c r="B31"/>
      <c r="C31"/>
      <c r="D31"/>
      <c r="E31"/>
      <c r="F31"/>
      <c r="G31"/>
    </row>
    <row r="32" spans="2:7">
      <c r="B32"/>
      <c r="C32"/>
      <c r="D32"/>
      <c r="E32"/>
      <c r="F32"/>
      <c r="G32"/>
    </row>
    <row r="33" spans="2:7">
      <c r="B33"/>
      <c r="C33"/>
      <c r="D33"/>
      <c r="E33"/>
      <c r="F33"/>
      <c r="G33"/>
    </row>
    <row r="34" spans="2:7">
      <c r="B34"/>
      <c r="C34"/>
      <c r="D34"/>
      <c r="E34"/>
      <c r="F34"/>
      <c r="G34"/>
    </row>
    <row r="35" spans="2:7">
      <c r="B35"/>
      <c r="C35"/>
      <c r="D35"/>
      <c r="E35"/>
      <c r="F35"/>
      <c r="G35"/>
    </row>
    <row r="36" spans="2:7">
      <c r="B36"/>
      <c r="C36"/>
      <c r="D36"/>
      <c r="E36"/>
      <c r="F36"/>
      <c r="G36"/>
    </row>
    <row r="37" spans="2:7">
      <c r="B37"/>
      <c r="C37"/>
      <c r="D37"/>
      <c r="E37"/>
      <c r="F37"/>
      <c r="G37"/>
    </row>
    <row r="38" spans="2:7">
      <c r="B38"/>
      <c r="C38"/>
      <c r="D38"/>
      <c r="E38"/>
      <c r="F38"/>
      <c r="G38"/>
    </row>
    <row r="39" spans="2:7">
      <c r="B39"/>
      <c r="C39"/>
      <c r="D39"/>
      <c r="E39"/>
      <c r="F39"/>
      <c r="G39"/>
    </row>
    <row r="40" spans="2:7">
      <c r="B40"/>
      <c r="C40"/>
      <c r="D40"/>
      <c r="E40"/>
      <c r="F40"/>
      <c r="G40"/>
    </row>
    <row r="41" spans="2:7">
      <c r="B41"/>
      <c r="C41"/>
      <c r="D41"/>
      <c r="E41"/>
      <c r="F41"/>
      <c r="G41"/>
    </row>
    <row r="42" spans="2:7">
      <c r="B42"/>
      <c r="C42"/>
      <c r="D42"/>
      <c r="E42"/>
      <c r="F42"/>
      <c r="G42"/>
    </row>
    <row r="43" spans="2:7">
      <c r="B43"/>
      <c r="C43"/>
      <c r="D43"/>
      <c r="E43"/>
      <c r="F43"/>
      <c r="G43"/>
    </row>
    <row r="44" spans="2:7">
      <c r="B44"/>
      <c r="C44"/>
      <c r="D44"/>
      <c r="E44"/>
      <c r="F44"/>
      <c r="G44"/>
    </row>
    <row r="45" spans="2:7">
      <c r="B45"/>
      <c r="C45"/>
      <c r="D45"/>
      <c r="E45"/>
      <c r="F45"/>
      <c r="G45"/>
    </row>
    <row r="46" spans="2:7">
      <c r="B46"/>
      <c r="C46"/>
      <c r="D46"/>
      <c r="E46"/>
      <c r="F46"/>
      <c r="G46"/>
    </row>
    <row r="47" spans="2:7">
      <c r="B47"/>
      <c r="C47"/>
      <c r="D47"/>
      <c r="E47"/>
      <c r="F47"/>
      <c r="G47"/>
    </row>
    <row r="48" spans="2:7">
      <c r="B48"/>
      <c r="C48"/>
      <c r="D48"/>
      <c r="E48"/>
      <c r="F48"/>
      <c r="G48"/>
    </row>
    <row r="49" spans="2:7">
      <c r="B49"/>
      <c r="C49"/>
      <c r="D49"/>
      <c r="E49"/>
      <c r="F49"/>
      <c r="G49"/>
    </row>
    <row r="50" spans="2:7">
      <c r="B50"/>
      <c r="C50"/>
      <c r="D50"/>
      <c r="E50"/>
      <c r="F50"/>
      <c r="G50"/>
    </row>
    <row r="51" spans="2:7">
      <c r="B51"/>
      <c r="C51"/>
      <c r="D51"/>
      <c r="E51"/>
      <c r="F51"/>
      <c r="G51"/>
    </row>
    <row r="52" spans="2:7">
      <c r="B52"/>
      <c r="C52"/>
      <c r="D52"/>
      <c r="E52"/>
      <c r="F52"/>
      <c r="G52"/>
    </row>
    <row r="53" spans="2:7">
      <c r="B53"/>
      <c r="C53"/>
      <c r="D53"/>
      <c r="E53"/>
      <c r="F53"/>
      <c r="G53"/>
    </row>
    <row r="54" spans="2:7">
      <c r="B54"/>
      <c r="C54"/>
      <c r="D54"/>
      <c r="E54"/>
      <c r="F54"/>
      <c r="G54"/>
    </row>
    <row r="55" spans="2:7">
      <c r="B55"/>
      <c r="C55"/>
      <c r="D55"/>
      <c r="E55"/>
      <c r="F55"/>
      <c r="G55"/>
    </row>
    <row r="56" spans="2:7">
      <c r="B56"/>
      <c r="C56"/>
      <c r="D56"/>
      <c r="E56"/>
      <c r="F56"/>
      <c r="G56"/>
    </row>
    <row r="57" spans="2:7">
      <c r="B57"/>
      <c r="C57"/>
      <c r="D57"/>
      <c r="E57"/>
      <c r="F57"/>
      <c r="G57"/>
    </row>
    <row r="58" spans="2:7">
      <c r="B58"/>
      <c r="C58"/>
      <c r="D58"/>
      <c r="E58"/>
      <c r="F58"/>
      <c r="G58"/>
    </row>
    <row r="59" spans="2:7">
      <c r="B59"/>
      <c r="C59"/>
      <c r="D59"/>
      <c r="E59"/>
      <c r="F59"/>
      <c r="G59"/>
    </row>
    <row r="60" spans="2:7">
      <c r="B60"/>
      <c r="C60"/>
      <c r="D60"/>
      <c r="E60"/>
      <c r="F60"/>
      <c r="G60"/>
    </row>
    <row r="61" spans="2:7">
      <c r="B61"/>
      <c r="C61"/>
      <c r="D61"/>
      <c r="E61"/>
      <c r="F61"/>
      <c r="G61"/>
    </row>
    <row r="62" spans="2:7">
      <c r="B62"/>
      <c r="C62"/>
      <c r="D62"/>
      <c r="E62"/>
      <c r="F62"/>
      <c r="G62"/>
    </row>
    <row r="63" spans="2:7">
      <c r="B63"/>
      <c r="C63"/>
      <c r="D63"/>
      <c r="E63"/>
      <c r="F63"/>
      <c r="G63"/>
    </row>
    <row r="64" spans="2:7">
      <c r="B64"/>
      <c r="C64"/>
      <c r="D64"/>
      <c r="E64"/>
      <c r="F64"/>
      <c r="G64"/>
    </row>
    <row r="65" spans="2:7">
      <c r="B65"/>
      <c r="C65"/>
      <c r="D65"/>
      <c r="E65"/>
      <c r="F65"/>
      <c r="G65"/>
    </row>
    <row r="66" spans="2:7">
      <c r="B66"/>
      <c r="C66"/>
      <c r="D66"/>
      <c r="E66"/>
      <c r="F66"/>
      <c r="G66"/>
    </row>
    <row r="67" spans="2:7">
      <c r="B67"/>
      <c r="C67"/>
      <c r="D67"/>
      <c r="E67"/>
      <c r="F67"/>
      <c r="G67"/>
    </row>
    <row r="68" spans="2:7">
      <c r="B68"/>
      <c r="C68"/>
      <c r="D68"/>
      <c r="E68"/>
      <c r="F68"/>
      <c r="G68"/>
    </row>
    <row r="69" spans="2:7">
      <c r="B69"/>
      <c r="C69"/>
      <c r="D69"/>
      <c r="E69"/>
      <c r="F69"/>
      <c r="G69"/>
    </row>
    <row r="70" spans="2:7">
      <c r="B70"/>
      <c r="C70"/>
      <c r="D70"/>
      <c r="E70"/>
      <c r="F70"/>
      <c r="G70"/>
    </row>
    <row r="71" spans="2:7">
      <c r="B71"/>
      <c r="C71"/>
      <c r="D71"/>
      <c r="E71"/>
      <c r="F71"/>
      <c r="G71"/>
    </row>
    <row r="72" spans="2:7">
      <c r="B72"/>
      <c r="C72"/>
      <c r="D72"/>
      <c r="E72"/>
      <c r="F72"/>
      <c r="G72"/>
    </row>
    <row r="73" spans="2:7">
      <c r="B73"/>
      <c r="C73"/>
      <c r="D73"/>
      <c r="E73"/>
      <c r="F73"/>
      <c r="G73"/>
    </row>
    <row r="74" spans="2:7">
      <c r="B74"/>
      <c r="C74"/>
      <c r="D74"/>
      <c r="E74"/>
      <c r="F74"/>
      <c r="G74"/>
    </row>
    <row r="75" spans="2:7">
      <c r="B75"/>
      <c r="C75"/>
      <c r="D75"/>
      <c r="E75"/>
      <c r="F75"/>
      <c r="G75"/>
    </row>
    <row r="76" spans="2:7">
      <c r="B76"/>
      <c r="C76"/>
      <c r="D76"/>
      <c r="E76"/>
      <c r="F76"/>
      <c r="G76"/>
    </row>
    <row r="77" spans="2:7">
      <c r="B77"/>
      <c r="C77"/>
      <c r="D77"/>
      <c r="E77"/>
      <c r="F77"/>
      <c r="G77"/>
    </row>
    <row r="78" spans="2:7">
      <c r="B78"/>
      <c r="C78"/>
      <c r="D78"/>
      <c r="E78"/>
      <c r="F78"/>
      <c r="G78"/>
    </row>
    <row r="79" spans="2:7">
      <c r="B79"/>
      <c r="C79"/>
      <c r="D79"/>
      <c r="E79"/>
      <c r="F79"/>
      <c r="G79"/>
    </row>
    <row r="80" spans="2:7">
      <c r="B80"/>
      <c r="C80"/>
      <c r="D80"/>
      <c r="E80"/>
      <c r="F80"/>
      <c r="G80"/>
    </row>
    <row r="81" spans="2:7">
      <c r="B81"/>
      <c r="C81"/>
      <c r="D81"/>
      <c r="E81"/>
      <c r="F81"/>
      <c r="G81"/>
    </row>
    <row r="82" spans="2:7">
      <c r="B82"/>
      <c r="C82"/>
      <c r="D82"/>
      <c r="E82"/>
      <c r="F82"/>
      <c r="G82"/>
    </row>
    <row r="83" spans="2:7">
      <c r="B83"/>
      <c r="C83"/>
      <c r="D83"/>
      <c r="E83"/>
      <c r="F83"/>
      <c r="G83"/>
    </row>
    <row r="84" spans="2:7">
      <c r="B84"/>
      <c r="C84"/>
      <c r="D84"/>
      <c r="E84"/>
      <c r="F84"/>
      <c r="G84"/>
    </row>
    <row r="85" spans="2:7">
      <c r="B85"/>
      <c r="C85"/>
      <c r="D85"/>
      <c r="E85"/>
      <c r="F85"/>
      <c r="G85"/>
    </row>
    <row r="86" spans="2:7">
      <c r="B86"/>
      <c r="C86"/>
      <c r="D86"/>
      <c r="E86"/>
      <c r="F86"/>
      <c r="G86"/>
    </row>
    <row r="87" spans="2:7">
      <c r="B87"/>
      <c r="C87"/>
      <c r="D87"/>
      <c r="E87"/>
      <c r="F87"/>
      <c r="G87"/>
    </row>
    <row r="88" spans="2:7">
      <c r="B88"/>
      <c r="C88"/>
      <c r="D88"/>
      <c r="E88"/>
      <c r="F88"/>
      <c r="G88"/>
    </row>
    <row r="89" spans="2:7">
      <c r="B89"/>
      <c r="C89"/>
      <c r="D89"/>
      <c r="E89"/>
      <c r="F89"/>
      <c r="G89"/>
    </row>
    <row r="90" spans="2:7">
      <c r="B90"/>
      <c r="C90"/>
      <c r="D90"/>
      <c r="E90"/>
      <c r="F90"/>
      <c r="G90"/>
    </row>
    <row r="91" spans="2:7">
      <c r="B91"/>
      <c r="C91"/>
      <c r="D91"/>
      <c r="E91"/>
      <c r="F91"/>
      <c r="G91"/>
    </row>
    <row r="92" spans="2:7">
      <c r="B92"/>
      <c r="C92"/>
      <c r="D92"/>
      <c r="E92"/>
      <c r="F92"/>
      <c r="G92"/>
    </row>
    <row r="93" spans="2:7">
      <c r="B93"/>
      <c r="C93"/>
      <c r="D93"/>
      <c r="E93"/>
      <c r="F93"/>
      <c r="G93"/>
    </row>
    <row r="94" spans="2:7">
      <c r="B94"/>
      <c r="C94"/>
      <c r="D94"/>
      <c r="E94"/>
      <c r="F94"/>
      <c r="G94"/>
    </row>
    <row r="95" spans="2:7">
      <c r="B95"/>
      <c r="C95"/>
      <c r="D95"/>
      <c r="E95"/>
      <c r="F95"/>
      <c r="G95"/>
    </row>
    <row r="96" spans="2:7">
      <c r="B96"/>
      <c r="C96"/>
      <c r="D96"/>
      <c r="E96"/>
      <c r="F96"/>
      <c r="G96"/>
    </row>
    <row r="97" spans="2:7">
      <c r="B97"/>
      <c r="C97"/>
      <c r="D97"/>
      <c r="E97"/>
      <c r="F97"/>
      <c r="G97"/>
    </row>
    <row r="98" spans="2:7">
      <c r="B98"/>
      <c r="C98"/>
      <c r="D98"/>
      <c r="E98"/>
      <c r="F98"/>
      <c r="G98"/>
    </row>
    <row r="99" spans="2:7">
      <c r="B99"/>
      <c r="C99"/>
      <c r="D99"/>
      <c r="E99"/>
      <c r="F99"/>
      <c r="G99"/>
    </row>
    <row r="100" spans="2:7">
      <c r="B100"/>
      <c r="C100"/>
      <c r="D100"/>
      <c r="E100"/>
      <c r="F100"/>
      <c r="G100"/>
    </row>
    <row r="101" spans="2:7">
      <c r="B101"/>
      <c r="C101"/>
      <c r="D101"/>
      <c r="E101"/>
      <c r="F101"/>
      <c r="G101"/>
    </row>
    <row r="102" spans="2:7">
      <c r="B102"/>
      <c r="C102"/>
      <c r="D102"/>
      <c r="E102"/>
      <c r="F102"/>
      <c r="G102"/>
    </row>
    <row r="103" spans="2:7">
      <c r="B103"/>
      <c r="C103"/>
      <c r="D103"/>
      <c r="E103"/>
      <c r="F103"/>
      <c r="G103"/>
    </row>
    <row r="104" spans="2:7">
      <c r="B104"/>
      <c r="C104"/>
      <c r="D104"/>
      <c r="E104"/>
      <c r="F104"/>
      <c r="G104"/>
    </row>
    <row r="105" spans="2:7">
      <c r="B105"/>
      <c r="C105"/>
      <c r="D105"/>
      <c r="E105"/>
      <c r="F105"/>
      <c r="G105"/>
    </row>
    <row r="106" spans="2:7">
      <c r="B106"/>
      <c r="C106"/>
      <c r="D106"/>
      <c r="E106"/>
      <c r="F106"/>
      <c r="G106"/>
    </row>
    <row r="107" spans="2:7">
      <c r="B107"/>
      <c r="C107"/>
      <c r="D107"/>
      <c r="E107"/>
      <c r="F107"/>
      <c r="G107"/>
    </row>
    <row r="108" spans="2:7">
      <c r="B108"/>
      <c r="C108"/>
      <c r="D108"/>
      <c r="E108"/>
      <c r="F108"/>
      <c r="G108"/>
    </row>
    <row r="109" spans="2:7">
      <c r="B109"/>
      <c r="C109"/>
      <c r="D109"/>
      <c r="E109"/>
      <c r="F109"/>
      <c r="G109"/>
    </row>
    <row r="110" spans="2:7">
      <c r="B110"/>
      <c r="C110"/>
      <c r="D110"/>
      <c r="E110"/>
      <c r="F110"/>
      <c r="G110"/>
    </row>
    <row r="111" spans="2:7">
      <c r="B111"/>
      <c r="C111"/>
      <c r="D111"/>
      <c r="E111"/>
      <c r="F111"/>
      <c r="G111"/>
    </row>
    <row r="112" spans="2:7">
      <c r="B112"/>
      <c r="C112"/>
      <c r="D112"/>
      <c r="E112"/>
      <c r="F112"/>
      <c r="G112"/>
    </row>
    <row r="113" spans="2:7">
      <c r="B113"/>
      <c r="C113"/>
      <c r="D113"/>
      <c r="E113"/>
      <c r="F113"/>
      <c r="G113"/>
    </row>
    <row r="114" spans="2:7">
      <c r="B114"/>
      <c r="C114"/>
      <c r="D114"/>
      <c r="E114"/>
      <c r="F114"/>
      <c r="G114"/>
    </row>
    <row r="115" spans="2:7">
      <c r="B115"/>
      <c r="C115"/>
      <c r="D115"/>
      <c r="E115"/>
      <c r="F115"/>
      <c r="G115"/>
    </row>
    <row r="116" spans="2:7">
      <c r="B116"/>
      <c r="C116"/>
      <c r="D116"/>
      <c r="E116"/>
      <c r="F116"/>
      <c r="G116"/>
    </row>
    <row r="117" spans="2:7">
      <c r="B117"/>
      <c r="C117"/>
      <c r="D117"/>
      <c r="E117"/>
      <c r="F117"/>
      <c r="G117"/>
    </row>
    <row r="118" spans="2:7">
      <c r="B118"/>
      <c r="C118"/>
      <c r="D118"/>
      <c r="E118"/>
      <c r="F118"/>
      <c r="G118"/>
    </row>
    <row r="119" spans="2:7">
      <c r="B119"/>
      <c r="C119"/>
      <c r="D119"/>
      <c r="E119"/>
      <c r="F119"/>
      <c r="G119"/>
    </row>
    <row r="120" spans="2:7">
      <c r="B120"/>
      <c r="C120"/>
      <c r="D120"/>
      <c r="E120"/>
      <c r="F120"/>
      <c r="G120"/>
    </row>
    <row r="121" spans="2:7">
      <c r="B121"/>
      <c r="C121"/>
      <c r="D121"/>
      <c r="E121"/>
      <c r="F121"/>
      <c r="G121"/>
    </row>
    <row r="122" spans="2:7">
      <c r="B122"/>
      <c r="C122"/>
      <c r="D122"/>
      <c r="E122"/>
      <c r="F122"/>
      <c r="G122"/>
    </row>
    <row r="123" spans="2:7">
      <c r="B123"/>
      <c r="C123"/>
      <c r="D123"/>
      <c r="E123"/>
      <c r="F123"/>
      <c r="G123"/>
    </row>
    <row r="124" spans="2:7">
      <c r="B124"/>
      <c r="C124"/>
      <c r="D124"/>
      <c r="E124"/>
      <c r="F124"/>
      <c r="G124"/>
    </row>
    <row r="125" spans="2:7">
      <c r="B125"/>
      <c r="C125"/>
      <c r="D125"/>
      <c r="E125"/>
      <c r="F125"/>
      <c r="G125"/>
    </row>
    <row r="126" spans="2:7">
      <c r="B126"/>
      <c r="C126"/>
      <c r="D126"/>
      <c r="E126"/>
      <c r="F126"/>
      <c r="G126"/>
    </row>
    <row r="127" spans="2:7">
      <c r="B127"/>
      <c r="C127"/>
      <c r="D127"/>
      <c r="E127"/>
      <c r="F127"/>
      <c r="G127"/>
    </row>
    <row r="128" spans="2:7">
      <c r="B128"/>
      <c r="C128"/>
      <c r="D128"/>
      <c r="E128"/>
      <c r="F128"/>
      <c r="G128"/>
    </row>
  </sheetData>
  <sheetProtection autoFilter="0" pivotTables="0"/>
  <mergeCells count="3">
    <mergeCell ref="B12:C12"/>
    <mergeCell ref="D13:G13"/>
    <mergeCell ref="B11:G11"/>
  </mergeCells>
  <conditionalFormatting pivot="1">
    <cfRule type="cellIs" dxfId="41" priority="1" operator="between">
      <formula>0</formula>
      <formula>0</formula>
    </cfRule>
  </conditionalFormatting>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pageSetUpPr fitToPage="1"/>
  </sheetPr>
  <dimension ref="A1:J422"/>
  <sheetViews>
    <sheetView workbookViewId="0">
      <selection activeCell="F131" sqref="F131"/>
    </sheetView>
  </sheetViews>
  <sheetFormatPr defaultColWidth="26.140625" defaultRowHeight="15"/>
  <cols>
    <col min="1" max="1" width="34" style="33" bestFit="1" customWidth="1"/>
    <col min="2" max="2" width="14.7109375" style="54" bestFit="1" customWidth="1"/>
    <col min="3" max="3" width="25" style="52" bestFit="1" customWidth="1"/>
    <col min="4" max="4" width="26.85546875" style="52" bestFit="1" customWidth="1"/>
    <col min="5" max="5" width="15.5703125" style="54" bestFit="1" customWidth="1"/>
    <col min="6" max="6" width="26.140625" style="1"/>
    <col min="7" max="7" width="9.7109375" style="1" bestFit="1" customWidth="1"/>
    <col min="8" max="8" width="25" style="1" bestFit="1" customWidth="1"/>
    <col min="9" max="9" width="26.85546875" style="1" bestFit="1" customWidth="1"/>
    <col min="10" max="10" width="9.7109375" style="1" bestFit="1" customWidth="1"/>
    <col min="11" max="16384" width="26.140625" style="1"/>
  </cols>
  <sheetData>
    <row r="1" spans="1:10">
      <c r="G1" s="408" t="s">
        <v>454</v>
      </c>
      <c r="H1" s="408"/>
      <c r="I1" s="408"/>
      <c r="J1" s="408"/>
    </row>
    <row r="3" spans="1:10" ht="15.75" thickBot="1">
      <c r="G3" s="34" t="s">
        <v>210</v>
      </c>
      <c r="H3" s="35"/>
      <c r="I3" s="35"/>
      <c r="J3" s="34" t="s">
        <v>211</v>
      </c>
    </row>
    <row r="4" spans="1:10" ht="15.75" thickBot="1">
      <c r="G4" s="409" t="s">
        <v>455</v>
      </c>
      <c r="H4" s="410"/>
      <c r="I4" s="410"/>
      <c r="J4" s="411"/>
    </row>
    <row r="5" spans="1:10" ht="15.75" thickBot="1">
      <c r="G5" s="36" t="s">
        <v>456</v>
      </c>
      <c r="H5" s="36" t="s">
        <v>457</v>
      </c>
      <c r="I5" s="36" t="s">
        <v>458</v>
      </c>
      <c r="J5" s="36" t="s">
        <v>459</v>
      </c>
    </row>
    <row r="6" spans="1:10" ht="15.75" thickBot="1">
      <c r="G6" s="36" t="s">
        <v>460</v>
      </c>
      <c r="H6" s="36" t="s">
        <v>461</v>
      </c>
      <c r="I6" s="36" t="s">
        <v>462</v>
      </c>
      <c r="J6" s="36" t="s">
        <v>463</v>
      </c>
    </row>
    <row r="7" spans="1:10" ht="15.75" thickBot="1">
      <c r="G7" s="36" t="s">
        <v>464</v>
      </c>
      <c r="H7" s="36" t="s">
        <v>465</v>
      </c>
      <c r="I7" s="36" t="s">
        <v>466</v>
      </c>
      <c r="J7" s="36" t="s">
        <v>467</v>
      </c>
    </row>
    <row r="8" spans="1:10" ht="15.75" thickBot="1">
      <c r="G8" s="412" t="s">
        <v>468</v>
      </c>
      <c r="H8" s="413"/>
      <c r="I8" s="413"/>
      <c r="J8" s="414"/>
    </row>
    <row r="9" spans="1:10">
      <c r="H9" s="51">
        <f>SUM(B11:B1072)</f>
        <v>1853341.63</v>
      </c>
      <c r="I9" s="51">
        <f>SUM(E11:E1072)</f>
        <v>1853341.63</v>
      </c>
    </row>
    <row r="11" spans="1:10">
      <c r="I11" s="80">
        <f>H9-I9</f>
        <v>0</v>
      </c>
    </row>
    <row r="12" spans="1:10">
      <c r="B12" s="408" t="s">
        <v>209</v>
      </c>
      <c r="C12" s="408"/>
      <c r="D12" s="408"/>
      <c r="E12" s="408"/>
    </row>
    <row r="13" spans="1:10">
      <c r="B13" s="77"/>
      <c r="E13" s="77"/>
    </row>
    <row r="14" spans="1:10">
      <c r="A14" s="33" t="s">
        <v>469</v>
      </c>
      <c r="B14" s="78" t="s">
        <v>210</v>
      </c>
      <c r="C14" s="46"/>
      <c r="D14" s="46"/>
      <c r="E14" s="78" t="s">
        <v>211</v>
      </c>
    </row>
    <row r="15" spans="1:10">
      <c r="B15" s="407" t="s">
        <v>470</v>
      </c>
      <c r="C15" s="407"/>
      <c r="D15" s="407"/>
      <c r="E15" s="407"/>
      <c r="F15" s="1" t="s">
        <v>471</v>
      </c>
    </row>
    <row r="16" spans="1:10">
      <c r="B16" s="79">
        <v>5000</v>
      </c>
      <c r="C16" s="45" t="s">
        <v>472</v>
      </c>
      <c r="D16" s="45" t="s">
        <v>473</v>
      </c>
      <c r="E16" s="79">
        <v>3000</v>
      </c>
    </row>
    <row r="17" spans="2:5" ht="28.5">
      <c r="B17" s="79">
        <v>2000</v>
      </c>
      <c r="C17" s="45" t="s">
        <v>474</v>
      </c>
      <c r="D17" s="45" t="s">
        <v>475</v>
      </c>
      <c r="E17" s="79">
        <v>500</v>
      </c>
    </row>
    <row r="18" spans="2:5" ht="28.5">
      <c r="B18" s="79">
        <v>200000</v>
      </c>
      <c r="C18" s="45" t="s">
        <v>476</v>
      </c>
      <c r="D18" s="45" t="s">
        <v>477</v>
      </c>
      <c r="E18" s="79">
        <v>220000</v>
      </c>
    </row>
    <row r="19" spans="2:5" ht="28.5">
      <c r="B19" s="79">
        <v>70000</v>
      </c>
      <c r="C19" s="45" t="s">
        <v>478</v>
      </c>
      <c r="D19" s="45" t="s">
        <v>479</v>
      </c>
      <c r="E19" s="79">
        <v>120000</v>
      </c>
    </row>
    <row r="20" spans="2:5" ht="28.5">
      <c r="B20" s="79">
        <v>10000</v>
      </c>
      <c r="C20" s="45" t="s">
        <v>480</v>
      </c>
      <c r="D20" s="45" t="s">
        <v>481</v>
      </c>
      <c r="E20" s="79">
        <v>1000</v>
      </c>
    </row>
    <row r="21" spans="2:5" ht="42.75">
      <c r="B21" s="79">
        <v>4800</v>
      </c>
      <c r="C21" s="45" t="s">
        <v>482</v>
      </c>
      <c r="D21" s="45" t="s">
        <v>483</v>
      </c>
      <c r="E21" s="79">
        <v>1400</v>
      </c>
    </row>
    <row r="22" spans="2:5" ht="42.75">
      <c r="B22" s="79">
        <v>1200</v>
      </c>
      <c r="C22" s="45" t="s">
        <v>484</v>
      </c>
      <c r="D22" s="45" t="s">
        <v>485</v>
      </c>
      <c r="E22" s="79">
        <v>23600</v>
      </c>
    </row>
    <row r="23" spans="2:5" ht="42.75">
      <c r="B23" s="79">
        <v>32000</v>
      </c>
      <c r="C23" s="45" t="s">
        <v>486</v>
      </c>
      <c r="D23" s="45" t="s">
        <v>487</v>
      </c>
      <c r="E23" s="79">
        <v>12000</v>
      </c>
    </row>
    <row r="24" spans="2:5" ht="28.5">
      <c r="B24" s="79">
        <v>60000</v>
      </c>
      <c r="C24" s="45" t="s">
        <v>488</v>
      </c>
      <c r="D24" s="45" t="s">
        <v>489</v>
      </c>
      <c r="E24" s="79">
        <v>2000</v>
      </c>
    </row>
    <row r="25" spans="2:5" ht="28.5">
      <c r="B25" s="79">
        <v>30000</v>
      </c>
      <c r="C25" s="45" t="s">
        <v>490</v>
      </c>
      <c r="D25" s="45" t="s">
        <v>491</v>
      </c>
      <c r="E25" s="79">
        <v>200</v>
      </c>
    </row>
    <row r="26" spans="2:5">
      <c r="B26" s="79">
        <v>1000</v>
      </c>
      <c r="C26" s="45" t="s">
        <v>492</v>
      </c>
      <c r="D26" s="45" t="s">
        <v>493</v>
      </c>
      <c r="E26" s="79">
        <v>16000</v>
      </c>
    </row>
    <row r="27" spans="2:5" ht="28.5">
      <c r="B27" s="79">
        <v>2000</v>
      </c>
      <c r="C27" s="45" t="s">
        <v>494</v>
      </c>
      <c r="D27" s="45" t="s">
        <v>495</v>
      </c>
      <c r="E27" s="79">
        <v>8000</v>
      </c>
    </row>
    <row r="28" spans="2:5" ht="28.5">
      <c r="B28" s="79">
        <v>14200</v>
      </c>
      <c r="C28" s="45" t="s">
        <v>496</v>
      </c>
      <c r="D28" s="45" t="s">
        <v>497</v>
      </c>
      <c r="E28" s="79">
        <v>2000</v>
      </c>
    </row>
    <row r="29" spans="2:5" ht="42.75">
      <c r="B29" s="79">
        <v>32000</v>
      </c>
      <c r="C29" s="45" t="s">
        <v>498</v>
      </c>
      <c r="D29" s="45" t="s">
        <v>499</v>
      </c>
      <c r="E29" s="79">
        <v>8000</v>
      </c>
    </row>
    <row r="30" spans="2:5" ht="42.75">
      <c r="B30" s="79">
        <v>2000</v>
      </c>
      <c r="C30" s="45" t="s">
        <v>500</v>
      </c>
      <c r="D30" s="45" t="s">
        <v>501</v>
      </c>
      <c r="E30" s="79">
        <v>55000</v>
      </c>
    </row>
    <row r="31" spans="2:5" ht="42.75">
      <c r="B31" s="79">
        <v>20000</v>
      </c>
      <c r="C31" s="45" t="s">
        <v>502</v>
      </c>
      <c r="D31" s="45" t="s">
        <v>503</v>
      </c>
      <c r="E31" s="79">
        <v>4000</v>
      </c>
    </row>
    <row r="32" spans="2:5" ht="28.5">
      <c r="B32" s="79">
        <v>1000</v>
      </c>
      <c r="C32" s="45" t="s">
        <v>504</v>
      </c>
      <c r="D32" s="45" t="s">
        <v>505</v>
      </c>
      <c r="E32" s="79">
        <v>30000</v>
      </c>
    </row>
    <row r="33" spans="1:6" ht="28.5">
      <c r="B33" s="79">
        <v>500</v>
      </c>
      <c r="C33" s="45" t="s">
        <v>506</v>
      </c>
      <c r="D33" s="45" t="s">
        <v>507</v>
      </c>
      <c r="E33" s="79">
        <v>1000</v>
      </c>
    </row>
    <row r="34" spans="1:6">
      <c r="B34" s="79">
        <v>20000</v>
      </c>
      <c r="C34" s="45" t="s">
        <v>508</v>
      </c>
      <c r="D34" s="45"/>
      <c r="E34" s="79"/>
    </row>
    <row r="35" spans="1:6">
      <c r="B35" s="50"/>
      <c r="C35" s="27"/>
      <c r="D35" s="27"/>
      <c r="E35" s="50"/>
    </row>
    <row r="36" spans="1:6">
      <c r="B36" s="78" t="s">
        <v>210</v>
      </c>
      <c r="C36" s="46"/>
      <c r="D36" s="46"/>
      <c r="E36" s="78" t="s">
        <v>211</v>
      </c>
    </row>
    <row r="37" spans="1:6">
      <c r="A37" s="33">
        <v>1</v>
      </c>
      <c r="B37" s="407" t="s">
        <v>509</v>
      </c>
      <c r="C37" s="407"/>
      <c r="D37" s="407"/>
      <c r="E37" s="407"/>
      <c r="F37" s="1" t="s">
        <v>510</v>
      </c>
    </row>
    <row r="38" spans="1:6">
      <c r="B38" s="50">
        <v>500</v>
      </c>
      <c r="C38" s="27" t="s">
        <v>508</v>
      </c>
      <c r="D38" s="45" t="s">
        <v>506</v>
      </c>
      <c r="E38" s="79">
        <v>500</v>
      </c>
    </row>
    <row r="39" spans="1:6">
      <c r="B39" s="50"/>
      <c r="C39" s="27"/>
      <c r="D39" s="27"/>
      <c r="E39" s="50"/>
    </row>
    <row r="40" spans="1:6">
      <c r="B40" s="78" t="s">
        <v>210</v>
      </c>
      <c r="C40" s="46"/>
      <c r="D40" s="46"/>
      <c r="E40" s="78" t="s">
        <v>211</v>
      </c>
    </row>
    <row r="41" spans="1:6">
      <c r="A41" s="33">
        <v>2</v>
      </c>
      <c r="B41" s="407" t="s">
        <v>511</v>
      </c>
      <c r="C41" s="407"/>
      <c r="D41" s="407"/>
      <c r="E41" s="407"/>
      <c r="F41" s="1" t="s">
        <v>512</v>
      </c>
    </row>
    <row r="42" spans="1:6">
      <c r="B42" s="50">
        <v>2000</v>
      </c>
      <c r="C42" s="27" t="s">
        <v>506</v>
      </c>
      <c r="D42" s="27" t="s">
        <v>498</v>
      </c>
      <c r="E42" s="50">
        <v>2000</v>
      </c>
    </row>
    <row r="43" spans="1:6">
      <c r="B43" s="50"/>
      <c r="C43" s="27"/>
      <c r="D43" s="27"/>
      <c r="E43" s="50"/>
    </row>
    <row r="44" spans="1:6">
      <c r="B44" s="78" t="s">
        <v>210</v>
      </c>
      <c r="C44" s="46"/>
      <c r="D44" s="46"/>
      <c r="E44" s="78" t="s">
        <v>211</v>
      </c>
    </row>
    <row r="45" spans="1:6">
      <c r="A45" s="33">
        <v>3</v>
      </c>
      <c r="B45" s="407" t="s">
        <v>513</v>
      </c>
      <c r="C45" s="407"/>
      <c r="D45" s="407"/>
      <c r="E45" s="407"/>
      <c r="F45" s="1" t="s">
        <v>514</v>
      </c>
    </row>
    <row r="46" spans="1:6">
      <c r="B46" s="50">
        <v>10000</v>
      </c>
      <c r="C46" s="27" t="s">
        <v>508</v>
      </c>
      <c r="D46" s="27" t="s">
        <v>498</v>
      </c>
      <c r="E46" s="50">
        <v>10000</v>
      </c>
    </row>
    <row r="47" spans="1:6">
      <c r="B47" s="50"/>
      <c r="C47" s="27"/>
      <c r="D47" s="27"/>
      <c r="E47" s="50"/>
    </row>
    <row r="48" spans="1:6">
      <c r="B48" s="78" t="s">
        <v>210</v>
      </c>
      <c r="C48" s="46"/>
      <c r="D48" s="46"/>
      <c r="E48" s="78" t="s">
        <v>211</v>
      </c>
    </row>
    <row r="49" spans="1:6">
      <c r="A49" s="33">
        <v>4</v>
      </c>
      <c r="B49" s="407" t="s">
        <v>515</v>
      </c>
      <c r="C49" s="407"/>
      <c r="D49" s="407"/>
      <c r="E49" s="407"/>
      <c r="F49" s="1" t="s">
        <v>268</v>
      </c>
    </row>
    <row r="50" spans="1:6">
      <c r="B50" s="50">
        <v>6000</v>
      </c>
      <c r="C50" s="27" t="s">
        <v>493</v>
      </c>
      <c r="D50" s="27" t="s">
        <v>508</v>
      </c>
      <c r="E50" s="50">
        <v>5400</v>
      </c>
    </row>
    <row r="51" spans="1:6">
      <c r="B51" s="50"/>
      <c r="C51" s="27"/>
      <c r="D51" s="45" t="s">
        <v>506</v>
      </c>
      <c r="E51" s="50">
        <v>600</v>
      </c>
    </row>
    <row r="52" spans="1:6">
      <c r="B52" s="50"/>
      <c r="C52" s="27"/>
      <c r="D52" s="27"/>
      <c r="E52" s="50"/>
    </row>
    <row r="53" spans="1:6">
      <c r="B53" s="78" t="s">
        <v>210</v>
      </c>
      <c r="C53" s="46"/>
      <c r="D53" s="46"/>
      <c r="E53" s="78" t="s">
        <v>211</v>
      </c>
    </row>
    <row r="54" spans="1:6">
      <c r="A54" s="33">
        <v>5</v>
      </c>
      <c r="B54" s="407" t="s">
        <v>516</v>
      </c>
      <c r="C54" s="407"/>
      <c r="D54" s="407"/>
      <c r="E54" s="407"/>
      <c r="F54" s="1" t="s">
        <v>517</v>
      </c>
    </row>
    <row r="55" spans="1:6" ht="28.5">
      <c r="B55" s="50">
        <v>2000</v>
      </c>
      <c r="C55" s="45" t="s">
        <v>497</v>
      </c>
      <c r="D55" s="27" t="s">
        <v>508</v>
      </c>
      <c r="E55" s="50">
        <v>14000</v>
      </c>
    </row>
    <row r="56" spans="1:6" ht="42.75">
      <c r="B56" s="50">
        <v>8000</v>
      </c>
      <c r="C56" s="45" t="s">
        <v>499</v>
      </c>
      <c r="D56" s="27"/>
      <c r="E56" s="50"/>
    </row>
    <row r="57" spans="1:6" ht="42.75">
      <c r="B57" s="50">
        <v>4000</v>
      </c>
      <c r="C57" s="45" t="s">
        <v>503</v>
      </c>
      <c r="D57" s="27"/>
      <c r="E57" s="50"/>
    </row>
    <row r="58" spans="1:6">
      <c r="B58" s="80"/>
      <c r="D58" s="27"/>
      <c r="E58" s="50"/>
    </row>
    <row r="59" spans="1:6">
      <c r="B59" s="78" t="s">
        <v>210</v>
      </c>
      <c r="C59" s="46"/>
      <c r="D59" s="46"/>
      <c r="E59" s="78" t="s">
        <v>211</v>
      </c>
      <c r="F59" s="1" t="s">
        <v>274</v>
      </c>
    </row>
    <row r="60" spans="1:6">
      <c r="A60" s="33">
        <v>6</v>
      </c>
      <c r="B60" s="407" t="s">
        <v>518</v>
      </c>
      <c r="C60" s="407"/>
      <c r="D60" s="407"/>
      <c r="E60" s="407"/>
    </row>
    <row r="61" spans="1:6" ht="28.5">
      <c r="B61" s="50">
        <v>500</v>
      </c>
      <c r="C61" s="45" t="s">
        <v>506</v>
      </c>
      <c r="D61" s="45" t="s">
        <v>504</v>
      </c>
      <c r="E61" s="50">
        <v>1000</v>
      </c>
    </row>
    <row r="62" spans="1:6" ht="28.5">
      <c r="B62" s="50">
        <v>500</v>
      </c>
      <c r="C62" s="27" t="s">
        <v>519</v>
      </c>
      <c r="D62" s="27"/>
      <c r="E62" s="50"/>
    </row>
    <row r="63" spans="1:6">
      <c r="B63" s="50"/>
      <c r="C63" s="27"/>
      <c r="D63" s="27"/>
      <c r="E63" s="50"/>
    </row>
    <row r="64" spans="1:6">
      <c r="B64" s="78" t="s">
        <v>210</v>
      </c>
      <c r="C64" s="46"/>
      <c r="D64" s="46"/>
      <c r="E64" s="78" t="s">
        <v>211</v>
      </c>
    </row>
    <row r="65" spans="1:6">
      <c r="A65" s="33">
        <v>7</v>
      </c>
      <c r="B65" s="407" t="s">
        <v>520</v>
      </c>
      <c r="C65" s="407"/>
      <c r="D65" s="407"/>
      <c r="E65" s="407"/>
      <c r="F65" s="1" t="s">
        <v>521</v>
      </c>
    </row>
    <row r="66" spans="1:6" ht="28.5">
      <c r="B66" s="50">
        <f>50*6</f>
        <v>300</v>
      </c>
      <c r="C66" s="27" t="s">
        <v>522</v>
      </c>
      <c r="D66" s="27" t="s">
        <v>506</v>
      </c>
      <c r="E66" s="50">
        <f>SUM($B$66:$B$67)/2</f>
        <v>165</v>
      </c>
    </row>
    <row r="67" spans="1:6">
      <c r="B67" s="50">
        <f>10%*B66</f>
        <v>30</v>
      </c>
      <c r="C67" s="27" t="s">
        <v>523</v>
      </c>
      <c r="D67" s="27" t="s">
        <v>524</v>
      </c>
      <c r="E67" s="50">
        <f>SUM($B$66:$B$67)/2</f>
        <v>165</v>
      </c>
    </row>
    <row r="68" spans="1:6">
      <c r="B68" s="50"/>
      <c r="C68" s="27"/>
      <c r="D68" s="27"/>
      <c r="E68" s="50"/>
    </row>
    <row r="69" spans="1:6">
      <c r="B69" s="78" t="s">
        <v>210</v>
      </c>
      <c r="C69" s="46"/>
      <c r="D69" s="46"/>
      <c r="E69" s="78" t="s">
        <v>211</v>
      </c>
    </row>
    <row r="70" spans="1:6">
      <c r="A70" s="33">
        <v>8</v>
      </c>
      <c r="B70" s="407" t="s">
        <v>525</v>
      </c>
      <c r="C70" s="407"/>
      <c r="D70" s="407"/>
      <c r="E70" s="407"/>
      <c r="F70" s="1" t="s">
        <v>526</v>
      </c>
    </row>
    <row r="71" spans="1:6" ht="28.5">
      <c r="B71" s="50">
        <f>500*0.2</f>
        <v>100</v>
      </c>
      <c r="C71" s="27" t="s">
        <v>527</v>
      </c>
      <c r="D71" s="27" t="s">
        <v>524</v>
      </c>
      <c r="E71" s="50">
        <f>SUM(B71:B72)</f>
        <v>102</v>
      </c>
    </row>
    <row r="72" spans="1:6">
      <c r="B72" s="50">
        <f>2%*B71</f>
        <v>2</v>
      </c>
      <c r="C72" s="27" t="s">
        <v>523</v>
      </c>
      <c r="D72" s="27"/>
      <c r="E72" s="50"/>
    </row>
    <row r="73" spans="1:6">
      <c r="B73" s="50"/>
      <c r="C73" s="27"/>
      <c r="D73" s="27"/>
      <c r="E73" s="50"/>
    </row>
    <row r="74" spans="1:6">
      <c r="B74" s="78" t="s">
        <v>210</v>
      </c>
      <c r="C74" s="46"/>
      <c r="D74" s="46"/>
      <c r="E74" s="78" t="s">
        <v>211</v>
      </c>
    </row>
    <row r="75" spans="1:6">
      <c r="A75" s="33">
        <v>9</v>
      </c>
      <c r="B75" s="407" t="s">
        <v>528</v>
      </c>
      <c r="C75" s="407"/>
      <c r="D75" s="407"/>
      <c r="E75" s="407"/>
      <c r="F75" s="1" t="s">
        <v>529</v>
      </c>
    </row>
    <row r="76" spans="1:6" ht="28.5">
      <c r="B76" s="50">
        <f>40*5*0.9</f>
        <v>180</v>
      </c>
      <c r="C76" s="27" t="s">
        <v>522</v>
      </c>
      <c r="D76" s="27" t="s">
        <v>493</v>
      </c>
      <c r="E76" s="50">
        <f>SUM(B76:B77)</f>
        <v>198</v>
      </c>
    </row>
    <row r="77" spans="1:6">
      <c r="B77" s="50">
        <f>10%*B76</f>
        <v>18</v>
      </c>
      <c r="C77" s="27" t="s">
        <v>523</v>
      </c>
      <c r="D77" s="27"/>
      <c r="E77" s="50"/>
    </row>
    <row r="78" spans="1:6">
      <c r="B78" s="50"/>
      <c r="C78" s="27"/>
      <c r="D78" s="27"/>
      <c r="E78" s="50"/>
    </row>
    <row r="79" spans="1:6">
      <c r="A79" s="33" t="s">
        <v>530</v>
      </c>
      <c r="B79" s="78" t="s">
        <v>210</v>
      </c>
      <c r="C79" s="46"/>
      <c r="D79" s="46"/>
      <c r="E79" s="78" t="s">
        <v>211</v>
      </c>
    </row>
    <row r="80" spans="1:6">
      <c r="B80" s="407" t="s">
        <v>531</v>
      </c>
      <c r="C80" s="407"/>
      <c r="D80" s="407"/>
      <c r="E80" s="407"/>
      <c r="F80" s="1" t="s">
        <v>532</v>
      </c>
    </row>
    <row r="81" spans="1:6" ht="28.5">
      <c r="B81" s="50">
        <f>110/1.1</f>
        <v>99.999999999999986</v>
      </c>
      <c r="C81" s="27" t="s">
        <v>527</v>
      </c>
      <c r="D81" s="27" t="s">
        <v>506</v>
      </c>
      <c r="E81" s="50">
        <f>SUM(B81:B82)</f>
        <v>110</v>
      </c>
    </row>
    <row r="82" spans="1:6">
      <c r="B82" s="50">
        <f>110-B81</f>
        <v>10.000000000000014</v>
      </c>
      <c r="C82" s="27" t="s">
        <v>523</v>
      </c>
      <c r="D82" s="27"/>
      <c r="E82" s="50"/>
    </row>
    <row r="83" spans="1:6">
      <c r="B83" s="50"/>
      <c r="C83" s="27"/>
      <c r="D83" s="27"/>
      <c r="E83" s="50"/>
    </row>
    <row r="84" spans="1:6">
      <c r="B84" s="78" t="s">
        <v>210</v>
      </c>
      <c r="C84" s="46"/>
      <c r="D84" s="46"/>
      <c r="E84" s="78" t="s">
        <v>211</v>
      </c>
    </row>
    <row r="85" spans="1:6">
      <c r="A85" s="33" t="s">
        <v>533</v>
      </c>
      <c r="B85" s="407" t="s">
        <v>534</v>
      </c>
      <c r="C85" s="407"/>
      <c r="D85" s="407"/>
      <c r="E85" s="407"/>
      <c r="F85" s="1" t="s">
        <v>535</v>
      </c>
    </row>
    <row r="86" spans="1:6" ht="42.75">
      <c r="B86" s="50">
        <f>SUM(E86:E87)</f>
        <v>55</v>
      </c>
      <c r="C86" s="27" t="s">
        <v>524</v>
      </c>
      <c r="D86" s="27" t="s">
        <v>536</v>
      </c>
      <c r="E86" s="50">
        <v>50</v>
      </c>
    </row>
    <row r="87" spans="1:6">
      <c r="B87" s="50"/>
      <c r="C87" s="27"/>
      <c r="D87" s="27" t="s">
        <v>523</v>
      </c>
      <c r="E87" s="50">
        <f>10%*E86</f>
        <v>5</v>
      </c>
    </row>
    <row r="88" spans="1:6">
      <c r="B88" s="50"/>
      <c r="C88" s="27"/>
      <c r="D88" s="27"/>
      <c r="E88" s="50"/>
    </row>
    <row r="89" spans="1:6">
      <c r="A89" s="33">
        <v>11</v>
      </c>
      <c r="B89" s="78" t="s">
        <v>210</v>
      </c>
      <c r="C89" s="46"/>
      <c r="D89" s="46"/>
      <c r="E89" s="78" t="s">
        <v>211</v>
      </c>
    </row>
    <row r="90" spans="1:6">
      <c r="B90" s="407" t="s">
        <v>537</v>
      </c>
      <c r="C90" s="407"/>
      <c r="D90" s="407"/>
      <c r="E90" s="407"/>
      <c r="F90" s="1" t="s">
        <v>538</v>
      </c>
    </row>
    <row r="91" spans="1:6" ht="28.5">
      <c r="B91" s="50">
        <f>E92</f>
        <v>20</v>
      </c>
      <c r="C91" s="27" t="s">
        <v>506</v>
      </c>
      <c r="D91" s="27" t="s">
        <v>539</v>
      </c>
      <c r="E91" s="50">
        <f>20*10</f>
        <v>200</v>
      </c>
    </row>
    <row r="92" spans="1:6">
      <c r="B92" s="50">
        <f>E91/2</f>
        <v>100</v>
      </c>
      <c r="C92" s="27" t="s">
        <v>508</v>
      </c>
      <c r="D92" s="27" t="s">
        <v>540</v>
      </c>
      <c r="E92" s="50">
        <f>10%*E91</f>
        <v>20</v>
      </c>
    </row>
    <row r="93" spans="1:6">
      <c r="B93" s="50">
        <f>E91/2</f>
        <v>100</v>
      </c>
      <c r="C93" s="27" t="s">
        <v>498</v>
      </c>
      <c r="D93" s="27"/>
      <c r="E93" s="50"/>
    </row>
    <row r="94" spans="1:6">
      <c r="B94" s="50"/>
      <c r="C94" s="27"/>
      <c r="D94" s="27"/>
      <c r="E94" s="50"/>
    </row>
    <row r="95" spans="1:6">
      <c r="A95" s="33">
        <v>12</v>
      </c>
      <c r="B95" s="78" t="s">
        <v>210</v>
      </c>
      <c r="C95" s="46"/>
      <c r="D95" s="46"/>
      <c r="E95" s="78" t="s">
        <v>211</v>
      </c>
    </row>
    <row r="96" spans="1:6">
      <c r="B96" s="407" t="s">
        <v>541</v>
      </c>
      <c r="C96" s="407"/>
      <c r="D96" s="407"/>
      <c r="E96" s="407"/>
      <c r="F96" s="1" t="s">
        <v>542</v>
      </c>
    </row>
    <row r="97" spans="1:6" ht="28.5">
      <c r="B97" s="50">
        <v>408</v>
      </c>
      <c r="C97" s="27" t="s">
        <v>498</v>
      </c>
      <c r="D97" s="27" t="s">
        <v>543</v>
      </c>
      <c r="E97" s="50">
        <f>B97/1.02</f>
        <v>400</v>
      </c>
    </row>
    <row r="98" spans="1:6">
      <c r="B98" s="50"/>
      <c r="C98" s="27"/>
      <c r="D98" s="27" t="s">
        <v>540</v>
      </c>
      <c r="E98" s="50">
        <f>B97-E97</f>
        <v>8</v>
      </c>
    </row>
    <row r="99" spans="1:6">
      <c r="B99" s="50"/>
      <c r="C99" s="27"/>
      <c r="D99" s="27"/>
      <c r="E99" s="50"/>
    </row>
    <row r="100" spans="1:6">
      <c r="A100" s="33">
        <v>13</v>
      </c>
      <c r="B100" s="78" t="s">
        <v>210</v>
      </c>
      <c r="C100" s="46"/>
      <c r="D100" s="46"/>
      <c r="E100" s="78" t="s">
        <v>211</v>
      </c>
    </row>
    <row r="101" spans="1:6">
      <c r="B101" s="407" t="s">
        <v>544</v>
      </c>
      <c r="C101" s="407"/>
      <c r="D101" s="407"/>
      <c r="E101" s="407"/>
      <c r="F101" s="1" t="s">
        <v>290</v>
      </c>
    </row>
    <row r="102" spans="1:6" ht="28.5">
      <c r="B102" s="50">
        <f>SUM(E102:E103)</f>
        <v>77</v>
      </c>
      <c r="C102" s="27" t="s">
        <v>508</v>
      </c>
      <c r="D102" s="27" t="s">
        <v>539</v>
      </c>
      <c r="E102" s="50">
        <f>10*8-12.5%*10*8</f>
        <v>70</v>
      </c>
    </row>
    <row r="103" spans="1:6">
      <c r="B103" s="50"/>
      <c r="C103" s="27"/>
      <c r="D103" s="27" t="s">
        <v>540</v>
      </c>
      <c r="E103" s="50">
        <f>10%*E102</f>
        <v>7</v>
      </c>
    </row>
    <row r="104" spans="1:6">
      <c r="B104" s="50"/>
      <c r="C104" s="27"/>
      <c r="D104" s="27"/>
      <c r="E104" s="50"/>
    </row>
    <row r="105" spans="1:6">
      <c r="A105" s="33" t="s">
        <v>545</v>
      </c>
      <c r="B105" s="78" t="s">
        <v>210</v>
      </c>
      <c r="C105" s="46"/>
      <c r="D105" s="46"/>
      <c r="E105" s="78" t="s">
        <v>211</v>
      </c>
    </row>
    <row r="106" spans="1:6">
      <c r="B106" s="407" t="s">
        <v>546</v>
      </c>
      <c r="C106" s="407"/>
      <c r="D106" s="407"/>
      <c r="E106" s="407"/>
      <c r="F106" s="1" t="s">
        <v>547</v>
      </c>
    </row>
    <row r="107" spans="1:6" ht="28.5">
      <c r="B107" s="50">
        <v>153</v>
      </c>
      <c r="C107" s="27" t="s">
        <v>506</v>
      </c>
      <c r="D107" s="27" t="s">
        <v>543</v>
      </c>
      <c r="E107" s="50">
        <f>B107/1.02</f>
        <v>150</v>
      </c>
    </row>
    <row r="108" spans="1:6">
      <c r="B108" s="50"/>
      <c r="C108" s="27"/>
      <c r="D108" s="27" t="s">
        <v>540</v>
      </c>
      <c r="E108" s="50">
        <f>B107-E107</f>
        <v>3</v>
      </c>
    </row>
    <row r="109" spans="1:6">
      <c r="B109" s="50"/>
      <c r="C109" s="27"/>
      <c r="D109" s="27"/>
      <c r="E109" s="50"/>
    </row>
    <row r="110" spans="1:6">
      <c r="A110" s="33" t="s">
        <v>548</v>
      </c>
      <c r="B110" s="78" t="s">
        <v>210</v>
      </c>
      <c r="C110" s="46"/>
      <c r="D110" s="46"/>
      <c r="E110" s="78" t="s">
        <v>211</v>
      </c>
    </row>
    <row r="111" spans="1:6">
      <c r="B111" s="407" t="s">
        <v>549</v>
      </c>
      <c r="C111" s="407"/>
      <c r="D111" s="407"/>
      <c r="E111" s="407"/>
      <c r="F111" s="1" t="s">
        <v>550</v>
      </c>
    </row>
    <row r="112" spans="1:6" ht="42.75">
      <c r="B112" s="50">
        <f>E107/3</f>
        <v>50</v>
      </c>
      <c r="C112" s="27" t="s">
        <v>551</v>
      </c>
      <c r="D112" s="27" t="s">
        <v>508</v>
      </c>
      <c r="E112" s="50">
        <f>SUM(B112:B113)</f>
        <v>51</v>
      </c>
    </row>
    <row r="113" spans="1:6">
      <c r="B113" s="50">
        <f>B112*0.02</f>
        <v>1</v>
      </c>
      <c r="C113" s="27" t="s">
        <v>540</v>
      </c>
      <c r="D113" s="27"/>
      <c r="E113" s="50"/>
    </row>
    <row r="114" spans="1:6">
      <c r="B114" s="50"/>
      <c r="C114" s="27"/>
      <c r="D114" s="27"/>
      <c r="E114" s="50"/>
    </row>
    <row r="115" spans="1:6">
      <c r="A115" s="33">
        <v>15</v>
      </c>
      <c r="B115" s="78" t="s">
        <v>210</v>
      </c>
      <c r="C115" s="46"/>
      <c r="D115" s="46"/>
      <c r="E115" s="78" t="s">
        <v>211</v>
      </c>
    </row>
    <row r="116" spans="1:6">
      <c r="B116" s="407" t="s">
        <v>552</v>
      </c>
      <c r="C116" s="407"/>
      <c r="D116" s="407"/>
      <c r="E116" s="407"/>
      <c r="F116" s="53" t="s">
        <v>553</v>
      </c>
    </row>
    <row r="117" spans="1:6" ht="28.5">
      <c r="B117" s="50">
        <v>220000</v>
      </c>
      <c r="C117" s="27" t="s">
        <v>477</v>
      </c>
      <c r="D117" s="27" t="s">
        <v>475</v>
      </c>
      <c r="E117" s="50">
        <f>3000*20%-500</f>
        <v>100</v>
      </c>
    </row>
    <row r="118" spans="1:6">
      <c r="B118" s="50"/>
      <c r="C118" s="27"/>
      <c r="D118" s="27" t="s">
        <v>554</v>
      </c>
      <c r="E118" s="50">
        <v>5000</v>
      </c>
    </row>
    <row r="119" spans="1:6" ht="28.5">
      <c r="B119" s="50"/>
      <c r="C119" s="27"/>
      <c r="D119" s="27" t="s">
        <v>555</v>
      </c>
      <c r="E119" s="50">
        <v>100000</v>
      </c>
    </row>
    <row r="120" spans="1:6">
      <c r="B120" s="50"/>
      <c r="C120" s="27"/>
      <c r="D120" s="27" t="s">
        <v>556</v>
      </c>
      <c r="E120" s="50">
        <f>B117-E117-E118-E119</f>
        <v>114900</v>
      </c>
    </row>
    <row r="121" spans="1:6">
      <c r="B121" s="50"/>
      <c r="C121" s="27"/>
      <c r="D121" s="27"/>
      <c r="E121" s="50"/>
    </row>
    <row r="122" spans="1:6">
      <c r="A122" s="33">
        <v>16</v>
      </c>
      <c r="B122" s="78" t="s">
        <v>210</v>
      </c>
      <c r="C122" s="46"/>
      <c r="D122" s="46"/>
      <c r="E122" s="78" t="s">
        <v>211</v>
      </c>
    </row>
    <row r="123" spans="1:6">
      <c r="B123" s="407" t="s">
        <v>557</v>
      </c>
      <c r="C123" s="407"/>
      <c r="D123" s="407"/>
      <c r="E123" s="407"/>
      <c r="F123" s="1" t="s">
        <v>558</v>
      </c>
    </row>
    <row r="124" spans="1:6" ht="28.5">
      <c r="B124" s="50">
        <f>E124</f>
        <v>261</v>
      </c>
      <c r="C124" s="27" t="s">
        <v>498</v>
      </c>
      <c r="D124" s="27" t="s">
        <v>559</v>
      </c>
      <c r="E124" s="50">
        <f>(25+4)*9</f>
        <v>261</v>
      </c>
    </row>
    <row r="125" spans="1:6">
      <c r="B125" s="50"/>
      <c r="C125" s="27"/>
      <c r="D125" s="27"/>
      <c r="E125" s="50"/>
    </row>
    <row r="126" spans="1:6">
      <c r="A126" s="33">
        <v>17</v>
      </c>
      <c r="B126" s="78" t="s">
        <v>210</v>
      </c>
      <c r="C126" s="46"/>
      <c r="D126" s="46"/>
      <c r="E126" s="78" t="s">
        <v>211</v>
      </c>
    </row>
    <row r="127" spans="1:6">
      <c r="B127" s="407" t="s">
        <v>560</v>
      </c>
      <c r="C127" s="407"/>
      <c r="D127" s="407"/>
      <c r="E127" s="407"/>
      <c r="F127" s="1" t="s">
        <v>561</v>
      </c>
    </row>
    <row r="128" spans="1:6" ht="28.5">
      <c r="B128" s="50">
        <v>11</v>
      </c>
      <c r="C128" s="27" t="s">
        <v>562</v>
      </c>
      <c r="D128" s="27" t="s">
        <v>498</v>
      </c>
      <c r="E128" s="50">
        <v>261</v>
      </c>
    </row>
    <row r="129" spans="1:6">
      <c r="B129" s="50">
        <f>E128-B128</f>
        <v>250</v>
      </c>
      <c r="C129" s="27" t="s">
        <v>508</v>
      </c>
      <c r="D129" s="27"/>
      <c r="E129" s="50"/>
    </row>
    <row r="130" spans="1:6">
      <c r="B130" s="50"/>
      <c r="C130" s="27"/>
      <c r="D130" s="27"/>
      <c r="E130" s="50"/>
    </row>
    <row r="131" spans="1:6">
      <c r="A131" s="33" t="s">
        <v>563</v>
      </c>
      <c r="B131" s="78" t="s">
        <v>210</v>
      </c>
      <c r="C131" s="46"/>
      <c r="D131" s="46"/>
      <c r="E131" s="78" t="s">
        <v>211</v>
      </c>
      <c r="F131" s="1" t="s">
        <v>302</v>
      </c>
    </row>
    <row r="132" spans="1:6">
      <c r="B132" s="407" t="s">
        <v>564</v>
      </c>
      <c r="C132" s="407"/>
      <c r="D132" s="407"/>
      <c r="E132" s="407"/>
      <c r="F132" s="48" t="s">
        <v>303</v>
      </c>
    </row>
    <row r="133" spans="1:6" ht="28.5">
      <c r="B133" s="50">
        <v>900</v>
      </c>
      <c r="C133" s="27" t="s">
        <v>565</v>
      </c>
      <c r="D133" s="27" t="s">
        <v>508</v>
      </c>
      <c r="E133" s="50">
        <f>(B133+B134)/2</f>
        <v>544.5</v>
      </c>
    </row>
    <row r="134" spans="1:6" ht="28.5">
      <c r="B134" s="50">
        <f>21%*B133</f>
        <v>189</v>
      </c>
      <c r="C134" s="27" t="s">
        <v>523</v>
      </c>
      <c r="D134" s="27" t="s">
        <v>495</v>
      </c>
      <c r="E134" s="50">
        <f>B133+B134-E133</f>
        <v>544.5</v>
      </c>
    </row>
    <row r="135" spans="1:6">
      <c r="B135" s="50"/>
      <c r="C135" s="27"/>
      <c r="D135" s="27"/>
      <c r="E135" s="50"/>
    </row>
    <row r="136" spans="1:6">
      <c r="A136" s="33" t="s">
        <v>566</v>
      </c>
      <c r="B136" s="78" t="s">
        <v>210</v>
      </c>
      <c r="C136" s="46"/>
      <c r="D136" s="46"/>
      <c r="E136" s="78" t="s">
        <v>211</v>
      </c>
      <c r="F136" s="47" t="s">
        <v>334</v>
      </c>
    </row>
    <row r="137" spans="1:6">
      <c r="B137" s="407" t="s">
        <v>567</v>
      </c>
      <c r="C137" s="407"/>
      <c r="D137" s="407"/>
      <c r="E137" s="407"/>
    </row>
    <row r="138" spans="1:6" ht="28.5">
      <c r="B138" s="50">
        <f>E134</f>
        <v>544.5</v>
      </c>
      <c r="C138" s="27" t="s">
        <v>495</v>
      </c>
      <c r="D138" s="27" t="s">
        <v>508</v>
      </c>
      <c r="E138" s="50">
        <f>B138</f>
        <v>544.5</v>
      </c>
    </row>
    <row r="139" spans="1:6">
      <c r="B139" s="50"/>
      <c r="C139" s="27"/>
      <c r="E139" s="50"/>
    </row>
    <row r="140" spans="1:6">
      <c r="A140" s="33" t="s">
        <v>568</v>
      </c>
      <c r="B140" s="78" t="s">
        <v>210</v>
      </c>
      <c r="C140" s="46"/>
      <c r="D140" s="46"/>
      <c r="E140" s="78" t="s">
        <v>211</v>
      </c>
      <c r="F140" s="1" t="s">
        <v>569</v>
      </c>
    </row>
    <row r="141" spans="1:6">
      <c r="B141" s="407" t="s">
        <v>564</v>
      </c>
      <c r="C141" s="407"/>
      <c r="D141" s="407"/>
      <c r="E141" s="407"/>
      <c r="F141" s="48" t="s">
        <v>306</v>
      </c>
    </row>
    <row r="142" spans="1:6" ht="28.5">
      <c r="B142" s="50">
        <v>200</v>
      </c>
      <c r="C142" s="27" t="s">
        <v>570</v>
      </c>
      <c r="D142" s="27" t="s">
        <v>508</v>
      </c>
      <c r="E142" s="50">
        <v>200</v>
      </c>
    </row>
    <row r="143" spans="1:6">
      <c r="B143" s="50"/>
      <c r="C143" s="27"/>
      <c r="D143" s="27"/>
      <c r="E143" s="50"/>
    </row>
    <row r="144" spans="1:6">
      <c r="A144" s="33" t="s">
        <v>571</v>
      </c>
      <c r="B144" s="78" t="s">
        <v>210</v>
      </c>
      <c r="C144" s="46"/>
      <c r="D144" s="46"/>
      <c r="E144" s="78" t="s">
        <v>211</v>
      </c>
      <c r="F144" s="47" t="s">
        <v>572</v>
      </c>
    </row>
    <row r="145" spans="1:6">
      <c r="B145" s="407" t="s">
        <v>567</v>
      </c>
      <c r="C145" s="407"/>
      <c r="D145" s="407"/>
      <c r="E145" s="407"/>
    </row>
    <row r="146" spans="1:6" ht="28.5">
      <c r="B146" s="50">
        <v>200</v>
      </c>
      <c r="C146" s="27" t="s">
        <v>508</v>
      </c>
      <c r="D146" s="27" t="s">
        <v>570</v>
      </c>
      <c r="E146" s="50">
        <v>200</v>
      </c>
    </row>
    <row r="147" spans="1:6">
      <c r="B147" s="50"/>
      <c r="E147" s="50"/>
    </row>
    <row r="148" spans="1:6">
      <c r="A148" s="33">
        <v>19</v>
      </c>
      <c r="B148" s="78" t="s">
        <v>210</v>
      </c>
      <c r="C148" s="46"/>
      <c r="D148" s="46"/>
      <c r="E148" s="78" t="s">
        <v>211</v>
      </c>
      <c r="F148" s="1" t="s">
        <v>573</v>
      </c>
    </row>
    <row r="149" spans="1:6">
      <c r="B149" s="407" t="s">
        <v>574</v>
      </c>
      <c r="C149" s="407"/>
      <c r="D149" s="407"/>
      <c r="E149" s="407"/>
      <c r="F149" s="49" t="s">
        <v>309</v>
      </c>
    </row>
    <row r="150" spans="1:6">
      <c r="B150" s="50">
        <v>600</v>
      </c>
      <c r="C150" s="27" t="s">
        <v>575</v>
      </c>
      <c r="D150" s="27" t="s">
        <v>508</v>
      </c>
      <c r="E150" s="50">
        <v>600</v>
      </c>
    </row>
    <row r="151" spans="1:6">
      <c r="B151" s="50"/>
      <c r="C151" s="27"/>
      <c r="D151" s="27"/>
      <c r="E151" s="50"/>
    </row>
    <row r="152" spans="1:6">
      <c r="A152" s="33">
        <v>20</v>
      </c>
      <c r="B152" s="78" t="s">
        <v>210</v>
      </c>
      <c r="C152" s="46"/>
      <c r="D152" s="46"/>
      <c r="E152" s="78" t="s">
        <v>211</v>
      </c>
      <c r="F152" s="1" t="s">
        <v>311</v>
      </c>
    </row>
    <row r="153" spans="1:6">
      <c r="B153" s="407" t="s">
        <v>576</v>
      </c>
      <c r="C153" s="407"/>
      <c r="D153" s="407"/>
      <c r="E153" s="407"/>
    </row>
    <row r="154" spans="1:6" ht="28.5">
      <c r="B154" s="50">
        <v>121</v>
      </c>
      <c r="C154" s="27" t="s">
        <v>506</v>
      </c>
      <c r="D154" s="27" t="s">
        <v>577</v>
      </c>
      <c r="E154" s="50">
        <f>B154/1.21</f>
        <v>100</v>
      </c>
    </row>
    <row r="155" spans="1:6">
      <c r="B155" s="50"/>
      <c r="C155" s="27"/>
      <c r="D155" s="27" t="s">
        <v>540</v>
      </c>
      <c r="E155" s="50">
        <f>21%*E154</f>
        <v>21</v>
      </c>
    </row>
    <row r="156" spans="1:6">
      <c r="B156" s="50"/>
      <c r="C156" s="27"/>
      <c r="D156" s="27"/>
      <c r="E156" s="50"/>
    </row>
    <row r="157" spans="1:6">
      <c r="A157" s="33" t="s">
        <v>578</v>
      </c>
      <c r="B157" s="78" t="s">
        <v>210</v>
      </c>
      <c r="C157" s="46"/>
      <c r="D157" s="46"/>
      <c r="E157" s="78" t="s">
        <v>211</v>
      </c>
      <c r="F157" s="1" t="s">
        <v>579</v>
      </c>
    </row>
    <row r="158" spans="1:6">
      <c r="B158" s="407" t="s">
        <v>580</v>
      </c>
      <c r="C158" s="407"/>
      <c r="D158" s="407"/>
      <c r="E158" s="407"/>
      <c r="F158" s="49" t="s">
        <v>314</v>
      </c>
    </row>
    <row r="159" spans="1:6" ht="28.5">
      <c r="B159" s="50">
        <f>SUM(E159:E160)</f>
        <v>7260</v>
      </c>
      <c r="C159" s="27" t="s">
        <v>581</v>
      </c>
      <c r="D159" s="27" t="s">
        <v>582</v>
      </c>
      <c r="E159" s="50">
        <v>6000</v>
      </c>
    </row>
    <row r="160" spans="1:6">
      <c r="B160" s="50"/>
      <c r="C160" s="27"/>
      <c r="D160" s="27" t="s">
        <v>540</v>
      </c>
      <c r="E160" s="50">
        <f>21%*E159</f>
        <v>1260</v>
      </c>
    </row>
    <row r="161" spans="1:6">
      <c r="B161" s="50"/>
      <c r="C161" s="27"/>
      <c r="D161" s="27"/>
      <c r="E161" s="50"/>
    </row>
    <row r="162" spans="1:6">
      <c r="A162" s="33" t="s">
        <v>583</v>
      </c>
      <c r="B162" s="78" t="s">
        <v>210</v>
      </c>
      <c r="C162" s="46"/>
      <c r="D162" s="46"/>
      <c r="E162" s="78" t="s">
        <v>211</v>
      </c>
      <c r="F162" s="1" t="s">
        <v>584</v>
      </c>
    </row>
    <row r="163" spans="1:6">
      <c r="B163" s="407" t="s">
        <v>580</v>
      </c>
      <c r="C163" s="407"/>
      <c r="D163" s="407"/>
      <c r="E163" s="407"/>
    </row>
    <row r="164" spans="1:6" ht="28.5">
      <c r="B164" s="50">
        <v>600</v>
      </c>
      <c r="C164" s="27" t="s">
        <v>508</v>
      </c>
      <c r="D164" s="27" t="s">
        <v>585</v>
      </c>
      <c r="E164" s="50">
        <v>600</v>
      </c>
    </row>
    <row r="165" spans="1:6">
      <c r="B165" s="50"/>
      <c r="C165" s="27"/>
      <c r="D165" s="27"/>
      <c r="E165" s="50"/>
    </row>
    <row r="166" spans="1:6">
      <c r="A166" s="33">
        <v>22</v>
      </c>
      <c r="B166" s="78" t="s">
        <v>210</v>
      </c>
      <c r="C166" s="46"/>
      <c r="D166" s="46"/>
      <c r="E166" s="78" t="s">
        <v>211</v>
      </c>
      <c r="F166" s="1" t="s">
        <v>586</v>
      </c>
    </row>
    <row r="167" spans="1:6">
      <c r="A167" s="33" t="s">
        <v>587</v>
      </c>
      <c r="B167" s="407" t="s">
        <v>588</v>
      </c>
      <c r="C167" s="407"/>
      <c r="D167" s="407"/>
      <c r="E167" s="407"/>
    </row>
    <row r="168" spans="1:6">
      <c r="A168" s="33" t="s">
        <v>589</v>
      </c>
      <c r="B168" s="50">
        <v>20000</v>
      </c>
      <c r="C168" s="27" t="s">
        <v>508</v>
      </c>
      <c r="D168" s="27" t="s">
        <v>590</v>
      </c>
      <c r="E168" s="50">
        <v>20000</v>
      </c>
      <c r="F168" s="47" t="s">
        <v>325</v>
      </c>
    </row>
    <row r="169" spans="1:6">
      <c r="B169" s="50"/>
      <c r="C169" s="27"/>
      <c r="D169" s="27"/>
      <c r="E169" s="50"/>
    </row>
    <row r="170" spans="1:6">
      <c r="B170" s="78" t="s">
        <v>210</v>
      </c>
      <c r="C170" s="46"/>
      <c r="D170" s="46"/>
      <c r="E170" s="78" t="s">
        <v>211</v>
      </c>
    </row>
    <row r="171" spans="1:6">
      <c r="A171" s="33" t="s">
        <v>591</v>
      </c>
      <c r="B171" s="407" t="s">
        <v>588</v>
      </c>
      <c r="C171" s="407"/>
      <c r="D171" s="407"/>
      <c r="E171" s="407"/>
    </row>
    <row r="172" spans="1:6">
      <c r="A172" s="33" t="s">
        <v>592</v>
      </c>
      <c r="B172" s="50">
        <f>E172-B173</f>
        <v>810</v>
      </c>
      <c r="C172" s="27" t="s">
        <v>508</v>
      </c>
      <c r="D172" s="27" t="s">
        <v>593</v>
      </c>
      <c r="E172" s="50">
        <f>5%*E168</f>
        <v>1000</v>
      </c>
      <c r="F172" s="47" t="s">
        <v>321</v>
      </c>
    </row>
    <row r="173" spans="1:6" ht="28.5">
      <c r="B173" s="50">
        <f>19%*E172</f>
        <v>190</v>
      </c>
      <c r="C173" s="27" t="s">
        <v>594</v>
      </c>
      <c r="E173" s="80"/>
    </row>
    <row r="174" spans="1:6">
      <c r="B174" s="50"/>
      <c r="C174" s="27"/>
      <c r="D174" s="27"/>
      <c r="E174" s="50"/>
    </row>
    <row r="175" spans="1:6">
      <c r="A175" s="33" t="s">
        <v>595</v>
      </c>
      <c r="B175" s="78" t="s">
        <v>210</v>
      </c>
      <c r="C175" s="46"/>
      <c r="D175" s="46"/>
      <c r="E175" s="78" t="s">
        <v>211</v>
      </c>
      <c r="F175" s="1" t="s">
        <v>596</v>
      </c>
    </row>
    <row r="176" spans="1:6">
      <c r="B176" s="407" t="s">
        <v>597</v>
      </c>
      <c r="C176" s="407"/>
      <c r="D176" s="407"/>
      <c r="E176" s="407"/>
    </row>
    <row r="177" spans="1:6" ht="42.75">
      <c r="A177" s="33" t="s">
        <v>589</v>
      </c>
      <c r="B177" s="50">
        <v>2000</v>
      </c>
      <c r="C177" s="27" t="s">
        <v>508</v>
      </c>
      <c r="D177" s="27" t="s">
        <v>598</v>
      </c>
      <c r="E177" s="50">
        <v>2000</v>
      </c>
      <c r="F177" s="47" t="s">
        <v>324</v>
      </c>
    </row>
    <row r="178" spans="1:6">
      <c r="B178" s="50"/>
      <c r="C178" s="27"/>
      <c r="D178" s="27"/>
      <c r="E178" s="50"/>
    </row>
    <row r="179" spans="1:6">
      <c r="A179" s="33" t="s">
        <v>599</v>
      </c>
      <c r="B179" s="78" t="s">
        <v>210</v>
      </c>
      <c r="C179" s="46"/>
      <c r="D179" s="46"/>
      <c r="E179" s="78" t="s">
        <v>211</v>
      </c>
    </row>
    <row r="180" spans="1:6">
      <c r="B180" s="407" t="s">
        <v>597</v>
      </c>
      <c r="C180" s="407"/>
      <c r="D180" s="407"/>
      <c r="E180" s="407"/>
    </row>
    <row r="181" spans="1:6">
      <c r="A181" s="33" t="s">
        <v>592</v>
      </c>
      <c r="B181" s="50">
        <f>E181-B182</f>
        <v>24.3</v>
      </c>
      <c r="C181" s="27" t="s">
        <v>508</v>
      </c>
      <c r="D181" s="27" t="s">
        <v>593</v>
      </c>
      <c r="E181" s="50">
        <f>2%*2000*9/12</f>
        <v>30</v>
      </c>
      <c r="F181" s="47" t="s">
        <v>600</v>
      </c>
    </row>
    <row r="182" spans="1:6" ht="28.5">
      <c r="B182" s="50">
        <f>19%*E181</f>
        <v>5.7</v>
      </c>
      <c r="C182" s="27" t="s">
        <v>594</v>
      </c>
      <c r="E182" s="50"/>
    </row>
    <row r="183" spans="1:6">
      <c r="B183" s="50"/>
      <c r="C183" s="27"/>
      <c r="D183" s="27"/>
      <c r="E183" s="50"/>
    </row>
    <row r="184" spans="1:6">
      <c r="A184" s="33" t="s">
        <v>601</v>
      </c>
      <c r="B184" s="78" t="s">
        <v>210</v>
      </c>
      <c r="C184" s="46"/>
      <c r="D184" s="46"/>
      <c r="E184" s="78" t="s">
        <v>211</v>
      </c>
      <c r="F184" s="1" t="s">
        <v>602</v>
      </c>
    </row>
    <row r="185" spans="1:6">
      <c r="B185" s="407" t="s">
        <v>603</v>
      </c>
      <c r="C185" s="407"/>
      <c r="D185" s="407"/>
      <c r="E185" s="407"/>
    </row>
    <row r="186" spans="1:6" ht="28.5">
      <c r="A186" s="33" t="s">
        <v>589</v>
      </c>
      <c r="B186" s="50">
        <v>30000</v>
      </c>
      <c r="C186" s="52" t="s">
        <v>604</v>
      </c>
      <c r="D186" s="27" t="s">
        <v>508</v>
      </c>
      <c r="E186" s="50">
        <v>30000</v>
      </c>
      <c r="F186" s="47" t="s">
        <v>605</v>
      </c>
    </row>
    <row r="187" spans="1:6">
      <c r="B187" s="50"/>
      <c r="D187" s="27"/>
      <c r="E187" s="50"/>
    </row>
    <row r="188" spans="1:6">
      <c r="A188" s="33" t="s">
        <v>606</v>
      </c>
      <c r="B188" s="78" t="s">
        <v>210</v>
      </c>
      <c r="C188" s="46"/>
      <c r="D188" s="46"/>
      <c r="E188" s="78" t="s">
        <v>211</v>
      </c>
      <c r="F188" s="1" t="s">
        <v>607</v>
      </c>
    </row>
    <row r="189" spans="1:6">
      <c r="B189" s="407" t="s">
        <v>603</v>
      </c>
      <c r="C189" s="407"/>
      <c r="D189" s="407"/>
      <c r="E189" s="407"/>
    </row>
    <row r="190" spans="1:6" ht="28.5">
      <c r="A190" s="33" t="s">
        <v>592</v>
      </c>
      <c r="B190" s="50">
        <f>6%*B186</f>
        <v>1800</v>
      </c>
      <c r="C190" s="52" t="s">
        <v>608</v>
      </c>
      <c r="D190" s="27" t="s">
        <v>508</v>
      </c>
      <c r="E190" s="50">
        <f>B190</f>
        <v>1800</v>
      </c>
      <c r="F190" s="47" t="s">
        <v>609</v>
      </c>
    </row>
    <row r="191" spans="1:6">
      <c r="B191" s="50"/>
      <c r="C191" s="27"/>
      <c r="D191" s="27"/>
      <c r="E191" s="50"/>
    </row>
    <row r="192" spans="1:6">
      <c r="A192" s="33" t="s">
        <v>610</v>
      </c>
      <c r="B192" s="78" t="s">
        <v>210</v>
      </c>
      <c r="C192" s="46"/>
      <c r="D192" s="46"/>
      <c r="E192" s="78" t="s">
        <v>211</v>
      </c>
      <c r="F192" s="1" t="s">
        <v>611</v>
      </c>
    </row>
    <row r="193" spans="1:6">
      <c r="B193" s="407" t="s">
        <v>612</v>
      </c>
      <c r="C193" s="407"/>
      <c r="D193" s="407"/>
      <c r="E193" s="407"/>
    </row>
    <row r="194" spans="1:6" ht="42.75">
      <c r="A194" s="33" t="s">
        <v>589</v>
      </c>
      <c r="B194" s="50">
        <v>1000</v>
      </c>
      <c r="C194" s="27" t="s">
        <v>507</v>
      </c>
      <c r="D194" s="27" t="s">
        <v>506</v>
      </c>
      <c r="E194" s="50">
        <v>1000</v>
      </c>
      <c r="F194" s="47" t="s">
        <v>339</v>
      </c>
    </row>
    <row r="195" spans="1:6">
      <c r="B195" s="50"/>
      <c r="C195" s="27"/>
      <c r="D195" s="27"/>
      <c r="E195" s="50"/>
    </row>
    <row r="196" spans="1:6">
      <c r="A196" s="33" t="s">
        <v>613</v>
      </c>
      <c r="B196" s="78" t="s">
        <v>210</v>
      </c>
      <c r="C196" s="46"/>
      <c r="D196" s="46"/>
      <c r="E196" s="78" t="s">
        <v>211</v>
      </c>
    </row>
    <row r="197" spans="1:6">
      <c r="B197" s="407" t="s">
        <v>612</v>
      </c>
      <c r="C197" s="407"/>
      <c r="D197" s="407"/>
      <c r="E197" s="407"/>
    </row>
    <row r="198" spans="1:6" ht="28.5">
      <c r="A198" s="33" t="s">
        <v>592</v>
      </c>
      <c r="B198" s="50">
        <f>3.6%*B194*9/12</f>
        <v>27.000000000000004</v>
      </c>
      <c r="C198" s="52" t="s">
        <v>608</v>
      </c>
      <c r="D198" s="27" t="s">
        <v>506</v>
      </c>
      <c r="E198" s="50">
        <f>B198-E199</f>
        <v>21.870000000000005</v>
      </c>
      <c r="F198" s="47" t="s">
        <v>614</v>
      </c>
    </row>
    <row r="199" spans="1:6" ht="28.5">
      <c r="B199" s="50"/>
      <c r="C199" s="27"/>
      <c r="D199" s="27" t="s">
        <v>594</v>
      </c>
      <c r="E199" s="50">
        <f>19%*B198</f>
        <v>5.1300000000000008</v>
      </c>
    </row>
    <row r="200" spans="1:6">
      <c r="B200" s="50"/>
      <c r="C200" s="27"/>
      <c r="D200" s="27"/>
      <c r="E200" s="50"/>
    </row>
    <row r="201" spans="1:6">
      <c r="A201" s="33">
        <v>26</v>
      </c>
      <c r="B201" s="78" t="s">
        <v>210</v>
      </c>
      <c r="C201" s="46"/>
      <c r="D201" s="46"/>
      <c r="E201" s="78" t="s">
        <v>211</v>
      </c>
      <c r="F201" s="1" t="s">
        <v>343</v>
      </c>
    </row>
    <row r="202" spans="1:6">
      <c r="B202" s="407" t="s">
        <v>615</v>
      </c>
      <c r="C202" s="407"/>
      <c r="D202" s="407"/>
      <c r="E202" s="407"/>
      <c r="F202" s="49" t="s">
        <v>344</v>
      </c>
    </row>
    <row r="203" spans="1:6" ht="28.5">
      <c r="B203" s="50">
        <v>720</v>
      </c>
      <c r="C203" s="27" t="s">
        <v>484</v>
      </c>
      <c r="D203" s="27" t="s">
        <v>508</v>
      </c>
      <c r="E203" s="50">
        <f>($B$203+$B$204+$B$205)/2</f>
        <v>508.2</v>
      </c>
    </row>
    <row r="204" spans="1:6" ht="28.5">
      <c r="B204" s="50">
        <f>145.2/1.21</f>
        <v>120</v>
      </c>
      <c r="C204" s="27" t="s">
        <v>474</v>
      </c>
      <c r="D204" s="27" t="s">
        <v>616</v>
      </c>
      <c r="E204" s="50">
        <f>($B$203+$B$204+$B$205)/2</f>
        <v>508.2</v>
      </c>
    </row>
    <row r="205" spans="1:6">
      <c r="B205" s="50">
        <f>(B203+B204)*21%</f>
        <v>176.4</v>
      </c>
      <c r="C205" s="27" t="s">
        <v>523</v>
      </c>
      <c r="D205" s="27"/>
      <c r="E205" s="50"/>
    </row>
    <row r="206" spans="1:6">
      <c r="B206" s="50"/>
      <c r="C206" s="27"/>
      <c r="D206" s="27"/>
      <c r="E206" s="50"/>
    </row>
    <row r="207" spans="1:6">
      <c r="A207" s="33">
        <v>27</v>
      </c>
      <c r="B207" s="78" t="s">
        <v>210</v>
      </c>
      <c r="C207" s="46"/>
      <c r="D207" s="46"/>
      <c r="E207" s="78" t="s">
        <v>211</v>
      </c>
      <c r="F207" s="1" t="s">
        <v>617</v>
      </c>
    </row>
    <row r="208" spans="1:6">
      <c r="B208" s="407" t="s">
        <v>618</v>
      </c>
      <c r="C208" s="407"/>
      <c r="D208" s="407"/>
      <c r="E208" s="407"/>
      <c r="F208" s="49" t="s">
        <v>347</v>
      </c>
    </row>
    <row r="209" spans="1:6" ht="42.75">
      <c r="B209" s="54">
        <v>1800</v>
      </c>
      <c r="C209" s="52" t="s">
        <v>485</v>
      </c>
      <c r="D209" s="52" t="s">
        <v>480</v>
      </c>
      <c r="E209" s="54">
        <v>1800</v>
      </c>
    </row>
    <row r="211" spans="1:6">
      <c r="A211" s="33">
        <v>28</v>
      </c>
      <c r="B211" s="78" t="s">
        <v>210</v>
      </c>
      <c r="C211" s="46"/>
      <c r="D211" s="46"/>
      <c r="E211" s="78" t="s">
        <v>211</v>
      </c>
      <c r="F211" s="1" t="s">
        <v>619</v>
      </c>
    </row>
    <row r="212" spans="1:6">
      <c r="A212" s="33" t="s">
        <v>620</v>
      </c>
      <c r="B212" s="407" t="s">
        <v>621</v>
      </c>
      <c r="C212" s="407"/>
      <c r="D212" s="407"/>
      <c r="E212" s="407"/>
    </row>
    <row r="213" spans="1:6" ht="42.75">
      <c r="B213" s="81">
        <f>(12000-1200)/10*11/12</f>
        <v>990</v>
      </c>
      <c r="C213" s="52" t="s">
        <v>622</v>
      </c>
      <c r="D213" s="52" t="s">
        <v>485</v>
      </c>
      <c r="E213" s="81">
        <f>B213</f>
        <v>990</v>
      </c>
    </row>
    <row r="214" spans="1:6">
      <c r="B214" s="82"/>
      <c r="C214" s="43"/>
      <c r="D214" s="43"/>
      <c r="E214" s="82"/>
    </row>
    <row r="215" spans="1:6">
      <c r="B215" s="78" t="s">
        <v>210</v>
      </c>
      <c r="C215" s="46"/>
      <c r="D215" s="46"/>
      <c r="E215" s="78" t="s">
        <v>211</v>
      </c>
    </row>
    <row r="216" spans="1:6">
      <c r="A216" s="33" t="s">
        <v>623</v>
      </c>
      <c r="B216" s="407" t="s">
        <v>621</v>
      </c>
      <c r="C216" s="407"/>
      <c r="D216" s="407"/>
      <c r="E216" s="407"/>
    </row>
    <row r="217" spans="1:6" ht="42.75">
      <c r="B217" s="54">
        <f>(E217-1200)/10*12/12</f>
        <v>1080</v>
      </c>
      <c r="C217" s="52" t="s">
        <v>485</v>
      </c>
      <c r="D217" s="52" t="s">
        <v>486</v>
      </c>
      <c r="E217" s="54">
        <v>12000</v>
      </c>
      <c r="F217" s="49" t="s">
        <v>352</v>
      </c>
    </row>
    <row r="218" spans="1:6">
      <c r="B218" s="54">
        <f>13310</f>
        <v>13310</v>
      </c>
      <c r="C218" s="52" t="s">
        <v>508</v>
      </c>
      <c r="D218" s="52" t="s">
        <v>540</v>
      </c>
      <c r="E218" s="54">
        <f>13310-(13310/1.21)</f>
        <v>2310</v>
      </c>
    </row>
    <row r="219" spans="1:6" ht="42.75">
      <c r="D219" s="52" t="s">
        <v>624</v>
      </c>
      <c r="E219" s="54">
        <v>80</v>
      </c>
    </row>
    <row r="221" spans="1:6">
      <c r="A221" s="33" t="s">
        <v>625</v>
      </c>
      <c r="B221" s="78" t="s">
        <v>210</v>
      </c>
      <c r="C221" s="46"/>
      <c r="D221" s="46"/>
      <c r="E221" s="78" t="s">
        <v>211</v>
      </c>
      <c r="F221" s="1" t="s">
        <v>626</v>
      </c>
    </row>
    <row r="222" spans="1:6">
      <c r="A222" s="33" t="s">
        <v>627</v>
      </c>
      <c r="B222" s="407" t="s">
        <v>628</v>
      </c>
      <c r="C222" s="407"/>
      <c r="D222" s="407"/>
      <c r="E222" s="407"/>
    </row>
    <row r="223" spans="1:6" ht="28.5">
      <c r="B223" s="54">
        <v>5000</v>
      </c>
      <c r="C223" s="52" t="s">
        <v>629</v>
      </c>
      <c r="D223" s="52" t="s">
        <v>508</v>
      </c>
      <c r="E223" s="54">
        <v>5000</v>
      </c>
    </row>
    <row r="225" spans="1:6">
      <c r="A225" s="1"/>
      <c r="B225" s="78" t="s">
        <v>210</v>
      </c>
      <c r="C225" s="46"/>
      <c r="D225" s="46"/>
      <c r="E225" s="78" t="s">
        <v>211</v>
      </c>
      <c r="F225" s="1" t="s">
        <v>630</v>
      </c>
    </row>
    <row r="226" spans="1:6">
      <c r="A226" s="33" t="s">
        <v>631</v>
      </c>
      <c r="B226" s="407" t="s">
        <v>632</v>
      </c>
      <c r="C226" s="407"/>
      <c r="D226" s="407"/>
      <c r="E226" s="407"/>
    </row>
    <row r="227" spans="1:6" ht="42.75">
      <c r="B227" s="54">
        <v>20000</v>
      </c>
      <c r="C227" s="52" t="s">
        <v>633</v>
      </c>
      <c r="D227" s="52" t="s">
        <v>503</v>
      </c>
      <c r="E227" s="54">
        <f>B228+B227*6%</f>
        <v>7200</v>
      </c>
    </row>
    <row r="228" spans="1:6" ht="28.5">
      <c r="B228" s="54">
        <f>30%*B227</f>
        <v>6000</v>
      </c>
      <c r="C228" s="52" t="s">
        <v>634</v>
      </c>
      <c r="D228" s="52" t="s">
        <v>635</v>
      </c>
      <c r="E228" s="54">
        <f>20%*B227</f>
        <v>4000</v>
      </c>
    </row>
    <row r="229" spans="1:6" ht="28.5">
      <c r="D229" s="52" t="s">
        <v>629</v>
      </c>
      <c r="E229" s="54">
        <v>5000</v>
      </c>
    </row>
    <row r="230" spans="1:6" ht="28.5">
      <c r="D230" s="52" t="s">
        <v>636</v>
      </c>
      <c r="E230" s="54">
        <v>1800</v>
      </c>
    </row>
    <row r="231" spans="1:6">
      <c r="D231" s="52" t="s">
        <v>508</v>
      </c>
      <c r="E231" s="54">
        <v>8000</v>
      </c>
    </row>
    <row r="233" spans="1:6">
      <c r="A233" s="33" t="s">
        <v>637</v>
      </c>
      <c r="B233" s="78" t="s">
        <v>210</v>
      </c>
      <c r="C233" s="46"/>
      <c r="D233" s="46"/>
      <c r="E233" s="78" t="s">
        <v>211</v>
      </c>
      <c r="F233" s="1" t="s">
        <v>638</v>
      </c>
    </row>
    <row r="234" spans="1:6">
      <c r="A234" s="33" t="s">
        <v>639</v>
      </c>
      <c r="B234" s="407" t="s">
        <v>640</v>
      </c>
      <c r="C234" s="407"/>
      <c r="D234" s="407"/>
      <c r="E234" s="407"/>
    </row>
    <row r="235" spans="1:6">
      <c r="B235" s="54">
        <v>3628</v>
      </c>
      <c r="C235" s="52" t="s">
        <v>540</v>
      </c>
      <c r="D235" s="27" t="s">
        <v>523</v>
      </c>
      <c r="E235" s="54">
        <v>420.4</v>
      </c>
    </row>
    <row r="236" spans="1:6" ht="28.5">
      <c r="D236" s="52" t="s">
        <v>641</v>
      </c>
      <c r="E236" s="54">
        <f>B235-E235</f>
        <v>3207.6</v>
      </c>
    </row>
    <row r="238" spans="1:6">
      <c r="A238" s="33" t="s">
        <v>642</v>
      </c>
      <c r="B238" s="78" t="s">
        <v>210</v>
      </c>
      <c r="C238" s="46"/>
      <c r="D238" s="46"/>
      <c r="E238" s="78" t="s">
        <v>211</v>
      </c>
      <c r="F238" s="1" t="s">
        <v>643</v>
      </c>
    </row>
    <row r="239" spans="1:6">
      <c r="A239" s="33" t="s">
        <v>644</v>
      </c>
      <c r="B239" s="407" t="s">
        <v>640</v>
      </c>
      <c r="C239" s="407"/>
      <c r="D239" s="407"/>
      <c r="E239" s="407"/>
    </row>
    <row r="240" spans="1:6">
      <c r="B240" s="54">
        <f>E240</f>
        <v>300</v>
      </c>
      <c r="C240" s="52" t="s">
        <v>645</v>
      </c>
      <c r="D240" s="27" t="s">
        <v>575</v>
      </c>
      <c r="E240" s="54">
        <f>600*6/12</f>
        <v>300</v>
      </c>
    </row>
    <row r="242" spans="1:6">
      <c r="B242" s="78" t="s">
        <v>210</v>
      </c>
      <c r="C242" s="46"/>
      <c r="D242" s="46"/>
      <c r="E242" s="78" t="s">
        <v>211</v>
      </c>
      <c r="F242" s="1" t="s">
        <v>646</v>
      </c>
    </row>
    <row r="243" spans="1:6">
      <c r="A243" s="33" t="s">
        <v>647</v>
      </c>
      <c r="B243" s="407" t="s">
        <v>640</v>
      </c>
      <c r="C243" s="407"/>
      <c r="D243" s="407"/>
      <c r="E243" s="407"/>
    </row>
    <row r="244" spans="1:6" ht="28.5">
      <c r="B244" s="54">
        <f>6000*7/12</f>
        <v>3500</v>
      </c>
      <c r="C244" s="27" t="s">
        <v>582</v>
      </c>
      <c r="D244" s="52" t="s">
        <v>648</v>
      </c>
      <c r="E244" s="54">
        <f>B244</f>
        <v>3500</v>
      </c>
    </row>
    <row r="246" spans="1:6">
      <c r="A246" s="33" t="s">
        <v>649</v>
      </c>
      <c r="B246" s="78" t="s">
        <v>210</v>
      </c>
      <c r="C246" s="46"/>
      <c r="D246" s="46"/>
      <c r="E246" s="78" t="s">
        <v>211</v>
      </c>
      <c r="F246" s="1" t="s">
        <v>650</v>
      </c>
    </row>
    <row r="247" spans="1:6">
      <c r="B247" s="407" t="s">
        <v>640</v>
      </c>
      <c r="C247" s="407"/>
      <c r="D247" s="407"/>
      <c r="E247" s="407"/>
    </row>
    <row r="248" spans="1:6" ht="28.5">
      <c r="B248" s="54">
        <v>6000</v>
      </c>
      <c r="C248" s="52" t="s">
        <v>608</v>
      </c>
      <c r="D248" s="52" t="s">
        <v>651</v>
      </c>
      <c r="E248" s="54">
        <v>6000</v>
      </c>
    </row>
    <row r="249" spans="1:6">
      <c r="B249" s="83"/>
      <c r="C249" s="55"/>
      <c r="D249" s="55"/>
      <c r="E249" s="83"/>
    </row>
    <row r="250" spans="1:6">
      <c r="A250" s="33" t="s">
        <v>652</v>
      </c>
      <c r="B250" s="78" t="s">
        <v>210</v>
      </c>
      <c r="C250" s="46"/>
      <c r="D250" s="46"/>
      <c r="E250" s="78" t="s">
        <v>211</v>
      </c>
      <c r="F250" s="1" t="s">
        <v>653</v>
      </c>
    </row>
    <row r="251" spans="1:6">
      <c r="B251" s="407" t="s">
        <v>640</v>
      </c>
      <c r="C251" s="407"/>
      <c r="D251" s="407"/>
      <c r="E251" s="407"/>
    </row>
    <row r="252" spans="1:6" ht="28.5">
      <c r="B252" s="54">
        <v>120000</v>
      </c>
      <c r="C252" s="52" t="s">
        <v>654</v>
      </c>
      <c r="D252" s="52" t="s">
        <v>604</v>
      </c>
      <c r="E252" s="54">
        <f>B252</f>
        <v>120000</v>
      </c>
    </row>
    <row r="254" spans="1:6">
      <c r="A254" s="33" t="s">
        <v>655</v>
      </c>
      <c r="B254" s="78" t="s">
        <v>210</v>
      </c>
      <c r="C254" s="46"/>
      <c r="D254" s="46"/>
      <c r="E254" s="78" t="s">
        <v>211</v>
      </c>
      <c r="F254" s="1" t="s">
        <v>656</v>
      </c>
    </row>
    <row r="255" spans="1:6">
      <c r="B255" s="407" t="s">
        <v>640</v>
      </c>
      <c r="C255" s="407"/>
      <c r="D255" s="407"/>
      <c r="E255" s="407"/>
    </row>
    <row r="256" spans="1:6" ht="28.5">
      <c r="B256" s="54">
        <v>1000</v>
      </c>
      <c r="C256" s="52" t="s">
        <v>657</v>
      </c>
      <c r="D256" s="52" t="s">
        <v>658</v>
      </c>
      <c r="E256" s="54">
        <f>B256</f>
        <v>1000</v>
      </c>
    </row>
    <row r="258" spans="1:6">
      <c r="A258" s="33" t="s">
        <v>659</v>
      </c>
      <c r="B258" s="78" t="s">
        <v>210</v>
      </c>
      <c r="C258" s="46"/>
      <c r="D258" s="46"/>
      <c r="E258" s="78" t="s">
        <v>211</v>
      </c>
      <c r="F258" s="1" t="s">
        <v>660</v>
      </c>
    </row>
    <row r="259" spans="1:6">
      <c r="B259" s="407" t="s">
        <v>640</v>
      </c>
      <c r="C259" s="407"/>
      <c r="D259" s="407"/>
      <c r="E259" s="407"/>
      <c r="F259" s="49" t="s">
        <v>374</v>
      </c>
    </row>
    <row r="260" spans="1:6" ht="42.75">
      <c r="B260" s="54">
        <f>((5000-0)/10*12/12)+((2000-0)/5*12/12)+((120-0)/5*3/12)</f>
        <v>906</v>
      </c>
      <c r="C260" s="52" t="s">
        <v>661</v>
      </c>
      <c r="D260" s="52" t="s">
        <v>483</v>
      </c>
      <c r="E260" s="54">
        <f>B260</f>
        <v>906</v>
      </c>
    </row>
    <row r="262" spans="1:6">
      <c r="A262" s="33" t="s">
        <v>662</v>
      </c>
      <c r="B262" s="78" t="s">
        <v>210</v>
      </c>
      <c r="C262" s="46"/>
      <c r="D262" s="46"/>
      <c r="E262" s="78" t="s">
        <v>211</v>
      </c>
      <c r="F262" s="1" t="s">
        <v>663</v>
      </c>
    </row>
    <row r="263" spans="1:6">
      <c r="B263" s="407" t="s">
        <v>640</v>
      </c>
      <c r="C263" s="407"/>
      <c r="D263" s="407"/>
      <c r="E263" s="407"/>
      <c r="F263" s="49" t="s">
        <v>664</v>
      </c>
    </row>
    <row r="264" spans="1:6" ht="42.75">
      <c r="B264" s="54">
        <f>(0)+((70000-20000)/50*12/12)+((8200-0)/10*12/12)+((4800-0)/10*12/12)+((1200-0)/5*12/12)+((720-0)/5*3/12)+((20000-10%*20000)/10*12/12)</f>
        <v>4376</v>
      </c>
      <c r="C264" s="52" t="s">
        <v>622</v>
      </c>
      <c r="D264" s="52" t="s">
        <v>485</v>
      </c>
      <c r="E264" s="54">
        <f>B264</f>
        <v>4376</v>
      </c>
    </row>
    <row r="266" spans="1:6">
      <c r="A266" s="33" t="s">
        <v>665</v>
      </c>
      <c r="B266" s="78" t="s">
        <v>210</v>
      </c>
      <c r="C266" s="46"/>
      <c r="D266" s="46"/>
      <c r="E266" s="78" t="s">
        <v>211</v>
      </c>
      <c r="F266" s="1" t="s">
        <v>666</v>
      </c>
    </row>
    <row r="267" spans="1:6">
      <c r="B267" s="407" t="s">
        <v>640</v>
      </c>
      <c r="C267" s="407"/>
      <c r="D267" s="407"/>
      <c r="E267" s="407"/>
      <c r="F267" s="49" t="s">
        <v>381</v>
      </c>
    </row>
    <row r="268" spans="1:6" ht="42.75">
      <c r="B268" s="54">
        <f>((60000-15000)/50*12/12)</f>
        <v>900</v>
      </c>
      <c r="C268" s="52" t="s">
        <v>667</v>
      </c>
      <c r="D268" s="52" t="s">
        <v>487</v>
      </c>
      <c r="E268" s="54">
        <f>B268</f>
        <v>900</v>
      </c>
    </row>
    <row r="270" spans="1:6">
      <c r="A270" s="33" t="s">
        <v>668</v>
      </c>
      <c r="B270" s="78" t="s">
        <v>210</v>
      </c>
      <c r="C270" s="46"/>
      <c r="D270" s="46"/>
      <c r="E270" s="78" t="s">
        <v>211</v>
      </c>
      <c r="F270" s="1" t="s">
        <v>383</v>
      </c>
    </row>
    <row r="271" spans="1:6">
      <c r="B271" s="407" t="s">
        <v>640</v>
      </c>
      <c r="C271" s="407"/>
      <c r="D271" s="407"/>
      <c r="E271" s="407"/>
    </row>
    <row r="272" spans="1:6" ht="42.75">
      <c r="B272" s="54">
        <v>500</v>
      </c>
      <c r="C272" s="52" t="s">
        <v>669</v>
      </c>
      <c r="D272" s="52" t="s">
        <v>489</v>
      </c>
      <c r="E272" s="54">
        <v>500</v>
      </c>
    </row>
    <row r="274" spans="1:6">
      <c r="A274" s="33" t="s">
        <v>670</v>
      </c>
      <c r="B274" s="78" t="s">
        <v>210</v>
      </c>
      <c r="C274" s="46"/>
      <c r="D274" s="46"/>
      <c r="E274" s="78" t="s">
        <v>211</v>
      </c>
      <c r="F274" s="1" t="s">
        <v>671</v>
      </c>
    </row>
    <row r="275" spans="1:6" ht="15" customHeight="1">
      <c r="A275" s="33" t="s">
        <v>672</v>
      </c>
      <c r="B275" s="407" t="s">
        <v>640</v>
      </c>
      <c r="C275" s="407"/>
      <c r="D275" s="407"/>
      <c r="E275" s="407"/>
      <c r="F275" s="1" t="s">
        <v>673</v>
      </c>
    </row>
    <row r="276" spans="1:6" ht="42.75">
      <c r="B276" s="54">
        <v>2000</v>
      </c>
      <c r="C276" s="52" t="s">
        <v>489</v>
      </c>
      <c r="D276" s="52" t="s">
        <v>674</v>
      </c>
      <c r="E276" s="54">
        <v>2000</v>
      </c>
    </row>
    <row r="278" spans="1:6">
      <c r="B278" s="78" t="s">
        <v>210</v>
      </c>
      <c r="C278" s="46"/>
      <c r="D278" s="46"/>
      <c r="E278" s="78" t="s">
        <v>211</v>
      </c>
    </row>
    <row r="279" spans="1:6" ht="15" customHeight="1">
      <c r="A279" s="33" t="s">
        <v>675</v>
      </c>
      <c r="B279" s="407" t="s">
        <v>640</v>
      </c>
      <c r="C279" s="407"/>
      <c r="D279" s="407"/>
      <c r="E279" s="407"/>
      <c r="F279" s="1" t="s">
        <v>676</v>
      </c>
    </row>
    <row r="280" spans="1:6" ht="28.5">
      <c r="B280" s="54">
        <v>200</v>
      </c>
      <c r="C280" s="52" t="s">
        <v>491</v>
      </c>
      <c r="D280" s="52" t="s">
        <v>677</v>
      </c>
      <c r="E280" s="54">
        <v>200</v>
      </c>
    </row>
    <row r="282" spans="1:6">
      <c r="A282" s="33" t="s">
        <v>678</v>
      </c>
      <c r="B282" s="78" t="s">
        <v>210</v>
      </c>
      <c r="C282" s="46"/>
      <c r="D282" s="46"/>
      <c r="E282" s="78" t="s">
        <v>211</v>
      </c>
      <c r="F282" s="1" t="s">
        <v>679</v>
      </c>
    </row>
    <row r="283" spans="1:6">
      <c r="A283" s="33" t="s">
        <v>680</v>
      </c>
      <c r="B283" s="407" t="s">
        <v>640</v>
      </c>
      <c r="C283" s="407"/>
      <c r="D283" s="407"/>
      <c r="E283" s="407"/>
    </row>
    <row r="284" spans="1:6" ht="42.75">
      <c r="A284" s="33" t="s">
        <v>392</v>
      </c>
      <c r="B284" s="54">
        <v>1000</v>
      </c>
      <c r="C284" s="52" t="s">
        <v>681</v>
      </c>
      <c r="D284" s="52" t="s">
        <v>492</v>
      </c>
      <c r="E284" s="54">
        <v>1000</v>
      </c>
    </row>
    <row r="285" spans="1:6">
      <c r="B285" s="78" t="s">
        <v>210</v>
      </c>
      <c r="C285" s="46"/>
      <c r="D285" s="46"/>
      <c r="E285" s="78" t="s">
        <v>211</v>
      </c>
    </row>
    <row r="286" spans="1:6">
      <c r="B286" s="407" t="s">
        <v>640</v>
      </c>
      <c r="C286" s="407"/>
      <c r="D286" s="407"/>
      <c r="E286" s="407"/>
    </row>
    <row r="287" spans="1:6" ht="42.75">
      <c r="A287" s="33" t="s">
        <v>395</v>
      </c>
      <c r="B287" s="54">
        <v>30000</v>
      </c>
      <c r="C287" s="52" t="s">
        <v>492</v>
      </c>
      <c r="D287" s="52" t="s">
        <v>681</v>
      </c>
      <c r="E287" s="54">
        <v>30000</v>
      </c>
    </row>
    <row r="288" spans="1:6">
      <c r="B288" s="78" t="s">
        <v>210</v>
      </c>
      <c r="C288" s="46"/>
      <c r="D288" s="46"/>
      <c r="E288" s="78" t="s">
        <v>211</v>
      </c>
    </row>
    <row r="289" spans="1:6">
      <c r="A289" s="33" t="s">
        <v>682</v>
      </c>
      <c r="B289" s="407" t="s">
        <v>640</v>
      </c>
      <c r="C289" s="407"/>
      <c r="D289" s="407"/>
      <c r="E289" s="407"/>
    </row>
    <row r="290" spans="1:6" ht="42.75">
      <c r="A290" s="33" t="s">
        <v>397</v>
      </c>
      <c r="B290" s="54">
        <v>2000</v>
      </c>
      <c r="C290" s="52" t="s">
        <v>683</v>
      </c>
      <c r="D290" s="52" t="s">
        <v>494</v>
      </c>
      <c r="E290" s="54">
        <v>2000</v>
      </c>
    </row>
    <row r="291" spans="1:6">
      <c r="B291" s="78" t="s">
        <v>210</v>
      </c>
      <c r="C291" s="46"/>
      <c r="D291" s="46"/>
      <c r="E291" s="78" t="s">
        <v>211</v>
      </c>
    </row>
    <row r="292" spans="1:6">
      <c r="B292" s="407" t="s">
        <v>640</v>
      </c>
      <c r="C292" s="407"/>
      <c r="D292" s="407"/>
      <c r="E292" s="407"/>
    </row>
    <row r="293" spans="1:6" ht="42.75">
      <c r="A293" s="33" t="s">
        <v>399</v>
      </c>
      <c r="B293" s="54">
        <v>1500</v>
      </c>
      <c r="C293" s="52" t="s">
        <v>494</v>
      </c>
      <c r="D293" s="52" t="s">
        <v>683</v>
      </c>
      <c r="E293" s="54">
        <v>1500</v>
      </c>
    </row>
    <row r="294" spans="1:6">
      <c r="B294" s="78" t="s">
        <v>210</v>
      </c>
      <c r="C294" s="46"/>
      <c r="D294" s="46"/>
      <c r="E294" s="78" t="s">
        <v>211</v>
      </c>
    </row>
    <row r="295" spans="1:6">
      <c r="A295" s="33" t="s">
        <v>684</v>
      </c>
      <c r="B295" s="407" t="s">
        <v>640</v>
      </c>
      <c r="C295" s="407"/>
      <c r="D295" s="407"/>
      <c r="E295" s="407"/>
    </row>
    <row r="296" spans="1:6" ht="42.75">
      <c r="A296" s="33" t="s">
        <v>401</v>
      </c>
      <c r="B296" s="54">
        <v>14200</v>
      </c>
      <c r="C296" s="52" t="s">
        <v>685</v>
      </c>
      <c r="D296" s="52" t="s">
        <v>496</v>
      </c>
      <c r="E296" s="54">
        <v>14200</v>
      </c>
    </row>
    <row r="297" spans="1:6">
      <c r="B297" s="78" t="s">
        <v>210</v>
      </c>
      <c r="C297" s="46"/>
      <c r="D297" s="46"/>
      <c r="E297" s="78" t="s">
        <v>211</v>
      </c>
    </row>
    <row r="298" spans="1:6">
      <c r="B298" s="407" t="s">
        <v>640</v>
      </c>
      <c r="C298" s="407"/>
      <c r="D298" s="407"/>
      <c r="E298" s="407"/>
    </row>
    <row r="299" spans="1:6" ht="42.75">
      <c r="A299" s="33" t="s">
        <v>403</v>
      </c>
      <c r="B299" s="54">
        <v>73640</v>
      </c>
      <c r="C299" s="52" t="s">
        <v>496</v>
      </c>
      <c r="D299" s="52" t="s">
        <v>685</v>
      </c>
      <c r="E299" s="54">
        <v>73640</v>
      </c>
    </row>
    <row r="301" spans="1:6">
      <c r="A301" s="33" t="s">
        <v>686</v>
      </c>
      <c r="B301" s="78" t="s">
        <v>210</v>
      </c>
      <c r="C301" s="46"/>
      <c r="D301" s="46"/>
      <c r="E301" s="78" t="s">
        <v>211</v>
      </c>
      <c r="F301" s="1" t="s">
        <v>405</v>
      </c>
    </row>
    <row r="302" spans="1:6">
      <c r="B302" s="407" t="s">
        <v>640</v>
      </c>
      <c r="C302" s="407"/>
      <c r="D302" s="407"/>
      <c r="E302" s="407"/>
    </row>
    <row r="303" spans="1:6" ht="42.75">
      <c r="B303" s="54">
        <v>4000</v>
      </c>
      <c r="C303" s="52" t="s">
        <v>687</v>
      </c>
      <c r="D303" s="52" t="s">
        <v>688</v>
      </c>
      <c r="E303" s="54">
        <v>4000</v>
      </c>
    </row>
    <row r="305" spans="1:5">
      <c r="A305" s="33" t="s">
        <v>689</v>
      </c>
      <c r="B305" s="78" t="s">
        <v>210</v>
      </c>
      <c r="C305" s="46"/>
      <c r="D305" s="46"/>
      <c r="E305" s="78" t="s">
        <v>211</v>
      </c>
    </row>
    <row r="306" spans="1:5">
      <c r="A306" s="33" t="s">
        <v>690</v>
      </c>
      <c r="B306" s="407" t="s">
        <v>640</v>
      </c>
      <c r="C306" s="407"/>
      <c r="D306" s="407"/>
      <c r="E306" s="407"/>
    </row>
    <row r="307" spans="1:5" ht="28.5">
      <c r="B307" s="54">
        <f>SUM(E307:E322)</f>
        <v>48440</v>
      </c>
      <c r="C307" s="52" t="s">
        <v>477</v>
      </c>
      <c r="D307" s="52" t="s">
        <v>519</v>
      </c>
      <c r="E307" s="54">
        <v>500</v>
      </c>
    </row>
    <row r="308" spans="1:5" ht="28.5">
      <c r="D308" s="52" t="s">
        <v>522</v>
      </c>
      <c r="E308" s="54">
        <v>300</v>
      </c>
    </row>
    <row r="309" spans="1:5" ht="28.5">
      <c r="D309" s="52" t="s">
        <v>691</v>
      </c>
      <c r="E309" s="54">
        <v>380</v>
      </c>
    </row>
    <row r="310" spans="1:5" ht="28.5">
      <c r="D310" s="52" t="s">
        <v>692</v>
      </c>
      <c r="E310" s="54">
        <v>50</v>
      </c>
    </row>
    <row r="311" spans="1:5" ht="28.5">
      <c r="D311" s="52" t="s">
        <v>562</v>
      </c>
      <c r="E311" s="54">
        <v>11</v>
      </c>
    </row>
    <row r="312" spans="1:5" ht="28.5">
      <c r="D312" s="52" t="s">
        <v>693</v>
      </c>
      <c r="E312" s="54">
        <v>900</v>
      </c>
    </row>
    <row r="313" spans="1:5">
      <c r="D313" s="52" t="s">
        <v>575</v>
      </c>
      <c r="E313" s="54">
        <v>300</v>
      </c>
    </row>
    <row r="314" spans="1:5">
      <c r="D314" s="52" t="s">
        <v>608</v>
      </c>
      <c r="E314" s="54">
        <v>7827</v>
      </c>
    </row>
    <row r="315" spans="1:5" ht="28.5">
      <c r="D315" s="52" t="s">
        <v>622</v>
      </c>
      <c r="E315" s="54">
        <v>5366</v>
      </c>
    </row>
    <row r="316" spans="1:5">
      <c r="D316" s="52" t="s">
        <v>633</v>
      </c>
      <c r="E316" s="54">
        <v>20000</v>
      </c>
    </row>
    <row r="317" spans="1:5" ht="28.5">
      <c r="D317" s="52" t="s">
        <v>634</v>
      </c>
      <c r="E317" s="54">
        <v>6000</v>
      </c>
    </row>
    <row r="318" spans="1:5" ht="28.5">
      <c r="D318" s="52" t="s">
        <v>661</v>
      </c>
      <c r="E318" s="54">
        <v>906</v>
      </c>
    </row>
    <row r="319" spans="1:5" ht="28.5">
      <c r="D319" s="52" t="s">
        <v>667</v>
      </c>
      <c r="E319" s="54">
        <v>900</v>
      </c>
    </row>
    <row r="320" spans="1:5" ht="42.75">
      <c r="D320" s="52" t="s">
        <v>669</v>
      </c>
      <c r="E320" s="54">
        <v>500</v>
      </c>
    </row>
    <row r="321" spans="1:5" ht="42.75">
      <c r="D321" s="52" t="s">
        <v>683</v>
      </c>
      <c r="E321" s="54">
        <v>500</v>
      </c>
    </row>
    <row r="322" spans="1:5">
      <c r="D322" s="52" t="s">
        <v>687</v>
      </c>
      <c r="E322" s="54">
        <v>4000</v>
      </c>
    </row>
    <row r="324" spans="1:5">
      <c r="B324" s="78" t="s">
        <v>210</v>
      </c>
      <c r="C324" s="46"/>
      <c r="D324" s="46"/>
      <c r="E324" s="78" t="s">
        <v>211</v>
      </c>
    </row>
    <row r="325" spans="1:5">
      <c r="A325" s="33" t="s">
        <v>694</v>
      </c>
      <c r="B325" s="407" t="s">
        <v>640</v>
      </c>
      <c r="C325" s="407"/>
      <c r="D325" s="407"/>
      <c r="E325" s="407"/>
    </row>
    <row r="326" spans="1:5" ht="28.5">
      <c r="B326" s="54">
        <v>50</v>
      </c>
      <c r="C326" s="52" t="s">
        <v>695</v>
      </c>
      <c r="D326" s="52" t="s">
        <v>477</v>
      </c>
      <c r="E326" s="54">
        <f>SUM(B326:B337)</f>
        <v>95481</v>
      </c>
    </row>
    <row r="327" spans="1:5" ht="28.5">
      <c r="B327" s="54">
        <v>270</v>
      </c>
      <c r="C327" s="52" t="s">
        <v>539</v>
      </c>
    </row>
    <row r="328" spans="1:5" ht="28.5">
      <c r="B328" s="54">
        <v>550</v>
      </c>
      <c r="C328" s="52" t="s">
        <v>543</v>
      </c>
    </row>
    <row r="329" spans="1:5" ht="28.5">
      <c r="B329" s="54">
        <v>261</v>
      </c>
      <c r="C329" s="52" t="s">
        <v>559</v>
      </c>
    </row>
    <row r="330" spans="1:5" ht="28.5">
      <c r="B330" s="54">
        <v>100</v>
      </c>
      <c r="C330" s="52" t="s">
        <v>577</v>
      </c>
    </row>
    <row r="331" spans="1:5" ht="28.5">
      <c r="B331" s="54">
        <v>2500</v>
      </c>
      <c r="C331" s="52" t="s">
        <v>582</v>
      </c>
    </row>
    <row r="332" spans="1:5" ht="28.5">
      <c r="B332" s="54">
        <v>1030</v>
      </c>
      <c r="C332" s="52" t="s">
        <v>593</v>
      </c>
    </row>
    <row r="333" spans="1:5" ht="42.75">
      <c r="B333" s="54">
        <v>80</v>
      </c>
      <c r="C333" s="52" t="s">
        <v>624</v>
      </c>
    </row>
    <row r="334" spans="1:5" ht="42.75">
      <c r="B334" s="54">
        <v>2000</v>
      </c>
      <c r="C334" s="52" t="s">
        <v>674</v>
      </c>
    </row>
    <row r="335" spans="1:5" ht="28.5">
      <c r="B335" s="54">
        <v>200</v>
      </c>
      <c r="C335" s="52" t="s">
        <v>677</v>
      </c>
    </row>
    <row r="336" spans="1:5" ht="42.75">
      <c r="B336" s="54">
        <v>29000</v>
      </c>
      <c r="C336" s="52" t="s">
        <v>681</v>
      </c>
    </row>
    <row r="337" spans="1:5" ht="42.75">
      <c r="B337" s="54">
        <v>59440</v>
      </c>
      <c r="C337" s="52" t="s">
        <v>685</v>
      </c>
    </row>
    <row r="339" spans="1:5">
      <c r="B339" s="78" t="s">
        <v>210</v>
      </c>
      <c r="C339" s="46"/>
      <c r="D339" s="46"/>
      <c r="E339" s="78" t="s">
        <v>211</v>
      </c>
    </row>
    <row r="340" spans="1:5">
      <c r="A340" s="33" t="s">
        <v>696</v>
      </c>
      <c r="B340" s="407" t="s">
        <v>640</v>
      </c>
      <c r="C340" s="407"/>
      <c r="D340" s="407"/>
      <c r="E340" s="407"/>
    </row>
    <row r="341" spans="1:5" ht="28.5">
      <c r="B341" s="54">
        <f>25%*(E326-B307)</f>
        <v>11760.25</v>
      </c>
      <c r="C341" s="52" t="s">
        <v>697</v>
      </c>
      <c r="D341" s="52" t="s">
        <v>594</v>
      </c>
      <c r="E341" s="54">
        <v>190.57</v>
      </c>
    </row>
    <row r="342" spans="1:5" ht="28.5">
      <c r="B342" s="1"/>
      <c r="C342" s="1"/>
      <c r="D342" s="52" t="s">
        <v>698</v>
      </c>
      <c r="E342" s="54">
        <f>B341-E341</f>
        <v>11569.68</v>
      </c>
    </row>
    <row r="344" spans="1:5">
      <c r="B344" s="78" t="s">
        <v>210</v>
      </c>
      <c r="C344" s="46"/>
      <c r="D344" s="46"/>
      <c r="E344" s="78" t="s">
        <v>211</v>
      </c>
    </row>
    <row r="345" spans="1:5">
      <c r="B345" s="407" t="s">
        <v>640</v>
      </c>
      <c r="C345" s="407"/>
      <c r="D345" s="407"/>
      <c r="E345" s="407"/>
    </row>
    <row r="346" spans="1:5" ht="28.5">
      <c r="A346" s="33" t="s">
        <v>699</v>
      </c>
      <c r="B346" s="54">
        <f>E346</f>
        <v>11760.25</v>
      </c>
      <c r="C346" s="52" t="s">
        <v>477</v>
      </c>
      <c r="D346" s="52" t="s">
        <v>697</v>
      </c>
      <c r="E346" s="54">
        <f>B341</f>
        <v>11760.25</v>
      </c>
    </row>
    <row r="348" spans="1:5">
      <c r="A348" s="33" t="s">
        <v>700</v>
      </c>
      <c r="B348" s="78" t="s">
        <v>210</v>
      </c>
      <c r="C348" s="46"/>
      <c r="D348" s="46"/>
      <c r="E348" s="78" t="s">
        <v>211</v>
      </c>
    </row>
    <row r="349" spans="1:5">
      <c r="B349" s="407" t="s">
        <v>640</v>
      </c>
      <c r="C349" s="407"/>
      <c r="D349" s="407"/>
      <c r="E349" s="407"/>
    </row>
    <row r="350" spans="1:5" ht="14.25">
      <c r="A350" s="2"/>
      <c r="B350" s="54">
        <v>3000</v>
      </c>
      <c r="C350" s="45" t="s">
        <v>473</v>
      </c>
      <c r="D350" s="45" t="s">
        <v>472</v>
      </c>
      <c r="E350" s="79">
        <v>5000</v>
      </c>
    </row>
    <row r="351" spans="1:5" ht="28.5">
      <c r="A351" s="2"/>
      <c r="B351" s="54">
        <v>600</v>
      </c>
      <c r="C351" s="45" t="s">
        <v>475</v>
      </c>
      <c r="D351" s="45" t="s">
        <v>474</v>
      </c>
      <c r="E351" s="79">
        <v>2120</v>
      </c>
    </row>
    <row r="352" spans="1:5" ht="28.5">
      <c r="A352" s="2"/>
      <c r="B352" s="54">
        <v>35255.75</v>
      </c>
      <c r="C352" s="52" t="s">
        <v>477</v>
      </c>
      <c r="D352" s="45" t="s">
        <v>701</v>
      </c>
      <c r="E352" s="79">
        <v>200000</v>
      </c>
    </row>
    <row r="353" spans="1:5" ht="28.5">
      <c r="A353" s="2"/>
      <c r="B353" s="54">
        <v>2306</v>
      </c>
      <c r="C353" s="45" t="s">
        <v>702</v>
      </c>
      <c r="D353" s="45" t="s">
        <v>478</v>
      </c>
      <c r="E353" s="79">
        <v>70000</v>
      </c>
    </row>
    <row r="354" spans="1:5" ht="28.5">
      <c r="A354" s="2"/>
      <c r="B354" s="54">
        <v>26086</v>
      </c>
      <c r="C354" s="45" t="s">
        <v>703</v>
      </c>
      <c r="D354" s="45" t="s">
        <v>480</v>
      </c>
      <c r="E354" s="79">
        <v>8200</v>
      </c>
    </row>
    <row r="355" spans="1:5" ht="28.5">
      <c r="A355" s="2"/>
      <c r="B355" s="54">
        <v>12900</v>
      </c>
      <c r="C355" s="45" t="s">
        <v>704</v>
      </c>
      <c r="D355" s="45" t="s">
        <v>482</v>
      </c>
      <c r="E355" s="79">
        <v>4800</v>
      </c>
    </row>
    <row r="356" spans="1:5" ht="28.5">
      <c r="A356" s="2"/>
      <c r="B356" s="54">
        <v>500</v>
      </c>
      <c r="C356" s="45" t="s">
        <v>705</v>
      </c>
      <c r="D356" s="45" t="s">
        <v>706</v>
      </c>
      <c r="E356" s="79">
        <v>1920</v>
      </c>
    </row>
    <row r="357" spans="1:5" ht="28.5">
      <c r="A357" s="2"/>
      <c r="B357" s="54">
        <v>10198</v>
      </c>
      <c r="C357" s="45" t="s">
        <v>493</v>
      </c>
      <c r="D357" s="45" t="s">
        <v>486</v>
      </c>
      <c r="E357" s="79">
        <v>20000</v>
      </c>
    </row>
    <row r="358" spans="1:5" ht="28.5">
      <c r="A358" s="2"/>
      <c r="B358" s="54">
        <v>8000</v>
      </c>
      <c r="C358" s="45" t="s">
        <v>707</v>
      </c>
      <c r="D358" s="45" t="s">
        <v>488</v>
      </c>
      <c r="E358" s="79">
        <v>60000</v>
      </c>
    </row>
    <row r="359" spans="1:5" ht="28.5">
      <c r="A359" s="2"/>
      <c r="B359" s="54">
        <v>3207.6000000000004</v>
      </c>
      <c r="C359" s="45" t="s">
        <v>641</v>
      </c>
      <c r="D359" s="45" t="s">
        <v>708</v>
      </c>
      <c r="E359" s="79">
        <v>30000</v>
      </c>
    </row>
    <row r="360" spans="1:5" ht="28.5">
      <c r="A360" s="2"/>
      <c r="B360" s="54">
        <v>4000</v>
      </c>
      <c r="C360" s="45" t="s">
        <v>709</v>
      </c>
      <c r="D360" s="45" t="s">
        <v>492</v>
      </c>
      <c r="E360" s="79">
        <v>30000</v>
      </c>
    </row>
    <row r="361" spans="1:5" ht="28.5">
      <c r="A361" s="2"/>
      <c r="B361" s="54">
        <v>66594.679999999993</v>
      </c>
      <c r="C361" s="45" t="s">
        <v>698</v>
      </c>
      <c r="D361" s="45" t="s">
        <v>494</v>
      </c>
      <c r="E361" s="79">
        <v>1500</v>
      </c>
    </row>
    <row r="362" spans="1:5" ht="28.5">
      <c r="A362" s="2"/>
      <c r="B362" s="54">
        <v>7200</v>
      </c>
      <c r="C362" s="45" t="s">
        <v>710</v>
      </c>
      <c r="D362" s="45" t="s">
        <v>496</v>
      </c>
      <c r="E362" s="79">
        <v>73640</v>
      </c>
    </row>
    <row r="363" spans="1:5" ht="28.5">
      <c r="A363" s="2"/>
      <c r="B363" s="79">
        <v>120000</v>
      </c>
      <c r="C363" s="45" t="s">
        <v>711</v>
      </c>
      <c r="D363" s="45" t="s">
        <v>498</v>
      </c>
      <c r="E363" s="79">
        <v>20508</v>
      </c>
    </row>
    <row r="364" spans="1:5" ht="28.5">
      <c r="A364" s="2"/>
      <c r="B364" s="79">
        <v>1508.2</v>
      </c>
      <c r="C364" s="45" t="s">
        <v>712</v>
      </c>
      <c r="D364" s="45" t="s">
        <v>506</v>
      </c>
      <c r="E364" s="79">
        <v>897.13</v>
      </c>
    </row>
    <row r="365" spans="1:5" ht="28.5">
      <c r="A365" s="2"/>
      <c r="B365" s="79">
        <v>600</v>
      </c>
      <c r="C365" s="45" t="s">
        <v>585</v>
      </c>
      <c r="D365" s="45" t="s">
        <v>508</v>
      </c>
      <c r="E365" s="79">
        <v>1011.1000000000058</v>
      </c>
    </row>
    <row r="366" spans="1:5" ht="28.5">
      <c r="A366" s="2"/>
      <c r="B366" s="79">
        <v>5000</v>
      </c>
      <c r="C366" s="45" t="s">
        <v>554</v>
      </c>
      <c r="D366" s="45" t="s">
        <v>581</v>
      </c>
      <c r="E366" s="79">
        <v>7260</v>
      </c>
    </row>
    <row r="367" spans="1:5" ht="28.5">
      <c r="A367" s="2"/>
      <c r="B367" s="79">
        <v>100000</v>
      </c>
      <c r="C367" s="45" t="s">
        <v>555</v>
      </c>
      <c r="D367" s="45" t="s">
        <v>645</v>
      </c>
      <c r="E367" s="79">
        <v>300</v>
      </c>
    </row>
    <row r="368" spans="1:5" ht="14.25">
      <c r="A368" s="2"/>
      <c r="B368" s="79">
        <v>114900</v>
      </c>
      <c r="C368" s="45" t="s">
        <v>556</v>
      </c>
      <c r="D368" s="45"/>
      <c r="E368" s="79"/>
    </row>
    <row r="369" spans="1:5" ht="28.5">
      <c r="A369" s="2"/>
      <c r="B369" s="79">
        <v>1800</v>
      </c>
      <c r="C369" s="45" t="s">
        <v>636</v>
      </c>
      <c r="D369" s="45"/>
      <c r="E369" s="79"/>
    </row>
    <row r="370" spans="1:5" ht="28.5">
      <c r="A370" s="2"/>
      <c r="B370" s="79">
        <v>3500</v>
      </c>
      <c r="C370" s="45" t="s">
        <v>648</v>
      </c>
      <c r="D370" s="45"/>
      <c r="E370" s="79"/>
    </row>
    <row r="371" spans="1:5" ht="28.5">
      <c r="A371" s="2"/>
      <c r="B371" s="79">
        <v>6000</v>
      </c>
      <c r="C371" s="45" t="s">
        <v>651</v>
      </c>
      <c r="D371" s="45"/>
      <c r="E371" s="79"/>
    </row>
    <row r="372" spans="1:5" ht="42.75">
      <c r="A372" s="2"/>
      <c r="B372" s="79">
        <v>4000</v>
      </c>
      <c r="C372" s="45" t="s">
        <v>688</v>
      </c>
      <c r="D372" s="45"/>
      <c r="E372" s="79"/>
    </row>
    <row r="373" spans="1:5" ht="14.25">
      <c r="A373" s="2"/>
      <c r="B373" s="79"/>
      <c r="C373" s="45"/>
      <c r="D373" s="45"/>
      <c r="E373" s="79"/>
    </row>
    <row r="374" spans="1:5" ht="14.25">
      <c r="A374" s="2"/>
      <c r="B374" s="79"/>
      <c r="C374" s="45"/>
      <c r="D374" s="45"/>
      <c r="E374" s="79"/>
    </row>
    <row r="375" spans="1:5" ht="14.25">
      <c r="A375" s="2"/>
      <c r="B375" s="79"/>
      <c r="C375" s="45"/>
      <c r="D375" s="45"/>
      <c r="E375" s="79"/>
    </row>
    <row r="376" spans="1:5" ht="14.25">
      <c r="A376" s="2"/>
      <c r="B376" s="79"/>
      <c r="C376" s="45"/>
      <c r="D376" s="45"/>
      <c r="E376" s="79"/>
    </row>
    <row r="377" spans="1:5" ht="14.25">
      <c r="A377" s="2"/>
      <c r="B377" s="79"/>
      <c r="C377" s="45"/>
      <c r="D377" s="45"/>
      <c r="E377" s="79"/>
    </row>
    <row r="378" spans="1:5" ht="14.25">
      <c r="A378" s="2"/>
      <c r="B378" s="79"/>
      <c r="C378" s="45"/>
      <c r="D378" s="45"/>
      <c r="E378" s="79"/>
    </row>
    <row r="379" spans="1:5" ht="14.25">
      <c r="A379" s="2"/>
      <c r="B379" s="79"/>
      <c r="C379" s="45"/>
      <c r="D379" s="45"/>
      <c r="E379" s="79"/>
    </row>
    <row r="380" spans="1:5" ht="14.25">
      <c r="A380" s="2"/>
      <c r="B380" s="79"/>
      <c r="C380" s="45"/>
      <c r="D380" s="45"/>
      <c r="E380" s="79"/>
    </row>
    <row r="381" spans="1:5" ht="14.25">
      <c r="A381" s="2"/>
      <c r="B381" s="79"/>
      <c r="C381" s="45"/>
      <c r="D381" s="45"/>
      <c r="E381" s="79"/>
    </row>
    <row r="382" spans="1:5" ht="14.25">
      <c r="A382" s="2"/>
      <c r="B382" s="79"/>
      <c r="C382" s="45"/>
      <c r="D382" s="45"/>
      <c r="E382" s="79"/>
    </row>
    <row r="383" spans="1:5" ht="14.25">
      <c r="A383" s="2"/>
      <c r="B383" s="79"/>
      <c r="C383" s="45"/>
      <c r="D383" s="45"/>
      <c r="E383" s="79"/>
    </row>
    <row r="384" spans="1:5" ht="14.25">
      <c r="A384" s="2"/>
      <c r="B384" s="79"/>
      <c r="C384" s="45"/>
      <c r="D384" s="45"/>
      <c r="E384" s="79"/>
    </row>
    <row r="385" spans="1:5" ht="14.25">
      <c r="A385" s="2"/>
      <c r="B385" s="79"/>
      <c r="C385" s="45"/>
      <c r="D385" s="45"/>
      <c r="E385" s="79"/>
    </row>
    <row r="386" spans="1:5" ht="14.25">
      <c r="A386" s="2"/>
      <c r="B386" s="79"/>
      <c r="C386" s="45"/>
      <c r="D386" s="45"/>
      <c r="E386" s="79"/>
    </row>
    <row r="387" spans="1:5" ht="14.25">
      <c r="A387" s="2"/>
      <c r="B387" s="79"/>
      <c r="C387" s="45"/>
      <c r="D387" s="45"/>
      <c r="E387" s="79"/>
    </row>
    <row r="388" spans="1:5" ht="14.25">
      <c r="A388" s="2"/>
      <c r="B388" s="79"/>
      <c r="C388" s="45"/>
      <c r="D388" s="45"/>
      <c r="E388" s="79"/>
    </row>
    <row r="389" spans="1:5" ht="14.25">
      <c r="A389" s="2"/>
      <c r="B389" s="79"/>
      <c r="C389" s="45"/>
      <c r="D389" s="45"/>
      <c r="E389" s="79"/>
    </row>
    <row r="390" spans="1:5" ht="14.25">
      <c r="A390" s="2"/>
      <c r="B390" s="79"/>
      <c r="C390" s="45"/>
      <c r="D390" s="45"/>
      <c r="E390" s="79"/>
    </row>
    <row r="391" spans="1:5" ht="14.25">
      <c r="A391" s="2"/>
      <c r="B391" s="79"/>
      <c r="C391" s="45"/>
      <c r="D391" s="45"/>
      <c r="E391" s="79"/>
    </row>
    <row r="392" spans="1:5" ht="14.25">
      <c r="A392" s="2"/>
      <c r="C392" s="56"/>
      <c r="D392" s="56"/>
    </row>
    <row r="393" spans="1:5" ht="14.25">
      <c r="A393" s="2"/>
      <c r="C393" s="56"/>
      <c r="D393" s="56"/>
    </row>
    <row r="394" spans="1:5" ht="14.25">
      <c r="A394" s="2"/>
      <c r="C394" s="56"/>
      <c r="D394" s="56"/>
    </row>
    <row r="395" spans="1:5" ht="14.25">
      <c r="A395" s="2"/>
      <c r="C395" s="56"/>
      <c r="D395" s="56"/>
    </row>
    <row r="396" spans="1:5" ht="14.25">
      <c r="A396" s="2"/>
      <c r="C396" s="56"/>
      <c r="D396" s="56"/>
    </row>
    <row r="397" spans="1:5" ht="14.25">
      <c r="A397" s="2"/>
      <c r="C397" s="56"/>
      <c r="D397" s="56"/>
    </row>
    <row r="398" spans="1:5">
      <c r="B398" s="82" t="s">
        <v>210</v>
      </c>
      <c r="C398" s="43"/>
      <c r="D398" s="43"/>
      <c r="E398" s="82" t="s">
        <v>211</v>
      </c>
    </row>
    <row r="399" spans="1:5">
      <c r="B399" s="415" t="s">
        <v>713</v>
      </c>
      <c r="C399" s="415"/>
      <c r="D399" s="415"/>
      <c r="E399" s="415"/>
    </row>
    <row r="406" spans="2:5">
      <c r="B406" s="82" t="s">
        <v>210</v>
      </c>
      <c r="C406" s="43"/>
      <c r="D406" s="43"/>
      <c r="E406" s="82" t="s">
        <v>211</v>
      </c>
    </row>
    <row r="407" spans="2:5">
      <c r="B407" s="415" t="s">
        <v>713</v>
      </c>
      <c r="C407" s="415"/>
      <c r="D407" s="415"/>
      <c r="E407" s="415"/>
    </row>
    <row r="413" spans="2:5">
      <c r="B413" s="82" t="s">
        <v>210</v>
      </c>
      <c r="C413" s="43"/>
      <c r="D413" s="43"/>
      <c r="E413" s="82" t="s">
        <v>211</v>
      </c>
    </row>
    <row r="414" spans="2:5">
      <c r="B414" s="415" t="s">
        <v>713</v>
      </c>
      <c r="C414" s="415"/>
      <c r="D414" s="415"/>
      <c r="E414" s="415"/>
    </row>
    <row r="421" spans="2:5">
      <c r="B421" s="82" t="s">
        <v>210</v>
      </c>
      <c r="C421" s="43"/>
      <c r="D421" s="43"/>
      <c r="E421" s="82" t="s">
        <v>211</v>
      </c>
    </row>
    <row r="422" spans="2:5">
      <c r="B422" s="415" t="s">
        <v>713</v>
      </c>
      <c r="C422" s="415"/>
      <c r="D422" s="415"/>
      <c r="E422" s="415"/>
    </row>
  </sheetData>
  <mergeCells count="74">
    <mergeCell ref="B407:E407"/>
    <mergeCell ref="B414:E414"/>
    <mergeCell ref="B422:E422"/>
    <mergeCell ref="B325:E325"/>
    <mergeCell ref="B340:E340"/>
    <mergeCell ref="B345:E345"/>
    <mergeCell ref="B349:E349"/>
    <mergeCell ref="B399:E399"/>
    <mergeCell ref="B275:E275"/>
    <mergeCell ref="B279:E279"/>
    <mergeCell ref="B283:E283"/>
    <mergeCell ref="B302:E302"/>
    <mergeCell ref="B306:E306"/>
    <mergeCell ref="B286:E286"/>
    <mergeCell ref="B289:E289"/>
    <mergeCell ref="B292:E292"/>
    <mergeCell ref="B295:E295"/>
    <mergeCell ref="B298:E298"/>
    <mergeCell ref="B197:E197"/>
    <mergeCell ref="B132:E132"/>
    <mergeCell ref="B149:E149"/>
    <mergeCell ref="B153:E153"/>
    <mergeCell ref="B202:E202"/>
    <mergeCell ref="B158:E158"/>
    <mergeCell ref="B167:E167"/>
    <mergeCell ref="B176:E176"/>
    <mergeCell ref="B185:E185"/>
    <mergeCell ref="B193:E193"/>
    <mergeCell ref="B141:E141"/>
    <mergeCell ref="B137:E137"/>
    <mergeCell ref="B145:E145"/>
    <mergeCell ref="B163:E163"/>
    <mergeCell ref="B171:E171"/>
    <mergeCell ref="B180:E180"/>
    <mergeCell ref="B189:E189"/>
    <mergeCell ref="B60:E60"/>
    <mergeCell ref="B70:E70"/>
    <mergeCell ref="B80:E80"/>
    <mergeCell ref="B123:E123"/>
    <mergeCell ref="B127:E127"/>
    <mergeCell ref="B85:E85"/>
    <mergeCell ref="B111:E111"/>
    <mergeCell ref="B116:E116"/>
    <mergeCell ref="G1:J1"/>
    <mergeCell ref="G4:J4"/>
    <mergeCell ref="G8:J8"/>
    <mergeCell ref="B101:E101"/>
    <mergeCell ref="B106:E106"/>
    <mergeCell ref="B15:E15"/>
    <mergeCell ref="B12:E12"/>
    <mergeCell ref="B41:E41"/>
    <mergeCell ref="B65:E65"/>
    <mergeCell ref="B75:E75"/>
    <mergeCell ref="B37:E37"/>
    <mergeCell ref="B90:E90"/>
    <mergeCell ref="B96:E96"/>
    <mergeCell ref="B45:E45"/>
    <mergeCell ref="B49:E49"/>
    <mergeCell ref="B54:E54"/>
    <mergeCell ref="B271:E271"/>
    <mergeCell ref="B243:E243"/>
    <mergeCell ref="B247:E247"/>
    <mergeCell ref="B212:E212"/>
    <mergeCell ref="B208:E208"/>
    <mergeCell ref="B216:E216"/>
    <mergeCell ref="B226:E226"/>
    <mergeCell ref="B234:E234"/>
    <mergeCell ref="B239:E239"/>
    <mergeCell ref="B222:E222"/>
    <mergeCell ref="B251:E251"/>
    <mergeCell ref="B255:E255"/>
    <mergeCell ref="B259:E259"/>
    <mergeCell ref="B263:E263"/>
    <mergeCell ref="B267:E267"/>
  </mergeCells>
  <pageMargins left="0.7" right="0.7" top="0.75" bottom="0.75" header="0.3" footer="0.3"/>
  <pageSetup paperSize="9" scale="1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58dfa02-5ea2-4dbf-a6db-fb22ab7397f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D381BF2402C3784CB4B8C5100DA683DD" ma:contentTypeVersion="18" ma:contentTypeDescription="Crear nuevo documento." ma:contentTypeScope="" ma:versionID="3e8c078528acdb7de0f16a0df95d16be">
  <xsd:schema xmlns:xsd="http://www.w3.org/2001/XMLSchema" xmlns:xs="http://www.w3.org/2001/XMLSchema" xmlns:p="http://schemas.microsoft.com/office/2006/metadata/properties" xmlns:ns3="e58dfa02-5ea2-4dbf-a6db-fb22ab7397f9" xmlns:ns4="ba206fb9-fc7f-45ff-9f65-c090efaf3f82" targetNamespace="http://schemas.microsoft.com/office/2006/metadata/properties" ma:root="true" ma:fieldsID="172c5dbd884277e8f0857a939428e05d" ns3:_="" ns4:_="">
    <xsd:import namespace="e58dfa02-5ea2-4dbf-a6db-fb22ab7397f9"/>
    <xsd:import namespace="ba206fb9-fc7f-45ff-9f65-c090efaf3f82"/>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4:SharedWithUsers" minOccurs="0"/>
                <xsd:element ref="ns4:SharedWithDetails" minOccurs="0"/>
                <xsd:element ref="ns4:SharingHintHash"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8dfa02-5ea2-4dbf-a6db-fb22ab7397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_activity" ma:index="19"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206fb9-fc7f-45ff-9f65-c090efaf3f82" elementFormDefault="qualified">
    <xsd:import namespace="http://schemas.microsoft.com/office/2006/documentManagement/types"/>
    <xsd:import namespace="http://schemas.microsoft.com/office/infopath/2007/PartnerControls"/>
    <xsd:element name="SharedWithUsers" ma:index="2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les de uso compartido" ma:internalName="SharedWithDetails" ma:readOnly="true">
      <xsd:simpleType>
        <xsd:restriction base="dms:Note">
          <xsd:maxLength value="255"/>
        </xsd:restriction>
      </xsd:simpleType>
    </xsd:element>
    <xsd:element name="SharingHintHash" ma:index="2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568A3D-BAEF-4338-91FA-D5E14278E2A3}"/>
</file>

<file path=customXml/itemProps2.xml><?xml version="1.0" encoding="utf-8"?>
<ds:datastoreItem xmlns:ds="http://schemas.openxmlformats.org/officeDocument/2006/customXml" ds:itemID="{AF387BEC-52FC-4567-9578-784BFA6BDAD9}"/>
</file>

<file path=customXml/itemProps3.xml><?xml version="1.0" encoding="utf-8"?>
<ds:datastoreItem xmlns:ds="http://schemas.openxmlformats.org/officeDocument/2006/customXml" ds:itemID="{07EAA30E-F4EF-4B2C-A701-A1F27F6E303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Montoya Del Corte, Javier</cp:lastModifiedBy>
  <cp:revision/>
  <dcterms:created xsi:type="dcterms:W3CDTF">2015-06-05T18:19:34Z</dcterms:created>
  <dcterms:modified xsi:type="dcterms:W3CDTF">2025-10-21T13:18:29Z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0x010100D381BF2402C3784CB4B8C5100DA683DD</vt:lpwstr>
  </property>
</Properties>
</file>